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15" yWindow="0" windowWidth="19230" windowHeight="10995" activeTab="2"/>
  </bookViews>
  <sheets>
    <sheet name="Notes" sheetId="68" r:id="rId1"/>
    <sheet name="comments" sheetId="70" r:id="rId2"/>
    <sheet name="BUDGET" sheetId="60" r:id="rId3"/>
    <sheet name="STATS 2017" sheetId="67" r:id="rId4"/>
    <sheet name="STATS" sheetId="61" r:id="rId5"/>
    <sheet name="MO STATS" sheetId="58" r:id="rId6"/>
    <sheet name="MED SURG" sheetId="4" r:id="rId7"/>
    <sheet name="SWING BED" sheetId="5" r:id="rId8"/>
    <sheet name="IP PROFEE" sheetId="66" r:id="rId9"/>
    <sheet name="ICU" sheetId="7" r:id="rId10"/>
    <sheet name="OBS" sheetId="8" r:id="rId11"/>
    <sheet name="OR" sheetId="9" r:id="rId12"/>
    <sheet name="RECOVERY" sheetId="10" r:id="rId13"/>
    <sheet name="ANESTHESIA" sheetId="11" r:id="rId14"/>
    <sheet name="SURGIDAY" sheetId="12" r:id="rId15"/>
    <sheet name="ENDOSCOPY" sheetId="13" r:id="rId16"/>
    <sheet name="STERILE SUPPLY" sheetId="14" r:id="rId17"/>
    <sheet name="PHARMACY" sheetId="15" r:id="rId18"/>
    <sheet name="IV THERAPY" sheetId="16" r:id="rId19"/>
    <sheet name="LAB" sheetId="17" r:id="rId20"/>
    <sheet name="PATHOLOGY" sheetId="18" r:id="rId21"/>
    <sheet name="BLOOD BANK" sheetId="19" r:id="rId22"/>
    <sheet name="CENTRAL SUPPLY" sheetId="20" r:id="rId23"/>
    <sheet name="EKG" sheetId="21" r:id="rId24"/>
    <sheet name="XRAY" sheetId="23" r:id="rId25"/>
    <sheet name="ULTRASOUND" sheetId="24" r:id="rId26"/>
    <sheet name="CT" sheetId="25" r:id="rId27"/>
    <sheet name="MRI" sheetId="26" r:id="rId28"/>
    <sheet name="NUCLEAR MEDICINE" sheetId="27" r:id="rId29"/>
    <sheet name="MAMMOGRAPHY" sheetId="28" r:id="rId30"/>
    <sheet name="RESPIRATORY" sheetId="22" r:id="rId31"/>
    <sheet name="PULMONARY LAB" sheetId="29" r:id="rId32"/>
    <sheet name="PHYSICAL THERAPY" sheetId="30" r:id="rId33"/>
    <sheet name="OCCUPATIONAL THERAPY" sheetId="31" r:id="rId34"/>
    <sheet name="SPEECH THERAPY" sheetId="32" r:id="rId35"/>
    <sheet name="WOUND CARE" sheetId="33" r:id="rId36"/>
    <sheet name="EMERGENCY SERVICES" sheetId="34" r:id="rId37"/>
    <sheet name="ER PROFEE" sheetId="35" r:id="rId38"/>
    <sheet name="OTHER REVENUE" sheetId="52" r:id="rId39"/>
    <sheet name="DEDUCTIONS FROM REVENUE" sheetId="53" r:id="rId40"/>
    <sheet name="OTHER DISCOUNTS" sheetId="55" r:id="rId41"/>
    <sheet name="PRIOR YR ADJS" sheetId="56" r:id="rId42"/>
    <sheet name="CHARITY WRITE-OFFS" sheetId="54" r:id="rId43"/>
    <sheet name="MOB" sheetId="36" r:id="rId44"/>
    <sheet name="LAUNDRY &amp; LINEN" sheetId="37" r:id="rId45"/>
    <sheet name="HOUSEKEEPING" sheetId="38" r:id="rId46"/>
    <sheet name="PLANT OP &amp; MAINTENANCE" sheetId="39" r:id="rId47"/>
    <sheet name="SECURITY" sheetId="40" r:id="rId48"/>
    <sheet name="ADMITTING" sheetId="41" r:id="rId49"/>
    <sheet name="BUSINESS OFFICE" sheetId="42" r:id="rId50"/>
    <sheet name="CREDIT &amp; COLLECTION" sheetId="43" r:id="rId51"/>
    <sheet name="COMMUNICATIONS" sheetId="44" r:id="rId52"/>
    <sheet name="NURSING ADMIN" sheetId="45" r:id="rId53"/>
    <sheet name="HOSPITAL ADMIN" sheetId="46" r:id="rId54"/>
    <sheet name="MARKETING" sheetId="47" r:id="rId55"/>
    <sheet name="GENERAL ACCOUNTING" sheetId="48" r:id="rId56"/>
    <sheet name="DATA PROCESSING" sheetId="49" r:id="rId57"/>
    <sheet name="HEALTH INFO MGMT" sheetId="50" r:id="rId58"/>
    <sheet name="DIETARY" sheetId="51" r:id="rId59"/>
    <sheet name="BYRD AVENUE - OLD HOSPITAL" sheetId="59" r:id="rId60"/>
    <sheet name="DEPRECIATION" sheetId="3" r:id="rId61"/>
    <sheet name="recap rev and deduct" sheetId="62" r:id="rId62"/>
    <sheet name="Sheet1" sheetId="69"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xlnm._FilterDatabase" hidden="1">#N/A</definedName>
    <definedName name="FINANCIAL_AUDIT">#N/A</definedName>
    <definedName name="_xlnm.Print_Area" localSheetId="48">ADMITTING!$A$1:$R$28</definedName>
    <definedName name="_xlnm.Print_Area" localSheetId="13">ANESTHESIA!$A$1:$R$43</definedName>
    <definedName name="_xlnm.Print_Area" localSheetId="21">'BLOOD BANK'!$A$1:$R$40</definedName>
    <definedName name="_xlnm.Print_Area" localSheetId="49">'BUSINESS OFFICE'!$A$1:$R$30</definedName>
    <definedName name="_xlnm.Print_Area" localSheetId="59">'BYRD AVENUE - OLD HOSPITAL'!$A$1:$R$18</definedName>
    <definedName name="_xlnm.Print_Area" localSheetId="22">'CENTRAL SUPPLY'!$A$1:$R$56</definedName>
    <definedName name="_xlnm.Print_Area" localSheetId="42">'CHARITY WRITE-OFFS'!$A$1:$R$11</definedName>
    <definedName name="_xlnm.Print_Area" localSheetId="51">COMMUNICATIONS!$A$1:$R$22</definedName>
    <definedName name="_xlnm.Print_Area" localSheetId="50">'CREDIT &amp; COLLECTION'!$A$1:$R$21</definedName>
    <definedName name="_xlnm.Print_Area" localSheetId="26">CT!$A$1:$R$43</definedName>
    <definedName name="_xlnm.Print_Area" localSheetId="56">'DATA PROCESSING'!$A$1:$R$32</definedName>
    <definedName name="_xlnm.Print_Area" localSheetId="58">DIETARY!$A$1:$R$31</definedName>
    <definedName name="_xlnm.Print_Area" localSheetId="23">EKG!$A$1:$R$40</definedName>
    <definedName name="_xlnm.Print_Area" localSheetId="36">'EMERGENCY SERVICES'!$A$1:$R$61</definedName>
    <definedName name="_xlnm.Print_Area" localSheetId="15">ENDOSCOPY!$A$1:$R$44</definedName>
    <definedName name="_xlnm.Print_Area" localSheetId="37">'ER PROFEE'!$A$1:$R$65</definedName>
    <definedName name="_xlnm.Print_Area" localSheetId="55">'GENERAL ACCOUNTING'!$A$1:$R$29</definedName>
    <definedName name="_xlnm.Print_Area" localSheetId="57">'HEALTH INFO MGMT'!$A$1:$R$31</definedName>
    <definedName name="_xlnm.Print_Area" localSheetId="53">'HOSPITAL ADMIN'!$A$1:$R$65</definedName>
    <definedName name="_xlnm.Print_Area" localSheetId="45">HOUSEKEEPING!$A$1:$R$27</definedName>
    <definedName name="_xlnm.Print_Area" localSheetId="9">ICU!$A$1:$R$40</definedName>
    <definedName name="_xlnm.Print_Area" localSheetId="18">'IV THERAPY'!$A$1:$R$37</definedName>
    <definedName name="_xlnm.Print_Area" localSheetId="19">LAB!$A$1:$R$63</definedName>
    <definedName name="_xlnm.Print_Area" localSheetId="44">'LAUNDRY &amp; LINEN'!$A$1:$R$18</definedName>
    <definedName name="_xlnm.Print_Area" localSheetId="29">MAMMOGRAPHY!$A$1:$R$54</definedName>
    <definedName name="_xlnm.Print_Area" localSheetId="54">MARKETING!$A$1:$R$38</definedName>
    <definedName name="_xlnm.Print_Area" localSheetId="6">'MED SURG'!$A$1:$R$43</definedName>
    <definedName name="_xlnm.Print_Area" localSheetId="5">'MO STATS'!$A$1:$Q$100</definedName>
    <definedName name="_xlnm.Print_Area" localSheetId="43">MOB!$A$1:$R$33</definedName>
    <definedName name="_xlnm.Print_Area" localSheetId="27">MRI!$A$1:$R$48</definedName>
    <definedName name="_xlnm.Print_Area" localSheetId="28">'NUCLEAR MEDICINE'!$A$1:$R$38</definedName>
    <definedName name="_xlnm.Print_Area" localSheetId="52">'NURSING ADMIN'!$A$1:$R$29</definedName>
    <definedName name="_xlnm.Print_Area" localSheetId="10">OBS!$A$1:$R$42</definedName>
    <definedName name="_xlnm.Print_Area" localSheetId="33">'OCCUPATIONAL THERAPY'!$A$1:$R$38</definedName>
    <definedName name="_xlnm.Print_Area" localSheetId="11">OR!$A$1:$R$70</definedName>
    <definedName name="_xlnm.Print_Area" localSheetId="40">'OTHER DISCOUNTS'!$A$1:$R$23</definedName>
    <definedName name="_xlnm.Print_Area" localSheetId="38">'OTHER REVENUE'!$A$1:$R$28</definedName>
    <definedName name="_xlnm.Print_Area" localSheetId="20">PATHOLOGY!$A$1:$R$36</definedName>
    <definedName name="_xlnm.Print_Area" localSheetId="17">PHARMACY!$A$1:$R$63</definedName>
    <definedName name="_xlnm.Print_Area" localSheetId="32">'PHYSICAL THERAPY'!$A$1:$R$49</definedName>
    <definedName name="_xlnm.Print_Area" localSheetId="46">'PLANT OP &amp; MAINTENANCE'!$A$1:$R$37</definedName>
    <definedName name="_xlnm.Print_Area" localSheetId="41">'PRIOR YR ADJS'!$A$1:$R$13</definedName>
    <definedName name="_xlnm.Print_Area" localSheetId="31">'PULMONARY LAB'!$A$1:$R$37</definedName>
    <definedName name="_xlnm.Print_Area" localSheetId="61">'recap rev and deduct'!$A$1:$M$882</definedName>
    <definedName name="_xlnm.Print_Area" localSheetId="12">RECOVERY!$A$1:$R$49</definedName>
    <definedName name="_xlnm.Print_Area" localSheetId="30">RESPIRATORY!$A$1:$R$58</definedName>
    <definedName name="_xlnm.Print_Area" localSheetId="47">SECURITY!$A$1:$R$29</definedName>
    <definedName name="_xlnm.Print_Area" localSheetId="34">'SPEECH THERAPY'!$A$1:$R$37</definedName>
    <definedName name="_xlnm.Print_Area" localSheetId="4">STATS!$A$5:$D$103</definedName>
    <definedName name="_xlnm.Print_Area" localSheetId="3">'STATS 2017'!$A$1:$P$493</definedName>
    <definedName name="_xlnm.Print_Area" localSheetId="16">'STERILE SUPPLY'!$A$1:$R$44</definedName>
    <definedName name="_xlnm.Print_Area" localSheetId="14">SURGIDAY!$A$1:$R$45</definedName>
    <definedName name="_xlnm.Print_Area" localSheetId="7">'SWING BED'!$A$1:$R$40</definedName>
    <definedName name="_xlnm.Print_Area" localSheetId="25">ULTRASOUND!$A$1:$R$47</definedName>
    <definedName name="_xlnm.Print_Area" localSheetId="35">'WOUND CARE'!$A$1:$R$37</definedName>
    <definedName name="_xlnm.Print_Area" localSheetId="24">XRAY!$A$1:$R$61</definedName>
    <definedName name="_xlnm.Print_Area">#REF!</definedName>
    <definedName name="_xlnm.Print_Titles" localSheetId="5">'MO STATS'!$1:$1</definedName>
    <definedName name="_xlnm.Print_Titles" localSheetId="4">STATS!$5:$5</definedName>
    <definedName name="_xlnm.Print_Titles" localSheetId="3">'STATS 2017'!$1:$81</definedName>
    <definedName name="STATS1" localSheetId="21">'[1]STATS 2011'!$A$120:$O$133</definedName>
    <definedName name="STATS1" localSheetId="2">'[1]STATS 2011'!$A$120:$O$133</definedName>
    <definedName name="STATS1" localSheetId="22">'[1]STATS 2011'!$A$120:$O$133</definedName>
    <definedName name="STATS1" localSheetId="42">'[1]STATS 2011'!$A$120:$O$133</definedName>
    <definedName name="STATS1" localSheetId="26">'[1]STATS 2011'!$A$120:$O$133</definedName>
    <definedName name="STATS1" localSheetId="39">'[1]STATS 2011'!$A$120:$O$133</definedName>
    <definedName name="STATS1" localSheetId="23">'[1]STATS 2011'!$A$120:$O$133</definedName>
    <definedName name="STATS1" localSheetId="36">'[1]STATS 2011'!$A$120:$O$133</definedName>
    <definedName name="STATS1" localSheetId="37">'[1]STATS 2011'!$A$120:$O$133</definedName>
    <definedName name="STATS1" localSheetId="18">'[1]STATS 2011'!$A$120:$O$133</definedName>
    <definedName name="STATS1" localSheetId="19">'[1]STATS 2011'!$A$120:$O$133</definedName>
    <definedName name="STATS1" localSheetId="29">'[1]STATS 2011'!$A$120:$O$133</definedName>
    <definedName name="STATS1" localSheetId="5">'[1]STATS 2011'!$A$120:$O$133</definedName>
    <definedName name="STATS1" localSheetId="27">'[1]STATS 2011'!$A$120:$O$133</definedName>
    <definedName name="STATS1" localSheetId="28">'[1]STATS 2011'!$A$120:$O$133</definedName>
    <definedName name="STATS1" localSheetId="33">'[1]STATS 2011'!$A$120:$O$133</definedName>
    <definedName name="STATS1" localSheetId="40">'[1]STATS 2011'!$A$120:$O$133</definedName>
    <definedName name="STATS1" localSheetId="38">'[1]STATS 2011'!$A$120:$O$133</definedName>
    <definedName name="STATS1" localSheetId="20">'[1]STATS 2011'!$A$120:$O$133</definedName>
    <definedName name="STATS1" localSheetId="17">'[1]STATS 2011'!$A$120:$O$133</definedName>
    <definedName name="STATS1" localSheetId="32">'[1]STATS 2011'!$A$120:$O$133</definedName>
    <definedName name="STATS1" localSheetId="41">'[1]STATS 2011'!$A$120:$O$133</definedName>
    <definedName name="STATS1" localSheetId="31">'[1]STATS 2011'!$A$120:$O$133</definedName>
    <definedName name="STATS1" localSheetId="30">'[1]STATS 2011'!$A$120:$O$133</definedName>
    <definedName name="STATS1" localSheetId="34">'[1]STATS 2011'!$A$120:$O$133</definedName>
    <definedName name="STATS1" localSheetId="4">'[1]STATS 2011'!$A$120:$O$133</definedName>
    <definedName name="STATS1" localSheetId="25">'[1]STATS 2011'!$A$120:$O$133</definedName>
    <definedName name="STATS1" localSheetId="35">'[1]STATS 2011'!$A$120:$O$133</definedName>
    <definedName name="STATS1" localSheetId="24">'[1]STATS 2011'!$A$120:$O$133</definedName>
    <definedName name="STATS1">'[2]STATS 2011'!$A$120:$O$133</definedName>
  </definedNames>
  <calcPr calcId="145621"/>
</workbook>
</file>

<file path=xl/calcChain.xml><?xml version="1.0" encoding="utf-8"?>
<calcChain xmlns="http://schemas.openxmlformats.org/spreadsheetml/2006/main">
  <c r="H897" i="62" l="1"/>
  <c r="G897" i="62"/>
  <c r="C890" i="62"/>
  <c r="E888" i="62"/>
  <c r="C888" i="62"/>
  <c r="E889" i="62" s="1"/>
  <c r="J886" i="62"/>
  <c r="I886" i="62"/>
  <c r="G886" i="62"/>
  <c r="F886" i="62"/>
  <c r="J885" i="62"/>
  <c r="J888" i="62" s="1"/>
  <c r="I885" i="62"/>
  <c r="G885" i="62"/>
  <c r="F885" i="62"/>
  <c r="I884" i="62"/>
  <c r="I888" i="62" s="1"/>
  <c r="K888" i="62" s="1"/>
  <c r="G884" i="62"/>
  <c r="G888" i="62" s="1"/>
  <c r="F884" i="62"/>
  <c r="C53" i="60" l="1"/>
  <c r="T34" i="58" l="1"/>
  <c r="P97" i="58"/>
  <c r="P96" i="58"/>
  <c r="P92" i="58"/>
  <c r="P88" i="58"/>
  <c r="P56" i="58"/>
  <c r="AC3" i="58"/>
  <c r="Y3" i="58"/>
  <c r="T3" i="58"/>
  <c r="AD3" i="58"/>
  <c r="AB3" i="58"/>
  <c r="AA3" i="58"/>
  <c r="Z3" i="58"/>
  <c r="X3" i="58"/>
  <c r="W3" i="58"/>
  <c r="V3" i="58"/>
  <c r="U3" i="58"/>
  <c r="S3" i="58"/>
  <c r="T2" i="58"/>
  <c r="W2" i="58"/>
  <c r="V2" i="58"/>
  <c r="AD2" i="58"/>
  <c r="AC2" i="58"/>
  <c r="AB2" i="58"/>
  <c r="AA2" i="58"/>
  <c r="Z2" i="58"/>
  <c r="Y2" i="58"/>
  <c r="X2" i="58"/>
  <c r="U2" i="58"/>
  <c r="S2" i="58"/>
  <c r="P3" i="58"/>
  <c r="P2" i="58"/>
  <c r="C30" i="67"/>
  <c r="M30" i="67"/>
  <c r="C31" i="67"/>
  <c r="N31" i="67"/>
  <c r="M31" i="67"/>
  <c r="L31" i="67"/>
  <c r="D31" i="67"/>
  <c r="I31" i="67"/>
  <c r="Q52" i="67"/>
  <c r="I7" i="61"/>
  <c r="N96" i="61"/>
  <c r="N101" i="61"/>
  <c r="N100" i="61"/>
  <c r="I102" i="61"/>
  <c r="P72" i="58" l="1"/>
  <c r="P71" i="58"/>
  <c r="P28" i="58"/>
  <c r="P76" i="61"/>
  <c r="P75" i="61"/>
  <c r="O75" i="61"/>
  <c r="S89" i="67"/>
  <c r="S88" i="67"/>
  <c r="R87" i="67"/>
  <c r="Q87" i="67"/>
  <c r="R84" i="67"/>
  <c r="R88" i="67" s="1"/>
  <c r="Q84" i="67"/>
  <c r="P26" i="58"/>
  <c r="P25" i="58"/>
  <c r="O35" i="61" l="1"/>
  <c r="O29" i="61"/>
  <c r="O30" i="61"/>
  <c r="K1" i="61" l="1"/>
  <c r="G2" i="5"/>
  <c r="H2" i="5"/>
  <c r="I2" i="5"/>
  <c r="J2" i="5"/>
  <c r="K2" i="5"/>
  <c r="L2" i="5"/>
  <c r="M2" i="5"/>
  <c r="N2" i="5"/>
  <c r="O2" i="5"/>
  <c r="P2" i="5"/>
  <c r="Q2" i="5"/>
  <c r="F2" i="5"/>
  <c r="G2" i="4"/>
  <c r="H2" i="4"/>
  <c r="I2" i="4"/>
  <c r="J2" i="4"/>
  <c r="K2" i="4"/>
  <c r="L2" i="4"/>
  <c r="M2" i="4"/>
  <c r="N2" i="4"/>
  <c r="O2" i="4"/>
  <c r="P2" i="4"/>
  <c r="Q2" i="4"/>
  <c r="F2" i="4"/>
  <c r="P22" i="58"/>
  <c r="P21" i="58"/>
  <c r="P10" i="58"/>
  <c r="AE2" i="58" l="1"/>
  <c r="AE3" i="58"/>
  <c r="L86" i="67" l="1"/>
  <c r="L88" i="67" s="1"/>
  <c r="L97" i="67"/>
  <c r="L98" i="67" s="1"/>
  <c r="L108" i="67"/>
  <c r="L117" i="67"/>
  <c r="L118" i="67"/>
  <c r="L120" i="67" s="1"/>
  <c r="L123" i="67"/>
  <c r="L124" i="67"/>
  <c r="L125" i="67"/>
  <c r="L126" i="67"/>
  <c r="L127" i="67"/>
  <c r="L128" i="67"/>
  <c r="L129" i="67"/>
  <c r="L130" i="67"/>
  <c r="L143" i="67"/>
  <c r="L144" i="67"/>
  <c r="L146" i="67" s="1"/>
  <c r="L155" i="67"/>
  <c r="L156" i="67"/>
  <c r="L158" i="67" s="1"/>
  <c r="L194" i="67" s="1"/>
  <c r="L168" i="67"/>
  <c r="L170" i="67" s="1"/>
  <c r="L179" i="67"/>
  <c r="L180" i="67"/>
  <c r="L182" i="67" s="1"/>
  <c r="L185" i="67"/>
  <c r="L186" i="67"/>
  <c r="L187" i="67"/>
  <c r="L188" i="67"/>
  <c r="L189" i="67"/>
  <c r="L190" i="67"/>
  <c r="L191" i="67"/>
  <c r="L192" i="67"/>
  <c r="L193" i="67"/>
  <c r="L196" i="67"/>
  <c r="L197" i="67"/>
  <c r="L201" i="67"/>
  <c r="L208" i="67"/>
  <c r="L211" i="67" s="1"/>
  <c r="L212" i="67"/>
  <c r="L214" i="67"/>
  <c r="L215" i="67"/>
  <c r="L216" i="67"/>
  <c r="L228" i="67"/>
  <c r="L238" i="67"/>
  <c r="L241" i="67"/>
  <c r="L248" i="67"/>
  <c r="L256" i="67"/>
  <c r="L259" i="67"/>
  <c r="L262" i="67"/>
  <c r="L270" i="67"/>
  <c r="L274" i="67"/>
  <c r="L275" i="67"/>
  <c r="L278" i="67"/>
  <c r="L279" i="67"/>
  <c r="L280" i="67"/>
  <c r="L284" i="67"/>
  <c r="L289" i="67"/>
  <c r="L302" i="67"/>
  <c r="L303" i="67"/>
  <c r="L304" i="67"/>
  <c r="L305" i="67"/>
  <c r="L306" i="67"/>
  <c r="L307" i="67"/>
  <c r="L308" i="67"/>
  <c r="L309" i="67"/>
  <c r="L314" i="67"/>
  <c r="L321" i="67"/>
  <c r="L325" i="67"/>
  <c r="L330" i="67"/>
  <c r="L341" i="67"/>
  <c r="L343" i="67"/>
  <c r="L347" i="67"/>
  <c r="L349" i="67" s="1"/>
  <c r="L353" i="67"/>
  <c r="L357" i="67"/>
  <c r="L361" i="67"/>
  <c r="L365" i="67"/>
  <c r="L369" i="67"/>
  <c r="L374" i="67"/>
  <c r="L375" i="67"/>
  <c r="L376" i="67"/>
  <c r="L385" i="67"/>
  <c r="L393" i="67"/>
  <c r="L394" i="67"/>
  <c r="L397" i="67"/>
  <c r="L398" i="67"/>
  <c r="L400" i="67"/>
  <c r="L401" i="67"/>
  <c r="L402" i="67" s="1"/>
  <c r="L406" i="67"/>
  <c r="L410" i="67"/>
  <c r="L412" i="67"/>
  <c r="L416" i="67"/>
  <c r="L420" i="67"/>
  <c r="L424" i="67"/>
  <c r="L428" i="67"/>
  <c r="L433" i="67"/>
  <c r="L434" i="67"/>
  <c r="L437" i="67"/>
  <c r="L438" i="67"/>
  <c r="L441" i="67"/>
  <c r="L442" i="67"/>
  <c r="L446" i="67"/>
  <c r="L450" i="67"/>
  <c r="L456" i="67"/>
  <c r="L460" i="67"/>
  <c r="L464" i="67"/>
  <c r="L471" i="67"/>
  <c r="L476" i="67"/>
  <c r="L485" i="67"/>
  <c r="L217" i="67" l="1"/>
  <c r="L287" i="67"/>
  <c r="L288" i="67"/>
  <c r="L133" i="67"/>
  <c r="L134" i="67" s="1"/>
  <c r="L198" i="67"/>
  <c r="L213" i="67"/>
  <c r="L218" i="67" s="1"/>
  <c r="B23" i="70" l="1"/>
  <c r="B25" i="70"/>
  <c r="B37" i="70" s="1"/>
  <c r="C35" i="70"/>
  <c r="C11" i="70"/>
  <c r="C31" i="70"/>
  <c r="C15" i="70"/>
  <c r="C19" i="70"/>
  <c r="C28" i="70" l="1"/>
  <c r="C37" i="70" s="1"/>
  <c r="D33" i="34"/>
  <c r="D32" i="34"/>
  <c r="D31" i="34"/>
  <c r="D29" i="34"/>
  <c r="D28" i="34"/>
  <c r="D27" i="34"/>
  <c r="D17" i="34"/>
  <c r="D16" i="34"/>
  <c r="D15" i="34"/>
  <c r="D13" i="34"/>
  <c r="D12" i="34"/>
  <c r="D11" i="34"/>
  <c r="H842" i="62" l="1"/>
  <c r="H813" i="62"/>
  <c r="H799" i="62" l="1"/>
  <c r="H817" i="62"/>
  <c r="H816" i="62"/>
  <c r="H814" i="62"/>
  <c r="H812" i="62"/>
  <c r="H794" i="62"/>
  <c r="H803" i="62"/>
  <c r="H798" i="62" l="1"/>
  <c r="H796" i="62"/>
  <c r="H795" i="62"/>
  <c r="C812" i="62"/>
  <c r="C819" i="62" s="1"/>
  <c r="O758" i="62"/>
  <c r="O757" i="62"/>
  <c r="O755" i="62"/>
  <c r="O754" i="62"/>
  <c r="O753" i="62"/>
  <c r="C49" i="34" l="1"/>
  <c r="B38" i="43" l="1"/>
  <c r="B34" i="43"/>
  <c r="B33" i="43"/>
  <c r="E799" i="62"/>
  <c r="E794" i="62"/>
  <c r="C5" i="51" l="1"/>
  <c r="C5" i="50"/>
  <c r="C5" i="49"/>
  <c r="C5" i="48"/>
  <c r="C5" i="46"/>
  <c r="C5" i="45"/>
  <c r="C6" i="44"/>
  <c r="C6" i="42"/>
  <c r="C6" i="41"/>
  <c r="C5" i="39"/>
  <c r="C5" i="38"/>
  <c r="C4" i="36"/>
  <c r="C6" i="35"/>
  <c r="C6" i="34"/>
  <c r="C5" i="30"/>
  <c r="C5" i="22"/>
  <c r="C5" i="28"/>
  <c r="C5" i="24"/>
  <c r="C5" i="23"/>
  <c r="C5" i="20"/>
  <c r="C5" i="17"/>
  <c r="C15" i="9"/>
  <c r="C3" i="4"/>
  <c r="C46" i="26" l="1"/>
  <c r="C43" i="26"/>
  <c r="C47" i="26"/>
  <c r="K47" i="26" s="1"/>
  <c r="C6" i="15"/>
  <c r="I47" i="26" l="1"/>
  <c r="P47" i="26"/>
  <c r="N47" i="26"/>
  <c r="L47" i="26"/>
  <c r="J47" i="26"/>
  <c r="Q47" i="26"/>
  <c r="O47" i="26"/>
  <c r="M47" i="26"/>
  <c r="I103" i="61" l="1"/>
  <c r="I99" i="61"/>
  <c r="I98" i="61"/>
  <c r="I97" i="61"/>
  <c r="I95" i="61"/>
  <c r="I91" i="61"/>
  <c r="I89" i="61"/>
  <c r="I88" i="61"/>
  <c r="I82" i="61"/>
  <c r="I81" i="61"/>
  <c r="I73" i="61"/>
  <c r="I72" i="61"/>
  <c r="I70" i="61"/>
  <c r="I69" i="61"/>
  <c r="I67" i="61"/>
  <c r="I66" i="61"/>
  <c r="I65" i="61"/>
  <c r="I62" i="61"/>
  <c r="I59" i="61"/>
  <c r="I57" i="61"/>
  <c r="I56" i="61"/>
  <c r="I54" i="61"/>
  <c r="I53" i="61"/>
  <c r="I51" i="61"/>
  <c r="I50" i="61"/>
  <c r="I48" i="61"/>
  <c r="I47" i="61"/>
  <c r="I45" i="61"/>
  <c r="I44" i="61"/>
  <c r="I43" i="61"/>
  <c r="I38" i="61"/>
  <c r="I37" i="61"/>
  <c r="I35" i="61"/>
  <c r="I34" i="61"/>
  <c r="I31" i="61"/>
  <c r="I28" i="61"/>
  <c r="I20" i="61"/>
  <c r="I19" i="61"/>
  <c r="I17" i="61"/>
  <c r="I16" i="61"/>
  <c r="I13" i="61"/>
  <c r="I12" i="61"/>
  <c r="I11" i="61"/>
  <c r="I10" i="61"/>
  <c r="I9" i="61"/>
  <c r="C23" i="53" l="1"/>
  <c r="C22" i="53"/>
  <c r="C21" i="53"/>
  <c r="E801" i="62" l="1"/>
  <c r="C863" i="62" l="1"/>
  <c r="C862" i="62"/>
  <c r="C860" i="62"/>
  <c r="C855" i="62"/>
  <c r="C856" i="62"/>
  <c r="C854" i="62"/>
  <c r="C853" i="62"/>
  <c r="C873" i="62"/>
  <c r="C872" i="62"/>
  <c r="C864" i="62" l="1"/>
  <c r="C858" i="62"/>
  <c r="C22" i="52"/>
  <c r="C19" i="52"/>
  <c r="C18" i="52"/>
  <c r="C17" i="52"/>
  <c r="C16" i="52"/>
  <c r="C15" i="52"/>
  <c r="C14" i="52"/>
  <c r="C13" i="52"/>
  <c r="C12" i="52"/>
  <c r="C11" i="52"/>
  <c r="C10" i="52"/>
  <c r="C9" i="52"/>
  <c r="C7" i="52"/>
  <c r="C22" i="3" l="1"/>
  <c r="C20" i="3"/>
  <c r="C19" i="3"/>
  <c r="C18" i="3"/>
  <c r="C17" i="3"/>
  <c r="C16" i="3"/>
  <c r="C15" i="3"/>
  <c r="C14" i="3"/>
  <c r="C13" i="3"/>
  <c r="C12" i="3"/>
  <c r="C11" i="3"/>
  <c r="C10" i="3"/>
  <c r="C9" i="3"/>
  <c r="C8" i="3"/>
  <c r="C16" i="59" l="1"/>
  <c r="C13" i="59"/>
  <c r="C11" i="59"/>
  <c r="C10" i="59"/>
  <c r="C15" i="51"/>
  <c r="C29" i="51"/>
  <c r="C23" i="51"/>
  <c r="C20" i="51"/>
  <c r="C18" i="51"/>
  <c r="C16" i="51"/>
  <c r="C13" i="51"/>
  <c r="C12" i="51"/>
  <c r="C11" i="51"/>
  <c r="C10" i="51"/>
  <c r="C30" i="50"/>
  <c r="C28" i="50"/>
  <c r="C25" i="50"/>
  <c r="C24" i="50"/>
  <c r="C23" i="50"/>
  <c r="C22" i="50"/>
  <c r="C21" i="50"/>
  <c r="C20" i="50"/>
  <c r="C19" i="50"/>
  <c r="C16" i="50"/>
  <c r="C15" i="50"/>
  <c r="C12" i="50"/>
  <c r="C29" i="49"/>
  <c r="C28" i="49"/>
  <c r="C23" i="49"/>
  <c r="C22" i="49"/>
  <c r="C21" i="49"/>
  <c r="C20" i="49"/>
  <c r="C19" i="49"/>
  <c r="C16" i="49"/>
  <c r="C15" i="49"/>
  <c r="C13" i="49"/>
  <c r="C12" i="49"/>
  <c r="C11" i="49"/>
  <c r="C10" i="49"/>
  <c r="C27" i="48"/>
  <c r="C26" i="48"/>
  <c r="C24" i="48"/>
  <c r="C23" i="48"/>
  <c r="C22" i="48"/>
  <c r="C21" i="48"/>
  <c r="C20" i="48"/>
  <c r="C18" i="48"/>
  <c r="C15" i="48"/>
  <c r="C13" i="48"/>
  <c r="C12" i="48"/>
  <c r="C11" i="48"/>
  <c r="C10" i="48"/>
  <c r="C63" i="46"/>
  <c r="C62" i="46"/>
  <c r="C60" i="46"/>
  <c r="C59" i="46"/>
  <c r="C58" i="46"/>
  <c r="C56" i="46"/>
  <c r="C55" i="46"/>
  <c r="C54" i="46"/>
  <c r="C52" i="46"/>
  <c r="C51" i="46"/>
  <c r="C50" i="46"/>
  <c r="C49" i="46"/>
  <c r="C47" i="46"/>
  <c r="C46" i="46"/>
  <c r="C45" i="46"/>
  <c r="C44" i="46"/>
  <c r="C43" i="46"/>
  <c r="C42" i="46"/>
  <c r="C41" i="46"/>
  <c r="C40" i="46"/>
  <c r="C37" i="46"/>
  <c r="C36" i="46"/>
  <c r="C35" i="46"/>
  <c r="C33" i="46"/>
  <c r="C32" i="46"/>
  <c r="C31" i="46"/>
  <c r="C30" i="46"/>
  <c r="C29" i="46"/>
  <c r="C28" i="46"/>
  <c r="C27" i="46"/>
  <c r="C23" i="46"/>
  <c r="C22" i="46"/>
  <c r="C21" i="46"/>
  <c r="C20" i="46"/>
  <c r="C19" i="46"/>
  <c r="C18" i="46"/>
  <c r="C17" i="46"/>
  <c r="C16" i="46"/>
  <c r="C15" i="46"/>
  <c r="C13" i="46"/>
  <c r="C12" i="46"/>
  <c r="C11" i="46"/>
  <c r="C10" i="46"/>
  <c r="C22" i="45"/>
  <c r="C24" i="45"/>
  <c r="C21" i="45"/>
  <c r="C20" i="45"/>
  <c r="C19" i="45"/>
  <c r="C18" i="45"/>
  <c r="C15" i="45"/>
  <c r="C13" i="45"/>
  <c r="C12" i="45"/>
  <c r="C11" i="45"/>
  <c r="C10" i="45"/>
  <c r="C20" i="44"/>
  <c r="C19" i="44"/>
  <c r="C18" i="44"/>
  <c r="C14" i="44"/>
  <c r="C13" i="44"/>
  <c r="C12" i="44"/>
  <c r="C11" i="44"/>
  <c r="C28" i="42"/>
  <c r="C27" i="42"/>
  <c r="C25" i="42"/>
  <c r="C24" i="42"/>
  <c r="C23" i="42"/>
  <c r="C22" i="42"/>
  <c r="C21" i="42"/>
  <c r="C20" i="42"/>
  <c r="C17" i="42"/>
  <c r="C16" i="42"/>
  <c r="C14" i="42"/>
  <c r="C13" i="42"/>
  <c r="C12" i="42"/>
  <c r="C11" i="42"/>
  <c r="C26" i="41"/>
  <c r="C19" i="41"/>
  <c r="C16" i="41"/>
  <c r="C14" i="41"/>
  <c r="C13" i="41"/>
  <c r="C12" i="41"/>
  <c r="C11" i="41"/>
  <c r="C36" i="39"/>
  <c r="C35" i="39"/>
  <c r="C34" i="39"/>
  <c r="C33" i="39"/>
  <c r="C30" i="39"/>
  <c r="C28" i="39"/>
  <c r="C25" i="39"/>
  <c r="C24" i="39"/>
  <c r="C23" i="39"/>
  <c r="C22" i="39"/>
  <c r="C21" i="39"/>
  <c r="C16" i="39"/>
  <c r="C13" i="39"/>
  <c r="C12" i="39"/>
  <c r="C11" i="39"/>
  <c r="C10" i="39"/>
  <c r="C16" i="38"/>
  <c r="C15" i="38"/>
  <c r="C13" i="38"/>
  <c r="C12" i="38"/>
  <c r="C11" i="38"/>
  <c r="C10" i="38"/>
  <c r="C17" i="37"/>
  <c r="C31" i="36"/>
  <c r="C29" i="36"/>
  <c r="C22" i="36"/>
  <c r="C20" i="36"/>
  <c r="C19" i="36"/>
  <c r="C16" i="36"/>
  <c r="C15" i="36"/>
  <c r="C13" i="36"/>
  <c r="C12" i="36"/>
  <c r="C11" i="36"/>
  <c r="C10" i="36"/>
  <c r="C59" i="35"/>
  <c r="C49" i="35"/>
  <c r="C48" i="35"/>
  <c r="C47" i="35"/>
  <c r="C41" i="35"/>
  <c r="C40" i="35"/>
  <c r="C39" i="35"/>
  <c r="C38" i="35"/>
  <c r="C60" i="34"/>
  <c r="C59" i="34"/>
  <c r="C58" i="34"/>
  <c r="C56" i="34"/>
  <c r="C54" i="34"/>
  <c r="C53" i="34"/>
  <c r="C50" i="34"/>
  <c r="C51" i="34"/>
  <c r="C45" i="34"/>
  <c r="C47" i="34"/>
  <c r="C44" i="34"/>
  <c r="C43" i="34"/>
  <c r="C41" i="34"/>
  <c r="C40" i="34"/>
  <c r="C39" i="34"/>
  <c r="C38" i="34"/>
  <c r="C36" i="32"/>
  <c r="C48" i="30"/>
  <c r="C47" i="30"/>
  <c r="C46" i="30"/>
  <c r="C44" i="30"/>
  <c r="C42" i="30"/>
  <c r="C41" i="30"/>
  <c r="C40" i="30"/>
  <c r="C39" i="30"/>
  <c r="C38" i="30"/>
  <c r="C37" i="30"/>
  <c r="C36" i="29"/>
  <c r="C37" i="29" s="1"/>
  <c r="C57" i="22"/>
  <c r="C56" i="22"/>
  <c r="C55" i="22"/>
  <c r="C54" i="22"/>
  <c r="C53" i="22"/>
  <c r="C51" i="22"/>
  <c r="C49" i="22"/>
  <c r="C48" i="22"/>
  <c r="C47" i="22"/>
  <c r="C43" i="22"/>
  <c r="C42" i="22"/>
  <c r="C40" i="22"/>
  <c r="C39" i="22"/>
  <c r="C38" i="22"/>
  <c r="C37" i="22"/>
  <c r="C53" i="28"/>
  <c r="C51" i="28"/>
  <c r="C47" i="28"/>
  <c r="C43" i="28"/>
  <c r="C41" i="28"/>
  <c r="C40" i="28"/>
  <c r="C39" i="28"/>
  <c r="C38" i="28"/>
  <c r="C37" i="27"/>
  <c r="C36" i="27"/>
  <c r="C42" i="25"/>
  <c r="C41" i="25"/>
  <c r="C40" i="25"/>
  <c r="C38" i="25"/>
  <c r="C37" i="25"/>
  <c r="C46" i="24"/>
  <c r="C43" i="24"/>
  <c r="C41" i="24"/>
  <c r="C40" i="24"/>
  <c r="C39" i="24"/>
  <c r="C38" i="24"/>
  <c r="C60" i="23"/>
  <c r="C59" i="23"/>
  <c r="C58" i="23"/>
  <c r="C57" i="23"/>
  <c r="C50" i="23"/>
  <c r="C43" i="23"/>
  <c r="C41" i="23"/>
  <c r="C40" i="23"/>
  <c r="C39" i="23"/>
  <c r="C38" i="23"/>
  <c r="C39" i="21"/>
  <c r="C38" i="21"/>
  <c r="C54" i="20"/>
  <c r="C51" i="20"/>
  <c r="C50" i="20"/>
  <c r="C47" i="20"/>
  <c r="C44" i="20"/>
  <c r="C42" i="20"/>
  <c r="C41" i="20"/>
  <c r="C40" i="20"/>
  <c r="C39" i="20"/>
  <c r="C38" i="20"/>
  <c r="C36" i="19"/>
  <c r="C32" i="18"/>
  <c r="H32" i="18" s="1"/>
  <c r="C31" i="18"/>
  <c r="G31" i="18" s="1"/>
  <c r="C62" i="17"/>
  <c r="C61" i="17"/>
  <c r="C60" i="17"/>
  <c r="C59" i="17"/>
  <c r="C57" i="17"/>
  <c r="C53" i="17"/>
  <c r="C54" i="17"/>
  <c r="C51" i="17"/>
  <c r="C50" i="17"/>
  <c r="C45" i="17"/>
  <c r="C44" i="17"/>
  <c r="C43" i="17"/>
  <c r="C42" i="17"/>
  <c r="C36" i="16"/>
  <c r="C62" i="15"/>
  <c r="C59" i="15"/>
  <c r="C58" i="15"/>
  <c r="C55" i="15"/>
  <c r="C54" i="15"/>
  <c r="C52" i="15"/>
  <c r="C51" i="15"/>
  <c r="C50" i="15"/>
  <c r="C53" i="15"/>
  <c r="C46" i="15"/>
  <c r="C45" i="15"/>
  <c r="C44" i="15"/>
  <c r="C43" i="15"/>
  <c r="C41" i="15"/>
  <c r="C35" i="14"/>
  <c r="C43" i="13"/>
  <c r="C42" i="11"/>
  <c r="C40" i="11"/>
  <c r="C38" i="11"/>
  <c r="C35" i="11"/>
  <c r="C48" i="10"/>
  <c r="C39" i="10"/>
  <c r="C69" i="9"/>
  <c r="C68" i="9"/>
  <c r="C67" i="9"/>
  <c r="C65" i="9"/>
  <c r="C62" i="9"/>
  <c r="C60" i="9"/>
  <c r="C59" i="9"/>
  <c r="C53" i="9"/>
  <c r="C52" i="9"/>
  <c r="C50" i="9"/>
  <c r="C49" i="9"/>
  <c r="C48" i="9"/>
  <c r="C47" i="9"/>
  <c r="C20" i="66"/>
  <c r="C33" i="5"/>
  <c r="C29" i="5"/>
  <c r="H29" i="5" s="1"/>
  <c r="C42" i="4"/>
  <c r="C41" i="4"/>
  <c r="C26" i="60" s="1"/>
  <c r="C40" i="4"/>
  <c r="C34" i="4"/>
  <c r="C32" i="4"/>
  <c r="C27" i="4"/>
  <c r="C26" i="4"/>
  <c r="C25" i="4"/>
  <c r="C22" i="4"/>
  <c r="C24" i="60" l="1"/>
  <c r="C29" i="60"/>
  <c r="Q29" i="5"/>
  <c r="O29" i="5"/>
  <c r="M29" i="5"/>
  <c r="K29" i="5"/>
  <c r="I29" i="5"/>
  <c r="G29" i="5"/>
  <c r="F31" i="18"/>
  <c r="Q32" i="18"/>
  <c r="O32" i="18"/>
  <c r="M32" i="18"/>
  <c r="K32" i="18"/>
  <c r="I32" i="18"/>
  <c r="G32" i="18"/>
  <c r="P31" i="18"/>
  <c r="N31" i="18"/>
  <c r="L31" i="18"/>
  <c r="J31" i="18"/>
  <c r="H31" i="18"/>
  <c r="F29" i="5"/>
  <c r="P29" i="5"/>
  <c r="N29" i="5"/>
  <c r="L29" i="5"/>
  <c r="J29" i="5"/>
  <c r="F32" i="18"/>
  <c r="P32" i="18"/>
  <c r="N32" i="18"/>
  <c r="L32" i="18"/>
  <c r="J32" i="18"/>
  <c r="Q31" i="18"/>
  <c r="O31" i="18"/>
  <c r="M31" i="18"/>
  <c r="K31" i="18"/>
  <c r="I31" i="18"/>
  <c r="D33" i="35" l="1"/>
  <c r="D32" i="35"/>
  <c r="D31" i="35"/>
  <c r="D29" i="35"/>
  <c r="D28" i="35"/>
  <c r="D27" i="35"/>
  <c r="D28" i="32"/>
  <c r="D24" i="32"/>
  <c r="D16" i="32"/>
  <c r="D13" i="32"/>
  <c r="D32" i="30"/>
  <c r="D31" i="30"/>
  <c r="D30" i="30"/>
  <c r="D28" i="30"/>
  <c r="D27" i="30"/>
  <c r="D26" i="30"/>
  <c r="D18" i="30"/>
  <c r="D16" i="30"/>
  <c r="D15" i="30"/>
  <c r="D14" i="30"/>
  <c r="D12" i="30"/>
  <c r="D10" i="30"/>
  <c r="D30" i="29"/>
  <c r="D29" i="29"/>
  <c r="D28" i="29"/>
  <c r="D26" i="29"/>
  <c r="D25" i="29"/>
  <c r="D24" i="29"/>
  <c r="D16" i="29"/>
  <c r="D14" i="29"/>
  <c r="D13" i="29"/>
  <c r="D12" i="29"/>
  <c r="D10" i="29"/>
  <c r="D8" i="29"/>
  <c r="D32" i="22"/>
  <c r="D31" i="22"/>
  <c r="D30" i="22"/>
  <c r="D28" i="22"/>
  <c r="D27" i="22"/>
  <c r="D26" i="22"/>
  <c r="D18" i="22"/>
  <c r="D16" i="22"/>
  <c r="D15" i="22"/>
  <c r="D14" i="22"/>
  <c r="D12" i="22"/>
  <c r="D11" i="22"/>
  <c r="D10" i="22"/>
  <c r="D32" i="28"/>
  <c r="D31" i="28"/>
  <c r="D30" i="28"/>
  <c r="D28" i="28"/>
  <c r="D27" i="28"/>
  <c r="D26" i="28"/>
  <c r="D29" i="27"/>
  <c r="D28" i="27"/>
  <c r="D26" i="27"/>
  <c r="D24" i="27"/>
  <c r="D33" i="26"/>
  <c r="D32" i="26"/>
  <c r="D31" i="26"/>
  <c r="D29" i="26"/>
  <c r="D28" i="26"/>
  <c r="D27" i="26"/>
  <c r="D30" i="25"/>
  <c r="D29" i="25"/>
  <c r="D28" i="25"/>
  <c r="D26" i="25"/>
  <c r="D25" i="25"/>
  <c r="D24" i="25"/>
  <c r="D16" i="25"/>
  <c r="D14" i="25"/>
  <c r="D13" i="25"/>
  <c r="D12" i="25"/>
  <c r="D10" i="25"/>
  <c r="D8" i="25"/>
  <c r="D32" i="24"/>
  <c r="D31" i="24"/>
  <c r="D30" i="24"/>
  <c r="D28" i="24"/>
  <c r="D27" i="24"/>
  <c r="D26" i="24"/>
  <c r="D18" i="24"/>
  <c r="D16" i="24"/>
  <c r="D15" i="24"/>
  <c r="D14" i="24"/>
  <c r="D12" i="24"/>
  <c r="D10" i="24"/>
  <c r="D32" i="23"/>
  <c r="D31" i="23"/>
  <c r="D30" i="23"/>
  <c r="D28" i="23"/>
  <c r="D27" i="23"/>
  <c r="D26" i="23"/>
  <c r="D18" i="23"/>
  <c r="D16" i="23"/>
  <c r="D15" i="23"/>
  <c r="D14" i="23"/>
  <c r="D12" i="23"/>
  <c r="D11" i="23"/>
  <c r="D10" i="23"/>
  <c r="D33" i="21"/>
  <c r="D32" i="21"/>
  <c r="D31" i="21"/>
  <c r="D29" i="21"/>
  <c r="D28" i="21"/>
  <c r="D27" i="21"/>
  <c r="D19" i="21"/>
  <c r="D17" i="21"/>
  <c r="D16" i="21"/>
  <c r="D15" i="21"/>
  <c r="D13" i="21"/>
  <c r="D11" i="21"/>
  <c r="D32" i="20"/>
  <c r="D31" i="20"/>
  <c r="D30" i="20"/>
  <c r="D28" i="20"/>
  <c r="D27" i="20"/>
  <c r="D26" i="20"/>
  <c r="D24" i="20"/>
  <c r="D23" i="20"/>
  <c r="D22" i="20"/>
  <c r="D20" i="20"/>
  <c r="D18" i="20"/>
  <c r="D16" i="20"/>
  <c r="D15" i="20"/>
  <c r="D14" i="20"/>
  <c r="D12" i="20"/>
  <c r="D11" i="20"/>
  <c r="D10" i="20"/>
  <c r="D30" i="19"/>
  <c r="D29" i="19"/>
  <c r="D28" i="19"/>
  <c r="D26" i="19"/>
  <c r="D24" i="19"/>
  <c r="D13" i="19"/>
  <c r="D12" i="19"/>
  <c r="D10" i="19"/>
  <c r="D8" i="19"/>
  <c r="D32" i="17"/>
  <c r="D31" i="17"/>
  <c r="D30" i="17"/>
  <c r="D28" i="17"/>
  <c r="D27" i="17"/>
  <c r="D26" i="17"/>
  <c r="D18" i="17"/>
  <c r="D16" i="17"/>
  <c r="D15" i="17"/>
  <c r="D14" i="17"/>
  <c r="D12" i="17"/>
  <c r="D11" i="17"/>
  <c r="D10" i="17"/>
  <c r="D30" i="16"/>
  <c r="D29" i="16"/>
  <c r="D28" i="16"/>
  <c r="D26" i="16"/>
  <c r="D25" i="16"/>
  <c r="D24" i="16"/>
  <c r="D16" i="16"/>
  <c r="D14" i="16"/>
  <c r="D13" i="16"/>
  <c r="D12" i="16"/>
  <c r="D10" i="16"/>
  <c r="D9" i="16"/>
  <c r="D8" i="16"/>
  <c r="D33" i="15"/>
  <c r="D32" i="15"/>
  <c r="D31" i="15"/>
  <c r="D29" i="15"/>
  <c r="D28" i="15"/>
  <c r="D27" i="15"/>
  <c r="D19" i="15"/>
  <c r="D17" i="15"/>
  <c r="D16" i="15"/>
  <c r="D15" i="15"/>
  <c r="D13" i="15"/>
  <c r="D12" i="15"/>
  <c r="D11" i="15"/>
  <c r="D30" i="13"/>
  <c r="D29" i="13"/>
  <c r="D28" i="13"/>
  <c r="D26" i="13"/>
  <c r="D25" i="13"/>
  <c r="D24" i="13"/>
  <c r="D13" i="13"/>
  <c r="D10" i="13"/>
  <c r="D8" i="13"/>
  <c r="D29" i="12"/>
  <c r="D28" i="12"/>
  <c r="D26" i="12"/>
  <c r="D24" i="12"/>
  <c r="D12" i="12"/>
  <c r="D8" i="12"/>
  <c r="D29" i="11"/>
  <c r="D28" i="11"/>
  <c r="D27" i="11"/>
  <c r="D25" i="11"/>
  <c r="D24" i="11"/>
  <c r="D23" i="11"/>
  <c r="D13" i="11"/>
  <c r="D12" i="11"/>
  <c r="D11" i="11"/>
  <c r="D9" i="11"/>
  <c r="D8" i="11"/>
  <c r="D7" i="11"/>
  <c r="D30" i="10"/>
  <c r="D31" i="10"/>
  <c r="D29" i="10"/>
  <c r="D27" i="10"/>
  <c r="D26" i="10"/>
  <c r="D25" i="10"/>
  <c r="D15" i="10"/>
  <c r="D14" i="10"/>
  <c r="D13" i="10"/>
  <c r="D11" i="10"/>
  <c r="D10" i="10"/>
  <c r="D9" i="10"/>
  <c r="D42" i="9"/>
  <c r="D41" i="9"/>
  <c r="D40" i="9"/>
  <c r="D38" i="9"/>
  <c r="D37" i="9"/>
  <c r="D36" i="9"/>
  <c r="D26" i="9"/>
  <c r="D25" i="9"/>
  <c r="D24" i="9"/>
  <c r="D22" i="9" l="1"/>
  <c r="D20" i="9" l="1"/>
  <c r="D14" i="8" l="1"/>
  <c r="D11" i="8"/>
  <c r="D10" i="8"/>
  <c r="D9" i="8"/>
  <c r="D8" i="5"/>
  <c r="D14" i="4"/>
  <c r="D13" i="4"/>
  <c r="D12" i="4"/>
  <c r="D10" i="4"/>
  <c r="D9" i="4"/>
  <c r="D8" i="4"/>
  <c r="I94" i="61" l="1"/>
  <c r="M483" i="67" l="1"/>
  <c r="N482" i="67"/>
  <c r="M482" i="67"/>
  <c r="N481" i="67"/>
  <c r="M481" i="67"/>
  <c r="N480" i="67"/>
  <c r="N478" i="67"/>
  <c r="M478" i="67"/>
  <c r="N476" i="67"/>
  <c r="M476" i="67"/>
  <c r="N464" i="67"/>
  <c r="M464" i="67"/>
  <c r="N460" i="67"/>
  <c r="M460" i="67"/>
  <c r="N456" i="67"/>
  <c r="M456" i="67"/>
  <c r="N450" i="67"/>
  <c r="M450" i="67"/>
  <c r="N441" i="67"/>
  <c r="N442" i="67" s="1"/>
  <c r="M441" i="67"/>
  <c r="M442" i="67" s="1"/>
  <c r="N437" i="67"/>
  <c r="N438" i="67" s="1"/>
  <c r="M437" i="67"/>
  <c r="M438" i="67" s="1"/>
  <c r="N433" i="67"/>
  <c r="N434" i="67" s="1"/>
  <c r="M433" i="67"/>
  <c r="M434" i="67" s="1"/>
  <c r="N428" i="67"/>
  <c r="M428" i="67"/>
  <c r="N420" i="67"/>
  <c r="M420" i="67"/>
  <c r="N416" i="67"/>
  <c r="M416" i="67"/>
  <c r="N412" i="67"/>
  <c r="M412" i="67"/>
  <c r="N410" i="67"/>
  <c r="M410" i="67"/>
  <c r="N406" i="67"/>
  <c r="M406" i="67"/>
  <c r="N401" i="67"/>
  <c r="N402" i="67" s="1"/>
  <c r="M401" i="67"/>
  <c r="M402" i="67" s="1"/>
  <c r="N397" i="67"/>
  <c r="N398" i="67" s="1"/>
  <c r="M397" i="67"/>
  <c r="M398" i="67" s="1"/>
  <c r="N393" i="67"/>
  <c r="N394" i="67" s="1"/>
  <c r="M393" i="67"/>
  <c r="M394" i="67" s="1"/>
  <c r="N385" i="67"/>
  <c r="M385" i="67"/>
  <c r="N369" i="67"/>
  <c r="M369" i="67"/>
  <c r="N365" i="67"/>
  <c r="M365" i="67"/>
  <c r="N361" i="67"/>
  <c r="M361" i="67"/>
  <c r="N353" i="67"/>
  <c r="M353" i="67"/>
  <c r="N347" i="67"/>
  <c r="N349" i="67" s="1"/>
  <c r="M347" i="67"/>
  <c r="M349" i="67" s="1"/>
  <c r="N343" i="67"/>
  <c r="M343" i="67"/>
  <c r="N341" i="67"/>
  <c r="M341" i="67"/>
  <c r="N330" i="67"/>
  <c r="M330" i="67"/>
  <c r="N325" i="67"/>
  <c r="M325" i="67"/>
  <c r="N321" i="67"/>
  <c r="M321" i="67"/>
  <c r="N314" i="67"/>
  <c r="M314" i="67"/>
  <c r="N298" i="67"/>
  <c r="N297" i="67"/>
  <c r="N296" i="67"/>
  <c r="N295" i="67"/>
  <c r="N294" i="67"/>
  <c r="N293" i="67"/>
  <c r="N292" i="67"/>
  <c r="N299" i="67" s="1"/>
  <c r="N281" i="67"/>
  <c r="N280" i="67"/>
  <c r="M280" i="67"/>
  <c r="N279" i="67"/>
  <c r="M279" i="67"/>
  <c r="N278" i="67"/>
  <c r="N284" i="67" s="1"/>
  <c r="M278" i="67"/>
  <c r="M284" i="67" s="1"/>
  <c r="N274" i="67"/>
  <c r="N275" i="67" s="1"/>
  <c r="M274" i="67"/>
  <c r="M275" i="67" s="1"/>
  <c r="N270" i="67"/>
  <c r="M270" i="67"/>
  <c r="N261" i="67"/>
  <c r="N262" i="67" s="1"/>
  <c r="M261" i="67"/>
  <c r="M262" i="67" s="1"/>
  <c r="N259" i="67"/>
  <c r="M259" i="67"/>
  <c r="N256" i="67"/>
  <c r="M255" i="67"/>
  <c r="M256" i="67" s="1"/>
  <c r="N248" i="67"/>
  <c r="M248" i="67"/>
  <c r="N238" i="67"/>
  <c r="M238" i="67"/>
  <c r="N228" i="67"/>
  <c r="M228" i="67"/>
  <c r="N208" i="67"/>
  <c r="M208" i="67"/>
  <c r="N179" i="67"/>
  <c r="N180" i="67" s="1"/>
  <c r="N182" i="67" s="1"/>
  <c r="M179" i="67"/>
  <c r="M180" i="67" s="1"/>
  <c r="M182" i="67" s="1"/>
  <c r="N168" i="67"/>
  <c r="N170" i="67" s="1"/>
  <c r="M168" i="67"/>
  <c r="M170" i="67" s="1"/>
  <c r="N156" i="67"/>
  <c r="N158" i="67" s="1"/>
  <c r="M155" i="67"/>
  <c r="M156" i="67" s="1"/>
  <c r="M158" i="67" s="1"/>
  <c r="M144" i="67"/>
  <c r="M146" i="67" s="1"/>
  <c r="N137" i="67"/>
  <c r="N144" i="67" s="1"/>
  <c r="N146" i="67" s="1"/>
  <c r="N117" i="67"/>
  <c r="N118" i="67" s="1"/>
  <c r="N120" i="67" s="1"/>
  <c r="M117" i="67"/>
  <c r="M118" i="67" s="1"/>
  <c r="M120" i="67" s="1"/>
  <c r="N97" i="67"/>
  <c r="N98" i="67" s="1"/>
  <c r="M97" i="67"/>
  <c r="M98" i="67" s="1"/>
  <c r="N86" i="67"/>
  <c r="N88" i="67" s="1"/>
  <c r="M86" i="67"/>
  <c r="M88" i="67" s="1"/>
  <c r="F484" i="67"/>
  <c r="E484" i="67"/>
  <c r="C484" i="67"/>
  <c r="K483" i="67"/>
  <c r="G483" i="67"/>
  <c r="E483" i="67"/>
  <c r="K482" i="67"/>
  <c r="J482" i="67"/>
  <c r="I482" i="67"/>
  <c r="H482" i="67"/>
  <c r="G482" i="67"/>
  <c r="F482" i="67"/>
  <c r="E482" i="67"/>
  <c r="D482" i="67"/>
  <c r="C482" i="67"/>
  <c r="K481" i="67"/>
  <c r="J481" i="67"/>
  <c r="I481" i="67"/>
  <c r="H481" i="67"/>
  <c r="G481" i="67"/>
  <c r="F481" i="67"/>
  <c r="E481" i="67"/>
  <c r="D481" i="67"/>
  <c r="C481" i="67"/>
  <c r="K480" i="67"/>
  <c r="J480" i="67"/>
  <c r="H480" i="67"/>
  <c r="F480" i="67"/>
  <c r="E480" i="67"/>
  <c r="J478" i="67"/>
  <c r="H478" i="67"/>
  <c r="F478" i="67"/>
  <c r="C477" i="67"/>
  <c r="K476" i="67"/>
  <c r="I476" i="67"/>
  <c r="F476" i="67"/>
  <c r="E476" i="67"/>
  <c r="D476" i="67"/>
  <c r="C476" i="67"/>
  <c r="K464" i="67"/>
  <c r="J464" i="67"/>
  <c r="I464" i="67"/>
  <c r="H464" i="67"/>
  <c r="G464" i="67"/>
  <c r="F464" i="67"/>
  <c r="E464" i="67"/>
  <c r="D464" i="67"/>
  <c r="C464" i="67"/>
  <c r="K460" i="67"/>
  <c r="J460" i="67"/>
  <c r="I460" i="67"/>
  <c r="H460" i="67"/>
  <c r="G460" i="67"/>
  <c r="F460" i="67"/>
  <c r="E460" i="67"/>
  <c r="D460" i="67"/>
  <c r="C460" i="67"/>
  <c r="K456" i="67"/>
  <c r="J456" i="67"/>
  <c r="I456" i="67"/>
  <c r="H456" i="67"/>
  <c r="G456" i="67"/>
  <c r="F456" i="67"/>
  <c r="E456" i="67"/>
  <c r="C456" i="67"/>
  <c r="D455" i="67"/>
  <c r="D456" i="67" s="1"/>
  <c r="K450" i="67"/>
  <c r="J450" i="67"/>
  <c r="I450" i="67"/>
  <c r="H450" i="67"/>
  <c r="G450" i="67"/>
  <c r="F450" i="67"/>
  <c r="E450" i="67"/>
  <c r="D450" i="67"/>
  <c r="C450" i="67"/>
  <c r="K446" i="67"/>
  <c r="J446" i="67"/>
  <c r="I446" i="67"/>
  <c r="G446" i="67"/>
  <c r="F446" i="67"/>
  <c r="E446" i="67"/>
  <c r="D446" i="67"/>
  <c r="C446" i="67"/>
  <c r="H445" i="67"/>
  <c r="H446" i="67" s="1"/>
  <c r="K441" i="67"/>
  <c r="K442" i="67" s="1"/>
  <c r="J441" i="67"/>
  <c r="J442" i="67" s="1"/>
  <c r="I441" i="67"/>
  <c r="I442" i="67" s="1"/>
  <c r="H441" i="67"/>
  <c r="H442" i="67" s="1"/>
  <c r="G441" i="67"/>
  <c r="G442" i="67" s="1"/>
  <c r="F441" i="67"/>
  <c r="F442" i="67" s="1"/>
  <c r="E441" i="67"/>
  <c r="E442" i="67" s="1"/>
  <c r="D441" i="67"/>
  <c r="D442" i="67" s="1"/>
  <c r="C441" i="67"/>
  <c r="C442" i="67" s="1"/>
  <c r="K437" i="67"/>
  <c r="K438" i="67" s="1"/>
  <c r="J437" i="67"/>
  <c r="J438" i="67" s="1"/>
  <c r="I437" i="67"/>
  <c r="I438" i="67" s="1"/>
  <c r="H437" i="67"/>
  <c r="H438" i="67" s="1"/>
  <c r="G437" i="67"/>
  <c r="G438" i="67" s="1"/>
  <c r="F437" i="67"/>
  <c r="F438" i="67" s="1"/>
  <c r="E437" i="67"/>
  <c r="E438" i="67" s="1"/>
  <c r="D437" i="67"/>
  <c r="D438" i="67" s="1"/>
  <c r="C437" i="67"/>
  <c r="C438" i="67" s="1"/>
  <c r="K433" i="67"/>
  <c r="K434" i="67" s="1"/>
  <c r="J433" i="67"/>
  <c r="J434" i="67" s="1"/>
  <c r="I433" i="67"/>
  <c r="I434" i="67" s="1"/>
  <c r="H433" i="67"/>
  <c r="H434" i="67" s="1"/>
  <c r="G433" i="67"/>
  <c r="G434" i="67" s="1"/>
  <c r="F433" i="67"/>
  <c r="F434" i="67" s="1"/>
  <c r="E433" i="67"/>
  <c r="E434" i="67" s="1"/>
  <c r="D433" i="67"/>
  <c r="D434" i="67" s="1"/>
  <c r="C433" i="67"/>
  <c r="C434" i="67" s="1"/>
  <c r="K428" i="67"/>
  <c r="J428" i="67"/>
  <c r="I428" i="67"/>
  <c r="H428" i="67"/>
  <c r="G428" i="67"/>
  <c r="F428" i="67"/>
  <c r="E428" i="67"/>
  <c r="D428" i="67"/>
  <c r="C428" i="67"/>
  <c r="K420" i="67"/>
  <c r="J420" i="67"/>
  <c r="I420" i="67"/>
  <c r="H420" i="67"/>
  <c r="G420" i="67"/>
  <c r="F420" i="67"/>
  <c r="E420" i="67"/>
  <c r="D420" i="67"/>
  <c r="C420" i="67"/>
  <c r="K416" i="67"/>
  <c r="J416" i="67"/>
  <c r="I416" i="67"/>
  <c r="H416" i="67"/>
  <c r="G416" i="67"/>
  <c r="F416" i="67"/>
  <c r="E416" i="67"/>
  <c r="D416" i="67"/>
  <c r="C416" i="67"/>
  <c r="J412" i="67"/>
  <c r="I412" i="67"/>
  <c r="H412" i="67"/>
  <c r="G412" i="67"/>
  <c r="F412" i="67"/>
  <c r="E412" i="67"/>
  <c r="D412" i="67"/>
  <c r="K410" i="67"/>
  <c r="J410" i="67"/>
  <c r="I410" i="67"/>
  <c r="H410" i="67"/>
  <c r="G410" i="67"/>
  <c r="F410" i="67"/>
  <c r="E410" i="67"/>
  <c r="D410" i="67"/>
  <c r="C410" i="67"/>
  <c r="K406" i="67"/>
  <c r="J406" i="67"/>
  <c r="I406" i="67"/>
  <c r="H406" i="67"/>
  <c r="G406" i="67"/>
  <c r="F406" i="67"/>
  <c r="E406" i="67"/>
  <c r="D406" i="67"/>
  <c r="C406" i="67"/>
  <c r="K401" i="67"/>
  <c r="J401" i="67"/>
  <c r="I401" i="67"/>
  <c r="H401" i="67"/>
  <c r="G401" i="67"/>
  <c r="F401" i="67"/>
  <c r="E401" i="67"/>
  <c r="D401" i="67"/>
  <c r="D402" i="67" s="1"/>
  <c r="C401" i="67"/>
  <c r="K400" i="67"/>
  <c r="J400" i="67"/>
  <c r="J402" i="67" s="1"/>
  <c r="I400" i="67"/>
  <c r="H400" i="67"/>
  <c r="H402" i="67" s="1"/>
  <c r="G400" i="67"/>
  <c r="F400" i="67"/>
  <c r="F402" i="67" s="1"/>
  <c r="E400" i="67"/>
  <c r="C400" i="67"/>
  <c r="C402" i="67" s="1"/>
  <c r="K397" i="67"/>
  <c r="K398" i="67" s="1"/>
  <c r="J397" i="67"/>
  <c r="J398" i="67" s="1"/>
  <c r="I397" i="67"/>
  <c r="I398" i="67" s="1"/>
  <c r="H397" i="67"/>
  <c r="H398" i="67" s="1"/>
  <c r="G397" i="67"/>
  <c r="G398" i="67" s="1"/>
  <c r="F397" i="67"/>
  <c r="F398" i="67" s="1"/>
  <c r="E397" i="67"/>
  <c r="E398" i="67" s="1"/>
  <c r="D397" i="67"/>
  <c r="D398" i="67" s="1"/>
  <c r="C397" i="67"/>
  <c r="C398" i="67" s="1"/>
  <c r="K393" i="67"/>
  <c r="K394" i="67" s="1"/>
  <c r="J393" i="67"/>
  <c r="J394" i="67" s="1"/>
  <c r="I393" i="67"/>
  <c r="I394" i="67" s="1"/>
  <c r="H393" i="67"/>
  <c r="H394" i="67" s="1"/>
  <c r="G393" i="67"/>
  <c r="G394" i="67" s="1"/>
  <c r="F393" i="67"/>
  <c r="F394" i="67" s="1"/>
  <c r="E393" i="67"/>
  <c r="E394" i="67" s="1"/>
  <c r="D393" i="67"/>
  <c r="D394" i="67" s="1"/>
  <c r="C393" i="67"/>
  <c r="C394" i="67" s="1"/>
  <c r="K385" i="67"/>
  <c r="J385" i="67"/>
  <c r="I385" i="67"/>
  <c r="H385" i="67"/>
  <c r="G385" i="67"/>
  <c r="F385" i="67"/>
  <c r="E385" i="67"/>
  <c r="D385" i="67"/>
  <c r="C385" i="67"/>
  <c r="K369" i="67"/>
  <c r="J369" i="67"/>
  <c r="I369" i="67"/>
  <c r="H369" i="67"/>
  <c r="G369" i="67"/>
  <c r="F369" i="67"/>
  <c r="E369" i="67"/>
  <c r="D369" i="67"/>
  <c r="C369" i="67"/>
  <c r="K365" i="67"/>
  <c r="J365" i="67"/>
  <c r="I365" i="67"/>
  <c r="H365" i="67"/>
  <c r="G365" i="67"/>
  <c r="F365" i="67"/>
  <c r="E365" i="67"/>
  <c r="D365" i="67"/>
  <c r="C365" i="67"/>
  <c r="K361" i="67"/>
  <c r="J361" i="67"/>
  <c r="I361" i="67"/>
  <c r="H361" i="67"/>
  <c r="G361" i="67"/>
  <c r="F361" i="67"/>
  <c r="E361" i="67"/>
  <c r="D361" i="67"/>
  <c r="C361" i="67"/>
  <c r="K357" i="67"/>
  <c r="J357" i="67"/>
  <c r="I357" i="67"/>
  <c r="H357" i="67"/>
  <c r="G357" i="67"/>
  <c r="F357" i="67"/>
  <c r="E357" i="67"/>
  <c r="D357" i="67"/>
  <c r="C357" i="67"/>
  <c r="K353" i="67"/>
  <c r="J353" i="67"/>
  <c r="I353" i="67"/>
  <c r="H353" i="67"/>
  <c r="G353" i="67"/>
  <c r="F353" i="67"/>
  <c r="E353" i="67"/>
  <c r="C353" i="67"/>
  <c r="D351" i="67"/>
  <c r="D353" i="67" s="1"/>
  <c r="K347" i="67"/>
  <c r="K349" i="67" s="1"/>
  <c r="J347" i="67"/>
  <c r="J349" i="67" s="1"/>
  <c r="I347" i="67"/>
  <c r="I349" i="67" s="1"/>
  <c r="H347" i="67"/>
  <c r="H349" i="67" s="1"/>
  <c r="G347" i="67"/>
  <c r="G349" i="67" s="1"/>
  <c r="F347" i="67"/>
  <c r="F349" i="67" s="1"/>
  <c r="E347" i="67"/>
  <c r="E349" i="67" s="1"/>
  <c r="D347" i="67"/>
  <c r="D349" i="67" s="1"/>
  <c r="C347" i="67"/>
  <c r="C349" i="67" s="1"/>
  <c r="K343" i="67"/>
  <c r="J343" i="67"/>
  <c r="I343" i="67"/>
  <c r="H343" i="67"/>
  <c r="G343" i="67"/>
  <c r="F343" i="67"/>
  <c r="E343" i="67"/>
  <c r="D343" i="67"/>
  <c r="C343" i="67"/>
  <c r="K341" i="67"/>
  <c r="J341" i="67"/>
  <c r="I341" i="67"/>
  <c r="H341" i="67"/>
  <c r="G341" i="67"/>
  <c r="F341" i="67"/>
  <c r="E341" i="67"/>
  <c r="D341" i="67"/>
  <c r="C341" i="67"/>
  <c r="K330" i="67"/>
  <c r="J330" i="67"/>
  <c r="I330" i="67"/>
  <c r="H330" i="67"/>
  <c r="G330" i="67"/>
  <c r="F330" i="67"/>
  <c r="E330" i="67"/>
  <c r="D330" i="67"/>
  <c r="C330" i="67"/>
  <c r="H329" i="67"/>
  <c r="K325" i="67"/>
  <c r="J325" i="67"/>
  <c r="I325" i="67"/>
  <c r="G325" i="67"/>
  <c r="F325" i="67"/>
  <c r="E325" i="67"/>
  <c r="D325" i="67"/>
  <c r="C325" i="67"/>
  <c r="J321" i="67"/>
  <c r="I321" i="67"/>
  <c r="G321" i="67"/>
  <c r="F321" i="67"/>
  <c r="D321" i="67"/>
  <c r="C321" i="67"/>
  <c r="K318" i="67"/>
  <c r="K321" i="67" s="1"/>
  <c r="H318" i="67"/>
  <c r="H321" i="67" s="1"/>
  <c r="E318" i="67"/>
  <c r="E321" i="67" s="1"/>
  <c r="K314" i="67"/>
  <c r="J314" i="67"/>
  <c r="I314" i="67"/>
  <c r="H314" i="67"/>
  <c r="G314" i="67"/>
  <c r="F314" i="67"/>
  <c r="E314" i="67"/>
  <c r="D314" i="67"/>
  <c r="C314" i="67"/>
  <c r="K298" i="67"/>
  <c r="J298" i="67"/>
  <c r="I298" i="67"/>
  <c r="H298" i="67"/>
  <c r="G298" i="67"/>
  <c r="F298" i="67"/>
  <c r="E298" i="67"/>
  <c r="D298" i="67"/>
  <c r="C298" i="67"/>
  <c r="K297" i="67"/>
  <c r="J297" i="67"/>
  <c r="I297" i="67"/>
  <c r="H297" i="67"/>
  <c r="G297" i="67"/>
  <c r="F297" i="67"/>
  <c r="E297" i="67"/>
  <c r="D297" i="67"/>
  <c r="C297" i="67"/>
  <c r="K296" i="67"/>
  <c r="J296" i="67"/>
  <c r="I296" i="67"/>
  <c r="H296" i="67"/>
  <c r="G296" i="67"/>
  <c r="F296" i="67"/>
  <c r="E296" i="67"/>
  <c r="D296" i="67"/>
  <c r="C296" i="67"/>
  <c r="K295" i="67"/>
  <c r="J295" i="67"/>
  <c r="I295" i="67"/>
  <c r="H295" i="67"/>
  <c r="G295" i="67"/>
  <c r="F295" i="67"/>
  <c r="E295" i="67"/>
  <c r="D295" i="67"/>
  <c r="C295" i="67"/>
  <c r="K294" i="67"/>
  <c r="J294" i="67"/>
  <c r="I294" i="67"/>
  <c r="H294" i="67"/>
  <c r="G294" i="67"/>
  <c r="F294" i="67"/>
  <c r="E294" i="67"/>
  <c r="D294" i="67"/>
  <c r="C294" i="67"/>
  <c r="K293" i="67"/>
  <c r="J293" i="67"/>
  <c r="I293" i="67"/>
  <c r="H293" i="67"/>
  <c r="G293" i="67"/>
  <c r="F293" i="67"/>
  <c r="E293" i="67"/>
  <c r="D293" i="67"/>
  <c r="C293" i="67"/>
  <c r="K292" i="67"/>
  <c r="J292" i="67"/>
  <c r="I292" i="67"/>
  <c r="H292" i="67"/>
  <c r="G292" i="67"/>
  <c r="F292" i="67"/>
  <c r="E292" i="67"/>
  <c r="D292" i="67"/>
  <c r="C292" i="67"/>
  <c r="K280" i="67"/>
  <c r="J280" i="67"/>
  <c r="I280" i="67"/>
  <c r="H280" i="67"/>
  <c r="G280" i="67"/>
  <c r="F280" i="67"/>
  <c r="E280" i="67"/>
  <c r="D280" i="67"/>
  <c r="C280" i="67"/>
  <c r="K279" i="67"/>
  <c r="J279" i="67"/>
  <c r="I279" i="67"/>
  <c r="E279" i="67"/>
  <c r="D279" i="67"/>
  <c r="C279" i="67"/>
  <c r="K278" i="67"/>
  <c r="K284" i="67" s="1"/>
  <c r="J278" i="67"/>
  <c r="I278" i="67"/>
  <c r="I284" i="67" s="1"/>
  <c r="H278" i="67"/>
  <c r="G278" i="67"/>
  <c r="G284" i="67" s="1"/>
  <c r="F278" i="67"/>
  <c r="E278" i="67"/>
  <c r="E284" i="67" s="1"/>
  <c r="D278" i="67"/>
  <c r="C278" i="67"/>
  <c r="C284" i="67" s="1"/>
  <c r="K275" i="67"/>
  <c r="J275" i="67"/>
  <c r="I275" i="67"/>
  <c r="H275" i="67"/>
  <c r="G275" i="67"/>
  <c r="F275" i="67"/>
  <c r="E275" i="67"/>
  <c r="D275" i="67"/>
  <c r="C275" i="67"/>
  <c r="K270" i="67"/>
  <c r="J270" i="67"/>
  <c r="I270" i="67"/>
  <c r="H270" i="67"/>
  <c r="G270" i="67"/>
  <c r="F270" i="67"/>
  <c r="E270" i="67"/>
  <c r="D270" i="67"/>
  <c r="C270" i="67"/>
  <c r="I262" i="67"/>
  <c r="F262" i="67"/>
  <c r="E262" i="67"/>
  <c r="D262" i="67"/>
  <c r="C262" i="67"/>
  <c r="K261" i="67"/>
  <c r="K262" i="67" s="1"/>
  <c r="J261" i="67"/>
  <c r="J262" i="67" s="1"/>
  <c r="H261" i="67"/>
  <c r="H262" i="67" s="1"/>
  <c r="G261" i="67"/>
  <c r="G262" i="67" s="1"/>
  <c r="K259" i="67"/>
  <c r="J259" i="67"/>
  <c r="H259" i="67"/>
  <c r="F259" i="67"/>
  <c r="E259" i="67"/>
  <c r="D259" i="67"/>
  <c r="C259" i="67"/>
  <c r="I258" i="67"/>
  <c r="I259" i="67" s="1"/>
  <c r="G258" i="67"/>
  <c r="G259" i="67" s="1"/>
  <c r="K256" i="67"/>
  <c r="J256" i="67"/>
  <c r="H256" i="67"/>
  <c r="F256" i="67"/>
  <c r="E256" i="67"/>
  <c r="D256" i="67"/>
  <c r="C256" i="67"/>
  <c r="I253" i="67"/>
  <c r="I252" i="67"/>
  <c r="G251" i="67"/>
  <c r="G256" i="67" s="1"/>
  <c r="K248" i="67"/>
  <c r="J248" i="67"/>
  <c r="I248" i="67"/>
  <c r="H248" i="67"/>
  <c r="G248" i="67"/>
  <c r="F248" i="67"/>
  <c r="E248" i="67"/>
  <c r="D248" i="67"/>
  <c r="C248" i="67"/>
  <c r="K238" i="67"/>
  <c r="J238" i="67"/>
  <c r="I238" i="67"/>
  <c r="H238" i="67"/>
  <c r="G238" i="67"/>
  <c r="F238" i="67"/>
  <c r="E238" i="67"/>
  <c r="D238" i="67"/>
  <c r="C238" i="67"/>
  <c r="J228" i="67"/>
  <c r="G228" i="67"/>
  <c r="F228" i="67"/>
  <c r="E228" i="67"/>
  <c r="D228" i="67"/>
  <c r="C228" i="67"/>
  <c r="K221" i="67"/>
  <c r="K228" i="67" s="1"/>
  <c r="I221" i="67"/>
  <c r="I228" i="67" s="1"/>
  <c r="H221" i="67"/>
  <c r="H228" i="67" s="1"/>
  <c r="K208" i="67"/>
  <c r="J208" i="67"/>
  <c r="I208" i="67"/>
  <c r="H208" i="67"/>
  <c r="G208" i="67"/>
  <c r="F208" i="67"/>
  <c r="E208" i="67"/>
  <c r="D208" i="67"/>
  <c r="C208" i="67"/>
  <c r="K180" i="67"/>
  <c r="K182" i="67" s="1"/>
  <c r="J180" i="67"/>
  <c r="J182" i="67" s="1"/>
  <c r="E180" i="67"/>
  <c r="E182" i="67" s="1"/>
  <c r="D180" i="67"/>
  <c r="D182" i="67" s="1"/>
  <c r="C180" i="67"/>
  <c r="C182" i="67" s="1"/>
  <c r="I179" i="67"/>
  <c r="H179" i="67"/>
  <c r="H180" i="67" s="1"/>
  <c r="H182" i="67" s="1"/>
  <c r="G179" i="67"/>
  <c r="F179" i="67"/>
  <c r="F180" i="67" s="1"/>
  <c r="F182" i="67" s="1"/>
  <c r="I176" i="67"/>
  <c r="I175" i="67"/>
  <c r="G173" i="67"/>
  <c r="G180" i="67" s="1"/>
  <c r="G182" i="67" s="1"/>
  <c r="K168" i="67"/>
  <c r="K170" i="67" s="1"/>
  <c r="J168" i="67"/>
  <c r="J170" i="67" s="1"/>
  <c r="I168" i="67"/>
  <c r="I170" i="67" s="1"/>
  <c r="H168" i="67"/>
  <c r="H170" i="67" s="1"/>
  <c r="G168" i="67"/>
  <c r="G170" i="67" s="1"/>
  <c r="F168" i="67"/>
  <c r="F170" i="67" s="1"/>
  <c r="E168" i="67"/>
  <c r="E170" i="67" s="1"/>
  <c r="D168" i="67"/>
  <c r="D170" i="67" s="1"/>
  <c r="C168" i="67"/>
  <c r="C170" i="67" s="1"/>
  <c r="K156" i="67"/>
  <c r="K158" i="67" s="1"/>
  <c r="J156" i="67"/>
  <c r="J158" i="67" s="1"/>
  <c r="E156" i="67"/>
  <c r="E158" i="67" s="1"/>
  <c r="D156" i="67"/>
  <c r="D158" i="67" s="1"/>
  <c r="C156" i="67"/>
  <c r="C158" i="67" s="1"/>
  <c r="I155" i="67"/>
  <c r="H155" i="67"/>
  <c r="H156" i="67" s="1"/>
  <c r="H158" i="67" s="1"/>
  <c r="G155" i="67"/>
  <c r="F155" i="67"/>
  <c r="F156" i="67" s="1"/>
  <c r="F158" i="67" s="1"/>
  <c r="I152" i="67"/>
  <c r="I151" i="67"/>
  <c r="G149" i="67"/>
  <c r="G156" i="67" s="1"/>
  <c r="G158" i="67" s="1"/>
  <c r="K145" i="67"/>
  <c r="I145" i="67"/>
  <c r="H145" i="67"/>
  <c r="F145" i="67"/>
  <c r="E145" i="67"/>
  <c r="E144" i="67"/>
  <c r="D144" i="67"/>
  <c r="D146" i="67" s="1"/>
  <c r="H143" i="67"/>
  <c r="F143" i="67"/>
  <c r="F144" i="67" s="1"/>
  <c r="F146" i="67" s="1"/>
  <c r="I140" i="67"/>
  <c r="C140" i="67"/>
  <c r="C144" i="67" s="1"/>
  <c r="C146" i="67" s="1"/>
  <c r="I139" i="67"/>
  <c r="I144" i="67" s="1"/>
  <c r="I146" i="67" s="1"/>
  <c r="K137" i="67"/>
  <c r="K144" i="67" s="1"/>
  <c r="K146" i="67" s="1"/>
  <c r="J137" i="67"/>
  <c r="J144" i="67" s="1"/>
  <c r="J146" i="67" s="1"/>
  <c r="H137" i="67"/>
  <c r="G137" i="67"/>
  <c r="G144" i="67" s="1"/>
  <c r="G146" i="67" s="1"/>
  <c r="J118" i="67"/>
  <c r="J120" i="67" s="1"/>
  <c r="E118" i="67"/>
  <c r="E120" i="67" s="1"/>
  <c r="D118" i="67"/>
  <c r="D120" i="67" s="1"/>
  <c r="C118" i="67"/>
  <c r="C120" i="67" s="1"/>
  <c r="K117" i="67"/>
  <c r="K118" i="67" s="1"/>
  <c r="K120" i="67" s="1"/>
  <c r="I117" i="67"/>
  <c r="H117" i="67"/>
  <c r="H118" i="67" s="1"/>
  <c r="H120" i="67" s="1"/>
  <c r="G117" i="67"/>
  <c r="F117" i="67"/>
  <c r="F118" i="67" s="1"/>
  <c r="F120" i="67" s="1"/>
  <c r="I114" i="67"/>
  <c r="I113" i="67"/>
  <c r="I118" i="67" s="1"/>
  <c r="I120" i="67" s="1"/>
  <c r="G111" i="67"/>
  <c r="G118" i="67" s="1"/>
  <c r="G120" i="67" s="1"/>
  <c r="K108" i="67"/>
  <c r="J108" i="67"/>
  <c r="I108" i="67"/>
  <c r="H108" i="67"/>
  <c r="G108" i="67"/>
  <c r="F108" i="67"/>
  <c r="E108" i="67"/>
  <c r="D108" i="67"/>
  <c r="C108" i="67"/>
  <c r="J98" i="67"/>
  <c r="E98" i="67"/>
  <c r="D98" i="67"/>
  <c r="C98" i="67"/>
  <c r="K97" i="67"/>
  <c r="K98" i="67" s="1"/>
  <c r="I97" i="67"/>
  <c r="H97" i="67"/>
  <c r="H98" i="67" s="1"/>
  <c r="G97" i="67"/>
  <c r="F97" i="67"/>
  <c r="F98" i="67" s="1"/>
  <c r="I94" i="67"/>
  <c r="I93" i="67"/>
  <c r="G91" i="67"/>
  <c r="G98" i="67" s="1"/>
  <c r="K86" i="67"/>
  <c r="K88" i="67" s="1"/>
  <c r="J86" i="67"/>
  <c r="J88" i="67" s="1"/>
  <c r="H86" i="67"/>
  <c r="H88" i="67" s="1"/>
  <c r="F86" i="67"/>
  <c r="F88" i="67" s="1"/>
  <c r="E86" i="67"/>
  <c r="E88" i="67" s="1"/>
  <c r="D86" i="67"/>
  <c r="D88" i="67" s="1"/>
  <c r="C86" i="67"/>
  <c r="C88" i="67" s="1"/>
  <c r="I84" i="67"/>
  <c r="I86" i="67" s="1"/>
  <c r="I88" i="67" s="1"/>
  <c r="G84" i="67"/>
  <c r="G86" i="67" s="1"/>
  <c r="G88" i="67" s="1"/>
  <c r="M288" i="67" l="1"/>
  <c r="M287" i="67"/>
  <c r="N288" i="67"/>
  <c r="N287" i="67"/>
  <c r="N289" i="67"/>
  <c r="I98" i="67"/>
  <c r="E146" i="67"/>
  <c r="I180" i="67"/>
  <c r="I182" i="67" s="1"/>
  <c r="D284" i="67"/>
  <c r="F284" i="67"/>
  <c r="D299" i="67"/>
  <c r="F299" i="67"/>
  <c r="H299" i="67"/>
  <c r="J299" i="67"/>
  <c r="E402" i="67"/>
  <c r="G402" i="67"/>
  <c r="I402" i="67"/>
  <c r="K402" i="67"/>
  <c r="M289" i="67"/>
  <c r="C287" i="67"/>
  <c r="E287" i="67"/>
  <c r="K287" i="67"/>
  <c r="D288" i="67"/>
  <c r="I156" i="67"/>
  <c r="I158" i="67" s="1"/>
  <c r="G287" i="67"/>
  <c r="C288" i="67"/>
  <c r="E288" i="67"/>
  <c r="G288" i="67"/>
  <c r="K288" i="67"/>
  <c r="D287" i="67"/>
  <c r="J287" i="67"/>
  <c r="F288" i="67"/>
  <c r="F287" i="67"/>
  <c r="H144" i="67"/>
  <c r="H146" i="67" s="1"/>
  <c r="H287" i="67" s="1"/>
  <c r="C289" i="67"/>
  <c r="E289" i="67"/>
  <c r="G289" i="67"/>
  <c r="I289" i="67"/>
  <c r="K289" i="67"/>
  <c r="I256" i="67"/>
  <c r="I287" i="67" s="1"/>
  <c r="H284" i="67"/>
  <c r="J284" i="67"/>
  <c r="J288" i="67" s="1"/>
  <c r="D289" i="67"/>
  <c r="F289" i="67"/>
  <c r="H289" i="67"/>
  <c r="J289" i="67"/>
  <c r="C299" i="67"/>
  <c r="E299" i="67"/>
  <c r="G299" i="67"/>
  <c r="I299" i="67"/>
  <c r="K299" i="67"/>
  <c r="C19" i="55"/>
  <c r="C20" i="55"/>
  <c r="C18" i="55"/>
  <c r="H288" i="67" l="1"/>
  <c r="I288" i="67"/>
  <c r="C8" i="52"/>
  <c r="F8" i="52" s="1"/>
  <c r="C40" i="60" l="1"/>
  <c r="H846" i="62" l="1"/>
  <c r="H845" i="62"/>
  <c r="H843" i="62"/>
  <c r="H841" i="62"/>
  <c r="H832" i="62"/>
  <c r="H828" i="62"/>
  <c r="H827" i="62"/>
  <c r="H825" i="62"/>
  <c r="H824" i="62"/>
  <c r="H823" i="62"/>
  <c r="C20" i="52" l="1"/>
  <c r="C42" i="60"/>
  <c r="D21" i="9" l="1"/>
  <c r="D23" i="8"/>
  <c r="D22" i="8"/>
  <c r="D21" i="8"/>
  <c r="D19" i="8"/>
  <c r="D18" i="8"/>
  <c r="D17" i="8"/>
  <c r="D12" i="8"/>
  <c r="C48" i="46" l="1" a="1"/>
  <c r="C48" i="46" s="1"/>
  <c r="C36" i="31" l="1" a="1"/>
  <c r="C36" i="31" s="1"/>
  <c r="C48" i="26" l="1"/>
  <c r="I64" i="61" l="1"/>
  <c r="K102" i="61"/>
  <c r="K64" i="61"/>
  <c r="K104" i="61" l="1"/>
  <c r="E39" i="67" l="1"/>
  <c r="F39" i="67"/>
  <c r="G39" i="67"/>
  <c r="D62" i="67" l="1"/>
  <c r="F62" i="67"/>
  <c r="G62" i="67"/>
  <c r="H62" i="67"/>
  <c r="I62" i="67"/>
  <c r="J62" i="67"/>
  <c r="K62" i="67"/>
  <c r="C62" i="67"/>
  <c r="H60" i="67"/>
  <c r="J60" i="67"/>
  <c r="E61" i="67"/>
  <c r="F61" i="67"/>
  <c r="G61" i="67"/>
  <c r="H61" i="67"/>
  <c r="I61" i="67"/>
  <c r="C60" i="67"/>
  <c r="D58" i="67"/>
  <c r="E58" i="67"/>
  <c r="F58" i="67"/>
  <c r="G58" i="67"/>
  <c r="H58" i="67"/>
  <c r="I58" i="67"/>
  <c r="J58" i="67"/>
  <c r="L58" i="67"/>
  <c r="M58" i="67"/>
  <c r="N58" i="67"/>
  <c r="D59" i="67"/>
  <c r="E59" i="67"/>
  <c r="F59" i="67"/>
  <c r="G59" i="67"/>
  <c r="H59" i="67"/>
  <c r="I59" i="67"/>
  <c r="J59" i="67"/>
  <c r="K59" i="67"/>
  <c r="L59" i="67"/>
  <c r="M59" i="67"/>
  <c r="N59" i="67"/>
  <c r="C59" i="67"/>
  <c r="C58" i="67"/>
  <c r="D50" i="67"/>
  <c r="E50" i="67"/>
  <c r="F50" i="67"/>
  <c r="G50" i="67"/>
  <c r="H50" i="67"/>
  <c r="I50" i="67"/>
  <c r="J50" i="67"/>
  <c r="K50" i="67"/>
  <c r="L50" i="67"/>
  <c r="M50" i="67"/>
  <c r="N50" i="67"/>
  <c r="C50" i="67"/>
  <c r="D47" i="67" l="1"/>
  <c r="E47" i="67"/>
  <c r="F47" i="67"/>
  <c r="G47" i="67"/>
  <c r="H47" i="67"/>
  <c r="I47" i="67"/>
  <c r="K47" i="67"/>
  <c r="L47" i="67"/>
  <c r="M47" i="67"/>
  <c r="N47" i="67"/>
  <c r="D48" i="67"/>
  <c r="E48" i="67"/>
  <c r="L48" i="67"/>
  <c r="M48" i="67"/>
  <c r="N48" i="67"/>
  <c r="C48" i="67"/>
  <c r="C47" i="67"/>
  <c r="D39" i="67"/>
  <c r="H39" i="67"/>
  <c r="I39" i="67"/>
  <c r="J39" i="67"/>
  <c r="K39" i="67"/>
  <c r="L39" i="67"/>
  <c r="M39" i="67"/>
  <c r="N39" i="67"/>
  <c r="O39" i="67"/>
  <c r="D32" i="67"/>
  <c r="E32" i="67"/>
  <c r="F32" i="67"/>
  <c r="G32" i="67"/>
  <c r="H32" i="67"/>
  <c r="J32" i="67"/>
  <c r="K32" i="67"/>
  <c r="L32" i="67"/>
  <c r="N32" i="67"/>
  <c r="D33" i="67"/>
  <c r="F33" i="67"/>
  <c r="G33" i="67"/>
  <c r="H33" i="67"/>
  <c r="I33" i="67"/>
  <c r="L33" i="67"/>
  <c r="M33" i="67"/>
  <c r="N33" i="67"/>
  <c r="C33" i="67"/>
  <c r="C32" i="67"/>
  <c r="F17" i="67"/>
  <c r="D15" i="67"/>
  <c r="F15" i="67"/>
  <c r="G15" i="67"/>
  <c r="H15" i="67"/>
  <c r="I15" i="67"/>
  <c r="N15" i="67"/>
  <c r="H16" i="67"/>
  <c r="K16" i="67"/>
  <c r="L16" i="67"/>
  <c r="C15" i="67"/>
  <c r="D471" i="67"/>
  <c r="E471" i="67"/>
  <c r="F471" i="67"/>
  <c r="G471" i="67"/>
  <c r="H471" i="67"/>
  <c r="I471" i="67"/>
  <c r="J471" i="67"/>
  <c r="K471" i="67"/>
  <c r="M471" i="67"/>
  <c r="N471" i="67"/>
  <c r="O467" i="67"/>
  <c r="O468" i="67"/>
  <c r="O469" i="67"/>
  <c r="O470" i="67"/>
  <c r="O484" i="67"/>
  <c r="N8" i="67"/>
  <c r="M8" i="67"/>
  <c r="L8" i="67"/>
  <c r="K8" i="67"/>
  <c r="J8" i="67"/>
  <c r="I8" i="67"/>
  <c r="H8" i="67"/>
  <c r="G8" i="67"/>
  <c r="F8" i="67"/>
  <c r="E8" i="67"/>
  <c r="D8" i="67"/>
  <c r="C8" i="67"/>
  <c r="N485" i="67"/>
  <c r="O477" i="67"/>
  <c r="K485" i="67"/>
  <c r="N446" i="67"/>
  <c r="M446" i="67"/>
  <c r="N424" i="67"/>
  <c r="M424" i="67"/>
  <c r="K424" i="67"/>
  <c r="N375" i="67"/>
  <c r="M375" i="67"/>
  <c r="K375" i="67"/>
  <c r="N374" i="67"/>
  <c r="M374" i="67"/>
  <c r="K374" i="67"/>
  <c r="N357" i="67"/>
  <c r="M357" i="67"/>
  <c r="N216" i="67"/>
  <c r="M216" i="67"/>
  <c r="K216" i="67"/>
  <c r="N215" i="67"/>
  <c r="K215" i="67"/>
  <c r="N197" i="67"/>
  <c r="M197" i="67"/>
  <c r="K197" i="67"/>
  <c r="N193" i="67"/>
  <c r="M193" i="67"/>
  <c r="K193" i="67"/>
  <c r="N191" i="67"/>
  <c r="M191" i="67"/>
  <c r="N190" i="67"/>
  <c r="M190" i="67"/>
  <c r="K190" i="67"/>
  <c r="N189" i="67"/>
  <c r="M189" i="67"/>
  <c r="K189" i="67"/>
  <c r="N188" i="67"/>
  <c r="M188" i="67"/>
  <c r="K188" i="67"/>
  <c r="N187" i="67"/>
  <c r="M187" i="67"/>
  <c r="K187" i="67"/>
  <c r="N186" i="67"/>
  <c r="M186" i="67"/>
  <c r="K186" i="67"/>
  <c r="N185" i="67"/>
  <c r="M185" i="67"/>
  <c r="K185" i="67"/>
  <c r="K191" i="67"/>
  <c r="N196" i="67"/>
  <c r="M196" i="67"/>
  <c r="K196" i="67"/>
  <c r="N108" i="67"/>
  <c r="M108" i="67"/>
  <c r="O483" i="67"/>
  <c r="O482" i="67"/>
  <c r="O480" i="67"/>
  <c r="J485" i="67"/>
  <c r="D485" i="67"/>
  <c r="C485" i="67"/>
  <c r="O475" i="67"/>
  <c r="C471" i="67"/>
  <c r="O463" i="67"/>
  <c r="O462" i="67"/>
  <c r="O459" i="67"/>
  <c r="B51" i="61" s="1"/>
  <c r="O458" i="67"/>
  <c r="O454" i="67"/>
  <c r="B84" i="61" s="1"/>
  <c r="O452" i="67"/>
  <c r="B65" i="61" s="1"/>
  <c r="O449" i="67"/>
  <c r="B67" i="61" s="1"/>
  <c r="O448" i="67"/>
  <c r="O445" i="67"/>
  <c r="G48" i="67" s="1"/>
  <c r="O444" i="67"/>
  <c r="O440" i="67"/>
  <c r="B59" i="61" s="1"/>
  <c r="O436" i="67"/>
  <c r="B56" i="61" s="1"/>
  <c r="O432" i="67"/>
  <c r="B53" i="61" s="1"/>
  <c r="O427" i="67"/>
  <c r="B70" i="61" s="1"/>
  <c r="O426" i="67"/>
  <c r="B69" i="61" s="1"/>
  <c r="J424" i="67"/>
  <c r="I424" i="67"/>
  <c r="H424" i="67"/>
  <c r="G424" i="67"/>
  <c r="F424" i="67"/>
  <c r="E424" i="67"/>
  <c r="D424" i="67"/>
  <c r="C424" i="67"/>
  <c r="O423" i="67"/>
  <c r="O422" i="67"/>
  <c r="O419" i="67"/>
  <c r="B48" i="61" s="1"/>
  <c r="O418" i="67"/>
  <c r="B47" i="61" s="1"/>
  <c r="O415" i="67"/>
  <c r="B73" i="61" s="1"/>
  <c r="O414" i="67"/>
  <c r="B72" i="61" s="1"/>
  <c r="O409" i="67"/>
  <c r="J33" i="67" s="1"/>
  <c r="O408" i="67"/>
  <c r="M32" i="67" s="1"/>
  <c r="O405" i="67"/>
  <c r="O396" i="67"/>
  <c r="O392" i="67"/>
  <c r="O390" i="67"/>
  <c r="O389" i="67"/>
  <c r="O387" i="67"/>
  <c r="O384" i="67"/>
  <c r="O383" i="67"/>
  <c r="O381" i="67"/>
  <c r="O380" i="67"/>
  <c r="O378" i="67"/>
  <c r="J375" i="67"/>
  <c r="I375" i="67"/>
  <c r="H375" i="67"/>
  <c r="G375" i="67"/>
  <c r="F375" i="67"/>
  <c r="E375" i="67"/>
  <c r="D375" i="67"/>
  <c r="C375" i="67"/>
  <c r="J374" i="67"/>
  <c r="J376" i="67" s="1"/>
  <c r="I374" i="67"/>
  <c r="I376" i="67" s="1"/>
  <c r="H374" i="67"/>
  <c r="H376" i="67" s="1"/>
  <c r="G374" i="67"/>
  <c r="G376" i="67" s="1"/>
  <c r="F374" i="67"/>
  <c r="F376" i="67" s="1"/>
  <c r="E374" i="67"/>
  <c r="E376" i="67" s="1"/>
  <c r="D374" i="67"/>
  <c r="D376" i="67" s="1"/>
  <c r="C374" i="67"/>
  <c r="C376" i="67" s="1"/>
  <c r="O372" i="67"/>
  <c r="O371" i="67"/>
  <c r="O368" i="67"/>
  <c r="O367" i="67"/>
  <c r="L17" i="67" s="1"/>
  <c r="O364" i="67"/>
  <c r="M16" i="67" s="1"/>
  <c r="O363" i="67"/>
  <c r="K15" i="67" s="1"/>
  <c r="O360" i="67"/>
  <c r="O359" i="67"/>
  <c r="O356" i="67"/>
  <c r="O355" i="67"/>
  <c r="B78" i="61" s="1"/>
  <c r="O352" i="67"/>
  <c r="N61" i="67" s="1"/>
  <c r="O348" i="67"/>
  <c r="B76" i="61" s="1"/>
  <c r="O345" i="67"/>
  <c r="B96" i="61" s="1"/>
  <c r="O340" i="67"/>
  <c r="B101" i="61" s="1"/>
  <c r="O339" i="67"/>
  <c r="B100" i="61" s="1"/>
  <c r="O337" i="67"/>
  <c r="B103" i="61" s="1"/>
  <c r="O336" i="67"/>
  <c r="O335" i="67"/>
  <c r="O334" i="67"/>
  <c r="O333" i="67"/>
  <c r="O332" i="67"/>
  <c r="O329" i="67"/>
  <c r="O328" i="67"/>
  <c r="O326" i="67"/>
  <c r="O324" i="67"/>
  <c r="O323" i="67"/>
  <c r="O320" i="67"/>
  <c r="B89" i="61" s="1"/>
  <c r="O319" i="67"/>
  <c r="B88" i="61" s="1"/>
  <c r="O318" i="67"/>
  <c r="B87" i="61" s="1"/>
  <c r="O316" i="67"/>
  <c r="O313" i="67"/>
  <c r="O312" i="67"/>
  <c r="O283" i="67"/>
  <c r="O282" i="67"/>
  <c r="O281" i="67"/>
  <c r="O274" i="67"/>
  <c r="O273" i="67"/>
  <c r="O269" i="67"/>
  <c r="O268" i="67"/>
  <c r="O267" i="67"/>
  <c r="O266" i="67"/>
  <c r="O265" i="67"/>
  <c r="O255" i="67"/>
  <c r="O254" i="67"/>
  <c r="O253" i="67"/>
  <c r="O251" i="67"/>
  <c r="O247" i="67"/>
  <c r="O246" i="67"/>
  <c r="O245" i="67"/>
  <c r="O244" i="67"/>
  <c r="O243" i="67"/>
  <c r="O242" i="67"/>
  <c r="O241" i="67"/>
  <c r="O237" i="67"/>
  <c r="O236" i="67"/>
  <c r="O235" i="67"/>
  <c r="O234" i="67"/>
  <c r="O233" i="67"/>
  <c r="O232" i="67"/>
  <c r="O231" i="67"/>
  <c r="O227" i="67"/>
  <c r="O226" i="67"/>
  <c r="O225" i="67"/>
  <c r="O224" i="67"/>
  <c r="O223" i="67"/>
  <c r="O222" i="67"/>
  <c r="O221" i="67"/>
  <c r="J217" i="67"/>
  <c r="I217" i="67"/>
  <c r="H217" i="67"/>
  <c r="G217" i="67"/>
  <c r="F217" i="67"/>
  <c r="E217" i="67"/>
  <c r="D217" i="67"/>
  <c r="C217" i="67"/>
  <c r="O207" i="67"/>
  <c r="O206" i="67"/>
  <c r="O205" i="67"/>
  <c r="O204" i="67"/>
  <c r="O203" i="67"/>
  <c r="O202" i="67"/>
  <c r="O201" i="67"/>
  <c r="J197" i="67"/>
  <c r="I197" i="67"/>
  <c r="H197" i="67"/>
  <c r="G197" i="67"/>
  <c r="F197" i="67"/>
  <c r="E197" i="67"/>
  <c r="D197" i="67"/>
  <c r="C197" i="67"/>
  <c r="J193" i="67"/>
  <c r="I193" i="67"/>
  <c r="H193" i="67"/>
  <c r="G193" i="67"/>
  <c r="F193" i="67"/>
  <c r="E193" i="67"/>
  <c r="D193" i="67"/>
  <c r="C193" i="67"/>
  <c r="J191" i="67"/>
  <c r="G191" i="67"/>
  <c r="F191" i="67"/>
  <c r="E191" i="67"/>
  <c r="C191" i="67"/>
  <c r="J190" i="67"/>
  <c r="I190" i="67"/>
  <c r="H190" i="67"/>
  <c r="G190" i="67"/>
  <c r="F190" i="67"/>
  <c r="E190" i="67"/>
  <c r="D190" i="67"/>
  <c r="C190" i="67"/>
  <c r="J189" i="67"/>
  <c r="I189" i="67"/>
  <c r="H189" i="67"/>
  <c r="G189" i="67"/>
  <c r="F189" i="67"/>
  <c r="E189" i="67"/>
  <c r="D189" i="67"/>
  <c r="C189" i="67"/>
  <c r="J188" i="67"/>
  <c r="I188" i="67"/>
  <c r="H188" i="67"/>
  <c r="G188" i="67"/>
  <c r="F188" i="67"/>
  <c r="E188" i="67"/>
  <c r="D188" i="67"/>
  <c r="C188" i="67"/>
  <c r="J187" i="67"/>
  <c r="I187" i="67"/>
  <c r="H187" i="67"/>
  <c r="G187" i="67"/>
  <c r="F187" i="67"/>
  <c r="E187" i="67"/>
  <c r="D187" i="67"/>
  <c r="J186" i="67"/>
  <c r="I186" i="67"/>
  <c r="H186" i="67"/>
  <c r="G186" i="67"/>
  <c r="F186" i="67"/>
  <c r="E186" i="67"/>
  <c r="D186" i="67"/>
  <c r="C186" i="67"/>
  <c r="J185" i="67"/>
  <c r="I185" i="67"/>
  <c r="H185" i="67"/>
  <c r="G185" i="67"/>
  <c r="F185" i="67"/>
  <c r="E185" i="67"/>
  <c r="D185" i="67"/>
  <c r="C185" i="67"/>
  <c r="O181" i="67"/>
  <c r="O178" i="67"/>
  <c r="O177" i="67"/>
  <c r="O176" i="67"/>
  <c r="O175" i="67"/>
  <c r="O174" i="67"/>
  <c r="O173" i="67"/>
  <c r="O169" i="67"/>
  <c r="O167" i="67"/>
  <c r="O166" i="67"/>
  <c r="O165" i="67"/>
  <c r="O164" i="67"/>
  <c r="O163" i="67"/>
  <c r="O162" i="67"/>
  <c r="O161" i="67"/>
  <c r="O157" i="67"/>
  <c r="I191" i="67"/>
  <c r="H191" i="67"/>
  <c r="O154" i="67"/>
  <c r="O153" i="67"/>
  <c r="O152" i="67"/>
  <c r="O151" i="67"/>
  <c r="O150" i="67"/>
  <c r="O149" i="67"/>
  <c r="O145" i="67"/>
  <c r="O143" i="67"/>
  <c r="O142" i="67"/>
  <c r="O141" i="67"/>
  <c r="O140" i="67"/>
  <c r="O138" i="67"/>
  <c r="O119" i="67"/>
  <c r="O197" i="67" s="1"/>
  <c r="J196" i="67"/>
  <c r="I196" i="67"/>
  <c r="H196" i="67"/>
  <c r="G196" i="67"/>
  <c r="F196" i="67"/>
  <c r="E196" i="67"/>
  <c r="D191" i="67"/>
  <c r="O116" i="67"/>
  <c r="O115" i="67"/>
  <c r="O114" i="67"/>
  <c r="C187" i="67"/>
  <c r="O112" i="67"/>
  <c r="O111" i="67"/>
  <c r="O107" i="67"/>
  <c r="O106" i="67"/>
  <c r="O105" i="67"/>
  <c r="O104" i="67"/>
  <c r="O103" i="67"/>
  <c r="O102" i="67"/>
  <c r="O101" i="67"/>
  <c r="O96" i="67"/>
  <c r="O95" i="67"/>
  <c r="O94" i="67"/>
  <c r="O92" i="67"/>
  <c r="O91" i="67"/>
  <c r="O87" i="67"/>
  <c r="B7" i="61" s="1"/>
  <c r="O85" i="67"/>
  <c r="K376" i="67" l="1"/>
  <c r="N376" i="67"/>
  <c r="C78" i="61"/>
  <c r="B90" i="61"/>
  <c r="M376" i="67"/>
  <c r="L15" i="67"/>
  <c r="E485" i="67"/>
  <c r="O478" i="67"/>
  <c r="O481" i="67"/>
  <c r="M485" i="67"/>
  <c r="O479" i="67"/>
  <c r="O471" i="67"/>
  <c r="I70" i="67" s="1"/>
  <c r="C39" i="67"/>
  <c r="B50" i="61"/>
  <c r="H40" i="67"/>
  <c r="K40" i="67"/>
  <c r="O50" i="67"/>
  <c r="B66" i="61"/>
  <c r="O47" i="67"/>
  <c r="B62" i="61"/>
  <c r="K48" i="67"/>
  <c r="I48" i="67"/>
  <c r="J47" i="67"/>
  <c r="O48" i="67"/>
  <c r="B63" i="61"/>
  <c r="J48" i="67"/>
  <c r="H48" i="67"/>
  <c r="F48" i="67"/>
  <c r="O32" i="67"/>
  <c r="B40" i="61"/>
  <c r="I32" i="67"/>
  <c r="O33" i="67"/>
  <c r="B41" i="61"/>
  <c r="K33" i="67"/>
  <c r="E33" i="67"/>
  <c r="E31" i="67"/>
  <c r="B38" i="61"/>
  <c r="E26" i="67"/>
  <c r="B31" i="61"/>
  <c r="E28" i="67"/>
  <c r="B34" i="61"/>
  <c r="N28" i="67"/>
  <c r="D25" i="67"/>
  <c r="B30" i="61"/>
  <c r="D24" i="67"/>
  <c r="B29" i="61"/>
  <c r="E23" i="67"/>
  <c r="B28" i="61"/>
  <c r="D22" i="67"/>
  <c r="B26" i="61"/>
  <c r="D21" i="67"/>
  <c r="B25" i="61"/>
  <c r="O17" i="67"/>
  <c r="B19" i="61"/>
  <c r="E18" i="67"/>
  <c r="B20" i="61"/>
  <c r="G16" i="67"/>
  <c r="B17" i="61"/>
  <c r="O15" i="67"/>
  <c r="B16" i="61"/>
  <c r="E16" i="67"/>
  <c r="O13" i="67"/>
  <c r="B13" i="61"/>
  <c r="K14" i="67"/>
  <c r="B14" i="61"/>
  <c r="O59" i="67"/>
  <c r="B79" i="61"/>
  <c r="B82" i="61"/>
  <c r="J61" i="67"/>
  <c r="D65" i="67"/>
  <c r="F65" i="67"/>
  <c r="H65" i="67"/>
  <c r="J65" i="67"/>
  <c r="L65" i="67"/>
  <c r="N65" i="67"/>
  <c r="E65" i="67"/>
  <c r="G65" i="67"/>
  <c r="I65" i="67"/>
  <c r="K65" i="67"/>
  <c r="M65" i="67"/>
  <c r="O65" i="67"/>
  <c r="E75" i="67"/>
  <c r="G75" i="67"/>
  <c r="I75" i="67"/>
  <c r="K75" i="67"/>
  <c r="M75" i="67"/>
  <c r="O75" i="67"/>
  <c r="C75" i="67"/>
  <c r="D75" i="67"/>
  <c r="F75" i="67"/>
  <c r="H75" i="67"/>
  <c r="J75" i="67"/>
  <c r="L75" i="67"/>
  <c r="N75" i="67"/>
  <c r="E71" i="67"/>
  <c r="G71" i="67"/>
  <c r="I71" i="67"/>
  <c r="K71" i="67"/>
  <c r="M71" i="67"/>
  <c r="O71" i="67"/>
  <c r="D71" i="67"/>
  <c r="F71" i="67"/>
  <c r="H71" i="67"/>
  <c r="J71" i="67"/>
  <c r="L71" i="67"/>
  <c r="N71" i="67"/>
  <c r="C71" i="67"/>
  <c r="K61" i="67"/>
  <c r="M61" i="67"/>
  <c r="O61" i="67"/>
  <c r="D61" i="67"/>
  <c r="L61" i="67"/>
  <c r="C61" i="67"/>
  <c r="E54" i="67"/>
  <c r="G54" i="67"/>
  <c r="I54" i="67"/>
  <c r="K54" i="67"/>
  <c r="M54" i="67"/>
  <c r="O54" i="67"/>
  <c r="C54" i="67"/>
  <c r="D54" i="67"/>
  <c r="F54" i="67"/>
  <c r="H54" i="67"/>
  <c r="J54" i="67"/>
  <c r="L54" i="67"/>
  <c r="N54" i="67"/>
  <c r="D37" i="67"/>
  <c r="F37" i="67"/>
  <c r="H37" i="67"/>
  <c r="J37" i="67"/>
  <c r="L37" i="67"/>
  <c r="N37" i="67"/>
  <c r="E37" i="67"/>
  <c r="G37" i="67"/>
  <c r="I37" i="67"/>
  <c r="K37" i="67"/>
  <c r="M37" i="67"/>
  <c r="O37" i="67"/>
  <c r="C37" i="67"/>
  <c r="E52" i="67"/>
  <c r="G52" i="67"/>
  <c r="I52" i="67"/>
  <c r="M52" i="67"/>
  <c r="O52" i="67"/>
  <c r="C52" i="67"/>
  <c r="D52" i="67"/>
  <c r="F52" i="67"/>
  <c r="H52" i="67"/>
  <c r="J52" i="67"/>
  <c r="L52" i="67"/>
  <c r="N52" i="67"/>
  <c r="D41" i="67"/>
  <c r="F41" i="67"/>
  <c r="H41" i="67"/>
  <c r="J41" i="67"/>
  <c r="L41" i="67"/>
  <c r="N41" i="67"/>
  <c r="E41" i="67"/>
  <c r="G41" i="67"/>
  <c r="I41" i="67"/>
  <c r="K41" i="67"/>
  <c r="M41" i="67"/>
  <c r="O41" i="67"/>
  <c r="C41" i="67"/>
  <c r="D45" i="67"/>
  <c r="F45" i="67"/>
  <c r="H45" i="67"/>
  <c r="J45" i="67"/>
  <c r="L45" i="67"/>
  <c r="N45" i="67"/>
  <c r="E45" i="67"/>
  <c r="G45" i="67"/>
  <c r="I45" i="67"/>
  <c r="K45" i="67"/>
  <c r="M45" i="67"/>
  <c r="O45" i="67"/>
  <c r="C45" i="67"/>
  <c r="E51" i="67"/>
  <c r="G51" i="67"/>
  <c r="I51" i="67"/>
  <c r="K51" i="67"/>
  <c r="M51" i="67"/>
  <c r="O51" i="67"/>
  <c r="D51" i="67"/>
  <c r="F51" i="67"/>
  <c r="H51" i="67"/>
  <c r="J51" i="67"/>
  <c r="L51" i="67"/>
  <c r="N51" i="67"/>
  <c r="C51" i="67"/>
  <c r="E62" i="67"/>
  <c r="M62" i="67"/>
  <c r="O62" i="67"/>
  <c r="L62" i="67"/>
  <c r="N62" i="67"/>
  <c r="E40" i="67"/>
  <c r="G40" i="67"/>
  <c r="I40" i="67"/>
  <c r="M40" i="67"/>
  <c r="O40" i="67"/>
  <c r="D40" i="67"/>
  <c r="F40" i="67"/>
  <c r="J40" i="67"/>
  <c r="L40" i="67"/>
  <c r="N40" i="67"/>
  <c r="C40" i="67"/>
  <c r="L55" i="67"/>
  <c r="K52" i="67"/>
  <c r="M53" i="67"/>
  <c r="O476" i="67"/>
  <c r="M70" i="67"/>
  <c r="E70" i="67"/>
  <c r="N13" i="67"/>
  <c r="L13" i="67"/>
  <c r="N14" i="67"/>
  <c r="L14" i="67"/>
  <c r="N16" i="67"/>
  <c r="J16" i="67"/>
  <c r="F16" i="67"/>
  <c r="D16" i="67"/>
  <c r="M15" i="67"/>
  <c r="E15" i="67"/>
  <c r="C17" i="67"/>
  <c r="N18" i="67"/>
  <c r="L18" i="67"/>
  <c r="J18" i="67"/>
  <c r="H18" i="67"/>
  <c r="F18" i="67"/>
  <c r="D18" i="67"/>
  <c r="M17" i="67"/>
  <c r="K17" i="67"/>
  <c r="I17" i="67"/>
  <c r="G17" i="67"/>
  <c r="E17" i="67"/>
  <c r="O18" i="67"/>
  <c r="O16" i="67"/>
  <c r="O14" i="67"/>
  <c r="C21" i="67"/>
  <c r="O22" i="67"/>
  <c r="M22" i="67"/>
  <c r="K22" i="67"/>
  <c r="I22" i="67"/>
  <c r="G22" i="67"/>
  <c r="E22" i="67"/>
  <c r="O21" i="67"/>
  <c r="M21" i="67"/>
  <c r="K21" i="67"/>
  <c r="I21" i="67"/>
  <c r="G21" i="67"/>
  <c r="E21" i="67"/>
  <c r="C23" i="67"/>
  <c r="N23" i="67"/>
  <c r="L23" i="67"/>
  <c r="J23" i="67"/>
  <c r="H23" i="67"/>
  <c r="F23" i="67"/>
  <c r="D23" i="67"/>
  <c r="O25" i="67"/>
  <c r="M25" i="67"/>
  <c r="K25" i="67"/>
  <c r="I25" i="67"/>
  <c r="G25" i="67"/>
  <c r="E25" i="67"/>
  <c r="O24" i="67"/>
  <c r="M24" i="67"/>
  <c r="K24" i="67"/>
  <c r="I24" i="67"/>
  <c r="G24" i="67"/>
  <c r="E24" i="67"/>
  <c r="C24" i="67"/>
  <c r="N26" i="67"/>
  <c r="L26" i="67"/>
  <c r="J26" i="67"/>
  <c r="H26" i="67"/>
  <c r="F26" i="67"/>
  <c r="D26" i="67"/>
  <c r="L28" i="67"/>
  <c r="J28" i="67"/>
  <c r="H28" i="67"/>
  <c r="F28" i="67"/>
  <c r="D28" i="67"/>
  <c r="J31" i="67"/>
  <c r="H31" i="67"/>
  <c r="F31" i="67"/>
  <c r="D64" i="67"/>
  <c r="F64" i="67"/>
  <c r="H64" i="67"/>
  <c r="J64" i="67"/>
  <c r="L64" i="67"/>
  <c r="N64" i="67"/>
  <c r="E64" i="67"/>
  <c r="G64" i="67"/>
  <c r="I64" i="67"/>
  <c r="K64" i="67"/>
  <c r="M64" i="67"/>
  <c r="O64" i="67"/>
  <c r="D66" i="67"/>
  <c r="F66" i="67"/>
  <c r="H66" i="67"/>
  <c r="J66" i="67"/>
  <c r="L66" i="67"/>
  <c r="N66" i="67"/>
  <c r="E66" i="67"/>
  <c r="G66" i="67"/>
  <c r="I66" i="67"/>
  <c r="K66" i="67"/>
  <c r="M66" i="67"/>
  <c r="O66" i="67"/>
  <c r="D77" i="67"/>
  <c r="F77" i="67"/>
  <c r="H77" i="67"/>
  <c r="J77" i="67"/>
  <c r="L77" i="67"/>
  <c r="N77" i="67"/>
  <c r="C77" i="67"/>
  <c r="E77" i="67"/>
  <c r="G77" i="67"/>
  <c r="I77" i="67"/>
  <c r="K77" i="67"/>
  <c r="M77" i="67"/>
  <c r="O77" i="67"/>
  <c r="E76" i="67"/>
  <c r="G76" i="67"/>
  <c r="I76" i="67"/>
  <c r="K76" i="67"/>
  <c r="M76" i="67"/>
  <c r="O76" i="67"/>
  <c r="D76" i="67"/>
  <c r="F76" i="67"/>
  <c r="H76" i="67"/>
  <c r="J76" i="67"/>
  <c r="L76" i="67"/>
  <c r="N76" i="67"/>
  <c r="C76" i="67"/>
  <c r="E57" i="67"/>
  <c r="G57" i="67"/>
  <c r="I57" i="67"/>
  <c r="K57" i="67"/>
  <c r="M57" i="67"/>
  <c r="O57" i="67"/>
  <c r="D57" i="67"/>
  <c r="F57" i="67"/>
  <c r="H57" i="67"/>
  <c r="J57" i="67"/>
  <c r="L57" i="67"/>
  <c r="N57" i="67"/>
  <c r="C57" i="67"/>
  <c r="K58" i="67"/>
  <c r="O58" i="67"/>
  <c r="E55" i="67"/>
  <c r="G55" i="67"/>
  <c r="I55" i="67"/>
  <c r="K55" i="67"/>
  <c r="M55" i="67"/>
  <c r="O55" i="67"/>
  <c r="D55" i="67"/>
  <c r="F55" i="67"/>
  <c r="H55" i="67"/>
  <c r="J55" i="67"/>
  <c r="N55" i="67"/>
  <c r="C55" i="67"/>
  <c r="D38" i="67"/>
  <c r="F38" i="67"/>
  <c r="H38" i="67"/>
  <c r="J38" i="67"/>
  <c r="L38" i="67"/>
  <c r="N38" i="67"/>
  <c r="C38" i="67"/>
  <c r="E38" i="67"/>
  <c r="G38" i="67"/>
  <c r="I38" i="67"/>
  <c r="K38" i="67"/>
  <c r="M38" i="67"/>
  <c r="O38" i="67"/>
  <c r="E53" i="67"/>
  <c r="G53" i="67"/>
  <c r="I53" i="67"/>
  <c r="O53" i="67"/>
  <c r="D53" i="67"/>
  <c r="F53" i="67"/>
  <c r="H53" i="67"/>
  <c r="J53" i="67"/>
  <c r="L53" i="67"/>
  <c r="C53" i="67"/>
  <c r="D43" i="67"/>
  <c r="F43" i="67"/>
  <c r="H43" i="67"/>
  <c r="J43" i="67"/>
  <c r="L43" i="67"/>
  <c r="N43" i="67"/>
  <c r="E43" i="67"/>
  <c r="G43" i="67"/>
  <c r="I43" i="67"/>
  <c r="K43" i="67"/>
  <c r="M43" i="67"/>
  <c r="O43" i="67"/>
  <c r="C43" i="67"/>
  <c r="E49" i="67"/>
  <c r="G49" i="67"/>
  <c r="I49" i="67"/>
  <c r="K49" i="67"/>
  <c r="M49" i="67"/>
  <c r="O49" i="67"/>
  <c r="C49" i="67"/>
  <c r="D49" i="67"/>
  <c r="F49" i="67"/>
  <c r="H49" i="67"/>
  <c r="J49" i="67"/>
  <c r="L49" i="67"/>
  <c r="N49" i="67"/>
  <c r="K53" i="67"/>
  <c r="N53" i="67"/>
  <c r="N70" i="67"/>
  <c r="F70" i="67"/>
  <c r="M13" i="67"/>
  <c r="K13" i="67"/>
  <c r="M14" i="67"/>
  <c r="C16" i="67"/>
  <c r="I16" i="67"/>
  <c r="J15" i="67"/>
  <c r="C18" i="67"/>
  <c r="M18" i="67"/>
  <c r="K18" i="67"/>
  <c r="I18" i="67"/>
  <c r="G18" i="67"/>
  <c r="N17" i="67"/>
  <c r="J17" i="67"/>
  <c r="H17" i="67"/>
  <c r="D17" i="67"/>
  <c r="C22" i="67"/>
  <c r="N22" i="67"/>
  <c r="L22" i="67"/>
  <c r="J22" i="67"/>
  <c r="H22" i="67"/>
  <c r="F22" i="67"/>
  <c r="N21" i="67"/>
  <c r="L21" i="67"/>
  <c r="J21" i="67"/>
  <c r="H21" i="67"/>
  <c r="F21" i="67"/>
  <c r="O23" i="67"/>
  <c r="M23" i="67"/>
  <c r="K23" i="67"/>
  <c r="I23" i="67"/>
  <c r="G23" i="67"/>
  <c r="C25" i="67"/>
  <c r="N25" i="67"/>
  <c r="L25" i="67"/>
  <c r="J25" i="67"/>
  <c r="H25" i="67"/>
  <c r="F25" i="67"/>
  <c r="N24" i="67"/>
  <c r="L24" i="67"/>
  <c r="J24" i="67"/>
  <c r="H24" i="67"/>
  <c r="F24" i="67"/>
  <c r="C26" i="67"/>
  <c r="O26" i="67"/>
  <c r="M26" i="67"/>
  <c r="K26" i="67"/>
  <c r="I26" i="67"/>
  <c r="G26" i="67"/>
  <c r="C28" i="67"/>
  <c r="O28" i="67"/>
  <c r="M28" i="67"/>
  <c r="K28" i="67"/>
  <c r="I28" i="67"/>
  <c r="G28" i="67"/>
  <c r="O31" i="67"/>
  <c r="K31" i="67"/>
  <c r="G31" i="67"/>
  <c r="O117" i="67"/>
  <c r="O325" i="67"/>
  <c r="O343" i="67"/>
  <c r="O228" i="67"/>
  <c r="O238" i="67"/>
  <c r="N7" i="67"/>
  <c r="L7" i="67"/>
  <c r="J7" i="67"/>
  <c r="H7" i="67"/>
  <c r="F7" i="67"/>
  <c r="D7" i="67"/>
  <c r="O7" i="67"/>
  <c r="M7" i="67"/>
  <c r="K7" i="67"/>
  <c r="I7" i="67"/>
  <c r="G7" i="67"/>
  <c r="E7" i="67"/>
  <c r="C7" i="67"/>
  <c r="C64" i="67"/>
  <c r="C66" i="67"/>
  <c r="D14" i="67"/>
  <c r="F14" i="67"/>
  <c r="H14" i="67"/>
  <c r="J14" i="67"/>
  <c r="E14" i="67"/>
  <c r="G14" i="67"/>
  <c r="I14" i="67"/>
  <c r="C14" i="67"/>
  <c r="O8" i="67"/>
  <c r="O139" i="67"/>
  <c r="O314" i="67"/>
  <c r="C65" i="67"/>
  <c r="D13" i="67"/>
  <c r="F13" i="67"/>
  <c r="H13" i="67"/>
  <c r="J13" i="67"/>
  <c r="E13" i="67"/>
  <c r="G13" i="67"/>
  <c r="I13" i="67"/>
  <c r="C13" i="67"/>
  <c r="O412" i="67"/>
  <c r="O416" i="67"/>
  <c r="C211" i="67"/>
  <c r="I211" i="67"/>
  <c r="C212" i="67"/>
  <c r="G212" i="67"/>
  <c r="C213" i="67"/>
  <c r="I213" i="67"/>
  <c r="C214" i="67"/>
  <c r="E215" i="67"/>
  <c r="C216" i="67"/>
  <c r="O341" i="67"/>
  <c r="O353" i="67"/>
  <c r="O357" i="67"/>
  <c r="O365" i="67"/>
  <c r="O385" i="67"/>
  <c r="O397" i="67"/>
  <c r="O401" i="67"/>
  <c r="O406" i="67"/>
  <c r="O410" i="67"/>
  <c r="O420" i="67"/>
  <c r="O433" i="67"/>
  <c r="O441" i="67"/>
  <c r="D196" i="67"/>
  <c r="E211" i="67"/>
  <c r="E212" i="67"/>
  <c r="E213" i="67"/>
  <c r="E214" i="67"/>
  <c r="C215" i="67"/>
  <c r="E216" i="67"/>
  <c r="O252" i="67"/>
  <c r="O258" i="67"/>
  <c r="O279" i="67"/>
  <c r="O280" i="67"/>
  <c r="O292" i="67"/>
  <c r="O293" i="67"/>
  <c r="O294" i="67"/>
  <c r="O295" i="67"/>
  <c r="O296" i="67"/>
  <c r="O297" i="67"/>
  <c r="O298" i="67"/>
  <c r="O330" i="67"/>
  <c r="O331" i="67"/>
  <c r="O375" i="67"/>
  <c r="O450" i="67"/>
  <c r="O464" i="67"/>
  <c r="F485" i="67"/>
  <c r="H485" i="67"/>
  <c r="O404" i="67"/>
  <c r="B37" i="61" s="1"/>
  <c r="O430" i="67"/>
  <c r="G214" i="67"/>
  <c r="I215" i="67"/>
  <c r="G216" i="67"/>
  <c r="O108" i="67"/>
  <c r="G211" i="67"/>
  <c r="I212" i="67"/>
  <c r="G213" i="67"/>
  <c r="I214" i="67"/>
  <c r="G215" i="67"/>
  <c r="I216" i="67"/>
  <c r="O248" i="67"/>
  <c r="O270" i="67"/>
  <c r="M12" i="67" s="1"/>
  <c r="O275" i="67"/>
  <c r="O321" i="67"/>
  <c r="O349" i="67"/>
  <c r="O361" i="67"/>
  <c r="O369" i="67"/>
  <c r="O446" i="67"/>
  <c r="O456" i="67"/>
  <c r="O460" i="67"/>
  <c r="N123" i="67"/>
  <c r="P136" i="58" s="1"/>
  <c r="N124" i="67"/>
  <c r="N125" i="67"/>
  <c r="P138" i="58" s="1"/>
  <c r="N126" i="67"/>
  <c r="P139" i="58" s="1"/>
  <c r="N127" i="67"/>
  <c r="P140" i="58" s="1"/>
  <c r="M192" i="67"/>
  <c r="M215" i="67"/>
  <c r="M214" i="67"/>
  <c r="M213" i="67"/>
  <c r="M212" i="67"/>
  <c r="M211" i="67"/>
  <c r="N309" i="67"/>
  <c r="N308" i="67"/>
  <c r="N307" i="67"/>
  <c r="N306" i="67"/>
  <c r="N305" i="67"/>
  <c r="N304" i="67"/>
  <c r="N303" i="67"/>
  <c r="N302" i="67"/>
  <c r="K123" i="67"/>
  <c r="M136" i="58" s="1"/>
  <c r="M123" i="67"/>
  <c r="O136" i="58" s="1"/>
  <c r="K124" i="67"/>
  <c r="M124" i="67"/>
  <c r="K125" i="67"/>
  <c r="M138" i="58" s="1"/>
  <c r="M125" i="67"/>
  <c r="O138" i="58" s="1"/>
  <c r="K126" i="67"/>
  <c r="M139" i="58" s="1"/>
  <c r="M126" i="67"/>
  <c r="O139" i="58" s="1"/>
  <c r="K127" i="67"/>
  <c r="M140" i="58" s="1"/>
  <c r="M127" i="67"/>
  <c r="O140" i="58" s="1"/>
  <c r="N194" i="67"/>
  <c r="K309" i="67"/>
  <c r="K308" i="67"/>
  <c r="K307" i="67"/>
  <c r="K306" i="67"/>
  <c r="K305" i="67"/>
  <c r="K304" i="67"/>
  <c r="K303" i="67"/>
  <c r="K302" i="67"/>
  <c r="M309" i="67"/>
  <c r="M308" i="67"/>
  <c r="M307" i="67"/>
  <c r="M306" i="67"/>
  <c r="M305" i="67"/>
  <c r="M304" i="67"/>
  <c r="M303" i="67"/>
  <c r="M302" i="67"/>
  <c r="N192" i="67"/>
  <c r="K211" i="67"/>
  <c r="K212" i="67"/>
  <c r="K213" i="67"/>
  <c r="K214" i="67"/>
  <c r="N211" i="67"/>
  <c r="N212" i="67"/>
  <c r="N213" i="67"/>
  <c r="N214" i="67"/>
  <c r="O86" i="67"/>
  <c r="O98" i="67"/>
  <c r="O144" i="67"/>
  <c r="O97" i="67"/>
  <c r="E123" i="67"/>
  <c r="G136" i="58" s="1"/>
  <c r="G123" i="67"/>
  <c r="I136" i="58" s="1"/>
  <c r="I123" i="67"/>
  <c r="K136" i="58" s="1"/>
  <c r="E124" i="67"/>
  <c r="G137" i="58" s="1"/>
  <c r="G124" i="67"/>
  <c r="I137" i="58" s="1"/>
  <c r="I124" i="67"/>
  <c r="K137" i="58" s="1"/>
  <c r="E125" i="67"/>
  <c r="G138" i="58" s="1"/>
  <c r="G125" i="67"/>
  <c r="I138" i="58" s="1"/>
  <c r="I125" i="67"/>
  <c r="K138" i="58" s="1"/>
  <c r="E126" i="67"/>
  <c r="G139" i="58" s="1"/>
  <c r="G126" i="67"/>
  <c r="I139" i="58" s="1"/>
  <c r="I126" i="67"/>
  <c r="K139" i="58" s="1"/>
  <c r="E127" i="67"/>
  <c r="G140" i="58" s="1"/>
  <c r="G127" i="67"/>
  <c r="I140" i="58" s="1"/>
  <c r="I127" i="67"/>
  <c r="K140" i="58" s="1"/>
  <c r="E128" i="67"/>
  <c r="G141" i="58" s="1"/>
  <c r="G128" i="67"/>
  <c r="I141" i="58" s="1"/>
  <c r="I128" i="67"/>
  <c r="K141" i="58" s="1"/>
  <c r="E129" i="67"/>
  <c r="G142" i="58" s="1"/>
  <c r="G129" i="67"/>
  <c r="I142" i="58" s="1"/>
  <c r="I129" i="67"/>
  <c r="K142" i="58" s="1"/>
  <c r="O185" i="67"/>
  <c r="O189" i="67"/>
  <c r="O155" i="67"/>
  <c r="F192" i="67"/>
  <c r="J192" i="67"/>
  <c r="O193" i="67"/>
  <c r="J194" i="67"/>
  <c r="O170" i="67"/>
  <c r="O182" i="67"/>
  <c r="I218" i="67"/>
  <c r="O84" i="67"/>
  <c r="B6" i="61" s="1"/>
  <c r="O93" i="67"/>
  <c r="O113" i="67"/>
  <c r="C192" i="67"/>
  <c r="F123" i="67"/>
  <c r="H136" i="58" s="1"/>
  <c r="H123" i="67"/>
  <c r="J136" i="58" s="1"/>
  <c r="J123" i="67"/>
  <c r="L136" i="58" s="1"/>
  <c r="F124" i="67"/>
  <c r="H137" i="58" s="1"/>
  <c r="H124" i="67"/>
  <c r="J137" i="58" s="1"/>
  <c r="J124" i="67"/>
  <c r="L137" i="58" s="1"/>
  <c r="F125" i="67"/>
  <c r="H138" i="58" s="1"/>
  <c r="H125" i="67"/>
  <c r="J138" i="58" s="1"/>
  <c r="J125" i="67"/>
  <c r="L138" i="58" s="1"/>
  <c r="F126" i="67"/>
  <c r="H139" i="58" s="1"/>
  <c r="H126" i="67"/>
  <c r="J139" i="58" s="1"/>
  <c r="J126" i="67"/>
  <c r="L139" i="58" s="1"/>
  <c r="F127" i="67"/>
  <c r="H140" i="58" s="1"/>
  <c r="H127" i="67"/>
  <c r="J140" i="58" s="1"/>
  <c r="J127" i="67"/>
  <c r="L140" i="58" s="1"/>
  <c r="F128" i="67"/>
  <c r="H141" i="58" s="1"/>
  <c r="H128" i="67"/>
  <c r="J141" i="58" s="1"/>
  <c r="J128" i="67"/>
  <c r="L141" i="58" s="1"/>
  <c r="F129" i="67"/>
  <c r="H142" i="58" s="1"/>
  <c r="H129" i="67"/>
  <c r="J142" i="58" s="1"/>
  <c r="J129" i="67"/>
  <c r="L142" i="58" s="1"/>
  <c r="O137" i="67"/>
  <c r="O186" i="67"/>
  <c r="O188" i="67"/>
  <c r="O190" i="67"/>
  <c r="E192" i="67"/>
  <c r="G192" i="67"/>
  <c r="C218" i="67"/>
  <c r="O168" i="67"/>
  <c r="O180" i="67"/>
  <c r="O208" i="67"/>
  <c r="D211" i="67"/>
  <c r="F211" i="67"/>
  <c r="H211" i="67"/>
  <c r="J211" i="67"/>
  <c r="D212" i="67"/>
  <c r="F212" i="67"/>
  <c r="H212" i="67"/>
  <c r="J212" i="67"/>
  <c r="D213" i="67"/>
  <c r="F213" i="67"/>
  <c r="H213" i="67"/>
  <c r="J213" i="67"/>
  <c r="D214" i="67"/>
  <c r="F214" i="67"/>
  <c r="H214" i="67"/>
  <c r="J214" i="67"/>
  <c r="D215" i="67"/>
  <c r="F215" i="67"/>
  <c r="H215" i="67"/>
  <c r="J215" i="67"/>
  <c r="D216" i="67"/>
  <c r="F216" i="67"/>
  <c r="H216" i="67"/>
  <c r="J216" i="67"/>
  <c r="O256" i="67"/>
  <c r="B11" i="61" s="1"/>
  <c r="D309" i="67"/>
  <c r="D308" i="67"/>
  <c r="D307" i="67"/>
  <c r="D306" i="67"/>
  <c r="D305" i="67"/>
  <c r="D304" i="67"/>
  <c r="D303" i="67"/>
  <c r="D302" i="67"/>
  <c r="F309" i="67"/>
  <c r="F308" i="67"/>
  <c r="F307" i="67"/>
  <c r="F306" i="67"/>
  <c r="F305" i="67"/>
  <c r="F304" i="67"/>
  <c r="F303" i="67"/>
  <c r="F302" i="67"/>
  <c r="H309" i="67"/>
  <c r="H308" i="67"/>
  <c r="H307" i="67"/>
  <c r="H306" i="67"/>
  <c r="H305" i="67"/>
  <c r="H304" i="67"/>
  <c r="H303" i="67"/>
  <c r="H302" i="67"/>
  <c r="J309" i="67"/>
  <c r="J308" i="67"/>
  <c r="J307" i="67"/>
  <c r="J306" i="67"/>
  <c r="J305" i="67"/>
  <c r="J304" i="67"/>
  <c r="J303" i="67"/>
  <c r="J302" i="67"/>
  <c r="O179" i="67"/>
  <c r="E309" i="67"/>
  <c r="E308" i="67"/>
  <c r="E307" i="67"/>
  <c r="E306" i="67"/>
  <c r="E305" i="67"/>
  <c r="E304" i="67"/>
  <c r="E303" i="67"/>
  <c r="E302" i="67"/>
  <c r="G309" i="67"/>
  <c r="G308" i="67"/>
  <c r="G307" i="67"/>
  <c r="G306" i="67"/>
  <c r="G305" i="67"/>
  <c r="G304" i="67"/>
  <c r="G303" i="67"/>
  <c r="G302" i="67"/>
  <c r="I309" i="67"/>
  <c r="I308" i="67"/>
  <c r="I307" i="67"/>
  <c r="I306" i="67"/>
  <c r="I305" i="67"/>
  <c r="I304" i="67"/>
  <c r="I303" i="67"/>
  <c r="I302" i="67"/>
  <c r="O261" i="67"/>
  <c r="O347" i="67"/>
  <c r="O374" i="67"/>
  <c r="O394" i="67"/>
  <c r="O278" i="67"/>
  <c r="O393" i="67"/>
  <c r="O424" i="67"/>
  <c r="O428" i="67"/>
  <c r="O437" i="67"/>
  <c r="O455" i="67"/>
  <c r="G485" i="67"/>
  <c r="I485" i="67"/>
  <c r="O400" i="67"/>
  <c r="C62" i="61" l="1"/>
  <c r="C79" i="61"/>
  <c r="C63" i="61"/>
  <c r="J70" i="67"/>
  <c r="M129" i="67"/>
  <c r="O142" i="58" s="1"/>
  <c r="O137" i="58"/>
  <c r="N129" i="67"/>
  <c r="P142" i="58" s="1"/>
  <c r="P137" i="58"/>
  <c r="O485" i="67"/>
  <c r="O70" i="67"/>
  <c r="B95" i="61"/>
  <c r="D70" i="67"/>
  <c r="H70" i="67"/>
  <c r="L70" i="67"/>
  <c r="G70" i="67"/>
  <c r="K70" i="67"/>
  <c r="H63" i="67"/>
  <c r="B85" i="61"/>
  <c r="O46" i="67"/>
  <c r="B60" i="61"/>
  <c r="O44" i="67"/>
  <c r="B57" i="61"/>
  <c r="O42" i="67"/>
  <c r="B54" i="61"/>
  <c r="O34" i="67"/>
  <c r="B43" i="61"/>
  <c r="L35" i="67"/>
  <c r="B44" i="61"/>
  <c r="O36" i="67"/>
  <c r="B45" i="61"/>
  <c r="O27" i="67"/>
  <c r="B32" i="61"/>
  <c r="E29" i="67"/>
  <c r="B35" i="61"/>
  <c r="O19" i="67"/>
  <c r="B22" i="61"/>
  <c r="O20" i="67"/>
  <c r="B23" i="61"/>
  <c r="O56" i="67"/>
  <c r="B75" i="61"/>
  <c r="O68" i="67"/>
  <c r="B92" i="61"/>
  <c r="D12" i="67"/>
  <c r="B12" i="61"/>
  <c r="F12" i="67"/>
  <c r="O259" i="67"/>
  <c r="D9" i="67" s="1"/>
  <c r="B10" i="61"/>
  <c r="K129" i="67"/>
  <c r="M142" i="58" s="1"/>
  <c r="M137" i="58"/>
  <c r="F50" i="61"/>
  <c r="F37" i="61"/>
  <c r="F72" i="61"/>
  <c r="F84" i="61"/>
  <c r="F34" i="61"/>
  <c r="F13" i="61"/>
  <c r="F25" i="61"/>
  <c r="F53" i="61"/>
  <c r="B1" i="61"/>
  <c r="F31" i="61"/>
  <c r="F66" i="61"/>
  <c r="F78" i="61"/>
  <c r="F62" i="61"/>
  <c r="F69" i="61"/>
  <c r="F16" i="61"/>
  <c r="F56" i="61"/>
  <c r="F19" i="61"/>
  <c r="F47" i="61"/>
  <c r="F59" i="61"/>
  <c r="G194" i="67"/>
  <c r="E30" i="67"/>
  <c r="G30" i="67"/>
  <c r="I30" i="67"/>
  <c r="K30" i="67"/>
  <c r="O30" i="67"/>
  <c r="D30" i="67"/>
  <c r="F30" i="67"/>
  <c r="H30" i="67"/>
  <c r="J30" i="67"/>
  <c r="L30" i="67"/>
  <c r="N30" i="67"/>
  <c r="M29" i="67"/>
  <c r="M27" i="67"/>
  <c r="F19" i="67"/>
  <c r="J19" i="67"/>
  <c r="N19" i="67"/>
  <c r="M46" i="67"/>
  <c r="M44" i="67"/>
  <c r="M42" i="67"/>
  <c r="N34" i="67"/>
  <c r="N36" i="67"/>
  <c r="N35" i="67"/>
  <c r="K35" i="67"/>
  <c r="M56" i="67"/>
  <c r="M68" i="67"/>
  <c r="E63" i="67"/>
  <c r="I46" i="67"/>
  <c r="E46" i="67"/>
  <c r="J44" i="67"/>
  <c r="F44" i="67"/>
  <c r="G42" i="67"/>
  <c r="C42" i="67"/>
  <c r="J34" i="67"/>
  <c r="F34" i="67"/>
  <c r="I36" i="67"/>
  <c r="E36" i="67"/>
  <c r="H35" i="67"/>
  <c r="I56" i="67"/>
  <c r="E56" i="67"/>
  <c r="I68" i="67"/>
  <c r="E68" i="67"/>
  <c r="L29" i="67"/>
  <c r="E19" i="67"/>
  <c r="I19" i="67"/>
  <c r="M19" i="67"/>
  <c r="N46" i="67"/>
  <c r="N44" i="67"/>
  <c r="N42" i="67"/>
  <c r="K34" i="67"/>
  <c r="L56" i="67"/>
  <c r="L68" i="67"/>
  <c r="H46" i="67"/>
  <c r="D46" i="67"/>
  <c r="I44" i="67"/>
  <c r="E44" i="67"/>
  <c r="J42" i="67"/>
  <c r="F42" i="67"/>
  <c r="G34" i="67"/>
  <c r="C34" i="67"/>
  <c r="H36" i="67"/>
  <c r="D36" i="67"/>
  <c r="H56" i="67"/>
  <c r="D56" i="67"/>
  <c r="K20" i="67"/>
  <c r="G27" i="67"/>
  <c r="C27" i="67"/>
  <c r="H29" i="67"/>
  <c r="D29" i="67"/>
  <c r="G20" i="67"/>
  <c r="C20" i="67"/>
  <c r="L27" i="67"/>
  <c r="N20" i="67"/>
  <c r="J27" i="67"/>
  <c r="F27" i="67"/>
  <c r="I29" i="67"/>
  <c r="J20" i="67"/>
  <c r="F20" i="67"/>
  <c r="J68" i="67"/>
  <c r="F68" i="67"/>
  <c r="F35" i="67"/>
  <c r="E35" i="67"/>
  <c r="G35" i="67"/>
  <c r="I35" i="67"/>
  <c r="M35" i="67"/>
  <c r="O35" i="67"/>
  <c r="K29" i="67"/>
  <c r="O29" i="67"/>
  <c r="G63" i="67"/>
  <c r="I63" i="67"/>
  <c r="K63" i="67"/>
  <c r="M63" i="67"/>
  <c r="O63" i="67"/>
  <c r="D63" i="67"/>
  <c r="F63" i="67"/>
  <c r="J63" i="67"/>
  <c r="L63" i="67"/>
  <c r="N63" i="67"/>
  <c r="C63" i="67"/>
  <c r="K27" i="67"/>
  <c r="D19" i="67"/>
  <c r="H19" i="67"/>
  <c r="L19" i="67"/>
  <c r="K46" i="67"/>
  <c r="K44" i="67"/>
  <c r="K42" i="67"/>
  <c r="L34" i="67"/>
  <c r="L36" i="67"/>
  <c r="K56" i="67"/>
  <c r="K68" i="67"/>
  <c r="G46" i="67"/>
  <c r="C46" i="67"/>
  <c r="H44" i="67"/>
  <c r="D44" i="67"/>
  <c r="I42" i="67"/>
  <c r="E42" i="67"/>
  <c r="H34" i="67"/>
  <c r="D34" i="67"/>
  <c r="G36" i="67"/>
  <c r="C36" i="67"/>
  <c r="C35" i="67"/>
  <c r="G56" i="67"/>
  <c r="C56" i="67"/>
  <c r="G68" i="67"/>
  <c r="N27" i="67"/>
  <c r="G19" i="67"/>
  <c r="K19" i="67"/>
  <c r="C19" i="67"/>
  <c r="L46" i="67"/>
  <c r="L44" i="67"/>
  <c r="L42" i="67"/>
  <c r="M34" i="67"/>
  <c r="M36" i="67"/>
  <c r="K36" i="67"/>
  <c r="N56" i="67"/>
  <c r="N68" i="67"/>
  <c r="J46" i="67"/>
  <c r="F46" i="67"/>
  <c r="G44" i="67"/>
  <c r="C44" i="67"/>
  <c r="H42" i="67"/>
  <c r="D42" i="67"/>
  <c r="I34" i="67"/>
  <c r="E34" i="67"/>
  <c r="J36" i="67"/>
  <c r="F36" i="67"/>
  <c r="J35" i="67"/>
  <c r="D35" i="67"/>
  <c r="J56" i="67"/>
  <c r="F56" i="67"/>
  <c r="M20" i="67"/>
  <c r="I27" i="67"/>
  <c r="E27" i="67"/>
  <c r="J29" i="67"/>
  <c r="F29" i="67"/>
  <c r="I20" i="67"/>
  <c r="E20" i="67"/>
  <c r="N29" i="67"/>
  <c r="L20" i="67"/>
  <c r="H27" i="67"/>
  <c r="D27" i="67"/>
  <c r="G29" i="67"/>
  <c r="C29" i="67"/>
  <c r="H20" i="67"/>
  <c r="D20" i="67"/>
  <c r="H68" i="67"/>
  <c r="D68" i="67"/>
  <c r="O156" i="67"/>
  <c r="D129" i="67"/>
  <c r="F142" i="58" s="1"/>
  <c r="D128" i="67"/>
  <c r="F141" i="58" s="1"/>
  <c r="D127" i="67"/>
  <c r="F140" i="58" s="1"/>
  <c r="D126" i="67"/>
  <c r="F139" i="58" s="1"/>
  <c r="D125" i="67"/>
  <c r="F138" i="58" s="1"/>
  <c r="D124" i="67"/>
  <c r="F137" i="58" s="1"/>
  <c r="D123" i="67"/>
  <c r="F136" i="58" s="1"/>
  <c r="D192" i="67"/>
  <c r="E218" i="67"/>
  <c r="E194" i="67"/>
  <c r="F194" i="67"/>
  <c r="M194" i="67"/>
  <c r="O11" i="67"/>
  <c r="O146" i="67"/>
  <c r="B91" i="61" s="1"/>
  <c r="O10" i="67"/>
  <c r="M10" i="67"/>
  <c r="K10" i="67"/>
  <c r="G10" i="67"/>
  <c r="E10" i="67"/>
  <c r="N10" i="67"/>
  <c r="L10" i="67"/>
  <c r="J10" i="67"/>
  <c r="H10" i="67"/>
  <c r="F10" i="67"/>
  <c r="G218" i="67"/>
  <c r="C70" i="67"/>
  <c r="M11" i="67"/>
  <c r="C68" i="67"/>
  <c r="G12" i="67"/>
  <c r="C12" i="67"/>
  <c r="G9" i="67"/>
  <c r="D10" i="67"/>
  <c r="H11" i="67"/>
  <c r="D11" i="67"/>
  <c r="L12" i="67"/>
  <c r="L11" i="67"/>
  <c r="J12" i="67"/>
  <c r="C10" i="67"/>
  <c r="G11" i="67"/>
  <c r="O6" i="67"/>
  <c r="M6" i="67"/>
  <c r="K6" i="67"/>
  <c r="I6" i="67"/>
  <c r="G6" i="67"/>
  <c r="E6" i="67"/>
  <c r="N6" i="67"/>
  <c r="L6" i="67"/>
  <c r="J6" i="67"/>
  <c r="H6" i="67"/>
  <c r="F6" i="67"/>
  <c r="D6" i="67"/>
  <c r="O88" i="67"/>
  <c r="O12" i="67"/>
  <c r="K12" i="67"/>
  <c r="K11" i="67"/>
  <c r="I12" i="67"/>
  <c r="E12" i="67"/>
  <c r="E9" i="67"/>
  <c r="J11" i="67"/>
  <c r="F11" i="67"/>
  <c r="C11" i="67"/>
  <c r="N12" i="67"/>
  <c r="N11" i="67"/>
  <c r="H12" i="67"/>
  <c r="I10" i="67"/>
  <c r="I11" i="67"/>
  <c r="E11" i="67"/>
  <c r="C6" i="67"/>
  <c r="O398" i="67"/>
  <c r="O442" i="67"/>
  <c r="O434" i="67"/>
  <c r="O438" i="67"/>
  <c r="D194" i="67"/>
  <c r="O351" i="67"/>
  <c r="N60" i="67" s="1"/>
  <c r="O402" i="67"/>
  <c r="O287" i="67"/>
  <c r="N217" i="67"/>
  <c r="N218" i="67" s="1"/>
  <c r="K128" i="67"/>
  <c r="K198" i="67"/>
  <c r="K133" i="67"/>
  <c r="K134" i="67" s="1"/>
  <c r="N133" i="67"/>
  <c r="N134" i="67" s="1"/>
  <c r="N198" i="67"/>
  <c r="K217" i="67"/>
  <c r="K218" i="67" s="1"/>
  <c r="K192" i="67"/>
  <c r="K194" i="67"/>
  <c r="M128" i="67"/>
  <c r="M198" i="67"/>
  <c r="M133" i="67"/>
  <c r="M134" i="67" s="1"/>
  <c r="M217" i="67"/>
  <c r="M218" i="67" s="1"/>
  <c r="N128" i="67"/>
  <c r="O288" i="67"/>
  <c r="H218" i="67"/>
  <c r="D218" i="67"/>
  <c r="I192" i="67"/>
  <c r="I194" i="67"/>
  <c r="J130" i="67"/>
  <c r="L143" i="58" s="1"/>
  <c r="F130" i="67"/>
  <c r="H143" i="58" s="1"/>
  <c r="I198" i="67"/>
  <c r="I133" i="67"/>
  <c r="I134" i="67" s="1"/>
  <c r="E198" i="67"/>
  <c r="E133" i="67"/>
  <c r="E134" i="67" s="1"/>
  <c r="C196" i="67"/>
  <c r="O118" i="67"/>
  <c r="O196" i="67" s="1"/>
  <c r="C129" i="67"/>
  <c r="E142" i="58" s="1"/>
  <c r="C128" i="67"/>
  <c r="E141" i="58" s="1"/>
  <c r="C127" i="67"/>
  <c r="E140" i="58" s="1"/>
  <c r="C126" i="67"/>
  <c r="E139" i="58" s="1"/>
  <c r="C125" i="67"/>
  <c r="E138" i="58" s="1"/>
  <c r="C124" i="67"/>
  <c r="E137" i="58" s="1"/>
  <c r="C123" i="67"/>
  <c r="E136" i="58" s="1"/>
  <c r="H192" i="67"/>
  <c r="H194" i="67"/>
  <c r="G130" i="67"/>
  <c r="I143" i="58" s="1"/>
  <c r="J198" i="67"/>
  <c r="J133" i="67"/>
  <c r="J134" i="67" s="1"/>
  <c r="F198" i="67"/>
  <c r="F133" i="67"/>
  <c r="F134" i="67" s="1"/>
  <c r="O376" i="67"/>
  <c r="C309" i="67"/>
  <c r="C308" i="67"/>
  <c r="C307" i="67"/>
  <c r="C306" i="67"/>
  <c r="C305" i="67"/>
  <c r="C304" i="67"/>
  <c r="C303" i="67"/>
  <c r="C302" i="67"/>
  <c r="O299" i="67"/>
  <c r="O289" i="67"/>
  <c r="O262" i="67"/>
  <c r="O284" i="67"/>
  <c r="J218" i="67"/>
  <c r="F218" i="67"/>
  <c r="O218" i="67"/>
  <c r="O217" i="67"/>
  <c r="O216" i="67"/>
  <c r="O215" i="67"/>
  <c r="O214" i="67"/>
  <c r="O213" i="67"/>
  <c r="O212" i="67"/>
  <c r="O211" i="67"/>
  <c r="O192" i="67"/>
  <c r="H130" i="67"/>
  <c r="J143" i="58" s="1"/>
  <c r="D130" i="67"/>
  <c r="F143" i="58" s="1"/>
  <c r="G198" i="67"/>
  <c r="G133" i="67"/>
  <c r="G134" i="67" s="1"/>
  <c r="O191" i="67"/>
  <c r="O187" i="67"/>
  <c r="I130" i="67"/>
  <c r="K143" i="58" s="1"/>
  <c r="E130" i="67"/>
  <c r="G143" i="58" s="1"/>
  <c r="H198" i="67"/>
  <c r="H133" i="67"/>
  <c r="H134" i="67" s="1"/>
  <c r="D198" i="67"/>
  <c r="D133" i="67"/>
  <c r="D134" i="67" s="1"/>
  <c r="H9" i="67" l="1"/>
  <c r="O9" i="67"/>
  <c r="N142" i="58"/>
  <c r="N140" i="58"/>
  <c r="N138" i="58"/>
  <c r="N139" i="58"/>
  <c r="N137" i="58"/>
  <c r="F75" i="61"/>
  <c r="F22" i="61"/>
  <c r="D62" i="61"/>
  <c r="F44" i="61"/>
  <c r="D63" i="61"/>
  <c r="N141" i="58"/>
  <c r="N130" i="67"/>
  <c r="P143" i="58" s="1"/>
  <c r="P141" i="58"/>
  <c r="M130" i="67"/>
  <c r="O143" i="58" s="1"/>
  <c r="O141" i="58"/>
  <c r="E60" i="67"/>
  <c r="I60" i="67"/>
  <c r="B81" i="61"/>
  <c r="D60" i="67"/>
  <c r="I74" i="67"/>
  <c r="B99" i="61"/>
  <c r="F9" i="67"/>
  <c r="B9" i="61"/>
  <c r="N9" i="67"/>
  <c r="J9" i="67"/>
  <c r="K9" i="67"/>
  <c r="I9" i="67"/>
  <c r="L9" i="67"/>
  <c r="M9" i="67"/>
  <c r="C9" i="67"/>
  <c r="F10" i="61"/>
  <c r="O73" i="67"/>
  <c r="B98" i="61"/>
  <c r="O72" i="67"/>
  <c r="B97" i="61"/>
  <c r="K130" i="67"/>
  <c r="M143" i="58" s="1"/>
  <c r="M141" i="58"/>
  <c r="O69" i="67"/>
  <c r="N69" i="67"/>
  <c r="K69" i="67"/>
  <c r="L69" i="67"/>
  <c r="M69" i="67"/>
  <c r="C67" i="67"/>
  <c r="O67" i="67"/>
  <c r="E67" i="67"/>
  <c r="H67" i="67"/>
  <c r="D67" i="67"/>
  <c r="I67" i="67"/>
  <c r="N67" i="67"/>
  <c r="K67" i="67"/>
  <c r="F67" i="67"/>
  <c r="J67" i="67"/>
  <c r="G67" i="67"/>
  <c r="L67" i="67"/>
  <c r="M67" i="67"/>
  <c r="E69" i="67"/>
  <c r="D69" i="67"/>
  <c r="L72" i="67"/>
  <c r="N73" i="67"/>
  <c r="D72" i="67"/>
  <c r="E73" i="67"/>
  <c r="G72" i="67"/>
  <c r="H73" i="67"/>
  <c r="F69" i="67"/>
  <c r="K72" i="67"/>
  <c r="K73" i="67"/>
  <c r="J72" i="67"/>
  <c r="E72" i="67"/>
  <c r="F73" i="67"/>
  <c r="C74" i="67"/>
  <c r="O74" i="67"/>
  <c r="F74" i="67"/>
  <c r="J74" i="67"/>
  <c r="N74" i="67"/>
  <c r="K74" i="67"/>
  <c r="D74" i="67"/>
  <c r="H74" i="67"/>
  <c r="L74" i="67"/>
  <c r="M74" i="67"/>
  <c r="G60" i="67"/>
  <c r="K60" i="67"/>
  <c r="M60" i="67"/>
  <c r="O60" i="67"/>
  <c r="F60" i="67"/>
  <c r="L60" i="67"/>
  <c r="I69" i="67"/>
  <c r="H69" i="67"/>
  <c r="M72" i="67"/>
  <c r="M73" i="67"/>
  <c r="H72" i="67"/>
  <c r="I73" i="67"/>
  <c r="D73" i="67"/>
  <c r="G74" i="67"/>
  <c r="J73" i="67"/>
  <c r="G69" i="67"/>
  <c r="J69" i="67"/>
  <c r="N72" i="67"/>
  <c r="L73" i="67"/>
  <c r="F72" i="67"/>
  <c r="G73" i="67"/>
  <c r="I72" i="67"/>
  <c r="E74" i="67"/>
  <c r="C69" i="67"/>
  <c r="C73" i="67"/>
  <c r="C130" i="67"/>
  <c r="E143" i="58" s="1"/>
  <c r="C72" i="67"/>
  <c r="O309" i="67"/>
  <c r="O308" i="67"/>
  <c r="O307" i="67"/>
  <c r="O306" i="67"/>
  <c r="O305" i="67"/>
  <c r="O304" i="67"/>
  <c r="O303" i="67"/>
  <c r="O302" i="67"/>
  <c r="O129" i="67"/>
  <c r="Q142" i="58" s="1"/>
  <c r="O128" i="67"/>
  <c r="Q141" i="58" s="1"/>
  <c r="O127" i="67"/>
  <c r="Q140" i="58" s="1"/>
  <c r="O126" i="67"/>
  <c r="Q139" i="58" s="1"/>
  <c r="O125" i="67"/>
  <c r="Q138" i="58" s="1"/>
  <c r="O124" i="67"/>
  <c r="Q137" i="58" s="1"/>
  <c r="O123" i="67"/>
  <c r="Q136" i="58" s="1"/>
  <c r="O158" i="67"/>
  <c r="C198" i="67"/>
  <c r="O120" i="67"/>
  <c r="O198" i="67" s="1"/>
  <c r="C133" i="67"/>
  <c r="C134" i="67" s="1"/>
  <c r="C194" i="67"/>
  <c r="N143" i="58" l="1"/>
  <c r="N136" i="58"/>
  <c r="M62" i="61"/>
  <c r="L62" i="61"/>
  <c r="M63" i="61"/>
  <c r="L63" i="61"/>
  <c r="F81" i="61"/>
  <c r="D64" i="61"/>
  <c r="F97" i="61"/>
  <c r="F98" i="61"/>
  <c r="F99" i="61"/>
  <c r="F9" i="61"/>
  <c r="F12" i="61"/>
  <c r="F8" i="61"/>
  <c r="F14" i="61"/>
  <c r="F7" i="61"/>
  <c r="F11" i="61"/>
  <c r="F43" i="61"/>
  <c r="F96" i="61"/>
  <c r="F6" i="61"/>
  <c r="F100" i="61"/>
  <c r="B94" i="61"/>
  <c r="O133" i="67"/>
  <c r="O134" i="67" s="1"/>
  <c r="O194" i="67"/>
  <c r="O130" i="67"/>
  <c r="Q143" i="58" s="1"/>
  <c r="L64" i="61" l="1"/>
  <c r="E810" i="62" l="1"/>
  <c r="E821" i="62" s="1"/>
  <c r="C9" i="55" l="1"/>
  <c r="D589" i="62" l="1"/>
  <c r="D52" i="62" l="1"/>
  <c r="D51" i="62"/>
  <c r="D50" i="62"/>
  <c r="D49" i="62"/>
  <c r="D48" i="62"/>
  <c r="R8" i="26" l="1"/>
  <c r="C7" i="26"/>
  <c r="G7" i="26" s="1"/>
  <c r="P7" i="26" l="1"/>
  <c r="J7" i="26"/>
  <c r="F7" i="26"/>
  <c r="N7" i="26"/>
  <c r="L7" i="26"/>
  <c r="H7" i="26"/>
  <c r="Q7" i="26"/>
  <c r="O7" i="26"/>
  <c r="M7" i="26"/>
  <c r="K7" i="26"/>
  <c r="I7" i="26"/>
  <c r="O39" i="26"/>
  <c r="G41" i="26"/>
  <c r="Q42" i="26" l="1"/>
  <c r="F42" i="26"/>
  <c r="I40" i="26"/>
  <c r="M42" i="26"/>
  <c r="L42" i="26"/>
  <c r="N42" i="26"/>
  <c r="L40" i="26"/>
  <c r="N39" i="26"/>
  <c r="J42" i="26"/>
  <c r="H42" i="26"/>
  <c r="K39" i="26"/>
  <c r="I39" i="26"/>
  <c r="P39" i="26"/>
  <c r="P42" i="26"/>
  <c r="L39" i="26"/>
  <c r="G39" i="26"/>
  <c r="Q39" i="26"/>
  <c r="O40" i="26"/>
  <c r="J39" i="26"/>
  <c r="F39" i="26"/>
  <c r="K41" i="26"/>
  <c r="H41" i="26"/>
  <c r="I42" i="26"/>
  <c r="M39" i="26"/>
  <c r="J40" i="26"/>
  <c r="G40" i="26"/>
  <c r="Q40" i="26"/>
  <c r="F41" i="26"/>
  <c r="P41" i="26"/>
  <c r="K40" i="26"/>
  <c r="N40" i="26"/>
  <c r="M41" i="26"/>
  <c r="J41" i="26"/>
  <c r="M40" i="26"/>
  <c r="H40" i="26"/>
  <c r="P40" i="26"/>
  <c r="O41" i="26"/>
  <c r="N41" i="26"/>
  <c r="K42" i="26"/>
  <c r="H39" i="26"/>
  <c r="I41" i="26"/>
  <c r="Q41" i="26"/>
  <c r="L41" i="26"/>
  <c r="G42" i="26"/>
  <c r="O42" i="26"/>
  <c r="R7" i="26"/>
  <c r="F40" i="26"/>
  <c r="C25" i="5" l="1"/>
  <c r="C23" i="60" s="1"/>
  <c r="C21" i="60" l="1"/>
  <c r="AF8" i="60" l="1"/>
  <c r="AF43" i="60"/>
  <c r="AF34" i="60"/>
  <c r="AE34" i="60" s="1"/>
  <c r="AF13" i="60"/>
  <c r="AE13" i="60" s="1"/>
  <c r="AF5" i="60"/>
  <c r="AE43" i="60" s="1"/>
  <c r="AG8" i="60"/>
  <c r="AF17" i="60" l="1"/>
  <c r="AF36" i="60" l="1"/>
  <c r="AE17" i="60"/>
  <c r="AF45" i="60"/>
  <c r="AE36" i="60"/>
  <c r="D25" i="34"/>
  <c r="D24" i="34"/>
  <c r="D23" i="34"/>
  <c r="D28" i="33"/>
  <c r="D30" i="32"/>
  <c r="D29" i="32"/>
  <c r="D26" i="32"/>
  <c r="D25" i="32"/>
  <c r="D22" i="32"/>
  <c r="D21" i="32"/>
  <c r="D20" i="32"/>
  <c r="D18" i="32"/>
  <c r="D17" i="32"/>
  <c r="D14" i="32"/>
  <c r="D12" i="32"/>
  <c r="D10" i="32"/>
  <c r="D9" i="32"/>
  <c r="D30" i="31"/>
  <c r="D26" i="31"/>
  <c r="D25" i="31"/>
  <c r="D22" i="31"/>
  <c r="D20" i="31"/>
  <c r="D18" i="31"/>
  <c r="D17" i="31"/>
  <c r="D24" i="30"/>
  <c r="D22" i="30"/>
  <c r="D20" i="30"/>
  <c r="D22" i="29"/>
  <c r="D21" i="29"/>
  <c r="D20" i="29"/>
  <c r="D18" i="29"/>
  <c r="D17" i="29"/>
  <c r="D24" i="22"/>
  <c r="D22" i="22"/>
  <c r="D20" i="22"/>
  <c r="D19" i="22"/>
  <c r="D24" i="24"/>
  <c r="D19" i="24"/>
  <c r="D24" i="17"/>
  <c r="D22" i="16"/>
  <c r="D25" i="15"/>
  <c r="D30" i="12"/>
  <c r="D25" i="12"/>
  <c r="D10" i="12"/>
  <c r="D9" i="12"/>
  <c r="D23" i="10"/>
  <c r="D22" i="10"/>
  <c r="D21" i="10"/>
  <c r="D19" i="10"/>
  <c r="D18" i="10"/>
  <c r="C21" i="66" l="1"/>
  <c r="I86" i="61" l="1"/>
  <c r="I68" i="61"/>
  <c r="I77" i="61"/>
  <c r="I52" i="61"/>
  <c r="I71" i="61" l="1"/>
  <c r="I21" i="61"/>
  <c r="G10" i="61"/>
  <c r="G11" i="61"/>
  <c r="G12" i="61"/>
  <c r="G8" i="61"/>
  <c r="G7" i="61"/>
  <c r="G6" i="61"/>
  <c r="G9" i="61"/>
  <c r="I80" i="61"/>
  <c r="I33" i="61"/>
  <c r="I83" i="61"/>
  <c r="I27" i="61"/>
  <c r="I49" i="61"/>
  <c r="I55" i="61"/>
  <c r="I74" i="61"/>
  <c r="I36" i="61"/>
  <c r="I58" i="61"/>
  <c r="I42" i="61"/>
  <c r="I39" i="61"/>
  <c r="I46" i="61"/>
  <c r="C41" i="61" l="1"/>
  <c r="C40" i="61"/>
  <c r="B85" i="58"/>
  <c r="B99" i="58" l="1"/>
  <c r="C103" i="61"/>
  <c r="B8" i="58"/>
  <c r="C99" i="58" l="1"/>
  <c r="D99" i="58" s="1"/>
  <c r="D103" i="61"/>
  <c r="C6" i="61"/>
  <c r="C116" i="26"/>
  <c r="C114" i="26"/>
  <c r="C73" i="26"/>
  <c r="C75" i="26" s="1"/>
  <c r="M103" i="61" l="1"/>
  <c r="L103" i="61"/>
  <c r="J103" i="61"/>
  <c r="G47" i="61"/>
  <c r="G62" i="61"/>
  <c r="G22" i="61"/>
  <c r="G66" i="61"/>
  <c r="G13" i="61"/>
  <c r="G84" i="61"/>
  <c r="G25" i="61"/>
  <c r="G100" i="61"/>
  <c r="G44" i="61"/>
  <c r="G37" i="61"/>
  <c r="G19" i="61"/>
  <c r="G96" i="61"/>
  <c r="G98" i="61"/>
  <c r="G16" i="61"/>
  <c r="G31" i="61"/>
  <c r="G34" i="61"/>
  <c r="C8" i="61"/>
  <c r="D8" i="61" s="1"/>
  <c r="F99" i="58"/>
  <c r="G2" i="66" s="1"/>
  <c r="H99" i="58"/>
  <c r="I2" i="66" s="1"/>
  <c r="J99" i="58"/>
  <c r="K2" i="66" s="1"/>
  <c r="L99" i="58"/>
  <c r="M2" i="66" s="1"/>
  <c r="N99" i="58"/>
  <c r="O2" i="66" s="1"/>
  <c r="P99" i="58"/>
  <c r="G99" i="58"/>
  <c r="H2" i="66" s="1"/>
  <c r="I99" i="58"/>
  <c r="J2" i="66" s="1"/>
  <c r="K99" i="58"/>
  <c r="L2" i="66" s="1"/>
  <c r="M99" i="58"/>
  <c r="N2" i="66" s="1"/>
  <c r="O99" i="58"/>
  <c r="P2" i="66" s="1"/>
  <c r="E99" i="58"/>
  <c r="F2" i="66" s="1"/>
  <c r="C2" i="66"/>
  <c r="D11" i="66" s="1"/>
  <c r="C51" i="62"/>
  <c r="I93" i="61"/>
  <c r="C119" i="26"/>
  <c r="C121" i="26" s="1"/>
  <c r="D116" i="26"/>
  <c r="C122" i="26"/>
  <c r="C108" i="26"/>
  <c r="C3" i="66" l="1"/>
  <c r="Q2" i="66"/>
  <c r="G75" i="61"/>
  <c r="G59" i="61"/>
  <c r="G53" i="61"/>
  <c r="G81" i="61"/>
  <c r="G78" i="61"/>
  <c r="G69" i="61"/>
  <c r="G72" i="61"/>
  <c r="G56" i="61"/>
  <c r="I11" i="66"/>
  <c r="J11" i="66"/>
  <c r="M11" i="66"/>
  <c r="O11" i="66"/>
  <c r="D20" i="66"/>
  <c r="G11" i="66"/>
  <c r="Q99" i="58"/>
  <c r="R99" i="58" s="1"/>
  <c r="N11" i="66"/>
  <c r="F11" i="66"/>
  <c r="K11" i="66"/>
  <c r="L11" i="66"/>
  <c r="H11" i="66"/>
  <c r="P11" i="66"/>
  <c r="C123" i="26"/>
  <c r="D119" i="26"/>
  <c r="E122" i="26" s="1"/>
  <c r="C9" i="66" l="1"/>
  <c r="D9" i="66" s="1"/>
  <c r="C12" i="66"/>
  <c r="D12" i="66" s="1"/>
  <c r="Q12" i="66" s="1"/>
  <c r="C8" i="66"/>
  <c r="D8" i="66" s="1"/>
  <c r="C10" i="66"/>
  <c r="D10" i="66" s="1"/>
  <c r="Q10" i="66" s="1"/>
  <c r="Q9" i="66"/>
  <c r="Q11" i="66"/>
  <c r="R11" i="66" s="1"/>
  <c r="S11" i="66" s="1"/>
  <c r="R2" i="66"/>
  <c r="Q20" i="66"/>
  <c r="Q21" i="66" s="1"/>
  <c r="C14" i="66"/>
  <c r="C52" i="62"/>
  <c r="C49" i="62"/>
  <c r="C13" i="66"/>
  <c r="C48" i="62"/>
  <c r="K20" i="66"/>
  <c r="K21" i="66" s="1"/>
  <c r="P20" i="66"/>
  <c r="P21" i="66" s="1"/>
  <c r="O20" i="66"/>
  <c r="O21" i="66" s="1"/>
  <c r="I20" i="66"/>
  <c r="I21" i="66" s="1"/>
  <c r="M20" i="66"/>
  <c r="M21" i="66" s="1"/>
  <c r="N20" i="66"/>
  <c r="N21" i="66" s="1"/>
  <c r="G20" i="66"/>
  <c r="G21" i="66" s="1"/>
  <c r="F20" i="66"/>
  <c r="F21" i="66" s="1"/>
  <c r="H20" i="66"/>
  <c r="H21" i="66" s="1"/>
  <c r="L20" i="66"/>
  <c r="L21" i="66" s="1"/>
  <c r="J20" i="66"/>
  <c r="J21" i="66" s="1"/>
  <c r="E119" i="26"/>
  <c r="C50" i="62" l="1"/>
  <c r="C53" i="62"/>
  <c r="D13" i="66"/>
  <c r="J10" i="66"/>
  <c r="I10" i="66"/>
  <c r="M10" i="66"/>
  <c r="L10" i="66"/>
  <c r="G10" i="66"/>
  <c r="K10" i="66"/>
  <c r="F10" i="66"/>
  <c r="R10" i="66" s="1"/>
  <c r="S10" i="66" s="1"/>
  <c r="O10" i="66"/>
  <c r="H10" i="66"/>
  <c r="N10" i="66"/>
  <c r="P10" i="66"/>
  <c r="F12" i="66"/>
  <c r="O12" i="66"/>
  <c r="K12" i="66"/>
  <c r="P12" i="66"/>
  <c r="M12" i="66"/>
  <c r="J12" i="66"/>
  <c r="G12" i="66"/>
  <c r="N12" i="66"/>
  <c r="I12" i="66"/>
  <c r="L12" i="66"/>
  <c r="H12" i="66"/>
  <c r="C54" i="62"/>
  <c r="D14" i="66"/>
  <c r="O8" i="66"/>
  <c r="G8" i="66"/>
  <c r="P8" i="66"/>
  <c r="K8" i="66"/>
  <c r="L8" i="66"/>
  <c r="Q8" i="66"/>
  <c r="H8" i="66"/>
  <c r="I8" i="66"/>
  <c r="J8" i="66"/>
  <c r="M8" i="66"/>
  <c r="F8" i="66"/>
  <c r="N8" i="66"/>
  <c r="I9" i="66"/>
  <c r="J9" i="66"/>
  <c r="L9" i="66"/>
  <c r="F9" i="66"/>
  <c r="N9" i="66"/>
  <c r="O9" i="66"/>
  <c r="G9" i="66"/>
  <c r="M9" i="66"/>
  <c r="H9" i="66"/>
  <c r="P9" i="66"/>
  <c r="K9" i="66"/>
  <c r="C55" i="62"/>
  <c r="C15" i="66"/>
  <c r="C16" i="66"/>
  <c r="C22" i="66" s="1"/>
  <c r="R20" i="66"/>
  <c r="R21" i="66" s="1"/>
  <c r="C89" i="61"/>
  <c r="R8" i="66" l="1"/>
  <c r="P14" i="66"/>
  <c r="O14" i="66"/>
  <c r="N14" i="66"/>
  <c r="J14" i="66"/>
  <c r="M14" i="66"/>
  <c r="H14" i="66"/>
  <c r="L14" i="66"/>
  <c r="K14" i="66"/>
  <c r="I14" i="66"/>
  <c r="G14" i="66"/>
  <c r="F14" i="66"/>
  <c r="Q14" i="66"/>
  <c r="R12" i="66"/>
  <c r="S12" i="66" s="1"/>
  <c r="J13" i="66"/>
  <c r="J16" i="66" s="1"/>
  <c r="G13" i="66"/>
  <c r="G15" i="66" s="1"/>
  <c r="K13" i="66"/>
  <c r="F13" i="66"/>
  <c r="P13" i="66"/>
  <c r="M13" i="66"/>
  <c r="M16" i="66" s="1"/>
  <c r="O13" i="66"/>
  <c r="I13" i="66"/>
  <c r="I15" i="66" s="1"/>
  <c r="L13" i="66"/>
  <c r="H13" i="66"/>
  <c r="H15" i="66" s="1"/>
  <c r="N13" i="66"/>
  <c r="Q13" i="66"/>
  <c r="R9" i="66"/>
  <c r="S9" i="66" s="1"/>
  <c r="N16" i="66"/>
  <c r="K16" i="66"/>
  <c r="K15" i="66"/>
  <c r="G16" i="66"/>
  <c r="D16" i="66"/>
  <c r="D89" i="61"/>
  <c r="C85" i="58"/>
  <c r="D85" i="58" s="1"/>
  <c r="P85" i="58" s="1"/>
  <c r="O16" i="66" l="1"/>
  <c r="O85" i="58"/>
  <c r="I16" i="66"/>
  <c r="L16" i="66"/>
  <c r="P16" i="66"/>
  <c r="L15" i="66"/>
  <c r="N15" i="66"/>
  <c r="P15" i="66"/>
  <c r="J15" i="66"/>
  <c r="M15" i="66"/>
  <c r="O15" i="66"/>
  <c r="R13" i="66"/>
  <c r="S13" i="66" s="1"/>
  <c r="H16" i="66"/>
  <c r="S8" i="66"/>
  <c r="Q15" i="66"/>
  <c r="Q16" i="66"/>
  <c r="R14" i="66"/>
  <c r="S14" i="66" s="1"/>
  <c r="F15" i="66"/>
  <c r="F16" i="66"/>
  <c r="M89" i="61"/>
  <c r="L89" i="61"/>
  <c r="G85" i="58"/>
  <c r="I85" i="58"/>
  <c r="K85" i="58"/>
  <c r="M85" i="58"/>
  <c r="E85" i="58"/>
  <c r="F85" i="58"/>
  <c r="H85" i="58"/>
  <c r="J85" i="58"/>
  <c r="L85" i="58"/>
  <c r="N85" i="58"/>
  <c r="C4" i="35"/>
  <c r="J89" i="61"/>
  <c r="C4" i="34"/>
  <c r="R16" i="66" l="1"/>
  <c r="R15" i="66"/>
  <c r="S15" i="66" s="1"/>
  <c r="Q85" i="58"/>
  <c r="R85" i="58" s="1"/>
  <c r="Q4" i="34"/>
  <c r="Q4" i="35"/>
  <c r="O4" i="34"/>
  <c r="O4" i="35"/>
  <c r="K4" i="34"/>
  <c r="K4" i="35"/>
  <c r="G4" i="34"/>
  <c r="G4" i="35"/>
  <c r="P4" i="34"/>
  <c r="P4" i="35"/>
  <c r="L4" i="34"/>
  <c r="L4" i="35"/>
  <c r="H4" i="34"/>
  <c r="H4" i="35"/>
  <c r="M4" i="34"/>
  <c r="M4" i="35"/>
  <c r="I4" i="34"/>
  <c r="I4" i="35"/>
  <c r="F4" i="34"/>
  <c r="F4" i="35"/>
  <c r="N4" i="34"/>
  <c r="N4" i="35"/>
  <c r="J4" i="34"/>
  <c r="J4" i="35"/>
  <c r="R4" i="34" l="1"/>
  <c r="S4" i="34" s="1"/>
  <c r="R4" i="35"/>
  <c r="R29" i="5" l="1"/>
  <c r="S29" i="5" s="1"/>
  <c r="C6" i="45" l="1"/>
  <c r="R7" i="45"/>
  <c r="C7" i="44"/>
  <c r="R8" i="44"/>
  <c r="C7" i="42"/>
  <c r="R8" i="42"/>
  <c r="C7" i="41"/>
  <c r="R8" i="41"/>
  <c r="C6" i="39"/>
  <c r="R7" i="39"/>
  <c r="C6" i="38"/>
  <c r="R7" i="38"/>
  <c r="C5" i="36"/>
  <c r="R6" i="36"/>
  <c r="C7" i="35"/>
  <c r="R8" i="35"/>
  <c r="C7" i="34"/>
  <c r="D42" i="34" s="1"/>
  <c r="R8" i="34"/>
  <c r="D10" i="38" l="1"/>
  <c r="D39" i="34"/>
  <c r="D38" i="34"/>
  <c r="H7" i="34"/>
  <c r="H42" i="34" s="1"/>
  <c r="J7" i="34"/>
  <c r="J42" i="34" s="1"/>
  <c r="L7" i="34"/>
  <c r="L42" i="34" s="1"/>
  <c r="N7" i="34"/>
  <c r="N42" i="34" s="1"/>
  <c r="P7" i="34"/>
  <c r="P42" i="34" s="1"/>
  <c r="F7" i="34"/>
  <c r="F42" i="34" s="1"/>
  <c r="D40" i="34"/>
  <c r="G7" i="34"/>
  <c r="G42" i="34" s="1"/>
  <c r="I7" i="34"/>
  <c r="I42" i="34" s="1"/>
  <c r="K7" i="34"/>
  <c r="K42" i="34" s="1"/>
  <c r="M7" i="34"/>
  <c r="M42" i="34" s="1"/>
  <c r="O7" i="34"/>
  <c r="O42" i="34" s="1"/>
  <c r="Q7" i="34"/>
  <c r="Q42" i="34" s="1"/>
  <c r="D13" i="38"/>
  <c r="D39" i="35"/>
  <c r="D41" i="35"/>
  <c r="G7" i="35"/>
  <c r="I7" i="35"/>
  <c r="K7" i="35"/>
  <c r="M7" i="35"/>
  <c r="O7" i="35"/>
  <c r="Q7" i="35"/>
  <c r="D40" i="35"/>
  <c r="D38" i="35"/>
  <c r="M38" i="35" s="1"/>
  <c r="H7" i="35"/>
  <c r="J7" i="35"/>
  <c r="L7" i="35"/>
  <c r="N7" i="35"/>
  <c r="P7" i="35"/>
  <c r="F7" i="35"/>
  <c r="D12" i="36"/>
  <c r="D14" i="36"/>
  <c r="G5" i="36"/>
  <c r="I5" i="36"/>
  <c r="K5" i="36"/>
  <c r="M5" i="36"/>
  <c r="O5" i="36"/>
  <c r="Q5" i="36"/>
  <c r="D11" i="36"/>
  <c r="D10" i="36"/>
  <c r="H5" i="36"/>
  <c r="J5" i="36"/>
  <c r="L5" i="36"/>
  <c r="N5" i="36"/>
  <c r="P5" i="36"/>
  <c r="F5" i="36"/>
  <c r="D12" i="38"/>
  <c r="D14" i="38"/>
  <c r="H6" i="38"/>
  <c r="J6" i="38"/>
  <c r="J10" i="38" s="1"/>
  <c r="L6" i="38"/>
  <c r="N6" i="38"/>
  <c r="P6" i="38"/>
  <c r="F6" i="38"/>
  <c r="G6" i="38"/>
  <c r="I6" i="38"/>
  <c r="K6" i="38"/>
  <c r="M6" i="38"/>
  <c r="M10" i="38" s="1"/>
  <c r="O6" i="38"/>
  <c r="Q6" i="38"/>
  <c r="D11" i="38"/>
  <c r="D13" i="41"/>
  <c r="D15" i="41"/>
  <c r="G7" i="41"/>
  <c r="I7" i="41"/>
  <c r="K7" i="41"/>
  <c r="M7" i="41"/>
  <c r="O7" i="41"/>
  <c r="Q7" i="41"/>
  <c r="D12" i="41"/>
  <c r="D11" i="41"/>
  <c r="H7" i="41"/>
  <c r="J7" i="41"/>
  <c r="L7" i="41"/>
  <c r="N7" i="41"/>
  <c r="P7" i="41"/>
  <c r="F7" i="41"/>
  <c r="H7" i="42"/>
  <c r="J7" i="42"/>
  <c r="L7" i="42"/>
  <c r="N7" i="42"/>
  <c r="P7" i="42"/>
  <c r="F7" i="42"/>
  <c r="D13" i="42"/>
  <c r="D15" i="42"/>
  <c r="G7" i="42"/>
  <c r="I7" i="42"/>
  <c r="K7" i="42"/>
  <c r="M7" i="42"/>
  <c r="O7" i="42"/>
  <c r="Q7" i="42"/>
  <c r="D12" i="44"/>
  <c r="D14" i="44"/>
  <c r="G7" i="44"/>
  <c r="I7" i="44"/>
  <c r="K7" i="44"/>
  <c r="M7" i="44"/>
  <c r="O7" i="44"/>
  <c r="Q7" i="44"/>
  <c r="D13" i="44"/>
  <c r="D15" i="44"/>
  <c r="H7" i="44"/>
  <c r="J7" i="44"/>
  <c r="L7" i="44"/>
  <c r="N7" i="44"/>
  <c r="P7" i="44"/>
  <c r="F7" i="44"/>
  <c r="D41" i="34"/>
  <c r="G6" i="39"/>
  <c r="I6" i="39"/>
  <c r="K6" i="39"/>
  <c r="M6" i="39"/>
  <c r="O6" i="39"/>
  <c r="Q6" i="39"/>
  <c r="D11" i="39"/>
  <c r="D14" i="39"/>
  <c r="H6" i="39"/>
  <c r="J6" i="39"/>
  <c r="L6" i="39"/>
  <c r="N6" i="39"/>
  <c r="P6" i="39"/>
  <c r="F6" i="39"/>
  <c r="D12" i="39"/>
  <c r="D12" i="45"/>
  <c r="D14" i="45"/>
  <c r="G6" i="45"/>
  <c r="I6" i="45"/>
  <c r="K6" i="45"/>
  <c r="M6" i="45"/>
  <c r="O6" i="45"/>
  <c r="Q6" i="45"/>
  <c r="H6" i="45"/>
  <c r="J6" i="45"/>
  <c r="L6" i="45"/>
  <c r="N6" i="45"/>
  <c r="P6" i="45"/>
  <c r="F6" i="45"/>
  <c r="D10" i="39"/>
  <c r="D13" i="39"/>
  <c r="D11" i="44"/>
  <c r="C6" i="30"/>
  <c r="D38" i="30" s="1"/>
  <c r="R7" i="30"/>
  <c r="C6" i="22"/>
  <c r="D38" i="22" s="1"/>
  <c r="R7" i="22"/>
  <c r="C6" i="28"/>
  <c r="R7" i="28"/>
  <c r="C6" i="24"/>
  <c r="R7" i="24"/>
  <c r="C6" i="23"/>
  <c r="R7" i="23"/>
  <c r="C6" i="20"/>
  <c r="R7" i="20"/>
  <c r="C40" i="19"/>
  <c r="C6" i="17"/>
  <c r="R7" i="17"/>
  <c r="L41" i="34" l="1"/>
  <c r="I11" i="44"/>
  <c r="Q10" i="39"/>
  <c r="N12" i="41"/>
  <c r="G10" i="36"/>
  <c r="I14" i="44"/>
  <c r="I41" i="35"/>
  <c r="H11" i="39"/>
  <c r="N13" i="39"/>
  <c r="R7" i="35"/>
  <c r="S7" i="35" s="1"/>
  <c r="H12" i="39"/>
  <c r="G11" i="39"/>
  <c r="M12" i="39"/>
  <c r="K11" i="39"/>
  <c r="R42" i="34"/>
  <c r="S42" i="34" s="1"/>
  <c r="Q11" i="36"/>
  <c r="O12" i="44"/>
  <c r="G14" i="44"/>
  <c r="F11" i="41"/>
  <c r="Q12" i="41"/>
  <c r="F14" i="39"/>
  <c r="O39" i="35"/>
  <c r="Q41" i="35"/>
  <c r="M39" i="34"/>
  <c r="N38" i="34"/>
  <c r="M38" i="34"/>
  <c r="Q38" i="35"/>
  <c r="M12" i="44"/>
  <c r="K10" i="36"/>
  <c r="J38" i="34"/>
  <c r="P10" i="36"/>
  <c r="F38" i="35"/>
  <c r="N41" i="35"/>
  <c r="J10" i="36"/>
  <c r="K10" i="39"/>
  <c r="N14" i="44"/>
  <c r="M10" i="36"/>
  <c r="F10" i="36"/>
  <c r="N38" i="35"/>
  <c r="J41" i="35"/>
  <c r="H10" i="36"/>
  <c r="F38" i="34"/>
  <c r="I38" i="35"/>
  <c r="M41" i="35"/>
  <c r="F41" i="35"/>
  <c r="O10" i="36"/>
  <c r="L10" i="36"/>
  <c r="L10" i="39"/>
  <c r="O10" i="39"/>
  <c r="J38" i="35"/>
  <c r="I10" i="36"/>
  <c r="Q10" i="36"/>
  <c r="N10" i="36"/>
  <c r="P10" i="39"/>
  <c r="J14" i="44"/>
  <c r="K14" i="39"/>
  <c r="H41" i="34"/>
  <c r="Q39" i="35"/>
  <c r="L14" i="39"/>
  <c r="G10" i="39"/>
  <c r="O11" i="39"/>
  <c r="L11" i="39"/>
  <c r="Q12" i="39"/>
  <c r="K12" i="41"/>
  <c r="K10" i="38"/>
  <c r="P10" i="38"/>
  <c r="H10" i="38"/>
  <c r="J12" i="39"/>
  <c r="P11" i="39"/>
  <c r="F12" i="41"/>
  <c r="Q10" i="38"/>
  <c r="I10" i="38"/>
  <c r="N10" i="38"/>
  <c r="N12" i="39"/>
  <c r="I12" i="39"/>
  <c r="F12" i="39"/>
  <c r="O10" i="38"/>
  <c r="G10" i="38"/>
  <c r="L10" i="38"/>
  <c r="I39" i="34"/>
  <c r="J11" i="36"/>
  <c r="Q11" i="41"/>
  <c r="M41" i="34"/>
  <c r="I39" i="35"/>
  <c r="O11" i="36"/>
  <c r="P12" i="44"/>
  <c r="L39" i="34"/>
  <c r="Q39" i="34"/>
  <c r="P41" i="34"/>
  <c r="P39" i="35"/>
  <c r="M39" i="35"/>
  <c r="G11" i="36"/>
  <c r="M13" i="39"/>
  <c r="P14" i="39"/>
  <c r="G14" i="39"/>
  <c r="O14" i="39"/>
  <c r="I11" i="41"/>
  <c r="N11" i="41"/>
  <c r="I12" i="44"/>
  <c r="Q12" i="44"/>
  <c r="P39" i="34"/>
  <c r="Q41" i="34"/>
  <c r="I41" i="34"/>
  <c r="L39" i="35"/>
  <c r="G39" i="35"/>
  <c r="K39" i="35"/>
  <c r="N11" i="36"/>
  <c r="K11" i="36"/>
  <c r="F11" i="36"/>
  <c r="J14" i="39"/>
  <c r="N14" i="39"/>
  <c r="F13" i="39"/>
  <c r="J13" i="39"/>
  <c r="I14" i="39"/>
  <c r="M14" i="39"/>
  <c r="Q14" i="39"/>
  <c r="M11" i="41"/>
  <c r="J11" i="41"/>
  <c r="L12" i="44"/>
  <c r="G12" i="44"/>
  <c r="K12" i="44"/>
  <c r="F12" i="44"/>
  <c r="N12" i="44"/>
  <c r="F39" i="34"/>
  <c r="I13" i="39"/>
  <c r="Q13" i="39"/>
  <c r="O41" i="34"/>
  <c r="K41" i="34"/>
  <c r="G41" i="34"/>
  <c r="N41" i="34"/>
  <c r="J41" i="34"/>
  <c r="I38" i="34"/>
  <c r="Q38" i="34"/>
  <c r="G39" i="34"/>
  <c r="K39" i="34"/>
  <c r="O39" i="34"/>
  <c r="F41" i="34"/>
  <c r="N39" i="34"/>
  <c r="J39" i="34"/>
  <c r="N39" i="35"/>
  <c r="J39" i="35"/>
  <c r="L11" i="36"/>
  <c r="P11" i="36"/>
  <c r="I11" i="36"/>
  <c r="M11" i="36"/>
  <c r="P11" i="41"/>
  <c r="L11" i="41"/>
  <c r="H11" i="41"/>
  <c r="J12" i="44"/>
  <c r="O38" i="35"/>
  <c r="G11" i="44"/>
  <c r="F14" i="44"/>
  <c r="O11" i="41"/>
  <c r="P41" i="35"/>
  <c r="L11" i="44"/>
  <c r="O11" i="44"/>
  <c r="P13" i="39"/>
  <c r="P38" i="34"/>
  <c r="L13" i="39"/>
  <c r="H13" i="39"/>
  <c r="O13" i="39"/>
  <c r="K13" i="39"/>
  <c r="P11" i="44"/>
  <c r="H11" i="44"/>
  <c r="K11" i="44"/>
  <c r="K11" i="41"/>
  <c r="K38" i="34"/>
  <c r="O38" i="34"/>
  <c r="H38" i="34"/>
  <c r="L38" i="34"/>
  <c r="L38" i="35"/>
  <c r="P38" i="35"/>
  <c r="G38" i="35"/>
  <c r="K38" i="35"/>
  <c r="F39" i="35"/>
  <c r="K41" i="35"/>
  <c r="O41" i="35"/>
  <c r="H41" i="35"/>
  <c r="L41" i="35"/>
  <c r="J10" i="39"/>
  <c r="N10" i="39"/>
  <c r="I11" i="39"/>
  <c r="M11" i="39"/>
  <c r="Q11" i="39"/>
  <c r="L12" i="39"/>
  <c r="P12" i="39"/>
  <c r="F11" i="39"/>
  <c r="F10" i="39"/>
  <c r="I10" i="39"/>
  <c r="M10" i="39"/>
  <c r="J11" i="39"/>
  <c r="N11" i="39"/>
  <c r="G12" i="39"/>
  <c r="K12" i="39"/>
  <c r="O12" i="39"/>
  <c r="F11" i="44"/>
  <c r="N11" i="44"/>
  <c r="J11" i="44"/>
  <c r="Q11" i="44"/>
  <c r="M11" i="44"/>
  <c r="L14" i="44"/>
  <c r="P14" i="44"/>
  <c r="G13" i="39"/>
  <c r="R6" i="45"/>
  <c r="S6" i="45" s="1"/>
  <c r="J12" i="41"/>
  <c r="G12" i="41"/>
  <c r="O12" i="41"/>
  <c r="L12" i="41"/>
  <c r="P12" i="41"/>
  <c r="I12" i="41"/>
  <c r="M12" i="41"/>
  <c r="R7" i="41"/>
  <c r="S7" i="41" s="1"/>
  <c r="G11" i="41"/>
  <c r="H38" i="35"/>
  <c r="D37" i="30"/>
  <c r="H12" i="41"/>
  <c r="R5" i="36"/>
  <c r="S5" i="36" s="1"/>
  <c r="H11" i="36"/>
  <c r="D41" i="17"/>
  <c r="G6" i="17"/>
  <c r="I6" i="17"/>
  <c r="K6" i="17"/>
  <c r="M6" i="17"/>
  <c r="O6" i="17"/>
  <c r="Q6" i="17"/>
  <c r="D42" i="17"/>
  <c r="H6" i="17"/>
  <c r="J6" i="17"/>
  <c r="L6" i="17"/>
  <c r="N6" i="17"/>
  <c r="P6" i="17"/>
  <c r="F6" i="17"/>
  <c r="D40" i="24"/>
  <c r="G6" i="24"/>
  <c r="I6" i="24"/>
  <c r="K6" i="24"/>
  <c r="M6" i="24"/>
  <c r="O6" i="24"/>
  <c r="Q6" i="24"/>
  <c r="D39" i="24"/>
  <c r="H6" i="24"/>
  <c r="J6" i="24"/>
  <c r="L6" i="24"/>
  <c r="N6" i="24"/>
  <c r="P6" i="24"/>
  <c r="F6" i="24"/>
  <c r="D40" i="28"/>
  <c r="G6" i="28"/>
  <c r="I6" i="28"/>
  <c r="K6" i="28"/>
  <c r="M6" i="28"/>
  <c r="O6" i="28"/>
  <c r="Q6" i="28"/>
  <c r="D39" i="28"/>
  <c r="H6" i="28"/>
  <c r="J6" i="28"/>
  <c r="L6" i="28"/>
  <c r="N6" i="28"/>
  <c r="P6" i="28"/>
  <c r="F6" i="28"/>
  <c r="D39" i="20"/>
  <c r="D38" i="20"/>
  <c r="H6" i="20"/>
  <c r="J6" i="20"/>
  <c r="L6" i="20"/>
  <c r="N6" i="20"/>
  <c r="P6" i="20"/>
  <c r="F6" i="20"/>
  <c r="D40" i="20"/>
  <c r="G6" i="20"/>
  <c r="I6" i="20"/>
  <c r="K6" i="20"/>
  <c r="M6" i="20"/>
  <c r="O6" i="20"/>
  <c r="Q6" i="20"/>
  <c r="D40" i="23"/>
  <c r="H6" i="23"/>
  <c r="J6" i="23"/>
  <c r="L6" i="23"/>
  <c r="N6" i="23"/>
  <c r="P6" i="23"/>
  <c r="F6" i="23"/>
  <c r="D39" i="23"/>
  <c r="D38" i="23"/>
  <c r="N38" i="23" s="1"/>
  <c r="G6" i="23"/>
  <c r="I6" i="23"/>
  <c r="K6" i="23"/>
  <c r="M6" i="23"/>
  <c r="O6" i="23"/>
  <c r="Q6" i="23"/>
  <c r="D38" i="24"/>
  <c r="D38" i="28"/>
  <c r="H12" i="45"/>
  <c r="J12" i="45"/>
  <c r="L12" i="45"/>
  <c r="N12" i="45"/>
  <c r="P12" i="45"/>
  <c r="G12" i="45"/>
  <c r="I12" i="45"/>
  <c r="K12" i="45"/>
  <c r="M12" i="45"/>
  <c r="O12" i="45"/>
  <c r="Q12" i="45"/>
  <c r="F12" i="45"/>
  <c r="H15" i="44"/>
  <c r="J15" i="44"/>
  <c r="L15" i="44"/>
  <c r="N15" i="44"/>
  <c r="P15" i="44"/>
  <c r="G15" i="44"/>
  <c r="I15" i="44"/>
  <c r="K15" i="44"/>
  <c r="M15" i="44"/>
  <c r="O15" i="44"/>
  <c r="Q15" i="44"/>
  <c r="F15" i="44"/>
  <c r="H15" i="42"/>
  <c r="J15" i="42"/>
  <c r="L15" i="42"/>
  <c r="N15" i="42"/>
  <c r="P15" i="42"/>
  <c r="F15" i="42"/>
  <c r="G15" i="42"/>
  <c r="I15" i="42"/>
  <c r="K15" i="42"/>
  <c r="M15" i="42"/>
  <c r="O15" i="42"/>
  <c r="Q15" i="42"/>
  <c r="G13" i="41"/>
  <c r="I13" i="41"/>
  <c r="K13" i="41"/>
  <c r="M13" i="41"/>
  <c r="O13" i="41"/>
  <c r="Q13" i="41"/>
  <c r="H13" i="41"/>
  <c r="J13" i="41"/>
  <c r="L13" i="41"/>
  <c r="N13" i="41"/>
  <c r="P13" i="41"/>
  <c r="F13" i="41"/>
  <c r="H12" i="38"/>
  <c r="J12" i="38"/>
  <c r="L12" i="38"/>
  <c r="N12" i="38"/>
  <c r="P12" i="38"/>
  <c r="G12" i="38"/>
  <c r="I12" i="38"/>
  <c r="K12" i="38"/>
  <c r="M12" i="38"/>
  <c r="O12" i="38"/>
  <c r="Q12" i="38"/>
  <c r="F12" i="38"/>
  <c r="G12" i="36"/>
  <c r="I12" i="36"/>
  <c r="K12" i="36"/>
  <c r="M12" i="36"/>
  <c r="O12" i="36"/>
  <c r="Q12" i="36"/>
  <c r="H12" i="36"/>
  <c r="J12" i="36"/>
  <c r="L12" i="36"/>
  <c r="N12" i="36"/>
  <c r="P12" i="36"/>
  <c r="F12" i="36"/>
  <c r="G40" i="35"/>
  <c r="I40" i="35"/>
  <c r="K40" i="35"/>
  <c r="M40" i="35"/>
  <c r="O40" i="35"/>
  <c r="Q40" i="35"/>
  <c r="H40" i="35"/>
  <c r="J40" i="35"/>
  <c r="L40" i="35"/>
  <c r="N40" i="35"/>
  <c r="P40" i="35"/>
  <c r="F40" i="35"/>
  <c r="G13" i="38"/>
  <c r="I13" i="38"/>
  <c r="K13" i="38"/>
  <c r="M13" i="38"/>
  <c r="O13" i="38"/>
  <c r="Q13" i="38"/>
  <c r="H13" i="38"/>
  <c r="J13" i="38"/>
  <c r="L13" i="38"/>
  <c r="N13" i="38"/>
  <c r="P13" i="38"/>
  <c r="F13" i="38"/>
  <c r="G40" i="34"/>
  <c r="I40" i="34"/>
  <c r="K40" i="34"/>
  <c r="M40" i="34"/>
  <c r="O40" i="34"/>
  <c r="Q40" i="34"/>
  <c r="H40" i="34"/>
  <c r="J40" i="34"/>
  <c r="L40" i="34"/>
  <c r="N40" i="34"/>
  <c r="P40" i="34"/>
  <c r="F40" i="34"/>
  <c r="D41" i="20"/>
  <c r="F6" i="22"/>
  <c r="P6" i="22"/>
  <c r="P38" i="22" s="1"/>
  <c r="N6" i="22"/>
  <c r="N38" i="22" s="1"/>
  <c r="L6" i="22"/>
  <c r="L38" i="22" s="1"/>
  <c r="J6" i="22"/>
  <c r="H6" i="22"/>
  <c r="H38" i="22" s="1"/>
  <c r="D39" i="22"/>
  <c r="D37" i="22"/>
  <c r="D40" i="22"/>
  <c r="J40" i="22" s="1"/>
  <c r="F6" i="30"/>
  <c r="P6" i="30"/>
  <c r="P38" i="30" s="1"/>
  <c r="N6" i="30"/>
  <c r="N38" i="30" s="1"/>
  <c r="L6" i="30"/>
  <c r="J6" i="30"/>
  <c r="H6" i="30"/>
  <c r="H38" i="30" s="1"/>
  <c r="D39" i="30"/>
  <c r="H10" i="39"/>
  <c r="R6" i="39"/>
  <c r="S6" i="39" s="1"/>
  <c r="H14" i="39"/>
  <c r="R7" i="44"/>
  <c r="S7" i="44" s="1"/>
  <c r="H12" i="44"/>
  <c r="R7" i="42"/>
  <c r="S7" i="42" s="1"/>
  <c r="G41" i="35"/>
  <c r="H39" i="34"/>
  <c r="H14" i="45"/>
  <c r="J14" i="45"/>
  <c r="L14" i="45"/>
  <c r="N14" i="45"/>
  <c r="P14" i="45"/>
  <c r="G14" i="45"/>
  <c r="I14" i="45"/>
  <c r="K14" i="45"/>
  <c r="M14" i="45"/>
  <c r="O14" i="45"/>
  <c r="Q14" i="45"/>
  <c r="F14" i="45"/>
  <c r="G13" i="44"/>
  <c r="I13" i="44"/>
  <c r="K13" i="44"/>
  <c r="M13" i="44"/>
  <c r="O13" i="44"/>
  <c r="Q13" i="44"/>
  <c r="F13" i="44"/>
  <c r="H13" i="44"/>
  <c r="J13" i="44"/>
  <c r="L13" i="44"/>
  <c r="N13" i="44"/>
  <c r="P13" i="44"/>
  <c r="H14" i="44"/>
  <c r="M14" i="44"/>
  <c r="Q14" i="44"/>
  <c r="K14" i="44"/>
  <c r="O14" i="44"/>
  <c r="G13" i="42"/>
  <c r="I13" i="42"/>
  <c r="K13" i="42"/>
  <c r="M13" i="42"/>
  <c r="O13" i="42"/>
  <c r="Q13" i="42"/>
  <c r="F13" i="42"/>
  <c r="H13" i="42"/>
  <c r="J13" i="42"/>
  <c r="L13" i="42"/>
  <c r="N13" i="42"/>
  <c r="P13" i="42"/>
  <c r="G15" i="41"/>
  <c r="I15" i="41"/>
  <c r="K15" i="41"/>
  <c r="M15" i="41"/>
  <c r="O15" i="41"/>
  <c r="Q15" i="41"/>
  <c r="F15" i="41"/>
  <c r="H15" i="41"/>
  <c r="J15" i="41"/>
  <c r="L15" i="41"/>
  <c r="N15" i="41"/>
  <c r="P15" i="41"/>
  <c r="G11" i="38"/>
  <c r="I11" i="38"/>
  <c r="K11" i="38"/>
  <c r="M11" i="38"/>
  <c r="O11" i="38"/>
  <c r="Q11" i="38"/>
  <c r="H11" i="38"/>
  <c r="J11" i="38"/>
  <c r="L11" i="38"/>
  <c r="N11" i="38"/>
  <c r="P11" i="38"/>
  <c r="F11" i="38"/>
  <c r="H14" i="38"/>
  <c r="J14" i="38"/>
  <c r="L14" i="38"/>
  <c r="N14" i="38"/>
  <c r="P14" i="38"/>
  <c r="G14" i="38"/>
  <c r="I14" i="38"/>
  <c r="K14" i="38"/>
  <c r="M14" i="38"/>
  <c r="O14" i="38"/>
  <c r="Q14" i="38"/>
  <c r="F14" i="38"/>
  <c r="G14" i="36"/>
  <c r="I14" i="36"/>
  <c r="K14" i="36"/>
  <c r="M14" i="36"/>
  <c r="O14" i="36"/>
  <c r="Q14" i="36"/>
  <c r="F14" i="36"/>
  <c r="H14" i="36"/>
  <c r="J14" i="36"/>
  <c r="L14" i="36"/>
  <c r="N14" i="36"/>
  <c r="P14" i="36"/>
  <c r="D41" i="23"/>
  <c r="J41" i="23" s="1"/>
  <c r="D41" i="24"/>
  <c r="D41" i="28"/>
  <c r="Q6" i="22"/>
  <c r="Q38" i="22" s="1"/>
  <c r="O6" i="22"/>
  <c r="O38" i="22" s="1"/>
  <c r="M6" i="22"/>
  <c r="M38" i="22" s="1"/>
  <c r="K6" i="22"/>
  <c r="K38" i="22" s="1"/>
  <c r="I6" i="22"/>
  <c r="I38" i="22" s="1"/>
  <c r="G6" i="22"/>
  <c r="G38" i="22" s="1"/>
  <c r="D41" i="22"/>
  <c r="Q6" i="30"/>
  <c r="O6" i="30"/>
  <c r="M6" i="30"/>
  <c r="M38" i="30" s="1"/>
  <c r="K6" i="30"/>
  <c r="I6" i="30"/>
  <c r="I38" i="30" s="1"/>
  <c r="G6" i="30"/>
  <c r="D40" i="30"/>
  <c r="R6" i="38"/>
  <c r="S6" i="38" s="1"/>
  <c r="H39" i="35"/>
  <c r="F10" i="38"/>
  <c r="R7" i="34"/>
  <c r="S7" i="34" s="1"/>
  <c r="G38" i="34"/>
  <c r="Q38" i="30"/>
  <c r="L38" i="30"/>
  <c r="J38" i="22"/>
  <c r="C7" i="15"/>
  <c r="R8" i="15"/>
  <c r="D43" i="15" l="1"/>
  <c r="P40" i="30"/>
  <c r="H41" i="20"/>
  <c r="O38" i="20"/>
  <c r="F41" i="22"/>
  <c r="P37" i="22"/>
  <c r="H39" i="23"/>
  <c r="P37" i="30"/>
  <c r="N38" i="20"/>
  <c r="G39" i="20"/>
  <c r="J38" i="23"/>
  <c r="I37" i="30"/>
  <c r="K39" i="23"/>
  <c r="Q37" i="30"/>
  <c r="F38" i="23"/>
  <c r="M38" i="23"/>
  <c r="L37" i="30"/>
  <c r="O39" i="20"/>
  <c r="J38" i="20"/>
  <c r="F38" i="20"/>
  <c r="N40" i="22"/>
  <c r="K38" i="20"/>
  <c r="G41" i="20"/>
  <c r="J37" i="22"/>
  <c r="L39" i="20"/>
  <c r="O41" i="20"/>
  <c r="J41" i="20"/>
  <c r="P39" i="23"/>
  <c r="H37" i="22"/>
  <c r="R39" i="35"/>
  <c r="S39" i="35" s="1"/>
  <c r="M41" i="23"/>
  <c r="I38" i="20"/>
  <c r="M38" i="20"/>
  <c r="Q38" i="20"/>
  <c r="I38" i="23"/>
  <c r="Q38" i="23"/>
  <c r="Q41" i="23"/>
  <c r="F40" i="22"/>
  <c r="M37" i="30"/>
  <c r="H37" i="30"/>
  <c r="G37" i="30"/>
  <c r="K37" i="30"/>
  <c r="O37" i="30"/>
  <c r="R41" i="35"/>
  <c r="S41" i="35" s="1"/>
  <c r="J37" i="30"/>
  <c r="F37" i="30"/>
  <c r="P41" i="22"/>
  <c r="I41" i="23"/>
  <c r="O38" i="23"/>
  <c r="K38" i="23"/>
  <c r="M37" i="22"/>
  <c r="M40" i="22"/>
  <c r="P38" i="20"/>
  <c r="L38" i="20"/>
  <c r="R38" i="35"/>
  <c r="S38" i="35" s="1"/>
  <c r="L41" i="23"/>
  <c r="K39" i="20"/>
  <c r="P39" i="20"/>
  <c r="F41" i="20"/>
  <c r="K41" i="20"/>
  <c r="N41" i="20"/>
  <c r="L39" i="23"/>
  <c r="G39" i="23"/>
  <c r="O39" i="23"/>
  <c r="O37" i="22"/>
  <c r="P40" i="22"/>
  <c r="L40" i="22"/>
  <c r="H40" i="22"/>
  <c r="J38" i="30"/>
  <c r="F38" i="30"/>
  <c r="H38" i="20"/>
  <c r="L38" i="23"/>
  <c r="N40" i="30"/>
  <c r="G37" i="22"/>
  <c r="P41" i="23"/>
  <c r="H41" i="23"/>
  <c r="Q39" i="20"/>
  <c r="I37" i="22"/>
  <c r="J39" i="20"/>
  <c r="N39" i="20"/>
  <c r="F39" i="20"/>
  <c r="I39" i="20"/>
  <c r="M39" i="20"/>
  <c r="Q41" i="20"/>
  <c r="M41" i="20"/>
  <c r="I41" i="20"/>
  <c r="P41" i="20"/>
  <c r="L41" i="20"/>
  <c r="H38" i="23"/>
  <c r="P38" i="23"/>
  <c r="J39" i="23"/>
  <c r="N39" i="23"/>
  <c r="F39" i="23"/>
  <c r="I39" i="23"/>
  <c r="M39" i="23"/>
  <c r="Q39" i="23"/>
  <c r="K37" i="22"/>
  <c r="Q37" i="22"/>
  <c r="L37" i="22"/>
  <c r="F37" i="22"/>
  <c r="N37" i="22"/>
  <c r="Q40" i="22"/>
  <c r="I40" i="22"/>
  <c r="L41" i="22"/>
  <c r="N37" i="30"/>
  <c r="G38" i="30"/>
  <c r="K38" i="30"/>
  <c r="O38" i="30"/>
  <c r="R40" i="35"/>
  <c r="S40" i="35" s="1"/>
  <c r="R6" i="28"/>
  <c r="S6" i="28" s="1"/>
  <c r="R6" i="17"/>
  <c r="S6" i="17" s="1"/>
  <c r="F41" i="23"/>
  <c r="O41" i="23"/>
  <c r="K41" i="23"/>
  <c r="G41" i="23"/>
  <c r="N41" i="23"/>
  <c r="J40" i="30"/>
  <c r="H41" i="24"/>
  <c r="J41" i="24"/>
  <c r="L41" i="24"/>
  <c r="N41" i="24"/>
  <c r="P41" i="24"/>
  <c r="F41" i="24"/>
  <c r="G41" i="24"/>
  <c r="I41" i="24"/>
  <c r="K41" i="24"/>
  <c r="M41" i="24"/>
  <c r="O41" i="24"/>
  <c r="Q41" i="24"/>
  <c r="H39" i="30"/>
  <c r="J39" i="30"/>
  <c r="L39" i="30"/>
  <c r="N39" i="30"/>
  <c r="P39" i="30"/>
  <c r="F39" i="30"/>
  <c r="G39" i="30"/>
  <c r="I39" i="30"/>
  <c r="K39" i="30"/>
  <c r="M39" i="30"/>
  <c r="O39" i="30"/>
  <c r="Q39" i="30"/>
  <c r="G38" i="28"/>
  <c r="I38" i="28"/>
  <c r="K38" i="28"/>
  <c r="M38" i="28"/>
  <c r="O38" i="28"/>
  <c r="Q38" i="28"/>
  <c r="H38" i="28"/>
  <c r="J38" i="28"/>
  <c r="L38" i="28"/>
  <c r="N38" i="28"/>
  <c r="P38" i="28"/>
  <c r="F38" i="28"/>
  <c r="H40" i="23"/>
  <c r="J40" i="23"/>
  <c r="L40" i="23"/>
  <c r="N40" i="23"/>
  <c r="P40" i="23"/>
  <c r="F40" i="23"/>
  <c r="G40" i="23"/>
  <c r="I40" i="23"/>
  <c r="K40" i="23"/>
  <c r="M40" i="23"/>
  <c r="O40" i="23"/>
  <c r="Q40" i="23"/>
  <c r="H39" i="24"/>
  <c r="J39" i="24"/>
  <c r="L39" i="24"/>
  <c r="N39" i="24"/>
  <c r="P39" i="24"/>
  <c r="F39" i="24"/>
  <c r="G39" i="24"/>
  <c r="I39" i="24"/>
  <c r="K39" i="24"/>
  <c r="M39" i="24"/>
  <c r="O39" i="24"/>
  <c r="Q39" i="24"/>
  <c r="G40" i="24"/>
  <c r="I40" i="24"/>
  <c r="K40" i="24"/>
  <c r="M40" i="24"/>
  <c r="O40" i="24"/>
  <c r="Q40" i="24"/>
  <c r="H40" i="24"/>
  <c r="J40" i="24"/>
  <c r="L40" i="24"/>
  <c r="N40" i="24"/>
  <c r="P40" i="24"/>
  <c r="F40" i="24"/>
  <c r="G41" i="17"/>
  <c r="I41" i="17"/>
  <c r="K41" i="17"/>
  <c r="M41" i="17"/>
  <c r="O41" i="17"/>
  <c r="Q41" i="17"/>
  <c r="F41" i="17"/>
  <c r="H41" i="17"/>
  <c r="J41" i="17"/>
  <c r="L41" i="17"/>
  <c r="N41" i="17"/>
  <c r="P41" i="17"/>
  <c r="Q7" i="15"/>
  <c r="M7" i="15"/>
  <c r="I7" i="15"/>
  <c r="F7" i="15"/>
  <c r="P7" i="15"/>
  <c r="N7" i="15"/>
  <c r="L7" i="15"/>
  <c r="J7" i="15"/>
  <c r="H7" i="15"/>
  <c r="D41" i="15"/>
  <c r="O40" i="22"/>
  <c r="K40" i="22"/>
  <c r="G40" i="22"/>
  <c r="J41" i="22"/>
  <c r="N41" i="22"/>
  <c r="L40" i="30"/>
  <c r="R6" i="30"/>
  <c r="S6" i="30" s="1"/>
  <c r="G38" i="23"/>
  <c r="R6" i="23"/>
  <c r="S6" i="23" s="1"/>
  <c r="R6" i="20"/>
  <c r="S6" i="20" s="1"/>
  <c r="G38" i="20"/>
  <c r="R6" i="24"/>
  <c r="S6" i="24" s="1"/>
  <c r="H40" i="30"/>
  <c r="G40" i="30"/>
  <c r="K40" i="30"/>
  <c r="O40" i="30"/>
  <c r="I40" i="30"/>
  <c r="M40" i="30"/>
  <c r="Q40" i="30"/>
  <c r="F40" i="30"/>
  <c r="H41" i="22"/>
  <c r="G41" i="22"/>
  <c r="K41" i="22"/>
  <c r="O41" i="22"/>
  <c r="I41" i="22"/>
  <c r="M41" i="22"/>
  <c r="Q41" i="22"/>
  <c r="H41" i="28"/>
  <c r="J41" i="28"/>
  <c r="L41" i="28"/>
  <c r="N41" i="28"/>
  <c r="P41" i="28"/>
  <c r="F41" i="28"/>
  <c r="G41" i="28"/>
  <c r="I41" i="28"/>
  <c r="K41" i="28"/>
  <c r="M41" i="28"/>
  <c r="O41" i="28"/>
  <c r="Q41" i="28"/>
  <c r="H39" i="22"/>
  <c r="J39" i="22"/>
  <c r="L39" i="22"/>
  <c r="N39" i="22"/>
  <c r="P39" i="22"/>
  <c r="G39" i="22"/>
  <c r="I39" i="22"/>
  <c r="K39" i="22"/>
  <c r="M39" i="22"/>
  <c r="O39" i="22"/>
  <c r="Q39" i="22"/>
  <c r="F39" i="22"/>
  <c r="G38" i="24"/>
  <c r="I38" i="24"/>
  <c r="K38" i="24"/>
  <c r="M38" i="24"/>
  <c r="O38" i="24"/>
  <c r="Q38" i="24"/>
  <c r="H38" i="24"/>
  <c r="J38" i="24"/>
  <c r="L38" i="24"/>
  <c r="N38" i="24"/>
  <c r="P38" i="24"/>
  <c r="F38" i="24"/>
  <c r="G40" i="20"/>
  <c r="I40" i="20"/>
  <c r="K40" i="20"/>
  <c r="M40" i="20"/>
  <c r="O40" i="20"/>
  <c r="Q40" i="20"/>
  <c r="H40" i="20"/>
  <c r="J40" i="20"/>
  <c r="L40" i="20"/>
  <c r="N40" i="20"/>
  <c r="P40" i="20"/>
  <c r="F40" i="20"/>
  <c r="H39" i="28"/>
  <c r="J39" i="28"/>
  <c r="L39" i="28"/>
  <c r="N39" i="28"/>
  <c r="P39" i="28"/>
  <c r="F39" i="28"/>
  <c r="G39" i="28"/>
  <c r="I39" i="28"/>
  <c r="K39" i="28"/>
  <c r="M39" i="28"/>
  <c r="O39" i="28"/>
  <c r="Q39" i="28"/>
  <c r="G40" i="28"/>
  <c r="I40" i="28"/>
  <c r="K40" i="28"/>
  <c r="M40" i="28"/>
  <c r="O40" i="28"/>
  <c r="Q40" i="28"/>
  <c r="H40" i="28"/>
  <c r="J40" i="28"/>
  <c r="L40" i="28"/>
  <c r="N40" i="28"/>
  <c r="P40" i="28"/>
  <c r="F40" i="28"/>
  <c r="H42" i="17"/>
  <c r="J42" i="17"/>
  <c r="L42" i="17"/>
  <c r="N42" i="17"/>
  <c r="P42" i="17"/>
  <c r="G42" i="17"/>
  <c r="I42" i="17"/>
  <c r="K42" i="17"/>
  <c r="M42" i="17"/>
  <c r="O42" i="17"/>
  <c r="Q42" i="17"/>
  <c r="F42" i="17"/>
  <c r="O7" i="15"/>
  <c r="K7" i="15"/>
  <c r="G7" i="15"/>
  <c r="R6" i="22"/>
  <c r="S6" i="22" s="1"/>
  <c r="F38" i="22"/>
  <c r="H39" i="20"/>
  <c r="H43" i="15" l="1"/>
  <c r="Q43" i="15"/>
  <c r="M43" i="15"/>
  <c r="I43" i="15"/>
  <c r="F43" i="15"/>
  <c r="N43" i="15"/>
  <c r="J43" i="15"/>
  <c r="O43" i="15"/>
  <c r="K43" i="15"/>
  <c r="G43" i="15"/>
  <c r="P43" i="15"/>
  <c r="L43" i="15"/>
  <c r="G41" i="15"/>
  <c r="I41" i="15"/>
  <c r="K41" i="15"/>
  <c r="M41" i="15"/>
  <c r="O41" i="15"/>
  <c r="Q41" i="15"/>
  <c r="F41" i="15"/>
  <c r="H41" i="15"/>
  <c r="J41" i="15"/>
  <c r="L41" i="15"/>
  <c r="N41" i="15"/>
  <c r="P41" i="15"/>
  <c r="R7" i="15"/>
  <c r="R17" i="9"/>
  <c r="C16" i="9"/>
  <c r="C4" i="4"/>
  <c r="R5" i="4"/>
  <c r="R43" i="15" l="1"/>
  <c r="S43" i="15" s="1"/>
  <c r="D47" i="9"/>
  <c r="D49" i="9"/>
  <c r="D50" i="9"/>
  <c r="G16" i="9"/>
  <c r="I16" i="9"/>
  <c r="K16" i="9"/>
  <c r="M16" i="9"/>
  <c r="O16" i="9"/>
  <c r="Q16" i="9"/>
  <c r="H16" i="9"/>
  <c r="J16" i="9"/>
  <c r="L16" i="9"/>
  <c r="N16" i="9"/>
  <c r="P16" i="9"/>
  <c r="F16" i="9"/>
  <c r="D24" i="4"/>
  <c r="G4" i="4"/>
  <c r="I4" i="4"/>
  <c r="K4" i="4"/>
  <c r="M4" i="4"/>
  <c r="O4" i="4"/>
  <c r="Q4" i="4"/>
  <c r="D22" i="4"/>
  <c r="H4" i="4"/>
  <c r="J4" i="4"/>
  <c r="L4" i="4"/>
  <c r="N4" i="4"/>
  <c r="P4" i="4"/>
  <c r="F4" i="4"/>
  <c r="G22" i="4" l="1"/>
  <c r="I22" i="4"/>
  <c r="K22" i="4"/>
  <c r="M22" i="4"/>
  <c r="O22" i="4"/>
  <c r="Q22" i="4"/>
  <c r="H22" i="4"/>
  <c r="J22" i="4"/>
  <c r="L22" i="4"/>
  <c r="N22" i="4"/>
  <c r="P22" i="4"/>
  <c r="F22" i="4"/>
  <c r="G24" i="4"/>
  <c r="I24" i="4"/>
  <c r="K24" i="4"/>
  <c r="M24" i="4"/>
  <c r="O24" i="4"/>
  <c r="Q24" i="4"/>
  <c r="H24" i="4"/>
  <c r="J24" i="4"/>
  <c r="L24" i="4"/>
  <c r="N24" i="4"/>
  <c r="P24" i="4"/>
  <c r="F24" i="4"/>
  <c r="H50" i="9"/>
  <c r="L50" i="9"/>
  <c r="P50" i="9"/>
  <c r="G50" i="9"/>
  <c r="I50" i="9"/>
  <c r="K50" i="9"/>
  <c r="M50" i="9"/>
  <c r="O50" i="9"/>
  <c r="Q50" i="9"/>
  <c r="J50" i="9"/>
  <c r="N50" i="9"/>
  <c r="F50" i="9"/>
  <c r="J47" i="9"/>
  <c r="N47" i="9"/>
  <c r="F47" i="9"/>
  <c r="G47" i="9"/>
  <c r="I47" i="9"/>
  <c r="K47" i="9"/>
  <c r="M47" i="9"/>
  <c r="O47" i="9"/>
  <c r="Q47" i="9"/>
  <c r="H47" i="9"/>
  <c r="L47" i="9"/>
  <c r="P47" i="9"/>
  <c r="R16" i="9"/>
  <c r="T16" i="9" s="1"/>
  <c r="H49" i="9"/>
  <c r="L49" i="9"/>
  <c r="F49" i="9"/>
  <c r="G49" i="9"/>
  <c r="I49" i="9"/>
  <c r="K49" i="9"/>
  <c r="M49" i="9"/>
  <c r="O49" i="9"/>
  <c r="Q49" i="9"/>
  <c r="J49" i="9"/>
  <c r="N49" i="9"/>
  <c r="P49" i="9"/>
  <c r="C22" i="55"/>
  <c r="C874" i="62" l="1"/>
  <c r="C21" i="55"/>
  <c r="C23" i="55" s="1"/>
  <c r="C10" i="60" s="1"/>
  <c r="C798" i="62"/>
  <c r="D38" i="62"/>
  <c r="D11" i="62"/>
  <c r="R4" i="5" l="1"/>
  <c r="C62" i="35" l="1"/>
  <c r="C61" i="46" l="1"/>
  <c r="C30" i="60" s="1"/>
  <c r="C34" i="46"/>
  <c r="R7" i="46"/>
  <c r="C6" i="46"/>
  <c r="D15" i="46" s="1"/>
  <c r="R7" i="48"/>
  <c r="C6" i="48"/>
  <c r="D12" i="48" s="1"/>
  <c r="C6" i="50"/>
  <c r="R7" i="49"/>
  <c r="C6" i="49"/>
  <c r="R7" i="50"/>
  <c r="R7" i="51"/>
  <c r="C6" i="51"/>
  <c r="R5" i="3"/>
  <c r="D23" i="3"/>
  <c r="D22" i="3"/>
  <c r="C21" i="3"/>
  <c r="D21" i="3" s="1"/>
  <c r="D20" i="3"/>
  <c r="D19" i="3"/>
  <c r="D18" i="3"/>
  <c r="D17" i="3"/>
  <c r="D16" i="3"/>
  <c r="D15" i="3"/>
  <c r="D14" i="3"/>
  <c r="D13" i="3"/>
  <c r="D12" i="3"/>
  <c r="D11" i="3"/>
  <c r="D10" i="3"/>
  <c r="D9" i="3"/>
  <c r="Q6" i="51" l="1"/>
  <c r="D12" i="51"/>
  <c r="D14" i="51"/>
  <c r="P6" i="49"/>
  <c r="D8" i="3"/>
  <c r="N8" i="3" s="1"/>
  <c r="Q45" i="46"/>
  <c r="O45" i="46"/>
  <c r="M45" i="46"/>
  <c r="K45" i="46"/>
  <c r="I45" i="46"/>
  <c r="G45" i="46"/>
  <c r="P45" i="46"/>
  <c r="N45" i="46"/>
  <c r="L45" i="46"/>
  <c r="J45" i="46"/>
  <c r="H45" i="46"/>
  <c r="F45" i="46"/>
  <c r="D14" i="46"/>
  <c r="D12" i="50"/>
  <c r="D14" i="50"/>
  <c r="D12" i="49"/>
  <c r="P12" i="3"/>
  <c r="N12" i="3"/>
  <c r="L12" i="3"/>
  <c r="J12" i="3"/>
  <c r="H12" i="3"/>
  <c r="Q12" i="3"/>
  <c r="O12" i="3"/>
  <c r="M12" i="3"/>
  <c r="K12" i="3"/>
  <c r="I12" i="3"/>
  <c r="G12" i="3"/>
  <c r="F12" i="3"/>
  <c r="P16" i="3"/>
  <c r="N16" i="3"/>
  <c r="L16" i="3"/>
  <c r="J16" i="3"/>
  <c r="H16" i="3"/>
  <c r="Q16" i="3"/>
  <c r="O16" i="3"/>
  <c r="M16" i="3"/>
  <c r="K16" i="3"/>
  <c r="I16" i="3"/>
  <c r="G16" i="3"/>
  <c r="F16" i="3"/>
  <c r="P22" i="3"/>
  <c r="N22" i="3"/>
  <c r="L22" i="3"/>
  <c r="J22" i="3"/>
  <c r="H22" i="3"/>
  <c r="Q22" i="3"/>
  <c r="O22" i="3"/>
  <c r="M22" i="3"/>
  <c r="K22" i="3"/>
  <c r="I22" i="3"/>
  <c r="G22" i="3"/>
  <c r="F22" i="3"/>
  <c r="P10" i="3"/>
  <c r="N10" i="3"/>
  <c r="L10" i="3"/>
  <c r="J10" i="3"/>
  <c r="H10" i="3"/>
  <c r="Q10" i="3"/>
  <c r="O10" i="3"/>
  <c r="M10" i="3"/>
  <c r="K10" i="3"/>
  <c r="I10" i="3"/>
  <c r="G10" i="3"/>
  <c r="F10" i="3"/>
  <c r="P14" i="3"/>
  <c r="N14" i="3"/>
  <c r="L14" i="3"/>
  <c r="J14" i="3"/>
  <c r="H14" i="3"/>
  <c r="Q14" i="3"/>
  <c r="O14" i="3"/>
  <c r="M14" i="3"/>
  <c r="K14" i="3"/>
  <c r="I14" i="3"/>
  <c r="G14" i="3"/>
  <c r="F14" i="3"/>
  <c r="P18" i="3"/>
  <c r="N18" i="3"/>
  <c r="L18" i="3"/>
  <c r="J18" i="3"/>
  <c r="H18" i="3"/>
  <c r="Q18" i="3"/>
  <c r="O18" i="3"/>
  <c r="M18" i="3"/>
  <c r="K18" i="3"/>
  <c r="I18" i="3"/>
  <c r="G18" i="3"/>
  <c r="F18" i="3"/>
  <c r="P20" i="3"/>
  <c r="N20" i="3"/>
  <c r="L20" i="3"/>
  <c r="J20" i="3"/>
  <c r="H20" i="3"/>
  <c r="Q20" i="3"/>
  <c r="O20" i="3"/>
  <c r="M20" i="3"/>
  <c r="K20" i="3"/>
  <c r="I20" i="3"/>
  <c r="G20" i="3"/>
  <c r="F20" i="3"/>
  <c r="Q9" i="3"/>
  <c r="O9" i="3"/>
  <c r="M9" i="3"/>
  <c r="K9" i="3"/>
  <c r="I9" i="3"/>
  <c r="G9" i="3"/>
  <c r="F9" i="3"/>
  <c r="P9" i="3"/>
  <c r="N9" i="3"/>
  <c r="L9" i="3"/>
  <c r="J9" i="3"/>
  <c r="H9" i="3"/>
  <c r="Q11" i="3"/>
  <c r="O11" i="3"/>
  <c r="M11" i="3"/>
  <c r="K11" i="3"/>
  <c r="I11" i="3"/>
  <c r="G11" i="3"/>
  <c r="F11" i="3"/>
  <c r="P11" i="3"/>
  <c r="N11" i="3"/>
  <c r="L11" i="3"/>
  <c r="J11" i="3"/>
  <c r="H11" i="3"/>
  <c r="Q13" i="3"/>
  <c r="O13" i="3"/>
  <c r="M13" i="3"/>
  <c r="K13" i="3"/>
  <c r="I13" i="3"/>
  <c r="G13" i="3"/>
  <c r="F13" i="3"/>
  <c r="P13" i="3"/>
  <c r="N13" i="3"/>
  <c r="L13" i="3"/>
  <c r="J13" i="3"/>
  <c r="H13" i="3"/>
  <c r="Q15" i="3"/>
  <c r="O15" i="3"/>
  <c r="M15" i="3"/>
  <c r="K15" i="3"/>
  <c r="I15" i="3"/>
  <c r="G15" i="3"/>
  <c r="F15" i="3"/>
  <c r="P15" i="3"/>
  <c r="N15" i="3"/>
  <c r="L15" i="3"/>
  <c r="J15" i="3"/>
  <c r="H15" i="3"/>
  <c r="Q17" i="3"/>
  <c r="O17" i="3"/>
  <c r="M17" i="3"/>
  <c r="K17" i="3"/>
  <c r="I17" i="3"/>
  <c r="G17" i="3"/>
  <c r="F17" i="3"/>
  <c r="P17" i="3"/>
  <c r="N17" i="3"/>
  <c r="L17" i="3"/>
  <c r="J17" i="3"/>
  <c r="H17" i="3"/>
  <c r="Q19" i="3"/>
  <c r="O19" i="3"/>
  <c r="M19" i="3"/>
  <c r="K19" i="3"/>
  <c r="I19" i="3"/>
  <c r="G19" i="3"/>
  <c r="F19" i="3"/>
  <c r="P19" i="3"/>
  <c r="N19" i="3"/>
  <c r="L19" i="3"/>
  <c r="J19" i="3"/>
  <c r="H19" i="3"/>
  <c r="Q21" i="3"/>
  <c r="O21" i="3"/>
  <c r="M21" i="3"/>
  <c r="K21" i="3"/>
  <c r="I21" i="3"/>
  <c r="G21" i="3"/>
  <c r="F21" i="3"/>
  <c r="P21" i="3"/>
  <c r="N21" i="3"/>
  <c r="L21" i="3"/>
  <c r="J21" i="3"/>
  <c r="H21" i="3"/>
  <c r="Q23" i="3"/>
  <c r="O23" i="3"/>
  <c r="M23" i="3"/>
  <c r="K23" i="3"/>
  <c r="I23" i="3"/>
  <c r="G23" i="3"/>
  <c r="F23" i="3"/>
  <c r="P23" i="3"/>
  <c r="N23" i="3"/>
  <c r="L23" i="3"/>
  <c r="J23" i="3"/>
  <c r="H23" i="3"/>
  <c r="F6" i="51"/>
  <c r="H6" i="51"/>
  <c r="J6" i="51"/>
  <c r="L6" i="51"/>
  <c r="N6" i="51"/>
  <c r="P6" i="51"/>
  <c r="D10" i="49"/>
  <c r="D11" i="48"/>
  <c r="D12" i="46"/>
  <c r="D10" i="46"/>
  <c r="G6" i="51"/>
  <c r="I6" i="51"/>
  <c r="K6" i="51"/>
  <c r="M6" i="51"/>
  <c r="O6" i="51"/>
  <c r="D11" i="49"/>
  <c r="D14" i="49"/>
  <c r="D10" i="48"/>
  <c r="D14" i="48"/>
  <c r="D11" i="46"/>
  <c r="Q6" i="46"/>
  <c r="Q15" i="46" s="1"/>
  <c r="O6" i="46"/>
  <c r="M6" i="46"/>
  <c r="M15" i="46" s="1"/>
  <c r="K6" i="46"/>
  <c r="I6" i="46"/>
  <c r="I15" i="46" s="1"/>
  <c r="G6" i="46"/>
  <c r="P6" i="46"/>
  <c r="P15" i="46" s="1"/>
  <c r="N6" i="46"/>
  <c r="L6" i="46"/>
  <c r="L15" i="46" s="1"/>
  <c r="J6" i="46"/>
  <c r="H6" i="46"/>
  <c r="H15" i="46" s="1"/>
  <c r="F6" i="46"/>
  <c r="Q6" i="48"/>
  <c r="Q12" i="48" s="1"/>
  <c r="O6" i="48"/>
  <c r="O12" i="48" s="1"/>
  <c r="M6" i="48"/>
  <c r="K6" i="48"/>
  <c r="K12" i="48" s="1"/>
  <c r="I6" i="48"/>
  <c r="I12" i="48" s="1"/>
  <c r="G6" i="48"/>
  <c r="G12" i="48" s="1"/>
  <c r="P6" i="48"/>
  <c r="N6" i="48"/>
  <c r="N12" i="48" s="1"/>
  <c r="L6" i="48"/>
  <c r="J6" i="48"/>
  <c r="J12" i="48" s="1"/>
  <c r="H6" i="48"/>
  <c r="F6" i="48"/>
  <c r="G6" i="49"/>
  <c r="I6" i="49"/>
  <c r="K6" i="49"/>
  <c r="M6" i="49"/>
  <c r="O6" i="49"/>
  <c r="Q6" i="49"/>
  <c r="F6" i="49"/>
  <c r="H6" i="49"/>
  <c r="J6" i="49"/>
  <c r="L6" i="49"/>
  <c r="N6" i="49"/>
  <c r="Q6" i="50"/>
  <c r="O6" i="50"/>
  <c r="M6" i="50"/>
  <c r="K6" i="50"/>
  <c r="I6" i="50"/>
  <c r="G6" i="50"/>
  <c r="P6" i="50"/>
  <c r="N6" i="50"/>
  <c r="L6" i="50"/>
  <c r="J6" i="50"/>
  <c r="H6" i="50"/>
  <c r="F6" i="50"/>
  <c r="J14" i="46" l="1"/>
  <c r="G14" i="46"/>
  <c r="O14" i="46"/>
  <c r="O8" i="3"/>
  <c r="K8" i="3"/>
  <c r="H8" i="3"/>
  <c r="F14" i="46"/>
  <c r="N14" i="46"/>
  <c r="K14" i="46"/>
  <c r="Q14" i="51"/>
  <c r="K14" i="51"/>
  <c r="N14" i="51"/>
  <c r="F14" i="51"/>
  <c r="G8" i="3"/>
  <c r="L8" i="3"/>
  <c r="O14" i="51"/>
  <c r="G14" i="51"/>
  <c r="J14" i="51"/>
  <c r="P8" i="3"/>
  <c r="N15" i="46"/>
  <c r="K15" i="46"/>
  <c r="F15" i="46"/>
  <c r="J15" i="46"/>
  <c r="G15" i="46"/>
  <c r="O15" i="46"/>
  <c r="M14" i="51"/>
  <c r="I14" i="51"/>
  <c r="P14" i="51"/>
  <c r="L14" i="51"/>
  <c r="H14" i="51"/>
  <c r="F8" i="3"/>
  <c r="I8" i="3"/>
  <c r="M8" i="3"/>
  <c r="Q8" i="3"/>
  <c r="J8" i="3"/>
  <c r="H14" i="48"/>
  <c r="L14" i="48"/>
  <c r="P14" i="48"/>
  <c r="M14" i="48"/>
  <c r="R6" i="50"/>
  <c r="H14" i="46"/>
  <c r="L14" i="46"/>
  <c r="P14" i="46"/>
  <c r="I14" i="46"/>
  <c r="M14" i="46"/>
  <c r="Q14" i="46"/>
  <c r="G14" i="49"/>
  <c r="I14" i="49"/>
  <c r="K14" i="49"/>
  <c r="M14" i="49"/>
  <c r="O14" i="49"/>
  <c r="Q14" i="49"/>
  <c r="F14" i="49"/>
  <c r="H14" i="49"/>
  <c r="J14" i="49"/>
  <c r="L14" i="49"/>
  <c r="N14" i="49"/>
  <c r="P14" i="49"/>
  <c r="H12" i="46"/>
  <c r="J12" i="46"/>
  <c r="L12" i="46"/>
  <c r="N12" i="46"/>
  <c r="P12" i="46"/>
  <c r="G12" i="46"/>
  <c r="I12" i="46"/>
  <c r="K12" i="46"/>
  <c r="M12" i="46"/>
  <c r="O12" i="46"/>
  <c r="Q12" i="46"/>
  <c r="F12" i="46"/>
  <c r="G12" i="49"/>
  <c r="I12" i="49"/>
  <c r="K12" i="49"/>
  <c r="M12" i="49"/>
  <c r="O12" i="49"/>
  <c r="Q12" i="49"/>
  <c r="F12" i="49"/>
  <c r="H12" i="49"/>
  <c r="J12" i="49"/>
  <c r="L12" i="49"/>
  <c r="N12" i="49"/>
  <c r="P12" i="49"/>
  <c r="H12" i="50"/>
  <c r="J12" i="50"/>
  <c r="L12" i="50"/>
  <c r="N12" i="50"/>
  <c r="P12" i="50"/>
  <c r="G12" i="50"/>
  <c r="I12" i="50"/>
  <c r="K12" i="50"/>
  <c r="M12" i="50"/>
  <c r="O12" i="50"/>
  <c r="Q12" i="50"/>
  <c r="F12" i="50"/>
  <c r="G11" i="46"/>
  <c r="I11" i="46"/>
  <c r="K11" i="46"/>
  <c r="M11" i="46"/>
  <c r="O11" i="46"/>
  <c r="Q11" i="46"/>
  <c r="F11" i="46"/>
  <c r="H11" i="46"/>
  <c r="J11" i="46"/>
  <c r="L11" i="46"/>
  <c r="N11" i="46"/>
  <c r="P11" i="46"/>
  <c r="H11" i="49"/>
  <c r="J11" i="49"/>
  <c r="L11" i="49"/>
  <c r="N11" i="49"/>
  <c r="P11" i="49"/>
  <c r="G11" i="49"/>
  <c r="I11" i="49"/>
  <c r="K11" i="49"/>
  <c r="M11" i="49"/>
  <c r="O11" i="49"/>
  <c r="Q11" i="49"/>
  <c r="F11" i="49"/>
  <c r="H10" i="46"/>
  <c r="J10" i="46"/>
  <c r="L10" i="46"/>
  <c r="N10" i="46"/>
  <c r="P10" i="46"/>
  <c r="G10" i="46"/>
  <c r="I10" i="46"/>
  <c r="K10" i="46"/>
  <c r="M10" i="46"/>
  <c r="O10" i="46"/>
  <c r="Q10" i="46"/>
  <c r="G10" i="49"/>
  <c r="I10" i="49"/>
  <c r="K10" i="49"/>
  <c r="M10" i="49"/>
  <c r="O10" i="49"/>
  <c r="Q10" i="49"/>
  <c r="H10" i="49"/>
  <c r="J10" i="49"/>
  <c r="L10" i="49"/>
  <c r="N10" i="49"/>
  <c r="P10" i="49"/>
  <c r="H14" i="50"/>
  <c r="J14" i="50"/>
  <c r="L14" i="50"/>
  <c r="N14" i="50"/>
  <c r="P14" i="50"/>
  <c r="G14" i="50"/>
  <c r="I14" i="50"/>
  <c r="K14" i="50"/>
  <c r="M14" i="50"/>
  <c r="O14" i="50"/>
  <c r="Q14" i="50"/>
  <c r="F14" i="50"/>
  <c r="G12" i="51"/>
  <c r="I12" i="51"/>
  <c r="K12" i="51"/>
  <c r="M12" i="51"/>
  <c r="O12" i="51"/>
  <c r="Q12" i="51"/>
  <c r="F12" i="51"/>
  <c r="H12" i="51"/>
  <c r="J12" i="51"/>
  <c r="L12" i="51"/>
  <c r="N12" i="51"/>
  <c r="P12" i="51"/>
  <c r="R6" i="48"/>
  <c r="S6" i="48" s="1"/>
  <c r="Q11" i="48"/>
  <c r="P11" i="48"/>
  <c r="M11" i="48"/>
  <c r="K11" i="48"/>
  <c r="I11" i="48"/>
  <c r="G11" i="48"/>
  <c r="N11" i="48"/>
  <c r="L11" i="48"/>
  <c r="J11" i="48"/>
  <c r="H11" i="48"/>
  <c r="F11" i="48"/>
  <c r="G10" i="48"/>
  <c r="K10" i="48"/>
  <c r="O10" i="48"/>
  <c r="F10" i="48"/>
  <c r="J10" i="48"/>
  <c r="N10" i="48"/>
  <c r="O11" i="48"/>
  <c r="L12" i="48"/>
  <c r="H12" i="48"/>
  <c r="F14" i="48"/>
  <c r="J14" i="48"/>
  <c r="N14" i="48"/>
  <c r="G14" i="48"/>
  <c r="K14" i="48"/>
  <c r="O14" i="48"/>
  <c r="R6" i="46"/>
  <c r="M12" i="48"/>
  <c r="P12" i="48"/>
  <c r="F10" i="49"/>
  <c r="I10" i="48"/>
  <c r="M10" i="48"/>
  <c r="Q10" i="48"/>
  <c r="H10" i="48"/>
  <c r="L10" i="48"/>
  <c r="P10" i="48"/>
  <c r="F12" i="48"/>
  <c r="I14" i="48"/>
  <c r="Q14" i="48"/>
  <c r="F10" i="46"/>
  <c r="R6" i="51"/>
  <c r="R6" i="49"/>
  <c r="S6" i="49" s="1"/>
  <c r="S6" i="46" l="1"/>
  <c r="R15" i="46"/>
  <c r="R4" i="4"/>
  <c r="S4" i="4" s="1"/>
  <c r="D14" i="62" l="1"/>
  <c r="D13" i="62"/>
  <c r="D12" i="62"/>
  <c r="D10" i="62"/>
  <c r="D9" i="62"/>
  <c r="D8" i="62"/>
  <c r="C74" i="53" l="1"/>
  <c r="D850" i="62" l="1"/>
  <c r="C9" i="54" l="1"/>
  <c r="C10" i="55"/>
  <c r="C8" i="55"/>
  <c r="C7" i="55"/>
  <c r="C803" i="62" l="1"/>
  <c r="C794" i="62"/>
  <c r="J801" i="62" l="1"/>
  <c r="G800" i="62"/>
  <c r="G799" i="62"/>
  <c r="G798" i="62"/>
  <c r="G797" i="62"/>
  <c r="G796" i="62"/>
  <c r="G795" i="62"/>
  <c r="G794" i="62"/>
  <c r="D759" i="62" l="1"/>
  <c r="D758" i="62"/>
  <c r="D757" i="62"/>
  <c r="D756" i="62"/>
  <c r="D755" i="62"/>
  <c r="D754" i="62"/>
  <c r="D753" i="62"/>
  <c r="D733" i="62"/>
  <c r="D732" i="62"/>
  <c r="D731" i="62"/>
  <c r="D730" i="62"/>
  <c r="D729" i="62"/>
  <c r="D728" i="62"/>
  <c r="D727" i="62"/>
  <c r="D717" i="62"/>
  <c r="D716" i="62"/>
  <c r="D715" i="62"/>
  <c r="D714" i="62"/>
  <c r="D713" i="62"/>
  <c r="D712" i="62"/>
  <c r="D711" i="62"/>
  <c r="D707" i="62"/>
  <c r="D706" i="62"/>
  <c r="D705" i="62"/>
  <c r="D704" i="62"/>
  <c r="D703" i="62"/>
  <c r="D702" i="62"/>
  <c r="D701" i="62"/>
  <c r="D681" i="62"/>
  <c r="D680" i="62"/>
  <c r="D679" i="62"/>
  <c r="D678" i="62"/>
  <c r="D677" i="62"/>
  <c r="D676" i="62"/>
  <c r="D675" i="62"/>
  <c r="D673" i="62"/>
  <c r="D672" i="62"/>
  <c r="D671" i="62"/>
  <c r="D670" i="62"/>
  <c r="D669" i="62"/>
  <c r="D668" i="62"/>
  <c r="D667" i="62"/>
  <c r="D665" i="62"/>
  <c r="D664" i="62"/>
  <c r="D663" i="62"/>
  <c r="D662" i="62"/>
  <c r="D661" i="62"/>
  <c r="D660" i="62"/>
  <c r="D659" i="62"/>
  <c r="D655" i="62"/>
  <c r="D654" i="62"/>
  <c r="D653" i="62"/>
  <c r="D652" i="62"/>
  <c r="D651" i="62"/>
  <c r="D650" i="62"/>
  <c r="D649" i="62"/>
  <c r="D647" i="62"/>
  <c r="D646" i="62"/>
  <c r="D645" i="62"/>
  <c r="D644" i="62"/>
  <c r="D643" i="62"/>
  <c r="D642" i="62"/>
  <c r="D641" i="62"/>
  <c r="D639" i="62"/>
  <c r="D638" i="62"/>
  <c r="D637" i="62"/>
  <c r="D636" i="62"/>
  <c r="D635" i="62"/>
  <c r="D634" i="62"/>
  <c r="D633" i="62"/>
  <c r="D629" i="62"/>
  <c r="D628" i="62"/>
  <c r="D627" i="62"/>
  <c r="D626" i="62"/>
  <c r="D625" i="62"/>
  <c r="D624" i="62"/>
  <c r="D623" i="62"/>
  <c r="D621" i="62"/>
  <c r="D620" i="62"/>
  <c r="D619" i="62"/>
  <c r="D618" i="62"/>
  <c r="D617" i="62"/>
  <c r="D616" i="62"/>
  <c r="D615" i="62"/>
  <c r="D613" i="62"/>
  <c r="D612" i="62"/>
  <c r="D611" i="62"/>
  <c r="D610" i="62"/>
  <c r="D609" i="62"/>
  <c r="D608" i="62"/>
  <c r="D607" i="62"/>
  <c r="D603" i="62"/>
  <c r="D602" i="62"/>
  <c r="D601" i="62"/>
  <c r="D600" i="62"/>
  <c r="D599" i="62"/>
  <c r="D598" i="62"/>
  <c r="D597" i="62"/>
  <c r="D587" i="62"/>
  <c r="D586" i="62"/>
  <c r="D585" i="62"/>
  <c r="D584" i="62"/>
  <c r="D583" i="62"/>
  <c r="D582" i="62"/>
  <c r="D581" i="62"/>
  <c r="D577" i="62"/>
  <c r="D576" i="62"/>
  <c r="D575" i="62"/>
  <c r="D574" i="62"/>
  <c r="D573" i="62"/>
  <c r="D572" i="62"/>
  <c r="D571" i="62"/>
  <c r="D569" i="62"/>
  <c r="D568" i="62"/>
  <c r="D567" i="62"/>
  <c r="D566" i="62"/>
  <c r="D565" i="62"/>
  <c r="D564" i="62"/>
  <c r="D563" i="62"/>
  <c r="D561" i="62"/>
  <c r="D560" i="62"/>
  <c r="D559" i="62"/>
  <c r="D558" i="62"/>
  <c r="D557" i="62"/>
  <c r="D556" i="62"/>
  <c r="D555" i="62"/>
  <c r="D551" i="62"/>
  <c r="D550" i="62"/>
  <c r="D549" i="62"/>
  <c r="D548" i="62"/>
  <c r="D547" i="62"/>
  <c r="D546" i="62"/>
  <c r="D545" i="62"/>
  <c r="D525" i="62"/>
  <c r="D524" i="62"/>
  <c r="D523" i="62"/>
  <c r="D522" i="62"/>
  <c r="D521" i="62"/>
  <c r="D520" i="62"/>
  <c r="D519" i="62"/>
  <c r="D499" i="62"/>
  <c r="D498" i="62"/>
  <c r="D497" i="62"/>
  <c r="D496" i="62"/>
  <c r="D495" i="62"/>
  <c r="D494" i="62"/>
  <c r="D493" i="62"/>
  <c r="D473" i="62"/>
  <c r="D472" i="62"/>
  <c r="D471" i="62"/>
  <c r="D470" i="62"/>
  <c r="D469" i="62"/>
  <c r="D468" i="62"/>
  <c r="D467" i="62"/>
  <c r="D465" i="62"/>
  <c r="D464" i="62"/>
  <c r="D463" i="62"/>
  <c r="D462" i="62"/>
  <c r="D461" i="62"/>
  <c r="D460" i="62"/>
  <c r="D459" i="62"/>
  <c r="D457" i="62"/>
  <c r="D456" i="62"/>
  <c r="D455" i="62"/>
  <c r="D454" i="62"/>
  <c r="D453" i="62"/>
  <c r="D452" i="62"/>
  <c r="D451" i="62"/>
  <c r="D447" i="62"/>
  <c r="D446" i="62"/>
  <c r="D445" i="62"/>
  <c r="D444" i="62"/>
  <c r="D443" i="62"/>
  <c r="D442" i="62"/>
  <c r="D441" i="62"/>
  <c r="D439" i="62"/>
  <c r="D438" i="62"/>
  <c r="D437" i="62"/>
  <c r="D436" i="62"/>
  <c r="D435" i="62"/>
  <c r="D434" i="62"/>
  <c r="D433" i="62"/>
  <c r="D431" i="62"/>
  <c r="D430" i="62"/>
  <c r="D429" i="62"/>
  <c r="D428" i="62"/>
  <c r="D427" i="62"/>
  <c r="D426" i="62"/>
  <c r="D425" i="62"/>
  <c r="D421" i="62" l="1"/>
  <c r="D420" i="62"/>
  <c r="D419" i="62"/>
  <c r="D418" i="62"/>
  <c r="D417" i="62"/>
  <c r="D416" i="62"/>
  <c r="D415" i="62"/>
  <c r="D413" i="62"/>
  <c r="D412" i="62"/>
  <c r="D411" i="62"/>
  <c r="D410" i="62"/>
  <c r="D409" i="62"/>
  <c r="D408" i="62"/>
  <c r="D407" i="62"/>
  <c r="D405" i="62"/>
  <c r="D404" i="62"/>
  <c r="D403" i="62"/>
  <c r="D402" i="62"/>
  <c r="D401" i="62"/>
  <c r="D400" i="62"/>
  <c r="D399" i="62"/>
  <c r="D395" i="62"/>
  <c r="D394" i="62"/>
  <c r="D393" i="62"/>
  <c r="D392" i="62"/>
  <c r="D391" i="62"/>
  <c r="D390" i="62"/>
  <c r="D389" i="62"/>
  <c r="D387" i="62"/>
  <c r="D386" i="62"/>
  <c r="D385" i="62"/>
  <c r="D384" i="62"/>
  <c r="D383" i="62"/>
  <c r="D382" i="62"/>
  <c r="D381" i="62"/>
  <c r="D379" i="62"/>
  <c r="D378" i="62"/>
  <c r="D377" i="62"/>
  <c r="D376" i="62"/>
  <c r="D375" i="62"/>
  <c r="D374" i="62"/>
  <c r="D373" i="62"/>
  <c r="D369" i="62"/>
  <c r="D368" i="62"/>
  <c r="D367" i="62"/>
  <c r="D366" i="62"/>
  <c r="D365" i="62"/>
  <c r="D364" i="62"/>
  <c r="D363" i="62"/>
  <c r="D361" i="62"/>
  <c r="D360" i="62"/>
  <c r="D359" i="62"/>
  <c r="D358" i="62"/>
  <c r="D357" i="62"/>
  <c r="D356" i="62"/>
  <c r="D355" i="62"/>
  <c r="D353" i="62"/>
  <c r="D352" i="62"/>
  <c r="D351" i="62"/>
  <c r="D350" i="62"/>
  <c r="D349" i="62"/>
  <c r="D348" i="62"/>
  <c r="D347" i="62"/>
  <c r="D343" i="62"/>
  <c r="D342" i="62"/>
  <c r="D341" i="62"/>
  <c r="D340" i="62"/>
  <c r="D339" i="62"/>
  <c r="D338" i="62"/>
  <c r="D337" i="62"/>
  <c r="D327" i="62"/>
  <c r="D326" i="62"/>
  <c r="D325" i="62"/>
  <c r="D324" i="62"/>
  <c r="D323" i="62"/>
  <c r="D322" i="62"/>
  <c r="D321" i="62"/>
  <c r="D317" i="62"/>
  <c r="D316" i="62"/>
  <c r="D315" i="62"/>
  <c r="D314" i="62"/>
  <c r="D313" i="62"/>
  <c r="D312" i="62"/>
  <c r="D311" i="62"/>
  <c r="D309" i="62"/>
  <c r="D308" i="62"/>
  <c r="D307" i="62"/>
  <c r="D306" i="62"/>
  <c r="D305" i="62"/>
  <c r="D304" i="62"/>
  <c r="D303" i="62"/>
  <c r="D299" i="62"/>
  <c r="D298" i="62"/>
  <c r="D297" i="62"/>
  <c r="D296" i="62"/>
  <c r="D295" i="62"/>
  <c r="D294" i="62"/>
  <c r="D293" i="62"/>
  <c r="D291" i="62"/>
  <c r="D290" i="62"/>
  <c r="D289" i="62"/>
  <c r="D288" i="62"/>
  <c r="D287" i="62"/>
  <c r="D286" i="62"/>
  <c r="D285" i="62"/>
  <c r="D283" i="62"/>
  <c r="D282" i="62"/>
  <c r="D281" i="62"/>
  <c r="D280" i="62"/>
  <c r="D279" i="62"/>
  <c r="D278" i="62"/>
  <c r="D277" i="62"/>
  <c r="D273" i="62"/>
  <c r="D272" i="62"/>
  <c r="D271" i="62"/>
  <c r="D270" i="62"/>
  <c r="D269" i="62"/>
  <c r="D268" i="62"/>
  <c r="D267" i="62"/>
  <c r="D265" i="62"/>
  <c r="D264" i="62"/>
  <c r="D263" i="62"/>
  <c r="D262" i="62"/>
  <c r="D261" i="62"/>
  <c r="D260" i="62"/>
  <c r="D259" i="62"/>
  <c r="D257" i="62"/>
  <c r="D256" i="62"/>
  <c r="D255" i="62"/>
  <c r="D254" i="62"/>
  <c r="D253" i="62"/>
  <c r="D252" i="62"/>
  <c r="D251" i="62"/>
  <c r="D247" i="62"/>
  <c r="D246" i="62"/>
  <c r="D245" i="62"/>
  <c r="D244" i="62"/>
  <c r="D243" i="62"/>
  <c r="D242" i="62"/>
  <c r="D241" i="62"/>
  <c r="D239" i="62"/>
  <c r="D238" i="62"/>
  <c r="D237" i="62"/>
  <c r="D236" i="62"/>
  <c r="D235" i="62"/>
  <c r="D234" i="62"/>
  <c r="D233" i="62"/>
  <c r="D231" i="62"/>
  <c r="D230" i="62"/>
  <c r="D229" i="62"/>
  <c r="D228" i="62"/>
  <c r="D227" i="62"/>
  <c r="D226" i="62"/>
  <c r="D225" i="62"/>
  <c r="D195" i="62"/>
  <c r="D194" i="62"/>
  <c r="D193" i="62"/>
  <c r="D192" i="62"/>
  <c r="D191" i="62"/>
  <c r="D190" i="62"/>
  <c r="D189" i="62"/>
  <c r="D179" i="62"/>
  <c r="D178" i="62"/>
  <c r="D177" i="62"/>
  <c r="D176" i="62"/>
  <c r="D175" i="62"/>
  <c r="D174" i="62"/>
  <c r="D173" i="62"/>
  <c r="D169" i="62"/>
  <c r="D168" i="62"/>
  <c r="D167" i="62"/>
  <c r="D166" i="62"/>
  <c r="D165" i="62"/>
  <c r="D164" i="62"/>
  <c r="D163" i="62"/>
  <c r="D153" i="62"/>
  <c r="D152" i="62"/>
  <c r="D151" i="62"/>
  <c r="D150" i="62"/>
  <c r="D149" i="62"/>
  <c r="D148" i="62"/>
  <c r="D147" i="62"/>
  <c r="D143" i="62"/>
  <c r="D142" i="62"/>
  <c r="D141" i="62"/>
  <c r="D140" i="62"/>
  <c r="D139" i="62"/>
  <c r="D138" i="62"/>
  <c r="D137" i="62"/>
  <c r="D127" i="62"/>
  <c r="D126" i="62"/>
  <c r="D125" i="62"/>
  <c r="D124" i="62"/>
  <c r="D123" i="62"/>
  <c r="D122" i="62"/>
  <c r="D121" i="62"/>
  <c r="D117" i="62"/>
  <c r="D116" i="62"/>
  <c r="D115" i="62"/>
  <c r="D114" i="62"/>
  <c r="D113" i="62"/>
  <c r="D112" i="62"/>
  <c r="D111" i="62"/>
  <c r="D101" i="62"/>
  <c r="D100" i="62"/>
  <c r="D99" i="62"/>
  <c r="D98" i="62"/>
  <c r="D97" i="62"/>
  <c r="D96" i="62"/>
  <c r="D95" i="62"/>
  <c r="D91" i="62"/>
  <c r="D90" i="62"/>
  <c r="D89" i="62"/>
  <c r="D88" i="62"/>
  <c r="D87" i="62"/>
  <c r="D86" i="62"/>
  <c r="D85" i="62"/>
  <c r="D73" i="62"/>
  <c r="D72" i="62"/>
  <c r="D71" i="62"/>
  <c r="D70" i="62"/>
  <c r="D69" i="62"/>
  <c r="D68" i="62"/>
  <c r="D67" i="62"/>
  <c r="D63" i="62"/>
  <c r="D62" i="62"/>
  <c r="D61" i="62"/>
  <c r="D60" i="62"/>
  <c r="D59" i="62"/>
  <c r="D58" i="62"/>
  <c r="D57" i="62"/>
  <c r="D44" i="62"/>
  <c r="D43" i="62"/>
  <c r="D42" i="62"/>
  <c r="D41" i="62"/>
  <c r="D40" i="62"/>
  <c r="D39" i="62"/>
  <c r="D24" i="62"/>
  <c r="C24" i="62" s="1"/>
  <c r="D23" i="62"/>
  <c r="D22" i="62"/>
  <c r="D21" i="62"/>
  <c r="D20" i="62"/>
  <c r="D19" i="62"/>
  <c r="D18" i="62"/>
  <c r="C11" i="56" l="1"/>
  <c r="C27" i="60"/>
  <c r="C43" i="25"/>
  <c r="AH5" i="60" l="1"/>
  <c r="AG43" i="60"/>
  <c r="AG34" i="60"/>
  <c r="AH43" i="60"/>
  <c r="AH8" i="60"/>
  <c r="AH13" i="60" s="1"/>
  <c r="AH17" i="60" s="1"/>
  <c r="AH34" i="60"/>
  <c r="AH36" i="60" l="1"/>
  <c r="AH45" i="60" s="1"/>
  <c r="AJ45" i="60"/>
  <c r="AI43" i="60"/>
  <c r="AI34" i="60"/>
  <c r="AI8" i="60"/>
  <c r="AI13" i="60" s="1"/>
  <c r="AI5" i="60"/>
  <c r="AI17" i="60" l="1"/>
  <c r="AI36" i="60" s="1"/>
  <c r="AI45" i="60" s="1"/>
  <c r="C41" i="60"/>
  <c r="C39" i="60"/>
  <c r="C33" i="60"/>
  <c r="C24" i="3"/>
  <c r="C32" i="60"/>
  <c r="C43" i="60" l="1"/>
  <c r="C31" i="60"/>
  <c r="C28" i="60" l="1"/>
  <c r="F45" i="60" l="1"/>
  <c r="W22" i="60"/>
  <c r="I22" i="60"/>
  <c r="J22" i="60" s="1"/>
  <c r="C18" i="59"/>
  <c r="X22" i="60" l="1"/>
  <c r="I43" i="60"/>
  <c r="J43" i="60" s="1"/>
  <c r="I21" i="60"/>
  <c r="J21" i="60" s="1"/>
  <c r="I24" i="60"/>
  <c r="J24" i="60" s="1"/>
  <c r="I28" i="60"/>
  <c r="J28" i="60" s="1"/>
  <c r="I30" i="60"/>
  <c r="J30" i="60" s="1"/>
  <c r="I32" i="60"/>
  <c r="J32" i="60" s="1"/>
  <c r="I27" i="60"/>
  <c r="J27" i="60" s="1"/>
  <c r="I29" i="60"/>
  <c r="J29" i="60" s="1"/>
  <c r="I31" i="60"/>
  <c r="J31" i="60" s="1"/>
  <c r="I33" i="60"/>
  <c r="J33" i="60" s="1"/>
  <c r="I39" i="60"/>
  <c r="J39" i="60" s="1"/>
  <c r="I40" i="60"/>
  <c r="J40" i="60" s="1"/>
  <c r="I41" i="60"/>
  <c r="J41" i="60" s="1"/>
  <c r="C101" i="61" l="1"/>
  <c r="C88" i="61"/>
  <c r="C10" i="61"/>
  <c r="C7" i="61"/>
  <c r="C3" i="58" l="1"/>
  <c r="C84" i="58"/>
  <c r="C6" i="58"/>
  <c r="C97" i="58"/>
  <c r="B4" i="58"/>
  <c r="D4" i="58" s="1"/>
  <c r="C19" i="61"/>
  <c r="C36" i="58"/>
  <c r="C47" i="61"/>
  <c r="C69" i="61"/>
  <c r="C56" i="61"/>
  <c r="C58" i="58"/>
  <c r="C50" i="61"/>
  <c r="C37" i="61"/>
  <c r="C37" i="58"/>
  <c r="C72" i="61"/>
  <c r="C66" i="61"/>
  <c r="C84" i="61"/>
  <c r="C51" i="61"/>
  <c r="B47" i="58"/>
  <c r="B52" i="61"/>
  <c r="B46" i="58"/>
  <c r="B81" i="58"/>
  <c r="B86" i="61"/>
  <c r="B80" i="58"/>
  <c r="B61" i="58"/>
  <c r="B63" i="58"/>
  <c r="B68" i="61"/>
  <c r="B62" i="58"/>
  <c r="B59" i="58"/>
  <c r="B58" i="58"/>
  <c r="B64" i="61"/>
  <c r="M64" i="61" s="1"/>
  <c r="B55" i="58"/>
  <c r="B52" i="58"/>
  <c r="B49" i="58"/>
  <c r="B66" i="58"/>
  <c r="B71" i="61"/>
  <c r="B65" i="58"/>
  <c r="B44" i="58"/>
  <c r="B43" i="58"/>
  <c r="B49" i="61"/>
  <c r="B69" i="58"/>
  <c r="B74" i="61"/>
  <c r="B68" i="58"/>
  <c r="B37" i="58"/>
  <c r="D41" i="61"/>
  <c r="B42" i="61"/>
  <c r="B36" i="58"/>
  <c r="B34" i="58"/>
  <c r="B33" i="58"/>
  <c r="B39" i="61"/>
  <c r="B26" i="58"/>
  <c r="B25" i="58"/>
  <c r="B24" i="58"/>
  <c r="B22" i="58"/>
  <c r="B21" i="58"/>
  <c r="B27" i="61"/>
  <c r="B16" i="58"/>
  <c r="B15" i="58"/>
  <c r="B21" i="61"/>
  <c r="B13" i="58"/>
  <c r="B12" i="58"/>
  <c r="B18" i="61"/>
  <c r="B10" i="58"/>
  <c r="B15" i="61"/>
  <c r="B9" i="58"/>
  <c r="B75" i="58"/>
  <c r="B78" i="58"/>
  <c r="B72" i="58"/>
  <c r="B92" i="58"/>
  <c r="B97" i="58"/>
  <c r="D97" i="58" s="1"/>
  <c r="D101" i="61"/>
  <c r="B96" i="58"/>
  <c r="B102" i="61"/>
  <c r="D88" i="61"/>
  <c r="B84" i="58"/>
  <c r="B6" i="58"/>
  <c r="D10" i="61"/>
  <c r="D7" i="61"/>
  <c r="B3" i="58"/>
  <c r="D3" i="58" s="1"/>
  <c r="B2" i="58"/>
  <c r="C95" i="61"/>
  <c r="C9" i="61"/>
  <c r="C9" i="60"/>
  <c r="D84" i="58" l="1"/>
  <c r="P84" i="58" s="1"/>
  <c r="L41" i="61"/>
  <c r="M41" i="61"/>
  <c r="D6" i="58"/>
  <c r="J6" i="58" s="1"/>
  <c r="K3" i="8" s="1"/>
  <c r="M101" i="61"/>
  <c r="L101" i="61"/>
  <c r="M88" i="61"/>
  <c r="L88" i="61"/>
  <c r="M10" i="61"/>
  <c r="L10" i="61"/>
  <c r="M7" i="61"/>
  <c r="L7" i="61"/>
  <c r="C47" i="58"/>
  <c r="D47" i="58" s="1"/>
  <c r="C62" i="58"/>
  <c r="D62" i="58" s="1"/>
  <c r="C46" i="58"/>
  <c r="C52" i="58"/>
  <c r="D52" i="58" s="1"/>
  <c r="P52" i="58" s="1"/>
  <c r="C43" i="58"/>
  <c r="C5" i="58"/>
  <c r="C91" i="58"/>
  <c r="C64" i="61"/>
  <c r="C80" i="58"/>
  <c r="D80" i="58" s="1"/>
  <c r="C68" i="58"/>
  <c r="D68" i="58" s="1"/>
  <c r="P68" i="58" s="1"/>
  <c r="C33" i="58"/>
  <c r="D33" i="58" s="1"/>
  <c r="C2" i="5"/>
  <c r="C27" i="61"/>
  <c r="C49" i="61"/>
  <c r="C71" i="61"/>
  <c r="C52" i="61"/>
  <c r="C21" i="61"/>
  <c r="C68" i="61"/>
  <c r="C86" i="61"/>
  <c r="C42" i="61"/>
  <c r="C74" i="61"/>
  <c r="C102" i="61"/>
  <c r="F4" i="58"/>
  <c r="H4" i="58"/>
  <c r="I2" i="7" s="1"/>
  <c r="J4" i="58"/>
  <c r="J121" i="58" s="1"/>
  <c r="K75" i="26" s="1"/>
  <c r="L4" i="58"/>
  <c r="L121" i="58" s="1"/>
  <c r="M75" i="26" s="1"/>
  <c r="N4" i="58"/>
  <c r="N119" i="58" s="1"/>
  <c r="O73" i="26" s="1"/>
  <c r="P4" i="58"/>
  <c r="Q2" i="7" s="1"/>
  <c r="G4" i="58"/>
  <c r="G120" i="58" s="1"/>
  <c r="H74" i="26" s="1"/>
  <c r="I4" i="58"/>
  <c r="I121" i="58" s="1"/>
  <c r="J75" i="26" s="1"/>
  <c r="K4" i="58"/>
  <c r="K116" i="58" s="1"/>
  <c r="M4" i="58"/>
  <c r="N2" i="7" s="1"/>
  <c r="O4" i="58"/>
  <c r="P2" i="7" s="1"/>
  <c r="P24" i="7" s="1"/>
  <c r="E4" i="58"/>
  <c r="F2" i="7" s="1"/>
  <c r="F3" i="58"/>
  <c r="H3" i="58"/>
  <c r="H132" i="58" s="1"/>
  <c r="W132" i="58" s="1"/>
  <c r="J3" i="58"/>
  <c r="L3" i="58"/>
  <c r="L132" i="58" s="1"/>
  <c r="AA132" i="58" s="1"/>
  <c r="N3" i="58"/>
  <c r="M3" i="58"/>
  <c r="E3" i="58"/>
  <c r="G3" i="58"/>
  <c r="I3" i="58"/>
  <c r="K3" i="58"/>
  <c r="O3" i="58"/>
  <c r="F97" i="58"/>
  <c r="G3" i="51" s="1"/>
  <c r="H97" i="58"/>
  <c r="I3" i="51" s="1"/>
  <c r="J97" i="58"/>
  <c r="K3" i="51" s="1"/>
  <c r="L97" i="58"/>
  <c r="N97" i="58"/>
  <c r="O3" i="51" s="1"/>
  <c r="G97" i="58"/>
  <c r="H3" i="51" s="1"/>
  <c r="I97" i="58"/>
  <c r="J3" i="51" s="1"/>
  <c r="K97" i="58"/>
  <c r="L3" i="51" s="1"/>
  <c r="M97" i="58"/>
  <c r="N3" i="51" s="1"/>
  <c r="O97" i="58"/>
  <c r="P3" i="51" s="1"/>
  <c r="E97" i="58"/>
  <c r="F3" i="51" s="1"/>
  <c r="G84" i="58"/>
  <c r="H3" i="34" s="1"/>
  <c r="I84" i="58"/>
  <c r="J3" i="35" s="1"/>
  <c r="K84" i="58"/>
  <c r="L3" i="34" s="1"/>
  <c r="M84" i="58"/>
  <c r="N3" i="35" s="1"/>
  <c r="O84" i="58"/>
  <c r="P3" i="34" s="1"/>
  <c r="E84" i="58"/>
  <c r="F3" i="34" s="1"/>
  <c r="F84" i="58"/>
  <c r="G3" i="35" s="1"/>
  <c r="H84" i="58"/>
  <c r="I3" i="35" s="1"/>
  <c r="J84" i="58"/>
  <c r="K3" i="35" s="1"/>
  <c r="L84" i="58"/>
  <c r="M3" i="35" s="1"/>
  <c r="N84" i="58"/>
  <c r="O3" i="35" s="1"/>
  <c r="Q3" i="34"/>
  <c r="D51" i="61"/>
  <c r="D37" i="61"/>
  <c r="D47" i="61"/>
  <c r="D56" i="61"/>
  <c r="D72" i="61"/>
  <c r="D50" i="61"/>
  <c r="D121" i="58"/>
  <c r="K120" i="58"/>
  <c r="L74" i="26" s="1"/>
  <c r="M3" i="51"/>
  <c r="D40" i="61"/>
  <c r="C65" i="58"/>
  <c r="D65" i="58" s="1"/>
  <c r="D69" i="61"/>
  <c r="C15" i="58"/>
  <c r="D15" i="58" s="1"/>
  <c r="P15" i="58" s="1"/>
  <c r="D19" i="61"/>
  <c r="C53" i="61"/>
  <c r="C25" i="61"/>
  <c r="D37" i="58"/>
  <c r="D66" i="61"/>
  <c r="C92" i="61"/>
  <c r="B83" i="58"/>
  <c r="B86" i="58" s="1"/>
  <c r="D84" i="61"/>
  <c r="J10" i="61"/>
  <c r="J88" i="61"/>
  <c r="J101" i="61"/>
  <c r="J41" i="61"/>
  <c r="J7" i="61"/>
  <c r="G14" i="61"/>
  <c r="C2" i="58"/>
  <c r="D2" i="58" s="1"/>
  <c r="D6" i="61"/>
  <c r="P96" i="61" s="1"/>
  <c r="C11" i="61"/>
  <c r="D132" i="58"/>
  <c r="F23" i="61"/>
  <c r="G23" i="61" s="1"/>
  <c r="F60" i="61"/>
  <c r="G60" i="61" s="1"/>
  <c r="F45" i="61"/>
  <c r="C34" i="61"/>
  <c r="F57" i="61"/>
  <c r="G57" i="61" s="1"/>
  <c r="C57" i="61"/>
  <c r="F32" i="61"/>
  <c r="G32" i="61" s="1"/>
  <c r="C32" i="61"/>
  <c r="F54" i="61"/>
  <c r="G54" i="61" s="1"/>
  <c r="C54" i="61"/>
  <c r="C81" i="61"/>
  <c r="C3" i="51"/>
  <c r="F51" i="61"/>
  <c r="F63" i="61"/>
  <c r="G63" i="61" s="1"/>
  <c r="F70" i="61"/>
  <c r="G70" i="61" s="1"/>
  <c r="F48" i="61"/>
  <c r="G48" i="61" s="1"/>
  <c r="F26" i="61"/>
  <c r="G26" i="61" s="1"/>
  <c r="F20" i="61"/>
  <c r="G20" i="61" s="1"/>
  <c r="F79" i="61"/>
  <c r="G79" i="61" s="1"/>
  <c r="F82" i="61"/>
  <c r="G82" i="61" s="1"/>
  <c r="F85" i="61"/>
  <c r="G85" i="61" s="1"/>
  <c r="F65" i="61"/>
  <c r="G65" i="61" s="1"/>
  <c r="F67" i="61"/>
  <c r="G67" i="61" s="1"/>
  <c r="F73" i="61"/>
  <c r="G73" i="61" s="1"/>
  <c r="F38" i="61"/>
  <c r="G38" i="61" s="1"/>
  <c r="F17" i="61"/>
  <c r="G17" i="61" s="1"/>
  <c r="F76" i="61"/>
  <c r="G76" i="61" s="1"/>
  <c r="C43" i="61"/>
  <c r="C74" i="58"/>
  <c r="F35" i="61"/>
  <c r="G35" i="61" s="1"/>
  <c r="C35" i="61"/>
  <c r="B31" i="58"/>
  <c r="G99" i="61"/>
  <c r="Q3" i="51"/>
  <c r="F41" i="61"/>
  <c r="C96" i="61"/>
  <c r="F40" i="61"/>
  <c r="C3" i="8"/>
  <c r="C3" i="18"/>
  <c r="B91" i="58"/>
  <c r="D95" i="61"/>
  <c r="B95" i="58"/>
  <c r="D46" i="58"/>
  <c r="B48" i="58"/>
  <c r="B82" i="58"/>
  <c r="B64" i="58"/>
  <c r="B60" i="58"/>
  <c r="D58" i="58"/>
  <c r="B56" i="58"/>
  <c r="B61" i="61"/>
  <c r="B53" i="58"/>
  <c r="B58" i="61"/>
  <c r="B50" i="58"/>
  <c r="B55" i="61"/>
  <c r="B67" i="58"/>
  <c r="B45" i="58"/>
  <c r="D43" i="58"/>
  <c r="P43" i="58" s="1"/>
  <c r="Q2" i="21" s="1"/>
  <c r="B70" i="58"/>
  <c r="B39" i="58"/>
  <c r="D36" i="58"/>
  <c r="B38" i="58"/>
  <c r="B35" i="58"/>
  <c r="B41" i="58"/>
  <c r="B40" i="58"/>
  <c r="B46" i="61"/>
  <c r="B28" i="58"/>
  <c r="B27" i="58"/>
  <c r="B33" i="61"/>
  <c r="B30" i="58"/>
  <c r="B36" i="61"/>
  <c r="B23" i="58"/>
  <c r="B17" i="58"/>
  <c r="B14" i="58"/>
  <c r="B19" i="58"/>
  <c r="B18" i="58"/>
  <c r="B24" i="61"/>
  <c r="B11" i="58"/>
  <c r="B74" i="58"/>
  <c r="B80" i="61"/>
  <c r="C80" i="61" s="1"/>
  <c r="B77" i="58"/>
  <c r="B83" i="61"/>
  <c r="B71" i="58"/>
  <c r="B77" i="61"/>
  <c r="B98" i="58"/>
  <c r="C3" i="35"/>
  <c r="C3" i="34"/>
  <c r="B88" i="58"/>
  <c r="B5" i="58"/>
  <c r="D9" i="61"/>
  <c r="B7" i="58"/>
  <c r="C38" i="47"/>
  <c r="P33" i="58" l="1"/>
  <c r="E33" i="58"/>
  <c r="O33" i="58"/>
  <c r="O101" i="61"/>
  <c r="P100" i="61"/>
  <c r="P101" i="61"/>
  <c r="P6" i="58"/>
  <c r="Q3" i="8" s="1"/>
  <c r="B100" i="58"/>
  <c r="K117" i="58"/>
  <c r="M6" i="58"/>
  <c r="N3" i="8" s="1"/>
  <c r="H6" i="58"/>
  <c r="I3" i="8" s="1"/>
  <c r="M84" i="61"/>
  <c r="L84" i="61"/>
  <c r="M40" i="61"/>
  <c r="L40" i="61"/>
  <c r="K6" i="58"/>
  <c r="L3" i="8" s="1"/>
  <c r="N6" i="58"/>
  <c r="O3" i="8" s="1"/>
  <c r="F6" i="58"/>
  <c r="G3" i="8" s="1"/>
  <c r="E6" i="58"/>
  <c r="F3" i="8" s="1"/>
  <c r="I6" i="58"/>
  <c r="J3" i="8" s="1"/>
  <c r="L6" i="58"/>
  <c r="M3" i="8" s="1"/>
  <c r="O6" i="58"/>
  <c r="P3" i="8" s="1"/>
  <c r="G6" i="58"/>
  <c r="H3" i="8" s="1"/>
  <c r="M95" i="61"/>
  <c r="L95" i="61"/>
  <c r="M72" i="61"/>
  <c r="L72" i="61"/>
  <c r="M69" i="61"/>
  <c r="L69" i="61"/>
  <c r="M66" i="61"/>
  <c r="L66" i="61"/>
  <c r="M56" i="61"/>
  <c r="L56" i="61"/>
  <c r="M51" i="61"/>
  <c r="L51" i="61"/>
  <c r="M50" i="61"/>
  <c r="L50" i="61"/>
  <c r="M47" i="61"/>
  <c r="L47" i="61"/>
  <c r="L37" i="61"/>
  <c r="M37" i="61"/>
  <c r="M19" i="61"/>
  <c r="L19" i="61"/>
  <c r="L9" i="61"/>
  <c r="M9" i="61"/>
  <c r="M6" i="61"/>
  <c r="L6" i="61"/>
  <c r="D91" i="58"/>
  <c r="P91" i="58" s="1"/>
  <c r="C77" i="58"/>
  <c r="D96" i="61"/>
  <c r="O96" i="61" s="1"/>
  <c r="C39" i="58"/>
  <c r="O47" i="58"/>
  <c r="P47" i="58"/>
  <c r="Q6" i="21" s="1"/>
  <c r="C7" i="58"/>
  <c r="D7" i="58" s="1"/>
  <c r="D5" i="58"/>
  <c r="H5" i="58" s="1"/>
  <c r="I2" i="8" s="1"/>
  <c r="C31" i="58"/>
  <c r="C50" i="58"/>
  <c r="C28" i="58"/>
  <c r="D28" i="58" s="1"/>
  <c r="C53" i="58"/>
  <c r="C30" i="58"/>
  <c r="D30" i="58" s="1"/>
  <c r="P30" i="58" s="1"/>
  <c r="Q2" i="16" s="1"/>
  <c r="N118" i="58"/>
  <c r="D1" i="61"/>
  <c r="L2" i="7"/>
  <c r="L24" i="7" s="1"/>
  <c r="C49" i="58"/>
  <c r="D49" i="58" s="1"/>
  <c r="G49" i="58" s="1"/>
  <c r="P65" i="58"/>
  <c r="Q2" i="22" s="1"/>
  <c r="C82" i="61"/>
  <c r="J50" i="61"/>
  <c r="C2" i="26"/>
  <c r="C90" i="26" s="1"/>
  <c r="C70" i="61"/>
  <c r="D70" i="61" s="1"/>
  <c r="G114" i="58"/>
  <c r="C73" i="61"/>
  <c r="C46" i="61"/>
  <c r="C58" i="61"/>
  <c r="C76" i="61"/>
  <c r="C33" i="61"/>
  <c r="C55" i="61"/>
  <c r="G18" i="61"/>
  <c r="C65" i="61"/>
  <c r="D65" i="61" s="1"/>
  <c r="C45" i="61"/>
  <c r="G45" i="61"/>
  <c r="C36" i="61"/>
  <c r="G24" i="61"/>
  <c r="C83" i="61"/>
  <c r="C67" i="61"/>
  <c r="D67" i="61" s="1"/>
  <c r="C77" i="61"/>
  <c r="C2" i="28"/>
  <c r="C26" i="61"/>
  <c r="C60" i="61"/>
  <c r="D60" i="61" s="1"/>
  <c r="J120" i="58"/>
  <c r="K74" i="26" s="1"/>
  <c r="C6" i="21"/>
  <c r="D42" i="61"/>
  <c r="J42" i="61" s="1"/>
  <c r="C99" i="61"/>
  <c r="D32" i="61"/>
  <c r="J32" i="61" s="1"/>
  <c r="O118" i="58"/>
  <c r="G119" i="58"/>
  <c r="H73" i="26" s="1"/>
  <c r="N114" i="58"/>
  <c r="J118" i="58"/>
  <c r="C5" i="21"/>
  <c r="O115" i="58"/>
  <c r="G118" i="58"/>
  <c r="J114" i="58"/>
  <c r="K2" i="7"/>
  <c r="K24" i="7" s="1"/>
  <c r="O114" i="58"/>
  <c r="G115" i="58"/>
  <c r="H2" i="7"/>
  <c r="H24" i="7" s="1"/>
  <c r="J116" i="58"/>
  <c r="O120" i="58"/>
  <c r="P74" i="26" s="1"/>
  <c r="J51" i="61"/>
  <c r="C85" i="61"/>
  <c r="D85" i="61" s="1"/>
  <c r="G86" i="61"/>
  <c r="F28" i="61"/>
  <c r="F30" i="61"/>
  <c r="F5" i="58"/>
  <c r="G2" i="8" s="1"/>
  <c r="J5" i="58"/>
  <c r="K2" i="8" s="1"/>
  <c r="N5" i="58"/>
  <c r="O2" i="8" s="1"/>
  <c r="I5" i="58"/>
  <c r="J2" i="8" s="1"/>
  <c r="M5" i="58"/>
  <c r="N2" i="8" s="1"/>
  <c r="E5" i="58"/>
  <c r="F2" i="8" s="1"/>
  <c r="F58" i="58"/>
  <c r="H58" i="58"/>
  <c r="J58" i="58"/>
  <c r="L58" i="58"/>
  <c r="N58" i="58"/>
  <c r="P58" i="58"/>
  <c r="G58" i="58"/>
  <c r="I58" i="58"/>
  <c r="K58" i="58"/>
  <c r="M58" i="58"/>
  <c r="O58" i="58"/>
  <c r="E58" i="58"/>
  <c r="F62" i="58"/>
  <c r="H62" i="58"/>
  <c r="J62" i="58"/>
  <c r="L62" i="58"/>
  <c r="N62" i="58"/>
  <c r="P62" i="58"/>
  <c r="G62" i="58"/>
  <c r="I62" i="58"/>
  <c r="K62" i="58"/>
  <c r="M62" i="58"/>
  <c r="O62" i="58"/>
  <c r="E62" i="58"/>
  <c r="F80" i="58"/>
  <c r="H80" i="58"/>
  <c r="J80" i="58"/>
  <c r="L80" i="58"/>
  <c r="N80" i="58"/>
  <c r="P80" i="58"/>
  <c r="G80" i="58"/>
  <c r="I80" i="58"/>
  <c r="K80" i="58"/>
  <c r="M80" i="58"/>
  <c r="O80" i="58"/>
  <c r="E80" i="58"/>
  <c r="H46" i="58"/>
  <c r="F46" i="58"/>
  <c r="K46" i="58"/>
  <c r="M46" i="58"/>
  <c r="O46" i="58"/>
  <c r="E46" i="58"/>
  <c r="G46" i="58"/>
  <c r="I46" i="58"/>
  <c r="J46" i="58"/>
  <c r="L46" i="58"/>
  <c r="N46" i="58"/>
  <c r="P46" i="58"/>
  <c r="F2" i="58"/>
  <c r="H2" i="58"/>
  <c r="H111" i="58" s="1"/>
  <c r="J2" i="58"/>
  <c r="L2" i="58"/>
  <c r="N2" i="58"/>
  <c r="N110" i="58" s="1"/>
  <c r="I2" i="58"/>
  <c r="M2" i="58"/>
  <c r="O2" i="58"/>
  <c r="G2" i="58"/>
  <c r="K2" i="58"/>
  <c r="K110" i="58" s="1"/>
  <c r="K130" i="58" s="1"/>
  <c r="Z130" i="58" s="1"/>
  <c r="E2" i="58"/>
  <c r="K3" i="34"/>
  <c r="K21" i="34" s="1"/>
  <c r="D52" i="61"/>
  <c r="E120" i="58"/>
  <c r="F74" i="26" s="1"/>
  <c r="L118" i="58"/>
  <c r="Q3" i="58"/>
  <c r="R3" i="58" s="1"/>
  <c r="F91" i="58"/>
  <c r="G3" i="36" s="1"/>
  <c r="J91" i="58"/>
  <c r="K3" i="36" s="1"/>
  <c r="N91" i="58"/>
  <c r="O3" i="36" s="1"/>
  <c r="I91" i="58"/>
  <c r="J3" i="36" s="1"/>
  <c r="M91" i="58"/>
  <c r="N3" i="36" s="1"/>
  <c r="E91" i="58"/>
  <c r="G68" i="58"/>
  <c r="I68" i="58"/>
  <c r="K68" i="58"/>
  <c r="M68" i="58"/>
  <c r="O68" i="58"/>
  <c r="E68" i="58"/>
  <c r="F68" i="58"/>
  <c r="H68" i="58"/>
  <c r="J68" i="58"/>
  <c r="L68" i="58"/>
  <c r="N68" i="58"/>
  <c r="G65" i="58"/>
  <c r="I65" i="58"/>
  <c r="K65" i="58"/>
  <c r="M65" i="58"/>
  <c r="O65" i="58"/>
  <c r="E65" i="58"/>
  <c r="F65" i="58"/>
  <c r="H65" i="58"/>
  <c r="J65" i="58"/>
  <c r="L65" i="58"/>
  <c r="N65" i="58"/>
  <c r="G52" i="58"/>
  <c r="I52" i="58"/>
  <c r="K52" i="58"/>
  <c r="M52" i="58"/>
  <c r="O52" i="58"/>
  <c r="E52" i="58"/>
  <c r="F52" i="58"/>
  <c r="H52" i="58"/>
  <c r="J52" i="58"/>
  <c r="L52" i="58"/>
  <c r="N52" i="58"/>
  <c r="Q2" i="24"/>
  <c r="M49" i="58"/>
  <c r="H49" i="58"/>
  <c r="G47" i="58"/>
  <c r="H6" i="21" s="1"/>
  <c r="I47" i="58"/>
  <c r="J6" i="21" s="1"/>
  <c r="K47" i="58"/>
  <c r="L6" i="21" s="1"/>
  <c r="M47" i="58"/>
  <c r="P6" i="21"/>
  <c r="E47" i="58"/>
  <c r="F6" i="21" s="1"/>
  <c r="F47" i="58"/>
  <c r="G6" i="21" s="1"/>
  <c r="H47" i="58"/>
  <c r="I6" i="21" s="1"/>
  <c r="J47" i="58"/>
  <c r="K6" i="21" s="1"/>
  <c r="L47" i="58"/>
  <c r="N47" i="58"/>
  <c r="O6" i="21" s="1"/>
  <c r="F43" i="58"/>
  <c r="H43" i="58"/>
  <c r="J43" i="58"/>
  <c r="L43" i="58"/>
  <c r="N43" i="58"/>
  <c r="G43" i="58"/>
  <c r="I43" i="58"/>
  <c r="K43" i="58"/>
  <c r="M43" i="58"/>
  <c r="O43" i="58"/>
  <c r="E43" i="58"/>
  <c r="F33" i="58"/>
  <c r="H33" i="58"/>
  <c r="J33" i="58"/>
  <c r="L33" i="58"/>
  <c r="N33" i="58"/>
  <c r="G33" i="58"/>
  <c r="I33" i="58"/>
  <c r="K33" i="58"/>
  <c r="M33" i="58"/>
  <c r="F37" i="58"/>
  <c r="H37" i="58"/>
  <c r="I3" i="18" s="1"/>
  <c r="J37" i="58"/>
  <c r="K3" i="18" s="1"/>
  <c r="L37" i="58"/>
  <c r="M3" i="18" s="1"/>
  <c r="N37" i="58"/>
  <c r="O3" i="18" s="1"/>
  <c r="P37" i="58"/>
  <c r="Q3" i="18" s="1"/>
  <c r="G37" i="58"/>
  <c r="H3" i="18" s="1"/>
  <c r="I37" i="58"/>
  <c r="J3" i="18" s="1"/>
  <c r="K37" i="58"/>
  <c r="L3" i="18" s="1"/>
  <c r="M37" i="58"/>
  <c r="N3" i="18" s="1"/>
  <c r="O37" i="58"/>
  <c r="P3" i="18" s="1"/>
  <c r="E37" i="58"/>
  <c r="F36" i="58"/>
  <c r="H36" i="58"/>
  <c r="J36" i="58"/>
  <c r="L36" i="58"/>
  <c r="N36" i="58"/>
  <c r="P36" i="58"/>
  <c r="Q2" i="18" s="1"/>
  <c r="G36" i="58"/>
  <c r="I36" i="58"/>
  <c r="K36" i="58"/>
  <c r="M36" i="58"/>
  <c r="O36" i="58"/>
  <c r="E36" i="58"/>
  <c r="G15" i="58"/>
  <c r="I15" i="58"/>
  <c r="K15" i="58"/>
  <c r="M15" i="58"/>
  <c r="O15" i="58"/>
  <c r="P2" i="13" s="1"/>
  <c r="E15" i="58"/>
  <c r="F15" i="58"/>
  <c r="H15" i="58"/>
  <c r="J15" i="58"/>
  <c r="L15" i="58"/>
  <c r="N15" i="58"/>
  <c r="Q2" i="13"/>
  <c r="I3" i="34"/>
  <c r="I20" i="34" s="1"/>
  <c r="C2" i="18"/>
  <c r="J37" i="61"/>
  <c r="J3" i="34"/>
  <c r="J22" i="34" s="1"/>
  <c r="M3" i="34"/>
  <c r="M11" i="34" s="1"/>
  <c r="D57" i="61"/>
  <c r="P3" i="35"/>
  <c r="P25" i="35" s="1"/>
  <c r="C2" i="17"/>
  <c r="C2" i="21"/>
  <c r="D50" i="58"/>
  <c r="P50" i="58" s="1"/>
  <c r="H3" i="35"/>
  <c r="H25" i="35" s="1"/>
  <c r="I115" i="58"/>
  <c r="J47" i="61"/>
  <c r="J40" i="61"/>
  <c r="C2" i="33"/>
  <c r="J56" i="61"/>
  <c r="J19" i="61"/>
  <c r="J69" i="61"/>
  <c r="J72" i="61"/>
  <c r="G3" i="34"/>
  <c r="G24" i="34" s="1"/>
  <c r="O3" i="34"/>
  <c r="O25" i="34" s="1"/>
  <c r="L3" i="35"/>
  <c r="L25" i="35" s="1"/>
  <c r="O117" i="58"/>
  <c r="O116" i="58"/>
  <c r="K121" i="58"/>
  <c r="L75" i="26" s="1"/>
  <c r="G117" i="58"/>
  <c r="G121" i="58"/>
  <c r="H75" i="26" s="1"/>
  <c r="G116" i="58"/>
  <c r="N116" i="58"/>
  <c r="O2" i="7"/>
  <c r="O24" i="7" s="1"/>
  <c r="J115" i="58"/>
  <c r="J117" i="58"/>
  <c r="J119" i="58"/>
  <c r="K73" i="26" s="1"/>
  <c r="C2" i="13"/>
  <c r="C2" i="22"/>
  <c r="C8" i="9"/>
  <c r="C2" i="4"/>
  <c r="D35" i="4" s="1"/>
  <c r="F3" i="18"/>
  <c r="F3" i="35"/>
  <c r="F23" i="35" s="1"/>
  <c r="N3" i="34"/>
  <c r="N25" i="34" s="1"/>
  <c r="Q3" i="35"/>
  <c r="Q25" i="35" s="1"/>
  <c r="D34" i="61"/>
  <c r="C2" i="24"/>
  <c r="M117" i="58"/>
  <c r="P114" i="58"/>
  <c r="H117" i="58"/>
  <c r="C2" i="29"/>
  <c r="E121" i="58"/>
  <c r="F75" i="26" s="1"/>
  <c r="M116" i="58"/>
  <c r="I114" i="58"/>
  <c r="J2" i="7"/>
  <c r="J24" i="7" s="1"/>
  <c r="L114" i="58"/>
  <c r="M2" i="7"/>
  <c r="M24" i="7" s="1"/>
  <c r="H121" i="58"/>
  <c r="I75" i="26" s="1"/>
  <c r="E119" i="58"/>
  <c r="F73" i="26" s="1"/>
  <c r="E116" i="58"/>
  <c r="M120" i="58"/>
  <c r="N74" i="26" s="1"/>
  <c r="M121" i="58"/>
  <c r="N75" i="26" s="1"/>
  <c r="I118" i="58"/>
  <c r="I119" i="58"/>
  <c r="J73" i="26" s="1"/>
  <c r="P119" i="58"/>
  <c r="Q73" i="26" s="1"/>
  <c r="P118" i="58"/>
  <c r="L116" i="58"/>
  <c r="L120" i="58"/>
  <c r="M74" i="26" s="1"/>
  <c r="H115" i="58"/>
  <c r="H119" i="58"/>
  <c r="I73" i="26" s="1"/>
  <c r="P120" i="58"/>
  <c r="Q74" i="26" s="1"/>
  <c r="I24" i="7"/>
  <c r="E115" i="58"/>
  <c r="E117" i="58"/>
  <c r="E114" i="58"/>
  <c r="E118" i="58"/>
  <c r="M114" i="58"/>
  <c r="M118" i="58"/>
  <c r="M115" i="58"/>
  <c r="M119" i="58"/>
  <c r="N73" i="26" s="1"/>
  <c r="I116" i="58"/>
  <c r="I120" i="58"/>
  <c r="J74" i="26" s="1"/>
  <c r="I117" i="58"/>
  <c r="P115" i="58"/>
  <c r="P117" i="58"/>
  <c r="P116" i="58"/>
  <c r="L115" i="58"/>
  <c r="L117" i="58"/>
  <c r="L119" i="58"/>
  <c r="M73" i="26" s="1"/>
  <c r="H114" i="58"/>
  <c r="H116" i="58"/>
  <c r="H118" i="58"/>
  <c r="H120" i="58"/>
  <c r="I74" i="26" s="1"/>
  <c r="D53" i="61"/>
  <c r="Q3" i="36"/>
  <c r="N120" i="58"/>
  <c r="O74" i="26" s="1"/>
  <c r="M6" i="21"/>
  <c r="N6" i="21"/>
  <c r="N121" i="58"/>
  <c r="O75" i="26" s="1"/>
  <c r="Q4" i="58"/>
  <c r="R4" i="58" s="1"/>
  <c r="K115" i="58"/>
  <c r="K119" i="58"/>
  <c r="L73" i="26" s="1"/>
  <c r="K114" i="58"/>
  <c r="K118" i="58"/>
  <c r="N115" i="58"/>
  <c r="N117" i="58"/>
  <c r="C44" i="61"/>
  <c r="C75" i="61"/>
  <c r="D73" i="61"/>
  <c r="C100" i="61"/>
  <c r="C75" i="58"/>
  <c r="D75" i="58" s="1"/>
  <c r="D79" i="61"/>
  <c r="C22" i="58"/>
  <c r="D22" i="58" s="1"/>
  <c r="C21" i="58"/>
  <c r="D21" i="58" s="1"/>
  <c r="D25" i="61"/>
  <c r="C92" i="58"/>
  <c r="D92" i="58" s="1"/>
  <c r="C72" i="58"/>
  <c r="D72" i="58" s="1"/>
  <c r="C38" i="61"/>
  <c r="C78" i="58"/>
  <c r="D78" i="58" s="1"/>
  <c r="O78" i="58" s="1"/>
  <c r="C20" i="61"/>
  <c r="C48" i="61"/>
  <c r="C59" i="58"/>
  <c r="D59" i="58" s="1"/>
  <c r="J66" i="61"/>
  <c r="C88" i="58"/>
  <c r="D88" i="58" s="1"/>
  <c r="D92" i="61"/>
  <c r="C88" i="26"/>
  <c r="C89" i="26"/>
  <c r="C80" i="26"/>
  <c r="Q97" i="58"/>
  <c r="R97" i="58" s="1"/>
  <c r="Q84" i="58"/>
  <c r="R84" i="58" s="1"/>
  <c r="D11" i="61"/>
  <c r="D81" i="61"/>
  <c r="D43" i="61"/>
  <c r="D111" i="58"/>
  <c r="D131" i="58" s="1"/>
  <c r="D133" i="58" s="1"/>
  <c r="J9" i="61"/>
  <c r="J95" i="61"/>
  <c r="J6" i="61"/>
  <c r="G803" i="62"/>
  <c r="D29" i="5"/>
  <c r="J84" i="61"/>
  <c r="D31" i="58"/>
  <c r="P31" i="58" s="1"/>
  <c r="J62" i="61"/>
  <c r="O121" i="58"/>
  <c r="P75" i="26" s="1"/>
  <c r="O119" i="58"/>
  <c r="P73" i="26" s="1"/>
  <c r="P121" i="58"/>
  <c r="Q75" i="26" s="1"/>
  <c r="D78" i="61"/>
  <c r="D39" i="58"/>
  <c r="P39" i="58" s="1"/>
  <c r="D54" i="61"/>
  <c r="D53" i="58"/>
  <c r="P53" i="58" s="1"/>
  <c r="F24" i="7"/>
  <c r="N24" i="7"/>
  <c r="Q24" i="7"/>
  <c r="G132" i="58"/>
  <c r="V132" i="58" s="1"/>
  <c r="N132" i="58"/>
  <c r="AC132" i="58" s="1"/>
  <c r="F132" i="58"/>
  <c r="U132" i="58" s="1"/>
  <c r="I132" i="58"/>
  <c r="X132" i="58" s="1"/>
  <c r="G2" i="7"/>
  <c r="G24" i="7" s="1"/>
  <c r="F121" i="58"/>
  <c r="G75" i="26" s="1"/>
  <c r="F120" i="58"/>
  <c r="G74" i="26" s="1"/>
  <c r="F119" i="58"/>
  <c r="G73" i="26" s="1"/>
  <c r="F118" i="58"/>
  <c r="F117" i="58"/>
  <c r="F116" i="58"/>
  <c r="F115" i="58"/>
  <c r="F114" i="58"/>
  <c r="K132" i="58"/>
  <c r="Z132" i="58" s="1"/>
  <c r="P104" i="58"/>
  <c r="R3" i="51"/>
  <c r="S3" i="51" s="1"/>
  <c r="E132" i="58"/>
  <c r="T132" i="58" s="1"/>
  <c r="J132" i="58"/>
  <c r="Y132" i="58" s="1"/>
  <c r="M132" i="58"/>
  <c r="AB132" i="58" s="1"/>
  <c r="P132" i="58"/>
  <c r="AE132" i="58" s="1"/>
  <c r="O132" i="58"/>
  <c r="AD132" i="58" s="1"/>
  <c r="F29" i="61"/>
  <c r="C28" i="61"/>
  <c r="C3" i="36"/>
  <c r="D30" i="36" s="1"/>
  <c r="D35" i="61"/>
  <c r="B51" i="58"/>
  <c r="B54" i="58"/>
  <c r="B57" i="58"/>
  <c r="C2" i="8"/>
  <c r="D48" i="58"/>
  <c r="D38" i="58"/>
  <c r="B42" i="58"/>
  <c r="B29" i="58"/>
  <c r="B32" i="58"/>
  <c r="B20" i="58"/>
  <c r="B76" i="58"/>
  <c r="D74" i="58"/>
  <c r="B79" i="58"/>
  <c r="D77" i="58"/>
  <c r="P77" i="58" s="1"/>
  <c r="B73" i="58"/>
  <c r="Q6" i="58"/>
  <c r="R6" i="58" s="1"/>
  <c r="C91" i="61"/>
  <c r="C35" i="53"/>
  <c r="C14" i="55"/>
  <c r="C22" i="44"/>
  <c r="Q25" i="34"/>
  <c r="P25" i="34"/>
  <c r="L25" i="34"/>
  <c r="K25" i="34"/>
  <c r="H25" i="34"/>
  <c r="F25" i="34"/>
  <c r="Q24" i="34"/>
  <c r="P24" i="34"/>
  <c r="L24" i="34"/>
  <c r="H24" i="34"/>
  <c r="F24" i="34"/>
  <c r="Q23" i="34"/>
  <c r="P23" i="34"/>
  <c r="L23" i="34"/>
  <c r="K23" i="34"/>
  <c r="H23" i="34"/>
  <c r="F23" i="34"/>
  <c r="Q22" i="34"/>
  <c r="P22" i="34"/>
  <c r="L22" i="34"/>
  <c r="H22" i="34"/>
  <c r="F22" i="34"/>
  <c r="Q21" i="34"/>
  <c r="P21" i="34"/>
  <c r="L21" i="34"/>
  <c r="H21" i="34"/>
  <c r="F21" i="34"/>
  <c r="Q20" i="34"/>
  <c r="P20" i="34"/>
  <c r="L20" i="34"/>
  <c r="H20" i="34"/>
  <c r="F20" i="34"/>
  <c r="Q19" i="34"/>
  <c r="P19" i="34"/>
  <c r="L19" i="34"/>
  <c r="H19" i="34"/>
  <c r="F19" i="34"/>
  <c r="Q17" i="34"/>
  <c r="P17" i="34"/>
  <c r="L17" i="34"/>
  <c r="H17" i="34"/>
  <c r="F17" i="34"/>
  <c r="Q16" i="34"/>
  <c r="P16" i="34"/>
  <c r="L16" i="34"/>
  <c r="H16" i="34"/>
  <c r="F16" i="34"/>
  <c r="Q15" i="34"/>
  <c r="P15" i="34"/>
  <c r="L15" i="34"/>
  <c r="H15" i="34"/>
  <c r="F15" i="34"/>
  <c r="Q14" i="34"/>
  <c r="P14" i="34"/>
  <c r="L14" i="34"/>
  <c r="H14" i="34"/>
  <c r="F14" i="34"/>
  <c r="Q13" i="34"/>
  <c r="P13" i="34"/>
  <c r="L13" i="34"/>
  <c r="H13" i="34"/>
  <c r="F13" i="34"/>
  <c r="Q12" i="34"/>
  <c r="P12" i="34"/>
  <c r="L12" i="34"/>
  <c r="H12" i="34"/>
  <c r="F12" i="34"/>
  <c r="Q11" i="34"/>
  <c r="P11" i="34"/>
  <c r="L11" i="34"/>
  <c r="H11" i="34"/>
  <c r="F11" i="34"/>
  <c r="O25" i="35"/>
  <c r="N25" i="35"/>
  <c r="M25" i="35"/>
  <c r="K25" i="35"/>
  <c r="J25" i="35"/>
  <c r="I25" i="35"/>
  <c r="G25" i="35"/>
  <c r="O24" i="35"/>
  <c r="N24" i="35"/>
  <c r="M24" i="35"/>
  <c r="K24" i="35"/>
  <c r="J24" i="35"/>
  <c r="I24" i="35"/>
  <c r="G24" i="35"/>
  <c r="O23" i="35"/>
  <c r="N23" i="35"/>
  <c r="M23" i="35"/>
  <c r="K23" i="35"/>
  <c r="J23" i="35"/>
  <c r="I23" i="35"/>
  <c r="G23" i="35"/>
  <c r="O22" i="35"/>
  <c r="N22" i="35"/>
  <c r="M22" i="35"/>
  <c r="K22" i="35"/>
  <c r="J22" i="35"/>
  <c r="I22" i="35"/>
  <c r="G22" i="35"/>
  <c r="O21" i="35"/>
  <c r="N21" i="35"/>
  <c r="M21" i="35"/>
  <c r="K21" i="35"/>
  <c r="J21" i="35"/>
  <c r="I21" i="35"/>
  <c r="G21" i="35"/>
  <c r="O20" i="35"/>
  <c r="N20" i="35"/>
  <c r="M20" i="35"/>
  <c r="K20" i="35"/>
  <c r="J20" i="35"/>
  <c r="I20" i="35"/>
  <c r="G20" i="35"/>
  <c r="O19" i="35"/>
  <c r="N19" i="35"/>
  <c r="M19" i="35"/>
  <c r="K19" i="35"/>
  <c r="J19" i="35"/>
  <c r="I19" i="35"/>
  <c r="G19" i="35"/>
  <c r="O17" i="35"/>
  <c r="N17" i="35"/>
  <c r="M17" i="35"/>
  <c r="K17" i="35"/>
  <c r="J17" i="35"/>
  <c r="I17" i="35"/>
  <c r="G17" i="35"/>
  <c r="O16" i="35"/>
  <c r="N16" i="35"/>
  <c r="M16" i="35"/>
  <c r="K16" i="35"/>
  <c r="J16" i="35"/>
  <c r="I16" i="35"/>
  <c r="G16" i="35"/>
  <c r="O15" i="35"/>
  <c r="N15" i="35"/>
  <c r="M15" i="35"/>
  <c r="K15" i="35"/>
  <c r="J15" i="35"/>
  <c r="I15" i="35"/>
  <c r="G15" i="35"/>
  <c r="O14" i="35"/>
  <c r="N14" i="35"/>
  <c r="M14" i="35"/>
  <c r="K14" i="35"/>
  <c r="J14" i="35"/>
  <c r="I14" i="35"/>
  <c r="G14" i="35"/>
  <c r="O13" i="35"/>
  <c r="N13" i="35"/>
  <c r="M13" i="35"/>
  <c r="K13" i="35"/>
  <c r="J13" i="35"/>
  <c r="I13" i="35"/>
  <c r="G13" i="35"/>
  <c r="O12" i="35"/>
  <c r="N12" i="35"/>
  <c r="M12" i="35"/>
  <c r="K12" i="35"/>
  <c r="J12" i="35"/>
  <c r="I12" i="35"/>
  <c r="G12" i="35"/>
  <c r="O11" i="35"/>
  <c r="N11" i="35"/>
  <c r="M11" i="35"/>
  <c r="K11" i="35"/>
  <c r="J11" i="35"/>
  <c r="I11" i="35"/>
  <c r="G11" i="35"/>
  <c r="C25" i="35"/>
  <c r="C751" i="62" s="1"/>
  <c r="C24" i="35"/>
  <c r="C750" i="62" s="1"/>
  <c r="C23" i="35"/>
  <c r="C749" i="62" s="1"/>
  <c r="C22" i="35"/>
  <c r="C748" i="62" s="1"/>
  <c r="C21" i="35"/>
  <c r="C747" i="62" s="1"/>
  <c r="C20" i="35"/>
  <c r="C746" i="62" s="1"/>
  <c r="C19" i="35"/>
  <c r="C745" i="62" s="1"/>
  <c r="C17" i="35"/>
  <c r="C743" i="62" s="1"/>
  <c r="C16" i="35"/>
  <c r="C742" i="62" s="1"/>
  <c r="C15" i="35"/>
  <c r="C741" i="62" s="1"/>
  <c r="C14" i="35"/>
  <c r="C740" i="62" s="1"/>
  <c r="C13" i="35"/>
  <c r="C739" i="62" s="1"/>
  <c r="C12" i="35"/>
  <c r="C738" i="62" s="1"/>
  <c r="C11" i="35"/>
  <c r="C737" i="62" s="1"/>
  <c r="C25" i="34"/>
  <c r="C725" i="62" s="1"/>
  <c r="C24" i="34"/>
  <c r="C724" i="62" s="1"/>
  <c r="C23" i="34"/>
  <c r="C723" i="62" s="1"/>
  <c r="C22" i="34"/>
  <c r="C722" i="62" s="1"/>
  <c r="C21" i="34"/>
  <c r="C721" i="62" s="1"/>
  <c r="C20" i="34"/>
  <c r="C720" i="62" s="1"/>
  <c r="C19" i="34"/>
  <c r="C719" i="62" s="1"/>
  <c r="C17" i="34"/>
  <c r="C717" i="62" s="1"/>
  <c r="C16" i="34"/>
  <c r="C716" i="62" s="1"/>
  <c r="C15" i="34"/>
  <c r="C715" i="62" s="1"/>
  <c r="C14" i="34"/>
  <c r="C714" i="62" s="1"/>
  <c r="C13" i="34"/>
  <c r="C713" i="62" s="1"/>
  <c r="C12" i="34"/>
  <c r="C712" i="62" s="1"/>
  <c r="C11" i="34"/>
  <c r="C711" i="62" s="1"/>
  <c r="C29" i="40"/>
  <c r="C37" i="39"/>
  <c r="C27" i="38"/>
  <c r="C18" i="37"/>
  <c r="C81" i="26" l="1"/>
  <c r="C84" i="26"/>
  <c r="C93" i="26"/>
  <c r="C92" i="26"/>
  <c r="L49" i="58"/>
  <c r="E49" i="58"/>
  <c r="I49" i="58"/>
  <c r="O91" i="58"/>
  <c r="P3" i="36" s="1"/>
  <c r="K91" i="58"/>
  <c r="L3" i="36" s="1"/>
  <c r="G91" i="58"/>
  <c r="H3" i="36" s="1"/>
  <c r="L91" i="58"/>
  <c r="M3" i="36" s="1"/>
  <c r="H91" i="58"/>
  <c r="I3" i="36" s="1"/>
  <c r="R3" i="8"/>
  <c r="T3" i="8" s="1"/>
  <c r="C3" i="15"/>
  <c r="D44" i="15" s="1"/>
  <c r="O5" i="58"/>
  <c r="P2" i="8" s="1"/>
  <c r="K5" i="58"/>
  <c r="L2" i="8" s="1"/>
  <c r="G5" i="58"/>
  <c r="H2" i="8" s="1"/>
  <c r="L5" i="58"/>
  <c r="M2" i="8" s="1"/>
  <c r="M42" i="61"/>
  <c r="L42" i="61"/>
  <c r="L78" i="61"/>
  <c r="M78" i="61"/>
  <c r="M79" i="61"/>
  <c r="L79" i="61"/>
  <c r="M22" i="34"/>
  <c r="F7" i="58"/>
  <c r="G4" i="8" s="1"/>
  <c r="G7" i="58"/>
  <c r="H4" i="8" s="1"/>
  <c r="K7" i="58"/>
  <c r="L4" i="8" s="1"/>
  <c r="O7" i="58"/>
  <c r="P4" i="8" s="1"/>
  <c r="L7" i="58"/>
  <c r="M4" i="8" s="1"/>
  <c r="M85" i="61"/>
  <c r="L85" i="61"/>
  <c r="M96" i="61"/>
  <c r="L96" i="61"/>
  <c r="M92" i="61"/>
  <c r="L92" i="61"/>
  <c r="L81" i="61"/>
  <c r="M81" i="61"/>
  <c r="M73" i="61"/>
  <c r="L73" i="61"/>
  <c r="M70" i="61"/>
  <c r="L70" i="61"/>
  <c r="M67" i="61"/>
  <c r="L67" i="61"/>
  <c r="M65" i="61"/>
  <c r="L65" i="61"/>
  <c r="M60" i="61"/>
  <c r="L60" i="61"/>
  <c r="M57" i="61"/>
  <c r="L57" i="61"/>
  <c r="M54" i="61"/>
  <c r="L54" i="61"/>
  <c r="M53" i="61"/>
  <c r="L53" i="61"/>
  <c r="M52" i="61"/>
  <c r="L52" i="61"/>
  <c r="M43" i="61"/>
  <c r="L43" i="61"/>
  <c r="M35" i="61"/>
  <c r="L35" i="61"/>
  <c r="M34" i="61"/>
  <c r="L34" i="61"/>
  <c r="L32" i="61"/>
  <c r="M32" i="61"/>
  <c r="L25" i="61"/>
  <c r="M25" i="61"/>
  <c r="H7" i="58"/>
  <c r="I4" i="8" s="1"/>
  <c r="L11" i="61"/>
  <c r="M11" i="61"/>
  <c r="C79" i="26"/>
  <c r="C83" i="26"/>
  <c r="C82" i="26"/>
  <c r="C87" i="26"/>
  <c r="C91" i="26"/>
  <c r="C85" i="26"/>
  <c r="D76" i="61"/>
  <c r="C69" i="58"/>
  <c r="D69" i="58" s="1"/>
  <c r="P69" i="58" s="1"/>
  <c r="N49" i="58"/>
  <c r="J49" i="58"/>
  <c r="F49" i="58"/>
  <c r="O49" i="58"/>
  <c r="K49" i="58"/>
  <c r="E7" i="58"/>
  <c r="F4" i="8" s="1"/>
  <c r="M7" i="58"/>
  <c r="N4" i="8" s="1"/>
  <c r="I7" i="58"/>
  <c r="J4" i="8" s="1"/>
  <c r="N7" i="58"/>
  <c r="O4" i="8" s="1"/>
  <c r="J7" i="58"/>
  <c r="K4" i="8" s="1"/>
  <c r="C81" i="58"/>
  <c r="D81" i="58" s="1"/>
  <c r="F81" i="58" s="1"/>
  <c r="G3" i="33" s="1"/>
  <c r="C95" i="58"/>
  <c r="D95" i="58" s="1"/>
  <c r="I95" i="58" s="1"/>
  <c r="J5" i="42" s="1"/>
  <c r="C66" i="58"/>
  <c r="D66" i="58" s="1"/>
  <c r="D82" i="61"/>
  <c r="P49" i="58"/>
  <c r="Q2" i="23" s="1"/>
  <c r="P7" i="58"/>
  <c r="Q4" i="8" s="1"/>
  <c r="C87" i="58"/>
  <c r="C56" i="58"/>
  <c r="D56" i="58" s="1"/>
  <c r="D26" i="61"/>
  <c r="C63" i="58"/>
  <c r="D63" i="58" s="1"/>
  <c r="K63" i="58" s="1"/>
  <c r="L3" i="28" s="1"/>
  <c r="C41" i="58"/>
  <c r="D41" i="58" s="1"/>
  <c r="O41" i="58" s="1"/>
  <c r="P3" i="20" s="1"/>
  <c r="C61" i="58"/>
  <c r="D61" i="58" s="1"/>
  <c r="P5" i="58"/>
  <c r="Q2" i="8" s="1"/>
  <c r="G28" i="61"/>
  <c r="C25" i="55"/>
  <c r="K11" i="34"/>
  <c r="K13" i="34"/>
  <c r="K15" i="34"/>
  <c r="K17" i="34"/>
  <c r="K20" i="34"/>
  <c r="K22" i="34"/>
  <c r="D99" i="61"/>
  <c r="K24" i="34"/>
  <c r="D45" i="61"/>
  <c r="Q11" i="35"/>
  <c r="K12" i="34"/>
  <c r="K14" i="34"/>
  <c r="K16" i="34"/>
  <c r="K19" i="34"/>
  <c r="J92" i="61"/>
  <c r="C3" i="24"/>
  <c r="J52" i="61"/>
  <c r="I19" i="34"/>
  <c r="M13" i="34"/>
  <c r="I25" i="34"/>
  <c r="I16" i="34"/>
  <c r="L35" i="4"/>
  <c r="Q15" i="35"/>
  <c r="Q20" i="35"/>
  <c r="Q24" i="35"/>
  <c r="O11" i="34"/>
  <c r="J57" i="61"/>
  <c r="N130" i="58"/>
  <c r="AC130" i="58" s="1"/>
  <c r="F74" i="58"/>
  <c r="H74" i="58"/>
  <c r="J74" i="58"/>
  <c r="L74" i="58"/>
  <c r="N74" i="58"/>
  <c r="P74" i="58"/>
  <c r="Q2" i="31" s="1"/>
  <c r="G74" i="58"/>
  <c r="I74" i="58"/>
  <c r="K74" i="58"/>
  <c r="M74" i="58"/>
  <c r="O74" i="58"/>
  <c r="E74" i="58"/>
  <c r="G30" i="58"/>
  <c r="I30" i="58"/>
  <c r="K30" i="58"/>
  <c r="M30" i="58"/>
  <c r="O30" i="58"/>
  <c r="E30" i="58"/>
  <c r="F30" i="58"/>
  <c r="H30" i="58"/>
  <c r="J30" i="58"/>
  <c r="L30" i="58"/>
  <c r="N30" i="58"/>
  <c r="F77" i="58"/>
  <c r="H77" i="58"/>
  <c r="J77" i="58"/>
  <c r="L77" i="58"/>
  <c r="N77" i="58"/>
  <c r="G77" i="58"/>
  <c r="I77" i="58"/>
  <c r="K77" i="58"/>
  <c r="M77" i="58"/>
  <c r="O77" i="58"/>
  <c r="E77" i="58"/>
  <c r="D60" i="58"/>
  <c r="O3" i="26"/>
  <c r="Q3" i="26"/>
  <c r="H3" i="26"/>
  <c r="L3" i="26"/>
  <c r="P3" i="26"/>
  <c r="F72" i="58"/>
  <c r="G3" i="30" s="1"/>
  <c r="H72" i="58"/>
  <c r="I3" i="30" s="1"/>
  <c r="I28" i="30" s="1"/>
  <c r="J72" i="58"/>
  <c r="K3" i="30" s="1"/>
  <c r="L72" i="58"/>
  <c r="N72" i="58"/>
  <c r="O3" i="30" s="1"/>
  <c r="Q3" i="30"/>
  <c r="G72" i="58"/>
  <c r="H3" i="30" s="1"/>
  <c r="I72" i="58"/>
  <c r="J3" i="30" s="1"/>
  <c r="K72" i="58"/>
  <c r="L3" i="30" s="1"/>
  <c r="L26" i="30" s="1"/>
  <c r="M72" i="58"/>
  <c r="N3" i="30" s="1"/>
  <c r="N32" i="30" s="1"/>
  <c r="O72" i="58"/>
  <c r="P3" i="30" s="1"/>
  <c r="E72" i="58"/>
  <c r="Q13" i="35"/>
  <c r="Q17" i="35"/>
  <c r="Q22" i="35"/>
  <c r="G14" i="34"/>
  <c r="G23" i="34"/>
  <c r="H104" i="58"/>
  <c r="H124" i="58" s="1"/>
  <c r="W124" i="58" s="1"/>
  <c r="G28" i="58"/>
  <c r="H3" i="15" s="1"/>
  <c r="H44" i="15" s="1"/>
  <c r="I28" i="58"/>
  <c r="J3" i="15" s="1"/>
  <c r="J44" i="15" s="1"/>
  <c r="K28" i="58"/>
  <c r="L3" i="15" s="1"/>
  <c r="L44" i="15" s="1"/>
  <c r="M28" i="58"/>
  <c r="N3" i="15" s="1"/>
  <c r="N44" i="15" s="1"/>
  <c r="O28" i="58"/>
  <c r="P3" i="15" s="1"/>
  <c r="P44" i="15" s="1"/>
  <c r="E28" i="58"/>
  <c r="F3" i="15" s="1"/>
  <c r="F44" i="15" s="1"/>
  <c r="F28" i="58"/>
  <c r="H28" i="58"/>
  <c r="I3" i="15" s="1"/>
  <c r="I44" i="15" s="1"/>
  <c r="J28" i="58"/>
  <c r="K3" i="15" s="1"/>
  <c r="K44" i="15" s="1"/>
  <c r="L28" i="58"/>
  <c r="M3" i="15" s="1"/>
  <c r="M44" i="15" s="1"/>
  <c r="N28" i="58"/>
  <c r="O3" i="15" s="1"/>
  <c r="O44" i="15" s="1"/>
  <c r="F92" i="58"/>
  <c r="G3" i="37" s="1"/>
  <c r="H92" i="58"/>
  <c r="I3" i="37" s="1"/>
  <c r="J92" i="58"/>
  <c r="K3" i="37" s="1"/>
  <c r="L92" i="58"/>
  <c r="N92" i="58"/>
  <c r="O3" i="37" s="1"/>
  <c r="Q3" i="37"/>
  <c r="G92" i="58"/>
  <c r="H3" i="37" s="1"/>
  <c r="I92" i="58"/>
  <c r="J3" i="37" s="1"/>
  <c r="K92" i="58"/>
  <c r="L3" i="37" s="1"/>
  <c r="M92" i="58"/>
  <c r="N3" i="37" s="1"/>
  <c r="O92" i="58"/>
  <c r="P3" i="37" s="1"/>
  <c r="E92" i="58"/>
  <c r="F75" i="58"/>
  <c r="G3" i="31" s="1"/>
  <c r="G28" i="31" s="1"/>
  <c r="H75" i="58"/>
  <c r="I3" i="31" s="1"/>
  <c r="J75" i="58"/>
  <c r="K3" i="31" s="1"/>
  <c r="L75" i="58"/>
  <c r="M3" i="31" s="1"/>
  <c r="M29" i="31" s="1"/>
  <c r="N75" i="58"/>
  <c r="O3" i="31" s="1"/>
  <c r="P75" i="58"/>
  <c r="Q3" i="31" s="1"/>
  <c r="G75" i="58"/>
  <c r="H3" i="31" s="1"/>
  <c r="I75" i="58"/>
  <c r="J3" i="31" s="1"/>
  <c r="K75" i="58"/>
  <c r="M75" i="58"/>
  <c r="N3" i="31" s="1"/>
  <c r="N30" i="31" s="1"/>
  <c r="O75" i="58"/>
  <c r="P3" i="31" s="1"/>
  <c r="E75" i="58"/>
  <c r="G41" i="58"/>
  <c r="H3" i="20" s="1"/>
  <c r="J41" i="58"/>
  <c r="K3" i="20" s="1"/>
  <c r="F88" i="58"/>
  <c r="H88" i="58"/>
  <c r="J88" i="58"/>
  <c r="L88" i="58"/>
  <c r="M3" i="54" s="1"/>
  <c r="N88" i="58"/>
  <c r="G88" i="58"/>
  <c r="I88" i="58"/>
  <c r="K88" i="58"/>
  <c r="L3" i="38" s="1"/>
  <c r="M88" i="58"/>
  <c r="O88" i="58"/>
  <c r="E88" i="58"/>
  <c r="F3" i="50" s="1"/>
  <c r="J95" i="58"/>
  <c r="K5" i="42" s="1"/>
  <c r="E95" i="58"/>
  <c r="F5" i="42" s="1"/>
  <c r="G78" i="58"/>
  <c r="H3" i="32" s="1"/>
  <c r="I78" i="58"/>
  <c r="J3" i="32" s="1"/>
  <c r="K78" i="58"/>
  <c r="L3" i="32" s="1"/>
  <c r="L30" i="32" s="1"/>
  <c r="M78" i="58"/>
  <c r="N3" i="32" s="1"/>
  <c r="E78" i="58"/>
  <c r="F78" i="58"/>
  <c r="G3" i="32" s="1"/>
  <c r="G30" i="32" s="1"/>
  <c r="H78" i="58"/>
  <c r="I3" i="32" s="1"/>
  <c r="J78" i="58"/>
  <c r="K3" i="32" s="1"/>
  <c r="K30" i="32" s="1"/>
  <c r="L78" i="58"/>
  <c r="M3" i="32" s="1"/>
  <c r="N78" i="58"/>
  <c r="O3" i="32" s="1"/>
  <c r="P78" i="58"/>
  <c r="Q3" i="32" s="1"/>
  <c r="Q30" i="32" s="1"/>
  <c r="I69" i="58"/>
  <c r="J3" i="29" s="1"/>
  <c r="M69" i="58"/>
  <c r="M70" i="58" s="1"/>
  <c r="N4" i="29" s="1"/>
  <c r="E69" i="58"/>
  <c r="F3" i="29" s="1"/>
  <c r="H69" i="58"/>
  <c r="L69" i="58"/>
  <c r="M3" i="29" s="1"/>
  <c r="G56" i="58"/>
  <c r="H3" i="25" s="1"/>
  <c r="J56" i="58"/>
  <c r="K3" i="25" s="1"/>
  <c r="G53" i="58"/>
  <c r="I53" i="58"/>
  <c r="J3" i="24" s="1"/>
  <c r="K53" i="58"/>
  <c r="L3" i="24" s="1"/>
  <c r="M53" i="58"/>
  <c r="N3" i="24" s="1"/>
  <c r="O53" i="58"/>
  <c r="P3" i="24" s="1"/>
  <c r="E53" i="58"/>
  <c r="F3" i="24" s="1"/>
  <c r="F53" i="58"/>
  <c r="G3" i="24" s="1"/>
  <c r="H53" i="58"/>
  <c r="I3" i="24" s="1"/>
  <c r="J53" i="58"/>
  <c r="K3" i="24" s="1"/>
  <c r="L53" i="58"/>
  <c r="M3" i="24" s="1"/>
  <c r="N53" i="58"/>
  <c r="O3" i="24" s="1"/>
  <c r="G50" i="58"/>
  <c r="H3" i="23" s="1"/>
  <c r="I50" i="58"/>
  <c r="K50" i="58"/>
  <c r="L3" i="23" s="1"/>
  <c r="M50" i="58"/>
  <c r="O50" i="58"/>
  <c r="P3" i="23" s="1"/>
  <c r="E50" i="58"/>
  <c r="F3" i="23" s="1"/>
  <c r="F50" i="58"/>
  <c r="G3" i="23" s="1"/>
  <c r="H50" i="58"/>
  <c r="I3" i="23" s="1"/>
  <c r="J50" i="58"/>
  <c r="K3" i="23" s="1"/>
  <c r="L50" i="58"/>
  <c r="N50" i="58"/>
  <c r="O3" i="23" s="1"/>
  <c r="Q3" i="23"/>
  <c r="F39" i="58"/>
  <c r="G2" i="19" s="1"/>
  <c r="H39" i="58"/>
  <c r="I2" i="19" s="1"/>
  <c r="J39" i="58"/>
  <c r="K2" i="19" s="1"/>
  <c r="L39" i="58"/>
  <c r="M2" i="19" s="1"/>
  <c r="N39" i="58"/>
  <c r="O2" i="19" s="1"/>
  <c r="Q2" i="19"/>
  <c r="G39" i="58"/>
  <c r="H2" i="19" s="1"/>
  <c r="I39" i="58"/>
  <c r="J2" i="19" s="1"/>
  <c r="K39" i="58"/>
  <c r="L2" i="19" s="1"/>
  <c r="M39" i="58"/>
  <c r="N2" i="19" s="1"/>
  <c r="O39" i="58"/>
  <c r="P2" i="19" s="1"/>
  <c r="E39" i="58"/>
  <c r="F2" i="19" s="1"/>
  <c r="F31" i="58"/>
  <c r="G3" i="16" s="1"/>
  <c r="H31" i="58"/>
  <c r="I3" i="16" s="1"/>
  <c r="J31" i="58"/>
  <c r="K3" i="16" s="1"/>
  <c r="L31" i="58"/>
  <c r="M3" i="16" s="1"/>
  <c r="N31" i="58"/>
  <c r="O3" i="16" s="1"/>
  <c r="G31" i="58"/>
  <c r="H3" i="16" s="1"/>
  <c r="I31" i="58"/>
  <c r="J3" i="16" s="1"/>
  <c r="K31" i="58"/>
  <c r="L3" i="16" s="1"/>
  <c r="M31" i="58"/>
  <c r="O31" i="58"/>
  <c r="P3" i="16" s="1"/>
  <c r="E31" i="58"/>
  <c r="F22" i="58"/>
  <c r="G3" i="10" s="1"/>
  <c r="H22" i="58"/>
  <c r="I3" i="10" s="1"/>
  <c r="J22" i="58"/>
  <c r="K3" i="10" s="1"/>
  <c r="L22" i="58"/>
  <c r="M3" i="10" s="1"/>
  <c r="N22" i="58"/>
  <c r="O3" i="10" s="1"/>
  <c r="Q3" i="10"/>
  <c r="G22" i="58"/>
  <c r="I22" i="58"/>
  <c r="K22" i="58"/>
  <c r="L3" i="10" s="1"/>
  <c r="M22" i="58"/>
  <c r="N3" i="10" s="1"/>
  <c r="O22" i="58"/>
  <c r="P3" i="10" s="1"/>
  <c r="E22" i="58"/>
  <c r="F3" i="10" s="1"/>
  <c r="F21" i="58"/>
  <c r="G2" i="10" s="1"/>
  <c r="H21" i="58"/>
  <c r="I2" i="10" s="1"/>
  <c r="J21" i="58"/>
  <c r="K2" i="10" s="1"/>
  <c r="L21" i="58"/>
  <c r="N21" i="58"/>
  <c r="O2" i="10" s="1"/>
  <c r="G21" i="58"/>
  <c r="H2" i="10" s="1"/>
  <c r="I21" i="58"/>
  <c r="J2" i="10" s="1"/>
  <c r="K21" i="58"/>
  <c r="L2" i="10" s="1"/>
  <c r="M21" i="58"/>
  <c r="N2" i="10" s="1"/>
  <c r="O21" i="58"/>
  <c r="P2" i="10" s="1"/>
  <c r="E21" i="58"/>
  <c r="I13" i="34"/>
  <c r="I15" i="34"/>
  <c r="I22" i="34"/>
  <c r="I24" i="34"/>
  <c r="I11" i="34"/>
  <c r="I12" i="34"/>
  <c r="I14" i="34"/>
  <c r="M17" i="34"/>
  <c r="G19" i="34"/>
  <c r="I21" i="34"/>
  <c r="I23" i="34"/>
  <c r="I17" i="34"/>
  <c r="C5" i="44"/>
  <c r="D58" i="61"/>
  <c r="J11" i="34"/>
  <c r="J14" i="34"/>
  <c r="J15" i="34"/>
  <c r="J16" i="34"/>
  <c r="J17" i="34"/>
  <c r="J23" i="34"/>
  <c r="J24" i="34"/>
  <c r="J25" i="34"/>
  <c r="J12" i="34"/>
  <c r="J13" i="34"/>
  <c r="J19" i="34"/>
  <c r="J20" i="34"/>
  <c r="J21" i="34"/>
  <c r="C3" i="59"/>
  <c r="L11" i="35"/>
  <c r="P11" i="35"/>
  <c r="L13" i="35"/>
  <c r="P13" i="35"/>
  <c r="L15" i="35"/>
  <c r="P15" i="35"/>
  <c r="L17" i="35"/>
  <c r="P17" i="35"/>
  <c r="L20" i="35"/>
  <c r="P20" i="35"/>
  <c r="L22" i="35"/>
  <c r="P22" i="35"/>
  <c r="L24" i="35"/>
  <c r="P24" i="35"/>
  <c r="J70" i="61"/>
  <c r="L12" i="35"/>
  <c r="P12" i="35"/>
  <c r="L14" i="35"/>
  <c r="P14" i="35"/>
  <c r="L16" i="35"/>
  <c r="P16" i="35"/>
  <c r="L19" i="35"/>
  <c r="P19" i="35"/>
  <c r="L21" i="35"/>
  <c r="P21" i="35"/>
  <c r="L23" i="35"/>
  <c r="P23" i="35"/>
  <c r="Q12" i="35"/>
  <c r="Q14" i="35"/>
  <c r="Q16" i="35"/>
  <c r="Q19" i="35"/>
  <c r="Q21" i="35"/>
  <c r="Q23" i="35"/>
  <c r="C3" i="52"/>
  <c r="F17" i="35"/>
  <c r="G12" i="34"/>
  <c r="M15" i="34"/>
  <c r="G16" i="34"/>
  <c r="M20" i="34"/>
  <c r="G21" i="34"/>
  <c r="M24" i="34"/>
  <c r="G25" i="34"/>
  <c r="C2" i="19"/>
  <c r="D38" i="19" s="1"/>
  <c r="F13" i="35"/>
  <c r="F22" i="35"/>
  <c r="F12" i="35"/>
  <c r="F16" i="35"/>
  <c r="F21" i="35"/>
  <c r="F25" i="35"/>
  <c r="G11" i="34"/>
  <c r="F11" i="35"/>
  <c r="F15" i="35"/>
  <c r="F20" i="35"/>
  <c r="F24" i="35"/>
  <c r="M12" i="34"/>
  <c r="G13" i="34"/>
  <c r="M14" i="34"/>
  <c r="G15" i="34"/>
  <c r="M16" i="34"/>
  <c r="G17" i="34"/>
  <c r="M19" i="34"/>
  <c r="G20" i="34"/>
  <c r="M21" i="34"/>
  <c r="G22" i="34"/>
  <c r="M23" i="34"/>
  <c r="M25" i="34"/>
  <c r="F14" i="35"/>
  <c r="F19" i="35"/>
  <c r="O15" i="34"/>
  <c r="M3" i="23"/>
  <c r="H11" i="35"/>
  <c r="H12" i="35"/>
  <c r="H13" i="35"/>
  <c r="H14" i="35"/>
  <c r="H15" i="35"/>
  <c r="H16" i="35"/>
  <c r="H17" i="35"/>
  <c r="H19" i="35"/>
  <c r="H20" i="35"/>
  <c r="H21" i="35"/>
  <c r="H22" i="35"/>
  <c r="H23" i="35"/>
  <c r="H24" i="35"/>
  <c r="O20" i="34"/>
  <c r="N3" i="23"/>
  <c r="O24" i="34"/>
  <c r="J3" i="23"/>
  <c r="O13" i="34"/>
  <c r="O17" i="34"/>
  <c r="O22" i="34"/>
  <c r="D51" i="58"/>
  <c r="P35" i="4"/>
  <c r="H35" i="4"/>
  <c r="Q35" i="4"/>
  <c r="M35" i="4"/>
  <c r="J81" i="61"/>
  <c r="J11" i="61"/>
  <c r="J34" i="61"/>
  <c r="D54" i="58"/>
  <c r="Q3" i="24"/>
  <c r="C3" i="3"/>
  <c r="C2" i="27"/>
  <c r="C2" i="10"/>
  <c r="Q3" i="29"/>
  <c r="C5" i="42"/>
  <c r="J43" i="61"/>
  <c r="C3" i="33"/>
  <c r="C30" i="33" s="1"/>
  <c r="C707" i="62" s="1"/>
  <c r="D23" i="58"/>
  <c r="Q2" i="10"/>
  <c r="J67" i="61"/>
  <c r="P30" i="36"/>
  <c r="H30" i="36"/>
  <c r="O12" i="34"/>
  <c r="O14" i="34"/>
  <c r="O16" i="34"/>
  <c r="O19" i="34"/>
  <c r="O21" i="34"/>
  <c r="O23" i="34"/>
  <c r="H131" i="58"/>
  <c r="H133" i="58" s="1"/>
  <c r="L105" i="58"/>
  <c r="L125" i="58" s="1"/>
  <c r="AA125" i="58" s="1"/>
  <c r="G110" i="58"/>
  <c r="G130" i="58" s="1"/>
  <c r="V130" i="58" s="1"/>
  <c r="K105" i="58"/>
  <c r="K125" i="58" s="1"/>
  <c r="Z125" i="58" s="1"/>
  <c r="I35" i="4"/>
  <c r="O110" i="58"/>
  <c r="O130" i="58" s="1"/>
  <c r="AD130" i="58" s="1"/>
  <c r="D17" i="36"/>
  <c r="G3" i="26"/>
  <c r="N11" i="34"/>
  <c r="N12" i="34"/>
  <c r="N13" i="34"/>
  <c r="N14" i="34"/>
  <c r="N15" i="34"/>
  <c r="N16" i="34"/>
  <c r="N17" i="34"/>
  <c r="N19" i="34"/>
  <c r="N20" i="34"/>
  <c r="N21" i="34"/>
  <c r="N22" i="34"/>
  <c r="N23" i="34"/>
  <c r="N24" i="34"/>
  <c r="C3" i="50"/>
  <c r="C3" i="48"/>
  <c r="C2" i="16"/>
  <c r="C5" i="41"/>
  <c r="D36" i="61"/>
  <c r="L109" i="58"/>
  <c r="L129" i="58" s="1"/>
  <c r="K104" i="58"/>
  <c r="K124" i="58" s="1"/>
  <c r="Z124" i="58" s="1"/>
  <c r="P124" i="58"/>
  <c r="AE124" i="58" s="1"/>
  <c r="H108" i="58"/>
  <c r="H128" i="58" s="1"/>
  <c r="W128" i="58" s="1"/>
  <c r="G111" i="58"/>
  <c r="G131" i="58" s="1"/>
  <c r="G133" i="58" s="1"/>
  <c r="O109" i="58"/>
  <c r="O129" i="58" s="1"/>
  <c r="R74" i="26"/>
  <c r="S74" i="26" s="1"/>
  <c r="Q116" i="58"/>
  <c r="C3" i="45"/>
  <c r="C3" i="54"/>
  <c r="C3" i="43"/>
  <c r="C3" i="56"/>
  <c r="D8" i="56" s="1"/>
  <c r="L107" i="58"/>
  <c r="L127" i="58" s="1"/>
  <c r="AA127" i="58" s="1"/>
  <c r="L111" i="58"/>
  <c r="L131" i="58" s="1"/>
  <c r="L133" i="58" s="1"/>
  <c r="K109" i="58"/>
  <c r="K129" i="58" s="1"/>
  <c r="K108" i="58"/>
  <c r="K128" i="58" s="1"/>
  <c r="Z128" i="58" s="1"/>
  <c r="H106" i="58"/>
  <c r="H126" i="58" s="1"/>
  <c r="W126" i="58" s="1"/>
  <c r="H110" i="58"/>
  <c r="H130" i="58" s="1"/>
  <c r="W130" i="58" s="1"/>
  <c r="G107" i="58"/>
  <c r="G127" i="58" s="1"/>
  <c r="V127" i="58" s="1"/>
  <c r="G106" i="58"/>
  <c r="G126" i="58" s="1"/>
  <c r="V126" i="58" s="1"/>
  <c r="O105" i="58"/>
  <c r="O125" i="58" s="1"/>
  <c r="AD125" i="58" s="1"/>
  <c r="O106" i="58"/>
  <c r="O126" i="58" s="1"/>
  <c r="AD126" i="58" s="1"/>
  <c r="K30" i="36"/>
  <c r="P109" i="58"/>
  <c r="P129" i="58" s="1"/>
  <c r="P108" i="58"/>
  <c r="P128" i="58" s="1"/>
  <c r="AE128" i="58" s="1"/>
  <c r="N111" i="58"/>
  <c r="N131" i="58" s="1"/>
  <c r="N133" i="58" s="1"/>
  <c r="J85" i="61"/>
  <c r="D18" i="36"/>
  <c r="D26" i="36"/>
  <c r="D27" i="36"/>
  <c r="D31" i="36"/>
  <c r="D22" i="36"/>
  <c r="D32" i="36"/>
  <c r="D23" i="36"/>
  <c r="D28" i="36"/>
  <c r="D24" i="36"/>
  <c r="D20" i="36"/>
  <c r="D16" i="36"/>
  <c r="D29" i="36"/>
  <c r="D25" i="36"/>
  <c r="D21" i="36"/>
  <c r="Q68" i="58"/>
  <c r="R68" i="58" s="1"/>
  <c r="Q30" i="36"/>
  <c r="Q132" i="58"/>
  <c r="AF132" i="58" s="1"/>
  <c r="Q120" i="58"/>
  <c r="C3" i="40"/>
  <c r="C3" i="49"/>
  <c r="C3" i="55"/>
  <c r="C3" i="46"/>
  <c r="C3" i="38"/>
  <c r="C3" i="47"/>
  <c r="C3" i="53"/>
  <c r="D28" i="53" s="1"/>
  <c r="C3" i="39"/>
  <c r="L104" i="58"/>
  <c r="L124" i="58" s="1"/>
  <c r="AA124" i="58" s="1"/>
  <c r="L106" i="58"/>
  <c r="L126" i="58" s="1"/>
  <c r="AA126" i="58" s="1"/>
  <c r="L108" i="58"/>
  <c r="L128" i="58" s="1"/>
  <c r="AA128" i="58" s="1"/>
  <c r="L110" i="58"/>
  <c r="L130" i="58" s="1"/>
  <c r="AA130" i="58" s="1"/>
  <c r="K107" i="58"/>
  <c r="K127" i="58" s="1"/>
  <c r="Z127" i="58" s="1"/>
  <c r="K111" i="58"/>
  <c r="K131" i="58" s="1"/>
  <c r="K133" i="58" s="1"/>
  <c r="K106" i="58"/>
  <c r="K126" i="58" s="1"/>
  <c r="Z126" i="58" s="1"/>
  <c r="H105" i="58"/>
  <c r="H125" i="58" s="1"/>
  <c r="W125" i="58" s="1"/>
  <c r="H107" i="58"/>
  <c r="H127" i="58" s="1"/>
  <c r="W127" i="58" s="1"/>
  <c r="H109" i="58"/>
  <c r="H129" i="58" s="1"/>
  <c r="G105" i="58"/>
  <c r="G125" i="58" s="1"/>
  <c r="V125" i="58" s="1"/>
  <c r="G109" i="58"/>
  <c r="G129" i="58" s="1"/>
  <c r="G104" i="58"/>
  <c r="G124" i="58" s="1"/>
  <c r="V124" i="58" s="1"/>
  <c r="G108" i="58"/>
  <c r="G128" i="58" s="1"/>
  <c r="V128" i="58" s="1"/>
  <c r="O107" i="58"/>
  <c r="O127" i="58" s="1"/>
  <c r="AD127" i="58" s="1"/>
  <c r="O104" i="58"/>
  <c r="O124" i="58" s="1"/>
  <c r="AD124" i="58" s="1"/>
  <c r="O108" i="58"/>
  <c r="O128" i="58" s="1"/>
  <c r="AD128" i="58" s="1"/>
  <c r="J25" i="61"/>
  <c r="J65" i="61"/>
  <c r="D19" i="36"/>
  <c r="D15" i="36"/>
  <c r="I30" i="36"/>
  <c r="L30" i="36"/>
  <c r="O30" i="36"/>
  <c r="Q33" i="58"/>
  <c r="R33" i="58" s="1"/>
  <c r="J53" i="61"/>
  <c r="C2" i="23"/>
  <c r="R73" i="26"/>
  <c r="S73" i="26" s="1"/>
  <c r="D86" i="61"/>
  <c r="Q2" i="58"/>
  <c r="R2" i="58" s="1"/>
  <c r="Q62" i="58"/>
  <c r="R62" i="58" s="1"/>
  <c r="M30" i="36"/>
  <c r="N30" i="36"/>
  <c r="Q117" i="58"/>
  <c r="Q47" i="58"/>
  <c r="R47" i="58" s="1"/>
  <c r="C2" i="32"/>
  <c r="C21" i="32" s="1"/>
  <c r="C672" i="62" s="1"/>
  <c r="C4" i="8"/>
  <c r="P105" i="58"/>
  <c r="P125" i="58" s="1"/>
  <c r="AE125" i="58" s="1"/>
  <c r="P107" i="58"/>
  <c r="P127" i="58" s="1"/>
  <c r="AE127" i="58" s="1"/>
  <c r="P106" i="58"/>
  <c r="P126" i="58" s="1"/>
  <c r="AE126" i="58" s="1"/>
  <c r="P110" i="58"/>
  <c r="P130" i="58" s="1"/>
  <c r="AE130" i="58" s="1"/>
  <c r="G30" i="36"/>
  <c r="J30" i="36"/>
  <c r="C29" i="61"/>
  <c r="J3" i="49"/>
  <c r="G3" i="46"/>
  <c r="O3" i="52"/>
  <c r="M3" i="37"/>
  <c r="H3" i="24"/>
  <c r="Q3" i="15"/>
  <c r="Q44" i="15" s="1"/>
  <c r="M3" i="30"/>
  <c r="F2" i="10"/>
  <c r="J3" i="10"/>
  <c r="L3" i="31"/>
  <c r="L30" i="31" s="1"/>
  <c r="Q3" i="16"/>
  <c r="N3" i="16"/>
  <c r="P3" i="32"/>
  <c r="P29" i="32" s="1"/>
  <c r="C726" i="62"/>
  <c r="G3" i="18"/>
  <c r="R3" i="18" s="1"/>
  <c r="S3" i="18" s="1"/>
  <c r="Q37" i="58"/>
  <c r="R37" i="58" s="1"/>
  <c r="M3" i="26"/>
  <c r="N3" i="26"/>
  <c r="K3" i="26"/>
  <c r="J3" i="26"/>
  <c r="I3" i="26"/>
  <c r="C44" i="58"/>
  <c r="D44" i="58" s="1"/>
  <c r="P44" i="58" s="1"/>
  <c r="D48" i="61"/>
  <c r="C16" i="58"/>
  <c r="D16" i="58" s="1"/>
  <c r="P16" i="58" s="1"/>
  <c r="D20" i="61"/>
  <c r="C34" i="58"/>
  <c r="D34" i="58" s="1"/>
  <c r="D38" i="61"/>
  <c r="C3" i="28"/>
  <c r="D68" i="61"/>
  <c r="J26" i="61"/>
  <c r="J79" i="61"/>
  <c r="C3" i="31"/>
  <c r="C29" i="31" s="1"/>
  <c r="C654" i="62" s="1"/>
  <c r="C96" i="58"/>
  <c r="D96" i="58" s="1"/>
  <c r="D100" i="61"/>
  <c r="O100" i="61" s="1"/>
  <c r="J73" i="61"/>
  <c r="C3" i="29"/>
  <c r="D74" i="61"/>
  <c r="C71" i="58"/>
  <c r="D71" i="58" s="1"/>
  <c r="D75" i="61"/>
  <c r="C24" i="58"/>
  <c r="D24" i="58" s="1"/>
  <c r="D28" i="61"/>
  <c r="C3" i="26"/>
  <c r="J63" i="61"/>
  <c r="C3" i="32"/>
  <c r="C28" i="32" s="1"/>
  <c r="C679" i="62" s="1"/>
  <c r="J76" i="61"/>
  <c r="C3" i="30"/>
  <c r="C31" i="30" s="1"/>
  <c r="C628" i="62" s="1"/>
  <c r="J96" i="61"/>
  <c r="C3" i="37"/>
  <c r="C3" i="22"/>
  <c r="D71" i="61"/>
  <c r="C40" i="58"/>
  <c r="D40" i="58" s="1"/>
  <c r="D44" i="61"/>
  <c r="C94" i="26"/>
  <c r="J35" i="61"/>
  <c r="I10" i="60"/>
  <c r="J10" i="60" s="1"/>
  <c r="K35" i="4"/>
  <c r="J110" i="58"/>
  <c r="J130" i="58" s="1"/>
  <c r="Y130" i="58" s="1"/>
  <c r="J108" i="58"/>
  <c r="J128" i="58" s="1"/>
  <c r="Y128" i="58" s="1"/>
  <c r="J106" i="58"/>
  <c r="J126" i="58" s="1"/>
  <c r="Y126" i="58" s="1"/>
  <c r="J104" i="58"/>
  <c r="J124" i="58" s="1"/>
  <c r="Y124" i="58" s="1"/>
  <c r="J111" i="58"/>
  <c r="J131" i="58" s="1"/>
  <c r="J133" i="58" s="1"/>
  <c r="J109" i="58"/>
  <c r="J129" i="58" s="1"/>
  <c r="J107" i="58"/>
  <c r="J127" i="58" s="1"/>
  <c r="Y127" i="58" s="1"/>
  <c r="J105" i="58"/>
  <c r="J125" i="58" s="1"/>
  <c r="Y125" i="58" s="1"/>
  <c r="N35" i="4"/>
  <c r="M109" i="58"/>
  <c r="M129" i="58" s="1"/>
  <c r="M105" i="58"/>
  <c r="M125" i="58" s="1"/>
  <c r="AB125" i="58" s="1"/>
  <c r="M108" i="58"/>
  <c r="M128" i="58" s="1"/>
  <c r="AB128" i="58" s="1"/>
  <c r="M104" i="58"/>
  <c r="M124" i="58" s="1"/>
  <c r="AB124" i="58" s="1"/>
  <c r="M111" i="58"/>
  <c r="M131" i="58" s="1"/>
  <c r="M133" i="58" s="1"/>
  <c r="M107" i="58"/>
  <c r="M127" i="58" s="1"/>
  <c r="AB127" i="58" s="1"/>
  <c r="M110" i="58"/>
  <c r="M130" i="58" s="1"/>
  <c r="AB130" i="58" s="1"/>
  <c r="M106" i="58"/>
  <c r="M126" i="58" s="1"/>
  <c r="AB126" i="58" s="1"/>
  <c r="F111" i="58"/>
  <c r="F131" i="58" s="1"/>
  <c r="F133" i="58" s="1"/>
  <c r="F109" i="58"/>
  <c r="F129" i="58" s="1"/>
  <c r="F107" i="58"/>
  <c r="F127" i="58" s="1"/>
  <c r="U127" i="58" s="1"/>
  <c r="F105" i="58"/>
  <c r="F125" i="58" s="1"/>
  <c r="U125" i="58" s="1"/>
  <c r="G35" i="4"/>
  <c r="F110" i="58"/>
  <c r="F130" i="58" s="1"/>
  <c r="U130" i="58" s="1"/>
  <c r="F108" i="58"/>
  <c r="F128" i="58" s="1"/>
  <c r="U128" i="58" s="1"/>
  <c r="F106" i="58"/>
  <c r="F126" i="58" s="1"/>
  <c r="U126" i="58" s="1"/>
  <c r="F104" i="58"/>
  <c r="F124" i="58" s="1"/>
  <c r="U124" i="58" s="1"/>
  <c r="I111" i="58"/>
  <c r="I131" i="58" s="1"/>
  <c r="I133" i="58" s="1"/>
  <c r="I107" i="58"/>
  <c r="I127" i="58" s="1"/>
  <c r="X127" i="58" s="1"/>
  <c r="I110" i="58"/>
  <c r="I130" i="58" s="1"/>
  <c r="X130" i="58" s="1"/>
  <c r="I106" i="58"/>
  <c r="I126" i="58" s="1"/>
  <c r="X126" i="58" s="1"/>
  <c r="J35" i="4"/>
  <c r="I109" i="58"/>
  <c r="I129" i="58" s="1"/>
  <c r="I105" i="58"/>
  <c r="I125" i="58" s="1"/>
  <c r="X125" i="58" s="1"/>
  <c r="I108" i="58"/>
  <c r="I128" i="58" s="1"/>
  <c r="X128" i="58" s="1"/>
  <c r="I104" i="58"/>
  <c r="I124" i="58" s="1"/>
  <c r="X124" i="58" s="1"/>
  <c r="J60" i="61"/>
  <c r="D55" i="61"/>
  <c r="J54" i="61"/>
  <c r="J45" i="61"/>
  <c r="F35" i="4"/>
  <c r="E108" i="58"/>
  <c r="E128" i="58" s="1"/>
  <c r="T128" i="58" s="1"/>
  <c r="E104" i="58"/>
  <c r="E124" i="58" s="1"/>
  <c r="T124" i="58" s="1"/>
  <c r="E107" i="58"/>
  <c r="E127" i="58" s="1"/>
  <c r="T127" i="58" s="1"/>
  <c r="E105" i="58"/>
  <c r="E125" i="58" s="1"/>
  <c r="T125" i="58" s="1"/>
  <c r="E110" i="58"/>
  <c r="E130" i="58" s="1"/>
  <c r="T130" i="58" s="1"/>
  <c r="E106" i="58"/>
  <c r="E126" i="58" s="1"/>
  <c r="T126" i="58" s="1"/>
  <c r="E111" i="58"/>
  <c r="E131" i="58" s="1"/>
  <c r="E133" i="58" s="1"/>
  <c r="E109" i="58"/>
  <c r="E129" i="58" s="1"/>
  <c r="N109" i="58"/>
  <c r="N129" i="58" s="1"/>
  <c r="N107" i="58"/>
  <c r="N127" i="58" s="1"/>
  <c r="AC127" i="58" s="1"/>
  <c r="N105" i="58"/>
  <c r="N125" i="58" s="1"/>
  <c r="AC125" i="58" s="1"/>
  <c r="O35" i="4"/>
  <c r="N108" i="58"/>
  <c r="N128" i="58" s="1"/>
  <c r="AC128" i="58" s="1"/>
  <c r="N106" i="58"/>
  <c r="N126" i="58" s="1"/>
  <c r="AC126" i="58" s="1"/>
  <c r="N104" i="58"/>
  <c r="N124" i="58" s="1"/>
  <c r="AC124" i="58" s="1"/>
  <c r="D80" i="61"/>
  <c r="C2" i="31"/>
  <c r="C22" i="31" s="1"/>
  <c r="C647" i="62" s="1"/>
  <c r="J78" i="61"/>
  <c r="C3" i="20"/>
  <c r="R24" i="7"/>
  <c r="S24" i="7" s="1"/>
  <c r="C3" i="25"/>
  <c r="C3" i="23"/>
  <c r="P111" i="58"/>
  <c r="P131" i="58" s="1"/>
  <c r="P133" i="58" s="1"/>
  <c r="O111" i="58"/>
  <c r="O131" i="58" s="1"/>
  <c r="O133" i="58" s="1"/>
  <c r="C752" i="62"/>
  <c r="C744" i="62"/>
  <c r="Q114" i="58"/>
  <c r="Q118" i="58"/>
  <c r="Q115" i="58"/>
  <c r="Q119" i="58"/>
  <c r="AG132" i="58"/>
  <c r="C718" i="62"/>
  <c r="C3" i="16"/>
  <c r="Q65" i="58"/>
  <c r="R65" i="58" s="1"/>
  <c r="F3" i="36"/>
  <c r="Q91" i="58"/>
  <c r="R91" i="58" s="1"/>
  <c r="E48" i="58"/>
  <c r="F5" i="21"/>
  <c r="Q46" i="58"/>
  <c r="R46" i="58" s="1"/>
  <c r="I48" i="58"/>
  <c r="J7" i="21" s="1"/>
  <c r="J5" i="21"/>
  <c r="L48" i="58"/>
  <c r="M7" i="21" s="1"/>
  <c r="M5" i="21"/>
  <c r="K48" i="58"/>
  <c r="L7" i="21" s="1"/>
  <c r="L5" i="21"/>
  <c r="N48" i="58"/>
  <c r="O7" i="21" s="1"/>
  <c r="O5" i="21"/>
  <c r="F48" i="58"/>
  <c r="G7" i="21" s="1"/>
  <c r="G5" i="21"/>
  <c r="M48" i="58"/>
  <c r="N7" i="21" s="1"/>
  <c r="N5" i="21"/>
  <c r="P48" i="58"/>
  <c r="Q7" i="21" s="1"/>
  <c r="Q5" i="21"/>
  <c r="H48" i="58"/>
  <c r="I7" i="21" s="1"/>
  <c r="I5" i="21"/>
  <c r="O48" i="58"/>
  <c r="P7" i="21" s="1"/>
  <c r="P5" i="21"/>
  <c r="G48" i="58"/>
  <c r="H7" i="21" s="1"/>
  <c r="H5" i="21"/>
  <c r="J48" i="58"/>
  <c r="K7" i="21" s="1"/>
  <c r="K5" i="21"/>
  <c r="L2" i="33"/>
  <c r="L21" i="33" s="1"/>
  <c r="O2" i="33"/>
  <c r="O19" i="33" s="1"/>
  <c r="G2" i="33"/>
  <c r="G21" i="33" s="1"/>
  <c r="N2" i="33"/>
  <c r="N10" i="33" s="1"/>
  <c r="Q2" i="33"/>
  <c r="Q16" i="33" s="1"/>
  <c r="I2" i="33"/>
  <c r="I21" i="33" s="1"/>
  <c r="P2" i="33"/>
  <c r="P10" i="33" s="1"/>
  <c r="H2" i="33"/>
  <c r="K2" i="33"/>
  <c r="K20" i="33" s="1"/>
  <c r="F2" i="33"/>
  <c r="Q80" i="58"/>
  <c r="R80" i="58" s="1"/>
  <c r="J2" i="33"/>
  <c r="J21" i="33" s="1"/>
  <c r="M2" i="33"/>
  <c r="M21" i="33" s="1"/>
  <c r="K2" i="28"/>
  <c r="N2" i="28"/>
  <c r="F2" i="28"/>
  <c r="M2" i="28"/>
  <c r="P2" i="28"/>
  <c r="H2" i="28"/>
  <c r="O2" i="28"/>
  <c r="G2" i="28"/>
  <c r="J2" i="28"/>
  <c r="Q2" i="28"/>
  <c r="I2" i="28"/>
  <c r="L2" i="28"/>
  <c r="K60" i="58"/>
  <c r="L4" i="26" s="1"/>
  <c r="L2" i="26"/>
  <c r="O2" i="26"/>
  <c r="F60" i="58"/>
  <c r="G4" i="26" s="1"/>
  <c r="G2" i="26"/>
  <c r="M60" i="58"/>
  <c r="N4" i="26" s="1"/>
  <c r="N2" i="26"/>
  <c r="P60" i="58"/>
  <c r="Q4" i="26" s="1"/>
  <c r="Q2" i="26"/>
  <c r="H60" i="58"/>
  <c r="I4" i="26" s="1"/>
  <c r="I2" i="26"/>
  <c r="O60" i="58"/>
  <c r="P4" i="26" s="1"/>
  <c r="P2" i="26"/>
  <c r="G60" i="58"/>
  <c r="H4" i="26" s="1"/>
  <c r="H2" i="26"/>
  <c r="J60" i="58"/>
  <c r="K4" i="26" s="1"/>
  <c r="K2" i="26"/>
  <c r="E60" i="58"/>
  <c r="F2" i="26"/>
  <c r="Q58" i="58"/>
  <c r="R58" i="58" s="1"/>
  <c r="I60" i="58"/>
  <c r="J4" i="26" s="1"/>
  <c r="J2" i="26"/>
  <c r="L60" i="58"/>
  <c r="M4" i="26" s="1"/>
  <c r="M2" i="26"/>
  <c r="L2" i="24"/>
  <c r="O2" i="24"/>
  <c r="G2" i="24"/>
  <c r="N2" i="24"/>
  <c r="I2" i="24"/>
  <c r="P2" i="24"/>
  <c r="H2" i="24"/>
  <c r="K2" i="24"/>
  <c r="F2" i="24"/>
  <c r="Q52" i="58"/>
  <c r="R52" i="58" s="1"/>
  <c r="J2" i="24"/>
  <c r="M2" i="24"/>
  <c r="F2" i="23"/>
  <c r="J2" i="23"/>
  <c r="I51" i="58"/>
  <c r="J4" i="23" s="1"/>
  <c r="M2" i="23"/>
  <c r="L51" i="58"/>
  <c r="M4" i="23" s="1"/>
  <c r="L2" i="23"/>
  <c r="O2" i="23"/>
  <c r="G2" i="23"/>
  <c r="N2" i="23"/>
  <c r="P51" i="58"/>
  <c r="Q4" i="23" s="1"/>
  <c r="I2" i="23"/>
  <c r="P2" i="23"/>
  <c r="H2" i="23"/>
  <c r="K2" i="23"/>
  <c r="F2" i="22"/>
  <c r="J2" i="22"/>
  <c r="M2" i="22"/>
  <c r="L2" i="22"/>
  <c r="O2" i="22"/>
  <c r="G2" i="22"/>
  <c r="N2" i="22"/>
  <c r="I2" i="22"/>
  <c r="P2" i="22"/>
  <c r="H2" i="22"/>
  <c r="K2" i="22"/>
  <c r="L2" i="21"/>
  <c r="O2" i="21"/>
  <c r="G2" i="21"/>
  <c r="N2" i="21"/>
  <c r="I2" i="21"/>
  <c r="P2" i="21"/>
  <c r="H2" i="21"/>
  <c r="K2" i="21"/>
  <c r="F2" i="21"/>
  <c r="Q43" i="58"/>
  <c r="R43" i="58" s="1"/>
  <c r="J2" i="21"/>
  <c r="M2" i="21"/>
  <c r="L2" i="29"/>
  <c r="O2" i="29"/>
  <c r="G2" i="29"/>
  <c r="N2" i="29"/>
  <c r="Q2" i="29"/>
  <c r="I2" i="29"/>
  <c r="P2" i="29"/>
  <c r="H2" i="29"/>
  <c r="K2" i="29"/>
  <c r="F2" i="29"/>
  <c r="J2" i="29"/>
  <c r="M2" i="29"/>
  <c r="K38" i="58"/>
  <c r="L4" i="18" s="1"/>
  <c r="L2" i="18"/>
  <c r="N38" i="58"/>
  <c r="O4" i="18" s="1"/>
  <c r="O2" i="18"/>
  <c r="F38" i="58"/>
  <c r="G4" i="18" s="1"/>
  <c r="G2" i="18"/>
  <c r="M38" i="58"/>
  <c r="N4" i="18" s="1"/>
  <c r="N2" i="18"/>
  <c r="P38" i="58"/>
  <c r="Q4" i="18" s="1"/>
  <c r="H38" i="58"/>
  <c r="I4" i="18" s="1"/>
  <c r="I2" i="18"/>
  <c r="O38" i="58"/>
  <c r="P4" i="18" s="1"/>
  <c r="P2" i="18"/>
  <c r="G38" i="58"/>
  <c r="H4" i="18" s="1"/>
  <c r="H2" i="18"/>
  <c r="J38" i="58"/>
  <c r="K4" i="18" s="1"/>
  <c r="K2" i="18"/>
  <c r="E38" i="58"/>
  <c r="F2" i="18"/>
  <c r="Q36" i="58"/>
  <c r="R36" i="58" s="1"/>
  <c r="I38" i="58"/>
  <c r="J4" i="18" s="1"/>
  <c r="J2" i="18"/>
  <c r="L38" i="58"/>
  <c r="M4" i="18" s="1"/>
  <c r="M2" i="18"/>
  <c r="P2" i="17"/>
  <c r="H2" i="17"/>
  <c r="M2" i="17"/>
  <c r="J2" i="17"/>
  <c r="O2" i="17"/>
  <c r="G2" i="17"/>
  <c r="L2" i="17"/>
  <c r="Q2" i="17"/>
  <c r="I2" i="17"/>
  <c r="N2" i="17"/>
  <c r="F2" i="17"/>
  <c r="K2" i="17"/>
  <c r="D32" i="58"/>
  <c r="F2" i="13"/>
  <c r="F8" i="9"/>
  <c r="Q15" i="58"/>
  <c r="R15" i="58" s="1"/>
  <c r="J2" i="13"/>
  <c r="J8" i="9"/>
  <c r="M2" i="13"/>
  <c r="M8" i="9"/>
  <c r="L8" i="9"/>
  <c r="L2" i="13"/>
  <c r="O8" i="9"/>
  <c r="O2" i="13"/>
  <c r="G8" i="9"/>
  <c r="G2" i="13"/>
  <c r="N8" i="9"/>
  <c r="N2" i="13"/>
  <c r="Q8" i="9"/>
  <c r="I8" i="9"/>
  <c r="I2" i="13"/>
  <c r="P8" i="9"/>
  <c r="H2" i="13"/>
  <c r="H8" i="9"/>
  <c r="K2" i="13"/>
  <c r="K8" i="9"/>
  <c r="D76" i="58"/>
  <c r="D79" i="58"/>
  <c r="J3" i="55"/>
  <c r="Z3" i="55" s="1"/>
  <c r="AP3" i="55" s="1"/>
  <c r="BF3" i="55" s="1"/>
  <c r="BV3" i="55" s="1"/>
  <c r="CL3" i="55" s="1"/>
  <c r="DB3" i="55" s="1"/>
  <c r="DQ3" i="55" s="1"/>
  <c r="F3" i="56"/>
  <c r="Q7" i="58"/>
  <c r="R7" i="58" s="1"/>
  <c r="B87" i="58"/>
  <c r="B93" i="61"/>
  <c r="D91" i="61"/>
  <c r="C23" i="52"/>
  <c r="C15" i="60" s="1"/>
  <c r="R2" i="36"/>
  <c r="S2" i="36" s="1"/>
  <c r="O26" i="35"/>
  <c r="M26" i="35"/>
  <c r="K26" i="35"/>
  <c r="I26" i="35"/>
  <c r="G26" i="35"/>
  <c r="N18" i="35"/>
  <c r="J18" i="35"/>
  <c r="R3" i="35"/>
  <c r="S3" i="35" s="1"/>
  <c r="C61" i="34"/>
  <c r="R3" i="34"/>
  <c r="S3" i="34" s="1"/>
  <c r="C37" i="33"/>
  <c r="C22" i="33"/>
  <c r="C699" i="62" s="1"/>
  <c r="C21" i="33"/>
  <c r="C698" i="62" s="1"/>
  <c r="C20" i="33"/>
  <c r="C697" i="62" s="1"/>
  <c r="C19" i="33"/>
  <c r="C696" i="62" s="1"/>
  <c r="C18" i="33"/>
  <c r="C695" i="62" s="1"/>
  <c r="C17" i="33"/>
  <c r="C694" i="62" s="1"/>
  <c r="K16" i="33"/>
  <c r="J16" i="33"/>
  <c r="C16" i="33"/>
  <c r="C693" i="62" s="1"/>
  <c r="C14" i="33"/>
  <c r="C691" i="62" s="1"/>
  <c r="C13" i="33"/>
  <c r="C690" i="62" s="1"/>
  <c r="J12" i="33"/>
  <c r="C12" i="33"/>
  <c r="C689" i="62" s="1"/>
  <c r="Q11" i="33"/>
  <c r="C11" i="33"/>
  <c r="C688" i="62" s="1"/>
  <c r="C10" i="33"/>
  <c r="C687" i="62" s="1"/>
  <c r="C9" i="33"/>
  <c r="C686" i="62" s="1"/>
  <c r="C8" i="33"/>
  <c r="C685" i="62" s="1"/>
  <c r="C37" i="32"/>
  <c r="C20" i="32"/>
  <c r="C671" i="62" s="1"/>
  <c r="C16" i="32"/>
  <c r="C667" i="62" s="1"/>
  <c r="C11" i="32"/>
  <c r="C662" i="62" s="1"/>
  <c r="C38" i="31"/>
  <c r="L27" i="31"/>
  <c r="C49" i="30"/>
  <c r="C27" i="30"/>
  <c r="C624" i="62" s="1"/>
  <c r="P34" i="58" l="1"/>
  <c r="F34" i="58"/>
  <c r="O34" i="58"/>
  <c r="G34" i="58"/>
  <c r="E34" i="58"/>
  <c r="R2" i="8"/>
  <c r="T2" i="8" s="1"/>
  <c r="L80" i="61"/>
  <c r="M80" i="61"/>
  <c r="L86" i="61"/>
  <c r="M86" i="61"/>
  <c r="H81" i="58"/>
  <c r="I3" i="33" s="1"/>
  <c r="O56" i="58"/>
  <c r="P3" i="25" s="1"/>
  <c r="M100" i="61"/>
  <c r="L100" i="61"/>
  <c r="J99" i="61"/>
  <c r="M99" i="61"/>
  <c r="L99" i="61"/>
  <c r="M3" i="50"/>
  <c r="M91" i="61"/>
  <c r="L91" i="61"/>
  <c r="L82" i="61"/>
  <c r="M82" i="61"/>
  <c r="M76" i="61"/>
  <c r="L76" i="61"/>
  <c r="M75" i="61"/>
  <c r="L75" i="61"/>
  <c r="M74" i="61"/>
  <c r="L74" i="61"/>
  <c r="M71" i="61"/>
  <c r="L71" i="61"/>
  <c r="N63" i="58"/>
  <c r="O3" i="28" s="1"/>
  <c r="M68" i="61"/>
  <c r="L68" i="61"/>
  <c r="M58" i="61"/>
  <c r="L58" i="61"/>
  <c r="M55" i="61"/>
  <c r="L55" i="61"/>
  <c r="M48" i="61"/>
  <c r="L48" i="61"/>
  <c r="M45" i="61"/>
  <c r="L45" i="61"/>
  <c r="M44" i="61"/>
  <c r="L44" i="61"/>
  <c r="L38" i="61"/>
  <c r="M38" i="61"/>
  <c r="M36" i="61"/>
  <c r="L36" i="61"/>
  <c r="M28" i="61"/>
  <c r="L28" i="61"/>
  <c r="L26" i="61"/>
  <c r="M26" i="61"/>
  <c r="M20" i="61"/>
  <c r="L20" i="61"/>
  <c r="Q49" i="58"/>
  <c r="R49" i="58" s="1"/>
  <c r="C86" i="26"/>
  <c r="C32" i="30"/>
  <c r="C629" i="62" s="1"/>
  <c r="C10" i="31"/>
  <c r="C635" i="62" s="1"/>
  <c r="J8" i="33"/>
  <c r="J9" i="33"/>
  <c r="J10" i="33"/>
  <c r="J11" i="33"/>
  <c r="J19" i="33"/>
  <c r="I24" i="33"/>
  <c r="D70" i="58"/>
  <c r="N69" i="58"/>
  <c r="J69" i="58"/>
  <c r="K3" i="29" s="1"/>
  <c r="F69" i="58"/>
  <c r="O69" i="58"/>
  <c r="P3" i="29" s="1"/>
  <c r="K69" i="58"/>
  <c r="G69" i="58"/>
  <c r="H3" i="29" s="1"/>
  <c r="I81" i="58"/>
  <c r="J3" i="33" s="1"/>
  <c r="J30" i="33" s="1"/>
  <c r="H32" i="30"/>
  <c r="H31" i="30"/>
  <c r="L25" i="31"/>
  <c r="L29" i="31"/>
  <c r="M11" i="33"/>
  <c r="M14" i="33"/>
  <c r="M16" i="33"/>
  <c r="G17" i="33"/>
  <c r="M19" i="33"/>
  <c r="M20" i="33"/>
  <c r="I29" i="33"/>
  <c r="I27" i="33"/>
  <c r="P41" i="58"/>
  <c r="Q3" i="20" s="1"/>
  <c r="I41" i="58"/>
  <c r="J3" i="20" s="1"/>
  <c r="M41" i="58"/>
  <c r="N3" i="20" s="1"/>
  <c r="E41" i="58"/>
  <c r="H41" i="58"/>
  <c r="I3" i="20" s="1"/>
  <c r="L41" i="58"/>
  <c r="M3" i="20" s="1"/>
  <c r="D64" i="58"/>
  <c r="J63" i="58"/>
  <c r="O63" i="58"/>
  <c r="G63" i="58"/>
  <c r="C3" i="10"/>
  <c r="C4" i="10" s="1"/>
  <c r="I56" i="58"/>
  <c r="J3" i="25" s="1"/>
  <c r="M56" i="58"/>
  <c r="N3" i="25" s="1"/>
  <c r="E56" i="58"/>
  <c r="H56" i="58"/>
  <c r="I3" i="25" s="1"/>
  <c r="I28" i="25" s="1"/>
  <c r="L56" i="58"/>
  <c r="M3" i="25" s="1"/>
  <c r="D83" i="61"/>
  <c r="J82" i="61"/>
  <c r="P95" i="58"/>
  <c r="H95" i="58"/>
  <c r="L95" i="58"/>
  <c r="G95" i="58"/>
  <c r="H5" i="41" s="1"/>
  <c r="K95" i="58"/>
  <c r="O95" i="58"/>
  <c r="P5" i="42" s="1"/>
  <c r="K81" i="58"/>
  <c r="M81" i="58"/>
  <c r="E81" i="58"/>
  <c r="J81" i="58"/>
  <c r="G81" i="58"/>
  <c r="L24" i="31"/>
  <c r="L26" i="31"/>
  <c r="L28" i="31"/>
  <c r="J14" i="33"/>
  <c r="J17" i="33"/>
  <c r="J20" i="33"/>
  <c r="J22" i="33"/>
  <c r="I25" i="33"/>
  <c r="I30" i="33"/>
  <c r="Q5" i="58"/>
  <c r="R5" i="58" s="1"/>
  <c r="H82" i="58"/>
  <c r="I4" i="33" s="1"/>
  <c r="D27" i="61"/>
  <c r="D20" i="44"/>
  <c r="D18" i="44"/>
  <c r="N56" i="58"/>
  <c r="O3" i="25" s="1"/>
  <c r="F56" i="58"/>
  <c r="G3" i="25" s="1"/>
  <c r="G28" i="25" s="1"/>
  <c r="K56" i="58"/>
  <c r="L3" i="25" s="1"/>
  <c r="M95" i="58"/>
  <c r="N95" i="58"/>
  <c r="F95" i="58"/>
  <c r="G5" i="42" s="1"/>
  <c r="N41" i="58"/>
  <c r="O3" i="20" s="1"/>
  <c r="F41" i="58"/>
  <c r="G3" i="20" s="1"/>
  <c r="K41" i="58"/>
  <c r="L3" i="20" s="1"/>
  <c r="O81" i="58"/>
  <c r="P3" i="33" s="1"/>
  <c r="P30" i="33" s="1"/>
  <c r="L81" i="58"/>
  <c r="F63" i="58"/>
  <c r="G3" i="28" s="1"/>
  <c r="P40" i="58"/>
  <c r="C25" i="58"/>
  <c r="D25" i="58" s="1"/>
  <c r="P61" i="58"/>
  <c r="Q2" i="27" s="1"/>
  <c r="I61" i="58"/>
  <c r="J2" i="27" s="1"/>
  <c r="M61" i="58"/>
  <c r="N2" i="27" s="1"/>
  <c r="E61" i="58"/>
  <c r="H61" i="58"/>
  <c r="I2" i="27" s="1"/>
  <c r="L61" i="58"/>
  <c r="M2" i="27" s="1"/>
  <c r="G61" i="58"/>
  <c r="H2" i="27" s="1"/>
  <c r="K61" i="58"/>
  <c r="L2" i="27" s="1"/>
  <c r="O61" i="58"/>
  <c r="P2" i="27" s="1"/>
  <c r="F61" i="58"/>
  <c r="G2" i="27" s="1"/>
  <c r="J61" i="58"/>
  <c r="K2" i="27" s="1"/>
  <c r="N61" i="58"/>
  <c r="O2" i="27" s="1"/>
  <c r="P63" i="58"/>
  <c r="M63" i="58"/>
  <c r="H63" i="58"/>
  <c r="I63" i="58"/>
  <c r="E63" i="58"/>
  <c r="L63" i="58"/>
  <c r="P66" i="58"/>
  <c r="P67" i="58" s="1"/>
  <c r="Q4" i="22" s="1"/>
  <c r="I66" i="58"/>
  <c r="M66" i="58"/>
  <c r="E66" i="58"/>
  <c r="H66" i="58"/>
  <c r="L66" i="58"/>
  <c r="G66" i="58"/>
  <c r="K66" i="58"/>
  <c r="O66" i="58"/>
  <c r="F66" i="58"/>
  <c r="J66" i="58"/>
  <c r="N66" i="58"/>
  <c r="D67" i="58"/>
  <c r="P81" i="58"/>
  <c r="P82" i="58" s="1"/>
  <c r="Q4" i="33" s="1"/>
  <c r="Q35" i="33" s="1"/>
  <c r="D82" i="58"/>
  <c r="N81" i="58"/>
  <c r="K64" i="58"/>
  <c r="L4" i="28" s="1"/>
  <c r="F64" i="58"/>
  <c r="G4" i="28" s="1"/>
  <c r="N64" i="58"/>
  <c r="O4" i="28" s="1"/>
  <c r="D29" i="61"/>
  <c r="C9" i="32"/>
  <c r="C660" i="62" s="1"/>
  <c r="C13" i="32"/>
  <c r="C664" i="62" s="1"/>
  <c r="C18" i="32"/>
  <c r="C669" i="62" s="1"/>
  <c r="C22" i="32"/>
  <c r="C673" i="62" s="1"/>
  <c r="K26" i="30"/>
  <c r="K27" i="30"/>
  <c r="K29" i="30"/>
  <c r="C26" i="30"/>
  <c r="C623" i="62" s="1"/>
  <c r="C30" i="30"/>
  <c r="C627" i="62" s="1"/>
  <c r="I31" i="30"/>
  <c r="L18" i="35"/>
  <c r="D18" i="55"/>
  <c r="J18" i="55" s="1"/>
  <c r="D20" i="55"/>
  <c r="P3" i="40"/>
  <c r="H3" i="59"/>
  <c r="I3" i="49"/>
  <c r="N3" i="47"/>
  <c r="K3" i="39"/>
  <c r="Q3" i="47"/>
  <c r="H26" i="30"/>
  <c r="H28" i="30"/>
  <c r="J24" i="33"/>
  <c r="J25" i="33"/>
  <c r="J26" i="33"/>
  <c r="J27" i="33"/>
  <c r="J28" i="33"/>
  <c r="J29" i="33"/>
  <c r="K28" i="30"/>
  <c r="H30" i="30"/>
  <c r="C19" i="31"/>
  <c r="C644" i="62" s="1"/>
  <c r="M10" i="33"/>
  <c r="J13" i="33"/>
  <c r="J18" i="33"/>
  <c r="G24" i="33"/>
  <c r="G25" i="33"/>
  <c r="G26" i="33"/>
  <c r="G27" i="33"/>
  <c r="G28" i="33"/>
  <c r="G29" i="33"/>
  <c r="G30" i="33"/>
  <c r="I82" i="58"/>
  <c r="J4" i="33" s="1"/>
  <c r="H27" i="30"/>
  <c r="H29" i="30"/>
  <c r="K30" i="30"/>
  <c r="P24" i="33"/>
  <c r="P25" i="33"/>
  <c r="P26" i="33"/>
  <c r="P27" i="33"/>
  <c r="P28" i="33"/>
  <c r="P29" i="33"/>
  <c r="O82" i="58"/>
  <c r="P4" i="33" s="1"/>
  <c r="F82" i="58"/>
  <c r="G4" i="33" s="1"/>
  <c r="C93" i="61"/>
  <c r="J36" i="61"/>
  <c r="D19" i="44"/>
  <c r="C12" i="31"/>
  <c r="C637" i="62" s="1"/>
  <c r="C21" i="31"/>
  <c r="C646" i="62" s="1"/>
  <c r="C14" i="31"/>
  <c r="C639" i="62" s="1"/>
  <c r="C8" i="31"/>
  <c r="C633" i="62" s="1"/>
  <c r="C17" i="31"/>
  <c r="C642" i="62" s="1"/>
  <c r="I30" i="31"/>
  <c r="I29" i="31"/>
  <c r="I27" i="31"/>
  <c r="I25" i="31"/>
  <c r="J32" i="30"/>
  <c r="J27" i="30"/>
  <c r="J28" i="30"/>
  <c r="G30" i="31"/>
  <c r="M24" i="31"/>
  <c r="M26" i="31"/>
  <c r="M28" i="31"/>
  <c r="I3" i="55"/>
  <c r="Y3" i="55" s="1"/>
  <c r="AO3" i="55" s="1"/>
  <c r="BE3" i="55" s="1"/>
  <c r="BU3" i="55" s="1"/>
  <c r="CK3" i="55" s="1"/>
  <c r="DA3" i="55" s="1"/>
  <c r="DP3" i="55" s="1"/>
  <c r="M30" i="31"/>
  <c r="P5" i="44"/>
  <c r="H5" i="42"/>
  <c r="O30" i="32"/>
  <c r="O24" i="32"/>
  <c r="P29" i="31"/>
  <c r="P24" i="31"/>
  <c r="P28" i="31"/>
  <c r="P27" i="31"/>
  <c r="P26" i="31"/>
  <c r="P25" i="31"/>
  <c r="P30" i="31"/>
  <c r="H28" i="31"/>
  <c r="H27" i="31"/>
  <c r="H26" i="31"/>
  <c r="H25" i="31"/>
  <c r="H30" i="31"/>
  <c r="H29" i="31"/>
  <c r="H24" i="31"/>
  <c r="G32" i="30"/>
  <c r="G31" i="30"/>
  <c r="G29" i="30"/>
  <c r="G27" i="30"/>
  <c r="L27" i="30"/>
  <c r="L28" i="30"/>
  <c r="L29" i="30"/>
  <c r="L30" i="30"/>
  <c r="K31" i="30"/>
  <c r="K32" i="30"/>
  <c r="G25" i="31"/>
  <c r="P14" i="33"/>
  <c r="H5" i="44"/>
  <c r="L31" i="30"/>
  <c r="L32" i="30"/>
  <c r="G26" i="31"/>
  <c r="K11" i="33"/>
  <c r="G12" i="33"/>
  <c r="L17" i="33"/>
  <c r="F51" i="58"/>
  <c r="G4" i="23" s="1"/>
  <c r="N60" i="58"/>
  <c r="O4" i="26" s="1"/>
  <c r="P5" i="41"/>
  <c r="C24" i="31"/>
  <c r="C649" i="62" s="1"/>
  <c r="N24" i="31"/>
  <c r="G29" i="31"/>
  <c r="G5" i="41"/>
  <c r="G5" i="44"/>
  <c r="G20" i="44" s="1"/>
  <c r="D73" i="58"/>
  <c r="F71" i="58"/>
  <c r="H71" i="58"/>
  <c r="I2" i="30" s="1"/>
  <c r="J71" i="58"/>
  <c r="K2" i="30" s="1"/>
  <c r="L71" i="58"/>
  <c r="N71" i="58"/>
  <c r="N73" i="58" s="1"/>
  <c r="O4" i="30" s="1"/>
  <c r="Q2" i="30"/>
  <c r="G71" i="58"/>
  <c r="H2" i="30" s="1"/>
  <c r="I71" i="58"/>
  <c r="J2" i="30" s="1"/>
  <c r="K71" i="58"/>
  <c r="M71" i="58"/>
  <c r="N2" i="30" s="1"/>
  <c r="O71" i="58"/>
  <c r="E71" i="58"/>
  <c r="F2" i="30" s="1"/>
  <c r="F96" i="58"/>
  <c r="H96" i="58"/>
  <c r="J96" i="58"/>
  <c r="L96" i="58"/>
  <c r="N96" i="58"/>
  <c r="Q2" i="51"/>
  <c r="G96" i="58"/>
  <c r="I96" i="58"/>
  <c r="K96" i="58"/>
  <c r="M96" i="58"/>
  <c r="O96" i="58"/>
  <c r="E96" i="58"/>
  <c r="I34" i="58"/>
  <c r="K34" i="58"/>
  <c r="M34" i="58"/>
  <c r="H34" i="58"/>
  <c r="J34" i="58"/>
  <c r="L34" i="58"/>
  <c r="N34" i="58"/>
  <c r="G25" i="58"/>
  <c r="K25" i="58"/>
  <c r="L2" i="11" s="1"/>
  <c r="O25" i="58"/>
  <c r="F25" i="58"/>
  <c r="G2" i="11" s="1"/>
  <c r="J25" i="58"/>
  <c r="N25" i="58"/>
  <c r="O2" i="11" s="1"/>
  <c r="F44" i="58"/>
  <c r="H44" i="58"/>
  <c r="J44" i="58"/>
  <c r="L44" i="58"/>
  <c r="N44" i="58"/>
  <c r="Q3" i="21"/>
  <c r="G44" i="58"/>
  <c r="I44" i="58"/>
  <c r="K44" i="58"/>
  <c r="M44" i="58"/>
  <c r="O44" i="58"/>
  <c r="E44" i="58"/>
  <c r="F40" i="58"/>
  <c r="H40" i="58"/>
  <c r="J40" i="58"/>
  <c r="K2" i="20" s="1"/>
  <c r="K24" i="20" s="1"/>
  <c r="L40" i="58"/>
  <c r="N40" i="58"/>
  <c r="N42" i="58" s="1"/>
  <c r="O4" i="20" s="1"/>
  <c r="G40" i="58"/>
  <c r="I40" i="58"/>
  <c r="K40" i="58"/>
  <c r="K42" i="58" s="1"/>
  <c r="L4" i="20" s="1"/>
  <c r="M40" i="58"/>
  <c r="N2" i="20" s="1"/>
  <c r="N24" i="20" s="1"/>
  <c r="O40" i="58"/>
  <c r="O42" i="58" s="1"/>
  <c r="P4" i="20" s="1"/>
  <c r="E40" i="58"/>
  <c r="F2" i="20" s="1"/>
  <c r="F24" i="20" s="1"/>
  <c r="F24" i="58"/>
  <c r="G5" i="10" s="1"/>
  <c r="H24" i="58"/>
  <c r="I5" i="10" s="1"/>
  <c r="J24" i="58"/>
  <c r="K5" i="10" s="1"/>
  <c r="L24" i="58"/>
  <c r="M5" i="10" s="1"/>
  <c r="N24" i="58"/>
  <c r="O5" i="10" s="1"/>
  <c r="P24" i="58"/>
  <c r="Q5" i="10" s="1"/>
  <c r="G24" i="58"/>
  <c r="H5" i="10" s="1"/>
  <c r="I24" i="58"/>
  <c r="J5" i="10" s="1"/>
  <c r="K24" i="58"/>
  <c r="L5" i="10" s="1"/>
  <c r="M24" i="58"/>
  <c r="N5" i="10" s="1"/>
  <c r="O24" i="58"/>
  <c r="P5" i="10" s="1"/>
  <c r="E24" i="58"/>
  <c r="F16" i="58"/>
  <c r="H16" i="58"/>
  <c r="J16" i="58"/>
  <c r="L16" i="58"/>
  <c r="N16" i="58"/>
  <c r="Q9" i="9"/>
  <c r="G16" i="58"/>
  <c r="I16" i="58"/>
  <c r="K16" i="58"/>
  <c r="M16" i="58"/>
  <c r="O16" i="58"/>
  <c r="E16" i="58"/>
  <c r="N3" i="55"/>
  <c r="AD3" i="55" s="1"/>
  <c r="AT3" i="55" s="1"/>
  <c r="BJ3" i="55" s="1"/>
  <c r="BZ3" i="55" s="1"/>
  <c r="CP3" i="55" s="1"/>
  <c r="DF3" i="55" s="1"/>
  <c r="DU3" i="55" s="1"/>
  <c r="G54" i="58"/>
  <c r="H4" i="24" s="1"/>
  <c r="C26" i="19"/>
  <c r="C339" i="62" s="1"/>
  <c r="J58" i="61"/>
  <c r="K29" i="31"/>
  <c r="K27" i="31"/>
  <c r="K30" i="31"/>
  <c r="K26" i="31"/>
  <c r="Q104" i="58"/>
  <c r="Q124" i="58" s="1"/>
  <c r="AF124" i="58" s="1"/>
  <c r="I26" i="30"/>
  <c r="I32" i="30"/>
  <c r="N27" i="31"/>
  <c r="I11" i="33"/>
  <c r="I16" i="33"/>
  <c r="Q107" i="58"/>
  <c r="N27" i="30"/>
  <c r="I29" i="30"/>
  <c r="N28" i="30"/>
  <c r="I30" i="30"/>
  <c r="C28" i="31"/>
  <c r="C653" i="62" s="1"/>
  <c r="N28" i="31"/>
  <c r="O9" i="33"/>
  <c r="O13" i="33"/>
  <c r="H3" i="46"/>
  <c r="R20" i="35"/>
  <c r="M28" i="30"/>
  <c r="M27" i="30"/>
  <c r="M32" i="30"/>
  <c r="M31" i="30"/>
  <c r="M30" i="30"/>
  <c r="M29" i="30"/>
  <c r="M26" i="30"/>
  <c r="J26" i="30"/>
  <c r="N26" i="30"/>
  <c r="I27" i="30"/>
  <c r="C28" i="30"/>
  <c r="C625" i="62" s="1"/>
  <c r="C29" i="30"/>
  <c r="C626" i="62" s="1"/>
  <c r="J29" i="30"/>
  <c r="N29" i="30"/>
  <c r="J30" i="30"/>
  <c r="N30" i="30"/>
  <c r="J31" i="30"/>
  <c r="N31" i="30"/>
  <c r="C4" i="31"/>
  <c r="C9" i="31"/>
  <c r="C634" i="62" s="1"/>
  <c r="C11" i="31"/>
  <c r="C636" i="62" s="1"/>
  <c r="C13" i="31"/>
  <c r="C638" i="62" s="1"/>
  <c r="C16" i="31"/>
  <c r="C641" i="62" s="1"/>
  <c r="C18" i="31"/>
  <c r="C643" i="62" s="1"/>
  <c r="C20" i="31"/>
  <c r="C645" i="62" s="1"/>
  <c r="G24" i="31"/>
  <c r="K24" i="31"/>
  <c r="K25" i="31"/>
  <c r="N25" i="31"/>
  <c r="C26" i="31"/>
  <c r="C651" i="62" s="1"/>
  <c r="N26" i="31"/>
  <c r="G27" i="31"/>
  <c r="K28" i="31"/>
  <c r="N29" i="31"/>
  <c r="C30" i="31"/>
  <c r="C655" i="62" s="1"/>
  <c r="G8" i="33"/>
  <c r="L8" i="33"/>
  <c r="O22" i="33"/>
  <c r="K3" i="54"/>
  <c r="P3" i="52"/>
  <c r="C28" i="19"/>
  <c r="C341" i="62" s="1"/>
  <c r="Q106" i="58"/>
  <c r="K3" i="38"/>
  <c r="P3" i="39"/>
  <c r="L5" i="42"/>
  <c r="D16" i="44"/>
  <c r="P16" i="44" s="1"/>
  <c r="D17" i="44"/>
  <c r="H3" i="48"/>
  <c r="D21" i="44"/>
  <c r="P26" i="32"/>
  <c r="F8" i="56"/>
  <c r="L3" i="47"/>
  <c r="R15" i="35"/>
  <c r="S15" i="35" s="1"/>
  <c r="F3" i="54"/>
  <c r="M3" i="59"/>
  <c r="J3" i="56"/>
  <c r="Z3" i="56" s="1"/>
  <c r="AP3" i="56" s="1"/>
  <c r="BF3" i="56" s="1"/>
  <c r="BV3" i="56" s="1"/>
  <c r="CL3" i="56" s="1"/>
  <c r="DB3" i="56" s="1"/>
  <c r="DQ3" i="56" s="1"/>
  <c r="L54" i="58"/>
  <c r="M4" i="24" s="1"/>
  <c r="P18" i="35"/>
  <c r="G26" i="32"/>
  <c r="G24" i="32"/>
  <c r="F3" i="59"/>
  <c r="M3" i="56"/>
  <c r="AC3" i="56" s="1"/>
  <c r="AS3" i="56" s="1"/>
  <c r="BI3" i="56" s="1"/>
  <c r="J3" i="50"/>
  <c r="K54" i="58"/>
  <c r="L4" i="24" s="1"/>
  <c r="Q26" i="35"/>
  <c r="G25" i="32"/>
  <c r="F3" i="52"/>
  <c r="D13" i="53"/>
  <c r="M5" i="42"/>
  <c r="C25" i="32"/>
  <c r="C676" i="62" s="1"/>
  <c r="P28" i="32"/>
  <c r="G3" i="54"/>
  <c r="P54" i="58"/>
  <c r="Q4" i="24" s="1"/>
  <c r="K5" i="41"/>
  <c r="C4" i="32"/>
  <c r="D36" i="32" s="1"/>
  <c r="C24" i="32"/>
  <c r="P30" i="32"/>
  <c r="O3" i="55"/>
  <c r="AE3" i="55" s="1"/>
  <c r="AU3" i="55" s="1"/>
  <c r="BK3" i="55" s="1"/>
  <c r="CA3" i="55" s="1"/>
  <c r="CQ3" i="55" s="1"/>
  <c r="DG3" i="55" s="1"/>
  <c r="DV3" i="55" s="1"/>
  <c r="G51" i="58"/>
  <c r="H4" i="23" s="1"/>
  <c r="K5" i="44"/>
  <c r="R22" i="35"/>
  <c r="S22" i="35" s="1"/>
  <c r="R17" i="35"/>
  <c r="S17" i="35" s="1"/>
  <c r="R13" i="35"/>
  <c r="S13" i="35" s="1"/>
  <c r="R24" i="35"/>
  <c r="S24" i="35" s="1"/>
  <c r="F18" i="35"/>
  <c r="O3" i="3"/>
  <c r="C27" i="33"/>
  <c r="C704" i="62" s="1"/>
  <c r="K3" i="47"/>
  <c r="K3" i="45"/>
  <c r="H3" i="56"/>
  <c r="X3" i="56" s="1"/>
  <c r="AN3" i="56" s="1"/>
  <c r="BD3" i="56" s="1"/>
  <c r="BT3" i="56" s="1"/>
  <c r="CJ3" i="56" s="1"/>
  <c r="CZ3" i="56" s="1"/>
  <c r="DO3" i="56" s="1"/>
  <c r="H3" i="55"/>
  <c r="X3" i="55" s="1"/>
  <c r="AN3" i="55" s="1"/>
  <c r="BD3" i="55" s="1"/>
  <c r="BT3" i="55" s="1"/>
  <c r="CJ3" i="55" s="1"/>
  <c r="CZ3" i="55" s="1"/>
  <c r="DO3" i="55" s="1"/>
  <c r="O3" i="53"/>
  <c r="P3" i="55"/>
  <c r="AF3" i="55" s="1"/>
  <c r="AV3" i="55" s="1"/>
  <c r="BL3" i="55" s="1"/>
  <c r="CB3" i="55" s="1"/>
  <c r="CR3" i="55" s="1"/>
  <c r="DH3" i="55" s="1"/>
  <c r="DW3" i="55" s="1"/>
  <c r="J51" i="58"/>
  <c r="K4" i="23" s="1"/>
  <c r="O51" i="58"/>
  <c r="P4" i="23" s="1"/>
  <c r="C25" i="19"/>
  <c r="C338" i="62" s="1"/>
  <c r="K3" i="52"/>
  <c r="K3" i="59"/>
  <c r="H3" i="43"/>
  <c r="H3" i="40"/>
  <c r="P3" i="38"/>
  <c r="P3" i="49"/>
  <c r="C29" i="19"/>
  <c r="C342" i="62" s="1"/>
  <c r="D39" i="19"/>
  <c r="H39" i="19" s="1"/>
  <c r="J3" i="53"/>
  <c r="J28" i="53" s="1"/>
  <c r="K3" i="3"/>
  <c r="K3" i="48"/>
  <c r="H3" i="50"/>
  <c r="H3" i="49"/>
  <c r="P3" i="47"/>
  <c r="C24" i="19"/>
  <c r="C337" i="62" s="1"/>
  <c r="C30" i="19"/>
  <c r="C343" i="62" s="1"/>
  <c r="C27" i="19"/>
  <c r="C340" i="62" s="1"/>
  <c r="C24" i="33"/>
  <c r="C701" i="62" s="1"/>
  <c r="M51" i="58"/>
  <c r="N4" i="23" s="1"/>
  <c r="J5" i="41"/>
  <c r="F5" i="41"/>
  <c r="C29" i="32"/>
  <c r="C680" i="62" s="1"/>
  <c r="Q3" i="56"/>
  <c r="Q8" i="56" s="1"/>
  <c r="C30" i="32"/>
  <c r="C681" i="62" s="1"/>
  <c r="C25" i="33"/>
  <c r="C702" i="62" s="1"/>
  <c r="C29" i="33"/>
  <c r="C706" i="62" s="1"/>
  <c r="M3" i="53"/>
  <c r="I3" i="50"/>
  <c r="O54" i="58"/>
  <c r="P4" i="24" s="1"/>
  <c r="J5" i="44"/>
  <c r="F5" i="44"/>
  <c r="F18" i="44" s="1"/>
  <c r="C28" i="33"/>
  <c r="C705" i="62" s="1"/>
  <c r="N3" i="49"/>
  <c r="I3" i="56"/>
  <c r="Y3" i="56" s="1"/>
  <c r="AO3" i="56" s="1"/>
  <c r="BE3" i="56" s="1"/>
  <c r="K24" i="32"/>
  <c r="K25" i="32"/>
  <c r="C27" i="32"/>
  <c r="C678" i="62" s="1"/>
  <c r="C4" i="33"/>
  <c r="C26" i="32"/>
  <c r="C677" i="62" s="1"/>
  <c r="C26" i="33"/>
  <c r="C703" i="62" s="1"/>
  <c r="H18" i="35"/>
  <c r="G3" i="50"/>
  <c r="O3" i="47"/>
  <c r="K3" i="53"/>
  <c r="P25" i="32"/>
  <c r="G3" i="59"/>
  <c r="O3" i="49"/>
  <c r="L3" i="55"/>
  <c r="AB3" i="55" s="1"/>
  <c r="AR3" i="55" s="1"/>
  <c r="BH3" i="55" s="1"/>
  <c r="BX3" i="55" s="1"/>
  <c r="CN3" i="55" s="1"/>
  <c r="DD3" i="55" s="1"/>
  <c r="DS3" i="55" s="1"/>
  <c r="E51" i="58"/>
  <c r="F4" i="23" s="1"/>
  <c r="Q50" i="58"/>
  <c r="R50" i="58" s="1"/>
  <c r="D9" i="55"/>
  <c r="L27" i="32"/>
  <c r="L29" i="32"/>
  <c r="G3" i="56"/>
  <c r="G8" i="56" s="1"/>
  <c r="N3" i="53"/>
  <c r="L3" i="49"/>
  <c r="H51" i="58"/>
  <c r="I4" i="23" s="1"/>
  <c r="Q3" i="48"/>
  <c r="Q3" i="55"/>
  <c r="Q18" i="55" s="1"/>
  <c r="Q3" i="52"/>
  <c r="P3" i="53"/>
  <c r="Q3" i="54"/>
  <c r="F38" i="19"/>
  <c r="L24" i="32"/>
  <c r="P24" i="32"/>
  <c r="L25" i="32"/>
  <c r="L26" i="32"/>
  <c r="P27" i="32"/>
  <c r="L28" i="32"/>
  <c r="K3" i="56"/>
  <c r="AA3" i="56" s="1"/>
  <c r="AQ3" i="56" s="1"/>
  <c r="BG3" i="56" s="1"/>
  <c r="K3" i="43"/>
  <c r="K3" i="50"/>
  <c r="K3" i="46"/>
  <c r="K3" i="55"/>
  <c r="AA3" i="55" s="1"/>
  <c r="AQ3" i="55" s="1"/>
  <c r="BG3" i="55" s="1"/>
  <c r="BW3" i="55" s="1"/>
  <c r="CM3" i="55" s="1"/>
  <c r="DC3" i="55" s="1"/>
  <c r="DR3" i="55" s="1"/>
  <c r="K3" i="40"/>
  <c r="K3" i="49"/>
  <c r="H3" i="39"/>
  <c r="G3" i="53"/>
  <c r="H3" i="38"/>
  <c r="H3" i="47"/>
  <c r="H3" i="52"/>
  <c r="H3" i="3"/>
  <c r="H3" i="54"/>
  <c r="H3" i="45"/>
  <c r="P3" i="48"/>
  <c r="P3" i="56"/>
  <c r="AF3" i="56" s="1"/>
  <c r="AV3" i="56" s="1"/>
  <c r="BL3" i="56" s="1"/>
  <c r="CB3" i="56" s="1"/>
  <c r="CR3" i="56" s="1"/>
  <c r="DH3" i="56" s="1"/>
  <c r="DW3" i="56" s="1"/>
  <c r="P3" i="43"/>
  <c r="P3" i="50"/>
  <c r="P3" i="46"/>
  <c r="G3" i="45"/>
  <c r="G3" i="48"/>
  <c r="G3" i="43"/>
  <c r="O3" i="40"/>
  <c r="O3" i="39"/>
  <c r="O3" i="38"/>
  <c r="L3" i="46"/>
  <c r="L3" i="40"/>
  <c r="L3" i="39"/>
  <c r="I23" i="58"/>
  <c r="J4" i="10" s="1"/>
  <c r="N51" i="58"/>
  <c r="O4" i="23" s="1"/>
  <c r="K51" i="58"/>
  <c r="L4" i="23" s="1"/>
  <c r="I54" i="58"/>
  <c r="J4" i="24" s="1"/>
  <c r="J54" i="58"/>
  <c r="K4" i="24" s="1"/>
  <c r="M54" i="58"/>
  <c r="N4" i="24" s="1"/>
  <c r="F54" i="58"/>
  <c r="G4" i="24" s="1"/>
  <c r="N54" i="58"/>
  <c r="O4" i="24" s="1"/>
  <c r="J83" i="61"/>
  <c r="H18" i="44"/>
  <c r="J30" i="32"/>
  <c r="J29" i="32"/>
  <c r="J28" i="32"/>
  <c r="J27" i="32"/>
  <c r="J26" i="32"/>
  <c r="J25" i="32"/>
  <c r="J24" i="32"/>
  <c r="F20" i="33"/>
  <c r="F19" i="33"/>
  <c r="F14" i="33"/>
  <c r="H22" i="33"/>
  <c r="H21" i="33"/>
  <c r="H17" i="33"/>
  <c r="P22" i="33"/>
  <c r="P21" i="33"/>
  <c r="P20" i="33"/>
  <c r="P17" i="33"/>
  <c r="P16" i="33"/>
  <c r="P12" i="33"/>
  <c r="Q21" i="33"/>
  <c r="Q22" i="33"/>
  <c r="Q19" i="33"/>
  <c r="Q18" i="33"/>
  <c r="Q14" i="33"/>
  <c r="Q13" i="33"/>
  <c r="I24" i="31"/>
  <c r="C25" i="31"/>
  <c r="C650" i="62" s="1"/>
  <c r="M25" i="31"/>
  <c r="I26" i="31"/>
  <c r="C27" i="31"/>
  <c r="C652" i="62" s="1"/>
  <c r="M27" i="31"/>
  <c r="I28" i="31"/>
  <c r="Q24" i="32"/>
  <c r="O25" i="32"/>
  <c r="Q25" i="32"/>
  <c r="K26" i="32"/>
  <c r="O26" i="32"/>
  <c r="Q26" i="32"/>
  <c r="G27" i="32"/>
  <c r="K27" i="32"/>
  <c r="O27" i="32"/>
  <c r="Q27" i="32"/>
  <c r="G28" i="32"/>
  <c r="K28" i="32"/>
  <c r="O28" i="32"/>
  <c r="Q28" i="32"/>
  <c r="G29" i="32"/>
  <c r="K29" i="32"/>
  <c r="O29" i="32"/>
  <c r="Q29" i="32"/>
  <c r="H8" i="33"/>
  <c r="K8" i="33"/>
  <c r="P8" i="33"/>
  <c r="G9" i="33"/>
  <c r="K9" i="33"/>
  <c r="Q9" i="33"/>
  <c r="F10" i="33"/>
  <c r="L10" i="33"/>
  <c r="Q10" i="33"/>
  <c r="G11" i="33"/>
  <c r="L11" i="33"/>
  <c r="P11" i="33"/>
  <c r="H12" i="33"/>
  <c r="L12" i="33"/>
  <c r="O18" i="33"/>
  <c r="P19" i="33"/>
  <c r="I20" i="33"/>
  <c r="Q20" i="33"/>
  <c r="R35" i="4"/>
  <c r="S35" i="4" s="1"/>
  <c r="K19" i="33"/>
  <c r="K22" i="33"/>
  <c r="K21" i="33"/>
  <c r="K18" i="33"/>
  <c r="K17" i="33"/>
  <c r="K13" i="33"/>
  <c r="K12" i="33"/>
  <c r="N20" i="33"/>
  <c r="N19" i="33"/>
  <c r="N14" i="33"/>
  <c r="G19" i="33"/>
  <c r="G22" i="33"/>
  <c r="G20" i="33"/>
  <c r="G18" i="33"/>
  <c r="G16" i="33"/>
  <c r="G13" i="33"/>
  <c r="L22" i="33"/>
  <c r="L20" i="33"/>
  <c r="L19" i="33"/>
  <c r="L16" i="33"/>
  <c r="L14" i="33"/>
  <c r="Q3" i="59"/>
  <c r="Q3" i="3"/>
  <c r="Q3" i="40"/>
  <c r="M3" i="46"/>
  <c r="M3" i="43"/>
  <c r="M3" i="48"/>
  <c r="M3" i="45"/>
  <c r="I3" i="39"/>
  <c r="I3" i="40"/>
  <c r="I3" i="46"/>
  <c r="I3" i="43"/>
  <c r="F3" i="43"/>
  <c r="F3" i="48"/>
  <c r="F3" i="45"/>
  <c r="F3" i="3"/>
  <c r="N3" i="38"/>
  <c r="N3" i="39"/>
  <c r="N3" i="40"/>
  <c r="N3" i="46"/>
  <c r="J3" i="40"/>
  <c r="J3" i="46"/>
  <c r="J3" i="43"/>
  <c r="J3" i="48"/>
  <c r="N5" i="41"/>
  <c r="N5" i="42"/>
  <c r="D14" i="53"/>
  <c r="D55" i="53"/>
  <c r="D22" i="55"/>
  <c r="R4" i="8"/>
  <c r="T4" i="8" s="1"/>
  <c r="O38" i="19"/>
  <c r="Q3" i="38"/>
  <c r="Q3" i="43"/>
  <c r="Q3" i="45"/>
  <c r="Q3" i="46"/>
  <c r="Q3" i="50"/>
  <c r="Q3" i="39"/>
  <c r="Q3" i="49"/>
  <c r="Q3" i="13"/>
  <c r="D42" i="58"/>
  <c r="J27" i="61"/>
  <c r="D46" i="61"/>
  <c r="J86" i="61"/>
  <c r="H29" i="32"/>
  <c r="H27" i="32"/>
  <c r="H30" i="32"/>
  <c r="H28" i="32"/>
  <c r="H26" i="32"/>
  <c r="H24" i="32"/>
  <c r="H25" i="32"/>
  <c r="O29" i="31"/>
  <c r="O25" i="31"/>
  <c r="O30" i="31"/>
  <c r="O28" i="31"/>
  <c r="O27" i="31"/>
  <c r="O26" i="31"/>
  <c r="O24" i="31"/>
  <c r="O32" i="30"/>
  <c r="O31" i="30"/>
  <c r="O29" i="30"/>
  <c r="O27" i="30"/>
  <c r="P31" i="30"/>
  <c r="P29" i="30"/>
  <c r="P32" i="30"/>
  <c r="P30" i="30"/>
  <c r="P28" i="30"/>
  <c r="P26" i="30"/>
  <c r="P27" i="30"/>
  <c r="J70" i="58"/>
  <c r="K4" i="29" s="1"/>
  <c r="G70" i="58"/>
  <c r="H4" i="29" s="1"/>
  <c r="O70" i="58"/>
  <c r="P4" i="29" s="1"/>
  <c r="I5" i="44"/>
  <c r="I18" i="44" s="1"/>
  <c r="I5" i="42"/>
  <c r="D15" i="53"/>
  <c r="D33" i="53"/>
  <c r="O3" i="29"/>
  <c r="O28" i="29" s="1"/>
  <c r="N70" i="58"/>
  <c r="O4" i="29" s="1"/>
  <c r="G3" i="29"/>
  <c r="G30" i="29" s="1"/>
  <c r="F70" i="58"/>
  <c r="G4" i="29" s="1"/>
  <c r="L3" i="29"/>
  <c r="L29" i="29" s="1"/>
  <c r="K70" i="58"/>
  <c r="L4" i="29" s="1"/>
  <c r="O23" i="58"/>
  <c r="P4" i="10" s="1"/>
  <c r="K23" i="58"/>
  <c r="L4" i="10" s="1"/>
  <c r="G23" i="58"/>
  <c r="H4" i="10" s="1"/>
  <c r="N23" i="58"/>
  <c r="O4" i="10" s="1"/>
  <c r="J23" i="58"/>
  <c r="K4" i="10" s="1"/>
  <c r="F23" i="58"/>
  <c r="G4" i="10" s="1"/>
  <c r="G3" i="15"/>
  <c r="G44" i="15" s="1"/>
  <c r="Q28" i="58"/>
  <c r="R28" i="58" s="1"/>
  <c r="O3" i="46"/>
  <c r="O3" i="50"/>
  <c r="O3" i="43"/>
  <c r="O3" i="56"/>
  <c r="O8" i="56" s="1"/>
  <c r="O3" i="48"/>
  <c r="O3" i="59"/>
  <c r="O3" i="45"/>
  <c r="O3" i="54"/>
  <c r="G3" i="3"/>
  <c r="G3" i="52"/>
  <c r="G3" i="47"/>
  <c r="G3" i="38"/>
  <c r="F3" i="53"/>
  <c r="F28" i="53" s="1"/>
  <c r="G3" i="39"/>
  <c r="G3" i="49"/>
  <c r="G3" i="40"/>
  <c r="G3" i="55"/>
  <c r="W3" i="55" s="1"/>
  <c r="AM3" i="55" s="1"/>
  <c r="BC3" i="55" s="1"/>
  <c r="BS3" i="55" s="1"/>
  <c r="CI3" i="55" s="1"/>
  <c r="CY3" i="55" s="1"/>
  <c r="DN3" i="55" s="1"/>
  <c r="P3" i="59"/>
  <c r="P3" i="45"/>
  <c r="P3" i="54"/>
  <c r="P3" i="3"/>
  <c r="L3" i="50"/>
  <c r="L3" i="43"/>
  <c r="L3" i="56"/>
  <c r="AB3" i="56" s="1"/>
  <c r="AR3" i="56" s="1"/>
  <c r="BH3" i="56" s="1"/>
  <c r="BX3" i="56" s="1"/>
  <c r="CN3" i="56" s="1"/>
  <c r="DD3" i="56" s="1"/>
  <c r="DS3" i="56" s="1"/>
  <c r="L3" i="48"/>
  <c r="L3" i="59"/>
  <c r="L3" i="45"/>
  <c r="L3" i="54"/>
  <c r="L3" i="3"/>
  <c r="L3" i="52"/>
  <c r="Q126" i="58"/>
  <c r="AF126" i="58" s="1"/>
  <c r="M23" i="58"/>
  <c r="N4" i="10" s="1"/>
  <c r="Q110" i="58"/>
  <c r="Q130" i="58" s="1"/>
  <c r="AF130" i="58" s="1"/>
  <c r="H38" i="19"/>
  <c r="Q21" i="58"/>
  <c r="R21" i="58" s="1"/>
  <c r="Q3" i="25"/>
  <c r="Q29" i="25" s="1"/>
  <c r="G26" i="30"/>
  <c r="O26" i="30"/>
  <c r="G28" i="30"/>
  <c r="O28" i="30"/>
  <c r="G30" i="30"/>
  <c r="O30" i="30"/>
  <c r="C8" i="32"/>
  <c r="C659" i="62" s="1"/>
  <c r="C10" i="32"/>
  <c r="C12" i="32"/>
  <c r="C663" i="62" s="1"/>
  <c r="C14" i="32"/>
  <c r="C665" i="62" s="1"/>
  <c r="C17" i="32"/>
  <c r="C668" i="62" s="1"/>
  <c r="C19" i="32"/>
  <c r="C670" i="62" s="1"/>
  <c r="R75" i="26"/>
  <c r="S75" i="26" s="1"/>
  <c r="H70" i="58"/>
  <c r="I4" i="29" s="1"/>
  <c r="I3" i="29"/>
  <c r="I28" i="29" s="1"/>
  <c r="F3" i="16"/>
  <c r="F30" i="16" s="1"/>
  <c r="Q31" i="58"/>
  <c r="R31" i="58" s="1"/>
  <c r="M2" i="10"/>
  <c r="R2" i="10" s="1"/>
  <c r="T2" i="10" s="1"/>
  <c r="L23" i="58"/>
  <c r="M4" i="10" s="1"/>
  <c r="M3" i="3"/>
  <c r="M3" i="52"/>
  <c r="M3" i="47"/>
  <c r="M3" i="38"/>
  <c r="L3" i="53"/>
  <c r="M3" i="39"/>
  <c r="M3" i="49"/>
  <c r="M3" i="40"/>
  <c r="M3" i="55"/>
  <c r="AC3" i="55" s="1"/>
  <c r="AS3" i="55" s="1"/>
  <c r="BI3" i="55" s="1"/>
  <c r="BY3" i="55" s="1"/>
  <c r="CO3" i="55" s="1"/>
  <c r="DE3" i="55" s="1"/>
  <c r="DT3" i="55" s="1"/>
  <c r="I3" i="48"/>
  <c r="I3" i="59"/>
  <c r="I3" i="45"/>
  <c r="I3" i="54"/>
  <c r="I3" i="3"/>
  <c r="I3" i="52"/>
  <c r="I3" i="47"/>
  <c r="I3" i="38"/>
  <c r="H3" i="53"/>
  <c r="H28" i="53" s="1"/>
  <c r="F3" i="47"/>
  <c r="F3" i="38"/>
  <c r="E3" i="53"/>
  <c r="F3" i="39"/>
  <c r="F3" i="49"/>
  <c r="F3" i="40"/>
  <c r="F3" i="55"/>
  <c r="F3" i="46"/>
  <c r="Q88" i="58"/>
  <c r="N3" i="50"/>
  <c r="N3" i="43"/>
  <c r="N3" i="56"/>
  <c r="N3" i="48"/>
  <c r="N3" i="59"/>
  <c r="N3" i="45"/>
  <c r="N3" i="54"/>
  <c r="N3" i="3"/>
  <c r="N3" i="52"/>
  <c r="J3" i="59"/>
  <c r="J3" i="45"/>
  <c r="J3" i="54"/>
  <c r="J3" i="3"/>
  <c r="J3" i="52"/>
  <c r="J3" i="47"/>
  <c r="J3" i="38"/>
  <c r="I3" i="53"/>
  <c r="J3" i="39"/>
  <c r="Q127" i="58"/>
  <c r="AF127" i="58" s="1"/>
  <c r="F3" i="25"/>
  <c r="F30" i="25" s="1"/>
  <c r="M38" i="19"/>
  <c r="K38" i="19"/>
  <c r="P38" i="19"/>
  <c r="AG127" i="58"/>
  <c r="AG126" i="58"/>
  <c r="AG124" i="58"/>
  <c r="AG130" i="58"/>
  <c r="E23" i="58"/>
  <c r="F4" i="10" s="1"/>
  <c r="H23" i="58"/>
  <c r="I4" i="10" s="1"/>
  <c r="Q39" i="58"/>
  <c r="R39" i="58" s="1"/>
  <c r="J38" i="19"/>
  <c r="N3" i="29"/>
  <c r="N30" i="29" s="1"/>
  <c r="N30" i="32"/>
  <c r="N29" i="32"/>
  <c r="N28" i="32"/>
  <c r="N27" i="32"/>
  <c r="N26" i="32"/>
  <c r="N25" i="32"/>
  <c r="N24" i="32"/>
  <c r="M30" i="32"/>
  <c r="M29" i="32"/>
  <c r="M28" i="32"/>
  <c r="M27" i="32"/>
  <c r="M26" i="32"/>
  <c r="M25" i="32"/>
  <c r="M24" i="32"/>
  <c r="I30" i="32"/>
  <c r="I29" i="32"/>
  <c r="I28" i="32"/>
  <c r="I27" i="32"/>
  <c r="I26" i="32"/>
  <c r="I25" i="32"/>
  <c r="I24" i="32"/>
  <c r="J30" i="31"/>
  <c r="J29" i="31"/>
  <c r="J28" i="31"/>
  <c r="J27" i="31"/>
  <c r="J26" i="31"/>
  <c r="J25" i="31"/>
  <c r="J24" i="31"/>
  <c r="Q30" i="31"/>
  <c r="Q29" i="31"/>
  <c r="Q28" i="31"/>
  <c r="Q27" i="31"/>
  <c r="Q26" i="31"/>
  <c r="Q25" i="31"/>
  <c r="Q24" i="31"/>
  <c r="Q32" i="30"/>
  <c r="Q31" i="30"/>
  <c r="Q30" i="30"/>
  <c r="Q29" i="30"/>
  <c r="Q28" i="30"/>
  <c r="Q27" i="30"/>
  <c r="Q26" i="30"/>
  <c r="P23" i="58"/>
  <c r="Q4" i="10" s="1"/>
  <c r="L70" i="58"/>
  <c r="M4" i="29" s="1"/>
  <c r="I70" i="58"/>
  <c r="J4" i="29" s="1"/>
  <c r="E70" i="58"/>
  <c r="F4" i="29" s="1"/>
  <c r="P70" i="58"/>
  <c r="Q4" i="29" s="1"/>
  <c r="E54" i="58"/>
  <c r="F4" i="24" s="1"/>
  <c r="H54" i="58"/>
  <c r="I4" i="24" s="1"/>
  <c r="Q53" i="58"/>
  <c r="R53" i="58" s="1"/>
  <c r="I5" i="41"/>
  <c r="N5" i="44"/>
  <c r="Q69" i="58"/>
  <c r="R69" i="58" s="1"/>
  <c r="AG128" i="58"/>
  <c r="C796" i="62" s="1"/>
  <c r="Q109" i="58"/>
  <c r="Q129" i="58" s="1"/>
  <c r="Q105" i="58"/>
  <c r="Q125" i="58" s="1"/>
  <c r="AF125" i="58" s="1"/>
  <c r="Q108" i="58"/>
  <c r="Q128" i="58" s="1"/>
  <c r="AF128" i="58" s="1"/>
  <c r="H42" i="58"/>
  <c r="I4" i="20" s="1"/>
  <c r="K2" i="11"/>
  <c r="H2" i="11"/>
  <c r="P2" i="11"/>
  <c r="M2" i="30"/>
  <c r="K73" i="58"/>
  <c r="L4" i="30" s="1"/>
  <c r="H3" i="10"/>
  <c r="R3" i="10" s="1"/>
  <c r="T3" i="10" s="1"/>
  <c r="Q22" i="58"/>
  <c r="R22" i="58" s="1"/>
  <c r="J71" i="61"/>
  <c r="D16" i="37"/>
  <c r="D14" i="37"/>
  <c r="D12" i="37"/>
  <c r="D10" i="37"/>
  <c r="D17" i="37"/>
  <c r="D15" i="37"/>
  <c r="D13" i="37"/>
  <c r="D11" i="37"/>
  <c r="J64" i="61"/>
  <c r="J28" i="61"/>
  <c r="C5" i="10"/>
  <c r="D77" i="61"/>
  <c r="J75" i="61"/>
  <c r="C2" i="30"/>
  <c r="J74" i="61"/>
  <c r="J100" i="61"/>
  <c r="C2" i="51"/>
  <c r="C4" i="51" s="1"/>
  <c r="D17" i="51" s="1"/>
  <c r="D102" i="61"/>
  <c r="J68" i="61"/>
  <c r="F3" i="30"/>
  <c r="Q72" i="58"/>
  <c r="R72" i="58" s="1"/>
  <c r="D35" i="58"/>
  <c r="F3" i="32"/>
  <c r="Q78" i="58"/>
  <c r="R78" i="58" s="1"/>
  <c r="D17" i="58"/>
  <c r="D45" i="58"/>
  <c r="H100" i="26"/>
  <c r="H95" i="26"/>
  <c r="H97" i="26"/>
  <c r="H98" i="26"/>
  <c r="H101" i="26"/>
  <c r="H96" i="26"/>
  <c r="H99" i="26"/>
  <c r="P98" i="26"/>
  <c r="P101" i="26"/>
  <c r="P96" i="26"/>
  <c r="P99" i="26"/>
  <c r="P100" i="26"/>
  <c r="P95" i="26"/>
  <c r="P97" i="26"/>
  <c r="G99" i="26"/>
  <c r="G96" i="26"/>
  <c r="G95" i="26"/>
  <c r="G98" i="26"/>
  <c r="G101" i="26"/>
  <c r="G100" i="26"/>
  <c r="G97" i="26"/>
  <c r="Q95" i="26"/>
  <c r="Q97" i="26"/>
  <c r="Q100" i="26"/>
  <c r="Q98" i="26"/>
  <c r="Q96" i="26"/>
  <c r="Q99" i="26"/>
  <c r="Q101" i="26"/>
  <c r="N99" i="26"/>
  <c r="N96" i="26"/>
  <c r="N100" i="26"/>
  <c r="N98" i="26"/>
  <c r="N95" i="26"/>
  <c r="N97" i="26"/>
  <c r="N101" i="26"/>
  <c r="L98" i="26"/>
  <c r="L96" i="26"/>
  <c r="L100" i="26"/>
  <c r="L99" i="26"/>
  <c r="L97" i="26"/>
  <c r="L95" i="26"/>
  <c r="L101" i="26"/>
  <c r="C2" i="11"/>
  <c r="J44" i="61"/>
  <c r="C2" i="20"/>
  <c r="C15" i="20" s="1"/>
  <c r="C352" i="62" s="1"/>
  <c r="F3" i="31"/>
  <c r="Q75" i="58"/>
  <c r="R75" i="58" s="1"/>
  <c r="C98" i="26"/>
  <c r="C96" i="26"/>
  <c r="C100" i="26"/>
  <c r="C99" i="26"/>
  <c r="C95" i="26"/>
  <c r="C97" i="26"/>
  <c r="C101" i="26"/>
  <c r="D98" i="58"/>
  <c r="F3" i="37"/>
  <c r="R3" i="37" s="1"/>
  <c r="S3" i="37" s="1"/>
  <c r="Q92" i="58"/>
  <c r="R92" i="58" s="1"/>
  <c r="J38" i="61"/>
  <c r="C3" i="17"/>
  <c r="D39" i="61"/>
  <c r="J20" i="61"/>
  <c r="C9" i="9"/>
  <c r="C10" i="9" s="1"/>
  <c r="C3" i="13"/>
  <c r="C4" i="13" s="1"/>
  <c r="D21" i="61"/>
  <c r="J48" i="61"/>
  <c r="C3" i="21"/>
  <c r="C27" i="21" s="1"/>
  <c r="C389" i="62" s="1"/>
  <c r="D49" i="61"/>
  <c r="I98" i="26"/>
  <c r="I97" i="26"/>
  <c r="I100" i="26"/>
  <c r="I96" i="26"/>
  <c r="I95" i="26"/>
  <c r="I99" i="26"/>
  <c r="I101" i="26"/>
  <c r="J98" i="26"/>
  <c r="J96" i="26"/>
  <c r="J99" i="26"/>
  <c r="J101" i="26"/>
  <c r="J95" i="26"/>
  <c r="J97" i="26"/>
  <c r="J100" i="26"/>
  <c r="K100" i="26"/>
  <c r="K99" i="26"/>
  <c r="K95" i="26"/>
  <c r="K98" i="26"/>
  <c r="K96" i="26"/>
  <c r="K101" i="26"/>
  <c r="K97" i="26"/>
  <c r="F3" i="26"/>
  <c r="F33" i="26" s="1"/>
  <c r="Q59" i="58"/>
  <c r="R59" i="58" s="1"/>
  <c r="O98" i="26"/>
  <c r="O101" i="26"/>
  <c r="O100" i="26"/>
  <c r="O97" i="26"/>
  <c r="O99" i="26"/>
  <c r="O96" i="26"/>
  <c r="O95" i="26"/>
  <c r="M98" i="26"/>
  <c r="M100" i="26"/>
  <c r="M95" i="26"/>
  <c r="M96" i="26"/>
  <c r="M99" i="26"/>
  <c r="M97" i="26"/>
  <c r="M101" i="26"/>
  <c r="F93" i="26"/>
  <c r="F91" i="26"/>
  <c r="F89" i="26"/>
  <c r="F87" i="26"/>
  <c r="F84" i="26"/>
  <c r="F92" i="26"/>
  <c r="F90" i="26"/>
  <c r="F88" i="26"/>
  <c r="F85" i="26"/>
  <c r="F83" i="26"/>
  <c r="F81" i="26"/>
  <c r="F79" i="26"/>
  <c r="F82" i="26"/>
  <c r="F80" i="26"/>
  <c r="K92" i="26"/>
  <c r="K90" i="26"/>
  <c r="K88" i="26"/>
  <c r="K85" i="26"/>
  <c r="K83" i="26"/>
  <c r="K93" i="26"/>
  <c r="K91" i="26"/>
  <c r="K89" i="26"/>
  <c r="K87" i="26"/>
  <c r="K84" i="26"/>
  <c r="K82" i="26"/>
  <c r="K80" i="26"/>
  <c r="K81" i="26"/>
  <c r="K79" i="26"/>
  <c r="H93" i="26"/>
  <c r="H91" i="26"/>
  <c r="H89" i="26"/>
  <c r="H87" i="26"/>
  <c r="H84" i="26"/>
  <c r="H92" i="26"/>
  <c r="H90" i="26"/>
  <c r="H88" i="26"/>
  <c r="H85" i="26"/>
  <c r="H83" i="26"/>
  <c r="H81" i="26"/>
  <c r="H79" i="26"/>
  <c r="H82" i="26"/>
  <c r="H80" i="26"/>
  <c r="P93" i="26"/>
  <c r="P91" i="26"/>
  <c r="P89" i="26"/>
  <c r="P87" i="26"/>
  <c r="P84" i="26"/>
  <c r="P92" i="26"/>
  <c r="P90" i="26"/>
  <c r="P88" i="26"/>
  <c r="P85" i="26"/>
  <c r="P83" i="26"/>
  <c r="P81" i="26"/>
  <c r="P79" i="26"/>
  <c r="P82" i="26"/>
  <c r="P80" i="26"/>
  <c r="I92" i="26"/>
  <c r="I90" i="26"/>
  <c r="I88" i="26"/>
  <c r="I85" i="26"/>
  <c r="I83" i="26"/>
  <c r="I93" i="26"/>
  <c r="I91" i="26"/>
  <c r="I89" i="26"/>
  <c r="I87" i="26"/>
  <c r="I84" i="26"/>
  <c r="I82" i="26"/>
  <c r="I80" i="26"/>
  <c r="I81" i="26"/>
  <c r="I79" i="26"/>
  <c r="Q92" i="26"/>
  <c r="Q90" i="26"/>
  <c r="Q88" i="26"/>
  <c r="Q85" i="26"/>
  <c r="Q83" i="26"/>
  <c r="Q93" i="26"/>
  <c r="Q91" i="26"/>
  <c r="Q89" i="26"/>
  <c r="Q87" i="26"/>
  <c r="Q84" i="26"/>
  <c r="Q82" i="26"/>
  <c r="Q80" i="26"/>
  <c r="Q81" i="26"/>
  <c r="Q79" i="26"/>
  <c r="N93" i="26"/>
  <c r="N91" i="26"/>
  <c r="N89" i="26"/>
  <c r="N87" i="26"/>
  <c r="N84" i="26"/>
  <c r="N92" i="26"/>
  <c r="N90" i="26"/>
  <c r="N88" i="26"/>
  <c r="N85" i="26"/>
  <c r="N83" i="26"/>
  <c r="N81" i="26"/>
  <c r="N79" i="26"/>
  <c r="N82" i="26"/>
  <c r="N80" i="26"/>
  <c r="G92" i="26"/>
  <c r="G90" i="26"/>
  <c r="G88" i="26"/>
  <c r="G85" i="26"/>
  <c r="G83" i="26"/>
  <c r="G93" i="26"/>
  <c r="G91" i="26"/>
  <c r="G89" i="26"/>
  <c r="G87" i="26"/>
  <c r="G84" i="26"/>
  <c r="G82" i="26"/>
  <c r="G80" i="26"/>
  <c r="G81" i="26"/>
  <c r="G79" i="26"/>
  <c r="O92" i="26"/>
  <c r="O90" i="26"/>
  <c r="O88" i="26"/>
  <c r="O85" i="26"/>
  <c r="O83" i="26"/>
  <c r="O93" i="26"/>
  <c r="O91" i="26"/>
  <c r="O89" i="26"/>
  <c r="O87" i="26"/>
  <c r="O84" i="26"/>
  <c r="O82" i="26"/>
  <c r="O80" i="26"/>
  <c r="O81" i="26"/>
  <c r="O79" i="26"/>
  <c r="L93" i="26"/>
  <c r="L91" i="26"/>
  <c r="L89" i="26"/>
  <c r="L87" i="26"/>
  <c r="L84" i="26"/>
  <c r="L92" i="26"/>
  <c r="L90" i="26"/>
  <c r="L88" i="26"/>
  <c r="L85" i="26"/>
  <c r="L83" i="26"/>
  <c r="L81" i="26"/>
  <c r="L79" i="26"/>
  <c r="L82" i="26"/>
  <c r="L80" i="26"/>
  <c r="M92" i="26"/>
  <c r="M90" i="26"/>
  <c r="M88" i="26"/>
  <c r="M85" i="26"/>
  <c r="M83" i="26"/>
  <c r="M93" i="26"/>
  <c r="M91" i="26"/>
  <c r="M89" i="26"/>
  <c r="M87" i="26"/>
  <c r="M84" i="26"/>
  <c r="M82" i="26"/>
  <c r="M80" i="26"/>
  <c r="M81" i="26"/>
  <c r="M79" i="26"/>
  <c r="J93" i="26"/>
  <c r="J91" i="26"/>
  <c r="J89" i="26"/>
  <c r="J87" i="26"/>
  <c r="J84" i="26"/>
  <c r="J92" i="26"/>
  <c r="J90" i="26"/>
  <c r="J88" i="26"/>
  <c r="J85" i="26"/>
  <c r="J83" i="26"/>
  <c r="J81" i="26"/>
  <c r="J79" i="26"/>
  <c r="J82" i="26"/>
  <c r="J80" i="26"/>
  <c r="I38" i="19"/>
  <c r="AG125" i="58"/>
  <c r="C795" i="62" s="1"/>
  <c r="J55" i="61"/>
  <c r="Q38" i="19"/>
  <c r="G38" i="19"/>
  <c r="L38" i="19"/>
  <c r="Q77" i="58"/>
  <c r="R77" i="58" s="1"/>
  <c r="N38" i="19"/>
  <c r="I15" i="60"/>
  <c r="J15" i="60" s="1"/>
  <c r="J80" i="61"/>
  <c r="J91" i="61"/>
  <c r="C692" i="62"/>
  <c r="J20" i="44"/>
  <c r="P18" i="44"/>
  <c r="Q121" i="58"/>
  <c r="Q111" i="58"/>
  <c r="C700" i="62"/>
  <c r="R12" i="44"/>
  <c r="S12" i="44" s="1"/>
  <c r="C810" i="62"/>
  <c r="R11" i="44"/>
  <c r="S11" i="44" s="1"/>
  <c r="B90" i="58"/>
  <c r="C94" i="61"/>
  <c r="P31" i="33"/>
  <c r="O8" i="33"/>
  <c r="F9" i="33"/>
  <c r="N9" i="33"/>
  <c r="I10" i="33"/>
  <c r="H11" i="33"/>
  <c r="O12" i="33"/>
  <c r="F13" i="33"/>
  <c r="N13" i="33"/>
  <c r="I14" i="33"/>
  <c r="H16" i="33"/>
  <c r="O17" i="33"/>
  <c r="F18" i="33"/>
  <c r="N18" i="33"/>
  <c r="I19" i="33"/>
  <c r="H20" i="33"/>
  <c r="O21" i="33"/>
  <c r="F22" i="33"/>
  <c r="N22" i="33"/>
  <c r="R2" i="33"/>
  <c r="S2" i="33" s="1"/>
  <c r="F8" i="33"/>
  <c r="J15" i="33"/>
  <c r="N8" i="33"/>
  <c r="I9" i="33"/>
  <c r="M9" i="33"/>
  <c r="H10" i="33"/>
  <c r="O11" i="33"/>
  <c r="F12" i="33"/>
  <c r="N12" i="33"/>
  <c r="I13" i="33"/>
  <c r="M13" i="33"/>
  <c r="H14" i="33"/>
  <c r="O16" i="33"/>
  <c r="F17" i="33"/>
  <c r="N17" i="33"/>
  <c r="I18" i="33"/>
  <c r="M18" i="33"/>
  <c r="H19" i="33"/>
  <c r="O20" i="33"/>
  <c r="F21" i="33"/>
  <c r="N21" i="33"/>
  <c r="I22" i="33"/>
  <c r="M22" i="33"/>
  <c r="I8" i="33"/>
  <c r="M8" i="33"/>
  <c r="Q8" i="33"/>
  <c r="H9" i="33"/>
  <c r="L9" i="33"/>
  <c r="P9" i="33"/>
  <c r="G10" i="33"/>
  <c r="K10" i="33"/>
  <c r="O10" i="33"/>
  <c r="F11" i="33"/>
  <c r="N11" i="33"/>
  <c r="I12" i="33"/>
  <c r="M12" i="33"/>
  <c r="Q12" i="33"/>
  <c r="H13" i="33"/>
  <c r="L13" i="33"/>
  <c r="P13" i="33"/>
  <c r="G14" i="33"/>
  <c r="K14" i="33"/>
  <c r="O14" i="33"/>
  <c r="F16" i="33"/>
  <c r="N16" i="33"/>
  <c r="I17" i="33"/>
  <c r="M17" i="33"/>
  <c r="Q17" i="33"/>
  <c r="H18" i="33"/>
  <c r="L18" i="33"/>
  <c r="P18" i="33"/>
  <c r="R3" i="36"/>
  <c r="S3" i="36" s="1"/>
  <c r="F30" i="36"/>
  <c r="R30" i="36" s="1"/>
  <c r="S30" i="36" s="1"/>
  <c r="J23" i="33"/>
  <c r="G31" i="31"/>
  <c r="K33" i="30"/>
  <c r="F7" i="21"/>
  <c r="R7" i="21" s="1"/>
  <c r="Q48" i="58"/>
  <c r="R48" i="58" s="1"/>
  <c r="F4" i="26"/>
  <c r="Q60" i="58"/>
  <c r="R60" i="58" s="1"/>
  <c r="F4" i="18"/>
  <c r="R4" i="18" s="1"/>
  <c r="Q38" i="58"/>
  <c r="R38" i="58" s="1"/>
  <c r="R2" i="18"/>
  <c r="S2" i="18" s="1"/>
  <c r="F2" i="16"/>
  <c r="F22" i="16" s="1"/>
  <c r="E32" i="58"/>
  <c r="Q30" i="58"/>
  <c r="R30" i="58" s="1"/>
  <c r="J2" i="16"/>
  <c r="J22" i="16" s="1"/>
  <c r="I32" i="58"/>
  <c r="J4" i="16" s="1"/>
  <c r="M2" i="16"/>
  <c r="M22" i="16" s="1"/>
  <c r="L32" i="58"/>
  <c r="M4" i="16" s="1"/>
  <c r="L2" i="16"/>
  <c r="L22" i="16" s="1"/>
  <c r="K32" i="58"/>
  <c r="L4" i="16" s="1"/>
  <c r="O2" i="16"/>
  <c r="O21" i="16" s="1"/>
  <c r="N32" i="58"/>
  <c r="O4" i="16" s="1"/>
  <c r="G2" i="16"/>
  <c r="G21" i="16" s="1"/>
  <c r="F32" i="58"/>
  <c r="G4" i="16" s="1"/>
  <c r="N2" i="16"/>
  <c r="N22" i="16" s="1"/>
  <c r="M32" i="58"/>
  <c r="N4" i="16" s="1"/>
  <c r="Q22" i="16"/>
  <c r="P32" i="58"/>
  <c r="Q4" i="16" s="1"/>
  <c r="I2" i="16"/>
  <c r="I22" i="16" s="1"/>
  <c r="H32" i="58"/>
  <c r="I4" i="16" s="1"/>
  <c r="P2" i="16"/>
  <c r="P22" i="16" s="1"/>
  <c r="O32" i="58"/>
  <c r="P4" i="16" s="1"/>
  <c r="H2" i="16"/>
  <c r="H22" i="16" s="1"/>
  <c r="G32" i="58"/>
  <c r="H4" i="16" s="1"/>
  <c r="K2" i="16"/>
  <c r="K21" i="16" s="1"/>
  <c r="J32" i="58"/>
  <c r="K4" i="16" s="1"/>
  <c r="R8" i="9"/>
  <c r="T8" i="9" s="1"/>
  <c r="R2" i="13"/>
  <c r="T2" i="13" s="1"/>
  <c r="F2" i="31"/>
  <c r="Q74" i="58"/>
  <c r="R74" i="58" s="1"/>
  <c r="E76" i="58"/>
  <c r="J2" i="31"/>
  <c r="I76" i="58"/>
  <c r="J4" i="31" s="1"/>
  <c r="M2" i="31"/>
  <c r="L76" i="58"/>
  <c r="M4" i="31" s="1"/>
  <c r="L2" i="31"/>
  <c r="K76" i="58"/>
  <c r="L4" i="31" s="1"/>
  <c r="O2" i="31"/>
  <c r="N76" i="58"/>
  <c r="O4" i="31" s="1"/>
  <c r="G2" i="31"/>
  <c r="F76" i="58"/>
  <c r="G4" i="31" s="1"/>
  <c r="N2" i="31"/>
  <c r="M76" i="58"/>
  <c r="N4" i="31" s="1"/>
  <c r="P76" i="58"/>
  <c r="Q4" i="31" s="1"/>
  <c r="I2" i="31"/>
  <c r="H76" i="58"/>
  <c r="I4" i="31" s="1"/>
  <c r="P2" i="31"/>
  <c r="O76" i="58"/>
  <c r="P4" i="31" s="1"/>
  <c r="H2" i="31"/>
  <c r="G76" i="58"/>
  <c r="H4" i="31" s="1"/>
  <c r="K2" i="31"/>
  <c r="J76" i="58"/>
  <c r="K4" i="31" s="1"/>
  <c r="O79" i="58"/>
  <c r="P4" i="32" s="1"/>
  <c r="P2" i="32"/>
  <c r="G79" i="58"/>
  <c r="H4" i="32" s="1"/>
  <c r="H2" i="32"/>
  <c r="J79" i="58"/>
  <c r="K4" i="32" s="1"/>
  <c r="K2" i="32"/>
  <c r="E79" i="58"/>
  <c r="F2" i="32"/>
  <c r="I79" i="58"/>
  <c r="J4" i="32" s="1"/>
  <c r="J2" i="32"/>
  <c r="L79" i="58"/>
  <c r="M4" i="32" s="1"/>
  <c r="M2" i="32"/>
  <c r="K79" i="58"/>
  <c r="L4" i="32" s="1"/>
  <c r="L2" i="32"/>
  <c r="N79" i="58"/>
  <c r="O4" i="32" s="1"/>
  <c r="O2" i="32"/>
  <c r="F79" i="58"/>
  <c r="G4" i="32" s="1"/>
  <c r="G2" i="32"/>
  <c r="M79" i="58"/>
  <c r="N4" i="32" s="1"/>
  <c r="N2" i="32"/>
  <c r="P79" i="58"/>
  <c r="Q4" i="32" s="1"/>
  <c r="Q2" i="32"/>
  <c r="H79" i="58"/>
  <c r="I4" i="32" s="1"/>
  <c r="I2" i="32"/>
  <c r="P73" i="58"/>
  <c r="Q4" i="30" s="1"/>
  <c r="V3" i="56"/>
  <c r="K28" i="53"/>
  <c r="B93" i="58"/>
  <c r="B94" i="58"/>
  <c r="C2" i="3"/>
  <c r="C4" i="3" s="1"/>
  <c r="C2" i="50"/>
  <c r="C4" i="50" s="1"/>
  <c r="C2" i="48"/>
  <c r="C4" i="48" s="1"/>
  <c r="C2" i="46"/>
  <c r="C2" i="40"/>
  <c r="C4" i="40" s="1"/>
  <c r="D20" i="40" s="1"/>
  <c r="C2" i="38"/>
  <c r="C4" i="38" s="1"/>
  <c r="C2" i="43"/>
  <c r="C4" i="43" s="1"/>
  <c r="C2" i="59"/>
  <c r="C4" i="59" s="1"/>
  <c r="C2" i="49"/>
  <c r="C4" i="49" s="1"/>
  <c r="D29" i="49" s="1"/>
  <c r="C2" i="47"/>
  <c r="C4" i="47" s="1"/>
  <c r="C2" i="45"/>
  <c r="C4" i="45" s="1"/>
  <c r="C2" i="39"/>
  <c r="C2" i="52"/>
  <c r="D93" i="61"/>
  <c r="D87" i="58"/>
  <c r="B89" i="58"/>
  <c r="R15" i="44"/>
  <c r="S15" i="44" s="1"/>
  <c r="R13" i="44"/>
  <c r="S13" i="44" s="1"/>
  <c r="Q31" i="36"/>
  <c r="O31" i="36"/>
  <c r="M31" i="36"/>
  <c r="K31" i="36"/>
  <c r="I31" i="36"/>
  <c r="G31" i="36"/>
  <c r="P31" i="36"/>
  <c r="N31" i="36"/>
  <c r="L31" i="36"/>
  <c r="J31" i="36"/>
  <c r="H31" i="36"/>
  <c r="F31" i="36"/>
  <c r="G18" i="35"/>
  <c r="I18" i="35"/>
  <c r="K18" i="35"/>
  <c r="M18" i="35"/>
  <c r="O18" i="35"/>
  <c r="Q18" i="35"/>
  <c r="R12" i="35"/>
  <c r="S12" i="35" s="1"/>
  <c r="R14" i="35"/>
  <c r="S14" i="35" s="1"/>
  <c r="R16" i="35"/>
  <c r="S16" i="35" s="1"/>
  <c r="F26" i="35"/>
  <c r="H26" i="35"/>
  <c r="J26" i="35"/>
  <c r="L26" i="35"/>
  <c r="N26" i="35"/>
  <c r="P26" i="35"/>
  <c r="R21" i="35"/>
  <c r="S21" i="35" s="1"/>
  <c r="R23" i="35"/>
  <c r="S23" i="35" s="1"/>
  <c r="R25" i="35"/>
  <c r="S25" i="35" s="1"/>
  <c r="S20" i="35"/>
  <c r="R11" i="35"/>
  <c r="S11" i="35" s="1"/>
  <c r="C18" i="35"/>
  <c r="R19" i="35"/>
  <c r="S19" i="35" s="1"/>
  <c r="C26" i="35"/>
  <c r="R11" i="34"/>
  <c r="S11" i="34" s="1"/>
  <c r="H18" i="34"/>
  <c r="J18" i="34"/>
  <c r="L18" i="34"/>
  <c r="N18" i="34"/>
  <c r="P18" i="34"/>
  <c r="R13" i="34"/>
  <c r="S13" i="34" s="1"/>
  <c r="R15" i="34"/>
  <c r="S15" i="34" s="1"/>
  <c r="R17" i="34"/>
  <c r="S17" i="34" s="1"/>
  <c r="C26" i="34"/>
  <c r="G26" i="34"/>
  <c r="I26" i="34"/>
  <c r="K26" i="34"/>
  <c r="M26" i="34"/>
  <c r="O26" i="34"/>
  <c r="Q26" i="34"/>
  <c r="R20" i="34"/>
  <c r="S20" i="34" s="1"/>
  <c r="R22" i="34"/>
  <c r="S22" i="34" s="1"/>
  <c r="R24" i="34"/>
  <c r="S24" i="34" s="1"/>
  <c r="C18" i="34"/>
  <c r="G18" i="34"/>
  <c r="I18" i="34"/>
  <c r="K18" i="34"/>
  <c r="M18" i="34"/>
  <c r="O18" i="34"/>
  <c r="Q18" i="34"/>
  <c r="R12" i="34"/>
  <c r="S12" i="34" s="1"/>
  <c r="R14" i="34"/>
  <c r="S14" i="34" s="1"/>
  <c r="R16" i="34"/>
  <c r="S16" i="34" s="1"/>
  <c r="R19" i="34"/>
  <c r="S19" i="34" s="1"/>
  <c r="H26" i="34"/>
  <c r="J26" i="34"/>
  <c r="L26" i="34"/>
  <c r="N26" i="34"/>
  <c r="P26" i="34"/>
  <c r="R21" i="34"/>
  <c r="S21" i="34" s="1"/>
  <c r="R23" i="34"/>
  <c r="S23" i="34" s="1"/>
  <c r="R25" i="34"/>
  <c r="S25" i="34" s="1"/>
  <c r="F18" i="34"/>
  <c r="F26" i="34"/>
  <c r="C15" i="33"/>
  <c r="C23" i="33"/>
  <c r="Q30" i="29"/>
  <c r="P30" i="29"/>
  <c r="M30" i="29"/>
  <c r="K30" i="29"/>
  <c r="J30" i="29"/>
  <c r="H30" i="29"/>
  <c r="F30" i="29"/>
  <c r="C30" i="29"/>
  <c r="C603" i="62" s="1"/>
  <c r="Q29" i="29"/>
  <c r="P29" i="29"/>
  <c r="M29" i="29"/>
  <c r="K29" i="29"/>
  <c r="J29" i="29"/>
  <c r="H29" i="29"/>
  <c r="F29" i="29"/>
  <c r="C29" i="29"/>
  <c r="C602" i="62" s="1"/>
  <c r="Q28" i="29"/>
  <c r="P28" i="29"/>
  <c r="M28" i="29"/>
  <c r="K28" i="29"/>
  <c r="J28" i="29"/>
  <c r="H28" i="29"/>
  <c r="F28" i="29"/>
  <c r="C28" i="29"/>
  <c r="C601" i="62" s="1"/>
  <c r="Q27" i="29"/>
  <c r="P27" i="29"/>
  <c r="M27" i="29"/>
  <c r="K27" i="29"/>
  <c r="J27" i="29"/>
  <c r="H27" i="29"/>
  <c r="F27" i="29"/>
  <c r="C27" i="29"/>
  <c r="C600" i="62" s="1"/>
  <c r="Q26" i="29"/>
  <c r="P26" i="29"/>
  <c r="M26" i="29"/>
  <c r="K26" i="29"/>
  <c r="J26" i="29"/>
  <c r="H26" i="29"/>
  <c r="F26" i="29"/>
  <c r="C26" i="29"/>
  <c r="C599" i="62" s="1"/>
  <c r="Q25" i="29"/>
  <c r="P25" i="29"/>
  <c r="M25" i="29"/>
  <c r="K25" i="29"/>
  <c r="J25" i="29"/>
  <c r="H25" i="29"/>
  <c r="F25" i="29"/>
  <c r="C25" i="29"/>
  <c r="C598" i="62" s="1"/>
  <c r="Q24" i="29"/>
  <c r="P24" i="29"/>
  <c r="M24" i="29"/>
  <c r="K24" i="29"/>
  <c r="J24" i="29"/>
  <c r="H24" i="29"/>
  <c r="F24" i="29"/>
  <c r="C24" i="29"/>
  <c r="C597" i="62" s="1"/>
  <c r="Q22" i="29"/>
  <c r="P22" i="29"/>
  <c r="O22" i="29"/>
  <c r="N22" i="29"/>
  <c r="M22" i="29"/>
  <c r="L22" i="29"/>
  <c r="K22" i="29"/>
  <c r="J22" i="29"/>
  <c r="I22" i="29"/>
  <c r="H22" i="29"/>
  <c r="G22" i="29"/>
  <c r="F22" i="29"/>
  <c r="C22" i="29"/>
  <c r="C595" i="62" s="1"/>
  <c r="Q21" i="29"/>
  <c r="P21" i="29"/>
  <c r="O21" i="29"/>
  <c r="N21" i="29"/>
  <c r="M21" i="29"/>
  <c r="L21" i="29"/>
  <c r="K21" i="29"/>
  <c r="J21" i="29"/>
  <c r="I21" i="29"/>
  <c r="H21" i="29"/>
  <c r="G21" i="29"/>
  <c r="F21" i="29"/>
  <c r="C21" i="29"/>
  <c r="C594" i="62" s="1"/>
  <c r="Q20" i="29"/>
  <c r="P20" i="29"/>
  <c r="O20" i="29"/>
  <c r="N20" i="29"/>
  <c r="M20" i="29"/>
  <c r="L20" i="29"/>
  <c r="K20" i="29"/>
  <c r="J20" i="29"/>
  <c r="I20" i="29"/>
  <c r="H20" i="29"/>
  <c r="G20" i="29"/>
  <c r="F20" i="29"/>
  <c r="C20" i="29"/>
  <c r="C593" i="62" s="1"/>
  <c r="Q19" i="29"/>
  <c r="P19" i="29"/>
  <c r="O19" i="29"/>
  <c r="N19" i="29"/>
  <c r="M19" i="29"/>
  <c r="L19" i="29"/>
  <c r="K19" i="29"/>
  <c r="J19" i="29"/>
  <c r="I19" i="29"/>
  <c r="H19" i="29"/>
  <c r="G19" i="29"/>
  <c r="F19" i="29"/>
  <c r="C19" i="29"/>
  <c r="C592" i="62" s="1"/>
  <c r="Q18" i="29"/>
  <c r="P18" i="29"/>
  <c r="O18" i="29"/>
  <c r="N18" i="29"/>
  <c r="M18" i="29"/>
  <c r="L18" i="29"/>
  <c r="K18" i="29"/>
  <c r="J18" i="29"/>
  <c r="I18" i="29"/>
  <c r="H18" i="29"/>
  <c r="G18" i="29"/>
  <c r="F18" i="29"/>
  <c r="C18" i="29"/>
  <c r="C591" i="62" s="1"/>
  <c r="Q17" i="29"/>
  <c r="P17" i="29"/>
  <c r="O17" i="29"/>
  <c r="N17" i="29"/>
  <c r="M17" i="29"/>
  <c r="L17" i="29"/>
  <c r="K17" i="29"/>
  <c r="J17" i="29"/>
  <c r="I17" i="29"/>
  <c r="H17" i="29"/>
  <c r="G17" i="29"/>
  <c r="F17" i="29"/>
  <c r="C17" i="29"/>
  <c r="C590" i="62" s="1"/>
  <c r="Q16" i="29"/>
  <c r="P16" i="29"/>
  <c r="O16" i="29"/>
  <c r="N16" i="29"/>
  <c r="M16" i="29"/>
  <c r="L16" i="29"/>
  <c r="K16" i="29"/>
  <c r="J16" i="29"/>
  <c r="I16" i="29"/>
  <c r="H16" i="29"/>
  <c r="G16" i="29"/>
  <c r="F16" i="29"/>
  <c r="C16" i="29"/>
  <c r="C589" i="62" s="1"/>
  <c r="Q14" i="29"/>
  <c r="P14" i="29"/>
  <c r="O14" i="29"/>
  <c r="N14" i="29"/>
  <c r="M14" i="29"/>
  <c r="L14" i="29"/>
  <c r="K14" i="29"/>
  <c r="J14" i="29"/>
  <c r="I14" i="29"/>
  <c r="H14" i="29"/>
  <c r="G14" i="29"/>
  <c r="F14" i="29"/>
  <c r="C14" i="29"/>
  <c r="C587" i="62" s="1"/>
  <c r="Q13" i="29"/>
  <c r="P13" i="29"/>
  <c r="O13" i="29"/>
  <c r="N13" i="29"/>
  <c r="M13" i="29"/>
  <c r="L13" i="29"/>
  <c r="K13" i="29"/>
  <c r="J13" i="29"/>
  <c r="I13" i="29"/>
  <c r="H13" i="29"/>
  <c r="G13" i="29"/>
  <c r="F13" i="29"/>
  <c r="C13" i="29"/>
  <c r="C586" i="62" s="1"/>
  <c r="Q12" i="29"/>
  <c r="P12" i="29"/>
  <c r="O12" i="29"/>
  <c r="N12" i="29"/>
  <c r="M12" i="29"/>
  <c r="L12" i="29"/>
  <c r="K12" i="29"/>
  <c r="J12" i="29"/>
  <c r="I12" i="29"/>
  <c r="H12" i="29"/>
  <c r="G12" i="29"/>
  <c r="F12" i="29"/>
  <c r="C12" i="29"/>
  <c r="C585" i="62" s="1"/>
  <c r="Q11" i="29"/>
  <c r="P11" i="29"/>
  <c r="O11" i="29"/>
  <c r="N11" i="29"/>
  <c r="M11" i="29"/>
  <c r="L11" i="29"/>
  <c r="K11" i="29"/>
  <c r="J11" i="29"/>
  <c r="I11" i="29"/>
  <c r="H11" i="29"/>
  <c r="G11" i="29"/>
  <c r="F11" i="29"/>
  <c r="C11" i="29"/>
  <c r="C584" i="62" s="1"/>
  <c r="Q10" i="29"/>
  <c r="P10" i="29"/>
  <c r="O10" i="29"/>
  <c r="N10" i="29"/>
  <c r="M10" i="29"/>
  <c r="L10" i="29"/>
  <c r="K10" i="29"/>
  <c r="J10" i="29"/>
  <c r="I10" i="29"/>
  <c r="H10" i="29"/>
  <c r="G10" i="29"/>
  <c r="F10" i="29"/>
  <c r="C10" i="29"/>
  <c r="C583" i="62" s="1"/>
  <c r="Q9" i="29"/>
  <c r="P9" i="29"/>
  <c r="O9" i="29"/>
  <c r="N9" i="29"/>
  <c r="M9" i="29"/>
  <c r="L9" i="29"/>
  <c r="K9" i="29"/>
  <c r="J9" i="29"/>
  <c r="I9" i="29"/>
  <c r="H9" i="29"/>
  <c r="G9" i="29"/>
  <c r="F9" i="29"/>
  <c r="C9" i="29"/>
  <c r="C582" i="62" s="1"/>
  <c r="Q8" i="29"/>
  <c r="P8" i="29"/>
  <c r="O8" i="29"/>
  <c r="N8" i="29"/>
  <c r="M8" i="29"/>
  <c r="L8" i="29"/>
  <c r="K8" i="29"/>
  <c r="J8" i="29"/>
  <c r="I8" i="29"/>
  <c r="H8" i="29"/>
  <c r="G8" i="29"/>
  <c r="F8" i="29"/>
  <c r="C8" i="29"/>
  <c r="C581" i="62" s="1"/>
  <c r="C4" i="29"/>
  <c r="D36" i="29" s="1"/>
  <c r="R2" i="29"/>
  <c r="S2" i="29" s="1"/>
  <c r="Q25" i="21"/>
  <c r="P25" i="21"/>
  <c r="O25" i="21"/>
  <c r="N25" i="21"/>
  <c r="M25" i="21"/>
  <c r="L25" i="21"/>
  <c r="K25" i="21"/>
  <c r="J25" i="21"/>
  <c r="I25" i="21"/>
  <c r="H25" i="21"/>
  <c r="G25" i="21"/>
  <c r="F25" i="21"/>
  <c r="Q24" i="21"/>
  <c r="P24" i="21"/>
  <c r="O24" i="21"/>
  <c r="N24" i="21"/>
  <c r="M24" i="21"/>
  <c r="L24" i="21"/>
  <c r="K24" i="21"/>
  <c r="J24" i="21"/>
  <c r="I24" i="21"/>
  <c r="H24" i="21"/>
  <c r="G24" i="21"/>
  <c r="F24" i="21"/>
  <c r="Q23" i="21"/>
  <c r="P23" i="21"/>
  <c r="O23" i="21"/>
  <c r="N23" i="21"/>
  <c r="M23" i="21"/>
  <c r="L23" i="21"/>
  <c r="K23" i="21"/>
  <c r="J23" i="21"/>
  <c r="I23" i="21"/>
  <c r="H23" i="21"/>
  <c r="G23" i="21"/>
  <c r="F23" i="21"/>
  <c r="Q22" i="21"/>
  <c r="P22" i="21"/>
  <c r="O22" i="21"/>
  <c r="N22" i="21"/>
  <c r="M22" i="21"/>
  <c r="L22" i="21"/>
  <c r="K22" i="21"/>
  <c r="J22" i="21"/>
  <c r="I22" i="21"/>
  <c r="H22" i="21"/>
  <c r="G22" i="21"/>
  <c r="F22" i="21"/>
  <c r="Q21" i="21"/>
  <c r="P21" i="21"/>
  <c r="O21" i="21"/>
  <c r="N21" i="21"/>
  <c r="M21" i="21"/>
  <c r="L21" i="21"/>
  <c r="K21" i="21"/>
  <c r="J21" i="21"/>
  <c r="I21" i="21"/>
  <c r="H21" i="21"/>
  <c r="G21" i="21"/>
  <c r="F21" i="21"/>
  <c r="Q20" i="21"/>
  <c r="P20" i="21"/>
  <c r="O20" i="21"/>
  <c r="N20" i="21"/>
  <c r="M20" i="21"/>
  <c r="L20" i="21"/>
  <c r="K20" i="21"/>
  <c r="J20" i="21"/>
  <c r="I20" i="21"/>
  <c r="H20" i="21"/>
  <c r="G20" i="21"/>
  <c r="F20" i="21"/>
  <c r="Q19" i="21"/>
  <c r="Q26" i="21" s="1"/>
  <c r="P19" i="21"/>
  <c r="P26" i="21" s="1"/>
  <c r="O19" i="21"/>
  <c r="O26" i="21" s="1"/>
  <c r="N19" i="21"/>
  <c r="N26" i="21" s="1"/>
  <c r="M19" i="21"/>
  <c r="M26" i="21" s="1"/>
  <c r="L19" i="21"/>
  <c r="L26" i="21" s="1"/>
  <c r="K19" i="21"/>
  <c r="K26" i="21" s="1"/>
  <c r="J19" i="21"/>
  <c r="J26" i="21" s="1"/>
  <c r="I19" i="21"/>
  <c r="I26" i="21" s="1"/>
  <c r="H19" i="21"/>
  <c r="H26" i="21" s="1"/>
  <c r="G19" i="21"/>
  <c r="G26" i="21" s="1"/>
  <c r="F19" i="21"/>
  <c r="F26" i="21" s="1"/>
  <c r="Q17" i="21"/>
  <c r="P17" i="21"/>
  <c r="O17" i="21"/>
  <c r="N17" i="21"/>
  <c r="M17" i="21"/>
  <c r="L17" i="21"/>
  <c r="K17" i="21"/>
  <c r="J17" i="21"/>
  <c r="I17" i="21"/>
  <c r="H17" i="21"/>
  <c r="G17" i="21"/>
  <c r="F17" i="21"/>
  <c r="Q16" i="21"/>
  <c r="P16" i="21"/>
  <c r="O16" i="21"/>
  <c r="N16" i="21"/>
  <c r="M16" i="21"/>
  <c r="L16" i="21"/>
  <c r="K16" i="21"/>
  <c r="J16" i="21"/>
  <c r="I16" i="21"/>
  <c r="H16" i="21"/>
  <c r="G16" i="21"/>
  <c r="F16" i="21"/>
  <c r="Q15" i="21"/>
  <c r="P15" i="21"/>
  <c r="O15" i="21"/>
  <c r="N15" i="21"/>
  <c r="M15" i="21"/>
  <c r="L15" i="21"/>
  <c r="K15" i="21"/>
  <c r="J15" i="21"/>
  <c r="I15" i="21"/>
  <c r="H15" i="21"/>
  <c r="G15" i="21"/>
  <c r="F15" i="21"/>
  <c r="Q14" i="21"/>
  <c r="P14" i="21"/>
  <c r="O14" i="21"/>
  <c r="N14" i="21"/>
  <c r="M14" i="21"/>
  <c r="L14" i="21"/>
  <c r="K14" i="21"/>
  <c r="J14" i="21"/>
  <c r="I14" i="21"/>
  <c r="H14" i="21"/>
  <c r="G14" i="21"/>
  <c r="F14" i="21"/>
  <c r="Q13" i="21"/>
  <c r="P13" i="21"/>
  <c r="O13" i="21"/>
  <c r="N13" i="21"/>
  <c r="M13" i="21"/>
  <c r="L13" i="21"/>
  <c r="K13" i="21"/>
  <c r="J13" i="21"/>
  <c r="I13" i="21"/>
  <c r="H13" i="21"/>
  <c r="G13" i="21"/>
  <c r="F13" i="21"/>
  <c r="Q12" i="21"/>
  <c r="P12" i="21"/>
  <c r="O12" i="21"/>
  <c r="N12" i="21"/>
  <c r="M12" i="21"/>
  <c r="L12" i="21"/>
  <c r="K12" i="21"/>
  <c r="J12" i="21"/>
  <c r="I12" i="21"/>
  <c r="H12" i="21"/>
  <c r="G12" i="21"/>
  <c r="F12" i="21"/>
  <c r="Q11" i="21"/>
  <c r="Q18" i="21" s="1"/>
  <c r="P11" i="21"/>
  <c r="P18" i="21" s="1"/>
  <c r="O11" i="21"/>
  <c r="O18" i="21" s="1"/>
  <c r="N11" i="21"/>
  <c r="N18" i="21" s="1"/>
  <c r="M11" i="21"/>
  <c r="M18" i="21" s="1"/>
  <c r="L11" i="21"/>
  <c r="L18" i="21" s="1"/>
  <c r="K11" i="21"/>
  <c r="K18" i="21" s="1"/>
  <c r="J11" i="21"/>
  <c r="J18" i="21" s="1"/>
  <c r="I11" i="21"/>
  <c r="I18" i="21" s="1"/>
  <c r="H11" i="21"/>
  <c r="H18" i="21" s="1"/>
  <c r="G11" i="21"/>
  <c r="G18" i="21" s="1"/>
  <c r="F11" i="21"/>
  <c r="F18" i="21" s="1"/>
  <c r="R6" i="21"/>
  <c r="S6" i="21" s="1"/>
  <c r="R5" i="21"/>
  <c r="S5" i="21" s="1"/>
  <c r="C25" i="21"/>
  <c r="C387" i="62" s="1"/>
  <c r="C24" i="21"/>
  <c r="C386" i="62" s="1"/>
  <c r="C23" i="21"/>
  <c r="C385" i="62" s="1"/>
  <c r="C22" i="21"/>
  <c r="C384" i="62" s="1"/>
  <c r="C21" i="21"/>
  <c r="C383" i="62" s="1"/>
  <c r="C20" i="21"/>
  <c r="C382" i="62" s="1"/>
  <c r="C19" i="21"/>
  <c r="C381" i="62" s="1"/>
  <c r="C17" i="21"/>
  <c r="C379" i="62" s="1"/>
  <c r="C16" i="21"/>
  <c r="C378" i="62" s="1"/>
  <c r="C15" i="21"/>
  <c r="C377" i="62" s="1"/>
  <c r="C14" i="21"/>
  <c r="C376" i="62" s="1"/>
  <c r="C13" i="21"/>
  <c r="C375" i="62" s="1"/>
  <c r="C12" i="21"/>
  <c r="C374" i="62" s="1"/>
  <c r="C11" i="21"/>
  <c r="C373" i="62" s="1"/>
  <c r="C7" i="21"/>
  <c r="C54" i="28"/>
  <c r="O32" i="28"/>
  <c r="L32" i="28"/>
  <c r="C32" i="28"/>
  <c r="C551" i="62" s="1"/>
  <c r="O31" i="28"/>
  <c r="L31" i="28"/>
  <c r="G31" i="28"/>
  <c r="C31" i="28"/>
  <c r="C550" i="62" s="1"/>
  <c r="O30" i="28"/>
  <c r="L30" i="28"/>
  <c r="C30" i="28"/>
  <c r="C549" i="62" s="1"/>
  <c r="O29" i="28"/>
  <c r="L29" i="28"/>
  <c r="G29" i="28"/>
  <c r="C29" i="28"/>
  <c r="C548" i="62" s="1"/>
  <c r="O28" i="28"/>
  <c r="L28" i="28"/>
  <c r="C28" i="28"/>
  <c r="C547" i="62" s="1"/>
  <c r="O27" i="28"/>
  <c r="L27" i="28"/>
  <c r="G27" i="28"/>
  <c r="C27" i="28"/>
  <c r="C546" i="62" s="1"/>
  <c r="O26" i="28"/>
  <c r="L26" i="28"/>
  <c r="C26" i="28"/>
  <c r="C545" i="62" s="1"/>
  <c r="Q24" i="28"/>
  <c r="P24" i="28"/>
  <c r="O24" i="28"/>
  <c r="N24" i="28"/>
  <c r="M24" i="28"/>
  <c r="L24" i="28"/>
  <c r="K24" i="28"/>
  <c r="J24" i="28"/>
  <c r="I24" i="28"/>
  <c r="H24" i="28"/>
  <c r="G24" i="28"/>
  <c r="F24" i="28"/>
  <c r="C24" i="28"/>
  <c r="C543" i="62" s="1"/>
  <c r="Q23" i="28"/>
  <c r="P23" i="28"/>
  <c r="O23" i="28"/>
  <c r="N23" i="28"/>
  <c r="M23" i="28"/>
  <c r="L23" i="28"/>
  <c r="K23" i="28"/>
  <c r="J23" i="28"/>
  <c r="I23" i="28"/>
  <c r="H23" i="28"/>
  <c r="G23" i="28"/>
  <c r="F23" i="28"/>
  <c r="C23" i="28"/>
  <c r="C542" i="62" s="1"/>
  <c r="Q22" i="28"/>
  <c r="P22" i="28"/>
  <c r="O22" i="28"/>
  <c r="N22" i="28"/>
  <c r="M22" i="28"/>
  <c r="L22" i="28"/>
  <c r="K22" i="28"/>
  <c r="J22" i="28"/>
  <c r="I22" i="28"/>
  <c r="H22" i="28"/>
  <c r="G22" i="28"/>
  <c r="F22" i="28"/>
  <c r="C22" i="28"/>
  <c r="C541" i="62" s="1"/>
  <c r="Q21" i="28"/>
  <c r="P21" i="28"/>
  <c r="O21" i="28"/>
  <c r="N21" i="28"/>
  <c r="M21" i="28"/>
  <c r="L21" i="28"/>
  <c r="K21" i="28"/>
  <c r="J21" i="28"/>
  <c r="I21" i="28"/>
  <c r="H21" i="28"/>
  <c r="G21" i="28"/>
  <c r="F21" i="28"/>
  <c r="C21" i="28"/>
  <c r="C540" i="62" s="1"/>
  <c r="Q20" i="28"/>
  <c r="P20" i="28"/>
  <c r="O20" i="28"/>
  <c r="N20" i="28"/>
  <c r="M20" i="28"/>
  <c r="L20" i="28"/>
  <c r="K20" i="28"/>
  <c r="J20" i="28"/>
  <c r="I20" i="28"/>
  <c r="H20" i="28"/>
  <c r="G20" i="28"/>
  <c r="F20" i="28"/>
  <c r="C20" i="28"/>
  <c r="C539" i="62" s="1"/>
  <c r="Q19" i="28"/>
  <c r="P19" i="28"/>
  <c r="O19" i="28"/>
  <c r="N19" i="28"/>
  <c r="M19" i="28"/>
  <c r="L19" i="28"/>
  <c r="K19" i="28"/>
  <c r="J19" i="28"/>
  <c r="I19" i="28"/>
  <c r="H19" i="28"/>
  <c r="G19" i="28"/>
  <c r="F19" i="28"/>
  <c r="C19" i="28"/>
  <c r="C538" i="62" s="1"/>
  <c r="Q18" i="28"/>
  <c r="P18" i="28"/>
  <c r="O18" i="28"/>
  <c r="N18" i="28"/>
  <c r="M18" i="28"/>
  <c r="L18" i="28"/>
  <c r="K18" i="28"/>
  <c r="J18" i="28"/>
  <c r="I18" i="28"/>
  <c r="H18" i="28"/>
  <c r="G18" i="28"/>
  <c r="F18" i="28"/>
  <c r="C18" i="28"/>
  <c r="C537" i="62" s="1"/>
  <c r="Q16" i="28"/>
  <c r="P16" i="28"/>
  <c r="O16" i="28"/>
  <c r="N16" i="28"/>
  <c r="M16" i="28"/>
  <c r="L16" i="28"/>
  <c r="K16" i="28"/>
  <c r="J16" i="28"/>
  <c r="I16" i="28"/>
  <c r="H16" i="28"/>
  <c r="G16" i="28"/>
  <c r="F16" i="28"/>
  <c r="C16" i="28"/>
  <c r="C535" i="62" s="1"/>
  <c r="Q15" i="28"/>
  <c r="P15" i="28"/>
  <c r="O15" i="28"/>
  <c r="N15" i="28"/>
  <c r="M15" i="28"/>
  <c r="L15" i="28"/>
  <c r="K15" i="28"/>
  <c r="J15" i="28"/>
  <c r="I15" i="28"/>
  <c r="H15" i="28"/>
  <c r="G15" i="28"/>
  <c r="F15" i="28"/>
  <c r="C15" i="28"/>
  <c r="C534" i="62" s="1"/>
  <c r="Q14" i="28"/>
  <c r="P14" i="28"/>
  <c r="O14" i="28"/>
  <c r="N14" i="28"/>
  <c r="M14" i="28"/>
  <c r="L14" i="28"/>
  <c r="K14" i="28"/>
  <c r="J14" i="28"/>
  <c r="I14" i="28"/>
  <c r="H14" i="28"/>
  <c r="G14" i="28"/>
  <c r="F14" i="28"/>
  <c r="C14" i="28"/>
  <c r="C533" i="62" s="1"/>
  <c r="Q13" i="28"/>
  <c r="P13" i="28"/>
  <c r="O13" i="28"/>
  <c r="N13" i="28"/>
  <c r="M13" i="28"/>
  <c r="L13" i="28"/>
  <c r="K13" i="28"/>
  <c r="J13" i="28"/>
  <c r="I13" i="28"/>
  <c r="H13" i="28"/>
  <c r="G13" i="28"/>
  <c r="F13" i="28"/>
  <c r="C13" i="28"/>
  <c r="C532" i="62" s="1"/>
  <c r="Q12" i="28"/>
  <c r="P12" i="28"/>
  <c r="O12" i="28"/>
  <c r="N12" i="28"/>
  <c r="M12" i="28"/>
  <c r="L12" i="28"/>
  <c r="K12" i="28"/>
  <c r="J12" i="28"/>
  <c r="I12" i="28"/>
  <c r="H12" i="28"/>
  <c r="G12" i="28"/>
  <c r="F12" i="28"/>
  <c r="C12" i="28"/>
  <c r="C531" i="62" s="1"/>
  <c r="Q11" i="28"/>
  <c r="P11" i="28"/>
  <c r="O11" i="28"/>
  <c r="N11" i="28"/>
  <c r="M11" i="28"/>
  <c r="L11" i="28"/>
  <c r="K11" i="28"/>
  <c r="J11" i="28"/>
  <c r="I11" i="28"/>
  <c r="H11" i="28"/>
  <c r="G11" i="28"/>
  <c r="F11" i="28"/>
  <c r="C11" i="28"/>
  <c r="C530" i="62" s="1"/>
  <c r="Q10" i="28"/>
  <c r="P10" i="28"/>
  <c r="O10" i="28"/>
  <c r="N10" i="28"/>
  <c r="M10" i="28"/>
  <c r="L10" i="28"/>
  <c r="K10" i="28"/>
  <c r="J10" i="28"/>
  <c r="I10" i="28"/>
  <c r="H10" i="28"/>
  <c r="G10" i="28"/>
  <c r="F10" i="28"/>
  <c r="C10" i="28"/>
  <c r="C529" i="62" s="1"/>
  <c r="C4" i="28"/>
  <c r="D52" i="28" s="1"/>
  <c r="R2" i="28"/>
  <c r="P30" i="27"/>
  <c r="O30" i="27"/>
  <c r="N30" i="27"/>
  <c r="M30" i="27"/>
  <c r="L30" i="27"/>
  <c r="J30" i="27"/>
  <c r="H30" i="27"/>
  <c r="G30" i="27"/>
  <c r="Q29" i="27"/>
  <c r="O29" i="27"/>
  <c r="M29" i="27"/>
  <c r="L29" i="27"/>
  <c r="K29" i="27"/>
  <c r="J29" i="27"/>
  <c r="I29" i="27"/>
  <c r="G29" i="27"/>
  <c r="P28" i="27"/>
  <c r="O28" i="27"/>
  <c r="N28" i="27"/>
  <c r="M28" i="27"/>
  <c r="L28" i="27"/>
  <c r="J28" i="27"/>
  <c r="H28" i="27"/>
  <c r="G28" i="27"/>
  <c r="Q27" i="27"/>
  <c r="O27" i="27"/>
  <c r="M27" i="27"/>
  <c r="L27" i="27"/>
  <c r="K27" i="27"/>
  <c r="J27" i="27"/>
  <c r="I27" i="27"/>
  <c r="G27" i="27"/>
  <c r="P26" i="27"/>
  <c r="O26" i="27"/>
  <c r="N26" i="27"/>
  <c r="M26" i="27"/>
  <c r="L26" i="27"/>
  <c r="J26" i="27"/>
  <c r="H26" i="27"/>
  <c r="G26" i="27"/>
  <c r="Q25" i="27"/>
  <c r="O25" i="27"/>
  <c r="M25" i="27"/>
  <c r="L25" i="27"/>
  <c r="K25" i="27"/>
  <c r="J25" i="27"/>
  <c r="I25" i="27"/>
  <c r="G25" i="27"/>
  <c r="P24" i="27"/>
  <c r="O24" i="27"/>
  <c r="N24" i="27"/>
  <c r="M24" i="27"/>
  <c r="L24" i="27"/>
  <c r="J24" i="27"/>
  <c r="J31" i="27" s="1"/>
  <c r="H24" i="27"/>
  <c r="G24" i="27"/>
  <c r="C30" i="27"/>
  <c r="C525" i="62" s="1"/>
  <c r="C29" i="27"/>
  <c r="C524" i="62" s="1"/>
  <c r="C28" i="27"/>
  <c r="C523" i="62" s="1"/>
  <c r="C27" i="27"/>
  <c r="C522" i="62" s="1"/>
  <c r="C26" i="27"/>
  <c r="C521" i="62" s="1"/>
  <c r="C25" i="27"/>
  <c r="C520" i="62" s="1"/>
  <c r="C24" i="27"/>
  <c r="C519" i="62" s="1"/>
  <c r="D37" i="27"/>
  <c r="D36" i="27"/>
  <c r="C38" i="27"/>
  <c r="Q22" i="27"/>
  <c r="O22" i="27"/>
  <c r="M22" i="27"/>
  <c r="L22" i="27"/>
  <c r="K22" i="27"/>
  <c r="J22" i="27"/>
  <c r="I22" i="27"/>
  <c r="G22" i="27"/>
  <c r="C22" i="27"/>
  <c r="C517" i="62" s="1"/>
  <c r="Q21" i="27"/>
  <c r="O21" i="27"/>
  <c r="M21" i="27"/>
  <c r="L21" i="27"/>
  <c r="K21" i="27"/>
  <c r="J21" i="27"/>
  <c r="I21" i="27"/>
  <c r="G21" i="27"/>
  <c r="C21" i="27"/>
  <c r="C516" i="62" s="1"/>
  <c r="Q20" i="27"/>
  <c r="O20" i="27"/>
  <c r="M20" i="27"/>
  <c r="L20" i="27"/>
  <c r="K20" i="27"/>
  <c r="J20" i="27"/>
  <c r="I20" i="27"/>
  <c r="G20" i="27"/>
  <c r="C20" i="27"/>
  <c r="C515" i="62" s="1"/>
  <c r="Q19" i="27"/>
  <c r="O19" i="27"/>
  <c r="M19" i="27"/>
  <c r="L19" i="27"/>
  <c r="K19" i="27"/>
  <c r="J19" i="27"/>
  <c r="I19" i="27"/>
  <c r="G19" i="27"/>
  <c r="C19" i="27"/>
  <c r="C514" i="62" s="1"/>
  <c r="Q18" i="27"/>
  <c r="O18" i="27"/>
  <c r="M18" i="27"/>
  <c r="L18" i="27"/>
  <c r="K18" i="27"/>
  <c r="J18" i="27"/>
  <c r="I18" i="27"/>
  <c r="G18" i="27"/>
  <c r="C18" i="27"/>
  <c r="C513" i="62" s="1"/>
  <c r="Q17" i="27"/>
  <c r="O17" i="27"/>
  <c r="M17" i="27"/>
  <c r="L17" i="27"/>
  <c r="K17" i="27"/>
  <c r="J17" i="27"/>
  <c r="I17" i="27"/>
  <c r="G17" i="27"/>
  <c r="C17" i="27"/>
  <c r="C512" i="62" s="1"/>
  <c r="Q16" i="27"/>
  <c r="O16" i="27"/>
  <c r="M16" i="27"/>
  <c r="L16" i="27"/>
  <c r="K16" i="27"/>
  <c r="J16" i="27"/>
  <c r="I16" i="27"/>
  <c r="G16" i="27"/>
  <c r="C16" i="27"/>
  <c r="C511" i="62" s="1"/>
  <c r="Q14" i="27"/>
  <c r="O14" i="27"/>
  <c r="M14" i="27"/>
  <c r="L14" i="27"/>
  <c r="K14" i="27"/>
  <c r="J14" i="27"/>
  <c r="I14" i="27"/>
  <c r="G14" i="27"/>
  <c r="C14" i="27"/>
  <c r="C509" i="62" s="1"/>
  <c r="Q13" i="27"/>
  <c r="O13" i="27"/>
  <c r="M13" i="27"/>
  <c r="L13" i="27"/>
  <c r="K13" i="27"/>
  <c r="J13" i="27"/>
  <c r="I13" i="27"/>
  <c r="G13" i="27"/>
  <c r="C13" i="27"/>
  <c r="C508" i="62" s="1"/>
  <c r="Q12" i="27"/>
  <c r="O12" i="27"/>
  <c r="M12" i="27"/>
  <c r="L12" i="27"/>
  <c r="K12" i="27"/>
  <c r="J12" i="27"/>
  <c r="I12" i="27"/>
  <c r="G12" i="27"/>
  <c r="C12" i="27"/>
  <c r="C507" i="62" s="1"/>
  <c r="Q11" i="27"/>
  <c r="O11" i="27"/>
  <c r="M11" i="27"/>
  <c r="L11" i="27"/>
  <c r="K11" i="27"/>
  <c r="J11" i="27"/>
  <c r="I11" i="27"/>
  <c r="G11" i="27"/>
  <c r="C11" i="27"/>
  <c r="C506" i="62" s="1"/>
  <c r="Q10" i="27"/>
  <c r="O10" i="27"/>
  <c r="M10" i="27"/>
  <c r="L10" i="27"/>
  <c r="K10" i="27"/>
  <c r="J10" i="27"/>
  <c r="I10" i="27"/>
  <c r="G10" i="27"/>
  <c r="C10" i="27"/>
  <c r="C505" i="62" s="1"/>
  <c r="Q9" i="27"/>
  <c r="O9" i="27"/>
  <c r="M9" i="27"/>
  <c r="L9" i="27"/>
  <c r="K9" i="27"/>
  <c r="J9" i="27"/>
  <c r="I9" i="27"/>
  <c r="G9" i="27"/>
  <c r="C9" i="27"/>
  <c r="C504" i="62" s="1"/>
  <c r="Q8" i="27"/>
  <c r="O8" i="27"/>
  <c r="M8" i="27"/>
  <c r="L8" i="27"/>
  <c r="K8" i="27"/>
  <c r="J8" i="27"/>
  <c r="I8" i="27"/>
  <c r="G8" i="27"/>
  <c r="C8" i="27"/>
  <c r="C503" i="62" s="1"/>
  <c r="Q33" i="26"/>
  <c r="P33" i="26"/>
  <c r="O33" i="26"/>
  <c r="N33" i="26"/>
  <c r="M33" i="26"/>
  <c r="L33" i="26"/>
  <c r="K33" i="26"/>
  <c r="J33" i="26"/>
  <c r="I33" i="26"/>
  <c r="H33" i="26"/>
  <c r="G33" i="26"/>
  <c r="C33" i="26"/>
  <c r="C499" i="62" s="1"/>
  <c r="Q32" i="26"/>
  <c r="P32" i="26"/>
  <c r="O32" i="26"/>
  <c r="N32" i="26"/>
  <c r="M32" i="26"/>
  <c r="L32" i="26"/>
  <c r="K32" i="26"/>
  <c r="J32" i="26"/>
  <c r="I32" i="26"/>
  <c r="H32" i="26"/>
  <c r="G32" i="26"/>
  <c r="C32" i="26"/>
  <c r="C498" i="62" s="1"/>
  <c r="Q31" i="26"/>
  <c r="P31" i="26"/>
  <c r="O31" i="26"/>
  <c r="N31" i="26"/>
  <c r="M31" i="26"/>
  <c r="L31" i="26"/>
  <c r="K31" i="26"/>
  <c r="J31" i="26"/>
  <c r="I31" i="26"/>
  <c r="H31" i="26"/>
  <c r="G31" i="26"/>
  <c r="F31" i="26"/>
  <c r="C31" i="26"/>
  <c r="C497" i="62" s="1"/>
  <c r="Q30" i="26"/>
  <c r="P30" i="26"/>
  <c r="O30" i="26"/>
  <c r="N30" i="26"/>
  <c r="M30" i="26"/>
  <c r="L30" i="26"/>
  <c r="K30" i="26"/>
  <c r="J30" i="26"/>
  <c r="I30" i="26"/>
  <c r="H30" i="26"/>
  <c r="G30" i="26"/>
  <c r="C30" i="26"/>
  <c r="C496" i="62" s="1"/>
  <c r="Q29" i="26"/>
  <c r="P29" i="26"/>
  <c r="O29" i="26"/>
  <c r="N29" i="26"/>
  <c r="M29" i="26"/>
  <c r="L29" i="26"/>
  <c r="K29" i="26"/>
  <c r="J29" i="26"/>
  <c r="I29" i="26"/>
  <c r="H29" i="26"/>
  <c r="G29" i="26"/>
  <c r="C29" i="26"/>
  <c r="C495" i="62" s="1"/>
  <c r="Q27" i="26"/>
  <c r="P27" i="26"/>
  <c r="O27" i="26"/>
  <c r="N27" i="26"/>
  <c r="M27" i="26"/>
  <c r="L27" i="26"/>
  <c r="K27" i="26"/>
  <c r="J27" i="26"/>
  <c r="I27" i="26"/>
  <c r="H27" i="26"/>
  <c r="G27" i="26"/>
  <c r="C27" i="26"/>
  <c r="C493" i="62" s="1"/>
  <c r="Q25" i="26"/>
  <c r="P25" i="26"/>
  <c r="O25" i="26"/>
  <c r="N25" i="26"/>
  <c r="M25" i="26"/>
  <c r="L25" i="26"/>
  <c r="K25" i="26"/>
  <c r="J25" i="26"/>
  <c r="I25" i="26"/>
  <c r="H25" i="26"/>
  <c r="G25" i="26"/>
  <c r="F25" i="26"/>
  <c r="C25" i="26"/>
  <c r="C491" i="62" s="1"/>
  <c r="Q24" i="26"/>
  <c r="P24" i="26"/>
  <c r="O24" i="26"/>
  <c r="N24" i="26"/>
  <c r="M24" i="26"/>
  <c r="L24" i="26"/>
  <c r="K24" i="26"/>
  <c r="J24" i="26"/>
  <c r="I24" i="26"/>
  <c r="H24" i="26"/>
  <c r="G24" i="26"/>
  <c r="F24" i="26"/>
  <c r="C24" i="26"/>
  <c r="C490" i="62" s="1"/>
  <c r="Q23" i="26"/>
  <c r="P23" i="26"/>
  <c r="O23" i="26"/>
  <c r="N23" i="26"/>
  <c r="M23" i="26"/>
  <c r="L23" i="26"/>
  <c r="K23" i="26"/>
  <c r="J23" i="26"/>
  <c r="I23" i="26"/>
  <c r="H23" i="26"/>
  <c r="G23" i="26"/>
  <c r="F23" i="26"/>
  <c r="C23" i="26"/>
  <c r="C489" i="62" s="1"/>
  <c r="Q22" i="26"/>
  <c r="P22" i="26"/>
  <c r="O22" i="26"/>
  <c r="N22" i="26"/>
  <c r="M22" i="26"/>
  <c r="L22" i="26"/>
  <c r="K22" i="26"/>
  <c r="J22" i="26"/>
  <c r="I22" i="26"/>
  <c r="H22" i="26"/>
  <c r="G22" i="26"/>
  <c r="F22" i="26"/>
  <c r="C22" i="26"/>
  <c r="C488" i="62" s="1"/>
  <c r="Q21" i="26"/>
  <c r="P21" i="26"/>
  <c r="O21" i="26"/>
  <c r="N21" i="26"/>
  <c r="M21" i="26"/>
  <c r="L21" i="26"/>
  <c r="K21" i="26"/>
  <c r="J21" i="26"/>
  <c r="I21" i="26"/>
  <c r="H21" i="26"/>
  <c r="G21" i="26"/>
  <c r="F21" i="26"/>
  <c r="C21" i="26"/>
  <c r="C487" i="62" s="1"/>
  <c r="Q20" i="26"/>
  <c r="P20" i="26"/>
  <c r="O20" i="26"/>
  <c r="N20" i="26"/>
  <c r="M20" i="26"/>
  <c r="L20" i="26"/>
  <c r="K20" i="26"/>
  <c r="J20" i="26"/>
  <c r="I20" i="26"/>
  <c r="H20" i="26"/>
  <c r="G20" i="26"/>
  <c r="F20" i="26"/>
  <c r="C20" i="26"/>
  <c r="C486" i="62" s="1"/>
  <c r="Q19" i="26"/>
  <c r="P19" i="26"/>
  <c r="O19" i="26"/>
  <c r="N19" i="26"/>
  <c r="M19" i="26"/>
  <c r="L19" i="26"/>
  <c r="K19" i="26"/>
  <c r="J19" i="26"/>
  <c r="I19" i="26"/>
  <c r="H19" i="26"/>
  <c r="G19" i="26"/>
  <c r="F19" i="26"/>
  <c r="C19" i="26"/>
  <c r="C485" i="62" s="1"/>
  <c r="Q17" i="26"/>
  <c r="P17" i="26"/>
  <c r="O17" i="26"/>
  <c r="N17" i="26"/>
  <c r="M17" i="26"/>
  <c r="L17" i="26"/>
  <c r="K17" i="26"/>
  <c r="J17" i="26"/>
  <c r="I17" i="26"/>
  <c r="H17" i="26"/>
  <c r="G17" i="26"/>
  <c r="F17" i="26"/>
  <c r="C17" i="26"/>
  <c r="C483" i="62" s="1"/>
  <c r="Q16" i="26"/>
  <c r="P16" i="26"/>
  <c r="O16" i="26"/>
  <c r="N16" i="26"/>
  <c r="M16" i="26"/>
  <c r="L16" i="26"/>
  <c r="K16" i="26"/>
  <c r="J16" i="26"/>
  <c r="I16" i="26"/>
  <c r="H16" i="26"/>
  <c r="G16" i="26"/>
  <c r="F16" i="26"/>
  <c r="C16" i="26"/>
  <c r="C482" i="62" s="1"/>
  <c r="Q15" i="26"/>
  <c r="P15" i="26"/>
  <c r="O15" i="26"/>
  <c r="N15" i="26"/>
  <c r="M15" i="26"/>
  <c r="L15" i="26"/>
  <c r="K15" i="26"/>
  <c r="J15" i="26"/>
  <c r="I15" i="26"/>
  <c r="H15" i="26"/>
  <c r="G15" i="26"/>
  <c r="F15" i="26"/>
  <c r="C15" i="26"/>
  <c r="C481" i="62" s="1"/>
  <c r="Q14" i="26"/>
  <c r="P14" i="26"/>
  <c r="O14" i="26"/>
  <c r="N14" i="26"/>
  <c r="M14" i="26"/>
  <c r="L14" i="26"/>
  <c r="K14" i="26"/>
  <c r="J14" i="26"/>
  <c r="I14" i="26"/>
  <c r="H14" i="26"/>
  <c r="G14" i="26"/>
  <c r="F14" i="26"/>
  <c r="C14" i="26"/>
  <c r="C480" i="62" s="1"/>
  <c r="Q13" i="26"/>
  <c r="P13" i="26"/>
  <c r="O13" i="26"/>
  <c r="N13" i="26"/>
  <c r="M13" i="26"/>
  <c r="L13" i="26"/>
  <c r="K13" i="26"/>
  <c r="J13" i="26"/>
  <c r="I13" i="26"/>
  <c r="H13" i="26"/>
  <c r="G13" i="26"/>
  <c r="F13" i="26"/>
  <c r="C13" i="26"/>
  <c r="C479" i="62" s="1"/>
  <c r="Q12" i="26"/>
  <c r="P12" i="26"/>
  <c r="O12" i="26"/>
  <c r="N12" i="26"/>
  <c r="M12" i="26"/>
  <c r="L12" i="26"/>
  <c r="K12" i="26"/>
  <c r="J12" i="26"/>
  <c r="I12" i="26"/>
  <c r="H12" i="26"/>
  <c r="G12" i="26"/>
  <c r="F12" i="26"/>
  <c r="C12" i="26"/>
  <c r="C478" i="62" s="1"/>
  <c r="Q11" i="26"/>
  <c r="P11" i="26"/>
  <c r="O11" i="26"/>
  <c r="N11" i="26"/>
  <c r="M11" i="26"/>
  <c r="L11" i="26"/>
  <c r="K11" i="26"/>
  <c r="J11" i="26"/>
  <c r="I11" i="26"/>
  <c r="H11" i="26"/>
  <c r="G11" i="26"/>
  <c r="F11" i="26"/>
  <c r="C11" i="26"/>
  <c r="C477" i="62" s="1"/>
  <c r="C4" i="26"/>
  <c r="R2" i="26"/>
  <c r="P30" i="25"/>
  <c r="O30" i="25"/>
  <c r="L30" i="25"/>
  <c r="K30" i="25"/>
  <c r="J30" i="25"/>
  <c r="I30" i="25"/>
  <c r="H30" i="25"/>
  <c r="G30" i="25"/>
  <c r="P29" i="25"/>
  <c r="M29" i="25"/>
  <c r="K29" i="25"/>
  <c r="I29" i="25"/>
  <c r="H29" i="25"/>
  <c r="G29" i="25"/>
  <c r="P28" i="25"/>
  <c r="O28" i="25"/>
  <c r="M28" i="25"/>
  <c r="K28" i="25"/>
  <c r="H28" i="25"/>
  <c r="P27" i="25"/>
  <c r="O27" i="25"/>
  <c r="L27" i="25"/>
  <c r="K27" i="25"/>
  <c r="J27" i="25"/>
  <c r="H27" i="25"/>
  <c r="P26" i="25"/>
  <c r="M26" i="25"/>
  <c r="K26" i="25"/>
  <c r="H26" i="25"/>
  <c r="P25" i="25"/>
  <c r="O25" i="25"/>
  <c r="L25" i="25"/>
  <c r="K25" i="25"/>
  <c r="J25" i="25"/>
  <c r="H25" i="25"/>
  <c r="P24" i="25"/>
  <c r="M24" i="25"/>
  <c r="K24" i="25"/>
  <c r="H24" i="25"/>
  <c r="C30" i="25"/>
  <c r="C473" i="62" s="1"/>
  <c r="C29" i="25"/>
  <c r="C472" i="62" s="1"/>
  <c r="C28" i="25"/>
  <c r="C471" i="62" s="1"/>
  <c r="C27" i="25"/>
  <c r="C470" i="62" s="1"/>
  <c r="C26" i="25"/>
  <c r="C469" i="62" s="1"/>
  <c r="C25" i="25"/>
  <c r="C468" i="62" s="1"/>
  <c r="C47" i="24"/>
  <c r="Q32" i="24"/>
  <c r="P32" i="24"/>
  <c r="O32" i="24"/>
  <c r="N32" i="24"/>
  <c r="M32" i="24"/>
  <c r="L32" i="24"/>
  <c r="K32" i="24"/>
  <c r="J32" i="24"/>
  <c r="I32" i="24"/>
  <c r="H32" i="24"/>
  <c r="G32" i="24"/>
  <c r="F32" i="24"/>
  <c r="C32" i="24"/>
  <c r="C447" i="62" s="1"/>
  <c r="Q31" i="24"/>
  <c r="P31" i="24"/>
  <c r="O31" i="24"/>
  <c r="N31" i="24"/>
  <c r="M31" i="24"/>
  <c r="L31" i="24"/>
  <c r="K31" i="24"/>
  <c r="J31" i="24"/>
  <c r="I31" i="24"/>
  <c r="H31" i="24"/>
  <c r="G31" i="24"/>
  <c r="F31" i="24"/>
  <c r="C31" i="24"/>
  <c r="C446" i="62" s="1"/>
  <c r="Q30" i="24"/>
  <c r="P30" i="24"/>
  <c r="O30" i="24"/>
  <c r="N30" i="24"/>
  <c r="M30" i="24"/>
  <c r="L30" i="24"/>
  <c r="K30" i="24"/>
  <c r="J30" i="24"/>
  <c r="I30" i="24"/>
  <c r="H30" i="24"/>
  <c r="G30" i="24"/>
  <c r="F30" i="24"/>
  <c r="C30" i="24"/>
  <c r="C445" i="62" s="1"/>
  <c r="Q29" i="24"/>
  <c r="P29" i="24"/>
  <c r="O29" i="24"/>
  <c r="N29" i="24"/>
  <c r="M29" i="24"/>
  <c r="L29" i="24"/>
  <c r="K29" i="24"/>
  <c r="J29" i="24"/>
  <c r="I29" i="24"/>
  <c r="H29" i="24"/>
  <c r="G29" i="24"/>
  <c r="F29" i="24"/>
  <c r="C29" i="24"/>
  <c r="C444" i="62" s="1"/>
  <c r="Q28" i="24"/>
  <c r="P28" i="24"/>
  <c r="O28" i="24"/>
  <c r="N28" i="24"/>
  <c r="M28" i="24"/>
  <c r="L28" i="24"/>
  <c r="K28" i="24"/>
  <c r="J28" i="24"/>
  <c r="I28" i="24"/>
  <c r="H28" i="24"/>
  <c r="G28" i="24"/>
  <c r="F28" i="24"/>
  <c r="C28" i="24"/>
  <c r="C443" i="62" s="1"/>
  <c r="Q27" i="24"/>
  <c r="P27" i="24"/>
  <c r="O27" i="24"/>
  <c r="N27" i="24"/>
  <c r="M27" i="24"/>
  <c r="L27" i="24"/>
  <c r="K27" i="24"/>
  <c r="J27" i="24"/>
  <c r="I27" i="24"/>
  <c r="H27" i="24"/>
  <c r="G27" i="24"/>
  <c r="F27" i="24"/>
  <c r="C27" i="24"/>
  <c r="C442" i="62" s="1"/>
  <c r="Q26" i="24"/>
  <c r="P26" i="24"/>
  <c r="O26" i="24"/>
  <c r="N26" i="24"/>
  <c r="M26" i="24"/>
  <c r="L26" i="24"/>
  <c r="K26" i="24"/>
  <c r="J26" i="24"/>
  <c r="I26" i="24"/>
  <c r="H26" i="24"/>
  <c r="G26" i="24"/>
  <c r="F26" i="24"/>
  <c r="C26" i="24"/>
  <c r="C441" i="62" s="1"/>
  <c r="Q24" i="24"/>
  <c r="P24" i="24"/>
  <c r="O24" i="24"/>
  <c r="N24" i="24"/>
  <c r="M24" i="24"/>
  <c r="L24" i="24"/>
  <c r="K24" i="24"/>
  <c r="J24" i="24"/>
  <c r="I24" i="24"/>
  <c r="H24" i="24"/>
  <c r="G24" i="24"/>
  <c r="F24" i="24"/>
  <c r="C24" i="24"/>
  <c r="C439" i="62" s="1"/>
  <c r="Q23" i="24"/>
  <c r="P23" i="24"/>
  <c r="O23" i="24"/>
  <c r="N23" i="24"/>
  <c r="M23" i="24"/>
  <c r="L23" i="24"/>
  <c r="K23" i="24"/>
  <c r="J23" i="24"/>
  <c r="I23" i="24"/>
  <c r="H23" i="24"/>
  <c r="G23" i="24"/>
  <c r="F23" i="24"/>
  <c r="C23" i="24"/>
  <c r="C438" i="62" s="1"/>
  <c r="Q22" i="24"/>
  <c r="P22" i="24"/>
  <c r="O22" i="24"/>
  <c r="N22" i="24"/>
  <c r="M22" i="24"/>
  <c r="L22" i="24"/>
  <c r="K22" i="24"/>
  <c r="J22" i="24"/>
  <c r="I22" i="24"/>
  <c r="H22" i="24"/>
  <c r="G22" i="24"/>
  <c r="F22" i="24"/>
  <c r="C22" i="24"/>
  <c r="C437" i="62" s="1"/>
  <c r="Q21" i="24"/>
  <c r="P21" i="24"/>
  <c r="O21" i="24"/>
  <c r="N21" i="24"/>
  <c r="M21" i="24"/>
  <c r="L21" i="24"/>
  <c r="K21" i="24"/>
  <c r="J21" i="24"/>
  <c r="I21" i="24"/>
  <c r="H21" i="24"/>
  <c r="G21" i="24"/>
  <c r="F21" i="24"/>
  <c r="C21" i="24"/>
  <c r="C436" i="62" s="1"/>
  <c r="Q20" i="24"/>
  <c r="P20" i="24"/>
  <c r="O20" i="24"/>
  <c r="N20" i="24"/>
  <c r="M20" i="24"/>
  <c r="L20" i="24"/>
  <c r="K20" i="24"/>
  <c r="J20" i="24"/>
  <c r="I20" i="24"/>
  <c r="H20" i="24"/>
  <c r="G20" i="24"/>
  <c r="F20" i="24"/>
  <c r="C20" i="24"/>
  <c r="C435" i="62" s="1"/>
  <c r="Q19" i="24"/>
  <c r="P19" i="24"/>
  <c r="O19" i="24"/>
  <c r="N19" i="24"/>
  <c r="M19" i="24"/>
  <c r="L19" i="24"/>
  <c r="K19" i="24"/>
  <c r="J19" i="24"/>
  <c r="I19" i="24"/>
  <c r="H19" i="24"/>
  <c r="G19" i="24"/>
  <c r="F19" i="24"/>
  <c r="C19" i="24"/>
  <c r="C434" i="62" s="1"/>
  <c r="Q18" i="24"/>
  <c r="P18" i="24"/>
  <c r="O18" i="24"/>
  <c r="N18" i="24"/>
  <c r="M18" i="24"/>
  <c r="L18" i="24"/>
  <c r="K18" i="24"/>
  <c r="J18" i="24"/>
  <c r="I18" i="24"/>
  <c r="H18" i="24"/>
  <c r="G18" i="24"/>
  <c r="F18" i="24"/>
  <c r="C18" i="24"/>
  <c r="C433" i="62" s="1"/>
  <c r="Q16" i="24"/>
  <c r="P16" i="24"/>
  <c r="O16" i="24"/>
  <c r="N16" i="24"/>
  <c r="M16" i="24"/>
  <c r="L16" i="24"/>
  <c r="K16" i="24"/>
  <c r="J16" i="24"/>
  <c r="I16" i="24"/>
  <c r="H16" i="24"/>
  <c r="G16" i="24"/>
  <c r="F16" i="24"/>
  <c r="C16" i="24"/>
  <c r="C431" i="62" s="1"/>
  <c r="Q15" i="24"/>
  <c r="P15" i="24"/>
  <c r="O15" i="24"/>
  <c r="N15" i="24"/>
  <c r="M15" i="24"/>
  <c r="L15" i="24"/>
  <c r="K15" i="24"/>
  <c r="J15" i="24"/>
  <c r="I15" i="24"/>
  <c r="H15" i="24"/>
  <c r="G15" i="24"/>
  <c r="F15" i="24"/>
  <c r="C15" i="24"/>
  <c r="C430" i="62" s="1"/>
  <c r="Q14" i="24"/>
  <c r="P14" i="24"/>
  <c r="O14" i="24"/>
  <c r="N14" i="24"/>
  <c r="M14" i="24"/>
  <c r="L14" i="24"/>
  <c r="K14" i="24"/>
  <c r="J14" i="24"/>
  <c r="I14" i="24"/>
  <c r="H14" i="24"/>
  <c r="G14" i="24"/>
  <c r="F14" i="24"/>
  <c r="C14" i="24"/>
  <c r="C429" i="62" s="1"/>
  <c r="Q13" i="24"/>
  <c r="P13" i="24"/>
  <c r="O13" i="24"/>
  <c r="N13" i="24"/>
  <c r="M13" i="24"/>
  <c r="L13" i="24"/>
  <c r="K13" i="24"/>
  <c r="J13" i="24"/>
  <c r="I13" i="24"/>
  <c r="H13" i="24"/>
  <c r="G13" i="24"/>
  <c r="F13" i="24"/>
  <c r="C13" i="24"/>
  <c r="C428" i="62" s="1"/>
  <c r="Q12" i="24"/>
  <c r="P12" i="24"/>
  <c r="O12" i="24"/>
  <c r="N12" i="24"/>
  <c r="M12" i="24"/>
  <c r="L12" i="24"/>
  <c r="K12" i="24"/>
  <c r="J12" i="24"/>
  <c r="I12" i="24"/>
  <c r="H12" i="24"/>
  <c r="G12" i="24"/>
  <c r="F12" i="24"/>
  <c r="C12" i="24"/>
  <c r="C427" i="62" s="1"/>
  <c r="Q11" i="24"/>
  <c r="P11" i="24"/>
  <c r="O11" i="24"/>
  <c r="N11" i="24"/>
  <c r="M11" i="24"/>
  <c r="L11" i="24"/>
  <c r="K11" i="24"/>
  <c r="J11" i="24"/>
  <c r="I11" i="24"/>
  <c r="H11" i="24"/>
  <c r="G11" i="24"/>
  <c r="F11" i="24"/>
  <c r="C11" i="24"/>
  <c r="C426" i="62" s="1"/>
  <c r="Q10" i="24"/>
  <c r="P10" i="24"/>
  <c r="O10" i="24"/>
  <c r="N10" i="24"/>
  <c r="M10" i="24"/>
  <c r="L10" i="24"/>
  <c r="K10" i="24"/>
  <c r="J10" i="24"/>
  <c r="I10" i="24"/>
  <c r="H10" i="24"/>
  <c r="G10" i="24"/>
  <c r="F10" i="24"/>
  <c r="C10" i="24"/>
  <c r="C425" i="62" s="1"/>
  <c r="C4" i="24"/>
  <c r="R3" i="24"/>
  <c r="S3" i="24" s="1"/>
  <c r="R2" i="24"/>
  <c r="Q32" i="23"/>
  <c r="P32" i="23"/>
  <c r="O32" i="23"/>
  <c r="N32" i="23"/>
  <c r="M32" i="23"/>
  <c r="L32" i="23"/>
  <c r="K32" i="23"/>
  <c r="J32" i="23"/>
  <c r="I32" i="23"/>
  <c r="H32" i="23"/>
  <c r="G32" i="23"/>
  <c r="F32" i="23"/>
  <c r="Q31" i="23"/>
  <c r="P31" i="23"/>
  <c r="O31" i="23"/>
  <c r="N31" i="23"/>
  <c r="M31" i="23"/>
  <c r="L31" i="23"/>
  <c r="K31" i="23"/>
  <c r="J31" i="23"/>
  <c r="I31" i="23"/>
  <c r="H31" i="23"/>
  <c r="G31" i="23"/>
  <c r="F31" i="23"/>
  <c r="Q30" i="23"/>
  <c r="P30" i="23"/>
  <c r="O30" i="23"/>
  <c r="N30" i="23"/>
  <c r="M30" i="23"/>
  <c r="L30" i="23"/>
  <c r="K30" i="23"/>
  <c r="J30" i="23"/>
  <c r="I30" i="23"/>
  <c r="H30" i="23"/>
  <c r="G30" i="23"/>
  <c r="F30" i="23"/>
  <c r="Q29" i="23"/>
  <c r="P29" i="23"/>
  <c r="O29" i="23"/>
  <c r="N29" i="23"/>
  <c r="M29" i="23"/>
  <c r="L29" i="23"/>
  <c r="K29" i="23"/>
  <c r="J29" i="23"/>
  <c r="I29" i="23"/>
  <c r="H29" i="23"/>
  <c r="G29" i="23"/>
  <c r="F29" i="23"/>
  <c r="Q28" i="23"/>
  <c r="P28" i="23"/>
  <c r="O28" i="23"/>
  <c r="N28" i="23"/>
  <c r="M28" i="23"/>
  <c r="L28" i="23"/>
  <c r="K28" i="23"/>
  <c r="J28" i="23"/>
  <c r="I28" i="23"/>
  <c r="H28" i="23"/>
  <c r="G28" i="23"/>
  <c r="F28" i="23"/>
  <c r="Q27" i="23"/>
  <c r="P27" i="23"/>
  <c r="O27" i="23"/>
  <c r="N27" i="23"/>
  <c r="M27" i="23"/>
  <c r="L27" i="23"/>
  <c r="K27" i="23"/>
  <c r="J27" i="23"/>
  <c r="I27" i="23"/>
  <c r="H27" i="23"/>
  <c r="G27" i="23"/>
  <c r="F27" i="23"/>
  <c r="Q26" i="23"/>
  <c r="Q33" i="23" s="1"/>
  <c r="P26" i="23"/>
  <c r="P33" i="23" s="1"/>
  <c r="O26" i="23"/>
  <c r="O33" i="23" s="1"/>
  <c r="N26" i="23"/>
  <c r="M26" i="23"/>
  <c r="M33" i="23" s="1"/>
  <c r="L26" i="23"/>
  <c r="L33" i="23" s="1"/>
  <c r="K26" i="23"/>
  <c r="K33" i="23" s="1"/>
  <c r="J26" i="23"/>
  <c r="J33" i="23" s="1"/>
  <c r="I26" i="23"/>
  <c r="I33" i="23" s="1"/>
  <c r="H26" i="23"/>
  <c r="H33" i="23" s="1"/>
  <c r="G26" i="23"/>
  <c r="G33" i="23" s="1"/>
  <c r="F26" i="23"/>
  <c r="F33" i="23" s="1"/>
  <c r="Q24" i="23"/>
  <c r="P24" i="23"/>
  <c r="O24" i="23"/>
  <c r="N24" i="23"/>
  <c r="M24" i="23"/>
  <c r="L24" i="23"/>
  <c r="K24" i="23"/>
  <c r="J24" i="23"/>
  <c r="I24" i="23"/>
  <c r="H24" i="23"/>
  <c r="G24" i="23"/>
  <c r="F24" i="23"/>
  <c r="Q23" i="23"/>
  <c r="P23" i="23"/>
  <c r="O23" i="23"/>
  <c r="N23" i="23"/>
  <c r="M23" i="23"/>
  <c r="L23" i="23"/>
  <c r="K23" i="23"/>
  <c r="J23" i="23"/>
  <c r="I23" i="23"/>
  <c r="H23" i="23"/>
  <c r="G23" i="23"/>
  <c r="F23" i="23"/>
  <c r="Q22" i="23"/>
  <c r="P22" i="23"/>
  <c r="O22" i="23"/>
  <c r="N22" i="23"/>
  <c r="M22" i="23"/>
  <c r="L22" i="23"/>
  <c r="K22" i="23"/>
  <c r="J22" i="23"/>
  <c r="I22" i="23"/>
  <c r="H22" i="23"/>
  <c r="G22" i="23"/>
  <c r="F22" i="23"/>
  <c r="Q21" i="23"/>
  <c r="P21" i="23"/>
  <c r="O21" i="23"/>
  <c r="N21" i="23"/>
  <c r="M21" i="23"/>
  <c r="L21" i="23"/>
  <c r="K21" i="23"/>
  <c r="J21" i="23"/>
  <c r="I21" i="23"/>
  <c r="H21" i="23"/>
  <c r="G21" i="23"/>
  <c r="F21" i="23"/>
  <c r="Q20" i="23"/>
  <c r="P20" i="23"/>
  <c r="O20" i="23"/>
  <c r="N20" i="23"/>
  <c r="M20" i="23"/>
  <c r="L20" i="23"/>
  <c r="K20" i="23"/>
  <c r="J20" i="23"/>
  <c r="I20" i="23"/>
  <c r="H20" i="23"/>
  <c r="G20" i="23"/>
  <c r="F20" i="23"/>
  <c r="Q19" i="23"/>
  <c r="P19" i="23"/>
  <c r="O19" i="23"/>
  <c r="N19" i="23"/>
  <c r="M19" i="23"/>
  <c r="L19" i="23"/>
  <c r="K19" i="23"/>
  <c r="J19" i="23"/>
  <c r="I19" i="23"/>
  <c r="H19" i="23"/>
  <c r="G19" i="23"/>
  <c r="F19" i="23"/>
  <c r="Q18" i="23"/>
  <c r="Q25" i="23" s="1"/>
  <c r="P18" i="23"/>
  <c r="P25" i="23" s="1"/>
  <c r="O18" i="23"/>
  <c r="N18" i="23"/>
  <c r="N25" i="23" s="1"/>
  <c r="M18" i="23"/>
  <c r="M25" i="23" s="1"/>
  <c r="L18" i="23"/>
  <c r="L25" i="23" s="1"/>
  <c r="K18" i="23"/>
  <c r="J18" i="23"/>
  <c r="J25" i="23" s="1"/>
  <c r="I18" i="23"/>
  <c r="I25" i="23" s="1"/>
  <c r="H18" i="23"/>
  <c r="G18" i="23"/>
  <c r="G25" i="23" s="1"/>
  <c r="F18" i="23"/>
  <c r="F25" i="23" s="1"/>
  <c r="Q16" i="23"/>
  <c r="P16" i="23"/>
  <c r="O16" i="23"/>
  <c r="N16" i="23"/>
  <c r="M16" i="23"/>
  <c r="L16" i="23"/>
  <c r="K16" i="23"/>
  <c r="J16" i="23"/>
  <c r="I16" i="23"/>
  <c r="H16" i="23"/>
  <c r="G16" i="23"/>
  <c r="F16" i="23"/>
  <c r="Q15" i="23"/>
  <c r="P15" i="23"/>
  <c r="O15" i="23"/>
  <c r="N15" i="23"/>
  <c r="M15" i="23"/>
  <c r="L15" i="23"/>
  <c r="K15" i="23"/>
  <c r="J15" i="23"/>
  <c r="I15" i="23"/>
  <c r="H15" i="23"/>
  <c r="G15" i="23"/>
  <c r="F15" i="23"/>
  <c r="Q14" i="23"/>
  <c r="P14" i="23"/>
  <c r="O14" i="23"/>
  <c r="N14" i="23"/>
  <c r="M14" i="23"/>
  <c r="L14" i="23"/>
  <c r="K14" i="23"/>
  <c r="J14" i="23"/>
  <c r="I14" i="23"/>
  <c r="H14" i="23"/>
  <c r="G14" i="23"/>
  <c r="F14" i="23"/>
  <c r="Q13" i="23"/>
  <c r="P13" i="23"/>
  <c r="O13" i="23"/>
  <c r="N13" i="23"/>
  <c r="M13" i="23"/>
  <c r="L13" i="23"/>
  <c r="K13" i="23"/>
  <c r="J13" i="23"/>
  <c r="I13" i="23"/>
  <c r="H13" i="23"/>
  <c r="G13" i="23"/>
  <c r="F13" i="23"/>
  <c r="Q12" i="23"/>
  <c r="P12" i="23"/>
  <c r="O12" i="23"/>
  <c r="N12" i="23"/>
  <c r="M12" i="23"/>
  <c r="L12" i="23"/>
  <c r="K12" i="23"/>
  <c r="J12" i="23"/>
  <c r="I12" i="23"/>
  <c r="H12" i="23"/>
  <c r="G12" i="23"/>
  <c r="F12" i="23"/>
  <c r="Q11" i="23"/>
  <c r="P11" i="23"/>
  <c r="O11" i="23"/>
  <c r="N11" i="23"/>
  <c r="M11" i="23"/>
  <c r="L11" i="23"/>
  <c r="K11" i="23"/>
  <c r="J11" i="23"/>
  <c r="I11" i="23"/>
  <c r="H11" i="23"/>
  <c r="G11" i="23"/>
  <c r="F11" i="23"/>
  <c r="Q10" i="23"/>
  <c r="Q17" i="23" s="1"/>
  <c r="Q34" i="23" s="1"/>
  <c r="P10" i="23"/>
  <c r="P17" i="23" s="1"/>
  <c r="P34" i="23" s="1"/>
  <c r="O10" i="23"/>
  <c r="O17" i="23" s="1"/>
  <c r="N10" i="23"/>
  <c r="N17" i="23" s="1"/>
  <c r="M10" i="23"/>
  <c r="L10" i="23"/>
  <c r="L17" i="23" s="1"/>
  <c r="L34" i="23" s="1"/>
  <c r="K10" i="23"/>
  <c r="K17" i="23" s="1"/>
  <c r="J10" i="23"/>
  <c r="J17" i="23" s="1"/>
  <c r="J34" i="23" s="1"/>
  <c r="I10" i="23"/>
  <c r="I17" i="23" s="1"/>
  <c r="I34" i="23" s="1"/>
  <c r="H10" i="23"/>
  <c r="H17" i="23" s="1"/>
  <c r="G10" i="23"/>
  <c r="G17" i="23" s="1"/>
  <c r="G34" i="23" s="1"/>
  <c r="F10" i="23"/>
  <c r="F17" i="23" s="1"/>
  <c r="C32" i="23"/>
  <c r="C421" i="62" s="1"/>
  <c r="C31" i="23"/>
  <c r="C420" i="62" s="1"/>
  <c r="C30" i="23"/>
  <c r="C419" i="62" s="1"/>
  <c r="C29" i="23"/>
  <c r="C418" i="62" s="1"/>
  <c r="C28" i="23"/>
  <c r="C417" i="62" s="1"/>
  <c r="C27" i="23"/>
  <c r="C416" i="62" s="1"/>
  <c r="C24" i="23"/>
  <c r="C413" i="62" s="1"/>
  <c r="C23" i="23"/>
  <c r="C412" i="62" s="1"/>
  <c r="C22" i="23"/>
  <c r="C411" i="62" s="1"/>
  <c r="C21" i="23"/>
  <c r="C410" i="62" s="1"/>
  <c r="C20" i="23"/>
  <c r="C409" i="62" s="1"/>
  <c r="C19" i="23"/>
  <c r="C408" i="62" s="1"/>
  <c r="C16" i="23"/>
  <c r="C405" i="62" s="1"/>
  <c r="C15" i="23"/>
  <c r="C404" i="62" s="1"/>
  <c r="C14" i="23"/>
  <c r="C403" i="62" s="1"/>
  <c r="C13" i="23"/>
  <c r="C402" i="62" s="1"/>
  <c r="C12" i="23"/>
  <c r="C401" i="62" s="1"/>
  <c r="C11" i="23"/>
  <c r="C400" i="62" s="1"/>
  <c r="C4" i="23"/>
  <c r="Q24" i="22"/>
  <c r="P24" i="22"/>
  <c r="O24" i="22"/>
  <c r="N24" i="22"/>
  <c r="M24" i="22"/>
  <c r="L24" i="22"/>
  <c r="K24" i="22"/>
  <c r="J24" i="22"/>
  <c r="I24" i="22"/>
  <c r="H24" i="22"/>
  <c r="G24" i="22"/>
  <c r="F24" i="22"/>
  <c r="Q23" i="22"/>
  <c r="P23" i="22"/>
  <c r="O23" i="22"/>
  <c r="N23" i="22"/>
  <c r="M23" i="22"/>
  <c r="L23" i="22"/>
  <c r="K23" i="22"/>
  <c r="J23" i="22"/>
  <c r="I23" i="22"/>
  <c r="H23" i="22"/>
  <c r="G23" i="22"/>
  <c r="F23" i="22"/>
  <c r="Q22" i="22"/>
  <c r="P22" i="22"/>
  <c r="O22" i="22"/>
  <c r="N22" i="22"/>
  <c r="M22" i="22"/>
  <c r="L22" i="22"/>
  <c r="K22" i="22"/>
  <c r="J22" i="22"/>
  <c r="I22" i="22"/>
  <c r="H22" i="22"/>
  <c r="G22" i="22"/>
  <c r="F22" i="22"/>
  <c r="Q21" i="22"/>
  <c r="P21" i="22"/>
  <c r="O21" i="22"/>
  <c r="N21" i="22"/>
  <c r="M21" i="22"/>
  <c r="L21" i="22"/>
  <c r="K21" i="22"/>
  <c r="J21" i="22"/>
  <c r="I21" i="22"/>
  <c r="H21" i="22"/>
  <c r="G21" i="22"/>
  <c r="F21" i="22"/>
  <c r="Q20" i="22"/>
  <c r="P20" i="22"/>
  <c r="O20" i="22"/>
  <c r="N20" i="22"/>
  <c r="M20" i="22"/>
  <c r="L20" i="22"/>
  <c r="K20" i="22"/>
  <c r="J20" i="22"/>
  <c r="I20" i="22"/>
  <c r="H20" i="22"/>
  <c r="G20" i="22"/>
  <c r="F20" i="22"/>
  <c r="Q19" i="22"/>
  <c r="P19" i="22"/>
  <c r="O19" i="22"/>
  <c r="N19" i="22"/>
  <c r="M19" i="22"/>
  <c r="L19" i="22"/>
  <c r="K19" i="22"/>
  <c r="J19" i="22"/>
  <c r="I19" i="22"/>
  <c r="H19" i="22"/>
  <c r="G19" i="22"/>
  <c r="F19" i="22"/>
  <c r="Q18" i="22"/>
  <c r="Q25" i="22" s="1"/>
  <c r="P18" i="22"/>
  <c r="P25" i="22" s="1"/>
  <c r="O18" i="22"/>
  <c r="O25" i="22" s="1"/>
  <c r="N18" i="22"/>
  <c r="N25" i="22" s="1"/>
  <c r="M18" i="22"/>
  <c r="M25" i="22" s="1"/>
  <c r="L18" i="22"/>
  <c r="L25" i="22" s="1"/>
  <c r="K18" i="22"/>
  <c r="K25" i="22" s="1"/>
  <c r="J18" i="22"/>
  <c r="J25" i="22" s="1"/>
  <c r="I18" i="22"/>
  <c r="I25" i="22" s="1"/>
  <c r="H18" i="22"/>
  <c r="H25" i="22" s="1"/>
  <c r="G18" i="22"/>
  <c r="G25" i="22" s="1"/>
  <c r="F18" i="22"/>
  <c r="F25" i="22" s="1"/>
  <c r="Q16" i="22"/>
  <c r="P16" i="22"/>
  <c r="O16" i="22"/>
  <c r="N16" i="22"/>
  <c r="M16" i="22"/>
  <c r="L16" i="22"/>
  <c r="K16" i="22"/>
  <c r="J16" i="22"/>
  <c r="I16" i="22"/>
  <c r="H16" i="22"/>
  <c r="G16" i="22"/>
  <c r="F16" i="22"/>
  <c r="Q15" i="22"/>
  <c r="P15" i="22"/>
  <c r="O15" i="22"/>
  <c r="N15" i="22"/>
  <c r="M15" i="22"/>
  <c r="L15" i="22"/>
  <c r="K15" i="22"/>
  <c r="J15" i="22"/>
  <c r="I15" i="22"/>
  <c r="H15" i="22"/>
  <c r="G15" i="22"/>
  <c r="F15" i="22"/>
  <c r="Q14" i="22"/>
  <c r="P14" i="22"/>
  <c r="O14" i="22"/>
  <c r="N14" i="22"/>
  <c r="M14" i="22"/>
  <c r="L14" i="22"/>
  <c r="K14" i="22"/>
  <c r="J14" i="22"/>
  <c r="I14" i="22"/>
  <c r="H14" i="22"/>
  <c r="G14" i="22"/>
  <c r="F14" i="22"/>
  <c r="Q13" i="22"/>
  <c r="P13" i="22"/>
  <c r="O13" i="22"/>
  <c r="N13" i="22"/>
  <c r="M13" i="22"/>
  <c r="L13" i="22"/>
  <c r="K13" i="22"/>
  <c r="J13" i="22"/>
  <c r="I13" i="22"/>
  <c r="H13" i="22"/>
  <c r="G13" i="22"/>
  <c r="F13" i="22"/>
  <c r="Q12" i="22"/>
  <c r="P12" i="22"/>
  <c r="O12" i="22"/>
  <c r="N12" i="22"/>
  <c r="M12" i="22"/>
  <c r="L12" i="22"/>
  <c r="K12" i="22"/>
  <c r="J12" i="22"/>
  <c r="I12" i="22"/>
  <c r="H12" i="22"/>
  <c r="G12" i="22"/>
  <c r="F12" i="22"/>
  <c r="Q11" i="22"/>
  <c r="P11" i="22"/>
  <c r="O11" i="22"/>
  <c r="N11" i="22"/>
  <c r="M11" i="22"/>
  <c r="L11" i="22"/>
  <c r="K11" i="22"/>
  <c r="J11" i="22"/>
  <c r="I11" i="22"/>
  <c r="H11" i="22"/>
  <c r="G11" i="22"/>
  <c r="F11" i="22"/>
  <c r="Q10" i="22"/>
  <c r="Q17" i="22" s="1"/>
  <c r="P10" i="22"/>
  <c r="O10" i="22"/>
  <c r="O17" i="22" s="1"/>
  <c r="N10" i="22"/>
  <c r="N17" i="22" s="1"/>
  <c r="M10" i="22"/>
  <c r="M17" i="22" s="1"/>
  <c r="L10" i="22"/>
  <c r="L17" i="22" s="1"/>
  <c r="K10" i="22"/>
  <c r="K17" i="22" s="1"/>
  <c r="J10" i="22"/>
  <c r="J17" i="22" s="1"/>
  <c r="I10" i="22"/>
  <c r="I17" i="22" s="1"/>
  <c r="H10" i="22"/>
  <c r="H17" i="22" s="1"/>
  <c r="G10" i="22"/>
  <c r="G17" i="22" s="1"/>
  <c r="F10" i="22"/>
  <c r="F17" i="22" s="1"/>
  <c r="C32" i="22"/>
  <c r="C577" i="62" s="1"/>
  <c r="C31" i="22"/>
  <c r="C576" i="62" s="1"/>
  <c r="C30" i="22"/>
  <c r="C575" i="62" s="1"/>
  <c r="C29" i="22"/>
  <c r="C574" i="62" s="1"/>
  <c r="C28" i="22"/>
  <c r="C573" i="62" s="1"/>
  <c r="C27" i="22"/>
  <c r="C572" i="62" s="1"/>
  <c r="C24" i="22"/>
  <c r="C569" i="62" s="1"/>
  <c r="C23" i="22"/>
  <c r="C568" i="62" s="1"/>
  <c r="C22" i="22"/>
  <c r="C567" i="62" s="1"/>
  <c r="C21" i="22"/>
  <c r="C566" i="62" s="1"/>
  <c r="C20" i="22"/>
  <c r="C565" i="62" s="1"/>
  <c r="C19" i="22"/>
  <c r="C564" i="62" s="1"/>
  <c r="C16" i="22"/>
  <c r="C561" i="62" s="1"/>
  <c r="C15" i="22"/>
  <c r="C560" i="62" s="1"/>
  <c r="C14" i="22"/>
  <c r="C559" i="62" s="1"/>
  <c r="C13" i="22"/>
  <c r="C558" i="62" s="1"/>
  <c r="C12" i="22"/>
  <c r="C557" i="62" s="1"/>
  <c r="C11" i="22"/>
  <c r="C556" i="62" s="1"/>
  <c r="C10" i="22"/>
  <c r="C555" i="62" s="1"/>
  <c r="C4" i="22"/>
  <c r="C58" i="22"/>
  <c r="Q32" i="20"/>
  <c r="P32" i="20"/>
  <c r="O32" i="20"/>
  <c r="N32" i="20"/>
  <c r="M32" i="20"/>
  <c r="K32" i="20"/>
  <c r="I32" i="20"/>
  <c r="H32" i="20"/>
  <c r="G32" i="20"/>
  <c r="Q31" i="20"/>
  <c r="P31" i="20"/>
  <c r="O31" i="20"/>
  <c r="N31" i="20"/>
  <c r="M31" i="20"/>
  <c r="K31" i="20"/>
  <c r="I31" i="20"/>
  <c r="H31" i="20"/>
  <c r="G31" i="20"/>
  <c r="Q30" i="20"/>
  <c r="P30" i="20"/>
  <c r="O30" i="20"/>
  <c r="N30" i="20"/>
  <c r="M30" i="20"/>
  <c r="K30" i="20"/>
  <c r="I30" i="20"/>
  <c r="H30" i="20"/>
  <c r="G30" i="20"/>
  <c r="Q29" i="20"/>
  <c r="P29" i="20"/>
  <c r="O29" i="20"/>
  <c r="N29" i="20"/>
  <c r="M29" i="20"/>
  <c r="L29" i="20"/>
  <c r="K29" i="20"/>
  <c r="J29" i="20"/>
  <c r="I29" i="20"/>
  <c r="H29" i="20"/>
  <c r="G29" i="20"/>
  <c r="Q28" i="20"/>
  <c r="P28" i="20"/>
  <c r="O28" i="20"/>
  <c r="N28" i="20"/>
  <c r="M28" i="20"/>
  <c r="L28" i="20"/>
  <c r="K28" i="20"/>
  <c r="J28" i="20"/>
  <c r="I28" i="20"/>
  <c r="H28" i="20"/>
  <c r="G28" i="20"/>
  <c r="Q27" i="20"/>
  <c r="P27" i="20"/>
  <c r="O27" i="20"/>
  <c r="N27" i="20"/>
  <c r="M27" i="20"/>
  <c r="L27" i="20"/>
  <c r="K27" i="20"/>
  <c r="J27" i="20"/>
  <c r="I27" i="20"/>
  <c r="H27" i="20"/>
  <c r="G27" i="20"/>
  <c r="Q26" i="20"/>
  <c r="P26" i="20"/>
  <c r="O26" i="20"/>
  <c r="N26" i="20"/>
  <c r="M26" i="20"/>
  <c r="L26" i="20"/>
  <c r="K26" i="20"/>
  <c r="J26" i="20"/>
  <c r="I26" i="20"/>
  <c r="H26" i="20"/>
  <c r="G26" i="20"/>
  <c r="C32" i="20"/>
  <c r="C369" i="62" s="1"/>
  <c r="C31" i="20"/>
  <c r="C368" i="62" s="1"/>
  <c r="C30" i="20"/>
  <c r="C367" i="62" s="1"/>
  <c r="C75" i="20"/>
  <c r="C74" i="20"/>
  <c r="C83" i="20" s="1"/>
  <c r="D37" i="19"/>
  <c r="P37" i="19" s="1"/>
  <c r="D36" i="19"/>
  <c r="Q30" i="19"/>
  <c r="P30" i="19"/>
  <c r="O30" i="19"/>
  <c r="N30" i="19"/>
  <c r="M30" i="19"/>
  <c r="L30" i="19"/>
  <c r="K30" i="19"/>
  <c r="J30" i="19"/>
  <c r="I30" i="19"/>
  <c r="H30" i="19"/>
  <c r="G30" i="19"/>
  <c r="F30" i="19"/>
  <c r="Q29" i="19"/>
  <c r="P29" i="19"/>
  <c r="O29" i="19"/>
  <c r="N29" i="19"/>
  <c r="M29" i="19"/>
  <c r="L29" i="19"/>
  <c r="K29" i="19"/>
  <c r="J29" i="19"/>
  <c r="I29" i="19"/>
  <c r="H29" i="19"/>
  <c r="G29" i="19"/>
  <c r="F29" i="19"/>
  <c r="Q28" i="19"/>
  <c r="P28" i="19"/>
  <c r="O28" i="19"/>
  <c r="N28" i="19"/>
  <c r="M28" i="19"/>
  <c r="L28" i="19"/>
  <c r="K28" i="19"/>
  <c r="J28" i="19"/>
  <c r="I28" i="19"/>
  <c r="H28" i="19"/>
  <c r="G28" i="19"/>
  <c r="F28" i="19"/>
  <c r="Q27" i="19"/>
  <c r="P27" i="19"/>
  <c r="O27" i="19"/>
  <c r="N27" i="19"/>
  <c r="M27" i="19"/>
  <c r="L27" i="19"/>
  <c r="K27" i="19"/>
  <c r="J27" i="19"/>
  <c r="I27" i="19"/>
  <c r="H27" i="19"/>
  <c r="G27" i="19"/>
  <c r="F27" i="19"/>
  <c r="Q26" i="19"/>
  <c r="P26" i="19"/>
  <c r="O26" i="19"/>
  <c r="N26" i="19"/>
  <c r="M26" i="19"/>
  <c r="L26" i="19"/>
  <c r="K26" i="19"/>
  <c r="J26" i="19"/>
  <c r="I26" i="19"/>
  <c r="H26" i="19"/>
  <c r="G26" i="19"/>
  <c r="F26" i="19"/>
  <c r="Q25" i="19"/>
  <c r="P25" i="19"/>
  <c r="O25" i="19"/>
  <c r="N25" i="19"/>
  <c r="M25" i="19"/>
  <c r="L25" i="19"/>
  <c r="K25" i="19"/>
  <c r="J25" i="19"/>
  <c r="I25" i="19"/>
  <c r="H25" i="19"/>
  <c r="G25" i="19"/>
  <c r="F25" i="19"/>
  <c r="Q24" i="19"/>
  <c r="Q31" i="19" s="1"/>
  <c r="P24" i="19"/>
  <c r="P31" i="19" s="1"/>
  <c r="O24" i="19"/>
  <c r="N24" i="19"/>
  <c r="N31" i="19" s="1"/>
  <c r="M24" i="19"/>
  <c r="M31" i="19" s="1"/>
  <c r="L24" i="19"/>
  <c r="L31" i="19" s="1"/>
  <c r="K24" i="19"/>
  <c r="K31" i="19" s="1"/>
  <c r="J24" i="19"/>
  <c r="J31" i="19" s="1"/>
  <c r="I24" i="19"/>
  <c r="I31" i="19" s="1"/>
  <c r="H24" i="19"/>
  <c r="H31" i="19" s="1"/>
  <c r="G24" i="19"/>
  <c r="G31" i="19" s="1"/>
  <c r="F24" i="19"/>
  <c r="F31" i="19" s="1"/>
  <c r="D32" i="19"/>
  <c r="Q22" i="19"/>
  <c r="P22" i="19"/>
  <c r="O22" i="19"/>
  <c r="N22" i="19"/>
  <c r="M22" i="19"/>
  <c r="L22" i="19"/>
  <c r="K22" i="19"/>
  <c r="J22" i="19"/>
  <c r="I22" i="19"/>
  <c r="H22" i="19"/>
  <c r="G22" i="19"/>
  <c r="F22" i="19"/>
  <c r="C22" i="19"/>
  <c r="C335" i="62" s="1"/>
  <c r="Q21" i="19"/>
  <c r="P21" i="19"/>
  <c r="O21" i="19"/>
  <c r="N21" i="19"/>
  <c r="M21" i="19"/>
  <c r="L21" i="19"/>
  <c r="K21" i="19"/>
  <c r="J21" i="19"/>
  <c r="I21" i="19"/>
  <c r="H21" i="19"/>
  <c r="G21" i="19"/>
  <c r="F21" i="19"/>
  <c r="C21" i="19"/>
  <c r="C334" i="62" s="1"/>
  <c r="Q20" i="19"/>
  <c r="P20" i="19"/>
  <c r="O20" i="19"/>
  <c r="N20" i="19"/>
  <c r="M20" i="19"/>
  <c r="L20" i="19"/>
  <c r="K20" i="19"/>
  <c r="J20" i="19"/>
  <c r="I20" i="19"/>
  <c r="H20" i="19"/>
  <c r="G20" i="19"/>
  <c r="F20" i="19"/>
  <c r="C20" i="19"/>
  <c r="C333" i="62" s="1"/>
  <c r="Q19" i="19"/>
  <c r="P19" i="19"/>
  <c r="O19" i="19"/>
  <c r="N19" i="19"/>
  <c r="M19" i="19"/>
  <c r="L19" i="19"/>
  <c r="K19" i="19"/>
  <c r="J19" i="19"/>
  <c r="I19" i="19"/>
  <c r="H19" i="19"/>
  <c r="G19" i="19"/>
  <c r="F19" i="19"/>
  <c r="C19" i="19"/>
  <c r="C332" i="62" s="1"/>
  <c r="Q18" i="19"/>
  <c r="P18" i="19"/>
  <c r="O18" i="19"/>
  <c r="N18" i="19"/>
  <c r="M18" i="19"/>
  <c r="L18" i="19"/>
  <c r="K18" i="19"/>
  <c r="J18" i="19"/>
  <c r="I18" i="19"/>
  <c r="H18" i="19"/>
  <c r="G18" i="19"/>
  <c r="F18" i="19"/>
  <c r="C18" i="19"/>
  <c r="C331" i="62" s="1"/>
  <c r="Q17" i="19"/>
  <c r="P17" i="19"/>
  <c r="O17" i="19"/>
  <c r="N17" i="19"/>
  <c r="M17" i="19"/>
  <c r="L17" i="19"/>
  <c r="K17" i="19"/>
  <c r="J17" i="19"/>
  <c r="I17" i="19"/>
  <c r="H17" i="19"/>
  <c r="G17" i="19"/>
  <c r="F17" i="19"/>
  <c r="C17" i="19"/>
  <c r="C330" i="62" s="1"/>
  <c r="Q16" i="19"/>
  <c r="P16" i="19"/>
  <c r="O16" i="19"/>
  <c r="N16" i="19"/>
  <c r="M16" i="19"/>
  <c r="L16" i="19"/>
  <c r="K16" i="19"/>
  <c r="J16" i="19"/>
  <c r="I16" i="19"/>
  <c r="H16" i="19"/>
  <c r="G16" i="19"/>
  <c r="F16" i="19"/>
  <c r="C16" i="19"/>
  <c r="C329" i="62" s="1"/>
  <c r="Q14" i="19"/>
  <c r="P14" i="19"/>
  <c r="O14" i="19"/>
  <c r="N14" i="19"/>
  <c r="M14" i="19"/>
  <c r="L14" i="19"/>
  <c r="K14" i="19"/>
  <c r="J14" i="19"/>
  <c r="I14" i="19"/>
  <c r="H14" i="19"/>
  <c r="G14" i="19"/>
  <c r="F14" i="19"/>
  <c r="C14" i="19"/>
  <c r="C327" i="62" s="1"/>
  <c r="Q13" i="19"/>
  <c r="P13" i="19"/>
  <c r="O13" i="19"/>
  <c r="N13" i="19"/>
  <c r="M13" i="19"/>
  <c r="L13" i="19"/>
  <c r="K13" i="19"/>
  <c r="J13" i="19"/>
  <c r="I13" i="19"/>
  <c r="H13" i="19"/>
  <c r="G13" i="19"/>
  <c r="F13" i="19"/>
  <c r="C13" i="19"/>
  <c r="C326" i="62" s="1"/>
  <c r="Q12" i="19"/>
  <c r="P12" i="19"/>
  <c r="O12" i="19"/>
  <c r="N12" i="19"/>
  <c r="M12" i="19"/>
  <c r="L12" i="19"/>
  <c r="K12" i="19"/>
  <c r="J12" i="19"/>
  <c r="I12" i="19"/>
  <c r="H12" i="19"/>
  <c r="G12" i="19"/>
  <c r="F12" i="19"/>
  <c r="C12" i="19"/>
  <c r="C325" i="62" s="1"/>
  <c r="Q11" i="19"/>
  <c r="P11" i="19"/>
  <c r="O11" i="19"/>
  <c r="N11" i="19"/>
  <c r="M11" i="19"/>
  <c r="L11" i="19"/>
  <c r="K11" i="19"/>
  <c r="J11" i="19"/>
  <c r="I11" i="19"/>
  <c r="H11" i="19"/>
  <c r="G11" i="19"/>
  <c r="F11" i="19"/>
  <c r="C11" i="19"/>
  <c r="C324" i="62" s="1"/>
  <c r="Q10" i="19"/>
  <c r="P10" i="19"/>
  <c r="O10" i="19"/>
  <c r="N10" i="19"/>
  <c r="M10" i="19"/>
  <c r="L10" i="19"/>
  <c r="K10" i="19"/>
  <c r="J10" i="19"/>
  <c r="I10" i="19"/>
  <c r="H10" i="19"/>
  <c r="G10" i="19"/>
  <c r="F10" i="19"/>
  <c r="C10" i="19"/>
  <c r="C323" i="62" s="1"/>
  <c r="Q9" i="19"/>
  <c r="P9" i="19"/>
  <c r="O9" i="19"/>
  <c r="N9" i="19"/>
  <c r="M9" i="19"/>
  <c r="L9" i="19"/>
  <c r="K9" i="19"/>
  <c r="J9" i="19"/>
  <c r="I9" i="19"/>
  <c r="H9" i="19"/>
  <c r="G9" i="19"/>
  <c r="F9" i="19"/>
  <c r="C9" i="19"/>
  <c r="C322" i="62" s="1"/>
  <c r="Q8" i="19"/>
  <c r="P8" i="19"/>
  <c r="O8" i="19"/>
  <c r="N8" i="19"/>
  <c r="M8" i="19"/>
  <c r="L8" i="19"/>
  <c r="K8" i="19"/>
  <c r="J8" i="19"/>
  <c r="I8" i="19"/>
  <c r="H8" i="19"/>
  <c r="G8" i="19"/>
  <c r="F8" i="19"/>
  <c r="C8" i="19"/>
  <c r="C321" i="62" s="1"/>
  <c r="R2" i="19"/>
  <c r="S2" i="19" s="1"/>
  <c r="Q24" i="17"/>
  <c r="P24" i="17"/>
  <c r="O24" i="17"/>
  <c r="N24" i="17"/>
  <c r="M24" i="17"/>
  <c r="L24" i="17"/>
  <c r="K24" i="17"/>
  <c r="J24" i="17"/>
  <c r="I24" i="17"/>
  <c r="H24" i="17"/>
  <c r="G24" i="17"/>
  <c r="F24" i="17"/>
  <c r="Q23" i="17"/>
  <c r="P23" i="17"/>
  <c r="O23" i="17"/>
  <c r="N23" i="17"/>
  <c r="M23" i="17"/>
  <c r="L23" i="17"/>
  <c r="K23" i="17"/>
  <c r="J23" i="17"/>
  <c r="I23" i="17"/>
  <c r="H23" i="17"/>
  <c r="G23" i="17"/>
  <c r="F23" i="17"/>
  <c r="Q22" i="17"/>
  <c r="P22" i="17"/>
  <c r="O22" i="17"/>
  <c r="N22" i="17"/>
  <c r="M22" i="17"/>
  <c r="L22" i="17"/>
  <c r="K22" i="17"/>
  <c r="J22" i="17"/>
  <c r="I22" i="17"/>
  <c r="H22" i="17"/>
  <c r="G22" i="17"/>
  <c r="F22" i="17"/>
  <c r="Q21" i="17"/>
  <c r="P21" i="17"/>
  <c r="O21" i="17"/>
  <c r="N21" i="17"/>
  <c r="M21" i="17"/>
  <c r="L21" i="17"/>
  <c r="K21" i="17"/>
  <c r="J21" i="17"/>
  <c r="I21" i="17"/>
  <c r="H21" i="17"/>
  <c r="G21" i="17"/>
  <c r="F21" i="17"/>
  <c r="Q20" i="17"/>
  <c r="P20" i="17"/>
  <c r="O20" i="17"/>
  <c r="N20" i="17"/>
  <c r="M20" i="17"/>
  <c r="L20" i="17"/>
  <c r="K20" i="17"/>
  <c r="J20" i="17"/>
  <c r="I20" i="17"/>
  <c r="H20" i="17"/>
  <c r="G20" i="17"/>
  <c r="F20" i="17"/>
  <c r="Q19" i="17"/>
  <c r="P19" i="17"/>
  <c r="O19" i="17"/>
  <c r="N19" i="17"/>
  <c r="M19" i="17"/>
  <c r="L19" i="17"/>
  <c r="K19" i="17"/>
  <c r="J19" i="17"/>
  <c r="I19" i="17"/>
  <c r="H19" i="17"/>
  <c r="G19" i="17"/>
  <c r="F19" i="17"/>
  <c r="Q18" i="17"/>
  <c r="P18" i="17"/>
  <c r="O18" i="17"/>
  <c r="N18" i="17"/>
  <c r="M18" i="17"/>
  <c r="L18" i="17"/>
  <c r="K18" i="17"/>
  <c r="J18" i="17"/>
  <c r="I18" i="17"/>
  <c r="H18" i="17"/>
  <c r="G18" i="17"/>
  <c r="F18" i="17"/>
  <c r="Q16" i="17"/>
  <c r="P16" i="17"/>
  <c r="O16" i="17"/>
  <c r="N16" i="17"/>
  <c r="M16" i="17"/>
  <c r="L16" i="17"/>
  <c r="K16" i="17"/>
  <c r="J16" i="17"/>
  <c r="I16" i="17"/>
  <c r="H16" i="17"/>
  <c r="G16" i="17"/>
  <c r="F16" i="17"/>
  <c r="Q15" i="17"/>
  <c r="P15" i="17"/>
  <c r="O15" i="17"/>
  <c r="N15" i="17"/>
  <c r="M15" i="17"/>
  <c r="L15" i="17"/>
  <c r="K15" i="17"/>
  <c r="J15" i="17"/>
  <c r="I15" i="17"/>
  <c r="H15" i="17"/>
  <c r="G15" i="17"/>
  <c r="F15" i="17"/>
  <c r="Q14" i="17"/>
  <c r="P14" i="17"/>
  <c r="O14" i="17"/>
  <c r="N14" i="17"/>
  <c r="M14" i="17"/>
  <c r="L14" i="17"/>
  <c r="K14" i="17"/>
  <c r="J14" i="17"/>
  <c r="I14" i="17"/>
  <c r="H14" i="17"/>
  <c r="G14" i="17"/>
  <c r="F14" i="17"/>
  <c r="Q13" i="17"/>
  <c r="P13" i="17"/>
  <c r="O13" i="17"/>
  <c r="N13" i="17"/>
  <c r="M13" i="17"/>
  <c r="L13" i="17"/>
  <c r="K13" i="17"/>
  <c r="J13" i="17"/>
  <c r="I13" i="17"/>
  <c r="H13" i="17"/>
  <c r="G13" i="17"/>
  <c r="F13" i="17"/>
  <c r="Q12" i="17"/>
  <c r="P12" i="17"/>
  <c r="O12" i="17"/>
  <c r="N12" i="17"/>
  <c r="M12" i="17"/>
  <c r="L12" i="17"/>
  <c r="K12" i="17"/>
  <c r="J12" i="17"/>
  <c r="I12" i="17"/>
  <c r="H12" i="17"/>
  <c r="G12" i="17"/>
  <c r="F12" i="17"/>
  <c r="Q11" i="17"/>
  <c r="P11" i="17"/>
  <c r="O11" i="17"/>
  <c r="N11" i="17"/>
  <c r="M11" i="17"/>
  <c r="L11" i="17"/>
  <c r="K11" i="17"/>
  <c r="J11" i="17"/>
  <c r="I11" i="17"/>
  <c r="H11" i="17"/>
  <c r="G11" i="17"/>
  <c r="F11" i="17"/>
  <c r="Q10" i="17"/>
  <c r="P10" i="17"/>
  <c r="O10" i="17"/>
  <c r="N10" i="17"/>
  <c r="M10" i="17"/>
  <c r="L10" i="17"/>
  <c r="K10" i="17"/>
  <c r="J10" i="17"/>
  <c r="I10" i="17"/>
  <c r="H10" i="17"/>
  <c r="G10" i="17"/>
  <c r="F10" i="17"/>
  <c r="Q30" i="16"/>
  <c r="P30" i="16"/>
  <c r="O30" i="16"/>
  <c r="N30" i="16"/>
  <c r="M30" i="16"/>
  <c r="L30" i="16"/>
  <c r="K30" i="16"/>
  <c r="J30" i="16"/>
  <c r="I30" i="16"/>
  <c r="H30" i="16"/>
  <c r="G30" i="16"/>
  <c r="Q29" i="16"/>
  <c r="P29" i="16"/>
  <c r="O29" i="16"/>
  <c r="N29" i="16"/>
  <c r="M29" i="16"/>
  <c r="L29" i="16"/>
  <c r="K29" i="16"/>
  <c r="J29" i="16"/>
  <c r="I29" i="16"/>
  <c r="H29" i="16"/>
  <c r="G29" i="16"/>
  <c r="Q28" i="16"/>
  <c r="P28" i="16"/>
  <c r="O28" i="16"/>
  <c r="N28" i="16"/>
  <c r="M28" i="16"/>
  <c r="L28" i="16"/>
  <c r="K28" i="16"/>
  <c r="J28" i="16"/>
  <c r="I28" i="16"/>
  <c r="H28" i="16"/>
  <c r="G28" i="16"/>
  <c r="Q27" i="16"/>
  <c r="P27" i="16"/>
  <c r="O27" i="16"/>
  <c r="N27" i="16"/>
  <c r="M27" i="16"/>
  <c r="L27" i="16"/>
  <c r="K27" i="16"/>
  <c r="J27" i="16"/>
  <c r="I27" i="16"/>
  <c r="H27" i="16"/>
  <c r="G27" i="16"/>
  <c r="Q26" i="16"/>
  <c r="P26" i="16"/>
  <c r="O26" i="16"/>
  <c r="N26" i="16"/>
  <c r="M26" i="16"/>
  <c r="L26" i="16"/>
  <c r="K26" i="16"/>
  <c r="J26" i="16"/>
  <c r="I26" i="16"/>
  <c r="H26" i="16"/>
  <c r="G26" i="16"/>
  <c r="Q25" i="16"/>
  <c r="P25" i="16"/>
  <c r="O25" i="16"/>
  <c r="N25" i="16"/>
  <c r="M25" i="16"/>
  <c r="L25" i="16"/>
  <c r="K25" i="16"/>
  <c r="J25" i="16"/>
  <c r="I25" i="16"/>
  <c r="H25" i="16"/>
  <c r="G25" i="16"/>
  <c r="Q24" i="16"/>
  <c r="P24" i="16"/>
  <c r="O24" i="16"/>
  <c r="N24" i="16"/>
  <c r="M24" i="16"/>
  <c r="L24" i="16"/>
  <c r="K24" i="16"/>
  <c r="J24" i="16"/>
  <c r="I24" i="16"/>
  <c r="H24" i="16"/>
  <c r="G24" i="16"/>
  <c r="K22" i="16"/>
  <c r="G18" i="16"/>
  <c r="Q12" i="16"/>
  <c r="I10" i="16"/>
  <c r="Q22" i="18"/>
  <c r="P22" i="18"/>
  <c r="O22" i="18"/>
  <c r="N22" i="18"/>
  <c r="M22" i="18"/>
  <c r="L22" i="18"/>
  <c r="K22" i="18"/>
  <c r="J22" i="18"/>
  <c r="I22" i="18"/>
  <c r="H22" i="18"/>
  <c r="G22" i="18"/>
  <c r="F22" i="18"/>
  <c r="Q21" i="18"/>
  <c r="P21" i="18"/>
  <c r="O21" i="18"/>
  <c r="N21" i="18"/>
  <c r="M21" i="18"/>
  <c r="L21" i="18"/>
  <c r="K21" i="18"/>
  <c r="J21" i="18"/>
  <c r="I21" i="18"/>
  <c r="H21" i="18"/>
  <c r="G21" i="18"/>
  <c r="F21" i="18"/>
  <c r="Q20" i="18"/>
  <c r="P20" i="18"/>
  <c r="O20" i="18"/>
  <c r="N20" i="18"/>
  <c r="M20" i="18"/>
  <c r="L20" i="18"/>
  <c r="K20" i="18"/>
  <c r="J20" i="18"/>
  <c r="I20" i="18"/>
  <c r="H20" i="18"/>
  <c r="G20" i="18"/>
  <c r="F20" i="18"/>
  <c r="Q19" i="18"/>
  <c r="P19" i="18"/>
  <c r="O19" i="18"/>
  <c r="N19" i="18"/>
  <c r="M19" i="18"/>
  <c r="L19" i="18"/>
  <c r="K19" i="18"/>
  <c r="J19" i="18"/>
  <c r="I19" i="18"/>
  <c r="H19" i="18"/>
  <c r="G19" i="18"/>
  <c r="F19" i="18"/>
  <c r="Q18" i="18"/>
  <c r="P18" i="18"/>
  <c r="O18" i="18"/>
  <c r="N18" i="18"/>
  <c r="M18" i="18"/>
  <c r="L18" i="18"/>
  <c r="K18" i="18"/>
  <c r="J18" i="18"/>
  <c r="I18" i="18"/>
  <c r="H18" i="18"/>
  <c r="G18" i="18"/>
  <c r="F18" i="18"/>
  <c r="Q17" i="18"/>
  <c r="P17" i="18"/>
  <c r="O17" i="18"/>
  <c r="N17" i="18"/>
  <c r="M17" i="18"/>
  <c r="L17" i="18"/>
  <c r="K17" i="18"/>
  <c r="J17" i="18"/>
  <c r="I17" i="18"/>
  <c r="H17" i="18"/>
  <c r="G17" i="18"/>
  <c r="F17" i="18"/>
  <c r="Q16" i="18"/>
  <c r="P16" i="18"/>
  <c r="O16" i="18"/>
  <c r="N16" i="18"/>
  <c r="M16" i="18"/>
  <c r="L16" i="18"/>
  <c r="K16" i="18"/>
  <c r="K23" i="18" s="1"/>
  <c r="J16" i="18"/>
  <c r="J23" i="18" s="1"/>
  <c r="I16" i="18"/>
  <c r="I23" i="18" s="1"/>
  <c r="H16" i="18"/>
  <c r="H23" i="18" s="1"/>
  <c r="G16" i="18"/>
  <c r="G23" i="18" s="1"/>
  <c r="F16" i="18"/>
  <c r="F23" i="18" s="1"/>
  <c r="Q23" i="18"/>
  <c r="P23" i="18"/>
  <c r="O23" i="18"/>
  <c r="N23" i="18"/>
  <c r="M23" i="18"/>
  <c r="L23" i="18"/>
  <c r="Q14" i="18"/>
  <c r="P14" i="18"/>
  <c r="O14" i="18"/>
  <c r="N14" i="18"/>
  <c r="M14" i="18"/>
  <c r="L14" i="18"/>
  <c r="K14" i="18"/>
  <c r="J14" i="18"/>
  <c r="I14" i="18"/>
  <c r="H14" i="18"/>
  <c r="G14" i="18"/>
  <c r="F14" i="18"/>
  <c r="Q13" i="18"/>
  <c r="P13" i="18"/>
  <c r="O13" i="18"/>
  <c r="N13" i="18"/>
  <c r="M13" i="18"/>
  <c r="L13" i="18"/>
  <c r="K13" i="18"/>
  <c r="J13" i="18"/>
  <c r="I13" i="18"/>
  <c r="H13" i="18"/>
  <c r="G13" i="18"/>
  <c r="F13" i="18"/>
  <c r="Q12" i="18"/>
  <c r="P12" i="18"/>
  <c r="O12" i="18"/>
  <c r="N12" i="18"/>
  <c r="M12" i="18"/>
  <c r="L12" i="18"/>
  <c r="K12" i="18"/>
  <c r="J12" i="18"/>
  <c r="I12" i="18"/>
  <c r="H12" i="18"/>
  <c r="G12" i="18"/>
  <c r="F12" i="18"/>
  <c r="Q11" i="18"/>
  <c r="P11" i="18"/>
  <c r="O11" i="18"/>
  <c r="N11" i="18"/>
  <c r="M11" i="18"/>
  <c r="L11" i="18"/>
  <c r="K11" i="18"/>
  <c r="J11" i="18"/>
  <c r="I11" i="18"/>
  <c r="H11" i="18"/>
  <c r="G11" i="18"/>
  <c r="F11" i="18"/>
  <c r="G24" i="25" l="1"/>
  <c r="I24" i="25"/>
  <c r="G25" i="25"/>
  <c r="I25" i="25"/>
  <c r="G26" i="25"/>
  <c r="I26" i="25"/>
  <c r="G27" i="25"/>
  <c r="I27" i="25"/>
  <c r="P19" i="44"/>
  <c r="H19" i="44"/>
  <c r="I28" i="33"/>
  <c r="I26" i="33"/>
  <c r="D45" i="26"/>
  <c r="F45" i="26" s="1"/>
  <c r="R45" i="26" s="1"/>
  <c r="D46" i="26"/>
  <c r="M102" i="61"/>
  <c r="L102" i="61"/>
  <c r="F18" i="55"/>
  <c r="M93" i="61"/>
  <c r="L93" i="61"/>
  <c r="L83" i="61"/>
  <c r="M83" i="61"/>
  <c r="M77" i="61"/>
  <c r="L77" i="61"/>
  <c r="M49" i="61"/>
  <c r="L49" i="61"/>
  <c r="M46" i="61"/>
  <c r="L46" i="61"/>
  <c r="L39" i="61"/>
  <c r="M39" i="61"/>
  <c r="L29" i="61"/>
  <c r="M29" i="61"/>
  <c r="L27" i="61"/>
  <c r="M27" i="61"/>
  <c r="M21" i="61"/>
  <c r="L21" i="61"/>
  <c r="M17" i="23"/>
  <c r="M34" i="23" s="1"/>
  <c r="L31" i="31"/>
  <c r="H33" i="20"/>
  <c r="N33" i="20"/>
  <c r="P33" i="20"/>
  <c r="L31" i="27"/>
  <c r="G31" i="33"/>
  <c r="J31" i="33"/>
  <c r="Q2" i="20"/>
  <c r="P42" i="58"/>
  <c r="Q4" i="20" s="1"/>
  <c r="G32" i="28"/>
  <c r="G30" i="28"/>
  <c r="G28" i="28"/>
  <c r="G26" i="28"/>
  <c r="M3" i="33"/>
  <c r="L82" i="58"/>
  <c r="M4" i="33" s="1"/>
  <c r="L32" i="20"/>
  <c r="L31" i="20"/>
  <c r="L30" i="20"/>
  <c r="O5" i="41"/>
  <c r="O5" i="44"/>
  <c r="O21" i="44" s="1"/>
  <c r="O5" i="42"/>
  <c r="L29" i="25"/>
  <c r="L28" i="25"/>
  <c r="L26" i="25"/>
  <c r="L24" i="25"/>
  <c r="O29" i="25"/>
  <c r="O26" i="25"/>
  <c r="O24" i="25"/>
  <c r="H3" i="33"/>
  <c r="G82" i="58"/>
  <c r="H4" i="33" s="1"/>
  <c r="H35" i="33" s="1"/>
  <c r="F3" i="33"/>
  <c r="E82" i="58"/>
  <c r="F4" i="33" s="1"/>
  <c r="Q81" i="58"/>
  <c r="R81" i="58" s="1"/>
  <c r="L3" i="33"/>
  <c r="K82" i="58"/>
  <c r="L4" i="33" s="1"/>
  <c r="L5" i="41"/>
  <c r="L5" i="44"/>
  <c r="L20" i="44" s="1"/>
  <c r="Q95" i="58"/>
  <c r="R95" i="58" s="1"/>
  <c r="M5" i="44"/>
  <c r="M18" i="44" s="1"/>
  <c r="M5" i="41"/>
  <c r="Q5" i="44"/>
  <c r="Q5" i="41"/>
  <c r="Q5" i="42"/>
  <c r="M30" i="25"/>
  <c r="M27" i="25"/>
  <c r="M25" i="25"/>
  <c r="Q56" i="58"/>
  <c r="R56" i="58" s="1"/>
  <c r="J29" i="25"/>
  <c r="J28" i="25"/>
  <c r="J26" i="25"/>
  <c r="J24" i="25"/>
  <c r="H3" i="28"/>
  <c r="G64" i="58"/>
  <c r="H4" i="28" s="1"/>
  <c r="K3" i="28"/>
  <c r="J64" i="58"/>
  <c r="K4" i="28" s="1"/>
  <c r="F3" i="20"/>
  <c r="Q41" i="58"/>
  <c r="R41" i="58" s="1"/>
  <c r="J32" i="20"/>
  <c r="J31" i="20"/>
  <c r="J30" i="20"/>
  <c r="G33" i="20"/>
  <c r="I33" i="20"/>
  <c r="M33" i="20"/>
  <c r="O33" i="20"/>
  <c r="Q33" i="20"/>
  <c r="N29" i="25"/>
  <c r="N28" i="25"/>
  <c r="J29" i="61"/>
  <c r="K30" i="27"/>
  <c r="K28" i="27"/>
  <c r="K26" i="27"/>
  <c r="K24" i="27"/>
  <c r="P29" i="27"/>
  <c r="P27" i="27"/>
  <c r="P25" i="27"/>
  <c r="P22" i="27"/>
  <c r="P21" i="27"/>
  <c r="P20" i="27"/>
  <c r="P19" i="27"/>
  <c r="P18" i="27"/>
  <c r="P17" i="27"/>
  <c r="P16" i="27"/>
  <c r="P14" i="27"/>
  <c r="P13" i="27"/>
  <c r="P12" i="27"/>
  <c r="P11" i="27"/>
  <c r="P10" i="27"/>
  <c r="P9" i="27"/>
  <c r="P8" i="27"/>
  <c r="H29" i="27"/>
  <c r="H27" i="27"/>
  <c r="H25" i="27"/>
  <c r="H22" i="27"/>
  <c r="H21" i="27"/>
  <c r="H20" i="27"/>
  <c r="H19" i="27"/>
  <c r="H18" i="27"/>
  <c r="H17" i="27"/>
  <c r="H16" i="27"/>
  <c r="H14" i="27"/>
  <c r="H13" i="27"/>
  <c r="H12" i="27"/>
  <c r="H11" i="27"/>
  <c r="H10" i="27"/>
  <c r="H9" i="27"/>
  <c r="H8" i="27"/>
  <c r="I30" i="27"/>
  <c r="I28" i="27"/>
  <c r="I26" i="27"/>
  <c r="I24" i="27"/>
  <c r="N29" i="27"/>
  <c r="N27" i="27"/>
  <c r="N25" i="27"/>
  <c r="N22" i="27"/>
  <c r="N21" i="27"/>
  <c r="N20" i="27"/>
  <c r="N19" i="27"/>
  <c r="N18" i="27"/>
  <c r="N17" i="27"/>
  <c r="N16" i="27"/>
  <c r="N14" i="27"/>
  <c r="N13" i="27"/>
  <c r="N12" i="27"/>
  <c r="N11" i="27"/>
  <c r="N10" i="27"/>
  <c r="N9" i="27"/>
  <c r="N8" i="27"/>
  <c r="Q30" i="27"/>
  <c r="Q28" i="27"/>
  <c r="Q26" i="27"/>
  <c r="Q24" i="27"/>
  <c r="I25" i="58"/>
  <c r="J2" i="11" s="1"/>
  <c r="M25" i="58"/>
  <c r="N2" i="11" s="1"/>
  <c r="E25" i="58"/>
  <c r="H25" i="58"/>
  <c r="I2" i="11" s="1"/>
  <c r="L25" i="58"/>
  <c r="M2" i="11" s="1"/>
  <c r="Q2" i="11"/>
  <c r="Q37" i="27"/>
  <c r="G31" i="27"/>
  <c r="M31" i="27"/>
  <c r="O31" i="27"/>
  <c r="P23" i="33"/>
  <c r="J33" i="53"/>
  <c r="I42" i="58"/>
  <c r="J4" i="20" s="1"/>
  <c r="L42" i="58"/>
  <c r="M4" i="20" s="1"/>
  <c r="H20" i="44"/>
  <c r="P20" i="44"/>
  <c r="K3" i="33"/>
  <c r="J82" i="58"/>
  <c r="K4" i="33" s="1"/>
  <c r="N3" i="33"/>
  <c r="M82" i="58"/>
  <c r="N4" i="33" s="1"/>
  <c r="N35" i="33" s="1"/>
  <c r="P3" i="28"/>
  <c r="O64" i="58"/>
  <c r="P4" i="28" s="1"/>
  <c r="D47" i="22"/>
  <c r="D48" i="22"/>
  <c r="O3" i="33"/>
  <c r="N82" i="58"/>
  <c r="K3" i="22"/>
  <c r="J67" i="58"/>
  <c r="K4" i="22" s="1"/>
  <c r="P3" i="22"/>
  <c r="O67" i="58"/>
  <c r="P4" i="22" s="1"/>
  <c r="G67" i="58"/>
  <c r="H4" i="22" s="1"/>
  <c r="H3" i="22"/>
  <c r="I3" i="22"/>
  <c r="H67" i="58"/>
  <c r="I4" i="22" s="1"/>
  <c r="N3" i="22"/>
  <c r="M67" i="58"/>
  <c r="N4" i="22" s="1"/>
  <c r="M3" i="28"/>
  <c r="L64" i="58"/>
  <c r="M4" i="28" s="1"/>
  <c r="J3" i="28"/>
  <c r="I64" i="58"/>
  <c r="J4" i="28" s="1"/>
  <c r="N3" i="28"/>
  <c r="M64" i="58"/>
  <c r="N4" i="28" s="1"/>
  <c r="F2" i="27"/>
  <c r="F36" i="27" s="1"/>
  <c r="Q61" i="58"/>
  <c r="R61" i="58" s="1"/>
  <c r="G36" i="29"/>
  <c r="F36" i="29"/>
  <c r="J36" i="29"/>
  <c r="L36" i="29"/>
  <c r="Q36" i="29"/>
  <c r="M36" i="29"/>
  <c r="I36" i="29"/>
  <c r="N36" i="29"/>
  <c r="P36" i="29"/>
  <c r="H36" i="29"/>
  <c r="O36" i="29"/>
  <c r="K36" i="29"/>
  <c r="P87" i="58"/>
  <c r="Q2" i="47" s="1"/>
  <c r="H33" i="30"/>
  <c r="Q3" i="33"/>
  <c r="O3" i="22"/>
  <c r="N67" i="58"/>
  <c r="O4" i="22" s="1"/>
  <c r="G3" i="22"/>
  <c r="F67" i="58"/>
  <c r="G4" i="22" s="1"/>
  <c r="L3" i="22"/>
  <c r="K67" i="58"/>
  <c r="L4" i="22" s="1"/>
  <c r="M3" i="22"/>
  <c r="L67" i="58"/>
  <c r="M4" i="22" s="1"/>
  <c r="F3" i="22"/>
  <c r="Q66" i="58"/>
  <c r="R66" i="58" s="1"/>
  <c r="E67" i="58"/>
  <c r="J3" i="22"/>
  <c r="I67" i="58"/>
  <c r="J4" i="22" s="1"/>
  <c r="Q3" i="22"/>
  <c r="F3" i="28"/>
  <c r="Q63" i="58"/>
  <c r="R63" i="58" s="1"/>
  <c r="E64" i="58"/>
  <c r="I3" i="28"/>
  <c r="H64" i="58"/>
  <c r="I4" i="28" s="1"/>
  <c r="Q3" i="28"/>
  <c r="P64" i="58"/>
  <c r="Q4" i="28" s="1"/>
  <c r="R44" i="15"/>
  <c r="S44" i="15" s="1"/>
  <c r="L33" i="30"/>
  <c r="C33" i="30"/>
  <c r="R88" i="58"/>
  <c r="I18" i="55"/>
  <c r="O18" i="55"/>
  <c r="P20" i="55"/>
  <c r="O20" i="55"/>
  <c r="M20" i="55"/>
  <c r="J20" i="55"/>
  <c r="G20" i="55"/>
  <c r="Q20" i="55"/>
  <c r="N20" i="55"/>
  <c r="K20" i="55"/>
  <c r="I20" i="55"/>
  <c r="F20" i="55"/>
  <c r="H20" i="55"/>
  <c r="L20" i="55"/>
  <c r="H18" i="55"/>
  <c r="P18" i="55"/>
  <c r="L18" i="55"/>
  <c r="M18" i="55"/>
  <c r="G18" i="55"/>
  <c r="K18" i="55"/>
  <c r="N18" i="55"/>
  <c r="D37" i="31"/>
  <c r="D36" i="31"/>
  <c r="L36" i="31" s="1"/>
  <c r="D35" i="31"/>
  <c r="N35" i="31" s="1"/>
  <c r="D38" i="31"/>
  <c r="C656" i="62"/>
  <c r="N13" i="53"/>
  <c r="H31" i="31"/>
  <c r="P31" i="31"/>
  <c r="H73" i="58"/>
  <c r="I4" i="30" s="1"/>
  <c r="M73" i="58"/>
  <c r="N4" i="30" s="1"/>
  <c r="G19" i="44"/>
  <c r="I22" i="55"/>
  <c r="I19" i="16"/>
  <c r="Q21" i="44"/>
  <c r="G9" i="16"/>
  <c r="K13" i="16"/>
  <c r="Q14" i="16"/>
  <c r="G20" i="16"/>
  <c r="I73" i="58"/>
  <c r="J4" i="30" s="1"/>
  <c r="G11" i="16"/>
  <c r="K16" i="16"/>
  <c r="Q21" i="16"/>
  <c r="Q8" i="16"/>
  <c r="K9" i="16"/>
  <c r="Q10" i="16"/>
  <c r="K11" i="16"/>
  <c r="G13" i="16"/>
  <c r="I14" i="16"/>
  <c r="G16" i="16"/>
  <c r="Q17" i="16"/>
  <c r="K18" i="16"/>
  <c r="Q19" i="16"/>
  <c r="K20" i="16"/>
  <c r="G22" i="16"/>
  <c r="I35" i="31"/>
  <c r="G18" i="44"/>
  <c r="C648" i="62"/>
  <c r="C630" i="62"/>
  <c r="E55" i="53"/>
  <c r="M10" i="16"/>
  <c r="O11" i="16"/>
  <c r="M14" i="16"/>
  <c r="O16" i="16"/>
  <c r="M19" i="16"/>
  <c r="O20" i="16"/>
  <c r="O26" i="29"/>
  <c r="L28" i="29"/>
  <c r="I8" i="16"/>
  <c r="I12" i="16"/>
  <c r="I17" i="16"/>
  <c r="I21" i="16"/>
  <c r="C23" i="32"/>
  <c r="G23" i="33"/>
  <c r="M8" i="16"/>
  <c r="O9" i="16"/>
  <c r="M12" i="16"/>
  <c r="O13" i="16"/>
  <c r="M17" i="16"/>
  <c r="O18" i="16"/>
  <c r="M21" i="16"/>
  <c r="O22" i="16"/>
  <c r="N24" i="25"/>
  <c r="L24" i="29"/>
  <c r="O29" i="29"/>
  <c r="L55" i="53"/>
  <c r="O33" i="30"/>
  <c r="M23" i="33"/>
  <c r="C640" i="62"/>
  <c r="M16" i="44"/>
  <c r="D22" i="44"/>
  <c r="L2" i="20"/>
  <c r="L19" i="20" s="1"/>
  <c r="G17" i="44"/>
  <c r="N39" i="19"/>
  <c r="Q30" i="25"/>
  <c r="F27" i="26"/>
  <c r="F87" i="58"/>
  <c r="H87" i="58"/>
  <c r="J87" i="58"/>
  <c r="L87" i="58"/>
  <c r="N87" i="58"/>
  <c r="Q2" i="52"/>
  <c r="G87" i="58"/>
  <c r="I87" i="58"/>
  <c r="K87" i="58"/>
  <c r="M87" i="58"/>
  <c r="O87" i="58"/>
  <c r="E87" i="58"/>
  <c r="I55" i="53"/>
  <c r="G33" i="53"/>
  <c r="Q39" i="19"/>
  <c r="L35" i="33"/>
  <c r="K39" i="19"/>
  <c r="H8" i="56"/>
  <c r="I35" i="33"/>
  <c r="I8" i="56"/>
  <c r="J55" i="53"/>
  <c r="K35" i="33"/>
  <c r="P21" i="44"/>
  <c r="L21" i="44"/>
  <c r="M21" i="44"/>
  <c r="J21" i="44"/>
  <c r="H21" i="44"/>
  <c r="P35" i="33"/>
  <c r="M35" i="33"/>
  <c r="G21" i="44"/>
  <c r="J35" i="33"/>
  <c r="G35" i="33"/>
  <c r="K23" i="33"/>
  <c r="G15" i="53"/>
  <c r="O31" i="31"/>
  <c r="K33" i="20"/>
  <c r="N31" i="31"/>
  <c r="J33" i="30"/>
  <c r="N33" i="30"/>
  <c r="M33" i="30"/>
  <c r="I33" i="30"/>
  <c r="K31" i="31"/>
  <c r="M8" i="56"/>
  <c r="G55" i="53"/>
  <c r="L73" i="58"/>
  <c r="M4" i="30" s="1"/>
  <c r="E73" i="58"/>
  <c r="F4" i="30" s="1"/>
  <c r="P17" i="44"/>
  <c r="H17" i="44"/>
  <c r="Q23" i="33"/>
  <c r="P8" i="56"/>
  <c r="J8" i="56"/>
  <c r="M17" i="44"/>
  <c r="C708" i="62"/>
  <c r="C11" i="20"/>
  <c r="C348" i="62" s="1"/>
  <c r="K8" i="56"/>
  <c r="C15" i="31"/>
  <c r="C23" i="31"/>
  <c r="L23" i="33"/>
  <c r="K17" i="44"/>
  <c r="Q34" i="58"/>
  <c r="O31" i="19"/>
  <c r="R31" i="19" s="1"/>
  <c r="K13" i="53"/>
  <c r="Q16" i="44"/>
  <c r="F17" i="44"/>
  <c r="I2" i="20"/>
  <c r="I23" i="20" s="1"/>
  <c r="G16" i="44"/>
  <c r="H16" i="44"/>
  <c r="I17" i="44"/>
  <c r="M31" i="31"/>
  <c r="I31" i="31"/>
  <c r="E33" i="53"/>
  <c r="G27" i="29"/>
  <c r="Q28" i="25"/>
  <c r="D37" i="32"/>
  <c r="O2" i="20"/>
  <c r="O10" i="20" s="1"/>
  <c r="J22" i="55"/>
  <c r="G33" i="30"/>
  <c r="G31" i="32"/>
  <c r="C31" i="31"/>
  <c r="P33" i="53"/>
  <c r="I36" i="32"/>
  <c r="L13" i="53"/>
  <c r="G26" i="29"/>
  <c r="N28" i="53"/>
  <c r="J13" i="53"/>
  <c r="AG3" i="56"/>
  <c r="AW3" i="56" s="1"/>
  <c r="BM3" i="56" s="1"/>
  <c r="CC3" i="56" s="1"/>
  <c r="N36" i="32"/>
  <c r="O36" i="32"/>
  <c r="M36" i="32"/>
  <c r="H36" i="32"/>
  <c r="C31" i="32"/>
  <c r="G25" i="29"/>
  <c r="G28" i="29"/>
  <c r="I30" i="29"/>
  <c r="D35" i="32"/>
  <c r="N35" i="32" s="1"/>
  <c r="N37" i="32" s="1"/>
  <c r="Q36" i="32"/>
  <c r="G36" i="32"/>
  <c r="L36" i="32"/>
  <c r="J36" i="32"/>
  <c r="K36" i="32"/>
  <c r="P36" i="32"/>
  <c r="O31" i="32"/>
  <c r="G13" i="53"/>
  <c r="O13" i="53"/>
  <c r="Q24" i="25"/>
  <c r="Q26" i="25"/>
  <c r="L25" i="29"/>
  <c r="O27" i="29"/>
  <c r="O30" i="29"/>
  <c r="G28" i="53"/>
  <c r="H33" i="53"/>
  <c r="J18" i="44"/>
  <c r="J39" i="19"/>
  <c r="M39" i="19"/>
  <c r="G39" i="19"/>
  <c r="K19" i="44"/>
  <c r="L22" i="55"/>
  <c r="K20" i="44"/>
  <c r="K21" i="44"/>
  <c r="C13" i="20"/>
  <c r="C350" i="62" s="1"/>
  <c r="C4" i="20"/>
  <c r="D50" i="20" s="1"/>
  <c r="Q25" i="25"/>
  <c r="Q27" i="25"/>
  <c r="O25" i="29"/>
  <c r="L27" i="29"/>
  <c r="L30" i="29"/>
  <c r="N15" i="53"/>
  <c r="N55" i="53"/>
  <c r="N33" i="53"/>
  <c r="C675" i="62"/>
  <c r="C682" i="62" s="1"/>
  <c r="J16" i="44"/>
  <c r="F39" i="19"/>
  <c r="L39" i="19"/>
  <c r="O39" i="19"/>
  <c r="J17" i="44"/>
  <c r="K18" i="44"/>
  <c r="C344" i="62"/>
  <c r="O24" i="29"/>
  <c r="L26" i="29"/>
  <c r="O28" i="53"/>
  <c r="I39" i="19"/>
  <c r="P39" i="19"/>
  <c r="J46" i="61"/>
  <c r="J19" i="44"/>
  <c r="K16" i="44"/>
  <c r="G14" i="53"/>
  <c r="Q31" i="32"/>
  <c r="P31" i="32"/>
  <c r="I29" i="29"/>
  <c r="O14" i="53"/>
  <c r="F55" i="53"/>
  <c r="J2" i="20"/>
  <c r="J15" i="20" s="1"/>
  <c r="Q40" i="58"/>
  <c r="R40" i="58" s="1"/>
  <c r="O15" i="53"/>
  <c r="H31" i="32"/>
  <c r="J31" i="32"/>
  <c r="R3" i="43"/>
  <c r="S3" i="43" s="1"/>
  <c r="R3" i="59"/>
  <c r="S3" i="59" s="1"/>
  <c r="K33" i="53"/>
  <c r="C28" i="21"/>
  <c r="C390" i="62" s="1"/>
  <c r="I24" i="29"/>
  <c r="I25" i="29"/>
  <c r="I26" i="29"/>
  <c r="I27" i="29"/>
  <c r="C31" i="33"/>
  <c r="C32" i="33" s="1"/>
  <c r="C38" i="33" s="1"/>
  <c r="O55" i="53"/>
  <c r="O33" i="53"/>
  <c r="L19" i="44"/>
  <c r="M33" i="53"/>
  <c r="C4" i="21"/>
  <c r="D39" i="21" s="1"/>
  <c r="C32" i="21"/>
  <c r="C394" i="62" s="1"/>
  <c r="L17" i="44"/>
  <c r="L18" i="44"/>
  <c r="L16" i="44"/>
  <c r="N27" i="25"/>
  <c r="N24" i="29"/>
  <c r="K14" i="53"/>
  <c r="L15" i="53"/>
  <c r="M15" i="53"/>
  <c r="M28" i="53"/>
  <c r="I13" i="53"/>
  <c r="M55" i="53"/>
  <c r="F16" i="44"/>
  <c r="P22" i="55"/>
  <c r="H22" i="55"/>
  <c r="N26" i="25"/>
  <c r="N30" i="25"/>
  <c r="N28" i="29"/>
  <c r="K15" i="53"/>
  <c r="J15" i="53"/>
  <c r="AE3" i="56"/>
  <c r="AU3" i="56" s="1"/>
  <c r="BK3" i="56" s="1"/>
  <c r="CA3" i="56" s="1"/>
  <c r="O22" i="55"/>
  <c r="N22" i="55"/>
  <c r="F21" i="44"/>
  <c r="N25" i="25"/>
  <c r="I15" i="53"/>
  <c r="M13" i="53"/>
  <c r="P2" i="20"/>
  <c r="P18" i="20" s="1"/>
  <c r="F20" i="44"/>
  <c r="K22" i="55"/>
  <c r="F19" i="44"/>
  <c r="F22" i="55"/>
  <c r="K31" i="32"/>
  <c r="R3" i="52"/>
  <c r="S3" i="52" s="1"/>
  <c r="L31" i="32"/>
  <c r="R3" i="56"/>
  <c r="S3" i="56" s="1"/>
  <c r="C31" i="21"/>
  <c r="C393" i="62" s="1"/>
  <c r="G24" i="29"/>
  <c r="J14" i="53"/>
  <c r="E14" i="53"/>
  <c r="F14" i="53"/>
  <c r="F15" i="53"/>
  <c r="L28" i="53"/>
  <c r="F13" i="53"/>
  <c r="K55" i="53"/>
  <c r="L33" i="53"/>
  <c r="F33" i="53"/>
  <c r="V3" i="55"/>
  <c r="AL3" i="55" s="1"/>
  <c r="R3" i="46"/>
  <c r="S3" i="46" s="1"/>
  <c r="C29" i="21"/>
  <c r="C391" i="62" s="1"/>
  <c r="C33" i="21"/>
  <c r="C395" i="62" s="1"/>
  <c r="G29" i="29"/>
  <c r="W3" i="56"/>
  <c r="AM3" i="56" s="1"/>
  <c r="BC3" i="56" s="1"/>
  <c r="BS3" i="56" s="1"/>
  <c r="N14" i="53"/>
  <c r="H14" i="53"/>
  <c r="E15" i="53"/>
  <c r="E28" i="53"/>
  <c r="E13" i="53"/>
  <c r="Q24" i="20"/>
  <c r="Q51" i="58"/>
  <c r="R51" i="58" s="1"/>
  <c r="G22" i="55"/>
  <c r="R5" i="42"/>
  <c r="S5" i="42" s="1"/>
  <c r="R3" i="40"/>
  <c r="S3" i="40" s="1"/>
  <c r="H9" i="55"/>
  <c r="P9" i="55"/>
  <c r="K9" i="55"/>
  <c r="L9" i="55"/>
  <c r="G9" i="55"/>
  <c r="I9" i="55"/>
  <c r="J9" i="55"/>
  <c r="F9" i="55"/>
  <c r="M9" i="55"/>
  <c r="O9" i="55"/>
  <c r="N9" i="55"/>
  <c r="Q9" i="55"/>
  <c r="C30" i="21"/>
  <c r="C392" i="62" s="1"/>
  <c r="L14" i="53"/>
  <c r="M14" i="53"/>
  <c r="J42" i="58"/>
  <c r="K4" i="20" s="1"/>
  <c r="R5" i="41"/>
  <c r="S5" i="41" s="1"/>
  <c r="P17" i="22"/>
  <c r="D107" i="26"/>
  <c r="M107" i="26" s="1"/>
  <c r="M108" i="26" s="1"/>
  <c r="D43" i="26"/>
  <c r="D44" i="26"/>
  <c r="Q2" i="59"/>
  <c r="Q2" i="39"/>
  <c r="Q2" i="45"/>
  <c r="Q2" i="38"/>
  <c r="Q2" i="50"/>
  <c r="C24" i="30"/>
  <c r="C621" i="62" s="1"/>
  <c r="C22" i="30"/>
  <c r="C619" i="62" s="1"/>
  <c r="C20" i="30"/>
  <c r="C617" i="62" s="1"/>
  <c r="C23" i="30"/>
  <c r="C620" i="62" s="1"/>
  <c r="C21" i="30"/>
  <c r="C618" i="62" s="1"/>
  <c r="C18" i="30"/>
  <c r="C615" i="62" s="1"/>
  <c r="C19" i="30"/>
  <c r="C21" i="20"/>
  <c r="C358" i="62" s="1"/>
  <c r="C24" i="20"/>
  <c r="C361" i="62" s="1"/>
  <c r="C23" i="20"/>
  <c r="C360" i="62" s="1"/>
  <c r="C22" i="20"/>
  <c r="C359" i="62" s="1"/>
  <c r="C18" i="20"/>
  <c r="C355" i="62" s="1"/>
  <c r="H31" i="16"/>
  <c r="J31" i="16"/>
  <c r="N31" i="16"/>
  <c r="P31" i="16"/>
  <c r="H31" i="25"/>
  <c r="P31" i="25"/>
  <c r="R3" i="38"/>
  <c r="S3" i="38" s="1"/>
  <c r="Q71" i="58"/>
  <c r="R71" i="58" s="1"/>
  <c r="R38" i="19"/>
  <c r="S38" i="19" s="1"/>
  <c r="R3" i="50"/>
  <c r="S3" i="50" s="1"/>
  <c r="P33" i="30"/>
  <c r="G31" i="16"/>
  <c r="I31" i="16"/>
  <c r="K31" i="16"/>
  <c r="M31" i="16"/>
  <c r="O31" i="16"/>
  <c r="Q31" i="16"/>
  <c r="I31" i="25"/>
  <c r="K31" i="25"/>
  <c r="M31" i="25"/>
  <c r="F8" i="16"/>
  <c r="F9" i="16"/>
  <c r="F10" i="16"/>
  <c r="F11" i="16"/>
  <c r="F12" i="16"/>
  <c r="F13" i="16"/>
  <c r="F14" i="16"/>
  <c r="F16" i="16"/>
  <c r="F17" i="16"/>
  <c r="F18" i="16"/>
  <c r="F19" i="16"/>
  <c r="F20" i="16"/>
  <c r="F21" i="16"/>
  <c r="F24" i="16"/>
  <c r="F25" i="16"/>
  <c r="F26" i="16"/>
  <c r="F27" i="16"/>
  <c r="F28" i="16"/>
  <c r="F29" i="16"/>
  <c r="F24" i="25"/>
  <c r="F25" i="25"/>
  <c r="F26" i="25"/>
  <c r="F27" i="25"/>
  <c r="F28" i="25"/>
  <c r="F29" i="25"/>
  <c r="F29" i="26"/>
  <c r="R29" i="26" s="1"/>
  <c r="S29" i="26" s="1"/>
  <c r="N26" i="29"/>
  <c r="R3" i="54"/>
  <c r="S3" i="54" s="1"/>
  <c r="P15" i="53"/>
  <c r="P28" i="53"/>
  <c r="P13" i="53"/>
  <c r="L2" i="30"/>
  <c r="J73" i="58"/>
  <c r="K4" i="30" s="1"/>
  <c r="M2" i="20"/>
  <c r="M22" i="20" s="1"/>
  <c r="M42" i="58"/>
  <c r="N4" i="20" s="1"/>
  <c r="L8" i="56"/>
  <c r="I21" i="44"/>
  <c r="I16" i="44"/>
  <c r="I19" i="44"/>
  <c r="I20" i="44"/>
  <c r="G8" i="16"/>
  <c r="K8" i="16"/>
  <c r="O8" i="16"/>
  <c r="I9" i="16"/>
  <c r="M9" i="16"/>
  <c r="Q9" i="16"/>
  <c r="G10" i="16"/>
  <c r="K10" i="16"/>
  <c r="O10" i="16"/>
  <c r="I11" i="16"/>
  <c r="M11" i="16"/>
  <c r="Q11" i="16"/>
  <c r="G12" i="16"/>
  <c r="K12" i="16"/>
  <c r="O12" i="16"/>
  <c r="I13" i="16"/>
  <c r="M13" i="16"/>
  <c r="Q13" i="16"/>
  <c r="G14" i="16"/>
  <c r="K14" i="16"/>
  <c r="O14" i="16"/>
  <c r="I16" i="16"/>
  <c r="M16" i="16"/>
  <c r="Q16" i="16"/>
  <c r="G17" i="16"/>
  <c r="K17" i="16"/>
  <c r="O17" i="16"/>
  <c r="I18" i="16"/>
  <c r="M18" i="16"/>
  <c r="Q18" i="16"/>
  <c r="G19" i="16"/>
  <c r="K19" i="16"/>
  <c r="O19" i="16"/>
  <c r="I20" i="16"/>
  <c r="M20" i="16"/>
  <c r="Q20" i="16"/>
  <c r="C10" i="20"/>
  <c r="C347" i="62" s="1"/>
  <c r="C12" i="20"/>
  <c r="C349" i="62" s="1"/>
  <c r="C14" i="20"/>
  <c r="C351" i="62" s="1"/>
  <c r="C16" i="20"/>
  <c r="C353" i="62" s="1"/>
  <c r="L12" i="20"/>
  <c r="E42" i="58"/>
  <c r="F4" i="20" s="1"/>
  <c r="G31" i="25"/>
  <c r="Q15" i="33"/>
  <c r="Q31" i="31"/>
  <c r="R3" i="48"/>
  <c r="S3" i="48" s="1"/>
  <c r="R3" i="49"/>
  <c r="S3" i="49" s="1"/>
  <c r="H25" i="23"/>
  <c r="H34" i="23" s="1"/>
  <c r="N33" i="23"/>
  <c r="N34" i="23" s="1"/>
  <c r="R9" i="33"/>
  <c r="S9" i="33" s="1"/>
  <c r="F32" i="26"/>
  <c r="R32" i="26" s="1"/>
  <c r="S32" i="26" s="1"/>
  <c r="F30" i="26"/>
  <c r="R30" i="26" s="1"/>
  <c r="S30" i="26" s="1"/>
  <c r="R3" i="26"/>
  <c r="S3" i="26" s="1"/>
  <c r="P2" i="30"/>
  <c r="P23" i="30" s="1"/>
  <c r="O73" i="58"/>
  <c r="P4" i="30" s="1"/>
  <c r="F73" i="58"/>
  <c r="G4" i="30" s="1"/>
  <c r="G2" i="30"/>
  <c r="G24" i="30" s="1"/>
  <c r="G42" i="58"/>
  <c r="H4" i="20" s="1"/>
  <c r="H2" i="20"/>
  <c r="H10" i="20" s="1"/>
  <c r="F42" i="58"/>
  <c r="G4" i="20" s="1"/>
  <c r="G2" i="20"/>
  <c r="G11" i="20" s="1"/>
  <c r="N29" i="29"/>
  <c r="N27" i="29"/>
  <c r="N25" i="29"/>
  <c r="R3" i="29"/>
  <c r="S3" i="29" s="1"/>
  <c r="R4" i="10"/>
  <c r="T4" i="10" s="1"/>
  <c r="I33" i="53"/>
  <c r="I28" i="53"/>
  <c r="I14" i="53"/>
  <c r="AD3" i="56"/>
  <c r="AT3" i="56" s="1"/>
  <c r="BJ3" i="56" s="1"/>
  <c r="BZ3" i="56" s="1"/>
  <c r="CP3" i="56" s="1"/>
  <c r="DF3" i="56" s="1"/>
  <c r="DU3" i="56" s="1"/>
  <c r="N8" i="56"/>
  <c r="H55" i="53"/>
  <c r="H13" i="53"/>
  <c r="H15" i="53"/>
  <c r="R3" i="3"/>
  <c r="S3" i="3" s="1"/>
  <c r="R3" i="45"/>
  <c r="S3" i="45" s="1"/>
  <c r="AG3" i="55"/>
  <c r="AW3" i="55" s="1"/>
  <c r="BM3" i="55" s="1"/>
  <c r="CC3" i="55" s="1"/>
  <c r="CS3" i="55" s="1"/>
  <c r="DI3" i="55" s="1"/>
  <c r="DX3" i="55" s="1"/>
  <c r="Q22" i="55"/>
  <c r="R3" i="55"/>
  <c r="S3" i="55" s="1"/>
  <c r="P55" i="53"/>
  <c r="P14" i="53"/>
  <c r="C661" i="62"/>
  <c r="C666" i="62" s="1"/>
  <c r="C15" i="32"/>
  <c r="Q54" i="58"/>
  <c r="R54" i="58" s="1"/>
  <c r="Q70" i="58"/>
  <c r="R70" i="58" s="1"/>
  <c r="N31" i="32"/>
  <c r="C799" i="62"/>
  <c r="C801" i="62" s="1"/>
  <c r="Q3" i="53"/>
  <c r="R3" i="53" s="1"/>
  <c r="R3" i="47"/>
  <c r="S3" i="47" s="1"/>
  <c r="C674" i="62"/>
  <c r="R3" i="39"/>
  <c r="S3" i="39" s="1"/>
  <c r="O25" i="23"/>
  <c r="O34" i="23" s="1"/>
  <c r="F35" i="33"/>
  <c r="O2" i="30"/>
  <c r="O24" i="30" s="1"/>
  <c r="G73" i="58"/>
  <c r="H4" i="30" s="1"/>
  <c r="Q23" i="58"/>
  <c r="R23" i="58" s="1"/>
  <c r="M22" i="55"/>
  <c r="Q33" i="30"/>
  <c r="J31" i="31"/>
  <c r="I31" i="32"/>
  <c r="M31" i="32"/>
  <c r="K25" i="23"/>
  <c r="K34" i="23" s="1"/>
  <c r="N18" i="44"/>
  <c r="N19" i="44"/>
  <c r="N16" i="44"/>
  <c r="N17" i="44"/>
  <c r="N20" i="44"/>
  <c r="N21" i="44"/>
  <c r="N23" i="33"/>
  <c r="I23" i="33"/>
  <c r="F23" i="33"/>
  <c r="L102" i="26"/>
  <c r="O102" i="26"/>
  <c r="J102" i="26"/>
  <c r="C102" i="26"/>
  <c r="C103" i="26" s="1"/>
  <c r="Q102" i="26"/>
  <c r="H102" i="26"/>
  <c r="M102" i="26"/>
  <c r="K102" i="26"/>
  <c r="I102" i="26"/>
  <c r="N102" i="26"/>
  <c r="G102" i="26"/>
  <c r="P102" i="26"/>
  <c r="M94" i="26"/>
  <c r="G94" i="26"/>
  <c r="Q94" i="26"/>
  <c r="I94" i="26"/>
  <c r="F99" i="26"/>
  <c r="R99" i="26" s="1"/>
  <c r="S99" i="26" s="1"/>
  <c r="F96" i="26"/>
  <c r="R96" i="26" s="1"/>
  <c r="S96" i="26" s="1"/>
  <c r="F100" i="26"/>
  <c r="R100" i="26" s="1"/>
  <c r="F98" i="26"/>
  <c r="F97" i="26"/>
  <c r="R97" i="26" s="1"/>
  <c r="S97" i="26" s="1"/>
  <c r="F95" i="26"/>
  <c r="F101" i="26"/>
  <c r="R101" i="26" s="1"/>
  <c r="S101" i="26" s="1"/>
  <c r="R98" i="26"/>
  <c r="J49" i="61"/>
  <c r="J21" i="61"/>
  <c r="L2" i="51"/>
  <c r="K98" i="58"/>
  <c r="L4" i="51" s="1"/>
  <c r="L17" i="51" s="1"/>
  <c r="K2" i="51"/>
  <c r="J98" i="58"/>
  <c r="K4" i="51" s="1"/>
  <c r="K17" i="51" s="1"/>
  <c r="Q96" i="58"/>
  <c r="R96" i="58" s="1"/>
  <c r="E98" i="58"/>
  <c r="F2" i="51"/>
  <c r="O98" i="58"/>
  <c r="P4" i="51" s="1"/>
  <c r="P17" i="51" s="1"/>
  <c r="P2" i="51"/>
  <c r="N98" i="58"/>
  <c r="O4" i="51" s="1"/>
  <c r="O17" i="51" s="1"/>
  <c r="O2" i="51"/>
  <c r="I98" i="58"/>
  <c r="J4" i="51" s="1"/>
  <c r="J17" i="51" s="1"/>
  <c r="J2" i="51"/>
  <c r="F5" i="10"/>
  <c r="Q24" i="58"/>
  <c r="R24" i="58" s="1"/>
  <c r="K3" i="21"/>
  <c r="J45" i="58"/>
  <c r="K4" i="21" s="1"/>
  <c r="O3" i="21"/>
  <c r="N45" i="58"/>
  <c r="O4" i="21" s="1"/>
  <c r="N3" i="21"/>
  <c r="M45" i="58"/>
  <c r="N4" i="21" s="1"/>
  <c r="I3" i="21"/>
  <c r="H45" i="58"/>
  <c r="I4" i="21" s="1"/>
  <c r="P45" i="58"/>
  <c r="Q4" i="21" s="1"/>
  <c r="H3" i="21"/>
  <c r="G45" i="58"/>
  <c r="H4" i="21" s="1"/>
  <c r="K9" i="9"/>
  <c r="K3" i="13"/>
  <c r="J17" i="58"/>
  <c r="P17" i="58"/>
  <c r="O9" i="9"/>
  <c r="O3" i="13"/>
  <c r="N17" i="58"/>
  <c r="J9" i="9"/>
  <c r="J3" i="13"/>
  <c r="I17" i="58"/>
  <c r="M3" i="13"/>
  <c r="M9" i="9"/>
  <c r="L17" i="58"/>
  <c r="H3" i="13"/>
  <c r="H9" i="9"/>
  <c r="G17" i="58"/>
  <c r="F29" i="32"/>
  <c r="R29" i="32" s="1"/>
  <c r="S29" i="32" s="1"/>
  <c r="F27" i="32"/>
  <c r="R27" i="32" s="1"/>
  <c r="S27" i="32" s="1"/>
  <c r="F25" i="32"/>
  <c r="R25" i="32" s="1"/>
  <c r="S25" i="32" s="1"/>
  <c r="R3" i="32"/>
  <c r="S3" i="32" s="1"/>
  <c r="F30" i="32"/>
  <c r="R30" i="32" s="1"/>
  <c r="S30" i="32" s="1"/>
  <c r="F28" i="32"/>
  <c r="R28" i="32" s="1"/>
  <c r="S28" i="32" s="1"/>
  <c r="F26" i="32"/>
  <c r="R26" i="32" s="1"/>
  <c r="S26" i="32" s="1"/>
  <c r="F24" i="32"/>
  <c r="P3" i="17"/>
  <c r="O35" i="58"/>
  <c r="P4" i="17" s="1"/>
  <c r="O3" i="17"/>
  <c r="N35" i="58"/>
  <c r="O4" i="17" s="1"/>
  <c r="H3" i="17"/>
  <c r="G35" i="58"/>
  <c r="H4" i="17" s="1"/>
  <c r="G3" i="17"/>
  <c r="F35" i="58"/>
  <c r="G4" i="17" s="1"/>
  <c r="I3" i="17"/>
  <c r="H35" i="58"/>
  <c r="I4" i="17" s="1"/>
  <c r="J102" i="61"/>
  <c r="C15" i="30"/>
  <c r="C612" i="62" s="1"/>
  <c r="C10" i="30"/>
  <c r="C16" i="30"/>
  <c r="C613" i="62" s="1"/>
  <c r="C14" i="30"/>
  <c r="C611" i="62" s="1"/>
  <c r="C12" i="30"/>
  <c r="C609" i="62" s="1"/>
  <c r="C13" i="30"/>
  <c r="C610" i="62" s="1"/>
  <c r="C11" i="30"/>
  <c r="C608" i="62" s="1"/>
  <c r="C4" i="30"/>
  <c r="J77" i="61"/>
  <c r="P13" i="37"/>
  <c r="G13" i="37"/>
  <c r="K13" i="37"/>
  <c r="O13" i="37"/>
  <c r="H13" i="37"/>
  <c r="L13" i="37"/>
  <c r="M13" i="37"/>
  <c r="J13" i="37"/>
  <c r="I13" i="37"/>
  <c r="Q13" i="37"/>
  <c r="F13" i="37"/>
  <c r="N13" i="37"/>
  <c r="P17" i="37"/>
  <c r="G17" i="37"/>
  <c r="K17" i="37"/>
  <c r="O17" i="37"/>
  <c r="M17" i="37"/>
  <c r="H17" i="37"/>
  <c r="L17" i="37"/>
  <c r="I17" i="37"/>
  <c r="Q17" i="37"/>
  <c r="F17" i="37"/>
  <c r="J17" i="37"/>
  <c r="N17" i="37"/>
  <c r="P12" i="37"/>
  <c r="G12" i="37"/>
  <c r="K12" i="37"/>
  <c r="O12" i="37"/>
  <c r="F12" i="37"/>
  <c r="J12" i="37"/>
  <c r="N12" i="37"/>
  <c r="I12" i="37"/>
  <c r="Q12" i="37"/>
  <c r="L12" i="37"/>
  <c r="M12" i="37"/>
  <c r="H12" i="37"/>
  <c r="P16" i="37"/>
  <c r="G16" i="37"/>
  <c r="K16" i="37"/>
  <c r="O16" i="37"/>
  <c r="I16" i="37"/>
  <c r="Q16" i="37"/>
  <c r="F16" i="37"/>
  <c r="J16" i="37"/>
  <c r="N16" i="37"/>
  <c r="M16" i="37"/>
  <c r="H16" i="37"/>
  <c r="L16" i="37"/>
  <c r="F2" i="11"/>
  <c r="Q25" i="58"/>
  <c r="R25" i="58" s="1"/>
  <c r="J39" i="61"/>
  <c r="I2" i="51"/>
  <c r="H98" i="58"/>
  <c r="I4" i="51" s="1"/>
  <c r="I17" i="51" s="1"/>
  <c r="N2" i="51"/>
  <c r="M98" i="58"/>
  <c r="N4" i="51" s="1"/>
  <c r="N17" i="51" s="1"/>
  <c r="L98" i="58"/>
  <c r="M4" i="51" s="1"/>
  <c r="M17" i="51" s="1"/>
  <c r="M2" i="51"/>
  <c r="G98" i="58"/>
  <c r="H4" i="51" s="1"/>
  <c r="H17" i="51" s="1"/>
  <c r="H2" i="51"/>
  <c r="F98" i="58"/>
  <c r="G4" i="51" s="1"/>
  <c r="G17" i="51" s="1"/>
  <c r="G2" i="51"/>
  <c r="P98" i="58"/>
  <c r="Q4" i="51" s="1"/>
  <c r="Q17" i="51" s="1"/>
  <c r="S100" i="26"/>
  <c r="S98" i="26"/>
  <c r="F29" i="31"/>
  <c r="R29" i="31" s="1"/>
  <c r="S29" i="31" s="1"/>
  <c r="F27" i="31"/>
  <c r="R27" i="31" s="1"/>
  <c r="S27" i="31" s="1"/>
  <c r="F25" i="31"/>
  <c r="R25" i="31" s="1"/>
  <c r="S25" i="31" s="1"/>
  <c r="R3" i="31"/>
  <c r="S3" i="31" s="1"/>
  <c r="F30" i="31"/>
  <c r="R30" i="31" s="1"/>
  <c r="S30" i="31" s="1"/>
  <c r="F28" i="31"/>
  <c r="R28" i="31" s="1"/>
  <c r="S28" i="31" s="1"/>
  <c r="F26" i="31"/>
  <c r="R26" i="31" s="1"/>
  <c r="S26" i="31" s="1"/>
  <c r="F24" i="31"/>
  <c r="L3" i="21"/>
  <c r="K45" i="58"/>
  <c r="L4" i="21" s="1"/>
  <c r="G3" i="21"/>
  <c r="F45" i="58"/>
  <c r="G4" i="21" s="1"/>
  <c r="F3" i="21"/>
  <c r="Q44" i="58"/>
  <c r="R44" i="58" s="1"/>
  <c r="E45" i="58"/>
  <c r="J3" i="21"/>
  <c r="I45" i="58"/>
  <c r="J4" i="21" s="1"/>
  <c r="M3" i="21"/>
  <c r="L45" i="58"/>
  <c r="M4" i="21" s="1"/>
  <c r="P3" i="21"/>
  <c r="O45" i="58"/>
  <c r="P4" i="21" s="1"/>
  <c r="F9" i="9"/>
  <c r="F3" i="13"/>
  <c r="Q16" i="58"/>
  <c r="R16" i="58" s="1"/>
  <c r="E17" i="58"/>
  <c r="N9" i="9"/>
  <c r="N3" i="13"/>
  <c r="M17" i="58"/>
  <c r="L3" i="13"/>
  <c r="L9" i="9"/>
  <c r="K17" i="58"/>
  <c r="G3" i="13"/>
  <c r="G9" i="9"/>
  <c r="F17" i="58"/>
  <c r="I3" i="13"/>
  <c r="I9" i="9"/>
  <c r="H17" i="58"/>
  <c r="P3" i="13"/>
  <c r="P9" i="9"/>
  <c r="O17" i="58"/>
  <c r="P4" i="13" s="1"/>
  <c r="K3" i="17"/>
  <c r="J35" i="58"/>
  <c r="K4" i="17" s="1"/>
  <c r="J3" i="17"/>
  <c r="I35" i="58"/>
  <c r="J4" i="17" s="1"/>
  <c r="N3" i="17"/>
  <c r="M35" i="58"/>
  <c r="N4" i="17" s="1"/>
  <c r="F3" i="17"/>
  <c r="R34" i="58"/>
  <c r="E35" i="58"/>
  <c r="M3" i="17"/>
  <c r="L35" i="58"/>
  <c r="M4" i="17" s="1"/>
  <c r="L3" i="17"/>
  <c r="K35" i="58"/>
  <c r="L4" i="17" s="1"/>
  <c r="Q3" i="17"/>
  <c r="P35" i="58"/>
  <c r="F31" i="30"/>
  <c r="R31" i="30" s="1"/>
  <c r="S31" i="30" s="1"/>
  <c r="F29" i="30"/>
  <c r="R29" i="30" s="1"/>
  <c r="S29" i="30" s="1"/>
  <c r="F27" i="30"/>
  <c r="R27" i="30" s="1"/>
  <c r="S27" i="30" s="1"/>
  <c r="R3" i="30"/>
  <c r="S3" i="30" s="1"/>
  <c r="F32" i="30"/>
  <c r="R32" i="30" s="1"/>
  <c r="S32" i="30" s="1"/>
  <c r="F30" i="30"/>
  <c r="R30" i="30" s="1"/>
  <c r="S30" i="30" s="1"/>
  <c r="F28" i="30"/>
  <c r="R28" i="30" s="1"/>
  <c r="S28" i="30" s="1"/>
  <c r="F26" i="30"/>
  <c r="D29" i="51"/>
  <c r="D15" i="51"/>
  <c r="D20" i="51"/>
  <c r="Q20" i="51" s="1"/>
  <c r="D24" i="51"/>
  <c r="D28" i="51"/>
  <c r="D16" i="51"/>
  <c r="D23" i="51"/>
  <c r="Q23" i="51" s="1"/>
  <c r="D27" i="51"/>
  <c r="D18" i="51"/>
  <c r="D19" i="51"/>
  <c r="D22" i="51"/>
  <c r="Q22" i="51" s="1"/>
  <c r="D26" i="51"/>
  <c r="D30" i="51"/>
  <c r="D21" i="51"/>
  <c r="D25" i="51"/>
  <c r="Q25" i="51" s="1"/>
  <c r="P11" i="37"/>
  <c r="G11" i="37"/>
  <c r="K11" i="37"/>
  <c r="O11" i="37"/>
  <c r="H11" i="37"/>
  <c r="L11" i="37"/>
  <c r="M11" i="37"/>
  <c r="F11" i="37"/>
  <c r="N11" i="37"/>
  <c r="I11" i="37"/>
  <c r="Q11" i="37"/>
  <c r="J11" i="37"/>
  <c r="P15" i="37"/>
  <c r="G15" i="37"/>
  <c r="K15" i="37"/>
  <c r="O15" i="37"/>
  <c r="H15" i="37"/>
  <c r="M15" i="37"/>
  <c r="F15" i="37"/>
  <c r="L15" i="37"/>
  <c r="I15" i="37"/>
  <c r="Q15" i="37"/>
  <c r="J15" i="37"/>
  <c r="N15" i="37"/>
  <c r="P10" i="37"/>
  <c r="G10" i="37"/>
  <c r="K10" i="37"/>
  <c r="O10" i="37"/>
  <c r="F10" i="37"/>
  <c r="J10" i="37"/>
  <c r="N10" i="37"/>
  <c r="I10" i="37"/>
  <c r="Q10" i="37"/>
  <c r="H10" i="37"/>
  <c r="D18" i="37"/>
  <c r="M10" i="37"/>
  <c r="L10" i="37"/>
  <c r="P14" i="37"/>
  <c r="G14" i="37"/>
  <c r="K14" i="37"/>
  <c r="O14" i="37"/>
  <c r="F14" i="37"/>
  <c r="J14" i="37"/>
  <c r="N14" i="37"/>
  <c r="I14" i="37"/>
  <c r="Q14" i="37"/>
  <c r="H14" i="37"/>
  <c r="M14" i="37"/>
  <c r="L14" i="37"/>
  <c r="K94" i="26"/>
  <c r="L86" i="26"/>
  <c r="O86" i="26"/>
  <c r="G86" i="26"/>
  <c r="N86" i="26"/>
  <c r="Q107" i="26"/>
  <c r="Q108" i="26" s="1"/>
  <c r="H107" i="26"/>
  <c r="H108" i="26" s="1"/>
  <c r="K107" i="26"/>
  <c r="K108" i="26" s="1"/>
  <c r="F107" i="26"/>
  <c r="L94" i="26"/>
  <c r="N94" i="26"/>
  <c r="Q86" i="26"/>
  <c r="I86" i="26"/>
  <c r="P86" i="26"/>
  <c r="P94" i="26"/>
  <c r="H86" i="26"/>
  <c r="H94" i="26"/>
  <c r="K86" i="26"/>
  <c r="F86" i="26"/>
  <c r="R80" i="26"/>
  <c r="S80" i="26" s="1"/>
  <c r="R79" i="26"/>
  <c r="S79" i="26" s="1"/>
  <c r="R83" i="26"/>
  <c r="S83" i="26" s="1"/>
  <c r="R88" i="26"/>
  <c r="S88" i="26" s="1"/>
  <c r="R92" i="26"/>
  <c r="S92" i="26" s="1"/>
  <c r="F94" i="26"/>
  <c r="R87" i="26"/>
  <c r="S87" i="26" s="1"/>
  <c r="R91" i="26"/>
  <c r="S91" i="26" s="1"/>
  <c r="Q35" i="31"/>
  <c r="J86" i="26"/>
  <c r="J94" i="26"/>
  <c r="M86" i="26"/>
  <c r="D103" i="26"/>
  <c r="O94" i="26"/>
  <c r="R82" i="26"/>
  <c r="S82" i="26" s="1"/>
  <c r="R81" i="26"/>
  <c r="S81" i="26" s="1"/>
  <c r="R85" i="26"/>
  <c r="S85" i="26" s="1"/>
  <c r="R90" i="26"/>
  <c r="S90" i="26" s="1"/>
  <c r="R84" i="26"/>
  <c r="S84" i="26" s="1"/>
  <c r="R89" i="26"/>
  <c r="S89" i="26" s="1"/>
  <c r="R93" i="26"/>
  <c r="S93" i="26" s="1"/>
  <c r="C604" i="62"/>
  <c r="J93" i="61"/>
  <c r="C4" i="46"/>
  <c r="D40" i="46" s="1"/>
  <c r="C432" i="62"/>
  <c r="C448" i="62"/>
  <c r="G33" i="24"/>
  <c r="I33" i="24"/>
  <c r="K33" i="24"/>
  <c r="C518" i="62"/>
  <c r="R31" i="36"/>
  <c r="S31" i="36" s="1"/>
  <c r="R14" i="44"/>
  <c r="S14" i="44" s="1"/>
  <c r="H8" i="16"/>
  <c r="J8" i="16"/>
  <c r="L8" i="16"/>
  <c r="N8" i="16"/>
  <c r="P8" i="16"/>
  <c r="H9" i="16"/>
  <c r="J9" i="16"/>
  <c r="L9" i="16"/>
  <c r="N9" i="16"/>
  <c r="P9" i="16"/>
  <c r="H10" i="16"/>
  <c r="J10" i="16"/>
  <c r="L10" i="16"/>
  <c r="N10" i="16"/>
  <c r="P10" i="16"/>
  <c r="H11" i="16"/>
  <c r="J11" i="16"/>
  <c r="L11" i="16"/>
  <c r="N11" i="16"/>
  <c r="P11" i="16"/>
  <c r="H12" i="16"/>
  <c r="J12" i="16"/>
  <c r="L12" i="16"/>
  <c r="N12" i="16"/>
  <c r="P12" i="16"/>
  <c r="H13" i="16"/>
  <c r="J13" i="16"/>
  <c r="L13" i="16"/>
  <c r="N13" i="16"/>
  <c r="P13" i="16"/>
  <c r="H14" i="16"/>
  <c r="J14" i="16"/>
  <c r="L14" i="16"/>
  <c r="N14" i="16"/>
  <c r="P14" i="16"/>
  <c r="H16" i="16"/>
  <c r="J16" i="16"/>
  <c r="L16" i="16"/>
  <c r="N16" i="16"/>
  <c r="P16" i="16"/>
  <c r="H17" i="16"/>
  <c r="J17" i="16"/>
  <c r="L17" i="16"/>
  <c r="N17" i="16"/>
  <c r="P17" i="16"/>
  <c r="H18" i="16"/>
  <c r="J18" i="16"/>
  <c r="L18" i="16"/>
  <c r="N18" i="16"/>
  <c r="P18" i="16"/>
  <c r="H19" i="16"/>
  <c r="J19" i="16"/>
  <c r="L19" i="16"/>
  <c r="N19" i="16"/>
  <c r="P19" i="16"/>
  <c r="H20" i="16"/>
  <c r="J20" i="16"/>
  <c r="L20" i="16"/>
  <c r="N20" i="16"/>
  <c r="P20" i="16"/>
  <c r="H21" i="16"/>
  <c r="J21" i="16"/>
  <c r="L21" i="16"/>
  <c r="N21" i="16"/>
  <c r="P21" i="16"/>
  <c r="C336" i="62"/>
  <c r="L11" i="20"/>
  <c r="M12" i="20"/>
  <c r="L13" i="20"/>
  <c r="L15" i="20"/>
  <c r="L18" i="20"/>
  <c r="L20" i="20"/>
  <c r="L22" i="20"/>
  <c r="R23" i="21"/>
  <c r="S23" i="21" s="1"/>
  <c r="C596" i="62"/>
  <c r="H31" i="29"/>
  <c r="J31" i="29"/>
  <c r="R26" i="35"/>
  <c r="S26" i="35" s="1"/>
  <c r="C328" i="62"/>
  <c r="C588" i="62"/>
  <c r="R20" i="33"/>
  <c r="S20" i="33" s="1"/>
  <c r="C484" i="62"/>
  <c r="C544" i="62"/>
  <c r="C380" i="62"/>
  <c r="Q131" i="58"/>
  <c r="Q133" i="58" s="1"/>
  <c r="C492" i="62"/>
  <c r="C510" i="62"/>
  <c r="C536" i="62"/>
  <c r="K15" i="33"/>
  <c r="P15" i="33"/>
  <c r="P32" i="33" s="1"/>
  <c r="M15" i="33"/>
  <c r="R19" i="33"/>
  <c r="S19" i="33" s="1"/>
  <c r="C562" i="62"/>
  <c r="C440" i="62"/>
  <c r="C526" i="62"/>
  <c r="C552" i="62"/>
  <c r="C388" i="62"/>
  <c r="R15" i="21"/>
  <c r="S15" i="21" s="1"/>
  <c r="I15" i="33"/>
  <c r="R13" i="33"/>
  <c r="S13" i="33" s="1"/>
  <c r="O15" i="33"/>
  <c r="C90" i="58"/>
  <c r="D90" i="58" s="1"/>
  <c r="P90" i="58" s="1"/>
  <c r="D94" i="61"/>
  <c r="R24" i="19"/>
  <c r="S24" i="19" s="1"/>
  <c r="K10" i="20"/>
  <c r="K11" i="20"/>
  <c r="K12" i="20"/>
  <c r="K13" i="20"/>
  <c r="K14" i="20"/>
  <c r="K15" i="20"/>
  <c r="K16" i="20"/>
  <c r="K18" i="20"/>
  <c r="K19" i="20"/>
  <c r="K20" i="20"/>
  <c r="K21" i="20"/>
  <c r="K22" i="20"/>
  <c r="K23" i="20"/>
  <c r="R30" i="23"/>
  <c r="S30" i="23" s="1"/>
  <c r="H17" i="24"/>
  <c r="J17" i="24"/>
  <c r="L17" i="24"/>
  <c r="G25" i="24"/>
  <c r="I25" i="24"/>
  <c r="K25" i="24"/>
  <c r="M25" i="24"/>
  <c r="O25" i="24"/>
  <c r="F33" i="24"/>
  <c r="H33" i="24"/>
  <c r="J33" i="24"/>
  <c r="L33" i="24"/>
  <c r="N33" i="24"/>
  <c r="P33" i="24"/>
  <c r="C15" i="27"/>
  <c r="I15" i="27"/>
  <c r="J23" i="27"/>
  <c r="N23" i="27"/>
  <c r="H23" i="29"/>
  <c r="J23" i="29"/>
  <c r="L23" i="29"/>
  <c r="C31" i="29"/>
  <c r="K31" i="29"/>
  <c r="M31" i="29"/>
  <c r="R26" i="34"/>
  <c r="S26" i="34" s="1"/>
  <c r="H23" i="33"/>
  <c r="C23" i="19"/>
  <c r="R12" i="21"/>
  <c r="S12" i="21" s="1"/>
  <c r="R13" i="21"/>
  <c r="S13" i="21" s="1"/>
  <c r="R14" i="21"/>
  <c r="S14" i="21" s="1"/>
  <c r="R16" i="21"/>
  <c r="S16" i="21" s="1"/>
  <c r="R17" i="21"/>
  <c r="S17" i="21" s="1"/>
  <c r="R20" i="21"/>
  <c r="S20" i="21" s="1"/>
  <c r="R21" i="21"/>
  <c r="S21" i="21" s="1"/>
  <c r="R22" i="21"/>
  <c r="S22" i="21" s="1"/>
  <c r="R24" i="21"/>
  <c r="S24" i="21" s="1"/>
  <c r="R25" i="21"/>
  <c r="S25" i="21" s="1"/>
  <c r="R8" i="29"/>
  <c r="S8" i="29" s="1"/>
  <c r="H15" i="29"/>
  <c r="J15" i="29"/>
  <c r="L15" i="29"/>
  <c r="N15" i="29"/>
  <c r="P15" i="29"/>
  <c r="R10" i="29"/>
  <c r="S10" i="29" s="1"/>
  <c r="R12" i="29"/>
  <c r="S12" i="29" s="1"/>
  <c r="R14" i="29"/>
  <c r="S14" i="29" s="1"/>
  <c r="C23" i="29"/>
  <c r="G23" i="29"/>
  <c r="I23" i="29"/>
  <c r="K23" i="29"/>
  <c r="M23" i="29"/>
  <c r="O23" i="29"/>
  <c r="R28" i="19"/>
  <c r="S28" i="19" s="1"/>
  <c r="L15" i="33"/>
  <c r="R21" i="33"/>
  <c r="S21" i="33" s="1"/>
  <c r="R10" i="33"/>
  <c r="S10" i="33" s="1"/>
  <c r="R8" i="33"/>
  <c r="S8" i="33" s="1"/>
  <c r="R18" i="33"/>
  <c r="S18" i="33" s="1"/>
  <c r="R14" i="33"/>
  <c r="S14" i="33" s="1"/>
  <c r="H15" i="33"/>
  <c r="R22" i="33"/>
  <c r="S22" i="33" s="1"/>
  <c r="R11" i="33"/>
  <c r="S11" i="33" s="1"/>
  <c r="C31" i="27"/>
  <c r="L31" i="16"/>
  <c r="F10" i="20"/>
  <c r="N10" i="20"/>
  <c r="F11" i="20"/>
  <c r="N11" i="20"/>
  <c r="F12" i="20"/>
  <c r="N12" i="20"/>
  <c r="F13" i="20"/>
  <c r="N13" i="20"/>
  <c r="F14" i="20"/>
  <c r="N14" i="20"/>
  <c r="F15" i="20"/>
  <c r="N15" i="20"/>
  <c r="F16" i="20"/>
  <c r="N16" i="20"/>
  <c r="F18" i="20"/>
  <c r="N18" i="20"/>
  <c r="F19" i="20"/>
  <c r="N19" i="20"/>
  <c r="F20" i="20"/>
  <c r="N20" i="20"/>
  <c r="F21" i="20"/>
  <c r="N21" i="20"/>
  <c r="F22" i="20"/>
  <c r="N22" i="20"/>
  <c r="F23" i="20"/>
  <c r="N23" i="20"/>
  <c r="R16" i="33"/>
  <c r="S16" i="33" s="1"/>
  <c r="J32" i="33"/>
  <c r="O23" i="33"/>
  <c r="N15" i="33"/>
  <c r="R17" i="33"/>
  <c r="S17" i="33" s="1"/>
  <c r="R12" i="33"/>
  <c r="S12" i="33" s="1"/>
  <c r="G15" i="33"/>
  <c r="G32" i="33" s="1"/>
  <c r="F15" i="33"/>
  <c r="H15" i="27"/>
  <c r="L15" i="27"/>
  <c r="P15" i="27"/>
  <c r="I23" i="27"/>
  <c r="M23" i="27"/>
  <c r="Q23" i="27"/>
  <c r="G15" i="27"/>
  <c r="K15" i="27"/>
  <c r="H23" i="27"/>
  <c r="L23" i="27"/>
  <c r="J15" i="27"/>
  <c r="N15" i="27"/>
  <c r="G23" i="27"/>
  <c r="K23" i="27"/>
  <c r="O23" i="27"/>
  <c r="L33" i="28"/>
  <c r="R11" i="26"/>
  <c r="S11" i="26" s="1"/>
  <c r="J18" i="26"/>
  <c r="N18" i="26"/>
  <c r="R15" i="26"/>
  <c r="S15" i="26" s="1"/>
  <c r="G26" i="26"/>
  <c r="K26" i="26"/>
  <c r="O26" i="26"/>
  <c r="H18" i="26"/>
  <c r="L18" i="26"/>
  <c r="P18" i="26"/>
  <c r="R13" i="26"/>
  <c r="S13" i="26" s="1"/>
  <c r="R17" i="26"/>
  <c r="S17" i="26" s="1"/>
  <c r="C26" i="26"/>
  <c r="I26" i="26"/>
  <c r="M26" i="26"/>
  <c r="Q26" i="26"/>
  <c r="R27" i="26"/>
  <c r="S27" i="26" s="1"/>
  <c r="Q25" i="24"/>
  <c r="F25" i="24"/>
  <c r="N23" i="29"/>
  <c r="G23" i="19"/>
  <c r="I23" i="19"/>
  <c r="K23" i="19"/>
  <c r="D57" i="22"/>
  <c r="P57" i="22" s="1"/>
  <c r="D51" i="22"/>
  <c r="D55" i="23"/>
  <c r="O55" i="23" s="1"/>
  <c r="D49" i="23"/>
  <c r="F36" i="19"/>
  <c r="D40" i="19"/>
  <c r="H25" i="24"/>
  <c r="J25" i="24"/>
  <c r="L25" i="24"/>
  <c r="N25" i="24"/>
  <c r="C33" i="24"/>
  <c r="C25" i="24"/>
  <c r="G17" i="24"/>
  <c r="I17" i="24"/>
  <c r="K17" i="24"/>
  <c r="M17" i="24"/>
  <c r="O17" i="24"/>
  <c r="Q17" i="24"/>
  <c r="C31" i="19"/>
  <c r="M33" i="24"/>
  <c r="R11" i="24"/>
  <c r="S11" i="24" s="1"/>
  <c r="M15" i="27"/>
  <c r="O15" i="27"/>
  <c r="P23" i="27"/>
  <c r="R20" i="26"/>
  <c r="R13" i="24"/>
  <c r="S13" i="24" s="1"/>
  <c r="R31" i="26"/>
  <c r="S31" i="26" s="1"/>
  <c r="R22" i="26"/>
  <c r="N17" i="24"/>
  <c r="P25" i="24"/>
  <c r="P23" i="29"/>
  <c r="G15" i="19"/>
  <c r="I15" i="19"/>
  <c r="K15" i="19"/>
  <c r="M15" i="19"/>
  <c r="H23" i="19"/>
  <c r="F17" i="28"/>
  <c r="H17" i="28"/>
  <c r="J17" i="28"/>
  <c r="L17" i="28"/>
  <c r="N17" i="28"/>
  <c r="P17" i="28"/>
  <c r="C25" i="28"/>
  <c r="G25" i="28"/>
  <c r="I25" i="28"/>
  <c r="K25" i="28"/>
  <c r="R33" i="26"/>
  <c r="S33" i="26" s="1"/>
  <c r="R24" i="26"/>
  <c r="S24" i="26" s="1"/>
  <c r="P17" i="24"/>
  <c r="R26" i="19"/>
  <c r="S26" i="19" s="1"/>
  <c r="O15" i="19"/>
  <c r="Q15" i="19"/>
  <c r="J23" i="19"/>
  <c r="Q15" i="27"/>
  <c r="R15" i="24"/>
  <c r="S15" i="24" s="1"/>
  <c r="R31" i="23"/>
  <c r="S31" i="23" s="1"/>
  <c r="P31" i="29"/>
  <c r="Q23" i="29"/>
  <c r="L23" i="19"/>
  <c r="R28" i="24"/>
  <c r="S28" i="24" s="1"/>
  <c r="R30" i="24"/>
  <c r="S30" i="24" s="1"/>
  <c r="R32" i="24"/>
  <c r="S32" i="24" s="1"/>
  <c r="R32" i="23"/>
  <c r="S32" i="23" s="1"/>
  <c r="R9" i="19"/>
  <c r="S9" i="19" s="1"/>
  <c r="R11" i="19"/>
  <c r="S11" i="19" s="1"/>
  <c r="R13" i="19"/>
  <c r="S13" i="19" s="1"/>
  <c r="R16" i="19"/>
  <c r="S16" i="19" s="1"/>
  <c r="N23" i="19"/>
  <c r="P23" i="19"/>
  <c r="F4" i="16"/>
  <c r="Q32" i="58"/>
  <c r="R32" i="58" s="1"/>
  <c r="F4" i="31"/>
  <c r="F37" i="31" s="1"/>
  <c r="Q76" i="58"/>
  <c r="R76" i="58" s="1"/>
  <c r="F21" i="31"/>
  <c r="F19" i="31"/>
  <c r="F17" i="31"/>
  <c r="F14" i="31"/>
  <c r="F12" i="31"/>
  <c r="F10" i="31"/>
  <c r="F8" i="31"/>
  <c r="F22" i="31"/>
  <c r="F20" i="31"/>
  <c r="F18" i="31"/>
  <c r="F16" i="31"/>
  <c r="F13" i="31"/>
  <c r="F11" i="31"/>
  <c r="F9" i="31"/>
  <c r="R2" i="31"/>
  <c r="S2" i="31" s="1"/>
  <c r="K22" i="31"/>
  <c r="K20" i="31"/>
  <c r="K18" i="31"/>
  <c r="K16" i="31"/>
  <c r="K13" i="31"/>
  <c r="K11" i="31"/>
  <c r="K9" i="31"/>
  <c r="K21" i="31"/>
  <c r="K19" i="31"/>
  <c r="K17" i="31"/>
  <c r="K14" i="31"/>
  <c r="K12" i="31"/>
  <c r="K10" i="31"/>
  <c r="K8" i="31"/>
  <c r="H21" i="31"/>
  <c r="H19" i="31"/>
  <c r="H17" i="31"/>
  <c r="H14" i="31"/>
  <c r="H12" i="31"/>
  <c r="H10" i="31"/>
  <c r="H8" i="31"/>
  <c r="H22" i="31"/>
  <c r="H20" i="31"/>
  <c r="H18" i="31"/>
  <c r="H16" i="31"/>
  <c r="H13" i="31"/>
  <c r="H11" i="31"/>
  <c r="H9" i="31"/>
  <c r="P21" i="31"/>
  <c r="P19" i="31"/>
  <c r="P17" i="31"/>
  <c r="P14" i="31"/>
  <c r="P12" i="31"/>
  <c r="P10" i="31"/>
  <c r="P8" i="31"/>
  <c r="P22" i="31"/>
  <c r="P20" i="31"/>
  <c r="P18" i="31"/>
  <c r="P16" i="31"/>
  <c r="P13" i="31"/>
  <c r="P11" i="31"/>
  <c r="P9" i="31"/>
  <c r="I22" i="31"/>
  <c r="I20" i="31"/>
  <c r="I18" i="31"/>
  <c r="I16" i="31"/>
  <c r="I13" i="31"/>
  <c r="I11" i="31"/>
  <c r="I9" i="31"/>
  <c r="I21" i="31"/>
  <c r="I19" i="31"/>
  <c r="I17" i="31"/>
  <c r="I14" i="31"/>
  <c r="I12" i="31"/>
  <c r="I10" i="31"/>
  <c r="I8" i="31"/>
  <c r="Q22" i="31"/>
  <c r="Q20" i="31"/>
  <c r="Q18" i="31"/>
  <c r="Q16" i="31"/>
  <c r="Q13" i="31"/>
  <c r="Q11" i="31"/>
  <c r="Q9" i="31"/>
  <c r="Q21" i="31"/>
  <c r="Q19" i="31"/>
  <c r="Q17" i="31"/>
  <c r="Q14" i="31"/>
  <c r="Q12" i="31"/>
  <c r="Q10" i="31"/>
  <c r="Q8" i="31"/>
  <c r="N21" i="31"/>
  <c r="N19" i="31"/>
  <c r="N17" i="31"/>
  <c r="N14" i="31"/>
  <c r="N12" i="31"/>
  <c r="N10" i="31"/>
  <c r="N8" i="31"/>
  <c r="N22" i="31"/>
  <c r="N20" i="31"/>
  <c r="N18" i="31"/>
  <c r="N16" i="31"/>
  <c r="N13" i="31"/>
  <c r="N11" i="31"/>
  <c r="N9" i="31"/>
  <c r="G22" i="31"/>
  <c r="G20" i="31"/>
  <c r="G18" i="31"/>
  <c r="G16" i="31"/>
  <c r="G13" i="31"/>
  <c r="G11" i="31"/>
  <c r="G9" i="31"/>
  <c r="G21" i="31"/>
  <c r="G19" i="31"/>
  <c r="G17" i="31"/>
  <c r="G14" i="31"/>
  <c r="G12" i="31"/>
  <c r="G10" i="31"/>
  <c r="G8" i="31"/>
  <c r="O22" i="31"/>
  <c r="O20" i="31"/>
  <c r="O18" i="31"/>
  <c r="O16" i="31"/>
  <c r="O13" i="31"/>
  <c r="O11" i="31"/>
  <c r="O9" i="31"/>
  <c r="O21" i="31"/>
  <c r="O19" i="31"/>
  <c r="O17" i="31"/>
  <c r="O14" i="31"/>
  <c r="O12" i="31"/>
  <c r="O10" i="31"/>
  <c r="O8" i="31"/>
  <c r="L21" i="31"/>
  <c r="L19" i="31"/>
  <c r="L17" i="31"/>
  <c r="L14" i="31"/>
  <c r="L12" i="31"/>
  <c r="L10" i="31"/>
  <c r="L8" i="31"/>
  <c r="L22" i="31"/>
  <c r="L20" i="31"/>
  <c r="L18" i="31"/>
  <c r="L16" i="31"/>
  <c r="L13" i="31"/>
  <c r="L11" i="31"/>
  <c r="L9" i="31"/>
  <c r="M22" i="31"/>
  <c r="M20" i="31"/>
  <c r="M18" i="31"/>
  <c r="M16" i="31"/>
  <c r="M13" i="31"/>
  <c r="M11" i="31"/>
  <c r="M9" i="31"/>
  <c r="M21" i="31"/>
  <c r="M19" i="31"/>
  <c r="M17" i="31"/>
  <c r="M14" i="31"/>
  <c r="M12" i="31"/>
  <c r="M10" i="31"/>
  <c r="M8" i="31"/>
  <c r="J21" i="31"/>
  <c r="J19" i="31"/>
  <c r="J17" i="31"/>
  <c r="J14" i="31"/>
  <c r="J12" i="31"/>
  <c r="J10" i="31"/>
  <c r="J8" i="31"/>
  <c r="J22" i="31"/>
  <c r="J20" i="31"/>
  <c r="J18" i="31"/>
  <c r="J16" i="31"/>
  <c r="J13" i="31"/>
  <c r="J11" i="31"/>
  <c r="J9" i="31"/>
  <c r="I21" i="32"/>
  <c r="I19" i="32"/>
  <c r="I17" i="32"/>
  <c r="I14" i="32"/>
  <c r="I12" i="32"/>
  <c r="I10" i="32"/>
  <c r="I8" i="32"/>
  <c r="I22" i="32"/>
  <c r="I20" i="32"/>
  <c r="I18" i="32"/>
  <c r="I16" i="32"/>
  <c r="I13" i="32"/>
  <c r="I11" i="32"/>
  <c r="I9" i="32"/>
  <c r="Q21" i="32"/>
  <c r="Q19" i="32"/>
  <c r="Q17" i="32"/>
  <c r="Q14" i="32"/>
  <c r="Q12" i="32"/>
  <c r="Q10" i="32"/>
  <c r="Q8" i="32"/>
  <c r="Q22" i="32"/>
  <c r="Q20" i="32"/>
  <c r="Q18" i="32"/>
  <c r="Q16" i="32"/>
  <c r="Q13" i="32"/>
  <c r="Q11" i="32"/>
  <c r="Q9" i="32"/>
  <c r="N22" i="32"/>
  <c r="N20" i="32"/>
  <c r="N18" i="32"/>
  <c r="N16" i="32"/>
  <c r="N13" i="32"/>
  <c r="N11" i="32"/>
  <c r="N9" i="32"/>
  <c r="N21" i="32"/>
  <c r="N19" i="32"/>
  <c r="N17" i="32"/>
  <c r="N14" i="32"/>
  <c r="N12" i="32"/>
  <c r="N10" i="32"/>
  <c r="N8" i="32"/>
  <c r="G21" i="32"/>
  <c r="G19" i="32"/>
  <c r="G17" i="32"/>
  <c r="G14" i="32"/>
  <c r="G12" i="32"/>
  <c r="G10" i="32"/>
  <c r="G8" i="32"/>
  <c r="G22" i="32"/>
  <c r="G20" i="32"/>
  <c r="G18" i="32"/>
  <c r="G16" i="32"/>
  <c r="G13" i="32"/>
  <c r="G11" i="32"/>
  <c r="G9" i="32"/>
  <c r="O21" i="32"/>
  <c r="O19" i="32"/>
  <c r="O17" i="32"/>
  <c r="O14" i="32"/>
  <c r="O12" i="32"/>
  <c r="O10" i="32"/>
  <c r="O8" i="32"/>
  <c r="O22" i="32"/>
  <c r="O20" i="32"/>
  <c r="O18" i="32"/>
  <c r="O16" i="32"/>
  <c r="O13" i="32"/>
  <c r="O11" i="32"/>
  <c r="O9" i="32"/>
  <c r="L22" i="32"/>
  <c r="L20" i="32"/>
  <c r="L18" i="32"/>
  <c r="L16" i="32"/>
  <c r="L13" i="32"/>
  <c r="L11" i="32"/>
  <c r="L9" i="32"/>
  <c r="L21" i="32"/>
  <c r="L19" i="32"/>
  <c r="L17" i="32"/>
  <c r="L14" i="32"/>
  <c r="L12" i="32"/>
  <c r="L10" i="32"/>
  <c r="L8" i="32"/>
  <c r="M21" i="32"/>
  <c r="M19" i="32"/>
  <c r="M17" i="32"/>
  <c r="M14" i="32"/>
  <c r="M12" i="32"/>
  <c r="M10" i="32"/>
  <c r="M8" i="32"/>
  <c r="M22" i="32"/>
  <c r="M20" i="32"/>
  <c r="M18" i="32"/>
  <c r="M16" i="32"/>
  <c r="M13" i="32"/>
  <c r="M11" i="32"/>
  <c r="M9" i="32"/>
  <c r="J22" i="32"/>
  <c r="J20" i="32"/>
  <c r="J18" i="32"/>
  <c r="J16" i="32"/>
  <c r="J13" i="32"/>
  <c r="J11" i="32"/>
  <c r="J9" i="32"/>
  <c r="J21" i="32"/>
  <c r="J19" i="32"/>
  <c r="J17" i="32"/>
  <c r="J14" i="32"/>
  <c r="J12" i="32"/>
  <c r="J10" i="32"/>
  <c r="J8" i="32"/>
  <c r="F22" i="32"/>
  <c r="F20" i="32"/>
  <c r="F18" i="32"/>
  <c r="F16" i="32"/>
  <c r="F13" i="32"/>
  <c r="F11" i="32"/>
  <c r="F9" i="32"/>
  <c r="R2" i="32"/>
  <c r="S2" i="32" s="1"/>
  <c r="F21" i="32"/>
  <c r="F19" i="32"/>
  <c r="F17" i="32"/>
  <c r="F14" i="32"/>
  <c r="F12" i="32"/>
  <c r="F10" i="32"/>
  <c r="F8" i="32"/>
  <c r="F4" i="32"/>
  <c r="Q79" i="58"/>
  <c r="R79" i="58" s="1"/>
  <c r="K21" i="32"/>
  <c r="K19" i="32"/>
  <c r="K17" i="32"/>
  <c r="K14" i="32"/>
  <c r="K12" i="32"/>
  <c r="K10" i="32"/>
  <c r="K8" i="32"/>
  <c r="K22" i="32"/>
  <c r="K20" i="32"/>
  <c r="K18" i="32"/>
  <c r="K16" i="32"/>
  <c r="K13" i="32"/>
  <c r="K11" i="32"/>
  <c r="K9" i="32"/>
  <c r="H22" i="32"/>
  <c r="H20" i="32"/>
  <c r="H18" i="32"/>
  <c r="H16" i="32"/>
  <c r="H13" i="32"/>
  <c r="H11" i="32"/>
  <c r="H9" i="32"/>
  <c r="H21" i="32"/>
  <c r="H19" i="32"/>
  <c r="H17" i="32"/>
  <c r="H14" i="32"/>
  <c r="H12" i="32"/>
  <c r="H10" i="32"/>
  <c r="H8" i="32"/>
  <c r="P22" i="32"/>
  <c r="P20" i="32"/>
  <c r="P18" i="32"/>
  <c r="P16" i="32"/>
  <c r="P13" i="32"/>
  <c r="P11" i="32"/>
  <c r="P9" i="32"/>
  <c r="P21" i="32"/>
  <c r="P19" i="32"/>
  <c r="P17" i="32"/>
  <c r="P14" i="32"/>
  <c r="P12" i="32"/>
  <c r="P10" i="32"/>
  <c r="P8" i="32"/>
  <c r="F23" i="30"/>
  <c r="F21" i="30"/>
  <c r="F19" i="30"/>
  <c r="F16" i="30"/>
  <c r="F14" i="30"/>
  <c r="F12" i="30"/>
  <c r="F10" i="30"/>
  <c r="F24" i="30"/>
  <c r="F22" i="30"/>
  <c r="F20" i="30"/>
  <c r="F18" i="30"/>
  <c r="F15" i="30"/>
  <c r="F13" i="30"/>
  <c r="F11" i="30"/>
  <c r="K24" i="30"/>
  <c r="K22" i="30"/>
  <c r="K20" i="30"/>
  <c r="K18" i="30"/>
  <c r="K15" i="30"/>
  <c r="K13" i="30"/>
  <c r="K11" i="30"/>
  <c r="K23" i="30"/>
  <c r="K21" i="30"/>
  <c r="K19" i="30"/>
  <c r="K16" i="30"/>
  <c r="K14" i="30"/>
  <c r="K12" i="30"/>
  <c r="K10" i="30"/>
  <c r="H23" i="30"/>
  <c r="H21" i="30"/>
  <c r="H19" i="30"/>
  <c r="H16" i="30"/>
  <c r="H14" i="30"/>
  <c r="H12" i="30"/>
  <c r="H10" i="30"/>
  <c r="H24" i="30"/>
  <c r="H22" i="30"/>
  <c r="H20" i="30"/>
  <c r="H18" i="30"/>
  <c r="H15" i="30"/>
  <c r="H13" i="30"/>
  <c r="H11" i="30"/>
  <c r="P21" i="30"/>
  <c r="P12" i="30"/>
  <c r="P20" i="30"/>
  <c r="P11" i="30"/>
  <c r="I24" i="30"/>
  <c r="I22" i="30"/>
  <c r="I20" i="30"/>
  <c r="I18" i="30"/>
  <c r="I15" i="30"/>
  <c r="I13" i="30"/>
  <c r="I11" i="30"/>
  <c r="I23" i="30"/>
  <c r="I21" i="30"/>
  <c r="I19" i="30"/>
  <c r="I16" i="30"/>
  <c r="I14" i="30"/>
  <c r="I12" i="30"/>
  <c r="I10" i="30"/>
  <c r="Q24" i="30"/>
  <c r="Q22" i="30"/>
  <c r="Q20" i="30"/>
  <c r="Q18" i="30"/>
  <c r="Q15" i="30"/>
  <c r="Q13" i="30"/>
  <c r="Q11" i="30"/>
  <c r="Q23" i="30"/>
  <c r="Q21" i="30"/>
  <c r="Q19" i="30"/>
  <c r="Q16" i="30"/>
  <c r="Q14" i="30"/>
  <c r="Q12" i="30"/>
  <c r="Q10" i="30"/>
  <c r="N23" i="30"/>
  <c r="N21" i="30"/>
  <c r="N19" i="30"/>
  <c r="N16" i="30"/>
  <c r="N14" i="30"/>
  <c r="N12" i="30"/>
  <c r="N10" i="30"/>
  <c r="N24" i="30"/>
  <c r="N22" i="30"/>
  <c r="N20" i="30"/>
  <c r="N18" i="30"/>
  <c r="N15" i="30"/>
  <c r="N13" i="30"/>
  <c r="N11" i="30"/>
  <c r="G22" i="30"/>
  <c r="G18" i="30"/>
  <c r="G13" i="30"/>
  <c r="G23" i="30"/>
  <c r="G19" i="30"/>
  <c r="G14" i="30"/>
  <c r="G10" i="30"/>
  <c r="L23" i="30"/>
  <c r="L21" i="30"/>
  <c r="L19" i="30"/>
  <c r="L16" i="30"/>
  <c r="L14" i="30"/>
  <c r="L12" i="30"/>
  <c r="L10" i="30"/>
  <c r="L24" i="30"/>
  <c r="L22" i="30"/>
  <c r="L20" i="30"/>
  <c r="L18" i="30"/>
  <c r="L15" i="30"/>
  <c r="L13" i="30"/>
  <c r="L11" i="30"/>
  <c r="M24" i="30"/>
  <c r="M22" i="30"/>
  <c r="M20" i="30"/>
  <c r="M18" i="30"/>
  <c r="M15" i="30"/>
  <c r="M13" i="30"/>
  <c r="M11" i="30"/>
  <c r="M23" i="30"/>
  <c r="M21" i="30"/>
  <c r="M19" i="30"/>
  <c r="M16" i="30"/>
  <c r="M14" i="30"/>
  <c r="M12" i="30"/>
  <c r="M10" i="30"/>
  <c r="J23" i="30"/>
  <c r="J21" i="30"/>
  <c r="J19" i="30"/>
  <c r="J16" i="30"/>
  <c r="J14" i="30"/>
  <c r="J12" i="30"/>
  <c r="J10" i="30"/>
  <c r="J24" i="30"/>
  <c r="J22" i="30"/>
  <c r="J20" i="30"/>
  <c r="J18" i="30"/>
  <c r="J15" i="30"/>
  <c r="J13" i="30"/>
  <c r="J11" i="30"/>
  <c r="R14" i="51"/>
  <c r="S14" i="51" s="1"/>
  <c r="AL3" i="56"/>
  <c r="D89" i="58"/>
  <c r="C4" i="52"/>
  <c r="D27" i="45"/>
  <c r="D18" i="45"/>
  <c r="D17" i="45"/>
  <c r="D22" i="45"/>
  <c r="D26" i="45"/>
  <c r="D19" i="45"/>
  <c r="D23" i="45"/>
  <c r="D15" i="45"/>
  <c r="D20" i="45"/>
  <c r="D24" i="45"/>
  <c r="D28" i="45"/>
  <c r="D16" i="45"/>
  <c r="D21" i="45"/>
  <c r="D25" i="45"/>
  <c r="D28" i="49"/>
  <c r="D19" i="49"/>
  <c r="D30" i="49"/>
  <c r="D20" i="49"/>
  <c r="D25" i="49"/>
  <c r="D31" i="49"/>
  <c r="D17" i="49"/>
  <c r="D22" i="49"/>
  <c r="D26" i="49"/>
  <c r="D18" i="49"/>
  <c r="D16" i="49"/>
  <c r="D23" i="49"/>
  <c r="D27" i="49"/>
  <c r="D15" i="49"/>
  <c r="D21" i="49"/>
  <c r="D24" i="49"/>
  <c r="D11" i="43"/>
  <c r="D17" i="43"/>
  <c r="D10" i="43"/>
  <c r="D14" i="43"/>
  <c r="D13" i="43"/>
  <c r="D19" i="43"/>
  <c r="D12" i="43"/>
  <c r="D18" i="43"/>
  <c r="D27" i="40"/>
  <c r="D22" i="40"/>
  <c r="D10" i="40"/>
  <c r="D14" i="40"/>
  <c r="D18" i="40"/>
  <c r="D24" i="40"/>
  <c r="D28" i="40"/>
  <c r="D11" i="40"/>
  <c r="D15" i="40"/>
  <c r="D19" i="40"/>
  <c r="D25" i="40"/>
  <c r="D12" i="40"/>
  <c r="D16" i="40"/>
  <c r="D21" i="40"/>
  <c r="D26" i="40"/>
  <c r="D13" i="40"/>
  <c r="D17" i="40"/>
  <c r="D23" i="40"/>
  <c r="D27" i="48"/>
  <c r="D15" i="48"/>
  <c r="D18" i="48"/>
  <c r="D22" i="48"/>
  <c r="D26" i="48"/>
  <c r="D19" i="48"/>
  <c r="D25" i="48"/>
  <c r="D20" i="48"/>
  <c r="D17" i="48"/>
  <c r="D21" i="48"/>
  <c r="D24" i="48"/>
  <c r="D28" i="48"/>
  <c r="D16" i="48"/>
  <c r="D23" i="48"/>
  <c r="C4" i="39"/>
  <c r="D19" i="39" s="1"/>
  <c r="D26" i="47"/>
  <c r="D34" i="47"/>
  <c r="D28" i="47"/>
  <c r="D23" i="47"/>
  <c r="D19" i="47"/>
  <c r="D36" i="47"/>
  <c r="D31" i="47"/>
  <c r="D29" i="47"/>
  <c r="D24" i="47"/>
  <c r="D20" i="47"/>
  <c r="D11" i="47"/>
  <c r="D15" i="47"/>
  <c r="D10" i="47"/>
  <c r="D14" i="47"/>
  <c r="D35" i="47"/>
  <c r="D32" i="47"/>
  <c r="D25" i="47"/>
  <c r="D21" i="47"/>
  <c r="D37" i="47"/>
  <c r="D33" i="47"/>
  <c r="D30" i="47"/>
  <c r="D27" i="47"/>
  <c r="D22" i="47"/>
  <c r="D18" i="47"/>
  <c r="D13" i="47"/>
  <c r="D17" i="47"/>
  <c r="D12" i="47"/>
  <c r="D16" i="47"/>
  <c r="D12" i="59"/>
  <c r="D16" i="59"/>
  <c r="D13" i="59"/>
  <c r="D17" i="59"/>
  <c r="D14" i="59"/>
  <c r="D11" i="59"/>
  <c r="D15" i="59"/>
  <c r="D10" i="59"/>
  <c r="D26" i="38"/>
  <c r="D16" i="38"/>
  <c r="D19" i="38"/>
  <c r="D23" i="38"/>
  <c r="D15" i="38"/>
  <c r="D20" i="38"/>
  <c r="D24" i="38"/>
  <c r="D18" i="38"/>
  <c r="D21" i="38"/>
  <c r="D25" i="38"/>
  <c r="D17" i="38"/>
  <c r="D22" i="38"/>
  <c r="D29" i="50"/>
  <c r="D18" i="50"/>
  <c r="D22" i="50"/>
  <c r="D26" i="50"/>
  <c r="D30" i="50"/>
  <c r="D15" i="50"/>
  <c r="D19" i="50"/>
  <c r="D23" i="50"/>
  <c r="D27" i="50"/>
  <c r="D16" i="50"/>
  <c r="D20" i="50"/>
  <c r="D24" i="50"/>
  <c r="D28" i="50"/>
  <c r="D17" i="50"/>
  <c r="D21" i="50"/>
  <c r="D25" i="50"/>
  <c r="BY3" i="56"/>
  <c r="BW3" i="56"/>
  <c r="BU3" i="56"/>
  <c r="O33" i="24"/>
  <c r="R18" i="19"/>
  <c r="S18" i="19" s="1"/>
  <c r="R20" i="19"/>
  <c r="S20" i="19" s="1"/>
  <c r="R22" i="19"/>
  <c r="S22" i="19" s="1"/>
  <c r="H15" i="19"/>
  <c r="R20" i="18"/>
  <c r="R18" i="35"/>
  <c r="S18" i="35" s="1"/>
  <c r="R18" i="29"/>
  <c r="S18" i="29" s="1"/>
  <c r="R20" i="29"/>
  <c r="S20" i="29" s="1"/>
  <c r="R22" i="29"/>
  <c r="S22" i="29" s="1"/>
  <c r="Q31" i="29"/>
  <c r="C15" i="29"/>
  <c r="C23" i="27"/>
  <c r="H36" i="27"/>
  <c r="J36" i="27"/>
  <c r="L36" i="27"/>
  <c r="N36" i="27"/>
  <c r="P36" i="27"/>
  <c r="F37" i="27"/>
  <c r="H37" i="27"/>
  <c r="J37" i="27"/>
  <c r="L37" i="27"/>
  <c r="N37" i="27"/>
  <c r="P37" i="27"/>
  <c r="G36" i="27"/>
  <c r="I36" i="27"/>
  <c r="K36" i="27"/>
  <c r="M36" i="27"/>
  <c r="O36" i="27"/>
  <c r="Q36" i="27"/>
  <c r="G37" i="27"/>
  <c r="I37" i="27"/>
  <c r="K37" i="27"/>
  <c r="M37" i="27"/>
  <c r="O37" i="27"/>
  <c r="R20" i="24"/>
  <c r="S20" i="24" s="1"/>
  <c r="R22" i="24"/>
  <c r="S22" i="24" s="1"/>
  <c r="R24" i="24"/>
  <c r="S24" i="24" s="1"/>
  <c r="Q33" i="24"/>
  <c r="R4" i="24"/>
  <c r="S4" i="24" s="1"/>
  <c r="F17" i="24"/>
  <c r="C17" i="24"/>
  <c r="R21" i="23"/>
  <c r="S21" i="23" s="1"/>
  <c r="F34" i="23"/>
  <c r="D42" i="23"/>
  <c r="D44" i="23"/>
  <c r="D46" i="23"/>
  <c r="D48" i="23"/>
  <c r="D51" i="23"/>
  <c r="D53" i="23"/>
  <c r="D57" i="23"/>
  <c r="D59" i="23"/>
  <c r="D54" i="23"/>
  <c r="D43" i="23"/>
  <c r="D45" i="23"/>
  <c r="D47" i="23"/>
  <c r="D52" i="23"/>
  <c r="D56" i="23"/>
  <c r="D58" i="23"/>
  <c r="D60" i="23"/>
  <c r="S7" i="21"/>
  <c r="R8" i="19"/>
  <c r="S8" i="19" s="1"/>
  <c r="J15" i="19"/>
  <c r="L15" i="19"/>
  <c r="N15" i="19"/>
  <c r="P15" i="19"/>
  <c r="R30" i="19"/>
  <c r="S30" i="19" s="1"/>
  <c r="C15" i="19"/>
  <c r="G37" i="19"/>
  <c r="I37" i="19"/>
  <c r="K37" i="19"/>
  <c r="M37" i="19"/>
  <c r="O37" i="19"/>
  <c r="Q37" i="19"/>
  <c r="F37" i="19"/>
  <c r="H37" i="19"/>
  <c r="J37" i="19"/>
  <c r="L37" i="19"/>
  <c r="N37" i="19"/>
  <c r="R22" i="17"/>
  <c r="Q26" i="36"/>
  <c r="O26" i="36"/>
  <c r="M26" i="36"/>
  <c r="K26" i="36"/>
  <c r="I26" i="36"/>
  <c r="G26" i="36"/>
  <c r="P26" i="36"/>
  <c r="N26" i="36"/>
  <c r="L26" i="36"/>
  <c r="J26" i="36"/>
  <c r="H26" i="36"/>
  <c r="F26" i="36"/>
  <c r="Q19" i="36"/>
  <c r="O19" i="36"/>
  <c r="M19" i="36"/>
  <c r="K19" i="36"/>
  <c r="I19" i="36"/>
  <c r="G19" i="36"/>
  <c r="P19" i="36"/>
  <c r="N19" i="36"/>
  <c r="L19" i="36"/>
  <c r="J19" i="36"/>
  <c r="H19" i="36"/>
  <c r="F19" i="36"/>
  <c r="Q17" i="36"/>
  <c r="O17" i="36"/>
  <c r="M17" i="36"/>
  <c r="K17" i="36"/>
  <c r="I17" i="36"/>
  <c r="G17" i="36"/>
  <c r="P17" i="36"/>
  <c r="N17" i="36"/>
  <c r="L17" i="36"/>
  <c r="J17" i="36"/>
  <c r="H17" i="36"/>
  <c r="F17" i="36"/>
  <c r="Q32" i="36"/>
  <c r="O32" i="36"/>
  <c r="M32" i="36"/>
  <c r="K32" i="36"/>
  <c r="I32" i="36"/>
  <c r="G32" i="36"/>
  <c r="P32" i="36"/>
  <c r="N32" i="36"/>
  <c r="L32" i="36"/>
  <c r="J32" i="36"/>
  <c r="H32" i="36"/>
  <c r="F32" i="36"/>
  <c r="Q27" i="36"/>
  <c r="O27" i="36"/>
  <c r="M27" i="36"/>
  <c r="K27" i="36"/>
  <c r="I27" i="36"/>
  <c r="G27" i="36"/>
  <c r="P27" i="36"/>
  <c r="N27" i="36"/>
  <c r="L27" i="36"/>
  <c r="J27" i="36"/>
  <c r="H27" i="36"/>
  <c r="F27" i="36"/>
  <c r="Q23" i="36"/>
  <c r="O23" i="36"/>
  <c r="M23" i="36"/>
  <c r="K23" i="36"/>
  <c r="I23" i="36"/>
  <c r="G23" i="36"/>
  <c r="P23" i="36"/>
  <c r="N23" i="36"/>
  <c r="L23" i="36"/>
  <c r="J23" i="36"/>
  <c r="H23" i="36"/>
  <c r="F23" i="36"/>
  <c r="Q22" i="36"/>
  <c r="O22" i="36"/>
  <c r="M22" i="36"/>
  <c r="K22" i="36"/>
  <c r="I22" i="36"/>
  <c r="G22" i="36"/>
  <c r="P22" i="36"/>
  <c r="N22" i="36"/>
  <c r="L22" i="36"/>
  <c r="J22" i="36"/>
  <c r="H22" i="36"/>
  <c r="F22" i="36"/>
  <c r="Q28" i="36"/>
  <c r="O28" i="36"/>
  <c r="M28" i="36"/>
  <c r="K28" i="36"/>
  <c r="I28" i="36"/>
  <c r="G28" i="36"/>
  <c r="P28" i="36"/>
  <c r="N28" i="36"/>
  <c r="L28" i="36"/>
  <c r="J28" i="36"/>
  <c r="H28" i="36"/>
  <c r="F28" i="36"/>
  <c r="Q24" i="36"/>
  <c r="O24" i="36"/>
  <c r="M24" i="36"/>
  <c r="K24" i="36"/>
  <c r="I24" i="36"/>
  <c r="G24" i="36"/>
  <c r="P24" i="36"/>
  <c r="N24" i="36"/>
  <c r="L24" i="36"/>
  <c r="J24" i="36"/>
  <c r="H24" i="36"/>
  <c r="F24" i="36"/>
  <c r="Q18" i="36"/>
  <c r="O18" i="36"/>
  <c r="M18" i="36"/>
  <c r="K18" i="36"/>
  <c r="I18" i="36"/>
  <c r="G18" i="36"/>
  <c r="P18" i="36"/>
  <c r="N18" i="36"/>
  <c r="L18" i="36"/>
  <c r="J18" i="36"/>
  <c r="H18" i="36"/>
  <c r="F18" i="36"/>
  <c r="Q15" i="36"/>
  <c r="O15" i="36"/>
  <c r="M15" i="36"/>
  <c r="K15" i="36"/>
  <c r="I15" i="36"/>
  <c r="G15" i="36"/>
  <c r="P15" i="36"/>
  <c r="N15" i="36"/>
  <c r="L15" i="36"/>
  <c r="J15" i="36"/>
  <c r="H15" i="36"/>
  <c r="F15" i="36"/>
  <c r="Q29" i="36"/>
  <c r="O29" i="36"/>
  <c r="M29" i="36"/>
  <c r="K29" i="36"/>
  <c r="I29" i="36"/>
  <c r="G29" i="36"/>
  <c r="P29" i="36"/>
  <c r="N29" i="36"/>
  <c r="L29" i="36"/>
  <c r="J29" i="36"/>
  <c r="H29" i="36"/>
  <c r="F29" i="36"/>
  <c r="Q25" i="36"/>
  <c r="O25" i="36"/>
  <c r="M25" i="36"/>
  <c r="K25" i="36"/>
  <c r="I25" i="36"/>
  <c r="G25" i="36"/>
  <c r="P25" i="36"/>
  <c r="N25" i="36"/>
  <c r="L25" i="36"/>
  <c r="J25" i="36"/>
  <c r="H25" i="36"/>
  <c r="F25" i="36"/>
  <c r="Q16" i="36"/>
  <c r="O16" i="36"/>
  <c r="M16" i="36"/>
  <c r="K16" i="36"/>
  <c r="I16" i="36"/>
  <c r="G16" i="36"/>
  <c r="P16" i="36"/>
  <c r="N16" i="36"/>
  <c r="L16" i="36"/>
  <c r="J16" i="36"/>
  <c r="H16" i="36"/>
  <c r="F16" i="36"/>
  <c r="Q21" i="36"/>
  <c r="O21" i="36"/>
  <c r="M21" i="36"/>
  <c r="K21" i="36"/>
  <c r="I21" i="36"/>
  <c r="G21" i="36"/>
  <c r="P21" i="36"/>
  <c r="N21" i="36"/>
  <c r="L21" i="36"/>
  <c r="J21" i="36"/>
  <c r="H21" i="36"/>
  <c r="F21" i="36"/>
  <c r="Q20" i="36"/>
  <c r="O20" i="36"/>
  <c r="M20" i="36"/>
  <c r="K20" i="36"/>
  <c r="I20" i="36"/>
  <c r="G20" i="36"/>
  <c r="P20" i="36"/>
  <c r="N20" i="36"/>
  <c r="L20" i="36"/>
  <c r="J20" i="36"/>
  <c r="H20" i="36"/>
  <c r="F20" i="36"/>
  <c r="R18" i="34"/>
  <c r="S18" i="34" s="1"/>
  <c r="P36" i="33"/>
  <c r="P37" i="33" s="1"/>
  <c r="N36" i="33"/>
  <c r="L36" i="33"/>
  <c r="J36" i="33"/>
  <c r="H36" i="33"/>
  <c r="F36" i="33"/>
  <c r="Q36" i="33"/>
  <c r="Q37" i="33" s="1"/>
  <c r="M36" i="33"/>
  <c r="K36" i="33"/>
  <c r="K37" i="33" s="1"/>
  <c r="I36" i="33"/>
  <c r="G36" i="33"/>
  <c r="Q37" i="31"/>
  <c r="O37" i="31"/>
  <c r="M37" i="31"/>
  <c r="K37" i="31"/>
  <c r="I37" i="31"/>
  <c r="G37" i="31"/>
  <c r="P37" i="31"/>
  <c r="N37" i="31"/>
  <c r="L37" i="31"/>
  <c r="J37" i="31"/>
  <c r="H37" i="31"/>
  <c r="G15" i="29"/>
  <c r="I15" i="29"/>
  <c r="R4" i="29"/>
  <c r="S4" i="29" s="1"/>
  <c r="K15" i="29"/>
  <c r="M15" i="29"/>
  <c r="O15" i="29"/>
  <c r="Q15" i="29"/>
  <c r="R17" i="29"/>
  <c r="S17" i="29" s="1"/>
  <c r="R19" i="29"/>
  <c r="S19" i="29" s="1"/>
  <c r="R21" i="29"/>
  <c r="S21" i="29" s="1"/>
  <c r="R9" i="29"/>
  <c r="S9" i="29" s="1"/>
  <c r="R11" i="29"/>
  <c r="S11" i="29" s="1"/>
  <c r="R13" i="29"/>
  <c r="S13" i="29" s="1"/>
  <c r="R16" i="29"/>
  <c r="S16" i="29" s="1"/>
  <c r="F15" i="29"/>
  <c r="F23" i="29"/>
  <c r="F31" i="29"/>
  <c r="D35" i="29"/>
  <c r="R26" i="21"/>
  <c r="C17" i="28"/>
  <c r="G17" i="28"/>
  <c r="I17" i="28"/>
  <c r="K17" i="28"/>
  <c r="M17" i="28"/>
  <c r="O17" i="28"/>
  <c r="Q17" i="28"/>
  <c r="R11" i="28"/>
  <c r="S11" i="28" s="1"/>
  <c r="R13" i="28"/>
  <c r="S13" i="28" s="1"/>
  <c r="R15" i="28"/>
  <c r="S15" i="28" s="1"/>
  <c r="F25" i="28"/>
  <c r="H25" i="28"/>
  <c r="J25" i="28"/>
  <c r="L25" i="28"/>
  <c r="N25" i="28"/>
  <c r="P25" i="28"/>
  <c r="R20" i="28"/>
  <c r="S20" i="28" s="1"/>
  <c r="R22" i="28"/>
  <c r="S22" i="28" s="1"/>
  <c r="R24" i="28"/>
  <c r="S24" i="28" s="1"/>
  <c r="C33" i="28"/>
  <c r="O33" i="28"/>
  <c r="S2" i="28"/>
  <c r="R12" i="28"/>
  <c r="S12" i="28" s="1"/>
  <c r="R14" i="28"/>
  <c r="S14" i="28" s="1"/>
  <c r="R16" i="28"/>
  <c r="S16" i="28" s="1"/>
  <c r="M25" i="28"/>
  <c r="O25" i="28"/>
  <c r="Q25" i="28"/>
  <c r="R19" i="28"/>
  <c r="S19" i="28" s="1"/>
  <c r="R21" i="28"/>
  <c r="S21" i="28" s="1"/>
  <c r="R23" i="28"/>
  <c r="S23" i="28" s="1"/>
  <c r="Q52" i="28"/>
  <c r="O52" i="28"/>
  <c r="M52" i="28"/>
  <c r="K52" i="28"/>
  <c r="I52" i="28"/>
  <c r="G52" i="28"/>
  <c r="P52" i="28"/>
  <c r="N52" i="28"/>
  <c r="L52" i="28"/>
  <c r="J52" i="28"/>
  <c r="H52" i="28"/>
  <c r="R10" i="28"/>
  <c r="S10" i="28" s="1"/>
  <c r="R18" i="28"/>
  <c r="S18" i="28" s="1"/>
  <c r="D43" i="28"/>
  <c r="D45" i="28"/>
  <c r="D47" i="28"/>
  <c r="D48" i="28"/>
  <c r="D51" i="28"/>
  <c r="D53" i="28"/>
  <c r="D54" i="28"/>
  <c r="D42" i="28"/>
  <c r="D44" i="28"/>
  <c r="D46" i="28"/>
  <c r="D49" i="28"/>
  <c r="D50" i="28"/>
  <c r="S2" i="26"/>
  <c r="C18" i="26"/>
  <c r="G18" i="26"/>
  <c r="I18" i="26"/>
  <c r="K18" i="26"/>
  <c r="M18" i="26"/>
  <c r="O18" i="26"/>
  <c r="Q18" i="26"/>
  <c r="R12" i="26"/>
  <c r="S12" i="26" s="1"/>
  <c r="R14" i="26"/>
  <c r="S14" i="26" s="1"/>
  <c r="R16" i="26"/>
  <c r="S16" i="26" s="1"/>
  <c r="R19" i="26"/>
  <c r="S19" i="26" s="1"/>
  <c r="H26" i="26"/>
  <c r="J26" i="26"/>
  <c r="L26" i="26"/>
  <c r="N26" i="26"/>
  <c r="P26" i="26"/>
  <c r="S20" i="26"/>
  <c r="R21" i="26"/>
  <c r="S21" i="26" s="1"/>
  <c r="S22" i="26"/>
  <c r="R23" i="26"/>
  <c r="S23" i="26" s="1"/>
  <c r="R25" i="26"/>
  <c r="S25" i="26" s="1"/>
  <c r="F18" i="26"/>
  <c r="F26" i="26"/>
  <c r="D47" i="26"/>
  <c r="C24" i="25"/>
  <c r="C467" i="62" s="1"/>
  <c r="R3" i="25"/>
  <c r="S3" i="25" s="1"/>
  <c r="R12" i="24"/>
  <c r="S12" i="24" s="1"/>
  <c r="R14" i="24"/>
  <c r="S14" i="24" s="1"/>
  <c r="R16" i="24"/>
  <c r="S16" i="24" s="1"/>
  <c r="R19" i="24"/>
  <c r="S19" i="24" s="1"/>
  <c r="R21" i="24"/>
  <c r="S21" i="24" s="1"/>
  <c r="R23" i="24"/>
  <c r="S23" i="24" s="1"/>
  <c r="S2" i="24"/>
  <c r="R27" i="24"/>
  <c r="S27" i="24" s="1"/>
  <c r="R29" i="24"/>
  <c r="S29" i="24" s="1"/>
  <c r="R31" i="24"/>
  <c r="S31" i="24" s="1"/>
  <c r="R10" i="24"/>
  <c r="S10" i="24" s="1"/>
  <c r="R18" i="24"/>
  <c r="S18" i="24" s="1"/>
  <c r="R26" i="24"/>
  <c r="S26" i="24" s="1"/>
  <c r="D42" i="24"/>
  <c r="D44" i="24"/>
  <c r="D46" i="24"/>
  <c r="Q46" i="24" s="1"/>
  <c r="D47" i="24"/>
  <c r="D43" i="24"/>
  <c r="Q43" i="24" s="1"/>
  <c r="D45" i="24"/>
  <c r="R2" i="23"/>
  <c r="S2" i="23" s="1"/>
  <c r="R3" i="23"/>
  <c r="S3" i="23" s="1"/>
  <c r="C10" i="23"/>
  <c r="C399" i="62" s="1"/>
  <c r="C406" i="62" s="1"/>
  <c r="C26" i="23"/>
  <c r="C415" i="62" s="1"/>
  <c r="C422" i="62" s="1"/>
  <c r="C18" i="23"/>
  <c r="C407" i="62" s="1"/>
  <c r="C414" i="62" s="1"/>
  <c r="C17" i="22"/>
  <c r="D43" i="22"/>
  <c r="D45" i="22"/>
  <c r="D49" i="22"/>
  <c r="D52" i="22"/>
  <c r="D54" i="22"/>
  <c r="D56" i="22"/>
  <c r="D42" i="22"/>
  <c r="D44" i="22"/>
  <c r="D46" i="22"/>
  <c r="D50" i="22"/>
  <c r="D53" i="22"/>
  <c r="D55" i="22"/>
  <c r="R3" i="22"/>
  <c r="S3" i="22" s="1"/>
  <c r="C26" i="22"/>
  <c r="R2" i="22"/>
  <c r="S2" i="22" s="1"/>
  <c r="C18" i="22"/>
  <c r="R18" i="21"/>
  <c r="R19" i="21"/>
  <c r="C26" i="21"/>
  <c r="R2" i="21"/>
  <c r="S2" i="21" s="1"/>
  <c r="C20" i="20"/>
  <c r="C357" i="62" s="1"/>
  <c r="C19" i="20"/>
  <c r="C356" i="62" s="1"/>
  <c r="C29" i="20"/>
  <c r="C366" i="62" s="1"/>
  <c r="C28" i="20"/>
  <c r="C365" i="62" s="1"/>
  <c r="C27" i="20"/>
  <c r="C364" i="62" s="1"/>
  <c r="C26" i="20"/>
  <c r="C363" i="62" s="1"/>
  <c r="G36" i="19"/>
  <c r="I36" i="19"/>
  <c r="K36" i="19"/>
  <c r="M36" i="19"/>
  <c r="O36" i="19"/>
  <c r="Q36" i="19"/>
  <c r="R10" i="19"/>
  <c r="S10" i="19" s="1"/>
  <c r="R12" i="19"/>
  <c r="S12" i="19" s="1"/>
  <c r="R14" i="19"/>
  <c r="S14" i="19" s="1"/>
  <c r="M23" i="19"/>
  <c r="O23" i="19"/>
  <c r="Q23" i="19"/>
  <c r="R17" i="19"/>
  <c r="S17" i="19" s="1"/>
  <c r="R19" i="19"/>
  <c r="S19" i="19" s="1"/>
  <c r="R21" i="19"/>
  <c r="S21" i="19" s="1"/>
  <c r="H36" i="19"/>
  <c r="J36" i="19"/>
  <c r="L36" i="19"/>
  <c r="N36" i="19"/>
  <c r="P36" i="19"/>
  <c r="R25" i="19"/>
  <c r="S25" i="19" s="1"/>
  <c r="R27" i="19"/>
  <c r="S27" i="19" s="1"/>
  <c r="R29" i="19"/>
  <c r="S29" i="19" s="1"/>
  <c r="F15" i="19"/>
  <c r="F23" i="19"/>
  <c r="C22" i="18"/>
  <c r="C317" i="62" s="1"/>
  <c r="C21" i="18"/>
  <c r="C316" i="62" s="1"/>
  <c r="C20" i="18"/>
  <c r="C314" i="62"/>
  <c r="C18" i="18"/>
  <c r="C313" i="62" s="1"/>
  <c r="C17" i="18"/>
  <c r="C312" i="62" s="1"/>
  <c r="C16" i="18"/>
  <c r="C311" i="62" s="1"/>
  <c r="C14" i="18"/>
  <c r="C309" i="62" s="1"/>
  <c r="C13" i="18"/>
  <c r="C308" i="62" s="1"/>
  <c r="C12" i="18"/>
  <c r="C307" i="62" s="1"/>
  <c r="C306" i="62"/>
  <c r="C4" i="18"/>
  <c r="Q22" i="13"/>
  <c r="P22" i="13"/>
  <c r="O22" i="13"/>
  <c r="N22" i="13"/>
  <c r="M22" i="13"/>
  <c r="L22" i="13"/>
  <c r="K22" i="13"/>
  <c r="J22" i="13"/>
  <c r="I22" i="13"/>
  <c r="H22" i="13"/>
  <c r="G22" i="13"/>
  <c r="F22" i="13"/>
  <c r="Q21" i="13"/>
  <c r="P21" i="13"/>
  <c r="O21" i="13"/>
  <c r="N21" i="13"/>
  <c r="M21" i="13"/>
  <c r="L21" i="13"/>
  <c r="K21" i="13"/>
  <c r="J21" i="13"/>
  <c r="I21" i="13"/>
  <c r="H21" i="13"/>
  <c r="G21" i="13"/>
  <c r="F21" i="13"/>
  <c r="Q20" i="13"/>
  <c r="P20" i="13"/>
  <c r="O20" i="13"/>
  <c r="N20" i="13"/>
  <c r="M20" i="13"/>
  <c r="L20" i="13"/>
  <c r="K20" i="13"/>
  <c r="J20" i="13"/>
  <c r="I20" i="13"/>
  <c r="H20" i="13"/>
  <c r="G20" i="13"/>
  <c r="F20" i="13"/>
  <c r="Q19" i="13"/>
  <c r="P19" i="13"/>
  <c r="O19" i="13"/>
  <c r="N19" i="13"/>
  <c r="M19" i="13"/>
  <c r="L19" i="13"/>
  <c r="K19" i="13"/>
  <c r="J19" i="13"/>
  <c r="I19" i="13"/>
  <c r="H19" i="13"/>
  <c r="G19" i="13"/>
  <c r="F19" i="13"/>
  <c r="Q18" i="13"/>
  <c r="P18" i="13"/>
  <c r="O18" i="13"/>
  <c r="N18" i="13"/>
  <c r="M18" i="13"/>
  <c r="L18" i="13"/>
  <c r="K18" i="13"/>
  <c r="J18" i="13"/>
  <c r="I18" i="13"/>
  <c r="H18" i="13"/>
  <c r="G18" i="13"/>
  <c r="F18" i="13"/>
  <c r="Q17" i="13"/>
  <c r="P17" i="13"/>
  <c r="O17" i="13"/>
  <c r="N17" i="13"/>
  <c r="M17" i="13"/>
  <c r="L17" i="13"/>
  <c r="K17" i="13"/>
  <c r="J17" i="13"/>
  <c r="I17" i="13"/>
  <c r="H17" i="13"/>
  <c r="G17" i="13"/>
  <c r="F17" i="13"/>
  <c r="Q16" i="13"/>
  <c r="P16" i="13"/>
  <c r="O16" i="13"/>
  <c r="N16" i="13"/>
  <c r="M16" i="13"/>
  <c r="M23" i="13" s="1"/>
  <c r="L16" i="13"/>
  <c r="K16" i="13"/>
  <c r="K23" i="13" s="1"/>
  <c r="J16" i="13"/>
  <c r="J23" i="13" s="1"/>
  <c r="I16" i="13"/>
  <c r="I23" i="13" s="1"/>
  <c r="H16" i="13"/>
  <c r="H23" i="13" s="1"/>
  <c r="G16" i="13"/>
  <c r="G23" i="13" s="1"/>
  <c r="F16" i="13"/>
  <c r="F23" i="13" s="1"/>
  <c r="Q23" i="13"/>
  <c r="P23" i="13"/>
  <c r="L23" i="13"/>
  <c r="C22" i="13"/>
  <c r="C187" i="62" s="1"/>
  <c r="C21" i="13"/>
  <c r="C186" i="62" s="1"/>
  <c r="C20" i="13"/>
  <c r="C185" i="62" s="1"/>
  <c r="C19" i="13"/>
  <c r="C184" i="62" s="1"/>
  <c r="C18" i="13"/>
  <c r="C183" i="62" s="1"/>
  <c r="C17" i="13"/>
  <c r="C182" i="62" s="1"/>
  <c r="C16" i="13"/>
  <c r="C181" i="62" s="1"/>
  <c r="Q23" i="10"/>
  <c r="P23" i="10"/>
  <c r="O23" i="10"/>
  <c r="N23" i="10"/>
  <c r="M23" i="10"/>
  <c r="L23" i="10"/>
  <c r="K23" i="10"/>
  <c r="J23" i="10"/>
  <c r="I23" i="10"/>
  <c r="H23" i="10"/>
  <c r="G23" i="10"/>
  <c r="F23" i="10"/>
  <c r="Q22" i="10"/>
  <c r="P22" i="10"/>
  <c r="O22" i="10"/>
  <c r="N22" i="10"/>
  <c r="M22" i="10"/>
  <c r="L22" i="10"/>
  <c r="K22" i="10"/>
  <c r="J22" i="10"/>
  <c r="I22" i="10"/>
  <c r="H22" i="10"/>
  <c r="G22" i="10"/>
  <c r="F22" i="10"/>
  <c r="Q21" i="10"/>
  <c r="P21" i="10"/>
  <c r="O21" i="10"/>
  <c r="N21" i="10"/>
  <c r="M21" i="10"/>
  <c r="L21" i="10"/>
  <c r="K21" i="10"/>
  <c r="J21" i="10"/>
  <c r="I21" i="10"/>
  <c r="H21" i="10"/>
  <c r="G21" i="10"/>
  <c r="F21" i="10"/>
  <c r="Q20" i="10"/>
  <c r="P20" i="10"/>
  <c r="O20" i="10"/>
  <c r="N20" i="10"/>
  <c r="M20" i="10"/>
  <c r="L20" i="10"/>
  <c r="K20" i="10"/>
  <c r="J20" i="10"/>
  <c r="I20" i="10"/>
  <c r="H20" i="10"/>
  <c r="G20" i="10"/>
  <c r="F20" i="10"/>
  <c r="Q19" i="10"/>
  <c r="P19" i="10"/>
  <c r="O19" i="10"/>
  <c r="N19" i="10"/>
  <c r="M19" i="10"/>
  <c r="L19" i="10"/>
  <c r="K19" i="10"/>
  <c r="J19" i="10"/>
  <c r="I19" i="10"/>
  <c r="H19" i="10"/>
  <c r="G19" i="10"/>
  <c r="F19" i="10"/>
  <c r="Q18" i="10"/>
  <c r="P18" i="10"/>
  <c r="O18" i="10"/>
  <c r="N18" i="10"/>
  <c r="M18" i="10"/>
  <c r="L18" i="10"/>
  <c r="K18" i="10"/>
  <c r="J18" i="10"/>
  <c r="I18" i="10"/>
  <c r="H18" i="10"/>
  <c r="G18" i="10"/>
  <c r="F18" i="10"/>
  <c r="Q17" i="10"/>
  <c r="Q24" i="10" s="1"/>
  <c r="P17" i="10"/>
  <c r="P24" i="10" s="1"/>
  <c r="O17" i="10"/>
  <c r="O24" i="10" s="1"/>
  <c r="N17" i="10"/>
  <c r="N24" i="10" s="1"/>
  <c r="M17" i="10"/>
  <c r="M24" i="10" s="1"/>
  <c r="L17" i="10"/>
  <c r="L24" i="10" s="1"/>
  <c r="K17" i="10"/>
  <c r="K24" i="10" s="1"/>
  <c r="J17" i="10"/>
  <c r="I17" i="10"/>
  <c r="I24" i="10" s="1"/>
  <c r="H17" i="10"/>
  <c r="H24" i="10" s="1"/>
  <c r="G17" i="10"/>
  <c r="F17" i="10"/>
  <c r="C23" i="10"/>
  <c r="C109" i="62" s="1"/>
  <c r="C22" i="10"/>
  <c r="C108" i="62" s="1"/>
  <c r="C21" i="10"/>
  <c r="C107" i="62" s="1"/>
  <c r="C20" i="10"/>
  <c r="C106" i="62" s="1"/>
  <c r="C19" i="10"/>
  <c r="C105" i="62" s="1"/>
  <c r="C18" i="10"/>
  <c r="C104" i="62" s="1"/>
  <c r="C17" i="10"/>
  <c r="C103" i="62" s="1"/>
  <c r="D34" i="17"/>
  <c r="C32" i="17"/>
  <c r="C299" i="62" s="1"/>
  <c r="C31" i="17"/>
  <c r="C298" i="62" s="1"/>
  <c r="C30" i="17"/>
  <c r="C297" i="62" s="1"/>
  <c r="C29" i="17"/>
  <c r="C296" i="62" s="1"/>
  <c r="C28" i="17"/>
  <c r="C295" i="62" s="1"/>
  <c r="C27" i="17"/>
  <c r="C294" i="62" s="1"/>
  <c r="C26" i="17"/>
  <c r="C293" i="62" s="1"/>
  <c r="C24" i="17"/>
  <c r="C291" i="62" s="1"/>
  <c r="C23" i="17"/>
  <c r="C290" i="62" s="1"/>
  <c r="C22" i="17"/>
  <c r="C289" i="62" s="1"/>
  <c r="C21" i="17"/>
  <c r="C288" i="62" s="1"/>
  <c r="C20" i="17"/>
  <c r="C287" i="62" s="1"/>
  <c r="C19" i="17"/>
  <c r="C286" i="62" s="1"/>
  <c r="C18" i="17"/>
  <c r="C285" i="62" s="1"/>
  <c r="C16" i="17"/>
  <c r="C283" i="62" s="1"/>
  <c r="C15" i="17"/>
  <c r="C282" i="62" s="1"/>
  <c r="C14" i="17"/>
  <c r="C281" i="62" s="1"/>
  <c r="C13" i="17"/>
  <c r="C280" i="62" s="1"/>
  <c r="C12" i="17"/>
  <c r="C279" i="62" s="1"/>
  <c r="C11" i="17"/>
  <c r="C278" i="62" s="1"/>
  <c r="C10" i="17"/>
  <c r="C277" i="62" s="1"/>
  <c r="C4" i="17"/>
  <c r="O23" i="13" l="1"/>
  <c r="J47" i="22"/>
  <c r="N47" i="22"/>
  <c r="J24" i="10"/>
  <c r="R29" i="25"/>
  <c r="S29" i="25" s="1"/>
  <c r="P2" i="53"/>
  <c r="Q2" i="55"/>
  <c r="Q2" i="54"/>
  <c r="L10" i="20"/>
  <c r="O47" i="22"/>
  <c r="I31" i="33"/>
  <c r="O31" i="25"/>
  <c r="H47" i="22"/>
  <c r="L47" i="22"/>
  <c r="K47" i="22"/>
  <c r="Q47" i="22"/>
  <c r="M47" i="22"/>
  <c r="G47" i="22"/>
  <c r="P47" i="22"/>
  <c r="J31" i="25"/>
  <c r="L31" i="25"/>
  <c r="G33" i="28"/>
  <c r="I32" i="33"/>
  <c r="F46" i="26"/>
  <c r="J46" i="26"/>
  <c r="N46" i="26"/>
  <c r="G46" i="26"/>
  <c r="K46" i="26"/>
  <c r="O46" i="26"/>
  <c r="I46" i="26"/>
  <c r="M46" i="26"/>
  <c r="Q46" i="26"/>
  <c r="H46" i="26"/>
  <c r="L46" i="26"/>
  <c r="P46" i="26"/>
  <c r="L33" i="20"/>
  <c r="M94" i="61"/>
  <c r="L94" i="61"/>
  <c r="I47" i="22"/>
  <c r="N31" i="27"/>
  <c r="P31" i="27"/>
  <c r="P32" i="27" s="1"/>
  <c r="N23" i="13"/>
  <c r="L23" i="20"/>
  <c r="Q2" i="46"/>
  <c r="Q2" i="49"/>
  <c r="Q2" i="43"/>
  <c r="Q2" i="3"/>
  <c r="R5" i="44"/>
  <c r="S5" i="44" s="1"/>
  <c r="O16" i="44"/>
  <c r="Q2" i="48"/>
  <c r="O17" i="44"/>
  <c r="I31" i="27"/>
  <c r="I32" i="27" s="1"/>
  <c r="H31" i="27"/>
  <c r="K31" i="27"/>
  <c r="K32" i="27" s="1"/>
  <c r="J33" i="20"/>
  <c r="P31" i="28"/>
  <c r="P29" i="28"/>
  <c r="P27" i="28"/>
  <c r="P32" i="28"/>
  <c r="P30" i="28"/>
  <c r="P28" i="28"/>
  <c r="P26" i="28"/>
  <c r="N29" i="33"/>
  <c r="N27" i="33"/>
  <c r="N30" i="33"/>
  <c r="N26" i="33"/>
  <c r="N25" i="33"/>
  <c r="N24" i="33"/>
  <c r="N28" i="33"/>
  <c r="K30" i="33"/>
  <c r="K28" i="33"/>
  <c r="K27" i="33"/>
  <c r="K26" i="33"/>
  <c r="K24" i="33"/>
  <c r="K29" i="33"/>
  <c r="K25" i="33"/>
  <c r="Q17" i="44"/>
  <c r="Q18" i="44"/>
  <c r="F29" i="33"/>
  <c r="F27" i="33"/>
  <c r="F28" i="33"/>
  <c r="F25" i="33"/>
  <c r="F26" i="33"/>
  <c r="F24" i="33"/>
  <c r="F30" i="33"/>
  <c r="H30" i="33"/>
  <c r="H28" i="33"/>
  <c r="H29" i="33"/>
  <c r="H26" i="33"/>
  <c r="H24" i="33"/>
  <c r="H27" i="33"/>
  <c r="H25" i="33"/>
  <c r="M20" i="44"/>
  <c r="Q19" i="44"/>
  <c r="M19" i="44"/>
  <c r="Q31" i="27"/>
  <c r="Q32" i="27" s="1"/>
  <c r="F32" i="20"/>
  <c r="R32" i="20" s="1"/>
  <c r="S32" i="20" s="1"/>
  <c r="F31" i="20"/>
  <c r="R31" i="20" s="1"/>
  <c r="S31" i="20" s="1"/>
  <c r="F30" i="20"/>
  <c r="R30" i="20" s="1"/>
  <c r="S30" i="20" s="1"/>
  <c r="F29" i="20"/>
  <c r="F27" i="20"/>
  <c r="R3" i="20"/>
  <c r="S3" i="20" s="1"/>
  <c r="F28" i="20"/>
  <c r="F26" i="20"/>
  <c r="K32" i="28"/>
  <c r="K30" i="28"/>
  <c r="K28" i="28"/>
  <c r="K26" i="28"/>
  <c r="K31" i="28"/>
  <c r="K29" i="28"/>
  <c r="K27" i="28"/>
  <c r="H31" i="28"/>
  <c r="H29" i="28"/>
  <c r="H27" i="28"/>
  <c r="H32" i="28"/>
  <c r="H30" i="28"/>
  <c r="H28" i="28"/>
  <c r="H26" i="28"/>
  <c r="L29" i="33"/>
  <c r="L27" i="33"/>
  <c r="L28" i="33"/>
  <c r="L25" i="33"/>
  <c r="L30" i="33"/>
  <c r="L26" i="33"/>
  <c r="L24" i="33"/>
  <c r="Q20" i="44"/>
  <c r="O20" i="44"/>
  <c r="O18" i="44"/>
  <c r="M30" i="33"/>
  <c r="M28" i="33"/>
  <c r="M26" i="33"/>
  <c r="M29" i="33"/>
  <c r="M24" i="33"/>
  <c r="M27" i="33"/>
  <c r="M25" i="33"/>
  <c r="O19" i="44"/>
  <c r="F4" i="28"/>
  <c r="F52" i="28" s="1"/>
  <c r="R52" i="28" s="1"/>
  <c r="S52" i="28" s="1"/>
  <c r="Q64" i="58"/>
  <c r="R64" i="58" s="1"/>
  <c r="F31" i="28"/>
  <c r="F29" i="28"/>
  <c r="F27" i="28"/>
  <c r="R3" i="28"/>
  <c r="F32" i="28"/>
  <c r="F30" i="28"/>
  <c r="F28" i="28"/>
  <c r="F26" i="28"/>
  <c r="F4" i="22"/>
  <c r="F47" i="22" s="1"/>
  <c r="Q67" i="58"/>
  <c r="R67" i="58" s="1"/>
  <c r="F32" i="22"/>
  <c r="F31" i="22"/>
  <c r="F30" i="22"/>
  <c r="F29" i="22"/>
  <c r="F28" i="22"/>
  <c r="F27" i="22"/>
  <c r="F26" i="22"/>
  <c r="M32" i="22"/>
  <c r="M31" i="22"/>
  <c r="M30" i="22"/>
  <c r="M29" i="22"/>
  <c r="M28" i="22"/>
  <c r="M27" i="22"/>
  <c r="M26" i="22"/>
  <c r="L32" i="22"/>
  <c r="L31" i="22"/>
  <c r="L30" i="22"/>
  <c r="L29" i="22"/>
  <c r="L28" i="22"/>
  <c r="L27" i="22"/>
  <c r="L26" i="22"/>
  <c r="G32" i="22"/>
  <c r="G31" i="22"/>
  <c r="G30" i="22"/>
  <c r="G29" i="22"/>
  <c r="G28" i="22"/>
  <c r="G27" i="22"/>
  <c r="G26" i="22"/>
  <c r="O32" i="22"/>
  <c r="O31" i="22"/>
  <c r="O30" i="22"/>
  <c r="O29" i="22"/>
  <c r="O28" i="22"/>
  <c r="O27" i="22"/>
  <c r="O26" i="22"/>
  <c r="F21" i="27"/>
  <c r="R21" i="27" s="1"/>
  <c r="S21" i="27" s="1"/>
  <c r="F19" i="27"/>
  <c r="R19" i="27" s="1"/>
  <c r="S19" i="27" s="1"/>
  <c r="F17" i="27"/>
  <c r="R17" i="27" s="1"/>
  <c r="S17" i="27" s="1"/>
  <c r="F14" i="27"/>
  <c r="R14" i="27" s="1"/>
  <c r="S14" i="27" s="1"/>
  <c r="F12" i="27"/>
  <c r="R12" i="27" s="1"/>
  <c r="S12" i="27" s="1"/>
  <c r="F10" i="27"/>
  <c r="R10" i="27" s="1"/>
  <c r="S10" i="27" s="1"/>
  <c r="F8" i="27"/>
  <c r="R2" i="27"/>
  <c r="S2" i="27" s="1"/>
  <c r="F30" i="27"/>
  <c r="R30" i="27" s="1"/>
  <c r="S30" i="27" s="1"/>
  <c r="F29" i="27"/>
  <c r="R29" i="27" s="1"/>
  <c r="S29" i="27" s="1"/>
  <c r="F28" i="27"/>
  <c r="R28" i="27" s="1"/>
  <c r="S28" i="27" s="1"/>
  <c r="F27" i="27"/>
  <c r="R27" i="27" s="1"/>
  <c r="S27" i="27" s="1"/>
  <c r="F26" i="27"/>
  <c r="R26" i="27" s="1"/>
  <c r="S26" i="27" s="1"/>
  <c r="F25" i="27"/>
  <c r="R25" i="27" s="1"/>
  <c r="S25" i="27" s="1"/>
  <c r="F24" i="27"/>
  <c r="F22" i="27"/>
  <c r="R22" i="27" s="1"/>
  <c r="S22" i="27" s="1"/>
  <c r="F20" i="27"/>
  <c r="R20" i="27" s="1"/>
  <c r="S20" i="27" s="1"/>
  <c r="F18" i="27"/>
  <c r="R18" i="27" s="1"/>
  <c r="S18" i="27" s="1"/>
  <c r="F16" i="27"/>
  <c r="F13" i="27"/>
  <c r="R13" i="27" s="1"/>
  <c r="S13" i="27" s="1"/>
  <c r="F11" i="27"/>
  <c r="R11" i="27" s="1"/>
  <c r="S11" i="27" s="1"/>
  <c r="F9" i="27"/>
  <c r="R9" i="27" s="1"/>
  <c r="S9" i="27" s="1"/>
  <c r="N31" i="28"/>
  <c r="N29" i="28"/>
  <c r="N27" i="28"/>
  <c r="N32" i="28"/>
  <c r="N30" i="28"/>
  <c r="N28" i="28"/>
  <c r="N26" i="28"/>
  <c r="J31" i="28"/>
  <c r="J29" i="28"/>
  <c r="J27" i="28"/>
  <c r="J32" i="28"/>
  <c r="J30" i="28"/>
  <c r="J28" i="28"/>
  <c r="J26" i="28"/>
  <c r="M32" i="28"/>
  <c r="M30" i="28"/>
  <c r="M28" i="28"/>
  <c r="M26" i="28"/>
  <c r="M31" i="28"/>
  <c r="M29" i="28"/>
  <c r="M27" i="28"/>
  <c r="N32" i="22"/>
  <c r="N31" i="22"/>
  <c r="N30" i="22"/>
  <c r="N29" i="22"/>
  <c r="N28" i="22"/>
  <c r="N27" i="22"/>
  <c r="N26" i="22"/>
  <c r="I32" i="22"/>
  <c r="I31" i="22"/>
  <c r="I30" i="22"/>
  <c r="I29" i="22"/>
  <c r="I28" i="22"/>
  <c r="I27" i="22"/>
  <c r="I26" i="22"/>
  <c r="P32" i="22"/>
  <c r="P31" i="22"/>
  <c r="P30" i="22"/>
  <c r="P29" i="22"/>
  <c r="P28" i="22"/>
  <c r="P27" i="22"/>
  <c r="P26" i="22"/>
  <c r="K32" i="22"/>
  <c r="K31" i="22"/>
  <c r="K30" i="22"/>
  <c r="K29" i="22"/>
  <c r="K28" i="22"/>
  <c r="K27" i="22"/>
  <c r="K26" i="22"/>
  <c r="O29" i="33"/>
  <c r="O30" i="33"/>
  <c r="O28" i="33"/>
  <c r="O26" i="33"/>
  <c r="O24" i="33"/>
  <c r="O27" i="33"/>
  <c r="O25" i="33"/>
  <c r="R3" i="33"/>
  <c r="S3" i="33" s="1"/>
  <c r="G48" i="22"/>
  <c r="L48" i="22"/>
  <c r="F48" i="22"/>
  <c r="J48" i="22"/>
  <c r="O48" i="22"/>
  <c r="K48" i="22"/>
  <c r="P48" i="22"/>
  <c r="H48" i="22"/>
  <c r="N48" i="22"/>
  <c r="Q48" i="22"/>
  <c r="M48" i="22"/>
  <c r="I48" i="22"/>
  <c r="Q32" i="28"/>
  <c r="Q30" i="28"/>
  <c r="Q28" i="28"/>
  <c r="Q26" i="28"/>
  <c r="Q31" i="28"/>
  <c r="Q29" i="28"/>
  <c r="Q27" i="28"/>
  <c r="I32" i="28"/>
  <c r="I30" i="28"/>
  <c r="I28" i="28"/>
  <c r="I26" i="28"/>
  <c r="I31" i="28"/>
  <c r="I29" i="28"/>
  <c r="I27" i="28"/>
  <c r="Q32" i="22"/>
  <c r="Q31" i="22"/>
  <c r="Q30" i="22"/>
  <c r="Q29" i="22"/>
  <c r="Q28" i="22"/>
  <c r="Q27" i="22"/>
  <c r="Q26" i="22"/>
  <c r="J32" i="22"/>
  <c r="J31" i="22"/>
  <c r="J30" i="22"/>
  <c r="J29" i="22"/>
  <c r="J28" i="22"/>
  <c r="J27" i="22"/>
  <c r="J26" i="22"/>
  <c r="Q30" i="33"/>
  <c r="Q28" i="33"/>
  <c r="Q24" i="33"/>
  <c r="Q29" i="33"/>
  <c r="Q27" i="33"/>
  <c r="Q25" i="33"/>
  <c r="Q26" i="33"/>
  <c r="R36" i="29"/>
  <c r="S36" i="29" s="1"/>
  <c r="H32" i="22"/>
  <c r="H31" i="22"/>
  <c r="H30" i="22"/>
  <c r="H29" i="22"/>
  <c r="H28" i="22"/>
  <c r="H27" i="22"/>
  <c r="H26" i="22"/>
  <c r="O4" i="33"/>
  <c r="Q82" i="58"/>
  <c r="R82" i="58" s="1"/>
  <c r="N37" i="33"/>
  <c r="R18" i="55"/>
  <c r="S18" i="55" s="1"/>
  <c r="R20" i="55"/>
  <c r="D12" i="52"/>
  <c r="D17" i="52"/>
  <c r="D19" i="52"/>
  <c r="D21" i="52"/>
  <c r="D11" i="52"/>
  <c r="D13" i="52"/>
  <c r="D14" i="52"/>
  <c r="D10" i="52"/>
  <c r="D16" i="52"/>
  <c r="D18" i="52"/>
  <c r="D20" i="52"/>
  <c r="D22" i="52"/>
  <c r="D15" i="52"/>
  <c r="P35" i="31"/>
  <c r="H35" i="31"/>
  <c r="K35" i="31"/>
  <c r="G35" i="31"/>
  <c r="J35" i="31"/>
  <c r="L35" i="31"/>
  <c r="J94" i="61"/>
  <c r="S4" i="18"/>
  <c r="D35" i="18"/>
  <c r="D34" i="18"/>
  <c r="D30" i="18"/>
  <c r="D32" i="18"/>
  <c r="D31" i="18"/>
  <c r="D33" i="18"/>
  <c r="D29" i="18"/>
  <c r="D28" i="18"/>
  <c r="M35" i="31"/>
  <c r="O35" i="31"/>
  <c r="K36" i="31"/>
  <c r="H36" i="31"/>
  <c r="O14" i="30"/>
  <c r="I24" i="20"/>
  <c r="P36" i="31"/>
  <c r="O18" i="30"/>
  <c r="I10" i="20"/>
  <c r="L24" i="20"/>
  <c r="L16" i="20"/>
  <c r="I36" i="31"/>
  <c r="I38" i="31" s="1"/>
  <c r="Q36" i="31"/>
  <c r="N36" i="31"/>
  <c r="O10" i="30"/>
  <c r="O13" i="30"/>
  <c r="I22" i="20"/>
  <c r="I18" i="20"/>
  <c r="I13" i="20"/>
  <c r="I21" i="20"/>
  <c r="M36" i="31"/>
  <c r="M38" i="31" s="1"/>
  <c r="J36" i="31"/>
  <c r="O19" i="30"/>
  <c r="O22" i="30"/>
  <c r="I20" i="20"/>
  <c r="I15" i="20"/>
  <c r="I19" i="20"/>
  <c r="G36" i="31"/>
  <c r="O36" i="31"/>
  <c r="O23" i="30"/>
  <c r="R23" i="30" s="1"/>
  <c r="S23" i="30" s="1"/>
  <c r="I11" i="20"/>
  <c r="I16" i="20"/>
  <c r="I14" i="20"/>
  <c r="I12" i="20"/>
  <c r="N107" i="26"/>
  <c r="N108" i="26" s="1"/>
  <c r="O107" i="26"/>
  <c r="O108" i="26" s="1"/>
  <c r="P107" i="26"/>
  <c r="P108" i="26" s="1"/>
  <c r="M37" i="33"/>
  <c r="L107" i="26"/>
  <c r="L108" i="26" s="1"/>
  <c r="D108" i="26"/>
  <c r="I107" i="26"/>
  <c r="I108" i="26" s="1"/>
  <c r="R30" i="25"/>
  <c r="S30" i="25" s="1"/>
  <c r="G107" i="26"/>
  <c r="G108" i="26" s="1"/>
  <c r="J107" i="26"/>
  <c r="J108" i="26" s="1"/>
  <c r="C32" i="31"/>
  <c r="D32" i="31" s="1"/>
  <c r="G22" i="44"/>
  <c r="L39" i="21"/>
  <c r="I39" i="21"/>
  <c r="O39" i="21"/>
  <c r="O16" i="20"/>
  <c r="L21" i="20"/>
  <c r="L14" i="20"/>
  <c r="P22" i="44"/>
  <c r="F90" i="58"/>
  <c r="H90" i="58"/>
  <c r="J90" i="58"/>
  <c r="L90" i="58"/>
  <c r="N90" i="58"/>
  <c r="G90" i="58"/>
  <c r="I90" i="58"/>
  <c r="K90" i="58"/>
  <c r="M90" i="58"/>
  <c r="O90" i="58"/>
  <c r="E90" i="58"/>
  <c r="H37" i="33"/>
  <c r="P39" i="21"/>
  <c r="J39" i="21"/>
  <c r="H39" i="21"/>
  <c r="J37" i="33"/>
  <c r="D38" i="21"/>
  <c r="P38" i="21" s="1"/>
  <c r="G39" i="21"/>
  <c r="N39" i="21"/>
  <c r="K39" i="21"/>
  <c r="R28" i="25"/>
  <c r="S28" i="25" s="1"/>
  <c r="I37" i="33"/>
  <c r="L37" i="33"/>
  <c r="Q13" i="20"/>
  <c r="M39" i="21"/>
  <c r="Q39" i="21"/>
  <c r="J23" i="20"/>
  <c r="G35" i="32"/>
  <c r="G37" i="32" s="1"/>
  <c r="G37" i="33"/>
  <c r="P16" i="20"/>
  <c r="P13" i="20"/>
  <c r="O35" i="32"/>
  <c r="O37" i="32" s="1"/>
  <c r="D55" i="20"/>
  <c r="L55" i="20" s="1"/>
  <c r="L35" i="32"/>
  <c r="L37" i="32" s="1"/>
  <c r="J32" i="27"/>
  <c r="H22" i="44"/>
  <c r="R8" i="56"/>
  <c r="S8" i="56" s="1"/>
  <c r="O20" i="20"/>
  <c r="M103" i="26"/>
  <c r="M23" i="20"/>
  <c r="K103" i="26"/>
  <c r="Q4" i="17"/>
  <c r="Q35" i="58"/>
  <c r="R35" i="58" s="1"/>
  <c r="R30" i="29"/>
  <c r="S30" i="29" s="1"/>
  <c r="P12" i="20"/>
  <c r="P23" i="20"/>
  <c r="Q12" i="20"/>
  <c r="P40" i="19"/>
  <c r="D46" i="46"/>
  <c r="M21" i="20"/>
  <c r="J19" i="20"/>
  <c r="M16" i="20"/>
  <c r="M18" i="20"/>
  <c r="M15" i="20"/>
  <c r="O22" i="20"/>
  <c r="J16" i="20"/>
  <c r="P14" i="20"/>
  <c r="J12" i="20"/>
  <c r="P10" i="20"/>
  <c r="O24" i="20"/>
  <c r="P20" i="20"/>
  <c r="J20" i="20"/>
  <c r="P11" i="20"/>
  <c r="P22" i="20"/>
  <c r="J21" i="20"/>
  <c r="P19" i="20"/>
  <c r="O15" i="20"/>
  <c r="J14" i="20"/>
  <c r="O11" i="20"/>
  <c r="J10" i="20"/>
  <c r="P24" i="20"/>
  <c r="J24" i="20"/>
  <c r="J11" i="20"/>
  <c r="L31" i="29"/>
  <c r="L32" i="29" s="1"/>
  <c r="K22" i="44"/>
  <c r="Q31" i="25"/>
  <c r="O19" i="20"/>
  <c r="O23" i="20"/>
  <c r="O12" i="20"/>
  <c r="P21" i="20"/>
  <c r="O18" i="20"/>
  <c r="O13" i="20"/>
  <c r="O21" i="20"/>
  <c r="P15" i="20"/>
  <c r="Q23" i="20"/>
  <c r="O14" i="20"/>
  <c r="R28" i="29"/>
  <c r="S28" i="29" s="1"/>
  <c r="C32" i="32"/>
  <c r="R26" i="25"/>
  <c r="S26" i="25" s="1"/>
  <c r="F22" i="44"/>
  <c r="N40" i="19"/>
  <c r="K35" i="32"/>
  <c r="K37" i="32" s="1"/>
  <c r="H35" i="32"/>
  <c r="H37" i="32" s="1"/>
  <c r="P35" i="32"/>
  <c r="P37" i="32" s="1"/>
  <c r="Q22" i="20"/>
  <c r="Q15" i="20"/>
  <c r="R26" i="29"/>
  <c r="S26" i="29" s="1"/>
  <c r="D52" i="20"/>
  <c r="I52" i="20" s="1"/>
  <c r="C396" i="62"/>
  <c r="R39" i="19"/>
  <c r="S39" i="19" s="1"/>
  <c r="M35" i="32"/>
  <c r="M37" i="32" s="1"/>
  <c r="J35" i="32"/>
  <c r="J37" i="32" s="1"/>
  <c r="D51" i="20"/>
  <c r="L51" i="20" s="1"/>
  <c r="D64" i="46"/>
  <c r="F35" i="32"/>
  <c r="Q18" i="20"/>
  <c r="Q11" i="20"/>
  <c r="Q19" i="20"/>
  <c r="J22" i="44"/>
  <c r="O31" i="29"/>
  <c r="O32" i="29" s="1"/>
  <c r="I35" i="32"/>
  <c r="I37" i="32" s="1"/>
  <c r="Q35" i="32"/>
  <c r="Q37" i="32" s="1"/>
  <c r="D43" i="20"/>
  <c r="L43" i="20" s="1"/>
  <c r="D48" i="46"/>
  <c r="Q20" i="20"/>
  <c r="Q33" i="53"/>
  <c r="R33" i="53" s="1"/>
  <c r="R27" i="29"/>
  <c r="S27" i="29" s="1"/>
  <c r="G31" i="29"/>
  <c r="G32" i="29" s="1"/>
  <c r="N31" i="25"/>
  <c r="I31" i="29"/>
  <c r="I32" i="29" s="1"/>
  <c r="D54" i="20"/>
  <c r="J54" i="20" s="1"/>
  <c r="D49" i="20"/>
  <c r="K49" i="20" s="1"/>
  <c r="D45" i="20"/>
  <c r="L45" i="20" s="1"/>
  <c r="D46" i="20"/>
  <c r="P46" i="20" s="1"/>
  <c r="R24" i="29"/>
  <c r="S24" i="29" s="1"/>
  <c r="D47" i="20"/>
  <c r="N47" i="20" s="1"/>
  <c r="D53" i="20"/>
  <c r="L53" i="20" s="1"/>
  <c r="R2" i="20"/>
  <c r="S2" i="20" s="1"/>
  <c r="D48" i="20"/>
  <c r="Q48" i="20" s="1"/>
  <c r="D42" i="20"/>
  <c r="N42" i="20" s="1"/>
  <c r="Q30" i="51"/>
  <c r="Q28" i="51"/>
  <c r="Q29" i="51"/>
  <c r="R25" i="29"/>
  <c r="S25" i="29" s="1"/>
  <c r="R29" i="29"/>
  <c r="S29" i="29" s="1"/>
  <c r="L22" i="44"/>
  <c r="J22" i="20"/>
  <c r="J18" i="20"/>
  <c r="J13" i="20"/>
  <c r="Q15" i="53"/>
  <c r="R15" i="53" s="1"/>
  <c r="M13" i="20"/>
  <c r="R27" i="25"/>
  <c r="S27" i="25" s="1"/>
  <c r="C34" i="21"/>
  <c r="Q28" i="53"/>
  <c r="R28" i="53" s="1"/>
  <c r="J40" i="19"/>
  <c r="F37" i="33"/>
  <c r="S31" i="19"/>
  <c r="R9" i="55"/>
  <c r="S9" i="55" s="1"/>
  <c r="Q16" i="20"/>
  <c r="Q21" i="20"/>
  <c r="Q14" i="20"/>
  <c r="Q10" i="20"/>
  <c r="R42" i="26"/>
  <c r="S42" i="26" s="1"/>
  <c r="G43" i="26"/>
  <c r="I43" i="26"/>
  <c r="K43" i="26"/>
  <c r="M43" i="26"/>
  <c r="O43" i="26"/>
  <c r="Q43" i="26"/>
  <c r="F43" i="26"/>
  <c r="H43" i="26"/>
  <c r="J43" i="26"/>
  <c r="L43" i="26"/>
  <c r="N43" i="26"/>
  <c r="P43" i="26"/>
  <c r="R40" i="26"/>
  <c r="S40" i="26" s="1"/>
  <c r="H44" i="26"/>
  <c r="J44" i="26"/>
  <c r="L44" i="26"/>
  <c r="N44" i="26"/>
  <c r="P44" i="26"/>
  <c r="G44" i="26"/>
  <c r="I44" i="26"/>
  <c r="K44" i="26"/>
  <c r="M44" i="26"/>
  <c r="O44" i="26"/>
  <c r="Q44" i="26"/>
  <c r="F44" i="26"/>
  <c r="C32" i="27"/>
  <c r="D58" i="46"/>
  <c r="D20" i="46"/>
  <c r="D19" i="46"/>
  <c r="D44" i="46"/>
  <c r="D47" i="46"/>
  <c r="D49" i="46"/>
  <c r="L40" i="19"/>
  <c r="H40" i="19"/>
  <c r="Q32" i="19"/>
  <c r="R33" i="23"/>
  <c r="H32" i="19"/>
  <c r="D29" i="46"/>
  <c r="D17" i="46"/>
  <c r="D18" i="46"/>
  <c r="D26" i="46"/>
  <c r="D25" i="46"/>
  <c r="M19" i="20"/>
  <c r="M14" i="20"/>
  <c r="M10" i="20"/>
  <c r="Q10" i="9"/>
  <c r="Q4" i="13"/>
  <c r="R21" i="44"/>
  <c r="S21" i="44" s="1"/>
  <c r="O40" i="19"/>
  <c r="K40" i="19"/>
  <c r="G40" i="19"/>
  <c r="R22" i="55"/>
  <c r="S22" i="55" s="1"/>
  <c r="C354" i="62"/>
  <c r="O32" i="19"/>
  <c r="D55" i="46"/>
  <c r="D30" i="46"/>
  <c r="D41" i="46"/>
  <c r="D35" i="46"/>
  <c r="D61" i="46"/>
  <c r="D34" i="46"/>
  <c r="D60" i="46"/>
  <c r="D37" i="46"/>
  <c r="D63" i="46"/>
  <c r="D36" i="46"/>
  <c r="D62" i="46"/>
  <c r="O12" i="30"/>
  <c r="O16" i="30"/>
  <c r="O21" i="30"/>
  <c r="O11" i="30"/>
  <c r="O15" i="30"/>
  <c r="O20" i="30"/>
  <c r="G12" i="30"/>
  <c r="G16" i="30"/>
  <c r="G21" i="30"/>
  <c r="G11" i="30"/>
  <c r="G15" i="30"/>
  <c r="G20" i="30"/>
  <c r="C17" i="20"/>
  <c r="G22" i="20"/>
  <c r="H21" i="20"/>
  <c r="G18" i="20"/>
  <c r="H16" i="20"/>
  <c r="G13" i="20"/>
  <c r="H12" i="20"/>
  <c r="Q103" i="26"/>
  <c r="G24" i="10"/>
  <c r="N31" i="29"/>
  <c r="F31" i="16"/>
  <c r="M24" i="20"/>
  <c r="M20" i="20"/>
  <c r="M11" i="20"/>
  <c r="F31" i="25"/>
  <c r="N22" i="44"/>
  <c r="R16" i="44"/>
  <c r="S16" i="44" s="1"/>
  <c r="I22" i="44"/>
  <c r="L34" i="28"/>
  <c r="H38" i="31"/>
  <c r="L38" i="31"/>
  <c r="P38" i="31"/>
  <c r="Q55" i="53"/>
  <c r="R55" i="53" s="1"/>
  <c r="M57" i="22"/>
  <c r="J57" i="22"/>
  <c r="J32" i="19"/>
  <c r="P15" i="30"/>
  <c r="P24" i="30"/>
  <c r="R24" i="30" s="1"/>
  <c r="S24" i="30" s="1"/>
  <c r="P16" i="30"/>
  <c r="R2" i="30"/>
  <c r="S2" i="30" s="1"/>
  <c r="R4" i="20"/>
  <c r="S4" i="20" s="1"/>
  <c r="R13" i="37"/>
  <c r="S13" i="37" s="1"/>
  <c r="R14" i="37"/>
  <c r="S14" i="37" s="1"/>
  <c r="M18" i="37"/>
  <c r="H18" i="37"/>
  <c r="I18" i="37"/>
  <c r="J18" i="37"/>
  <c r="O18" i="37"/>
  <c r="G18" i="37"/>
  <c r="R11" i="37"/>
  <c r="S11" i="37" s="1"/>
  <c r="R17" i="37"/>
  <c r="S17" i="37" s="1"/>
  <c r="L18" i="37"/>
  <c r="Q18" i="37"/>
  <c r="N18" i="37"/>
  <c r="K18" i="37"/>
  <c r="P18" i="37"/>
  <c r="R15" i="37"/>
  <c r="S15" i="37" s="1"/>
  <c r="R16" i="37"/>
  <c r="S16" i="37" s="1"/>
  <c r="R12" i="37"/>
  <c r="S12" i="37" s="1"/>
  <c r="Q55" i="23"/>
  <c r="F55" i="23"/>
  <c r="L55" i="23"/>
  <c r="G20" i="20"/>
  <c r="H19" i="20"/>
  <c r="G15" i="20"/>
  <c r="H14" i="20"/>
  <c r="Q19" i="51"/>
  <c r="J38" i="31"/>
  <c r="N38" i="31"/>
  <c r="R3" i="21"/>
  <c r="S3" i="21" s="1"/>
  <c r="Q21" i="51"/>
  <c r="Q57" i="22"/>
  <c r="I57" i="22"/>
  <c r="N57" i="22"/>
  <c r="R23" i="29"/>
  <c r="S23" i="29" s="1"/>
  <c r="K32" i="29"/>
  <c r="I55" i="23"/>
  <c r="R4" i="26"/>
  <c r="S4" i="26" s="1"/>
  <c r="AH3" i="56"/>
  <c r="AH3" i="55"/>
  <c r="P13" i="30"/>
  <c r="P18" i="30"/>
  <c r="P22" i="30"/>
  <c r="P10" i="30"/>
  <c r="P14" i="30"/>
  <c r="P19" i="30"/>
  <c r="R19" i="30" s="1"/>
  <c r="S19" i="30" s="1"/>
  <c r="Q73" i="58"/>
  <c r="R73" i="58" s="1"/>
  <c r="Q42" i="58"/>
  <c r="R42" i="58" s="1"/>
  <c r="H32" i="29"/>
  <c r="Q16" i="51"/>
  <c r="I103" i="26"/>
  <c r="G103" i="26"/>
  <c r="O103" i="26"/>
  <c r="G24" i="20"/>
  <c r="G23" i="20"/>
  <c r="G19" i="20"/>
  <c r="G21" i="20"/>
  <c r="G14" i="20"/>
  <c r="G10" i="20"/>
  <c r="G16" i="20"/>
  <c r="G12" i="20"/>
  <c r="H23" i="20"/>
  <c r="H22" i="20"/>
  <c r="H18" i="20"/>
  <c r="H20" i="20"/>
  <c r="H13" i="20"/>
  <c r="H11" i="20"/>
  <c r="H24" i="20"/>
  <c r="H15" i="20"/>
  <c r="I32" i="19"/>
  <c r="R34" i="23"/>
  <c r="P32" i="19"/>
  <c r="M32" i="19"/>
  <c r="L32" i="19"/>
  <c r="D53" i="46"/>
  <c r="D24" i="46"/>
  <c r="D50" i="46"/>
  <c r="D51" i="46"/>
  <c r="D22" i="46"/>
  <c r="D52" i="46"/>
  <c r="D23" i="46"/>
  <c r="D28" i="46"/>
  <c r="D42" i="46"/>
  <c r="D57" i="46"/>
  <c r="D21" i="46"/>
  <c r="D27" i="46"/>
  <c r="D38" i="46"/>
  <c r="D54" i="46"/>
  <c r="D56" i="46"/>
  <c r="D33" i="46"/>
  <c r="D45" i="46"/>
  <c r="D59" i="46"/>
  <c r="D16" i="46"/>
  <c r="D32" i="46"/>
  <c r="D43" i="46"/>
  <c r="K32" i="19"/>
  <c r="G32" i="19"/>
  <c r="C32" i="19"/>
  <c r="C41" i="19" s="1"/>
  <c r="R33" i="24"/>
  <c r="S33" i="24" s="1"/>
  <c r="O57" i="22"/>
  <c r="K57" i="22"/>
  <c r="H57" i="22"/>
  <c r="L57" i="22"/>
  <c r="M32" i="29"/>
  <c r="F36" i="31"/>
  <c r="N32" i="19"/>
  <c r="H55" i="23"/>
  <c r="P55" i="23"/>
  <c r="M55" i="23"/>
  <c r="C32" i="29"/>
  <c r="L103" i="26"/>
  <c r="N34" i="24"/>
  <c r="Q24" i="51"/>
  <c r="J55" i="23"/>
  <c r="N55" i="23"/>
  <c r="G55" i="23"/>
  <c r="K55" i="23"/>
  <c r="F34" i="24"/>
  <c r="Q34" i="24"/>
  <c r="M32" i="27"/>
  <c r="K34" i="24"/>
  <c r="G34" i="24"/>
  <c r="J34" i="24"/>
  <c r="N32" i="27"/>
  <c r="Q27" i="51"/>
  <c r="Q15" i="51"/>
  <c r="Q26" i="51"/>
  <c r="R2" i="51"/>
  <c r="S2" i="51" s="1"/>
  <c r="R9" i="9"/>
  <c r="T9" i="9" s="1"/>
  <c r="R3" i="13"/>
  <c r="T3" i="13" s="1"/>
  <c r="J103" i="26"/>
  <c r="N103" i="26"/>
  <c r="J32" i="29"/>
  <c r="O25" i="51"/>
  <c r="K25" i="51"/>
  <c r="G25" i="51"/>
  <c r="N25" i="51"/>
  <c r="J25" i="51"/>
  <c r="M25" i="51"/>
  <c r="I25" i="51"/>
  <c r="P25" i="51"/>
  <c r="L25" i="51"/>
  <c r="H25" i="51"/>
  <c r="P30" i="51"/>
  <c r="L30" i="51"/>
  <c r="H30" i="51"/>
  <c r="M30" i="51"/>
  <c r="I30" i="51"/>
  <c r="N30" i="51"/>
  <c r="J30" i="51"/>
  <c r="O30" i="51"/>
  <c r="K30" i="51"/>
  <c r="G30" i="51"/>
  <c r="P22" i="51"/>
  <c r="L22" i="51"/>
  <c r="H22" i="51"/>
  <c r="M22" i="51"/>
  <c r="I22" i="51"/>
  <c r="N22" i="51"/>
  <c r="J22" i="51"/>
  <c r="O22" i="51"/>
  <c r="K22" i="51"/>
  <c r="G22" i="51"/>
  <c r="P18" i="51"/>
  <c r="H18" i="51"/>
  <c r="K18" i="51"/>
  <c r="N18" i="51"/>
  <c r="Q18" i="51"/>
  <c r="I18" i="51"/>
  <c r="L18" i="51"/>
  <c r="O18" i="51"/>
  <c r="G18" i="51"/>
  <c r="J18" i="51"/>
  <c r="M18" i="51"/>
  <c r="O23" i="51"/>
  <c r="K23" i="51"/>
  <c r="G23" i="51"/>
  <c r="N23" i="51"/>
  <c r="J23" i="51"/>
  <c r="M23" i="51"/>
  <c r="I23" i="51"/>
  <c r="P23" i="51"/>
  <c r="L23" i="51"/>
  <c r="H23" i="51"/>
  <c r="P28" i="51"/>
  <c r="L28" i="51"/>
  <c r="H28" i="51"/>
  <c r="M28" i="51"/>
  <c r="I28" i="51"/>
  <c r="N28" i="51"/>
  <c r="J28" i="51"/>
  <c r="O28" i="51"/>
  <c r="K28" i="51"/>
  <c r="G28" i="51"/>
  <c r="P20" i="51"/>
  <c r="L20" i="51"/>
  <c r="H20" i="51"/>
  <c r="M20" i="51"/>
  <c r="I20" i="51"/>
  <c r="N20" i="51"/>
  <c r="J20" i="51"/>
  <c r="O20" i="51"/>
  <c r="K20" i="51"/>
  <c r="G20" i="51"/>
  <c r="Q32" i="17"/>
  <c r="Q31" i="17"/>
  <c r="Q30" i="17"/>
  <c r="Q29" i="17"/>
  <c r="Q28" i="17"/>
  <c r="Q27" i="17"/>
  <c r="Q26" i="17"/>
  <c r="L32" i="17"/>
  <c r="L31" i="17"/>
  <c r="L30" i="17"/>
  <c r="L29" i="17"/>
  <c r="L28" i="17"/>
  <c r="L27" i="17"/>
  <c r="L26" i="17"/>
  <c r="M32" i="17"/>
  <c r="M31" i="17"/>
  <c r="M30" i="17"/>
  <c r="M29" i="17"/>
  <c r="M28" i="17"/>
  <c r="M27" i="17"/>
  <c r="M26" i="17"/>
  <c r="P10" i="9"/>
  <c r="G10" i="9"/>
  <c r="G4" i="13"/>
  <c r="N4" i="13"/>
  <c r="N10" i="9"/>
  <c r="P33" i="21"/>
  <c r="P32" i="21"/>
  <c r="P31" i="21"/>
  <c r="P30" i="21"/>
  <c r="P29" i="21"/>
  <c r="P28" i="21"/>
  <c r="P27" i="21"/>
  <c r="M33" i="21"/>
  <c r="M32" i="21"/>
  <c r="M31" i="21"/>
  <c r="M30" i="21"/>
  <c r="M29" i="21"/>
  <c r="M28" i="21"/>
  <c r="M27" i="21"/>
  <c r="J33" i="21"/>
  <c r="J32" i="21"/>
  <c r="J31" i="21"/>
  <c r="J30" i="21"/>
  <c r="J29" i="21"/>
  <c r="J28" i="21"/>
  <c r="J27" i="21"/>
  <c r="R24" i="31"/>
  <c r="S24" i="31" s="1"/>
  <c r="F31" i="31"/>
  <c r="R31" i="31" s="1"/>
  <c r="S31" i="31" s="1"/>
  <c r="G29" i="51"/>
  <c r="H29" i="51"/>
  <c r="M29" i="51"/>
  <c r="C616" i="62"/>
  <c r="C622" i="62" s="1"/>
  <c r="C25" i="30"/>
  <c r="I32" i="17"/>
  <c r="I31" i="17"/>
  <c r="I30" i="17"/>
  <c r="I29" i="17"/>
  <c r="I28" i="17"/>
  <c r="I27" i="17"/>
  <c r="I26" i="17"/>
  <c r="G32" i="17"/>
  <c r="G31" i="17"/>
  <c r="G30" i="17"/>
  <c r="G29" i="17"/>
  <c r="G28" i="17"/>
  <c r="G27" i="17"/>
  <c r="G26" i="17"/>
  <c r="H32" i="17"/>
  <c r="H31" i="17"/>
  <c r="H30" i="17"/>
  <c r="H29" i="17"/>
  <c r="H28" i="17"/>
  <c r="H27" i="17"/>
  <c r="H26" i="17"/>
  <c r="O32" i="17"/>
  <c r="O31" i="17"/>
  <c r="O30" i="17"/>
  <c r="O29" i="17"/>
  <c r="O28" i="17"/>
  <c r="O27" i="17"/>
  <c r="O26" i="17"/>
  <c r="P32" i="17"/>
  <c r="P31" i="17"/>
  <c r="P30" i="17"/>
  <c r="P29" i="17"/>
  <c r="P28" i="17"/>
  <c r="P27" i="17"/>
  <c r="P26" i="17"/>
  <c r="M4" i="13"/>
  <c r="M10" i="9"/>
  <c r="O4" i="13"/>
  <c r="O10" i="9"/>
  <c r="K4" i="13"/>
  <c r="K10" i="9"/>
  <c r="H33" i="21"/>
  <c r="H32" i="21"/>
  <c r="H31" i="21"/>
  <c r="H30" i="21"/>
  <c r="H29" i="21"/>
  <c r="H28" i="21"/>
  <c r="H27" i="21"/>
  <c r="Q33" i="21"/>
  <c r="Q32" i="21"/>
  <c r="Q31" i="21"/>
  <c r="Q30" i="21"/>
  <c r="Q29" i="21"/>
  <c r="Q28" i="21"/>
  <c r="Q27" i="21"/>
  <c r="I33" i="21"/>
  <c r="I32" i="21"/>
  <c r="I31" i="21"/>
  <c r="I30" i="21"/>
  <c r="I29" i="21"/>
  <c r="I28" i="21"/>
  <c r="I27" i="21"/>
  <c r="N33" i="21"/>
  <c r="N32" i="21"/>
  <c r="N31" i="21"/>
  <c r="N30" i="21"/>
  <c r="N29" i="21"/>
  <c r="N28" i="21"/>
  <c r="N27" i="21"/>
  <c r="O33" i="21"/>
  <c r="O32" i="21"/>
  <c r="O31" i="21"/>
  <c r="O30" i="21"/>
  <c r="O29" i="21"/>
  <c r="O28" i="21"/>
  <c r="O27" i="21"/>
  <c r="K33" i="21"/>
  <c r="K32" i="21"/>
  <c r="K31" i="21"/>
  <c r="K30" i="21"/>
  <c r="K29" i="21"/>
  <c r="K28" i="21"/>
  <c r="K27" i="21"/>
  <c r="F102" i="26"/>
  <c r="R102" i="26" s="1"/>
  <c r="S102" i="26" s="1"/>
  <c r="R95" i="26"/>
  <c r="S95" i="26" s="1"/>
  <c r="R10" i="37"/>
  <c r="S10" i="37" s="1"/>
  <c r="F18" i="37"/>
  <c r="O21" i="51"/>
  <c r="K21" i="51"/>
  <c r="G21" i="51"/>
  <c r="N21" i="51"/>
  <c r="J21" i="51"/>
  <c r="M21" i="51"/>
  <c r="I21" i="51"/>
  <c r="P21" i="51"/>
  <c r="L21" i="51"/>
  <c r="H21" i="51"/>
  <c r="P26" i="51"/>
  <c r="L26" i="51"/>
  <c r="H26" i="51"/>
  <c r="M26" i="51"/>
  <c r="I26" i="51"/>
  <c r="N26" i="51"/>
  <c r="J26" i="51"/>
  <c r="O26" i="51"/>
  <c r="K26" i="51"/>
  <c r="G26" i="51"/>
  <c r="P19" i="51"/>
  <c r="L19" i="51"/>
  <c r="H19" i="51"/>
  <c r="M19" i="51"/>
  <c r="I19" i="51"/>
  <c r="N19" i="51"/>
  <c r="J19" i="51"/>
  <c r="O19" i="51"/>
  <c r="K19" i="51"/>
  <c r="G19" i="51"/>
  <c r="O27" i="51"/>
  <c r="K27" i="51"/>
  <c r="G27" i="51"/>
  <c r="N27" i="51"/>
  <c r="J27" i="51"/>
  <c r="M27" i="51"/>
  <c r="I27" i="51"/>
  <c r="P27" i="51"/>
  <c r="L27" i="51"/>
  <c r="H27" i="51"/>
  <c r="O16" i="51"/>
  <c r="K16" i="51"/>
  <c r="G16" i="51"/>
  <c r="N16" i="51"/>
  <c r="J16" i="51"/>
  <c r="M16" i="51"/>
  <c r="I16" i="51"/>
  <c r="P16" i="51"/>
  <c r="L16" i="51"/>
  <c r="H16" i="51"/>
  <c r="P24" i="51"/>
  <c r="L24" i="51"/>
  <c r="H24" i="51"/>
  <c r="M24" i="51"/>
  <c r="I24" i="51"/>
  <c r="N24" i="51"/>
  <c r="J24" i="51"/>
  <c r="O24" i="51"/>
  <c r="K24" i="51"/>
  <c r="G24" i="51"/>
  <c r="N15" i="51"/>
  <c r="J15" i="51"/>
  <c r="O15" i="51"/>
  <c r="K15" i="51"/>
  <c r="G15" i="51"/>
  <c r="P15" i="51"/>
  <c r="L15" i="51"/>
  <c r="H15" i="51"/>
  <c r="M15" i="51"/>
  <c r="I15" i="51"/>
  <c r="F33" i="30"/>
  <c r="R33" i="30" s="1"/>
  <c r="S33" i="30" s="1"/>
  <c r="R26" i="30"/>
  <c r="S26" i="30" s="1"/>
  <c r="F4" i="17"/>
  <c r="F32" i="17"/>
  <c r="F31" i="17"/>
  <c r="F30" i="17"/>
  <c r="F29" i="17"/>
  <c r="F28" i="17"/>
  <c r="F27" i="17"/>
  <c r="F26" i="17"/>
  <c r="N32" i="17"/>
  <c r="N31" i="17"/>
  <c r="N30" i="17"/>
  <c r="N29" i="17"/>
  <c r="N28" i="17"/>
  <c r="N27" i="17"/>
  <c r="N26" i="17"/>
  <c r="J32" i="17"/>
  <c r="J31" i="17"/>
  <c r="J30" i="17"/>
  <c r="J29" i="17"/>
  <c r="J28" i="17"/>
  <c r="J27" i="17"/>
  <c r="J26" i="17"/>
  <c r="K32" i="17"/>
  <c r="K31" i="17"/>
  <c r="K30" i="17"/>
  <c r="K29" i="17"/>
  <c r="K28" i="17"/>
  <c r="K27" i="17"/>
  <c r="K26" i="17"/>
  <c r="I4" i="13"/>
  <c r="I10" i="9"/>
  <c r="L10" i="9"/>
  <c r="L4" i="13"/>
  <c r="Q17" i="58"/>
  <c r="R17" i="58" s="1"/>
  <c r="F4" i="13"/>
  <c r="F10" i="9"/>
  <c r="Q45" i="58"/>
  <c r="R45" i="58" s="1"/>
  <c r="F4" i="21"/>
  <c r="R4" i="21" s="1"/>
  <c r="S4" i="21" s="1"/>
  <c r="F33" i="21"/>
  <c r="F32" i="21"/>
  <c r="F31" i="21"/>
  <c r="F30" i="21"/>
  <c r="F29" i="21"/>
  <c r="F28" i="21"/>
  <c r="F27" i="21"/>
  <c r="G33" i="21"/>
  <c r="G32" i="21"/>
  <c r="G31" i="21"/>
  <c r="G30" i="21"/>
  <c r="G29" i="21"/>
  <c r="G28" i="21"/>
  <c r="G27" i="21"/>
  <c r="L33" i="21"/>
  <c r="L32" i="21"/>
  <c r="L31" i="21"/>
  <c r="L30" i="21"/>
  <c r="L29" i="21"/>
  <c r="L28" i="21"/>
  <c r="L27" i="21"/>
  <c r="N29" i="51"/>
  <c r="I29" i="51"/>
  <c r="D47" i="30"/>
  <c r="D49" i="30"/>
  <c r="D43" i="30"/>
  <c r="D48" i="30"/>
  <c r="D42" i="30"/>
  <c r="D46" i="30"/>
  <c r="D41" i="30"/>
  <c r="D45" i="30"/>
  <c r="D44" i="30"/>
  <c r="C607" i="62"/>
  <c r="C614" i="62" s="1"/>
  <c r="C17" i="30"/>
  <c r="R24" i="32"/>
  <c r="S24" i="32" s="1"/>
  <c r="F31" i="32"/>
  <c r="R31" i="32" s="1"/>
  <c r="S31" i="32" s="1"/>
  <c r="H4" i="13"/>
  <c r="H10" i="9"/>
  <c r="J10" i="9"/>
  <c r="J4" i="13"/>
  <c r="J29" i="51"/>
  <c r="O29" i="51"/>
  <c r="P29" i="51"/>
  <c r="Q98" i="58"/>
  <c r="R98" i="58" s="1"/>
  <c r="F4" i="51"/>
  <c r="F17" i="51" s="1"/>
  <c r="R17" i="51" s="1"/>
  <c r="K29" i="51"/>
  <c r="L29" i="51"/>
  <c r="Q38" i="31"/>
  <c r="H103" i="26"/>
  <c r="P103" i="26"/>
  <c r="C188" i="62"/>
  <c r="R23" i="19"/>
  <c r="S23" i="19" s="1"/>
  <c r="R94" i="26"/>
  <c r="S94" i="26" s="1"/>
  <c r="R86" i="26"/>
  <c r="S86" i="26" s="1"/>
  <c r="F108" i="26"/>
  <c r="R108" i="26" s="1"/>
  <c r="Q40" i="19"/>
  <c r="M40" i="19"/>
  <c r="I40" i="19"/>
  <c r="R17" i="24"/>
  <c r="S17" i="24" s="1"/>
  <c r="R26" i="26"/>
  <c r="S26" i="26" s="1"/>
  <c r="I34" i="24"/>
  <c r="C292" i="62"/>
  <c r="R19" i="10"/>
  <c r="T19" i="10" s="1"/>
  <c r="D31" i="46"/>
  <c r="D39" i="46"/>
  <c r="F40" i="19"/>
  <c r="R12" i="51"/>
  <c r="S12" i="51" s="1"/>
  <c r="P34" i="24"/>
  <c r="L34" i="24"/>
  <c r="H34" i="24"/>
  <c r="R21" i="10"/>
  <c r="T21" i="10" s="1"/>
  <c r="C110" i="62"/>
  <c r="C474" i="62"/>
  <c r="R20" i="10"/>
  <c r="T20" i="10" s="1"/>
  <c r="C370" i="62"/>
  <c r="C284" i="62"/>
  <c r="C300" i="62"/>
  <c r="C362" i="62"/>
  <c r="S20" i="18"/>
  <c r="C315" i="62"/>
  <c r="C318" i="62" s="1"/>
  <c r="C25" i="22"/>
  <c r="C563" i="62"/>
  <c r="C570" i="62" s="1"/>
  <c r="C33" i="22"/>
  <c r="C571" i="62"/>
  <c r="C578" i="62" s="1"/>
  <c r="C2" i="56"/>
  <c r="C2" i="53"/>
  <c r="C2" i="54"/>
  <c r="D9" i="54" s="1"/>
  <c r="C2" i="55"/>
  <c r="K25" i="20"/>
  <c r="K17" i="20"/>
  <c r="R23" i="10"/>
  <c r="T23" i="10" s="1"/>
  <c r="R25" i="24"/>
  <c r="S25" i="24" s="1"/>
  <c r="R18" i="10"/>
  <c r="T18" i="10" s="1"/>
  <c r="R22" i="10"/>
  <c r="T22" i="10" s="1"/>
  <c r="R23" i="33"/>
  <c r="S23" i="33" s="1"/>
  <c r="R37" i="27"/>
  <c r="S37" i="27" s="1"/>
  <c r="G32" i="27"/>
  <c r="N25" i="20"/>
  <c r="F17" i="20"/>
  <c r="N17" i="20"/>
  <c r="F25" i="20"/>
  <c r="S26" i="21"/>
  <c r="R15" i="33"/>
  <c r="S15" i="33" s="1"/>
  <c r="O32" i="27"/>
  <c r="H32" i="27"/>
  <c r="L32" i="27"/>
  <c r="Q32" i="29"/>
  <c r="S22" i="17"/>
  <c r="R17" i="10"/>
  <c r="T17" i="10" s="1"/>
  <c r="G51" i="22"/>
  <c r="I51" i="22"/>
  <c r="K51" i="22"/>
  <c r="M51" i="22"/>
  <c r="O51" i="22"/>
  <c r="Q51" i="22"/>
  <c r="L51" i="22"/>
  <c r="P51" i="22"/>
  <c r="H51" i="22"/>
  <c r="J51" i="22"/>
  <c r="N51" i="22"/>
  <c r="H49" i="23"/>
  <c r="J49" i="23"/>
  <c r="L49" i="23"/>
  <c r="N49" i="23"/>
  <c r="F49" i="23"/>
  <c r="G49" i="23"/>
  <c r="I49" i="23"/>
  <c r="K49" i="23"/>
  <c r="M49" i="23"/>
  <c r="O49" i="23"/>
  <c r="Q49" i="23"/>
  <c r="P49" i="23"/>
  <c r="D54" i="17"/>
  <c r="J54" i="17" s="1"/>
  <c r="D55" i="17"/>
  <c r="D20" i="39"/>
  <c r="D15" i="39"/>
  <c r="P15" i="32"/>
  <c r="H15" i="32"/>
  <c r="M23" i="32"/>
  <c r="O23" i="32"/>
  <c r="G23" i="32"/>
  <c r="M34" i="24"/>
  <c r="C33" i="23"/>
  <c r="C34" i="24"/>
  <c r="C17" i="23"/>
  <c r="C23" i="18"/>
  <c r="Q23" i="32"/>
  <c r="I23" i="32"/>
  <c r="O34" i="24"/>
  <c r="H25" i="30"/>
  <c r="R39" i="34"/>
  <c r="S39" i="34" s="1"/>
  <c r="O34" i="28"/>
  <c r="R17" i="28"/>
  <c r="S17" i="28" s="1"/>
  <c r="P32" i="29"/>
  <c r="C34" i="28"/>
  <c r="M15" i="31"/>
  <c r="O15" i="31"/>
  <c r="G15" i="31"/>
  <c r="Q15" i="31"/>
  <c r="I15" i="31"/>
  <c r="R25" i="28"/>
  <c r="S25" i="28" s="1"/>
  <c r="C25" i="17"/>
  <c r="K15" i="31"/>
  <c r="M17" i="30"/>
  <c r="Q17" i="30"/>
  <c r="I17" i="30"/>
  <c r="R16" i="13"/>
  <c r="T16" i="13" s="1"/>
  <c r="R17" i="13"/>
  <c r="T17" i="13" s="1"/>
  <c r="R18" i="13"/>
  <c r="T18" i="13" s="1"/>
  <c r="R19" i="13"/>
  <c r="T19" i="13" s="1"/>
  <c r="F23" i="31"/>
  <c r="R16" i="31"/>
  <c r="S16" i="31" s="1"/>
  <c r="F15" i="31"/>
  <c r="R8" i="31"/>
  <c r="S8" i="31" s="1"/>
  <c r="R4" i="31"/>
  <c r="S4" i="31" s="1"/>
  <c r="F35" i="31"/>
  <c r="R35" i="31" s="1"/>
  <c r="S35" i="31" s="1"/>
  <c r="M23" i="31"/>
  <c r="O23" i="31"/>
  <c r="G23" i="31"/>
  <c r="Q23" i="31"/>
  <c r="I23" i="31"/>
  <c r="K23" i="31"/>
  <c r="R11" i="31"/>
  <c r="S11" i="31" s="1"/>
  <c r="R20" i="31"/>
  <c r="S20" i="31" s="1"/>
  <c r="R12" i="31"/>
  <c r="S12" i="31" s="1"/>
  <c r="R17" i="31"/>
  <c r="S17" i="31" s="1"/>
  <c r="R21" i="31"/>
  <c r="S21" i="31" s="1"/>
  <c r="J23" i="31"/>
  <c r="J15" i="31"/>
  <c r="L23" i="31"/>
  <c r="L15" i="31"/>
  <c r="N23" i="31"/>
  <c r="N15" i="31"/>
  <c r="P23" i="31"/>
  <c r="P15" i="31"/>
  <c r="H23" i="31"/>
  <c r="H15" i="31"/>
  <c r="R9" i="31"/>
  <c r="S9" i="31" s="1"/>
  <c r="R13" i="31"/>
  <c r="S13" i="31" s="1"/>
  <c r="R18" i="31"/>
  <c r="S18" i="31" s="1"/>
  <c r="R22" i="31"/>
  <c r="S22" i="31" s="1"/>
  <c r="R10" i="31"/>
  <c r="S10" i="31" s="1"/>
  <c r="R14" i="31"/>
  <c r="S14" i="31" s="1"/>
  <c r="R19" i="31"/>
  <c r="S19" i="31" s="1"/>
  <c r="R8" i="32"/>
  <c r="S8" i="32" s="1"/>
  <c r="F15" i="32"/>
  <c r="P23" i="32"/>
  <c r="H23" i="32"/>
  <c r="R12" i="32"/>
  <c r="S12" i="32" s="1"/>
  <c r="R17" i="32"/>
  <c r="S17" i="32" s="1"/>
  <c r="R21" i="32"/>
  <c r="S21" i="32" s="1"/>
  <c r="R9" i="32"/>
  <c r="S9" i="32" s="1"/>
  <c r="R13" i="32"/>
  <c r="S13" i="32" s="1"/>
  <c r="R18" i="32"/>
  <c r="S18" i="32" s="1"/>
  <c r="R22" i="32"/>
  <c r="S22" i="32" s="1"/>
  <c r="M15" i="32"/>
  <c r="O15" i="32"/>
  <c r="G15" i="32"/>
  <c r="Q15" i="32"/>
  <c r="I15" i="32"/>
  <c r="R4" i="32"/>
  <c r="S4" i="32" s="1"/>
  <c r="F36" i="32"/>
  <c r="R36" i="32" s="1"/>
  <c r="S36" i="32" s="1"/>
  <c r="R16" i="32"/>
  <c r="S16" i="32" s="1"/>
  <c r="F23" i="32"/>
  <c r="K23" i="32"/>
  <c r="K15" i="32"/>
  <c r="R10" i="32"/>
  <c r="S10" i="32" s="1"/>
  <c r="R14" i="32"/>
  <c r="S14" i="32" s="1"/>
  <c r="R19" i="32"/>
  <c r="S19" i="32" s="1"/>
  <c r="R11" i="32"/>
  <c r="S11" i="32" s="1"/>
  <c r="R20" i="32"/>
  <c r="S20" i="32" s="1"/>
  <c r="J15" i="32"/>
  <c r="J23" i="32"/>
  <c r="L15" i="32"/>
  <c r="L23" i="32"/>
  <c r="N15" i="32"/>
  <c r="N23" i="32"/>
  <c r="F25" i="30"/>
  <c r="F17" i="30"/>
  <c r="R4" i="30"/>
  <c r="S4" i="30" s="1"/>
  <c r="R37" i="30"/>
  <c r="S37" i="30" s="1"/>
  <c r="J25" i="30"/>
  <c r="J17" i="30"/>
  <c r="L25" i="30"/>
  <c r="L17" i="30"/>
  <c r="N25" i="30"/>
  <c r="N17" i="30"/>
  <c r="K17" i="30"/>
  <c r="K25" i="30"/>
  <c r="M25" i="30"/>
  <c r="Q25" i="30"/>
  <c r="I25" i="30"/>
  <c r="H17" i="30"/>
  <c r="BB3" i="56"/>
  <c r="AX3" i="56"/>
  <c r="BB3" i="55"/>
  <c r="AX3" i="55"/>
  <c r="D27" i="38"/>
  <c r="D38" i="47"/>
  <c r="D36" i="39"/>
  <c r="D25" i="39"/>
  <c r="D28" i="39"/>
  <c r="D34" i="39"/>
  <c r="D16" i="39"/>
  <c r="D22" i="39"/>
  <c r="D27" i="39"/>
  <c r="D32" i="39"/>
  <c r="D21" i="39"/>
  <c r="D26" i="39"/>
  <c r="D31" i="39"/>
  <c r="D18" i="39"/>
  <c r="D24" i="39"/>
  <c r="D30" i="39"/>
  <c r="D35" i="39"/>
  <c r="D17" i="39"/>
  <c r="D23" i="39"/>
  <c r="D29" i="39"/>
  <c r="D33" i="39"/>
  <c r="D29" i="40"/>
  <c r="E89" i="58"/>
  <c r="F4" i="46" s="1"/>
  <c r="F40" i="46" s="1"/>
  <c r="F2" i="3"/>
  <c r="F2" i="50"/>
  <c r="F2" i="48"/>
  <c r="F2" i="46"/>
  <c r="F2" i="40"/>
  <c r="F2" i="38"/>
  <c r="Q87" i="58"/>
  <c r="R87" i="58" s="1"/>
  <c r="F2" i="43"/>
  <c r="F2" i="59"/>
  <c r="F2" i="49"/>
  <c r="F2" i="47"/>
  <c r="F2" i="45"/>
  <c r="F2" i="39"/>
  <c r="F2" i="52"/>
  <c r="I89" i="58"/>
  <c r="J4" i="46" s="1"/>
  <c r="J40" i="46" s="1"/>
  <c r="J2" i="43"/>
  <c r="J2" i="59"/>
  <c r="J2" i="48"/>
  <c r="J2" i="46"/>
  <c r="J2" i="40"/>
  <c r="J2" i="38"/>
  <c r="J2" i="50"/>
  <c r="J2" i="3"/>
  <c r="J2" i="49"/>
  <c r="J2" i="47"/>
  <c r="J2" i="45"/>
  <c r="J2" i="39"/>
  <c r="J2" i="52"/>
  <c r="L89" i="58"/>
  <c r="M4" i="46" s="1"/>
  <c r="M40" i="46" s="1"/>
  <c r="M2" i="59"/>
  <c r="M2" i="48"/>
  <c r="M2" i="46"/>
  <c r="M2" i="40"/>
  <c r="M2" i="38"/>
  <c r="M2" i="50"/>
  <c r="M2" i="3"/>
  <c r="M2" i="49"/>
  <c r="M2" i="47"/>
  <c r="M2" i="45"/>
  <c r="M2" i="39"/>
  <c r="M2" i="52"/>
  <c r="M2" i="43"/>
  <c r="K89" i="58"/>
  <c r="L4" i="46" s="1"/>
  <c r="L40" i="46" s="1"/>
  <c r="L2" i="43"/>
  <c r="L2" i="59"/>
  <c r="L2" i="48"/>
  <c r="L2" i="46"/>
  <c r="L2" i="40"/>
  <c r="L2" i="38"/>
  <c r="L2" i="50"/>
  <c r="L2" i="3"/>
  <c r="L2" i="49"/>
  <c r="L2" i="47"/>
  <c r="L2" i="45"/>
  <c r="L2" i="39"/>
  <c r="L2" i="52"/>
  <c r="N89" i="58"/>
  <c r="O4" i="46" s="1"/>
  <c r="O40" i="46" s="1"/>
  <c r="O2" i="59"/>
  <c r="O2" i="48"/>
  <c r="O2" i="46"/>
  <c r="O2" i="40"/>
  <c r="O2" i="38"/>
  <c r="O2" i="50"/>
  <c r="O2" i="3"/>
  <c r="O2" i="49"/>
  <c r="O2" i="47"/>
  <c r="O2" i="45"/>
  <c r="O2" i="39"/>
  <c r="O2" i="52"/>
  <c r="O2" i="43"/>
  <c r="F89" i="58"/>
  <c r="G4" i="46" s="1"/>
  <c r="G40" i="46" s="1"/>
  <c r="G2" i="59"/>
  <c r="G2" i="48"/>
  <c r="G2" i="46"/>
  <c r="G2" i="40"/>
  <c r="G2" i="38"/>
  <c r="G2" i="50"/>
  <c r="G2" i="3"/>
  <c r="G2" i="49"/>
  <c r="G2" i="47"/>
  <c r="G2" i="45"/>
  <c r="G2" i="39"/>
  <c r="G2" i="52"/>
  <c r="G2" i="43"/>
  <c r="D18" i="59"/>
  <c r="D24" i="3"/>
  <c r="D7" i="52"/>
  <c r="D9" i="52"/>
  <c r="D23" i="52"/>
  <c r="M89" i="58"/>
  <c r="N4" i="46" s="1"/>
  <c r="N40" i="46" s="1"/>
  <c r="N2" i="43"/>
  <c r="N2" i="59"/>
  <c r="N2" i="48"/>
  <c r="N2" i="46"/>
  <c r="N2" i="40"/>
  <c r="N2" i="38"/>
  <c r="N2" i="50"/>
  <c r="N2" i="3"/>
  <c r="N2" i="49"/>
  <c r="N2" i="47"/>
  <c r="N2" i="45"/>
  <c r="N2" i="39"/>
  <c r="N2" i="52"/>
  <c r="P89" i="58"/>
  <c r="Q4" i="47" s="1"/>
  <c r="Q2" i="40"/>
  <c r="H89" i="58"/>
  <c r="I4" i="46" s="1"/>
  <c r="I40" i="46" s="1"/>
  <c r="I2" i="59"/>
  <c r="I2" i="48"/>
  <c r="I2" i="46"/>
  <c r="I2" i="40"/>
  <c r="I2" i="38"/>
  <c r="I2" i="50"/>
  <c r="I2" i="3"/>
  <c r="I2" i="49"/>
  <c r="I2" i="47"/>
  <c r="I2" i="45"/>
  <c r="I2" i="39"/>
  <c r="I2" i="52"/>
  <c r="I2" i="43"/>
  <c r="O89" i="58"/>
  <c r="P4" i="46" s="1"/>
  <c r="P40" i="46" s="1"/>
  <c r="P2" i="43"/>
  <c r="P2" i="59"/>
  <c r="P2" i="48"/>
  <c r="P2" i="46"/>
  <c r="P2" i="40"/>
  <c r="P2" i="38"/>
  <c r="P2" i="50"/>
  <c r="P2" i="3"/>
  <c r="P2" i="49"/>
  <c r="P2" i="47"/>
  <c r="P2" i="45"/>
  <c r="P2" i="39"/>
  <c r="P2" i="52"/>
  <c r="G89" i="58"/>
  <c r="H4" i="46" s="1"/>
  <c r="H40" i="46" s="1"/>
  <c r="H2" i="43"/>
  <c r="H2" i="59"/>
  <c r="H2" i="48"/>
  <c r="H2" i="46"/>
  <c r="H2" i="40"/>
  <c r="H2" i="38"/>
  <c r="H2" i="50"/>
  <c r="H2" i="3"/>
  <c r="H2" i="49"/>
  <c r="H2" i="47"/>
  <c r="H2" i="45"/>
  <c r="H2" i="39"/>
  <c r="H2" i="52"/>
  <c r="J89" i="58"/>
  <c r="K4" i="46" s="1"/>
  <c r="K40" i="46" s="1"/>
  <c r="K2" i="59"/>
  <c r="K2" i="48"/>
  <c r="K2" i="46"/>
  <c r="K2" i="40"/>
  <c r="K2" i="38"/>
  <c r="K2" i="50"/>
  <c r="K2" i="3"/>
  <c r="K2" i="49"/>
  <c r="K2" i="47"/>
  <c r="K2" i="45"/>
  <c r="K2" i="39"/>
  <c r="K2" i="52"/>
  <c r="K2" i="43"/>
  <c r="CQ3" i="56"/>
  <c r="CS3" i="56"/>
  <c r="CM3" i="56"/>
  <c r="CO3" i="56"/>
  <c r="CI3" i="56"/>
  <c r="CK3" i="56"/>
  <c r="R41" i="34"/>
  <c r="S41" i="34" s="1"/>
  <c r="R40" i="34"/>
  <c r="S40" i="34" s="1"/>
  <c r="R37" i="31"/>
  <c r="S37" i="31" s="1"/>
  <c r="R40" i="30"/>
  <c r="S40" i="30" s="1"/>
  <c r="R39" i="30"/>
  <c r="S39" i="30" s="1"/>
  <c r="R38" i="30"/>
  <c r="S38" i="30" s="1"/>
  <c r="R40" i="24"/>
  <c r="S40" i="24" s="1"/>
  <c r="R37" i="19"/>
  <c r="S37" i="19" s="1"/>
  <c r="F24" i="10"/>
  <c r="R20" i="13"/>
  <c r="T20" i="13" s="1"/>
  <c r="R21" i="13"/>
  <c r="T21" i="13" s="1"/>
  <c r="R22" i="13"/>
  <c r="T22" i="13" s="1"/>
  <c r="C31" i="25"/>
  <c r="Q60" i="23"/>
  <c r="O60" i="23"/>
  <c r="M60" i="23"/>
  <c r="K60" i="23"/>
  <c r="I60" i="23"/>
  <c r="G60" i="23"/>
  <c r="P60" i="23"/>
  <c r="N60" i="23"/>
  <c r="L60" i="23"/>
  <c r="J60" i="23"/>
  <c r="H60" i="23"/>
  <c r="F60" i="23"/>
  <c r="Q56" i="23"/>
  <c r="O56" i="23"/>
  <c r="M56" i="23"/>
  <c r="K56" i="23"/>
  <c r="I56" i="23"/>
  <c r="G56" i="23"/>
  <c r="P56" i="23"/>
  <c r="N56" i="23"/>
  <c r="L56" i="23"/>
  <c r="J56" i="23"/>
  <c r="H56" i="23"/>
  <c r="F56" i="23"/>
  <c r="Q45" i="23"/>
  <c r="O45" i="23"/>
  <c r="M45" i="23"/>
  <c r="K45" i="23"/>
  <c r="I45" i="23"/>
  <c r="G45" i="23"/>
  <c r="P45" i="23"/>
  <c r="N45" i="23"/>
  <c r="L45" i="23"/>
  <c r="J45" i="23"/>
  <c r="H45" i="23"/>
  <c r="F45" i="23"/>
  <c r="Q54" i="23"/>
  <c r="O54" i="23"/>
  <c r="M54" i="23"/>
  <c r="K54" i="23"/>
  <c r="I54" i="23"/>
  <c r="G54" i="23"/>
  <c r="P54" i="23"/>
  <c r="N54" i="23"/>
  <c r="L54" i="23"/>
  <c r="J54" i="23"/>
  <c r="H54" i="23"/>
  <c r="F54" i="23"/>
  <c r="Q57" i="23"/>
  <c r="O57" i="23"/>
  <c r="M57" i="23"/>
  <c r="K57" i="23"/>
  <c r="I57" i="23"/>
  <c r="G57" i="23"/>
  <c r="P57" i="23"/>
  <c r="N57" i="23"/>
  <c r="L57" i="23"/>
  <c r="J57" i="23"/>
  <c r="H57" i="23"/>
  <c r="F57" i="23"/>
  <c r="Q51" i="23"/>
  <c r="O51" i="23"/>
  <c r="M51" i="23"/>
  <c r="K51" i="23"/>
  <c r="I51" i="23"/>
  <c r="G51" i="23"/>
  <c r="P51" i="23"/>
  <c r="N51" i="23"/>
  <c r="L51" i="23"/>
  <c r="J51" i="23"/>
  <c r="H51" i="23"/>
  <c r="F51" i="23"/>
  <c r="Q46" i="23"/>
  <c r="O46" i="23"/>
  <c r="M46" i="23"/>
  <c r="K46" i="23"/>
  <c r="I46" i="23"/>
  <c r="G46" i="23"/>
  <c r="P46" i="23"/>
  <c r="N46" i="23"/>
  <c r="L46" i="23"/>
  <c r="J46" i="23"/>
  <c r="H46" i="23"/>
  <c r="F46" i="23"/>
  <c r="Q42" i="23"/>
  <c r="O42" i="23"/>
  <c r="M42" i="23"/>
  <c r="K42" i="23"/>
  <c r="I42" i="23"/>
  <c r="G42" i="23"/>
  <c r="P42" i="23"/>
  <c r="N42" i="23"/>
  <c r="L42" i="23"/>
  <c r="J42" i="23"/>
  <c r="H42" i="23"/>
  <c r="F42" i="23"/>
  <c r="Q58" i="23"/>
  <c r="O58" i="23"/>
  <c r="M58" i="23"/>
  <c r="K58" i="23"/>
  <c r="I58" i="23"/>
  <c r="G58" i="23"/>
  <c r="P58" i="23"/>
  <c r="N58" i="23"/>
  <c r="L58" i="23"/>
  <c r="J58" i="23"/>
  <c r="H58" i="23"/>
  <c r="F58" i="23"/>
  <c r="Q52" i="23"/>
  <c r="O52" i="23"/>
  <c r="M52" i="23"/>
  <c r="K52" i="23"/>
  <c r="I52" i="23"/>
  <c r="G52" i="23"/>
  <c r="P52" i="23"/>
  <c r="N52" i="23"/>
  <c r="L52" i="23"/>
  <c r="J52" i="23"/>
  <c r="H52" i="23"/>
  <c r="F52" i="23"/>
  <c r="Q47" i="23"/>
  <c r="O47" i="23"/>
  <c r="M47" i="23"/>
  <c r="K47" i="23"/>
  <c r="I47" i="23"/>
  <c r="G47" i="23"/>
  <c r="P47" i="23"/>
  <c r="N47" i="23"/>
  <c r="L47" i="23"/>
  <c r="J47" i="23"/>
  <c r="H47" i="23"/>
  <c r="F47" i="23"/>
  <c r="Q43" i="23"/>
  <c r="O43" i="23"/>
  <c r="M43" i="23"/>
  <c r="K43" i="23"/>
  <c r="I43" i="23"/>
  <c r="G43" i="23"/>
  <c r="P43" i="23"/>
  <c r="N43" i="23"/>
  <c r="L43" i="23"/>
  <c r="J43" i="23"/>
  <c r="H43" i="23"/>
  <c r="F43" i="23"/>
  <c r="Q59" i="23"/>
  <c r="O59" i="23"/>
  <c r="M59" i="23"/>
  <c r="K59" i="23"/>
  <c r="I59" i="23"/>
  <c r="G59" i="23"/>
  <c r="P59" i="23"/>
  <c r="N59" i="23"/>
  <c r="L59" i="23"/>
  <c r="J59" i="23"/>
  <c r="H59" i="23"/>
  <c r="F59" i="23"/>
  <c r="Q53" i="23"/>
  <c r="O53" i="23"/>
  <c r="M53" i="23"/>
  <c r="K53" i="23"/>
  <c r="I53" i="23"/>
  <c r="G53" i="23"/>
  <c r="P53" i="23"/>
  <c r="N53" i="23"/>
  <c r="L53" i="23"/>
  <c r="J53" i="23"/>
  <c r="H53" i="23"/>
  <c r="F53" i="23"/>
  <c r="Q48" i="23"/>
  <c r="O48" i="23"/>
  <c r="M48" i="23"/>
  <c r="K48" i="23"/>
  <c r="I48" i="23"/>
  <c r="G48" i="23"/>
  <c r="P48" i="23"/>
  <c r="N48" i="23"/>
  <c r="L48" i="23"/>
  <c r="J48" i="23"/>
  <c r="H48" i="23"/>
  <c r="F48" i="23"/>
  <c r="Q44" i="23"/>
  <c r="O44" i="23"/>
  <c r="M44" i="23"/>
  <c r="K44" i="23"/>
  <c r="I44" i="23"/>
  <c r="G44" i="23"/>
  <c r="P44" i="23"/>
  <c r="N44" i="23"/>
  <c r="L44" i="23"/>
  <c r="J44" i="23"/>
  <c r="H44" i="23"/>
  <c r="F44" i="23"/>
  <c r="N55" i="20"/>
  <c r="K55" i="20"/>
  <c r="P50" i="20"/>
  <c r="N50" i="20"/>
  <c r="L50" i="20"/>
  <c r="J50" i="20"/>
  <c r="H50" i="20"/>
  <c r="F50" i="20"/>
  <c r="Q50" i="20"/>
  <c r="O50" i="20"/>
  <c r="M50" i="20"/>
  <c r="K50" i="20"/>
  <c r="I50" i="20"/>
  <c r="G50" i="20"/>
  <c r="K43" i="20"/>
  <c r="D61" i="17"/>
  <c r="D59" i="17"/>
  <c r="D57" i="17"/>
  <c r="D53" i="17"/>
  <c r="D51" i="17"/>
  <c r="D49" i="17"/>
  <c r="D47" i="17"/>
  <c r="D45" i="17"/>
  <c r="D43" i="17"/>
  <c r="D62" i="17"/>
  <c r="D60" i="17"/>
  <c r="D58" i="17"/>
  <c r="D56" i="17"/>
  <c r="D52" i="17"/>
  <c r="D50" i="17"/>
  <c r="D48" i="17"/>
  <c r="D46" i="17"/>
  <c r="D44" i="17"/>
  <c r="Q14" i="53"/>
  <c r="R14" i="53" s="1"/>
  <c r="Q13" i="53"/>
  <c r="R13" i="53" s="1"/>
  <c r="R12" i="36"/>
  <c r="S12" i="36" s="1"/>
  <c r="R16" i="36"/>
  <c r="S16" i="36" s="1"/>
  <c r="R25" i="36"/>
  <c r="S25" i="36" s="1"/>
  <c r="R29" i="36"/>
  <c r="S29" i="36" s="1"/>
  <c r="R11" i="36"/>
  <c r="S11" i="36" s="1"/>
  <c r="R15" i="36"/>
  <c r="S15" i="36" s="1"/>
  <c r="R18" i="36"/>
  <c r="S18" i="36" s="1"/>
  <c r="R24" i="36"/>
  <c r="S24" i="36" s="1"/>
  <c r="R28" i="36"/>
  <c r="S28" i="36" s="1"/>
  <c r="R14" i="36"/>
  <c r="S14" i="36" s="1"/>
  <c r="R23" i="36"/>
  <c r="S23" i="36" s="1"/>
  <c r="R27" i="36"/>
  <c r="S27" i="36" s="1"/>
  <c r="R32" i="36"/>
  <c r="S32" i="36" s="1"/>
  <c r="R17" i="36"/>
  <c r="S17" i="36" s="1"/>
  <c r="R19" i="36"/>
  <c r="S19" i="36" s="1"/>
  <c r="R26" i="36"/>
  <c r="S26" i="36" s="1"/>
  <c r="R22" i="36"/>
  <c r="S22" i="36" s="1"/>
  <c r="R21" i="36"/>
  <c r="S21" i="36" s="1"/>
  <c r="R20" i="36"/>
  <c r="S20" i="36" s="1"/>
  <c r="R10" i="36"/>
  <c r="S10" i="36" s="1"/>
  <c r="R38" i="34"/>
  <c r="S38" i="34" s="1"/>
  <c r="D32" i="33"/>
  <c r="P35" i="29"/>
  <c r="P37" i="29" s="1"/>
  <c r="N35" i="29"/>
  <c r="N37" i="29" s="1"/>
  <c r="L35" i="29"/>
  <c r="L37" i="29" s="1"/>
  <c r="J35" i="29"/>
  <c r="J37" i="29" s="1"/>
  <c r="H35" i="29"/>
  <c r="H37" i="29" s="1"/>
  <c r="F35" i="29"/>
  <c r="Q35" i="29"/>
  <c r="Q37" i="29" s="1"/>
  <c r="O35" i="29"/>
  <c r="O37" i="29" s="1"/>
  <c r="M35" i="29"/>
  <c r="M37" i="29" s="1"/>
  <c r="K35" i="29"/>
  <c r="K37" i="29" s="1"/>
  <c r="I35" i="29"/>
  <c r="I37" i="29" s="1"/>
  <c r="G35" i="29"/>
  <c r="G37" i="29" s="1"/>
  <c r="F32" i="29"/>
  <c r="R15" i="29"/>
  <c r="S15" i="29" s="1"/>
  <c r="G34" i="28"/>
  <c r="Q50" i="28"/>
  <c r="O50" i="28"/>
  <c r="M50" i="28"/>
  <c r="K50" i="28"/>
  <c r="I50" i="28"/>
  <c r="G50" i="28"/>
  <c r="P50" i="28"/>
  <c r="N50" i="28"/>
  <c r="L50" i="28"/>
  <c r="J50" i="28"/>
  <c r="H50" i="28"/>
  <c r="F50" i="28"/>
  <c r="Q44" i="28"/>
  <c r="O44" i="28"/>
  <c r="M44" i="28"/>
  <c r="K44" i="28"/>
  <c r="I44" i="28"/>
  <c r="G44" i="28"/>
  <c r="P44" i="28"/>
  <c r="N44" i="28"/>
  <c r="L44" i="28"/>
  <c r="J44" i="28"/>
  <c r="H44" i="28"/>
  <c r="F44" i="28"/>
  <c r="P51" i="28"/>
  <c r="N51" i="28"/>
  <c r="L51" i="28"/>
  <c r="J51" i="28"/>
  <c r="H51" i="28"/>
  <c r="F51" i="28"/>
  <c r="Q51" i="28"/>
  <c r="O51" i="28"/>
  <c r="M51" i="28"/>
  <c r="K51" i="28"/>
  <c r="I51" i="28"/>
  <c r="G51" i="28"/>
  <c r="P48" i="28"/>
  <c r="N48" i="28"/>
  <c r="L48" i="28"/>
  <c r="J48" i="28"/>
  <c r="H48" i="28"/>
  <c r="F48" i="28"/>
  <c r="Q48" i="28"/>
  <c r="O48" i="28"/>
  <c r="M48" i="28"/>
  <c r="K48" i="28"/>
  <c r="I48" i="28"/>
  <c r="G48" i="28"/>
  <c r="P47" i="28"/>
  <c r="N47" i="28"/>
  <c r="L47" i="28"/>
  <c r="J47" i="28"/>
  <c r="H47" i="28"/>
  <c r="F47" i="28"/>
  <c r="Q47" i="28"/>
  <c r="O47" i="28"/>
  <c r="M47" i="28"/>
  <c r="K47" i="28"/>
  <c r="I47" i="28"/>
  <c r="G47" i="28"/>
  <c r="P45" i="28"/>
  <c r="N45" i="28"/>
  <c r="L45" i="28"/>
  <c r="J45" i="28"/>
  <c r="H45" i="28"/>
  <c r="F45" i="28"/>
  <c r="Q45" i="28"/>
  <c r="O45" i="28"/>
  <c r="M45" i="28"/>
  <c r="K45" i="28"/>
  <c r="I45" i="28"/>
  <c r="G45" i="28"/>
  <c r="Q49" i="28"/>
  <c r="O49" i="28"/>
  <c r="M49" i="28"/>
  <c r="K49" i="28"/>
  <c r="I49" i="28"/>
  <c r="G49" i="28"/>
  <c r="P49" i="28"/>
  <c r="N49" i="28"/>
  <c r="L49" i="28"/>
  <c r="J49" i="28"/>
  <c r="H49" i="28"/>
  <c r="F49" i="28"/>
  <c r="Q46" i="28"/>
  <c r="O46" i="28"/>
  <c r="M46" i="28"/>
  <c r="K46" i="28"/>
  <c r="I46" i="28"/>
  <c r="G46" i="28"/>
  <c r="P46" i="28"/>
  <c r="N46" i="28"/>
  <c r="L46" i="28"/>
  <c r="J46" i="28"/>
  <c r="H46" i="28"/>
  <c r="F46" i="28"/>
  <c r="Q42" i="28"/>
  <c r="O42" i="28"/>
  <c r="M42" i="28"/>
  <c r="K42" i="28"/>
  <c r="I42" i="28"/>
  <c r="G42" i="28"/>
  <c r="P42" i="28"/>
  <c r="N42" i="28"/>
  <c r="L42" i="28"/>
  <c r="J42" i="28"/>
  <c r="H42" i="28"/>
  <c r="P53" i="28"/>
  <c r="N53" i="28"/>
  <c r="L53" i="28"/>
  <c r="J53" i="28"/>
  <c r="H53" i="28"/>
  <c r="Q53" i="28"/>
  <c r="O53" i="28"/>
  <c r="M53" i="28"/>
  <c r="K53" i="28"/>
  <c r="I53" i="28"/>
  <c r="G53" i="28"/>
  <c r="P43" i="28"/>
  <c r="N43" i="28"/>
  <c r="L43" i="28"/>
  <c r="J43" i="28"/>
  <c r="H43" i="28"/>
  <c r="Q43" i="28"/>
  <c r="O43" i="28"/>
  <c r="M43" i="28"/>
  <c r="K43" i="28"/>
  <c r="I43" i="28"/>
  <c r="G43" i="28"/>
  <c r="P38" i="27"/>
  <c r="N38" i="27"/>
  <c r="L38" i="27"/>
  <c r="J38" i="27"/>
  <c r="H38" i="27"/>
  <c r="D38" i="27"/>
  <c r="Q38" i="27"/>
  <c r="O38" i="27"/>
  <c r="M38" i="27"/>
  <c r="K38" i="27"/>
  <c r="I38" i="27"/>
  <c r="G38" i="27"/>
  <c r="R18" i="26"/>
  <c r="S18" i="26" s="1"/>
  <c r="D48" i="26"/>
  <c r="Q45" i="24"/>
  <c r="O45" i="24"/>
  <c r="M45" i="24"/>
  <c r="K45" i="24"/>
  <c r="I45" i="24"/>
  <c r="G45" i="24"/>
  <c r="P45" i="24"/>
  <c r="N45" i="24"/>
  <c r="L45" i="24"/>
  <c r="J45" i="24"/>
  <c r="H45" i="24"/>
  <c r="F45" i="24"/>
  <c r="P46" i="24"/>
  <c r="N46" i="24"/>
  <c r="L46" i="24"/>
  <c r="J46" i="24"/>
  <c r="H46" i="24"/>
  <c r="F46" i="24"/>
  <c r="O46" i="24"/>
  <c r="M46" i="24"/>
  <c r="K46" i="24"/>
  <c r="I46" i="24"/>
  <c r="G46" i="24"/>
  <c r="P42" i="24"/>
  <c r="N42" i="24"/>
  <c r="L42" i="24"/>
  <c r="J42" i="24"/>
  <c r="H42" i="24"/>
  <c r="F42" i="24"/>
  <c r="Q42" i="24"/>
  <c r="O42" i="24"/>
  <c r="M42" i="24"/>
  <c r="K42" i="24"/>
  <c r="I42" i="24"/>
  <c r="G42" i="24"/>
  <c r="O43" i="24"/>
  <c r="M43" i="24"/>
  <c r="K43" i="24"/>
  <c r="I43" i="24"/>
  <c r="G43" i="24"/>
  <c r="P43" i="24"/>
  <c r="N43" i="24"/>
  <c r="L43" i="24"/>
  <c r="J43" i="24"/>
  <c r="H43" i="24"/>
  <c r="F43" i="24"/>
  <c r="P44" i="24"/>
  <c r="N44" i="24"/>
  <c r="L44" i="24"/>
  <c r="J44" i="24"/>
  <c r="H44" i="24"/>
  <c r="F44" i="24"/>
  <c r="Q44" i="24"/>
  <c r="O44" i="24"/>
  <c r="M44" i="24"/>
  <c r="K44" i="24"/>
  <c r="I44" i="24"/>
  <c r="G44" i="24"/>
  <c r="C25" i="23"/>
  <c r="R4" i="23"/>
  <c r="S4" i="23" s="1"/>
  <c r="Q55" i="22"/>
  <c r="O55" i="22"/>
  <c r="M55" i="22"/>
  <c r="K55" i="22"/>
  <c r="I55" i="22"/>
  <c r="G55" i="22"/>
  <c r="P55" i="22"/>
  <c r="N55" i="22"/>
  <c r="L55" i="22"/>
  <c r="J55" i="22"/>
  <c r="H55" i="22"/>
  <c r="Q50" i="22"/>
  <c r="O50" i="22"/>
  <c r="M50" i="22"/>
  <c r="K50" i="22"/>
  <c r="I50" i="22"/>
  <c r="G50" i="22"/>
  <c r="P50" i="22"/>
  <c r="N50" i="22"/>
  <c r="L50" i="22"/>
  <c r="J50" i="22"/>
  <c r="H50" i="22"/>
  <c r="Q44" i="22"/>
  <c r="O44" i="22"/>
  <c r="M44" i="22"/>
  <c r="K44" i="22"/>
  <c r="I44" i="22"/>
  <c r="G44" i="22"/>
  <c r="P44" i="22"/>
  <c r="N44" i="22"/>
  <c r="L44" i="22"/>
  <c r="J44" i="22"/>
  <c r="H44" i="22"/>
  <c r="Q54" i="22"/>
  <c r="O54" i="22"/>
  <c r="M54" i="22"/>
  <c r="K54" i="22"/>
  <c r="I54" i="22"/>
  <c r="G54" i="22"/>
  <c r="P54" i="22"/>
  <c r="N54" i="22"/>
  <c r="L54" i="22"/>
  <c r="J54" i="22"/>
  <c r="H54" i="22"/>
  <c r="Q49" i="22"/>
  <c r="O49" i="22"/>
  <c r="M49" i="22"/>
  <c r="K49" i="22"/>
  <c r="I49" i="22"/>
  <c r="G49" i="22"/>
  <c r="P49" i="22"/>
  <c r="N49" i="22"/>
  <c r="L49" i="22"/>
  <c r="J49" i="22"/>
  <c r="H49" i="22"/>
  <c r="Q43" i="22"/>
  <c r="O43" i="22"/>
  <c r="M43" i="22"/>
  <c r="K43" i="22"/>
  <c r="I43" i="22"/>
  <c r="G43" i="22"/>
  <c r="P43" i="22"/>
  <c r="N43" i="22"/>
  <c r="L43" i="22"/>
  <c r="J43" i="22"/>
  <c r="H43" i="22"/>
  <c r="Q53" i="22"/>
  <c r="O53" i="22"/>
  <c r="M53" i="22"/>
  <c r="K53" i="22"/>
  <c r="I53" i="22"/>
  <c r="G53" i="22"/>
  <c r="P53" i="22"/>
  <c r="N53" i="22"/>
  <c r="L53" i="22"/>
  <c r="J53" i="22"/>
  <c r="H53" i="22"/>
  <c r="Q46" i="22"/>
  <c r="O46" i="22"/>
  <c r="M46" i="22"/>
  <c r="K46" i="22"/>
  <c r="I46" i="22"/>
  <c r="G46" i="22"/>
  <c r="P46" i="22"/>
  <c r="N46" i="22"/>
  <c r="L46" i="22"/>
  <c r="J46" i="22"/>
  <c r="H46" i="22"/>
  <c r="Q42" i="22"/>
  <c r="O42" i="22"/>
  <c r="M42" i="22"/>
  <c r="K42" i="22"/>
  <c r="I42" i="22"/>
  <c r="G42" i="22"/>
  <c r="P42" i="22"/>
  <c r="N42" i="22"/>
  <c r="L42" i="22"/>
  <c r="J42" i="22"/>
  <c r="H42" i="22"/>
  <c r="Q56" i="22"/>
  <c r="O56" i="22"/>
  <c r="M56" i="22"/>
  <c r="K56" i="22"/>
  <c r="I56" i="22"/>
  <c r="G56" i="22"/>
  <c r="P56" i="22"/>
  <c r="N56" i="22"/>
  <c r="L56" i="22"/>
  <c r="J56" i="22"/>
  <c r="H56" i="22"/>
  <c r="Q52" i="22"/>
  <c r="O52" i="22"/>
  <c r="M52" i="22"/>
  <c r="K52" i="22"/>
  <c r="I52" i="22"/>
  <c r="G52" i="22"/>
  <c r="P52" i="22"/>
  <c r="N52" i="22"/>
  <c r="L52" i="22"/>
  <c r="J52" i="22"/>
  <c r="H52" i="22"/>
  <c r="Q45" i="22"/>
  <c r="O45" i="22"/>
  <c r="M45" i="22"/>
  <c r="K45" i="22"/>
  <c r="I45" i="22"/>
  <c r="G45" i="22"/>
  <c r="P45" i="22"/>
  <c r="N45" i="22"/>
  <c r="L45" i="22"/>
  <c r="J45" i="22"/>
  <c r="H45" i="22"/>
  <c r="R4" i="22"/>
  <c r="S4" i="22" s="1"/>
  <c r="G57" i="22"/>
  <c r="C18" i="21"/>
  <c r="S19" i="21"/>
  <c r="C25" i="20"/>
  <c r="C33" i="20"/>
  <c r="F32" i="19"/>
  <c r="R15" i="19"/>
  <c r="S15" i="19" s="1"/>
  <c r="C23" i="13"/>
  <c r="C24" i="10"/>
  <c r="C17" i="17"/>
  <c r="C33" i="17"/>
  <c r="R3" i="17"/>
  <c r="S3" i="17" s="1"/>
  <c r="R2" i="17"/>
  <c r="S2" i="17" s="1"/>
  <c r="R30" i="16"/>
  <c r="R29" i="16"/>
  <c r="R28" i="16"/>
  <c r="R27" i="16"/>
  <c r="C30" i="16"/>
  <c r="C273" i="62" s="1"/>
  <c r="C29" i="16"/>
  <c r="C272" i="62" s="1"/>
  <c r="C28" i="16"/>
  <c r="C271" i="62" s="1"/>
  <c r="C27" i="16"/>
  <c r="C270" i="62" s="1"/>
  <c r="C26" i="16"/>
  <c r="C269" i="62" s="1"/>
  <c r="C25" i="16"/>
  <c r="C268" i="62" s="1"/>
  <c r="C22" i="16"/>
  <c r="C265" i="62" s="1"/>
  <c r="C21" i="16"/>
  <c r="C264" i="62" s="1"/>
  <c r="C20" i="16"/>
  <c r="C263" i="62" s="1"/>
  <c r="C19" i="16"/>
  <c r="C262" i="62" s="1"/>
  <c r="C18" i="16"/>
  <c r="C261" i="62" s="1"/>
  <c r="C17" i="16"/>
  <c r="C260" i="62" s="1"/>
  <c r="C4" i="16"/>
  <c r="D36" i="16" s="1"/>
  <c r="C37" i="16"/>
  <c r="R3" i="16"/>
  <c r="S3" i="16" s="1"/>
  <c r="R18" i="44" l="1"/>
  <c r="S18" i="44" s="1"/>
  <c r="R12" i="30"/>
  <c r="S12" i="30" s="1"/>
  <c r="F45" i="22"/>
  <c r="F52" i="22"/>
  <c r="F56" i="22"/>
  <c r="F42" i="22"/>
  <c r="F46" i="22"/>
  <c r="F53" i="22"/>
  <c r="F43" i="22"/>
  <c r="F49" i="22"/>
  <c r="F54" i="22"/>
  <c r="F44" i="22"/>
  <c r="F50" i="22"/>
  <c r="F55" i="22"/>
  <c r="F43" i="28"/>
  <c r="F53" i="28"/>
  <c r="F45" i="20"/>
  <c r="N43" i="20"/>
  <c r="F55" i="20"/>
  <c r="Q54" i="20"/>
  <c r="F51" i="22"/>
  <c r="F57" i="22"/>
  <c r="R22" i="30"/>
  <c r="S22" i="30" s="1"/>
  <c r="K45" i="20"/>
  <c r="N45" i="20"/>
  <c r="F43" i="20"/>
  <c r="L17" i="20"/>
  <c r="M22" i="44"/>
  <c r="L54" i="20"/>
  <c r="R47" i="22"/>
  <c r="S47" i="22" s="1"/>
  <c r="I54" i="20"/>
  <c r="O22" i="44"/>
  <c r="R20" i="44"/>
  <c r="S20" i="44" s="1"/>
  <c r="R14" i="30"/>
  <c r="S14" i="30" s="1"/>
  <c r="R17" i="44"/>
  <c r="S17" i="44" s="1"/>
  <c r="M55" i="20"/>
  <c r="H55" i="20"/>
  <c r="P55" i="20"/>
  <c r="R19" i="44"/>
  <c r="S19" i="44" s="1"/>
  <c r="G55" i="20"/>
  <c r="O55" i="20"/>
  <c r="J55" i="20"/>
  <c r="P47" i="20"/>
  <c r="R36" i="31"/>
  <c r="S36" i="31" s="1"/>
  <c r="I55" i="20"/>
  <c r="Q55" i="20"/>
  <c r="N33" i="22"/>
  <c r="N34" i="22" s="1"/>
  <c r="L33" i="22"/>
  <c r="L34" i="22" s="1"/>
  <c r="R46" i="26"/>
  <c r="J33" i="22"/>
  <c r="J34" i="22" s="1"/>
  <c r="P33" i="22"/>
  <c r="P34" i="22" s="1"/>
  <c r="J33" i="28"/>
  <c r="J34" i="28" s="1"/>
  <c r="O33" i="22"/>
  <c r="O34" i="22" s="1"/>
  <c r="F33" i="22"/>
  <c r="F34" i="22" s="1"/>
  <c r="H33" i="28"/>
  <c r="H34" i="28" s="1"/>
  <c r="F33" i="20"/>
  <c r="F34" i="20" s="1"/>
  <c r="H33" i="22"/>
  <c r="H34" i="22" s="1"/>
  <c r="R107" i="26"/>
  <c r="S107" i="26" s="1"/>
  <c r="S108" i="26" s="1"/>
  <c r="R10" i="30"/>
  <c r="S10" i="30" s="1"/>
  <c r="Q22" i="44"/>
  <c r="F31" i="33"/>
  <c r="F32" i="33" s="1"/>
  <c r="N31" i="33"/>
  <c r="N32" i="33" s="1"/>
  <c r="K33" i="28"/>
  <c r="K34" i="28" s="1"/>
  <c r="H31" i="33"/>
  <c r="H32" i="33" s="1"/>
  <c r="K31" i="33"/>
  <c r="K32" i="33" s="1"/>
  <c r="P33" i="28"/>
  <c r="P34" i="28" s="1"/>
  <c r="Q90" i="58"/>
  <c r="M31" i="33"/>
  <c r="M32" i="33" s="1"/>
  <c r="L31" i="33"/>
  <c r="L32" i="33" s="1"/>
  <c r="Q33" i="28"/>
  <c r="Q34" i="28" s="1"/>
  <c r="R25" i="33"/>
  <c r="S25" i="33" s="1"/>
  <c r="O31" i="33"/>
  <c r="R24" i="33"/>
  <c r="S24" i="33" s="1"/>
  <c r="R28" i="33"/>
  <c r="S28" i="33" s="1"/>
  <c r="R29" i="33"/>
  <c r="S29" i="33" s="1"/>
  <c r="M33" i="28"/>
  <c r="M34" i="28" s="1"/>
  <c r="R32" i="22"/>
  <c r="S32" i="22" s="1"/>
  <c r="R28" i="28"/>
  <c r="S28" i="28" s="1"/>
  <c r="R32" i="28"/>
  <c r="S32" i="28" s="1"/>
  <c r="R27" i="28"/>
  <c r="S27" i="28" s="1"/>
  <c r="R31" i="28"/>
  <c r="S31" i="28" s="1"/>
  <c r="O35" i="33"/>
  <c r="R35" i="33" s="1"/>
  <c r="S35" i="33" s="1"/>
  <c r="R4" i="33"/>
  <c r="S4" i="33" s="1"/>
  <c r="O36" i="33"/>
  <c r="Q31" i="33"/>
  <c r="Q32" i="33" s="1"/>
  <c r="Q33" i="22"/>
  <c r="Q34" i="22" s="1"/>
  <c r="I33" i="28"/>
  <c r="I34" i="28" s="1"/>
  <c r="R48" i="22"/>
  <c r="S48" i="22" s="1"/>
  <c r="R27" i="33"/>
  <c r="S27" i="33" s="1"/>
  <c r="R26" i="33"/>
  <c r="S26" i="33" s="1"/>
  <c r="R30" i="33"/>
  <c r="S30" i="33" s="1"/>
  <c r="K33" i="22"/>
  <c r="K34" i="22" s="1"/>
  <c r="I33" i="22"/>
  <c r="I34" i="22" s="1"/>
  <c r="N33" i="28"/>
  <c r="N34" i="28" s="1"/>
  <c r="R16" i="27"/>
  <c r="S16" i="27" s="1"/>
  <c r="F23" i="27"/>
  <c r="R23" i="27" s="1"/>
  <c r="S23" i="27" s="1"/>
  <c r="R24" i="27"/>
  <c r="S24" i="27" s="1"/>
  <c r="F31" i="27"/>
  <c r="R31" i="27" s="1"/>
  <c r="S31" i="27" s="1"/>
  <c r="R8" i="27"/>
  <c r="S8" i="27" s="1"/>
  <c r="F15" i="27"/>
  <c r="G33" i="22"/>
  <c r="G34" i="22" s="1"/>
  <c r="M33" i="22"/>
  <c r="M34" i="22" s="1"/>
  <c r="R31" i="22"/>
  <c r="S31" i="22" s="1"/>
  <c r="F33" i="28"/>
  <c r="R26" i="28"/>
  <c r="S26" i="28" s="1"/>
  <c r="R30" i="28"/>
  <c r="S30" i="28" s="1"/>
  <c r="S3" i="28"/>
  <c r="R4" i="28"/>
  <c r="S4" i="28" s="1"/>
  <c r="R29" i="28"/>
  <c r="S29" i="28" s="1"/>
  <c r="F42" i="28"/>
  <c r="R42" i="28" s="1"/>
  <c r="S42" i="28" s="1"/>
  <c r="D32" i="27"/>
  <c r="C39" i="27"/>
  <c r="D34" i="28"/>
  <c r="C55" i="28"/>
  <c r="F48" i="26"/>
  <c r="D34" i="24"/>
  <c r="C48" i="24"/>
  <c r="D32" i="29"/>
  <c r="C38" i="29"/>
  <c r="D32" i="32"/>
  <c r="C38" i="32"/>
  <c r="D21" i="55"/>
  <c r="D23" i="55" s="1"/>
  <c r="D19" i="55"/>
  <c r="J48" i="26"/>
  <c r="O48" i="26"/>
  <c r="G48" i="26"/>
  <c r="P48" i="26"/>
  <c r="H48" i="26"/>
  <c r="M48" i="26"/>
  <c r="N48" i="26"/>
  <c r="K48" i="26"/>
  <c r="L48" i="26"/>
  <c r="Q48" i="26"/>
  <c r="I48" i="26"/>
  <c r="G38" i="31"/>
  <c r="K38" i="31"/>
  <c r="O38" i="21"/>
  <c r="K38" i="21"/>
  <c r="L38" i="21"/>
  <c r="H38" i="21"/>
  <c r="N38" i="21"/>
  <c r="G38" i="21"/>
  <c r="M38" i="21"/>
  <c r="J38" i="21"/>
  <c r="O38" i="31"/>
  <c r="P17" i="30"/>
  <c r="R13" i="30"/>
  <c r="S13" i="30" s="1"/>
  <c r="R18" i="30"/>
  <c r="S18" i="30" s="1"/>
  <c r="L25" i="20"/>
  <c r="L34" i="20" s="1"/>
  <c r="R11" i="30"/>
  <c r="S11" i="30" s="1"/>
  <c r="I17" i="20"/>
  <c r="I25" i="20"/>
  <c r="Q38" i="21"/>
  <c r="I38" i="21"/>
  <c r="I42" i="20"/>
  <c r="R20" i="30"/>
  <c r="S20" i="30" s="1"/>
  <c r="G17" i="30"/>
  <c r="J51" i="20"/>
  <c r="G51" i="20"/>
  <c r="O51" i="20"/>
  <c r="M49" i="20"/>
  <c r="Q42" i="20"/>
  <c r="L42" i="20"/>
  <c r="R21" i="30"/>
  <c r="S21" i="30" s="1"/>
  <c r="R4" i="17"/>
  <c r="S4" i="17" s="1"/>
  <c r="H49" i="20"/>
  <c r="M47" i="20"/>
  <c r="P49" i="20"/>
  <c r="H47" i="20"/>
  <c r="M45" i="20"/>
  <c r="H45" i="20"/>
  <c r="P45" i="20"/>
  <c r="M43" i="20"/>
  <c r="H43" i="20"/>
  <c r="P43" i="20"/>
  <c r="G45" i="20"/>
  <c r="O45" i="20"/>
  <c r="J45" i="20"/>
  <c r="O53" i="20"/>
  <c r="G43" i="20"/>
  <c r="O43" i="20"/>
  <c r="J43" i="20"/>
  <c r="I45" i="20"/>
  <c r="Q45" i="20"/>
  <c r="J53" i="20"/>
  <c r="I43" i="20"/>
  <c r="Q43" i="20"/>
  <c r="P25" i="20"/>
  <c r="J49" i="20"/>
  <c r="G49" i="20"/>
  <c r="O49" i="20"/>
  <c r="G47" i="20"/>
  <c r="O47" i="20"/>
  <c r="J47" i="20"/>
  <c r="L49" i="20"/>
  <c r="I49" i="20"/>
  <c r="Q49" i="20"/>
  <c r="I47" i="20"/>
  <c r="Q47" i="20"/>
  <c r="L47" i="20"/>
  <c r="R47" i="26"/>
  <c r="S47" i="26" s="1"/>
  <c r="F49" i="20"/>
  <c r="N49" i="20"/>
  <c r="K47" i="20"/>
  <c r="F47" i="20"/>
  <c r="N52" i="20"/>
  <c r="Q34" i="30"/>
  <c r="P17" i="20"/>
  <c r="O17" i="20"/>
  <c r="N54" i="20"/>
  <c r="K54" i="20"/>
  <c r="N48" i="20"/>
  <c r="M54" i="20"/>
  <c r="H54" i="20"/>
  <c r="P54" i="20"/>
  <c r="M46" i="20"/>
  <c r="J17" i="20"/>
  <c r="O25" i="20"/>
  <c r="F48" i="20"/>
  <c r="F54" i="20"/>
  <c r="G53" i="20"/>
  <c r="K48" i="20"/>
  <c r="G54" i="20"/>
  <c r="O54" i="20"/>
  <c r="L46" i="20"/>
  <c r="R16" i="30"/>
  <c r="S16" i="30" s="1"/>
  <c r="O25" i="30"/>
  <c r="F37" i="32"/>
  <c r="R37" i="32" s="1"/>
  <c r="S37" i="32" s="1"/>
  <c r="K53" i="20"/>
  <c r="F53" i="20"/>
  <c r="N53" i="20"/>
  <c r="F46" i="20"/>
  <c r="M53" i="20"/>
  <c r="H53" i="20"/>
  <c r="P53" i="20"/>
  <c r="O46" i="20"/>
  <c r="I53" i="20"/>
  <c r="Q53" i="20"/>
  <c r="R12" i="20"/>
  <c r="S12" i="20" s="1"/>
  <c r="J46" i="20"/>
  <c r="G46" i="20"/>
  <c r="P25" i="30"/>
  <c r="R31" i="29"/>
  <c r="S31" i="29" s="1"/>
  <c r="Q25" i="20"/>
  <c r="K52" i="20"/>
  <c r="O52" i="20"/>
  <c r="P52" i="20"/>
  <c r="K51" i="20"/>
  <c r="F51" i="20"/>
  <c r="N51" i="20"/>
  <c r="M42" i="20"/>
  <c r="H42" i="20"/>
  <c r="P42" i="20"/>
  <c r="R35" i="32"/>
  <c r="S35" i="32" s="1"/>
  <c r="M51" i="20"/>
  <c r="H51" i="20"/>
  <c r="P51" i="20"/>
  <c r="G42" i="20"/>
  <c r="O42" i="20"/>
  <c r="J42" i="20"/>
  <c r="I46" i="20"/>
  <c r="N46" i="20"/>
  <c r="H46" i="20"/>
  <c r="J25" i="20"/>
  <c r="L52" i="20"/>
  <c r="H52" i="20"/>
  <c r="Q52" i="20"/>
  <c r="G52" i="20"/>
  <c r="M52" i="20"/>
  <c r="I51" i="20"/>
  <c r="Q51" i="20"/>
  <c r="K42" i="20"/>
  <c r="F42" i="20"/>
  <c r="Q46" i="20"/>
  <c r="K46" i="20"/>
  <c r="F52" i="20"/>
  <c r="J52" i="20"/>
  <c r="H48" i="20"/>
  <c r="P48" i="20"/>
  <c r="M48" i="20"/>
  <c r="N32" i="29"/>
  <c r="R32" i="29" s="1"/>
  <c r="S32" i="29" s="1"/>
  <c r="R16" i="20"/>
  <c r="S16" i="20" s="1"/>
  <c r="J48" i="20"/>
  <c r="G48" i="20"/>
  <c r="O48" i="20"/>
  <c r="C35" i="21"/>
  <c r="L48" i="20"/>
  <c r="I48" i="20"/>
  <c r="R15" i="20"/>
  <c r="S15" i="20" s="1"/>
  <c r="Q17" i="20"/>
  <c r="H17" i="20"/>
  <c r="R55" i="23"/>
  <c r="S55" i="23" s="1"/>
  <c r="G17" i="20"/>
  <c r="M25" i="20"/>
  <c r="G25" i="20"/>
  <c r="M17" i="20"/>
  <c r="R57" i="22"/>
  <c r="S57" i="22" s="1"/>
  <c r="R18" i="37"/>
  <c r="S18" i="37" s="1"/>
  <c r="S33" i="23"/>
  <c r="R11" i="20"/>
  <c r="S11" i="20" s="1"/>
  <c r="H25" i="20"/>
  <c r="N34" i="20"/>
  <c r="R14" i="20"/>
  <c r="S14" i="20" s="1"/>
  <c r="Q4" i="48"/>
  <c r="Q4" i="52"/>
  <c r="Q20" i="52" s="1"/>
  <c r="R44" i="26"/>
  <c r="S44" i="26" s="1"/>
  <c r="R41" i="26"/>
  <c r="S41" i="26" s="1"/>
  <c r="R43" i="26"/>
  <c r="S43" i="26" s="1"/>
  <c r="R39" i="26"/>
  <c r="G25" i="30"/>
  <c r="Q4" i="59"/>
  <c r="Q4" i="3"/>
  <c r="F38" i="21"/>
  <c r="F39" i="21"/>
  <c r="Q4" i="39"/>
  <c r="Q19" i="39" s="1"/>
  <c r="Q4" i="49"/>
  <c r="Q29" i="49" s="1"/>
  <c r="Q4" i="38"/>
  <c r="Q4" i="43"/>
  <c r="Q4" i="45"/>
  <c r="Q4" i="46"/>
  <c r="Q40" i="46" s="1"/>
  <c r="R40" i="46" s="1"/>
  <c r="S40" i="46" s="1"/>
  <c r="Q4" i="50"/>
  <c r="R13" i="20"/>
  <c r="S13" i="20" s="1"/>
  <c r="C34" i="22"/>
  <c r="C59" i="22" s="1"/>
  <c r="R31" i="17"/>
  <c r="S31" i="17" s="1"/>
  <c r="R15" i="30"/>
  <c r="S15" i="30" s="1"/>
  <c r="O17" i="30"/>
  <c r="O32" i="32"/>
  <c r="G20" i="46"/>
  <c r="F20" i="46"/>
  <c r="P20" i="46"/>
  <c r="L20" i="46"/>
  <c r="H20" i="46"/>
  <c r="M20" i="46"/>
  <c r="I20" i="46"/>
  <c r="N20" i="46"/>
  <c r="J20" i="46"/>
  <c r="O20" i="46"/>
  <c r="K20" i="46"/>
  <c r="H19" i="46"/>
  <c r="O19" i="46"/>
  <c r="K19" i="46"/>
  <c r="G19" i="46"/>
  <c r="P19" i="46"/>
  <c r="L19" i="46"/>
  <c r="F19" i="46"/>
  <c r="M19" i="46"/>
  <c r="I19" i="46"/>
  <c r="N19" i="46"/>
  <c r="J19" i="46"/>
  <c r="R31" i="25"/>
  <c r="S31" i="25" s="1"/>
  <c r="R40" i="19"/>
  <c r="S40" i="19" s="1"/>
  <c r="I32" i="32"/>
  <c r="H32" i="32"/>
  <c r="R32" i="17"/>
  <c r="S32" i="17" s="1"/>
  <c r="R32" i="19"/>
  <c r="S32" i="19" s="1"/>
  <c r="F103" i="26"/>
  <c r="R103" i="26" s="1"/>
  <c r="S103" i="26" s="1"/>
  <c r="C34" i="30"/>
  <c r="M54" i="17"/>
  <c r="F54" i="17"/>
  <c r="Q54" i="17"/>
  <c r="I54" i="17"/>
  <c r="N54" i="17"/>
  <c r="K32" i="31"/>
  <c r="O54" i="17"/>
  <c r="K54" i="17"/>
  <c r="G54" i="17"/>
  <c r="P54" i="17"/>
  <c r="L54" i="17"/>
  <c r="K33" i="17"/>
  <c r="N33" i="17"/>
  <c r="K34" i="21"/>
  <c r="K35" i="21" s="1"/>
  <c r="N34" i="21"/>
  <c r="N35" i="21" s="1"/>
  <c r="P33" i="17"/>
  <c r="H33" i="17"/>
  <c r="I33" i="17"/>
  <c r="J34" i="21"/>
  <c r="J35" i="21" s="1"/>
  <c r="P34" i="21"/>
  <c r="P35" i="21" s="1"/>
  <c r="G34" i="21"/>
  <c r="G35" i="21" s="1"/>
  <c r="Q33" i="17"/>
  <c r="R28" i="21"/>
  <c r="S28" i="21" s="1"/>
  <c r="R30" i="21"/>
  <c r="S30" i="21" s="1"/>
  <c r="R32" i="21"/>
  <c r="S32" i="21" s="1"/>
  <c r="O34" i="21"/>
  <c r="O35" i="21" s="1"/>
  <c r="I34" i="21"/>
  <c r="I35" i="21" s="1"/>
  <c r="H34" i="21"/>
  <c r="H35" i="21" s="1"/>
  <c r="M34" i="21"/>
  <c r="M35" i="21" s="1"/>
  <c r="L34" i="21"/>
  <c r="L35" i="21" s="1"/>
  <c r="R29" i="21"/>
  <c r="S29" i="21" s="1"/>
  <c r="R31" i="21"/>
  <c r="S31" i="21" s="1"/>
  <c r="R33" i="21"/>
  <c r="S33" i="21" s="1"/>
  <c r="Q34" i="21"/>
  <c r="Q35" i="21" s="1"/>
  <c r="J33" i="17"/>
  <c r="F33" i="17"/>
  <c r="O33" i="17"/>
  <c r="G33" i="17"/>
  <c r="M33" i="17"/>
  <c r="L33" i="17"/>
  <c r="R10" i="9"/>
  <c r="T10" i="9" s="1"/>
  <c r="R4" i="13"/>
  <c r="T4" i="13" s="1"/>
  <c r="H54" i="17"/>
  <c r="F18" i="51"/>
  <c r="R18" i="51" s="1"/>
  <c r="S18" i="51" s="1"/>
  <c r="R4" i="51"/>
  <c r="S4" i="51" s="1"/>
  <c r="F15" i="51"/>
  <c r="R15" i="51" s="1"/>
  <c r="S15" i="51" s="1"/>
  <c r="F21" i="51"/>
  <c r="R21" i="51" s="1"/>
  <c r="S21" i="51" s="1"/>
  <c r="F24" i="51"/>
  <c r="R24" i="51" s="1"/>
  <c r="S24" i="51" s="1"/>
  <c r="F27" i="51"/>
  <c r="R27" i="51" s="1"/>
  <c r="S27" i="51" s="1"/>
  <c r="F16" i="51"/>
  <c r="R16" i="51" s="1"/>
  <c r="S16" i="51" s="1"/>
  <c r="F30" i="51"/>
  <c r="R30" i="51" s="1"/>
  <c r="S30" i="51" s="1"/>
  <c r="F22" i="51"/>
  <c r="R22" i="51" s="1"/>
  <c r="S22" i="51" s="1"/>
  <c r="F29" i="51"/>
  <c r="R29" i="51" s="1"/>
  <c r="S29" i="51" s="1"/>
  <c r="F25" i="51"/>
  <c r="R25" i="51" s="1"/>
  <c r="S25" i="51" s="1"/>
  <c r="F28" i="51"/>
  <c r="R28" i="51" s="1"/>
  <c r="S28" i="51" s="1"/>
  <c r="F20" i="51"/>
  <c r="R20" i="51" s="1"/>
  <c r="S20" i="51" s="1"/>
  <c r="F23" i="51"/>
  <c r="R23" i="51" s="1"/>
  <c r="S23" i="51" s="1"/>
  <c r="F26" i="51"/>
  <c r="R26" i="51" s="1"/>
  <c r="S26" i="51" s="1"/>
  <c r="F19" i="51"/>
  <c r="R19" i="51" s="1"/>
  <c r="S19" i="51" s="1"/>
  <c r="Q45" i="30"/>
  <c r="M45" i="30"/>
  <c r="I45" i="30"/>
  <c r="P45" i="30"/>
  <c r="L45" i="30"/>
  <c r="H45" i="30"/>
  <c r="O45" i="30"/>
  <c r="K45" i="30"/>
  <c r="G45" i="30"/>
  <c r="N45" i="30"/>
  <c r="J45" i="30"/>
  <c r="F45" i="30"/>
  <c r="Q46" i="30"/>
  <c r="M46" i="30"/>
  <c r="I46" i="30"/>
  <c r="P46" i="30"/>
  <c r="L46" i="30"/>
  <c r="H46" i="30"/>
  <c r="O46" i="30"/>
  <c r="K46" i="30"/>
  <c r="G46" i="30"/>
  <c r="N46" i="30"/>
  <c r="J46" i="30"/>
  <c r="F46" i="30"/>
  <c r="Q48" i="30"/>
  <c r="M48" i="30"/>
  <c r="I48" i="30"/>
  <c r="P48" i="30"/>
  <c r="L48" i="30"/>
  <c r="H48" i="30"/>
  <c r="O48" i="30"/>
  <c r="K48" i="30"/>
  <c r="G48" i="30"/>
  <c r="N48" i="30"/>
  <c r="J48" i="30"/>
  <c r="F48" i="30"/>
  <c r="Q44" i="30"/>
  <c r="M44" i="30"/>
  <c r="I44" i="30"/>
  <c r="P44" i="30"/>
  <c r="L44" i="30"/>
  <c r="H44" i="30"/>
  <c r="O44" i="30"/>
  <c r="K44" i="30"/>
  <c r="G44" i="30"/>
  <c r="N44" i="30"/>
  <c r="J44" i="30"/>
  <c r="F44" i="30"/>
  <c r="Q41" i="30"/>
  <c r="M41" i="30"/>
  <c r="I41" i="30"/>
  <c r="P41" i="30"/>
  <c r="L41" i="30"/>
  <c r="H41" i="30"/>
  <c r="O41" i="30"/>
  <c r="K41" i="30"/>
  <c r="G41" i="30"/>
  <c r="N41" i="30"/>
  <c r="J41" i="30"/>
  <c r="F41" i="30"/>
  <c r="Q42" i="30"/>
  <c r="M42" i="30"/>
  <c r="I42" i="30"/>
  <c r="P42" i="30"/>
  <c r="L42" i="30"/>
  <c r="H42" i="30"/>
  <c r="O42" i="30"/>
  <c r="K42" i="30"/>
  <c r="G42" i="30"/>
  <c r="N42" i="30"/>
  <c r="J42" i="30"/>
  <c r="F42" i="30"/>
  <c r="Q43" i="30"/>
  <c r="M43" i="30"/>
  <c r="I43" i="30"/>
  <c r="P43" i="30"/>
  <c r="L43" i="30"/>
  <c r="H43" i="30"/>
  <c r="O43" i="30"/>
  <c r="K43" i="30"/>
  <c r="G43" i="30"/>
  <c r="N43" i="30"/>
  <c r="J43" i="30"/>
  <c r="F43" i="30"/>
  <c r="G47" i="30"/>
  <c r="K47" i="30"/>
  <c r="O47" i="30"/>
  <c r="N47" i="30"/>
  <c r="J47" i="30"/>
  <c r="P47" i="30"/>
  <c r="I47" i="30"/>
  <c r="M47" i="30"/>
  <c r="Q47" i="30"/>
  <c r="H47" i="30"/>
  <c r="L47" i="30"/>
  <c r="F34" i="21"/>
  <c r="R27" i="21"/>
  <c r="S27" i="21" s="1"/>
  <c r="F47" i="30"/>
  <c r="Q32" i="32"/>
  <c r="P32" i="32"/>
  <c r="R34" i="24"/>
  <c r="S34" i="24" s="1"/>
  <c r="H34" i="30"/>
  <c r="I34" i="30"/>
  <c r="M34" i="30"/>
  <c r="G32" i="32"/>
  <c r="M32" i="32"/>
  <c r="P39" i="46"/>
  <c r="G39" i="46"/>
  <c r="K39" i="46"/>
  <c r="O39" i="46"/>
  <c r="F39" i="46"/>
  <c r="J39" i="46"/>
  <c r="N39" i="46"/>
  <c r="I39" i="46"/>
  <c r="M39" i="46"/>
  <c r="H39" i="46"/>
  <c r="L39" i="46"/>
  <c r="I32" i="31"/>
  <c r="G32" i="31"/>
  <c r="M32" i="31"/>
  <c r="K34" i="20"/>
  <c r="D10" i="56"/>
  <c r="D7" i="56"/>
  <c r="D9" i="56"/>
  <c r="G2" i="55"/>
  <c r="W2" i="55" s="1"/>
  <c r="G2" i="56"/>
  <c r="W2" i="56" s="1"/>
  <c r="G2" i="54"/>
  <c r="G9" i="54" s="1"/>
  <c r="F2" i="53"/>
  <c r="E2" i="53"/>
  <c r="F2" i="56"/>
  <c r="F2" i="54"/>
  <c r="R90" i="58"/>
  <c r="F2" i="55"/>
  <c r="I2" i="54"/>
  <c r="I9" i="54" s="1"/>
  <c r="H2" i="53"/>
  <c r="I2" i="55"/>
  <c r="Y2" i="55" s="1"/>
  <c r="I2" i="56"/>
  <c r="Y2" i="56" s="1"/>
  <c r="H2" i="56"/>
  <c r="X2" i="56" s="1"/>
  <c r="H2" i="54"/>
  <c r="H9" i="54" s="1"/>
  <c r="G2" i="53"/>
  <c r="H2" i="55"/>
  <c r="X2" i="55" s="1"/>
  <c r="K2" i="54"/>
  <c r="K9" i="54" s="1"/>
  <c r="K2" i="56"/>
  <c r="AA2" i="56" s="1"/>
  <c r="K2" i="55"/>
  <c r="AA2" i="55" s="1"/>
  <c r="J2" i="53"/>
  <c r="J2" i="56"/>
  <c r="Z2" i="56" s="1"/>
  <c r="J2" i="54"/>
  <c r="J9" i="54" s="1"/>
  <c r="I2" i="53"/>
  <c r="J2" i="55"/>
  <c r="Z2" i="55" s="1"/>
  <c r="D10" i="55"/>
  <c r="D7" i="55"/>
  <c r="D8" i="55"/>
  <c r="D26" i="53"/>
  <c r="D24" i="53"/>
  <c r="D20" i="53"/>
  <c r="D21" i="53"/>
  <c r="D8" i="53"/>
  <c r="D23" i="53"/>
  <c r="D54" i="53"/>
  <c r="D61" i="53"/>
  <c r="D34" i="53"/>
  <c r="D65" i="53"/>
  <c r="D45" i="53"/>
  <c r="D22" i="53"/>
  <c r="D32" i="53"/>
  <c r="D11" i="53"/>
  <c r="M2" i="55"/>
  <c r="AC2" i="55" s="1"/>
  <c r="L2" i="53"/>
  <c r="M2" i="54"/>
  <c r="M9" i="54" s="1"/>
  <c r="M2" i="56"/>
  <c r="AC2" i="56" s="1"/>
  <c r="K2" i="53"/>
  <c r="K26" i="53" s="1"/>
  <c r="L2" i="54"/>
  <c r="L9" i="54" s="1"/>
  <c r="L2" i="56"/>
  <c r="AB2" i="56" s="1"/>
  <c r="L2" i="55"/>
  <c r="AB2" i="55" s="1"/>
  <c r="O2" i="54"/>
  <c r="O9" i="54" s="1"/>
  <c r="N2" i="53"/>
  <c r="O2" i="55"/>
  <c r="AE2" i="55" s="1"/>
  <c r="O2" i="56"/>
  <c r="AE2" i="56" s="1"/>
  <c r="N2" i="56"/>
  <c r="AD2" i="56" s="1"/>
  <c r="N2" i="55"/>
  <c r="AD2" i="55" s="1"/>
  <c r="M2" i="53"/>
  <c r="N2" i="54"/>
  <c r="N9" i="54" s="1"/>
  <c r="Q9" i="54"/>
  <c r="AG2" i="55"/>
  <c r="Q2" i="56"/>
  <c r="P2" i="56"/>
  <c r="AF2" i="56" s="1"/>
  <c r="P2" i="54"/>
  <c r="P9" i="54" s="1"/>
  <c r="O2" i="53"/>
  <c r="P2" i="55"/>
  <c r="AF2" i="55" s="1"/>
  <c r="O32" i="31"/>
  <c r="R55" i="22"/>
  <c r="S55" i="22" s="1"/>
  <c r="R51" i="22"/>
  <c r="S51" i="22" s="1"/>
  <c r="Q32" i="31"/>
  <c r="R49" i="23"/>
  <c r="S49" i="23" s="1"/>
  <c r="G55" i="17"/>
  <c r="I55" i="17"/>
  <c r="K55" i="17"/>
  <c r="M55" i="17"/>
  <c r="O55" i="17"/>
  <c r="Q55" i="17"/>
  <c r="H55" i="17"/>
  <c r="J55" i="17"/>
  <c r="L55" i="17"/>
  <c r="N55" i="17"/>
  <c r="P55" i="17"/>
  <c r="F55" i="17"/>
  <c r="C34" i="23"/>
  <c r="R50" i="22"/>
  <c r="S50" i="22" s="1"/>
  <c r="R45" i="22"/>
  <c r="S45" i="22" s="1"/>
  <c r="R52" i="22"/>
  <c r="S52" i="22" s="1"/>
  <c r="R56" i="22"/>
  <c r="S56" i="22" s="1"/>
  <c r="R42" i="22"/>
  <c r="S42" i="22" s="1"/>
  <c r="R46" i="22"/>
  <c r="S46" i="22" s="1"/>
  <c r="R53" i="22"/>
  <c r="S53" i="22" s="1"/>
  <c r="R38" i="22"/>
  <c r="S38" i="22" s="1"/>
  <c r="R43" i="22"/>
  <c r="S43" i="22" s="1"/>
  <c r="R49" i="22"/>
  <c r="S49" i="22" s="1"/>
  <c r="R54" i="22"/>
  <c r="S54" i="22" s="1"/>
  <c r="R39" i="22"/>
  <c r="S39" i="22" s="1"/>
  <c r="R44" i="22"/>
  <c r="S44" i="22" s="1"/>
  <c r="F38" i="31"/>
  <c r="R38" i="31" s="1"/>
  <c r="S38" i="31" s="1"/>
  <c r="H32" i="31"/>
  <c r="R43" i="24"/>
  <c r="S43" i="24" s="1"/>
  <c r="R41" i="24"/>
  <c r="S41" i="24" s="1"/>
  <c r="L32" i="31"/>
  <c r="R40" i="20"/>
  <c r="S40" i="20" s="1"/>
  <c r="J32" i="31"/>
  <c r="N34" i="30"/>
  <c r="R46" i="28"/>
  <c r="S46" i="28" s="1"/>
  <c r="R49" i="28"/>
  <c r="S49" i="28" s="1"/>
  <c r="R40" i="28"/>
  <c r="S40" i="28" s="1"/>
  <c r="R44" i="28"/>
  <c r="S44" i="28" s="1"/>
  <c r="R50" i="28"/>
  <c r="S50" i="28" s="1"/>
  <c r="R40" i="23"/>
  <c r="S40" i="23" s="1"/>
  <c r="R44" i="23"/>
  <c r="S44" i="23" s="1"/>
  <c r="R48" i="23"/>
  <c r="S48" i="23" s="1"/>
  <c r="R53" i="23"/>
  <c r="S53" i="23" s="1"/>
  <c r="R40" i="22"/>
  <c r="S40" i="22" s="1"/>
  <c r="L34" i="30"/>
  <c r="R45" i="24"/>
  <c r="S45" i="24" s="1"/>
  <c r="R59" i="23"/>
  <c r="S59" i="23" s="1"/>
  <c r="N32" i="32"/>
  <c r="L32" i="32"/>
  <c r="J32" i="32"/>
  <c r="K32" i="32"/>
  <c r="F32" i="31"/>
  <c r="R15" i="31"/>
  <c r="S15" i="31" s="1"/>
  <c r="R23" i="31"/>
  <c r="S23" i="31" s="1"/>
  <c r="P32" i="31"/>
  <c r="N32" i="31"/>
  <c r="R15" i="32"/>
  <c r="S15" i="32" s="1"/>
  <c r="F32" i="32"/>
  <c r="R23" i="32"/>
  <c r="S23" i="32" s="1"/>
  <c r="K34" i="30"/>
  <c r="F34" i="30"/>
  <c r="J34" i="30"/>
  <c r="BN3" i="55"/>
  <c r="BR3" i="55"/>
  <c r="BR3" i="56"/>
  <c r="BN3" i="56"/>
  <c r="K4" i="59"/>
  <c r="K4" i="48"/>
  <c r="K31" i="46"/>
  <c r="K4" i="40"/>
  <c r="K20" i="40" s="1"/>
  <c r="K4" i="38"/>
  <c r="K4" i="50"/>
  <c r="K4" i="3"/>
  <c r="K4" i="49"/>
  <c r="K29" i="49" s="1"/>
  <c r="K4" i="47"/>
  <c r="K4" i="45"/>
  <c r="K4" i="39"/>
  <c r="K24" i="39" s="1"/>
  <c r="K4" i="52"/>
  <c r="K20" i="52" s="1"/>
  <c r="K4" i="43"/>
  <c r="H4" i="43"/>
  <c r="H4" i="59"/>
  <c r="H4" i="48"/>
  <c r="H31" i="46"/>
  <c r="H4" i="40"/>
  <c r="H20" i="40" s="1"/>
  <c r="H4" i="38"/>
  <c r="H4" i="50"/>
  <c r="H4" i="3"/>
  <c r="H4" i="49"/>
  <c r="H29" i="49" s="1"/>
  <c r="H4" i="47"/>
  <c r="H4" i="45"/>
  <c r="H4" i="39"/>
  <c r="H4" i="52"/>
  <c r="H20" i="52" s="1"/>
  <c r="P4" i="43"/>
  <c r="P4" i="59"/>
  <c r="P4" i="48"/>
  <c r="P31" i="46"/>
  <c r="P4" i="40"/>
  <c r="P20" i="40" s="1"/>
  <c r="P4" i="38"/>
  <c r="P4" i="50"/>
  <c r="P4" i="3"/>
  <c r="P4" i="49"/>
  <c r="P29" i="49" s="1"/>
  <c r="P4" i="47"/>
  <c r="P4" i="45"/>
  <c r="P4" i="39"/>
  <c r="P21" i="39" s="1"/>
  <c r="P4" i="52"/>
  <c r="P20" i="52" s="1"/>
  <c r="I4" i="3"/>
  <c r="I4" i="49"/>
  <c r="I29" i="49" s="1"/>
  <c r="I4" i="47"/>
  <c r="I4" i="45"/>
  <c r="I4" i="39"/>
  <c r="I30" i="39" s="1"/>
  <c r="I4" i="52"/>
  <c r="I20" i="52" s="1"/>
  <c r="I4" i="43"/>
  <c r="I4" i="59"/>
  <c r="I4" i="48"/>
  <c r="I31" i="46"/>
  <c r="I4" i="40"/>
  <c r="I20" i="40" s="1"/>
  <c r="I4" i="38"/>
  <c r="I4" i="50"/>
  <c r="Q4" i="40"/>
  <c r="Q20" i="40" s="1"/>
  <c r="N4" i="50"/>
  <c r="N4" i="3"/>
  <c r="N4" i="49"/>
  <c r="N29" i="49" s="1"/>
  <c r="N4" i="47"/>
  <c r="N4" i="45"/>
  <c r="N4" i="39"/>
  <c r="N28" i="39" s="1"/>
  <c r="N4" i="52"/>
  <c r="N20" i="52" s="1"/>
  <c r="N4" i="43"/>
  <c r="N4" i="59"/>
  <c r="N4" i="48"/>
  <c r="N31" i="46"/>
  <c r="N4" i="40"/>
  <c r="N20" i="40" s="1"/>
  <c r="N4" i="38"/>
  <c r="G4" i="3"/>
  <c r="G4" i="49"/>
  <c r="G29" i="49" s="1"/>
  <c r="G4" i="47"/>
  <c r="G4" i="45"/>
  <c r="G4" i="39"/>
  <c r="G26" i="39" s="1"/>
  <c r="G4" i="52"/>
  <c r="G20" i="52" s="1"/>
  <c r="G4" i="43"/>
  <c r="G4" i="59"/>
  <c r="G4" i="48"/>
  <c r="G31" i="46"/>
  <c r="G4" i="40"/>
  <c r="G20" i="40" s="1"/>
  <c r="G4" i="38"/>
  <c r="G4" i="50"/>
  <c r="O4" i="3"/>
  <c r="O4" i="49"/>
  <c r="O29" i="49" s="1"/>
  <c r="O4" i="47"/>
  <c r="O4" i="45"/>
  <c r="O4" i="39"/>
  <c r="O22" i="39" s="1"/>
  <c r="O4" i="52"/>
  <c r="O20" i="52" s="1"/>
  <c r="O4" i="43"/>
  <c r="O4" i="59"/>
  <c r="O4" i="48"/>
  <c r="O31" i="46"/>
  <c r="O4" i="40"/>
  <c r="O20" i="40" s="1"/>
  <c r="O4" i="38"/>
  <c r="O4" i="50"/>
  <c r="L4" i="50"/>
  <c r="L4" i="3"/>
  <c r="L4" i="49"/>
  <c r="L29" i="49" s="1"/>
  <c r="L4" i="47"/>
  <c r="L4" i="45"/>
  <c r="L4" i="39"/>
  <c r="L18" i="39" s="1"/>
  <c r="L4" i="52"/>
  <c r="L20" i="52" s="1"/>
  <c r="L4" i="43"/>
  <c r="L4" i="59"/>
  <c r="L4" i="48"/>
  <c r="L31" i="46"/>
  <c r="L4" i="40"/>
  <c r="L20" i="40" s="1"/>
  <c r="L4" i="38"/>
  <c r="M4" i="59"/>
  <c r="M4" i="48"/>
  <c r="M31" i="46"/>
  <c r="M4" i="40"/>
  <c r="M20" i="40" s="1"/>
  <c r="M4" i="38"/>
  <c r="M4" i="50"/>
  <c r="M4" i="3"/>
  <c r="M4" i="49"/>
  <c r="M29" i="49" s="1"/>
  <c r="M4" i="47"/>
  <c r="M4" i="45"/>
  <c r="M4" i="39"/>
  <c r="M4" i="52"/>
  <c r="M20" i="52" s="1"/>
  <c r="M4" i="43"/>
  <c r="J4" i="43"/>
  <c r="J4" i="59"/>
  <c r="J4" i="48"/>
  <c r="J31" i="46"/>
  <c r="J4" i="40"/>
  <c r="J20" i="40" s="1"/>
  <c r="J4" i="38"/>
  <c r="J4" i="50"/>
  <c r="J4" i="3"/>
  <c r="J4" i="49"/>
  <c r="J29" i="49" s="1"/>
  <c r="J4" i="47"/>
  <c r="J4" i="45"/>
  <c r="J4" i="39"/>
  <c r="J32" i="39" s="1"/>
  <c r="J4" i="52"/>
  <c r="J20" i="52" s="1"/>
  <c r="D37" i="39"/>
  <c r="R2" i="39"/>
  <c r="S2" i="39" s="1"/>
  <c r="R2" i="47"/>
  <c r="S2" i="47" s="1"/>
  <c r="R2" i="59"/>
  <c r="S2" i="59" s="1"/>
  <c r="R2" i="40"/>
  <c r="S2" i="40" s="1"/>
  <c r="R2" i="48"/>
  <c r="S2" i="48" s="1"/>
  <c r="R2" i="3"/>
  <c r="S2" i="3" s="1"/>
  <c r="Q89" i="58"/>
  <c r="R89" i="58" s="1"/>
  <c r="F4" i="59"/>
  <c r="F4" i="49"/>
  <c r="F29" i="49" s="1"/>
  <c r="F4" i="47"/>
  <c r="F4" i="45"/>
  <c r="F4" i="39"/>
  <c r="F4" i="52"/>
  <c r="F20" i="52" s="1"/>
  <c r="F4" i="3"/>
  <c r="F4" i="50"/>
  <c r="F4" i="48"/>
  <c r="F31" i="46"/>
  <c r="F4" i="40"/>
  <c r="F20" i="40" s="1"/>
  <c r="F4" i="38"/>
  <c r="F4" i="43"/>
  <c r="R2" i="52"/>
  <c r="S2" i="52" s="1"/>
  <c r="R2" i="45"/>
  <c r="S2" i="45" s="1"/>
  <c r="R2" i="49"/>
  <c r="S2" i="49" s="1"/>
  <c r="R2" i="43"/>
  <c r="S2" i="43" s="1"/>
  <c r="R2" i="38"/>
  <c r="S2" i="38" s="1"/>
  <c r="R2" i="46"/>
  <c r="S2" i="46" s="1"/>
  <c r="R2" i="50"/>
  <c r="S2" i="50" s="1"/>
  <c r="DA3" i="56"/>
  <c r="CY3" i="56"/>
  <c r="DE3" i="56"/>
  <c r="DC3" i="56"/>
  <c r="DI3" i="56"/>
  <c r="DG3" i="56"/>
  <c r="R35" i="29"/>
  <c r="S35" i="29" s="1"/>
  <c r="H58" i="22"/>
  <c r="L58" i="22"/>
  <c r="P58" i="22"/>
  <c r="I58" i="22"/>
  <c r="M58" i="22"/>
  <c r="Q58" i="22"/>
  <c r="F58" i="22"/>
  <c r="J58" i="22"/>
  <c r="N58" i="22"/>
  <c r="G58" i="22"/>
  <c r="K58" i="22"/>
  <c r="O58" i="22"/>
  <c r="R41" i="22"/>
  <c r="S41" i="22" s="1"/>
  <c r="H54" i="28"/>
  <c r="L54" i="28"/>
  <c r="P54" i="28"/>
  <c r="I54" i="28"/>
  <c r="M54" i="28"/>
  <c r="Q54" i="28"/>
  <c r="R39" i="28"/>
  <c r="S39" i="28" s="1"/>
  <c r="R43" i="28"/>
  <c r="S43" i="28" s="1"/>
  <c r="R53" i="28"/>
  <c r="S53" i="28" s="1"/>
  <c r="J54" i="28"/>
  <c r="N54" i="28"/>
  <c r="G54" i="28"/>
  <c r="K54" i="28"/>
  <c r="O54" i="28"/>
  <c r="R41" i="28"/>
  <c r="S41" i="28" s="1"/>
  <c r="R45" i="28"/>
  <c r="S45" i="28" s="1"/>
  <c r="R47" i="28"/>
  <c r="S47" i="28" s="1"/>
  <c r="R48" i="28"/>
  <c r="S48" i="28" s="1"/>
  <c r="R51" i="28"/>
  <c r="S51" i="28" s="1"/>
  <c r="R39" i="24"/>
  <c r="S39" i="24" s="1"/>
  <c r="R44" i="24"/>
  <c r="S44" i="24" s="1"/>
  <c r="J47" i="24"/>
  <c r="N47" i="24"/>
  <c r="G47" i="24"/>
  <c r="K47" i="24"/>
  <c r="O47" i="24"/>
  <c r="R42" i="24"/>
  <c r="S42" i="24" s="1"/>
  <c r="R46" i="24"/>
  <c r="S46" i="24" s="1"/>
  <c r="H47" i="24"/>
  <c r="L47" i="24"/>
  <c r="P47" i="24"/>
  <c r="I47" i="24"/>
  <c r="M47" i="24"/>
  <c r="Q47" i="24"/>
  <c r="R39" i="23"/>
  <c r="S39" i="23" s="1"/>
  <c r="R43" i="23"/>
  <c r="S43" i="23" s="1"/>
  <c r="R47" i="23"/>
  <c r="S47" i="23" s="1"/>
  <c r="R52" i="23"/>
  <c r="S52" i="23" s="1"/>
  <c r="R58" i="23"/>
  <c r="S58" i="23" s="1"/>
  <c r="R42" i="23"/>
  <c r="S42" i="23" s="1"/>
  <c r="R46" i="23"/>
  <c r="S46" i="23" s="1"/>
  <c r="R51" i="23"/>
  <c r="S51" i="23" s="1"/>
  <c r="R57" i="23"/>
  <c r="S57" i="23" s="1"/>
  <c r="R54" i="23"/>
  <c r="S54" i="23" s="1"/>
  <c r="R41" i="23"/>
  <c r="S41" i="23" s="1"/>
  <c r="R45" i="23"/>
  <c r="S45" i="23" s="1"/>
  <c r="R56" i="23"/>
  <c r="S56" i="23" s="1"/>
  <c r="R60" i="23"/>
  <c r="S60" i="23" s="1"/>
  <c r="C34" i="20"/>
  <c r="Q35" i="18"/>
  <c r="O35" i="18"/>
  <c r="M35" i="18"/>
  <c r="K35" i="18"/>
  <c r="I35" i="18"/>
  <c r="G35" i="18"/>
  <c r="P35" i="18"/>
  <c r="N35" i="18"/>
  <c r="L35" i="18"/>
  <c r="J35" i="18"/>
  <c r="H35" i="18"/>
  <c r="F35" i="18"/>
  <c r="Q30" i="18"/>
  <c r="O30" i="18"/>
  <c r="M30" i="18"/>
  <c r="K30" i="18"/>
  <c r="I30" i="18"/>
  <c r="G30" i="18"/>
  <c r="P30" i="18"/>
  <c r="N30" i="18"/>
  <c r="L30" i="18"/>
  <c r="J30" i="18"/>
  <c r="H30" i="18"/>
  <c r="F30" i="18"/>
  <c r="Q34" i="18"/>
  <c r="O34" i="18"/>
  <c r="M34" i="18"/>
  <c r="K34" i="18"/>
  <c r="I34" i="18"/>
  <c r="G34" i="18"/>
  <c r="P34" i="18"/>
  <c r="N34" i="18"/>
  <c r="L34" i="18"/>
  <c r="J34" i="18"/>
  <c r="H34" i="18"/>
  <c r="F34" i="18"/>
  <c r="Q29" i="18"/>
  <c r="O29" i="18"/>
  <c r="M29" i="18"/>
  <c r="K29" i="18"/>
  <c r="I29" i="18"/>
  <c r="G29" i="18"/>
  <c r="P29" i="18"/>
  <c r="N29" i="18"/>
  <c r="L29" i="18"/>
  <c r="J29" i="18"/>
  <c r="H29" i="18"/>
  <c r="F29" i="18"/>
  <c r="Q33" i="18"/>
  <c r="O33" i="18"/>
  <c r="M33" i="18"/>
  <c r="K33" i="18"/>
  <c r="I33" i="18"/>
  <c r="G33" i="18"/>
  <c r="P33" i="18"/>
  <c r="N33" i="18"/>
  <c r="L33" i="18"/>
  <c r="J33" i="18"/>
  <c r="H33" i="18"/>
  <c r="F33" i="18"/>
  <c r="P28" i="18"/>
  <c r="N28" i="18"/>
  <c r="L28" i="18"/>
  <c r="J28" i="18"/>
  <c r="H28" i="18"/>
  <c r="F28" i="18"/>
  <c r="Q28" i="18"/>
  <c r="O28" i="18"/>
  <c r="M28" i="18"/>
  <c r="K28" i="18"/>
  <c r="I28" i="18"/>
  <c r="G28" i="18"/>
  <c r="D36" i="18"/>
  <c r="P46" i="17"/>
  <c r="N46" i="17"/>
  <c r="L46" i="17"/>
  <c r="J46" i="17"/>
  <c r="H46" i="17"/>
  <c r="F46" i="17"/>
  <c r="Q46" i="17"/>
  <c r="O46" i="17"/>
  <c r="M46" i="17"/>
  <c r="K46" i="17"/>
  <c r="I46" i="17"/>
  <c r="G46" i="17"/>
  <c r="P50" i="17"/>
  <c r="N50" i="17"/>
  <c r="L50" i="17"/>
  <c r="J50" i="17"/>
  <c r="H50" i="17"/>
  <c r="F50" i="17"/>
  <c r="Q50" i="17"/>
  <c r="O50" i="17"/>
  <c r="M50" i="17"/>
  <c r="K50" i="17"/>
  <c r="I50" i="17"/>
  <c r="G50" i="17"/>
  <c r="P56" i="17"/>
  <c r="N56" i="17"/>
  <c r="L56" i="17"/>
  <c r="J56" i="17"/>
  <c r="H56" i="17"/>
  <c r="F56" i="17"/>
  <c r="Q56" i="17"/>
  <c r="O56" i="17"/>
  <c r="M56" i="17"/>
  <c r="K56" i="17"/>
  <c r="I56" i="17"/>
  <c r="G56" i="17"/>
  <c r="P60" i="17"/>
  <c r="N60" i="17"/>
  <c r="L60" i="17"/>
  <c r="J60" i="17"/>
  <c r="H60" i="17"/>
  <c r="F60" i="17"/>
  <c r="Q60" i="17"/>
  <c r="O60" i="17"/>
  <c r="M60" i="17"/>
  <c r="K60" i="17"/>
  <c r="I60" i="17"/>
  <c r="G60" i="17"/>
  <c r="P43" i="17"/>
  <c r="N43" i="17"/>
  <c r="L43" i="17"/>
  <c r="J43" i="17"/>
  <c r="H43" i="17"/>
  <c r="F43" i="17"/>
  <c r="Q43" i="17"/>
  <c r="O43" i="17"/>
  <c r="M43" i="17"/>
  <c r="K43" i="17"/>
  <c r="I43" i="17"/>
  <c r="G43" i="17"/>
  <c r="P47" i="17"/>
  <c r="N47" i="17"/>
  <c r="L47" i="17"/>
  <c r="J47" i="17"/>
  <c r="H47" i="17"/>
  <c r="F47" i="17"/>
  <c r="Q47" i="17"/>
  <c r="O47" i="17"/>
  <c r="M47" i="17"/>
  <c r="K47" i="17"/>
  <c r="I47" i="17"/>
  <c r="G47" i="17"/>
  <c r="P51" i="17"/>
  <c r="N51" i="17"/>
  <c r="L51" i="17"/>
  <c r="J51" i="17"/>
  <c r="H51" i="17"/>
  <c r="F51" i="17"/>
  <c r="Q51" i="17"/>
  <c r="O51" i="17"/>
  <c r="M51" i="17"/>
  <c r="K51" i="17"/>
  <c r="I51" i="17"/>
  <c r="G51" i="17"/>
  <c r="P57" i="17"/>
  <c r="N57" i="17"/>
  <c r="L57" i="17"/>
  <c r="J57" i="17"/>
  <c r="H57" i="17"/>
  <c r="F57" i="17"/>
  <c r="Q57" i="17"/>
  <c r="O57" i="17"/>
  <c r="M57" i="17"/>
  <c r="K57" i="17"/>
  <c r="I57" i="17"/>
  <c r="G57" i="17"/>
  <c r="P61" i="17"/>
  <c r="N61" i="17"/>
  <c r="L61" i="17"/>
  <c r="J61" i="17"/>
  <c r="H61" i="17"/>
  <c r="F61" i="17"/>
  <c r="Q61" i="17"/>
  <c r="O61" i="17"/>
  <c r="M61" i="17"/>
  <c r="K61" i="17"/>
  <c r="I61" i="17"/>
  <c r="G61" i="17"/>
  <c r="P44" i="17"/>
  <c r="N44" i="17"/>
  <c r="L44" i="17"/>
  <c r="J44" i="17"/>
  <c r="H44" i="17"/>
  <c r="F44" i="17"/>
  <c r="Q44" i="17"/>
  <c r="O44" i="17"/>
  <c r="M44" i="17"/>
  <c r="K44" i="17"/>
  <c r="I44" i="17"/>
  <c r="G44" i="17"/>
  <c r="P48" i="17"/>
  <c r="N48" i="17"/>
  <c r="L48" i="17"/>
  <c r="J48" i="17"/>
  <c r="H48" i="17"/>
  <c r="F48" i="17"/>
  <c r="Q48" i="17"/>
  <c r="O48" i="17"/>
  <c r="M48" i="17"/>
  <c r="K48" i="17"/>
  <c r="I48" i="17"/>
  <c r="G48" i="17"/>
  <c r="P52" i="17"/>
  <c r="N52" i="17"/>
  <c r="L52" i="17"/>
  <c r="J52" i="17"/>
  <c r="H52" i="17"/>
  <c r="F52" i="17"/>
  <c r="Q52" i="17"/>
  <c r="O52" i="17"/>
  <c r="M52" i="17"/>
  <c r="K52" i="17"/>
  <c r="I52" i="17"/>
  <c r="G52" i="17"/>
  <c r="P58" i="17"/>
  <c r="N58" i="17"/>
  <c r="L58" i="17"/>
  <c r="J58" i="17"/>
  <c r="H58" i="17"/>
  <c r="F58" i="17"/>
  <c r="Q58" i="17"/>
  <c r="O58" i="17"/>
  <c r="M58" i="17"/>
  <c r="K58" i="17"/>
  <c r="I58" i="17"/>
  <c r="G58" i="17"/>
  <c r="P62" i="17"/>
  <c r="N62" i="17"/>
  <c r="L62" i="17"/>
  <c r="J62" i="17"/>
  <c r="H62" i="17"/>
  <c r="F62" i="17"/>
  <c r="Q62" i="17"/>
  <c r="O62" i="17"/>
  <c r="M62" i="17"/>
  <c r="K62" i="17"/>
  <c r="I62" i="17"/>
  <c r="G62" i="17"/>
  <c r="P45" i="17"/>
  <c r="N45" i="17"/>
  <c r="L45" i="17"/>
  <c r="J45" i="17"/>
  <c r="H45" i="17"/>
  <c r="F45" i="17"/>
  <c r="Q45" i="17"/>
  <c r="O45" i="17"/>
  <c r="M45" i="17"/>
  <c r="K45" i="17"/>
  <c r="I45" i="17"/>
  <c r="G45" i="17"/>
  <c r="P49" i="17"/>
  <c r="N49" i="17"/>
  <c r="L49" i="17"/>
  <c r="J49" i="17"/>
  <c r="H49" i="17"/>
  <c r="F49" i="17"/>
  <c r="Q49" i="17"/>
  <c r="O49" i="17"/>
  <c r="M49" i="17"/>
  <c r="K49" i="17"/>
  <c r="I49" i="17"/>
  <c r="G49" i="17"/>
  <c r="P53" i="17"/>
  <c r="N53" i="17"/>
  <c r="L53" i="17"/>
  <c r="J53" i="17"/>
  <c r="H53" i="17"/>
  <c r="F53" i="17"/>
  <c r="Q53" i="17"/>
  <c r="O53" i="17"/>
  <c r="M53" i="17"/>
  <c r="K53" i="17"/>
  <c r="I53" i="17"/>
  <c r="G53" i="17"/>
  <c r="P59" i="17"/>
  <c r="N59" i="17"/>
  <c r="L59" i="17"/>
  <c r="J59" i="17"/>
  <c r="H59" i="17"/>
  <c r="F59" i="17"/>
  <c r="Q59" i="17"/>
  <c r="O59" i="17"/>
  <c r="M59" i="17"/>
  <c r="K59" i="17"/>
  <c r="I59" i="17"/>
  <c r="G59" i="17"/>
  <c r="C34" i="17"/>
  <c r="P36" i="16"/>
  <c r="P37" i="16" s="1"/>
  <c r="N36" i="16"/>
  <c r="N37" i="16" s="1"/>
  <c r="L36" i="16"/>
  <c r="L37" i="16" s="1"/>
  <c r="J36" i="16"/>
  <c r="J37" i="16" s="1"/>
  <c r="H36" i="16"/>
  <c r="H37" i="16" s="1"/>
  <c r="F36" i="16"/>
  <c r="Q36" i="16"/>
  <c r="Q37" i="16" s="1"/>
  <c r="O36" i="16"/>
  <c r="O37" i="16" s="1"/>
  <c r="M36" i="16"/>
  <c r="M37" i="16" s="1"/>
  <c r="K36" i="16"/>
  <c r="K37" i="16" s="1"/>
  <c r="I36" i="16"/>
  <c r="I37" i="16" s="1"/>
  <c r="G36" i="16"/>
  <c r="G37" i="16" s="1"/>
  <c r="S27" i="16"/>
  <c r="F37" i="29"/>
  <c r="R37" i="29" s="1"/>
  <c r="S37" i="29" s="1"/>
  <c r="F54" i="28"/>
  <c r="R38" i="28"/>
  <c r="S38" i="28" s="1"/>
  <c r="F38" i="27"/>
  <c r="R38" i="27" s="1"/>
  <c r="R36" i="27"/>
  <c r="S36" i="27" s="1"/>
  <c r="S38" i="27" s="1"/>
  <c r="R25" i="25"/>
  <c r="S25" i="25" s="1"/>
  <c r="F47" i="24"/>
  <c r="R38" i="24"/>
  <c r="S38" i="24" s="1"/>
  <c r="R37" i="22"/>
  <c r="S37" i="22" s="1"/>
  <c r="S18" i="21"/>
  <c r="R38" i="20"/>
  <c r="S38" i="20" s="1"/>
  <c r="R10" i="20"/>
  <c r="R20" i="20"/>
  <c r="S20" i="20" s="1"/>
  <c r="R41" i="20"/>
  <c r="S41" i="20" s="1"/>
  <c r="R50" i="20"/>
  <c r="S50" i="20" s="1"/>
  <c r="R39" i="20"/>
  <c r="S39" i="20" s="1"/>
  <c r="R36" i="19"/>
  <c r="S36" i="19" s="1"/>
  <c r="S28" i="16"/>
  <c r="S29" i="16"/>
  <c r="S30" i="16"/>
  <c r="C36" i="18"/>
  <c r="R4" i="16"/>
  <c r="S4" i="16" s="1"/>
  <c r="R2" i="16"/>
  <c r="S2" i="16" s="1"/>
  <c r="C8" i="16"/>
  <c r="C251" i="62" s="1"/>
  <c r="C9" i="16"/>
  <c r="C252" i="62" s="1"/>
  <c r="C10" i="16"/>
  <c r="C253" i="62" s="1"/>
  <c r="C11" i="16"/>
  <c r="C254" i="62" s="1"/>
  <c r="C12" i="16"/>
  <c r="C255" i="62" s="1"/>
  <c r="C13" i="16"/>
  <c r="C256" i="62" s="1"/>
  <c r="C14" i="16"/>
  <c r="C257" i="62" s="1"/>
  <c r="C16" i="16"/>
  <c r="C24" i="16"/>
  <c r="D37" i="16"/>
  <c r="R55" i="20" l="1"/>
  <c r="S55" i="20" s="1"/>
  <c r="F21" i="55"/>
  <c r="R22" i="44"/>
  <c r="S22" i="44" s="1"/>
  <c r="C37" i="18"/>
  <c r="R17" i="30"/>
  <c r="S17" i="30" s="1"/>
  <c r="I34" i="20"/>
  <c r="F34" i="28"/>
  <c r="R34" i="28" s="1"/>
  <c r="S34" i="28" s="1"/>
  <c r="R33" i="28"/>
  <c r="S33" i="28" s="1"/>
  <c r="R15" i="27"/>
  <c r="S15" i="27" s="1"/>
  <c r="F32" i="27"/>
  <c r="R32" i="27" s="1"/>
  <c r="S32" i="27" s="1"/>
  <c r="O37" i="33"/>
  <c r="R37" i="33" s="1"/>
  <c r="S37" i="33" s="1"/>
  <c r="R36" i="33"/>
  <c r="S36" i="33" s="1"/>
  <c r="R33" i="22"/>
  <c r="S33" i="22" s="1"/>
  <c r="R31" i="33"/>
  <c r="S31" i="33" s="1"/>
  <c r="O32" i="33"/>
  <c r="R32" i="33" s="1"/>
  <c r="S32" i="33" s="1"/>
  <c r="R29" i="49"/>
  <c r="S29" i="49" s="1"/>
  <c r="G34" i="30"/>
  <c r="S34" i="23"/>
  <c r="D35" i="21"/>
  <c r="D34" i="20"/>
  <c r="D34" i="30"/>
  <c r="C50" i="30"/>
  <c r="F7" i="52"/>
  <c r="K40" i="60" s="1"/>
  <c r="P19" i="55"/>
  <c r="I19" i="55"/>
  <c r="N19" i="55"/>
  <c r="G19" i="55"/>
  <c r="K19" i="55"/>
  <c r="L19" i="55"/>
  <c r="M19" i="55"/>
  <c r="J19" i="55"/>
  <c r="Q19" i="55"/>
  <c r="F19" i="55"/>
  <c r="O19" i="55"/>
  <c r="H19" i="55"/>
  <c r="P17" i="52"/>
  <c r="H17" i="52"/>
  <c r="I17" i="52"/>
  <c r="G19" i="52"/>
  <c r="O19" i="52"/>
  <c r="P19" i="52"/>
  <c r="I10" i="52"/>
  <c r="P10" i="52"/>
  <c r="F10" i="52"/>
  <c r="M17" i="52"/>
  <c r="O17" i="52"/>
  <c r="Q17" i="52"/>
  <c r="F19" i="52"/>
  <c r="L19" i="52"/>
  <c r="M19" i="52"/>
  <c r="N10" i="52"/>
  <c r="Q10" i="52"/>
  <c r="O10" i="52"/>
  <c r="J17" i="52"/>
  <c r="L17" i="52"/>
  <c r="N17" i="52"/>
  <c r="I19" i="52"/>
  <c r="K19" i="52"/>
  <c r="N19" i="52"/>
  <c r="K10" i="52"/>
  <c r="M10" i="52"/>
  <c r="L10" i="52"/>
  <c r="F17" i="52"/>
  <c r="K17" i="52"/>
  <c r="G17" i="52"/>
  <c r="Q19" i="52"/>
  <c r="J19" i="52"/>
  <c r="H19" i="52"/>
  <c r="H10" i="52"/>
  <c r="J10" i="52"/>
  <c r="G10" i="52"/>
  <c r="S39" i="26"/>
  <c r="R48" i="26"/>
  <c r="S48" i="26" s="1"/>
  <c r="R38" i="21"/>
  <c r="S38" i="21" s="1"/>
  <c r="P34" i="30"/>
  <c r="N18" i="39"/>
  <c r="G18" i="39"/>
  <c r="N22" i="39"/>
  <c r="R47" i="20"/>
  <c r="S47" i="20" s="1"/>
  <c r="P34" i="20"/>
  <c r="R43" i="20"/>
  <c r="S43" i="20" s="1"/>
  <c r="R45" i="20"/>
  <c r="S45" i="20" s="1"/>
  <c r="R49" i="20"/>
  <c r="S49" i="20" s="1"/>
  <c r="O34" i="30"/>
  <c r="O34" i="20"/>
  <c r="O26" i="53"/>
  <c r="J34" i="20"/>
  <c r="M26" i="53"/>
  <c r="R53" i="20"/>
  <c r="S53" i="20" s="1"/>
  <c r="R54" i="20"/>
  <c r="S54" i="20" s="1"/>
  <c r="R46" i="20"/>
  <c r="S46" i="20" s="1"/>
  <c r="Q34" i="20"/>
  <c r="R52" i="20"/>
  <c r="S52" i="20" s="1"/>
  <c r="M34" i="20"/>
  <c r="R42" i="20"/>
  <c r="S42" i="20" s="1"/>
  <c r="R25" i="30"/>
  <c r="S25" i="30" s="1"/>
  <c r="R51" i="20"/>
  <c r="S51" i="20" s="1"/>
  <c r="R48" i="20"/>
  <c r="S48" i="20" s="1"/>
  <c r="G28" i="39"/>
  <c r="I23" i="39"/>
  <c r="I35" i="39"/>
  <c r="G22" i="39"/>
  <c r="G30" i="39"/>
  <c r="Q13" i="52"/>
  <c r="G36" i="39"/>
  <c r="G23" i="39"/>
  <c r="I31" i="39"/>
  <c r="G34" i="20"/>
  <c r="P16" i="39"/>
  <c r="R17" i="20"/>
  <c r="S17" i="20" s="1"/>
  <c r="H34" i="20"/>
  <c r="Q25" i="39"/>
  <c r="P22" i="39"/>
  <c r="P27" i="39"/>
  <c r="R54" i="17"/>
  <c r="S54" i="17" s="1"/>
  <c r="P18" i="39"/>
  <c r="P33" i="39"/>
  <c r="P36" i="39"/>
  <c r="P32" i="39"/>
  <c r="P34" i="39"/>
  <c r="I29" i="39"/>
  <c r="I26" i="39"/>
  <c r="I25" i="39"/>
  <c r="Q21" i="39"/>
  <c r="I24" i="39"/>
  <c r="Q15" i="39"/>
  <c r="I28" i="39"/>
  <c r="Q31" i="39"/>
  <c r="Q30" i="39"/>
  <c r="Q34" i="39"/>
  <c r="Q29" i="39"/>
  <c r="Q17" i="39"/>
  <c r="D34" i="23"/>
  <c r="R20" i="52"/>
  <c r="S20" i="52" s="1"/>
  <c r="Q31" i="46"/>
  <c r="R31" i="46" s="1"/>
  <c r="S31" i="46" s="1"/>
  <c r="Q39" i="46"/>
  <c r="R39" i="46" s="1"/>
  <c r="S39" i="46" s="1"/>
  <c r="Q19" i="46"/>
  <c r="Q20" i="46"/>
  <c r="F33" i="39"/>
  <c r="F19" i="39"/>
  <c r="J29" i="39"/>
  <c r="J19" i="39"/>
  <c r="M29" i="39"/>
  <c r="M19" i="39"/>
  <c r="L29" i="39"/>
  <c r="L19" i="39"/>
  <c r="O20" i="39"/>
  <c r="O19" i="39"/>
  <c r="N20" i="39"/>
  <c r="N19" i="39"/>
  <c r="H15" i="39"/>
  <c r="H19" i="39"/>
  <c r="K20" i="39"/>
  <c r="K19" i="39"/>
  <c r="G29" i="39"/>
  <c r="G19" i="39"/>
  <c r="I15" i="39"/>
  <c r="I19" i="39"/>
  <c r="P15" i="39"/>
  <c r="P19" i="39"/>
  <c r="N21" i="39"/>
  <c r="R43" i="30"/>
  <c r="S43" i="30" s="1"/>
  <c r="R42" i="30"/>
  <c r="S42" i="30" s="1"/>
  <c r="R45" i="30"/>
  <c r="S45" i="30" s="1"/>
  <c r="R47" i="30"/>
  <c r="S47" i="30" s="1"/>
  <c r="R44" i="30"/>
  <c r="S44" i="30" s="1"/>
  <c r="R48" i="30"/>
  <c r="S48" i="30" s="1"/>
  <c r="R46" i="30"/>
  <c r="S46" i="30" s="1"/>
  <c r="N49" i="30"/>
  <c r="K49" i="30"/>
  <c r="H49" i="30"/>
  <c r="P49" i="30"/>
  <c r="M49" i="30"/>
  <c r="J49" i="30"/>
  <c r="G49" i="30"/>
  <c r="O49" i="30"/>
  <c r="L49" i="30"/>
  <c r="I49" i="30"/>
  <c r="Q49" i="30"/>
  <c r="I17" i="39"/>
  <c r="I36" i="39"/>
  <c r="P28" i="39"/>
  <c r="I22" i="39"/>
  <c r="G32" i="39"/>
  <c r="I32" i="39"/>
  <c r="P26" i="39"/>
  <c r="I18" i="39"/>
  <c r="P30" i="39"/>
  <c r="P23" i="39"/>
  <c r="G33" i="39"/>
  <c r="I33" i="39"/>
  <c r="P25" i="39"/>
  <c r="I34" i="39"/>
  <c r="G16" i="39"/>
  <c r="I16" i="39"/>
  <c r="I27" i="39"/>
  <c r="I21" i="39"/>
  <c r="P31" i="39"/>
  <c r="P24" i="39"/>
  <c r="P35" i="39"/>
  <c r="P17" i="39"/>
  <c r="P29" i="39"/>
  <c r="K14" i="52"/>
  <c r="P39" i="60" s="1"/>
  <c r="K13" i="52"/>
  <c r="G25" i="39"/>
  <c r="G34" i="39"/>
  <c r="G27" i="39"/>
  <c r="K7" i="52"/>
  <c r="P40" i="60" s="1"/>
  <c r="K12" i="52"/>
  <c r="P42" i="60" s="1"/>
  <c r="O35" i="39"/>
  <c r="K11" i="52"/>
  <c r="M27" i="39"/>
  <c r="H13" i="52"/>
  <c r="H12" i="52"/>
  <c r="Q28" i="39"/>
  <c r="Q22" i="39"/>
  <c r="Q26" i="39"/>
  <c r="N23" i="39"/>
  <c r="L23" i="39"/>
  <c r="Q33" i="39"/>
  <c r="H25" i="39"/>
  <c r="N25" i="39"/>
  <c r="O25" i="39"/>
  <c r="N34" i="39"/>
  <c r="N16" i="39"/>
  <c r="L16" i="39"/>
  <c r="K27" i="39"/>
  <c r="K21" i="39"/>
  <c r="K31" i="39"/>
  <c r="N24" i="39"/>
  <c r="Q24" i="39"/>
  <c r="H17" i="39"/>
  <c r="Q11" i="52"/>
  <c r="F36" i="39"/>
  <c r="F26" i="39"/>
  <c r="L36" i="39"/>
  <c r="N36" i="39"/>
  <c r="O36" i="39"/>
  <c r="J28" i="39"/>
  <c r="N32" i="39"/>
  <c r="L32" i="39"/>
  <c r="N26" i="39"/>
  <c r="O26" i="39"/>
  <c r="J18" i="39"/>
  <c r="N30" i="39"/>
  <c r="O30" i="39"/>
  <c r="J23" i="39"/>
  <c r="N33" i="39"/>
  <c r="O33" i="39"/>
  <c r="N27" i="39"/>
  <c r="N31" i="39"/>
  <c r="N35" i="39"/>
  <c r="N17" i="39"/>
  <c r="N29" i="39"/>
  <c r="H7" i="52"/>
  <c r="M40" i="60" s="1"/>
  <c r="F28" i="39"/>
  <c r="F22" i="39"/>
  <c r="F30" i="39"/>
  <c r="H14" i="52"/>
  <c r="M39" i="60" s="1"/>
  <c r="H11" i="52"/>
  <c r="K22" i="52"/>
  <c r="F32" i="39"/>
  <c r="F18" i="39"/>
  <c r="F23" i="39"/>
  <c r="J16" i="39"/>
  <c r="Q36" i="39"/>
  <c r="J36" i="39"/>
  <c r="L28" i="39"/>
  <c r="O28" i="39"/>
  <c r="J22" i="39"/>
  <c r="L22" i="39"/>
  <c r="O32" i="39"/>
  <c r="Q32" i="39"/>
  <c r="J26" i="39"/>
  <c r="L26" i="39"/>
  <c r="O18" i="39"/>
  <c r="Q18" i="39"/>
  <c r="J30" i="39"/>
  <c r="L30" i="39"/>
  <c r="O23" i="39"/>
  <c r="Q23" i="39"/>
  <c r="J33" i="39"/>
  <c r="L33" i="39"/>
  <c r="M25" i="39"/>
  <c r="J25" i="39"/>
  <c r="L34" i="39"/>
  <c r="K34" i="39"/>
  <c r="O16" i="39"/>
  <c r="Q16" i="39"/>
  <c r="H27" i="39"/>
  <c r="Q27" i="39"/>
  <c r="H21" i="39"/>
  <c r="H31" i="39"/>
  <c r="H24" i="39"/>
  <c r="Q35" i="39"/>
  <c r="K17" i="39"/>
  <c r="O29" i="39"/>
  <c r="Q7" i="52"/>
  <c r="V40" i="60" s="1"/>
  <c r="Q14" i="52"/>
  <c r="V39" i="60" s="1"/>
  <c r="N12" i="52"/>
  <c r="P26" i="53"/>
  <c r="N26" i="53"/>
  <c r="L26" i="53"/>
  <c r="H22" i="52"/>
  <c r="R34" i="21"/>
  <c r="S34" i="21" s="1"/>
  <c r="F35" i="21"/>
  <c r="F49" i="30"/>
  <c r="R41" i="30"/>
  <c r="S41" i="30" s="1"/>
  <c r="M21" i="55"/>
  <c r="Q21" i="55"/>
  <c r="I21" i="55"/>
  <c r="N21" i="55"/>
  <c r="J21" i="55"/>
  <c r="H36" i="39"/>
  <c r="M36" i="39"/>
  <c r="K36" i="39"/>
  <c r="H28" i="39"/>
  <c r="M28" i="39"/>
  <c r="K28" i="39"/>
  <c r="K22" i="39"/>
  <c r="H22" i="39"/>
  <c r="M22" i="39"/>
  <c r="K32" i="39"/>
  <c r="H32" i="39"/>
  <c r="M32" i="39"/>
  <c r="K26" i="39"/>
  <c r="H26" i="39"/>
  <c r="M26" i="39"/>
  <c r="K18" i="39"/>
  <c r="H18" i="39"/>
  <c r="M18" i="39"/>
  <c r="K30" i="39"/>
  <c r="H30" i="39"/>
  <c r="M30" i="39"/>
  <c r="K23" i="39"/>
  <c r="H23" i="39"/>
  <c r="M23" i="39"/>
  <c r="K33" i="39"/>
  <c r="H33" i="39"/>
  <c r="M33" i="39"/>
  <c r="R20" i="40"/>
  <c r="S20" i="40" s="1"/>
  <c r="R4" i="39"/>
  <c r="S4" i="39" s="1"/>
  <c r="L25" i="39"/>
  <c r="K25" i="39"/>
  <c r="H34" i="39"/>
  <c r="M34" i="39"/>
  <c r="J34" i="39"/>
  <c r="O34" i="39"/>
  <c r="K16" i="39"/>
  <c r="H16" i="39"/>
  <c r="M16" i="39"/>
  <c r="J27" i="39"/>
  <c r="O27" i="39"/>
  <c r="L27" i="39"/>
  <c r="O21" i="39"/>
  <c r="L21" i="39"/>
  <c r="O31" i="39"/>
  <c r="L31" i="39"/>
  <c r="O24" i="39"/>
  <c r="K35" i="39"/>
  <c r="H35" i="39"/>
  <c r="O17" i="39"/>
  <c r="K29" i="39"/>
  <c r="H29" i="39"/>
  <c r="I14" i="52"/>
  <c r="N39" i="60" s="1"/>
  <c r="I13" i="52"/>
  <c r="I12" i="52"/>
  <c r="I11" i="52"/>
  <c r="I22" i="52"/>
  <c r="R4" i="46"/>
  <c r="O21" i="55"/>
  <c r="K21" i="55"/>
  <c r="G21" i="55"/>
  <c r="P21" i="55"/>
  <c r="L21" i="55"/>
  <c r="H21" i="55"/>
  <c r="M21" i="39"/>
  <c r="I7" i="52"/>
  <c r="N40" i="60" s="1"/>
  <c r="R30" i="18"/>
  <c r="S30" i="18" s="1"/>
  <c r="D74" i="53"/>
  <c r="C31" i="16"/>
  <c r="C267" i="62"/>
  <c r="C274" i="62" s="1"/>
  <c r="C23" i="16"/>
  <c r="C259" i="62"/>
  <c r="C266" i="62" s="1"/>
  <c r="C258" i="62"/>
  <c r="AV2" i="56"/>
  <c r="AF4" i="56"/>
  <c r="AG4" i="55"/>
  <c r="AW2" i="55"/>
  <c r="AT2" i="56"/>
  <c r="AD4" i="56"/>
  <c r="AE4" i="55"/>
  <c r="AU2" i="55"/>
  <c r="AB4" i="56"/>
  <c r="AR2" i="56"/>
  <c r="AS2" i="55"/>
  <c r="AC4" i="55"/>
  <c r="H11" i="53"/>
  <c r="I11" i="53"/>
  <c r="K11" i="53"/>
  <c r="L11" i="53"/>
  <c r="E11" i="53"/>
  <c r="N11" i="53"/>
  <c r="P11" i="53"/>
  <c r="F11" i="53"/>
  <c r="O11" i="53"/>
  <c r="M11" i="53"/>
  <c r="J11" i="53"/>
  <c r="G11" i="53"/>
  <c r="L22" i="53"/>
  <c r="N22" i="53"/>
  <c r="H22" i="53"/>
  <c r="I22" i="53"/>
  <c r="F22" i="53"/>
  <c r="K22" i="53"/>
  <c r="M22" i="53"/>
  <c r="G22" i="53"/>
  <c r="P22" i="53"/>
  <c r="E22" i="53"/>
  <c r="J22" i="53"/>
  <c r="O22" i="53"/>
  <c r="I65" i="53"/>
  <c r="E65" i="53"/>
  <c r="K65" i="53"/>
  <c r="H65" i="53"/>
  <c r="F65" i="53"/>
  <c r="G65" i="53"/>
  <c r="L65" i="53"/>
  <c r="M65" i="53"/>
  <c r="N65" i="53"/>
  <c r="O65" i="53"/>
  <c r="P65" i="53"/>
  <c r="J65" i="53"/>
  <c r="P61" i="53"/>
  <c r="N61" i="53"/>
  <c r="I61" i="53"/>
  <c r="E61" i="53"/>
  <c r="G61" i="53"/>
  <c r="O61" i="53"/>
  <c r="H61" i="53"/>
  <c r="J61" i="53"/>
  <c r="L61" i="53"/>
  <c r="M61" i="53"/>
  <c r="F61" i="53"/>
  <c r="K61" i="53"/>
  <c r="P23" i="53"/>
  <c r="F23" i="53"/>
  <c r="L23" i="53"/>
  <c r="M23" i="53"/>
  <c r="G23" i="53"/>
  <c r="O23" i="53"/>
  <c r="H23" i="53"/>
  <c r="E23" i="53"/>
  <c r="J23" i="53"/>
  <c r="I23" i="53"/>
  <c r="N23" i="53"/>
  <c r="K23" i="53"/>
  <c r="P21" i="53"/>
  <c r="M21" i="53"/>
  <c r="J21" i="53"/>
  <c r="K21" i="53"/>
  <c r="L21" i="53"/>
  <c r="N21" i="53"/>
  <c r="H21" i="53"/>
  <c r="I21" i="53"/>
  <c r="F21" i="53"/>
  <c r="G21" i="53"/>
  <c r="O21" i="53"/>
  <c r="E21" i="53"/>
  <c r="I20" i="53"/>
  <c r="N20" i="53"/>
  <c r="O20" i="53"/>
  <c r="P20" i="53"/>
  <c r="F20" i="53"/>
  <c r="G20" i="53"/>
  <c r="L20" i="53"/>
  <c r="E20" i="53"/>
  <c r="K20" i="53"/>
  <c r="H20" i="53"/>
  <c r="M20" i="53"/>
  <c r="J20" i="53"/>
  <c r="I7" i="55"/>
  <c r="M7" i="55"/>
  <c r="O7" i="55"/>
  <c r="L7" i="55"/>
  <c r="H7" i="55"/>
  <c r="J7" i="55"/>
  <c r="D14" i="55"/>
  <c r="G7" i="55"/>
  <c r="Q7" i="55"/>
  <c r="K7" i="55"/>
  <c r="N7" i="55"/>
  <c r="F7" i="55"/>
  <c r="P7" i="55"/>
  <c r="I10" i="55"/>
  <c r="M10" i="55"/>
  <c r="O10" i="55"/>
  <c r="N10" i="55"/>
  <c r="F10" i="55"/>
  <c r="L10" i="55"/>
  <c r="G10" i="55"/>
  <c r="Q10" i="55"/>
  <c r="K10" i="55"/>
  <c r="P10" i="55"/>
  <c r="J10" i="55"/>
  <c r="H10" i="55"/>
  <c r="Z4" i="56"/>
  <c r="AP2" i="56"/>
  <c r="AA4" i="55"/>
  <c r="AQ2" i="55"/>
  <c r="AN2" i="56"/>
  <c r="X4" i="56"/>
  <c r="Y4" i="55"/>
  <c r="AO2" i="55"/>
  <c r="F10" i="56"/>
  <c r="V2" i="56"/>
  <c r="R2" i="56"/>
  <c r="S2" i="56" s="1"/>
  <c r="AM2" i="56"/>
  <c r="W4" i="56"/>
  <c r="O9" i="56"/>
  <c r="M9" i="56"/>
  <c r="N9" i="56"/>
  <c r="I9" i="56"/>
  <c r="H9" i="56"/>
  <c r="J9" i="56"/>
  <c r="Q9" i="56"/>
  <c r="G9" i="56"/>
  <c r="L9" i="56"/>
  <c r="K9" i="56"/>
  <c r="P9" i="56"/>
  <c r="F9" i="56"/>
  <c r="N10" i="56"/>
  <c r="M10" i="56"/>
  <c r="P10" i="56"/>
  <c r="H10" i="56"/>
  <c r="K10" i="56"/>
  <c r="J10" i="56"/>
  <c r="I10" i="56"/>
  <c r="L10" i="56"/>
  <c r="O10" i="56"/>
  <c r="G10" i="56"/>
  <c r="I26" i="53"/>
  <c r="G26" i="53"/>
  <c r="F26" i="53"/>
  <c r="AF4" i="55"/>
  <c r="AV2" i="55"/>
  <c r="Q10" i="56"/>
  <c r="AG2" i="56"/>
  <c r="AT2" i="55"/>
  <c r="AD4" i="55"/>
  <c r="AE4" i="56"/>
  <c r="AU2" i="56"/>
  <c r="AB4" i="55"/>
  <c r="AR2" i="55"/>
  <c r="AC4" i="56"/>
  <c r="AS2" i="56"/>
  <c r="D35" i="53"/>
  <c r="E32" i="53"/>
  <c r="H32" i="53"/>
  <c r="P32" i="53"/>
  <c r="F32" i="53"/>
  <c r="N32" i="53"/>
  <c r="K32" i="53"/>
  <c r="M32" i="53"/>
  <c r="O32" i="53"/>
  <c r="L32" i="53"/>
  <c r="I32" i="53"/>
  <c r="J32" i="53"/>
  <c r="G32" i="53"/>
  <c r="H45" i="53"/>
  <c r="M45" i="53"/>
  <c r="G45" i="53"/>
  <c r="I45" i="53"/>
  <c r="J45" i="53"/>
  <c r="K45" i="53"/>
  <c r="P45" i="53"/>
  <c r="F45" i="53"/>
  <c r="L45" i="53"/>
  <c r="E45" i="53"/>
  <c r="N45" i="53"/>
  <c r="O45" i="53"/>
  <c r="H34" i="53"/>
  <c r="I34" i="53"/>
  <c r="E34" i="53"/>
  <c r="J34" i="53"/>
  <c r="G34" i="53"/>
  <c r="O34" i="53"/>
  <c r="L34" i="53"/>
  <c r="P34" i="53"/>
  <c r="M34" i="53"/>
  <c r="F34" i="53"/>
  <c r="N34" i="53"/>
  <c r="K34" i="53"/>
  <c r="I54" i="53"/>
  <c r="M54" i="53"/>
  <c r="E54" i="53"/>
  <c r="H54" i="53"/>
  <c r="L54" i="53"/>
  <c r="P54" i="53"/>
  <c r="G54" i="53"/>
  <c r="K54" i="53"/>
  <c r="O54" i="53"/>
  <c r="F54" i="53"/>
  <c r="J54" i="53"/>
  <c r="N54" i="53"/>
  <c r="L8" i="53"/>
  <c r="I8" i="53"/>
  <c r="E8" i="53"/>
  <c r="J8" i="53"/>
  <c r="G8" i="53"/>
  <c r="O8" i="53"/>
  <c r="H8" i="53"/>
  <c r="P8" i="53"/>
  <c r="M8" i="53"/>
  <c r="F8" i="53"/>
  <c r="N8" i="53"/>
  <c r="K8" i="53"/>
  <c r="O8" i="55"/>
  <c r="I8" i="55"/>
  <c r="M8" i="55"/>
  <c r="N8" i="55"/>
  <c r="H8" i="55"/>
  <c r="J8" i="55"/>
  <c r="Q8" i="55"/>
  <c r="K8" i="55"/>
  <c r="G8" i="55"/>
  <c r="L8" i="55"/>
  <c r="P8" i="55"/>
  <c r="F8" i="55"/>
  <c r="AP2" i="55"/>
  <c r="Z4" i="55"/>
  <c r="AQ2" i="56"/>
  <c r="AA4" i="56"/>
  <c r="X4" i="55"/>
  <c r="AN2" i="55"/>
  <c r="Y4" i="56"/>
  <c r="AO2" i="56"/>
  <c r="R2" i="55"/>
  <c r="S2" i="55" s="1"/>
  <c r="V2" i="55"/>
  <c r="F9" i="54"/>
  <c r="R9" i="54" s="1"/>
  <c r="S9" i="54" s="1"/>
  <c r="R2" i="54"/>
  <c r="S2" i="54" s="1"/>
  <c r="E26" i="53"/>
  <c r="Q2" i="53"/>
  <c r="R2" i="53" s="1"/>
  <c r="AM2" i="55"/>
  <c r="W4" i="55"/>
  <c r="K7" i="56"/>
  <c r="P7" i="56"/>
  <c r="F7" i="56"/>
  <c r="O7" i="56"/>
  <c r="M7" i="56"/>
  <c r="N7" i="56"/>
  <c r="D11" i="56"/>
  <c r="I7" i="56"/>
  <c r="H7" i="56"/>
  <c r="J7" i="56"/>
  <c r="G7" i="56"/>
  <c r="L7" i="56"/>
  <c r="Q7" i="56"/>
  <c r="J26" i="53"/>
  <c r="H26" i="53"/>
  <c r="R54" i="28"/>
  <c r="S54" i="28" s="1"/>
  <c r="R44" i="17"/>
  <c r="S44" i="17" s="1"/>
  <c r="R47" i="24"/>
  <c r="S47" i="24" s="1"/>
  <c r="R55" i="17"/>
  <c r="S55" i="17" s="1"/>
  <c r="F15" i="39"/>
  <c r="O15" i="39"/>
  <c r="K15" i="39"/>
  <c r="G15" i="39"/>
  <c r="N15" i="39"/>
  <c r="J15" i="39"/>
  <c r="P20" i="39"/>
  <c r="L20" i="39"/>
  <c r="H20" i="39"/>
  <c r="Q20" i="39"/>
  <c r="M20" i="39"/>
  <c r="I20" i="39"/>
  <c r="M15" i="39"/>
  <c r="L15" i="39"/>
  <c r="J20" i="39"/>
  <c r="F20" i="39"/>
  <c r="G20" i="39"/>
  <c r="G15" i="52"/>
  <c r="L41" i="60" s="1"/>
  <c r="G21" i="52"/>
  <c r="N15" i="52"/>
  <c r="S41" i="60" s="1"/>
  <c r="N21" i="52"/>
  <c r="Q15" i="52"/>
  <c r="V41" i="60" s="1"/>
  <c r="Q21" i="52"/>
  <c r="H15" i="52"/>
  <c r="M41" i="60" s="1"/>
  <c r="H21" i="52"/>
  <c r="K15" i="52"/>
  <c r="P41" i="60" s="1"/>
  <c r="K21" i="52"/>
  <c r="R4" i="52"/>
  <c r="S4" i="52" s="1"/>
  <c r="F21" i="52"/>
  <c r="J15" i="52"/>
  <c r="O41" i="60" s="1"/>
  <c r="J21" i="52"/>
  <c r="M15" i="52"/>
  <c r="R41" i="60" s="1"/>
  <c r="M21" i="52"/>
  <c r="L15" i="52"/>
  <c r="Q41" i="60" s="1"/>
  <c r="L21" i="52"/>
  <c r="O15" i="52"/>
  <c r="T41" i="60" s="1"/>
  <c r="O21" i="52"/>
  <c r="I15" i="52"/>
  <c r="N41" i="60" s="1"/>
  <c r="I21" i="52"/>
  <c r="P15" i="52"/>
  <c r="U41" i="60" s="1"/>
  <c r="P21" i="52"/>
  <c r="N7" i="52"/>
  <c r="S40" i="60" s="1"/>
  <c r="Q12" i="52"/>
  <c r="V42" i="60" s="1"/>
  <c r="N14" i="52"/>
  <c r="S39" i="60" s="1"/>
  <c r="N13" i="52"/>
  <c r="N11" i="52"/>
  <c r="Q22" i="52"/>
  <c r="R32" i="32"/>
  <c r="S32" i="32" s="1"/>
  <c r="G21" i="39"/>
  <c r="G31" i="39"/>
  <c r="G24" i="39"/>
  <c r="G35" i="39"/>
  <c r="G17" i="39"/>
  <c r="P7" i="52"/>
  <c r="U40" i="60" s="1"/>
  <c r="P14" i="52"/>
  <c r="U39" i="60" s="1"/>
  <c r="P13" i="52"/>
  <c r="P12" i="52"/>
  <c r="P11" i="52"/>
  <c r="P22" i="52"/>
  <c r="R32" i="31"/>
  <c r="S32" i="31" s="1"/>
  <c r="N22" i="52"/>
  <c r="CD3" i="56"/>
  <c r="CH3" i="56"/>
  <c r="CH3" i="55"/>
  <c r="CD3" i="55"/>
  <c r="J21" i="39"/>
  <c r="L24" i="39"/>
  <c r="M31" i="39"/>
  <c r="J31" i="39"/>
  <c r="L35" i="39"/>
  <c r="J24" i="39"/>
  <c r="J35" i="39"/>
  <c r="J17" i="39"/>
  <c r="L17" i="39"/>
  <c r="R4" i="38"/>
  <c r="S4" i="38" s="1"/>
  <c r="F17" i="38"/>
  <c r="F25" i="38"/>
  <c r="F18" i="38"/>
  <c r="F20" i="38"/>
  <c r="F26" i="38"/>
  <c r="F22" i="38"/>
  <c r="F21" i="38"/>
  <c r="F24" i="38"/>
  <c r="F15" i="38"/>
  <c r="F23" i="38"/>
  <c r="F16" i="38"/>
  <c r="F19" i="38"/>
  <c r="F44" i="46"/>
  <c r="F52" i="46"/>
  <c r="F23" i="46"/>
  <c r="F17" i="46"/>
  <c r="F35" i="46"/>
  <c r="F47" i="46"/>
  <c r="F61" i="46"/>
  <c r="F18" i="46"/>
  <c r="F34" i="46"/>
  <c r="F46" i="46"/>
  <c r="F60" i="46"/>
  <c r="F26" i="46"/>
  <c r="F37" i="46"/>
  <c r="F49" i="46"/>
  <c r="F63" i="46"/>
  <c r="F25" i="46"/>
  <c r="F36" i="46"/>
  <c r="F48" i="46"/>
  <c r="F62" i="46"/>
  <c r="F50" i="46"/>
  <c r="F64" i="46"/>
  <c r="F41" i="46"/>
  <c r="F28" i="46"/>
  <c r="F42" i="46"/>
  <c r="F57" i="46"/>
  <c r="F21" i="46"/>
  <c r="F27" i="46"/>
  <c r="F38" i="46"/>
  <c r="F54" i="46"/>
  <c r="F33" i="46"/>
  <c r="F59" i="46"/>
  <c r="F16" i="46"/>
  <c r="F32" i="46"/>
  <c r="F43" i="46"/>
  <c r="F58" i="46"/>
  <c r="F55" i="46"/>
  <c r="F29" i="46"/>
  <c r="F30" i="46"/>
  <c r="F53" i="46"/>
  <c r="F24" i="46"/>
  <c r="F51" i="46"/>
  <c r="F22" i="46"/>
  <c r="F56" i="46"/>
  <c r="R4" i="50"/>
  <c r="S4" i="50" s="1"/>
  <c r="F21" i="50"/>
  <c r="F23" i="50"/>
  <c r="F15" i="50"/>
  <c r="F29" i="50"/>
  <c r="F25" i="50"/>
  <c r="F17" i="50"/>
  <c r="F27" i="50"/>
  <c r="F19" i="50"/>
  <c r="F28" i="50"/>
  <c r="F20" i="50"/>
  <c r="F30" i="50"/>
  <c r="F22" i="50"/>
  <c r="F24" i="50"/>
  <c r="F16" i="50"/>
  <c r="F26" i="50"/>
  <c r="F18" i="50"/>
  <c r="R4" i="45"/>
  <c r="S4" i="45" s="1"/>
  <c r="F25" i="45"/>
  <c r="F16" i="45"/>
  <c r="F19" i="45"/>
  <c r="F22" i="45"/>
  <c r="F28" i="45"/>
  <c r="F20" i="45"/>
  <c r="F18" i="45"/>
  <c r="F24" i="45"/>
  <c r="F15" i="45"/>
  <c r="F26" i="45"/>
  <c r="F17" i="45"/>
  <c r="F21" i="45"/>
  <c r="F23" i="45"/>
  <c r="F27" i="45"/>
  <c r="R4" i="49"/>
  <c r="S4" i="49" s="1"/>
  <c r="F23" i="49"/>
  <c r="F31" i="49"/>
  <c r="F20" i="49"/>
  <c r="F21" i="49"/>
  <c r="F26" i="49"/>
  <c r="F17" i="49"/>
  <c r="F19" i="49"/>
  <c r="F27" i="49"/>
  <c r="F16" i="49"/>
  <c r="F18" i="49"/>
  <c r="F25" i="49"/>
  <c r="F30" i="49"/>
  <c r="F24" i="49"/>
  <c r="F15" i="49"/>
  <c r="F22" i="49"/>
  <c r="F28" i="49"/>
  <c r="J13" i="47"/>
  <c r="J22" i="47"/>
  <c r="J30" i="47"/>
  <c r="J37" i="47"/>
  <c r="J10" i="47"/>
  <c r="J19" i="47"/>
  <c r="J28" i="47"/>
  <c r="J26" i="47"/>
  <c r="J17" i="47"/>
  <c r="J18" i="47"/>
  <c r="J27" i="47"/>
  <c r="J33" i="47"/>
  <c r="J12" i="47"/>
  <c r="J25" i="47"/>
  <c r="J35" i="47"/>
  <c r="J11" i="47"/>
  <c r="J24" i="47"/>
  <c r="J31" i="47"/>
  <c r="J16" i="47"/>
  <c r="J32" i="47"/>
  <c r="J14" i="47"/>
  <c r="J23" i="47"/>
  <c r="J34" i="47"/>
  <c r="J21" i="47"/>
  <c r="J15" i="47"/>
  <c r="J20" i="47"/>
  <c r="J29" i="47"/>
  <c r="J36" i="47"/>
  <c r="J19" i="38"/>
  <c r="J17" i="38"/>
  <c r="J25" i="38"/>
  <c r="J18" i="38"/>
  <c r="J20" i="38"/>
  <c r="J26" i="38"/>
  <c r="J22" i="38"/>
  <c r="J21" i="38"/>
  <c r="J24" i="38"/>
  <c r="J15" i="38"/>
  <c r="J23" i="38"/>
  <c r="J16" i="38"/>
  <c r="J55" i="46"/>
  <c r="J29" i="46"/>
  <c r="J30" i="46"/>
  <c r="J53" i="46"/>
  <c r="J24" i="46"/>
  <c r="J51" i="46"/>
  <c r="J22" i="46"/>
  <c r="J56" i="46"/>
  <c r="J44" i="46"/>
  <c r="J52" i="46"/>
  <c r="J23" i="46"/>
  <c r="J17" i="46"/>
  <c r="J35" i="46"/>
  <c r="J47" i="46"/>
  <c r="J61" i="46"/>
  <c r="J18" i="46"/>
  <c r="J34" i="46"/>
  <c r="J46" i="46"/>
  <c r="J60" i="46"/>
  <c r="J26" i="46"/>
  <c r="J37" i="46"/>
  <c r="J49" i="46"/>
  <c r="J63" i="46"/>
  <c r="J25" i="46"/>
  <c r="J36" i="46"/>
  <c r="J48" i="46"/>
  <c r="J62" i="46"/>
  <c r="J50" i="46"/>
  <c r="J64" i="46"/>
  <c r="J41" i="46"/>
  <c r="J28" i="46"/>
  <c r="J42" i="46"/>
  <c r="J57" i="46"/>
  <c r="J21" i="46"/>
  <c r="J27" i="46"/>
  <c r="J38" i="46"/>
  <c r="J54" i="46"/>
  <c r="J33" i="46"/>
  <c r="J59" i="46"/>
  <c r="J16" i="46"/>
  <c r="J32" i="46"/>
  <c r="J43" i="46"/>
  <c r="J58" i="46"/>
  <c r="J15" i="59"/>
  <c r="J14" i="59"/>
  <c r="J17" i="59"/>
  <c r="J16" i="59"/>
  <c r="J13" i="59"/>
  <c r="J12" i="59"/>
  <c r="J10" i="59"/>
  <c r="J11" i="59"/>
  <c r="M12" i="43"/>
  <c r="M10" i="43"/>
  <c r="M11" i="43"/>
  <c r="M13" i="43"/>
  <c r="M19" i="43"/>
  <c r="M17" i="43"/>
  <c r="M18" i="43"/>
  <c r="M14" i="43"/>
  <c r="M12" i="47"/>
  <c r="M25" i="47"/>
  <c r="M35" i="47"/>
  <c r="M11" i="47"/>
  <c r="M24" i="47"/>
  <c r="M31" i="47"/>
  <c r="M16" i="47"/>
  <c r="M21" i="47"/>
  <c r="M13" i="47"/>
  <c r="M22" i="47"/>
  <c r="M30" i="47"/>
  <c r="M37" i="47"/>
  <c r="M10" i="47"/>
  <c r="M19" i="47"/>
  <c r="M28" i="47"/>
  <c r="M26" i="47"/>
  <c r="M17" i="47"/>
  <c r="M18" i="47"/>
  <c r="M27" i="47"/>
  <c r="M33" i="47"/>
  <c r="M15" i="47"/>
  <c r="M20" i="47"/>
  <c r="M29" i="47"/>
  <c r="M36" i="47"/>
  <c r="M32" i="47"/>
  <c r="M14" i="47"/>
  <c r="M23" i="47"/>
  <c r="M34" i="47"/>
  <c r="M17" i="38"/>
  <c r="M25" i="38"/>
  <c r="M18" i="38"/>
  <c r="M20" i="38"/>
  <c r="M22" i="38"/>
  <c r="M21" i="38"/>
  <c r="M24" i="38"/>
  <c r="M15" i="38"/>
  <c r="M23" i="38"/>
  <c r="M16" i="38"/>
  <c r="M19" i="38"/>
  <c r="M26" i="38"/>
  <c r="M44" i="46"/>
  <c r="M52" i="46"/>
  <c r="M23" i="46"/>
  <c r="M17" i="46"/>
  <c r="M35" i="46"/>
  <c r="M47" i="46"/>
  <c r="M61" i="46"/>
  <c r="M18" i="46"/>
  <c r="M34" i="46"/>
  <c r="M46" i="46"/>
  <c r="M60" i="46"/>
  <c r="M26" i="46"/>
  <c r="M37" i="46"/>
  <c r="M49" i="46"/>
  <c r="M63" i="46"/>
  <c r="M25" i="46"/>
  <c r="M36" i="46"/>
  <c r="M48" i="46"/>
  <c r="M62" i="46"/>
  <c r="M50" i="46"/>
  <c r="M64" i="46"/>
  <c r="M41" i="46"/>
  <c r="M28" i="46"/>
  <c r="M42" i="46"/>
  <c r="M57" i="46"/>
  <c r="M21" i="46"/>
  <c r="M27" i="46"/>
  <c r="M38" i="46"/>
  <c r="M54" i="46"/>
  <c r="M33" i="46"/>
  <c r="M59" i="46"/>
  <c r="M16" i="46"/>
  <c r="M32" i="46"/>
  <c r="M43" i="46"/>
  <c r="M58" i="46"/>
  <c r="M55" i="46"/>
  <c r="M29" i="46"/>
  <c r="M30" i="46"/>
  <c r="M53" i="46"/>
  <c r="M24" i="46"/>
  <c r="M51" i="46"/>
  <c r="M22" i="46"/>
  <c r="M56" i="46"/>
  <c r="M15" i="59"/>
  <c r="M14" i="59"/>
  <c r="M17" i="59"/>
  <c r="M16" i="59"/>
  <c r="M13" i="59"/>
  <c r="M12" i="59"/>
  <c r="M10" i="59"/>
  <c r="M11" i="59"/>
  <c r="L23" i="40"/>
  <c r="L13" i="40"/>
  <c r="L25" i="40"/>
  <c r="L15" i="40"/>
  <c r="L26" i="40"/>
  <c r="L16" i="40"/>
  <c r="L28" i="40"/>
  <c r="L18" i="40"/>
  <c r="L10" i="40"/>
  <c r="L27" i="40"/>
  <c r="L17" i="40"/>
  <c r="L19" i="40"/>
  <c r="L11" i="40"/>
  <c r="L21" i="40"/>
  <c r="L12" i="40"/>
  <c r="L24" i="40"/>
  <c r="L14" i="40"/>
  <c r="L22" i="40"/>
  <c r="L23" i="48"/>
  <c r="L25" i="48"/>
  <c r="L24" i="48"/>
  <c r="L17" i="48"/>
  <c r="L26" i="48"/>
  <c r="L18" i="48"/>
  <c r="L28" i="48"/>
  <c r="L21" i="48"/>
  <c r="L20" i="48"/>
  <c r="L27" i="48"/>
  <c r="L16" i="48"/>
  <c r="L19" i="48"/>
  <c r="L22" i="48"/>
  <c r="L15" i="48"/>
  <c r="L13" i="43"/>
  <c r="L12" i="43"/>
  <c r="L10" i="43"/>
  <c r="L11" i="43"/>
  <c r="L18" i="43"/>
  <c r="L14" i="43"/>
  <c r="L19" i="43"/>
  <c r="L17" i="43"/>
  <c r="L13" i="47"/>
  <c r="L22" i="47"/>
  <c r="L30" i="47"/>
  <c r="L37" i="47"/>
  <c r="L10" i="47"/>
  <c r="L19" i="47"/>
  <c r="L28" i="47"/>
  <c r="L26" i="47"/>
  <c r="L17" i="47"/>
  <c r="L18" i="47"/>
  <c r="L27" i="47"/>
  <c r="L33" i="47"/>
  <c r="L12" i="47"/>
  <c r="L25" i="47"/>
  <c r="L35" i="47"/>
  <c r="L11" i="47"/>
  <c r="L24" i="47"/>
  <c r="L31" i="47"/>
  <c r="L16" i="47"/>
  <c r="L21" i="47"/>
  <c r="L32" i="47"/>
  <c r="L14" i="47"/>
  <c r="L23" i="47"/>
  <c r="L34" i="47"/>
  <c r="L15" i="47"/>
  <c r="L20" i="47"/>
  <c r="L29" i="47"/>
  <c r="L36" i="47"/>
  <c r="O28" i="50"/>
  <c r="O20" i="50"/>
  <c r="O30" i="50"/>
  <c r="O22" i="50"/>
  <c r="O24" i="50"/>
  <c r="O16" i="50"/>
  <c r="O26" i="50"/>
  <c r="O18" i="50"/>
  <c r="O21" i="50"/>
  <c r="O23" i="50"/>
  <c r="O15" i="50"/>
  <c r="O29" i="50"/>
  <c r="O25" i="50"/>
  <c r="O17" i="50"/>
  <c r="O27" i="50"/>
  <c r="O19" i="50"/>
  <c r="O23" i="40"/>
  <c r="O13" i="40"/>
  <c r="O25" i="40"/>
  <c r="O15" i="40"/>
  <c r="O10" i="40"/>
  <c r="O26" i="40"/>
  <c r="O16" i="40"/>
  <c r="O28" i="40"/>
  <c r="O18" i="40"/>
  <c r="O27" i="40"/>
  <c r="O17" i="40"/>
  <c r="O19" i="40"/>
  <c r="O11" i="40"/>
  <c r="O21" i="40"/>
  <c r="O12" i="40"/>
  <c r="O24" i="40"/>
  <c r="O14" i="40"/>
  <c r="O22" i="40"/>
  <c r="O23" i="48"/>
  <c r="O25" i="48"/>
  <c r="O24" i="48"/>
  <c r="O17" i="48"/>
  <c r="O26" i="48"/>
  <c r="O18" i="48"/>
  <c r="O28" i="48"/>
  <c r="O21" i="48"/>
  <c r="O20" i="48"/>
  <c r="O27" i="48"/>
  <c r="O16" i="48"/>
  <c r="O19" i="48"/>
  <c r="O22" i="48"/>
  <c r="O15" i="48"/>
  <c r="O13" i="43"/>
  <c r="O12" i="43"/>
  <c r="O10" i="43"/>
  <c r="O11" i="43"/>
  <c r="O18" i="43"/>
  <c r="O14" i="43"/>
  <c r="O19" i="43"/>
  <c r="O17" i="43"/>
  <c r="O13" i="47"/>
  <c r="O22" i="47"/>
  <c r="O30" i="47"/>
  <c r="O37" i="47"/>
  <c r="O10" i="47"/>
  <c r="O19" i="47"/>
  <c r="O28" i="47"/>
  <c r="O26" i="47"/>
  <c r="O17" i="47"/>
  <c r="O18" i="47"/>
  <c r="O27" i="47"/>
  <c r="O33" i="47"/>
  <c r="O12" i="47"/>
  <c r="O25" i="47"/>
  <c r="O35" i="47"/>
  <c r="O11" i="47"/>
  <c r="O24" i="47"/>
  <c r="O31" i="47"/>
  <c r="O16" i="47"/>
  <c r="O32" i="47"/>
  <c r="O14" i="47"/>
  <c r="O23" i="47"/>
  <c r="O34" i="47"/>
  <c r="O21" i="47"/>
  <c r="O15" i="47"/>
  <c r="O20" i="47"/>
  <c r="O29" i="47"/>
  <c r="O36" i="47"/>
  <c r="G19" i="38"/>
  <c r="G17" i="38"/>
  <c r="G25" i="38"/>
  <c r="G18" i="38"/>
  <c r="G20" i="38"/>
  <c r="G26" i="38"/>
  <c r="G22" i="38"/>
  <c r="G21" i="38"/>
  <c r="G24" i="38"/>
  <c r="G15" i="38"/>
  <c r="G23" i="38"/>
  <c r="G16" i="38"/>
  <c r="G55" i="46"/>
  <c r="G29" i="46"/>
  <c r="G30" i="46"/>
  <c r="G53" i="46"/>
  <c r="G24" i="46"/>
  <c r="G51" i="46"/>
  <c r="G22" i="46"/>
  <c r="G56" i="46"/>
  <c r="G44" i="46"/>
  <c r="G52" i="46"/>
  <c r="G23" i="46"/>
  <c r="G17" i="46"/>
  <c r="G35" i="46"/>
  <c r="G47" i="46"/>
  <c r="G61" i="46"/>
  <c r="G18" i="46"/>
  <c r="G34" i="46"/>
  <c r="G46" i="46"/>
  <c r="G60" i="46"/>
  <c r="G26" i="46"/>
  <c r="G37" i="46"/>
  <c r="G49" i="46"/>
  <c r="G63" i="46"/>
  <c r="G25" i="46"/>
  <c r="G36" i="46"/>
  <c r="G48" i="46"/>
  <c r="G62" i="46"/>
  <c r="G50" i="46"/>
  <c r="G64" i="46"/>
  <c r="G41" i="46"/>
  <c r="G28" i="46"/>
  <c r="G42" i="46"/>
  <c r="G57" i="46"/>
  <c r="G21" i="46"/>
  <c r="G27" i="46"/>
  <c r="G38" i="46"/>
  <c r="G54" i="46"/>
  <c r="G33" i="46"/>
  <c r="G59" i="46"/>
  <c r="G16" i="46"/>
  <c r="G32" i="46"/>
  <c r="G43" i="46"/>
  <c r="G58" i="46"/>
  <c r="G13" i="59"/>
  <c r="G12" i="59"/>
  <c r="G10" i="59"/>
  <c r="G11" i="59"/>
  <c r="G15" i="59"/>
  <c r="G14" i="59"/>
  <c r="G17" i="59"/>
  <c r="G16" i="59"/>
  <c r="G28" i="45"/>
  <c r="G20" i="45"/>
  <c r="G18" i="45"/>
  <c r="G25" i="45"/>
  <c r="G16" i="45"/>
  <c r="G19" i="45"/>
  <c r="G22" i="45"/>
  <c r="G21" i="45"/>
  <c r="G23" i="45"/>
  <c r="G27" i="45"/>
  <c r="G24" i="45"/>
  <c r="G15" i="45"/>
  <c r="G26" i="45"/>
  <c r="G17" i="45"/>
  <c r="G21" i="49"/>
  <c r="G26" i="49"/>
  <c r="G17" i="49"/>
  <c r="G19" i="49"/>
  <c r="G23" i="49"/>
  <c r="G31" i="49"/>
  <c r="G20" i="49"/>
  <c r="G24" i="49"/>
  <c r="G15" i="49"/>
  <c r="G22" i="49"/>
  <c r="G30" i="49"/>
  <c r="G28" i="49"/>
  <c r="G27" i="49"/>
  <c r="G16" i="49"/>
  <c r="G18" i="49"/>
  <c r="G25" i="49"/>
  <c r="N26" i="40"/>
  <c r="N16" i="40"/>
  <c r="N28" i="40"/>
  <c r="N18" i="40"/>
  <c r="N10" i="40"/>
  <c r="N27" i="40"/>
  <c r="N23" i="40"/>
  <c r="N13" i="40"/>
  <c r="N25" i="40"/>
  <c r="N15" i="40"/>
  <c r="N21" i="40"/>
  <c r="N12" i="40"/>
  <c r="N24" i="40"/>
  <c r="N14" i="40"/>
  <c r="N22" i="40"/>
  <c r="N17" i="40"/>
  <c r="N19" i="40"/>
  <c r="N11" i="40"/>
  <c r="N24" i="48"/>
  <c r="N17" i="48"/>
  <c r="N26" i="48"/>
  <c r="N18" i="48"/>
  <c r="N23" i="48"/>
  <c r="N25" i="48"/>
  <c r="N16" i="48"/>
  <c r="N19" i="48"/>
  <c r="N22" i="48"/>
  <c r="N15" i="48"/>
  <c r="N28" i="48"/>
  <c r="N21" i="48"/>
  <c r="N20" i="48"/>
  <c r="N27" i="48"/>
  <c r="N12" i="43"/>
  <c r="N11" i="43"/>
  <c r="N13" i="43"/>
  <c r="N10" i="43"/>
  <c r="N19" i="43"/>
  <c r="N17" i="43"/>
  <c r="N18" i="43"/>
  <c r="N14" i="43"/>
  <c r="N12" i="47"/>
  <c r="N25" i="47"/>
  <c r="N35" i="47"/>
  <c r="N11" i="47"/>
  <c r="N24" i="47"/>
  <c r="N31" i="47"/>
  <c r="N16" i="47"/>
  <c r="N21" i="47"/>
  <c r="N13" i="47"/>
  <c r="N22" i="47"/>
  <c r="N30" i="47"/>
  <c r="N37" i="47"/>
  <c r="N10" i="47"/>
  <c r="N19" i="47"/>
  <c r="N28" i="47"/>
  <c r="N26" i="47"/>
  <c r="N17" i="47"/>
  <c r="N15" i="47"/>
  <c r="N20" i="47"/>
  <c r="N29" i="47"/>
  <c r="N36" i="47"/>
  <c r="N18" i="47"/>
  <c r="N27" i="47"/>
  <c r="N33" i="47"/>
  <c r="N32" i="47"/>
  <c r="N14" i="47"/>
  <c r="N23" i="47"/>
  <c r="N34" i="47"/>
  <c r="Q28" i="50"/>
  <c r="Q20" i="50"/>
  <c r="Q30" i="50"/>
  <c r="Q22" i="50"/>
  <c r="Q24" i="50"/>
  <c r="Q16" i="50"/>
  <c r="Q27" i="50"/>
  <c r="Q26" i="50"/>
  <c r="Q18" i="50"/>
  <c r="Q21" i="50"/>
  <c r="Q23" i="50"/>
  <c r="Q15" i="50"/>
  <c r="Q29" i="50"/>
  <c r="Q25" i="50"/>
  <c r="Q17" i="50"/>
  <c r="Q19" i="50"/>
  <c r="Q23" i="40"/>
  <c r="Q13" i="40"/>
  <c r="Q25" i="40"/>
  <c r="Q15" i="40"/>
  <c r="Q26" i="40"/>
  <c r="Q16" i="40"/>
  <c r="Q28" i="40"/>
  <c r="Q18" i="40"/>
  <c r="Q10" i="40"/>
  <c r="Q27" i="40"/>
  <c r="Q17" i="40"/>
  <c r="Q19" i="40"/>
  <c r="Q11" i="40"/>
  <c r="Q21" i="40"/>
  <c r="Q12" i="40"/>
  <c r="Q24" i="40"/>
  <c r="Q14" i="40"/>
  <c r="Q22" i="40"/>
  <c r="Q23" i="48"/>
  <c r="Q25" i="48"/>
  <c r="Q24" i="48"/>
  <c r="Q17" i="48"/>
  <c r="Q26" i="48"/>
  <c r="Q18" i="48"/>
  <c r="Q28" i="48"/>
  <c r="Q21" i="48"/>
  <c r="Q20" i="48"/>
  <c r="Q27" i="48"/>
  <c r="Q16" i="48"/>
  <c r="Q19" i="48"/>
  <c r="Q22" i="48"/>
  <c r="Q15" i="48"/>
  <c r="Q13" i="43"/>
  <c r="Q12" i="43"/>
  <c r="Q10" i="43"/>
  <c r="Q11" i="43"/>
  <c r="Q18" i="43"/>
  <c r="Q14" i="43"/>
  <c r="Q19" i="43"/>
  <c r="Q17" i="43"/>
  <c r="Q13" i="47"/>
  <c r="Q22" i="47"/>
  <c r="Q30" i="47"/>
  <c r="Q37" i="47"/>
  <c r="Q10" i="47"/>
  <c r="Q19" i="47"/>
  <c r="Q28" i="47"/>
  <c r="Q26" i="47"/>
  <c r="Q17" i="47"/>
  <c r="Q18" i="47"/>
  <c r="Q27" i="47"/>
  <c r="Q33" i="47"/>
  <c r="Q12" i="47"/>
  <c r="Q25" i="47"/>
  <c r="Q35" i="47"/>
  <c r="Q11" i="47"/>
  <c r="Q24" i="47"/>
  <c r="Q31" i="47"/>
  <c r="Q16" i="47"/>
  <c r="Q21" i="47"/>
  <c r="Q32" i="47"/>
  <c r="Q14" i="47"/>
  <c r="Q23" i="47"/>
  <c r="Q34" i="47"/>
  <c r="Q15" i="47"/>
  <c r="Q20" i="47"/>
  <c r="Q29" i="47"/>
  <c r="Q36" i="47"/>
  <c r="I19" i="38"/>
  <c r="I26" i="38"/>
  <c r="I17" i="38"/>
  <c r="I25" i="38"/>
  <c r="I18" i="38"/>
  <c r="I20" i="38"/>
  <c r="I22" i="38"/>
  <c r="I21" i="38"/>
  <c r="I24" i="38"/>
  <c r="I15" i="38"/>
  <c r="I23" i="38"/>
  <c r="I16" i="38"/>
  <c r="I55" i="46"/>
  <c r="I29" i="46"/>
  <c r="I30" i="46"/>
  <c r="I53" i="46"/>
  <c r="I24" i="46"/>
  <c r="I51" i="46"/>
  <c r="I22" i="46"/>
  <c r="I56" i="46"/>
  <c r="I44" i="46"/>
  <c r="I52" i="46"/>
  <c r="I23" i="46"/>
  <c r="I17" i="46"/>
  <c r="I35" i="46"/>
  <c r="I47" i="46"/>
  <c r="I61" i="46"/>
  <c r="I18" i="46"/>
  <c r="I34" i="46"/>
  <c r="I46" i="46"/>
  <c r="I60" i="46"/>
  <c r="I26" i="46"/>
  <c r="I37" i="46"/>
  <c r="I49" i="46"/>
  <c r="I63" i="46"/>
  <c r="I25" i="46"/>
  <c r="I36" i="46"/>
  <c r="I48" i="46"/>
  <c r="I62" i="46"/>
  <c r="I50" i="46"/>
  <c r="I64" i="46"/>
  <c r="I41" i="46"/>
  <c r="I28" i="46"/>
  <c r="I42" i="46"/>
  <c r="I57" i="46"/>
  <c r="I21" i="46"/>
  <c r="I27" i="46"/>
  <c r="I38" i="46"/>
  <c r="I54" i="46"/>
  <c r="I33" i="46"/>
  <c r="I59" i="46"/>
  <c r="I16" i="46"/>
  <c r="I32" i="46"/>
  <c r="I43" i="46"/>
  <c r="I58" i="46"/>
  <c r="I15" i="59"/>
  <c r="I14" i="59"/>
  <c r="I17" i="59"/>
  <c r="I16" i="59"/>
  <c r="I13" i="59"/>
  <c r="I12" i="59"/>
  <c r="I10" i="59"/>
  <c r="I11" i="59"/>
  <c r="I28" i="45"/>
  <c r="I20" i="45"/>
  <c r="I18" i="45"/>
  <c r="I25" i="45"/>
  <c r="I16" i="45"/>
  <c r="I19" i="45"/>
  <c r="I22" i="45"/>
  <c r="I21" i="45"/>
  <c r="I23" i="45"/>
  <c r="I27" i="45"/>
  <c r="I24" i="45"/>
  <c r="I15" i="45"/>
  <c r="I26" i="45"/>
  <c r="I17" i="45"/>
  <c r="I21" i="49"/>
  <c r="I26" i="49"/>
  <c r="I17" i="49"/>
  <c r="I19" i="49"/>
  <c r="I23" i="49"/>
  <c r="I31" i="49"/>
  <c r="I20" i="49"/>
  <c r="I24" i="49"/>
  <c r="I15" i="49"/>
  <c r="I22" i="49"/>
  <c r="I30" i="49"/>
  <c r="I28" i="49"/>
  <c r="I27" i="49"/>
  <c r="I16" i="49"/>
  <c r="I18" i="49"/>
  <c r="I25" i="49"/>
  <c r="P25" i="45"/>
  <c r="P16" i="45"/>
  <c r="P19" i="45"/>
  <c r="P22" i="45"/>
  <c r="P28" i="45"/>
  <c r="P20" i="45"/>
  <c r="P18" i="45"/>
  <c r="P24" i="45"/>
  <c r="P15" i="45"/>
  <c r="P26" i="45"/>
  <c r="P17" i="45"/>
  <c r="P21" i="45"/>
  <c r="P23" i="45"/>
  <c r="P27" i="45"/>
  <c r="P23" i="49"/>
  <c r="P31" i="49"/>
  <c r="P20" i="49"/>
  <c r="P21" i="49"/>
  <c r="P26" i="49"/>
  <c r="P17" i="49"/>
  <c r="P19" i="49"/>
  <c r="P27" i="49"/>
  <c r="P16" i="49"/>
  <c r="P18" i="49"/>
  <c r="P25" i="49"/>
  <c r="P24" i="49"/>
  <c r="P15" i="49"/>
  <c r="P22" i="49"/>
  <c r="P30" i="49"/>
  <c r="P28" i="49"/>
  <c r="P21" i="50"/>
  <c r="P23" i="50"/>
  <c r="P15" i="50"/>
  <c r="P29" i="50"/>
  <c r="P25" i="50"/>
  <c r="P17" i="50"/>
  <c r="P27" i="50"/>
  <c r="P19" i="50"/>
  <c r="P28" i="50"/>
  <c r="P20" i="50"/>
  <c r="P30" i="50"/>
  <c r="P22" i="50"/>
  <c r="P24" i="50"/>
  <c r="P16" i="50"/>
  <c r="P26" i="50"/>
  <c r="P18" i="50"/>
  <c r="P26" i="40"/>
  <c r="P16" i="40"/>
  <c r="P28" i="40"/>
  <c r="P18" i="40"/>
  <c r="P10" i="40"/>
  <c r="P27" i="40"/>
  <c r="P23" i="40"/>
  <c r="P13" i="40"/>
  <c r="P25" i="40"/>
  <c r="P15" i="40"/>
  <c r="P21" i="40"/>
  <c r="P12" i="40"/>
  <c r="P24" i="40"/>
  <c r="P14" i="40"/>
  <c r="P22" i="40"/>
  <c r="P17" i="40"/>
  <c r="P19" i="40"/>
  <c r="P11" i="40"/>
  <c r="P24" i="48"/>
  <c r="P17" i="48"/>
  <c r="P26" i="48"/>
  <c r="P18" i="48"/>
  <c r="P23" i="48"/>
  <c r="P25" i="48"/>
  <c r="P16" i="48"/>
  <c r="P19" i="48"/>
  <c r="P22" i="48"/>
  <c r="P15" i="48"/>
  <c r="P28" i="48"/>
  <c r="P21" i="48"/>
  <c r="P20" i="48"/>
  <c r="P27" i="48"/>
  <c r="P12" i="43"/>
  <c r="P10" i="43"/>
  <c r="P11" i="43"/>
  <c r="P13" i="43"/>
  <c r="P19" i="43"/>
  <c r="P17" i="43"/>
  <c r="P18" i="43"/>
  <c r="P14" i="43"/>
  <c r="H12" i="47"/>
  <c r="H25" i="47"/>
  <c r="H35" i="47"/>
  <c r="H11" i="47"/>
  <c r="H24" i="47"/>
  <c r="H31" i="47"/>
  <c r="H16" i="47"/>
  <c r="H21" i="47"/>
  <c r="H13" i="47"/>
  <c r="H22" i="47"/>
  <c r="H30" i="47"/>
  <c r="H37" i="47"/>
  <c r="H10" i="47"/>
  <c r="H19" i="47"/>
  <c r="H28" i="47"/>
  <c r="H26" i="47"/>
  <c r="H17" i="47"/>
  <c r="H15" i="47"/>
  <c r="H20" i="47"/>
  <c r="H29" i="47"/>
  <c r="H36" i="47"/>
  <c r="H18" i="47"/>
  <c r="H27" i="47"/>
  <c r="H33" i="47"/>
  <c r="H32" i="47"/>
  <c r="H14" i="47"/>
  <c r="H23" i="47"/>
  <c r="H34" i="47"/>
  <c r="H17" i="38"/>
  <c r="H25" i="38"/>
  <c r="H18" i="38"/>
  <c r="H20" i="38"/>
  <c r="H22" i="38"/>
  <c r="H21" i="38"/>
  <c r="H24" i="38"/>
  <c r="H15" i="38"/>
  <c r="H23" i="38"/>
  <c r="H16" i="38"/>
  <c r="H19" i="38"/>
  <c r="H26" i="38"/>
  <c r="H44" i="46"/>
  <c r="H52" i="46"/>
  <c r="H23" i="46"/>
  <c r="H17" i="46"/>
  <c r="H35" i="46"/>
  <c r="H47" i="46"/>
  <c r="H61" i="46"/>
  <c r="H18" i="46"/>
  <c r="H34" i="46"/>
  <c r="H46" i="46"/>
  <c r="H60" i="46"/>
  <c r="H26" i="46"/>
  <c r="H37" i="46"/>
  <c r="H49" i="46"/>
  <c r="H63" i="46"/>
  <c r="H25" i="46"/>
  <c r="H36" i="46"/>
  <c r="H48" i="46"/>
  <c r="H62" i="46"/>
  <c r="H50" i="46"/>
  <c r="H64" i="46"/>
  <c r="H41" i="46"/>
  <c r="H28" i="46"/>
  <c r="H42" i="46"/>
  <c r="H57" i="46"/>
  <c r="H21" i="46"/>
  <c r="H27" i="46"/>
  <c r="H38" i="46"/>
  <c r="H54" i="46"/>
  <c r="H33" i="46"/>
  <c r="H59" i="46"/>
  <c r="H16" i="46"/>
  <c r="H32" i="46"/>
  <c r="H43" i="46"/>
  <c r="H58" i="46"/>
  <c r="H55" i="46"/>
  <c r="H29" i="46"/>
  <c r="H30" i="46"/>
  <c r="H53" i="46"/>
  <c r="H24" i="46"/>
  <c r="H51" i="46"/>
  <c r="H22" i="46"/>
  <c r="H56" i="46"/>
  <c r="H15" i="59"/>
  <c r="H14" i="59"/>
  <c r="H17" i="59"/>
  <c r="H16" i="59"/>
  <c r="H13" i="59"/>
  <c r="H12" i="59"/>
  <c r="H10" i="59"/>
  <c r="H11" i="59"/>
  <c r="K12" i="43"/>
  <c r="K10" i="43"/>
  <c r="K11" i="43"/>
  <c r="K13" i="43"/>
  <c r="K19" i="43"/>
  <c r="K17" i="43"/>
  <c r="K18" i="43"/>
  <c r="K14" i="43"/>
  <c r="K12" i="47"/>
  <c r="K25" i="47"/>
  <c r="K35" i="47"/>
  <c r="K11" i="47"/>
  <c r="K24" i="47"/>
  <c r="K31" i="47"/>
  <c r="K16" i="47"/>
  <c r="K21" i="47"/>
  <c r="K13" i="47"/>
  <c r="K22" i="47"/>
  <c r="K30" i="47"/>
  <c r="K37" i="47"/>
  <c r="K10" i="47"/>
  <c r="K19" i="47"/>
  <c r="K28" i="47"/>
  <c r="K26" i="47"/>
  <c r="K17" i="47"/>
  <c r="K15" i="47"/>
  <c r="K20" i="47"/>
  <c r="K29" i="47"/>
  <c r="K36" i="47"/>
  <c r="K18" i="47"/>
  <c r="K27" i="47"/>
  <c r="K33" i="47"/>
  <c r="K32" i="47"/>
  <c r="K14" i="47"/>
  <c r="K23" i="47"/>
  <c r="K34" i="47"/>
  <c r="K17" i="38"/>
  <c r="K25" i="38"/>
  <c r="K18" i="38"/>
  <c r="K20" i="38"/>
  <c r="K26" i="38"/>
  <c r="K22" i="38"/>
  <c r="K21" i="38"/>
  <c r="K24" i="38"/>
  <c r="K15" i="38"/>
  <c r="K23" i="38"/>
  <c r="K16" i="38"/>
  <c r="K19" i="38"/>
  <c r="K44" i="46"/>
  <c r="K52" i="46"/>
  <c r="K23" i="46"/>
  <c r="K17" i="46"/>
  <c r="K35" i="46"/>
  <c r="K47" i="46"/>
  <c r="K61" i="46"/>
  <c r="K18" i="46"/>
  <c r="K34" i="46"/>
  <c r="K46" i="46"/>
  <c r="K60" i="46"/>
  <c r="K26" i="46"/>
  <c r="K37" i="46"/>
  <c r="K49" i="46"/>
  <c r="K63" i="46"/>
  <c r="K25" i="46"/>
  <c r="K36" i="46"/>
  <c r="K48" i="46"/>
  <c r="K62" i="46"/>
  <c r="K50" i="46"/>
  <c r="K64" i="46"/>
  <c r="K41" i="46"/>
  <c r="K28" i="46"/>
  <c r="K42" i="46"/>
  <c r="K57" i="46"/>
  <c r="K21" i="46"/>
  <c r="K27" i="46"/>
  <c r="K38" i="46"/>
  <c r="K54" i="46"/>
  <c r="K33" i="46"/>
  <c r="K59" i="46"/>
  <c r="K16" i="46"/>
  <c r="K32" i="46"/>
  <c r="K43" i="46"/>
  <c r="K58" i="46"/>
  <c r="K55" i="46"/>
  <c r="K29" i="46"/>
  <c r="K30" i="46"/>
  <c r="K53" i="46"/>
  <c r="K24" i="46"/>
  <c r="K51" i="46"/>
  <c r="K22" i="46"/>
  <c r="K56" i="46"/>
  <c r="K13" i="59"/>
  <c r="K12" i="59"/>
  <c r="K10" i="59"/>
  <c r="K11" i="59"/>
  <c r="K15" i="59"/>
  <c r="K14" i="59"/>
  <c r="K17" i="59"/>
  <c r="K16" i="59"/>
  <c r="R13" i="41"/>
  <c r="S13" i="41" s="1"/>
  <c r="R15" i="41"/>
  <c r="S15" i="41" s="1"/>
  <c r="R12" i="41"/>
  <c r="S12" i="41" s="1"/>
  <c r="F25" i="39"/>
  <c r="F34" i="39"/>
  <c r="F16" i="39"/>
  <c r="F27" i="39"/>
  <c r="M7" i="52"/>
  <c r="M14" i="52"/>
  <c r="R39" i="60" s="1"/>
  <c r="F14" i="52"/>
  <c r="M13" i="52"/>
  <c r="F13" i="52"/>
  <c r="M12" i="52"/>
  <c r="R42" i="60" s="1"/>
  <c r="F12" i="52"/>
  <c r="M11" i="52"/>
  <c r="F11" i="52"/>
  <c r="M22" i="52"/>
  <c r="F22" i="52"/>
  <c r="M9" i="52"/>
  <c r="H9" i="52"/>
  <c r="P9" i="52"/>
  <c r="K9" i="52"/>
  <c r="F9" i="52"/>
  <c r="N9" i="52"/>
  <c r="M18" i="52"/>
  <c r="H18" i="52"/>
  <c r="P18" i="52"/>
  <c r="K18" i="52"/>
  <c r="F18" i="52"/>
  <c r="N18" i="52"/>
  <c r="M16" i="52"/>
  <c r="H16" i="52"/>
  <c r="P16" i="52"/>
  <c r="K16" i="52"/>
  <c r="F16" i="52"/>
  <c r="N16" i="52"/>
  <c r="F15" i="52"/>
  <c r="R4" i="43"/>
  <c r="S4" i="43" s="1"/>
  <c r="F12" i="43"/>
  <c r="F11" i="43"/>
  <c r="F13" i="43"/>
  <c r="F10" i="43"/>
  <c r="F19" i="43"/>
  <c r="F17" i="43"/>
  <c r="F18" i="43"/>
  <c r="F14" i="43"/>
  <c r="R4" i="40"/>
  <c r="S4" i="40" s="1"/>
  <c r="F26" i="40"/>
  <c r="F16" i="40"/>
  <c r="F28" i="40"/>
  <c r="F18" i="40"/>
  <c r="F10" i="40"/>
  <c r="F27" i="40"/>
  <c r="F23" i="40"/>
  <c r="F13" i="40"/>
  <c r="F25" i="40"/>
  <c r="F15" i="40"/>
  <c r="F21" i="40"/>
  <c r="F12" i="40"/>
  <c r="F24" i="40"/>
  <c r="F14" i="40"/>
  <c r="F22" i="40"/>
  <c r="F17" i="40"/>
  <c r="F19" i="40"/>
  <c r="F11" i="40"/>
  <c r="R4" i="48"/>
  <c r="S4" i="48" s="1"/>
  <c r="F24" i="48"/>
  <c r="F17" i="48"/>
  <c r="F26" i="48"/>
  <c r="F18" i="48"/>
  <c r="F23" i="48"/>
  <c r="F25" i="48"/>
  <c r="F16" i="48"/>
  <c r="F19" i="48"/>
  <c r="F22" i="48"/>
  <c r="F15" i="48"/>
  <c r="F28" i="48"/>
  <c r="F21" i="48"/>
  <c r="F20" i="48"/>
  <c r="F27" i="48"/>
  <c r="R4" i="3"/>
  <c r="S4" i="3" s="1"/>
  <c r="R4" i="47"/>
  <c r="S4" i="47" s="1"/>
  <c r="F12" i="47"/>
  <c r="F25" i="47"/>
  <c r="F35" i="47"/>
  <c r="F11" i="47"/>
  <c r="F24" i="47"/>
  <c r="F31" i="47"/>
  <c r="F16" i="47"/>
  <c r="F21" i="47"/>
  <c r="F13" i="47"/>
  <c r="F22" i="47"/>
  <c r="F30" i="47"/>
  <c r="F37" i="47"/>
  <c r="F10" i="47"/>
  <c r="F19" i="47"/>
  <c r="F28" i="47"/>
  <c r="F26" i="47"/>
  <c r="F17" i="47"/>
  <c r="F18" i="47"/>
  <c r="F27" i="47"/>
  <c r="F33" i="47"/>
  <c r="F15" i="47"/>
  <c r="F20" i="47"/>
  <c r="F29" i="47"/>
  <c r="F36" i="47"/>
  <c r="F32" i="47"/>
  <c r="F14" i="47"/>
  <c r="F23" i="47"/>
  <c r="F34" i="47"/>
  <c r="R4" i="59"/>
  <c r="S4" i="59" s="1"/>
  <c r="F13" i="59"/>
  <c r="F12" i="59"/>
  <c r="F10" i="59"/>
  <c r="F11" i="59"/>
  <c r="F15" i="59"/>
  <c r="F14" i="59"/>
  <c r="F17" i="59"/>
  <c r="F16" i="59"/>
  <c r="R11" i="41"/>
  <c r="S11" i="41" s="1"/>
  <c r="J28" i="45"/>
  <c r="J20" i="45"/>
  <c r="J18" i="45"/>
  <c r="J25" i="45"/>
  <c r="J16" i="45"/>
  <c r="J19" i="45"/>
  <c r="J22" i="45"/>
  <c r="J21" i="45"/>
  <c r="J23" i="45"/>
  <c r="J27" i="45"/>
  <c r="J24" i="45"/>
  <c r="J15" i="45"/>
  <c r="J26" i="45"/>
  <c r="J17" i="45"/>
  <c r="J21" i="49"/>
  <c r="J26" i="49"/>
  <c r="J17" i="49"/>
  <c r="J19" i="49"/>
  <c r="J23" i="49"/>
  <c r="J31" i="49"/>
  <c r="J20" i="49"/>
  <c r="J24" i="49"/>
  <c r="J15" i="49"/>
  <c r="J22" i="49"/>
  <c r="J30" i="49"/>
  <c r="J28" i="49"/>
  <c r="J27" i="49"/>
  <c r="J16" i="49"/>
  <c r="J18" i="49"/>
  <c r="J25" i="49"/>
  <c r="J28" i="50"/>
  <c r="J20" i="50"/>
  <c r="J30" i="50"/>
  <c r="J22" i="50"/>
  <c r="J24" i="50"/>
  <c r="J16" i="50"/>
  <c r="J26" i="50"/>
  <c r="J18" i="50"/>
  <c r="J21" i="50"/>
  <c r="J23" i="50"/>
  <c r="J15" i="50"/>
  <c r="J29" i="50"/>
  <c r="J25" i="50"/>
  <c r="J17" i="50"/>
  <c r="J27" i="50"/>
  <c r="J19" i="50"/>
  <c r="J23" i="40"/>
  <c r="J13" i="40"/>
  <c r="J25" i="40"/>
  <c r="J15" i="40"/>
  <c r="J26" i="40"/>
  <c r="J16" i="40"/>
  <c r="J28" i="40"/>
  <c r="J18" i="40"/>
  <c r="J10" i="40"/>
  <c r="J27" i="40"/>
  <c r="J17" i="40"/>
  <c r="J19" i="40"/>
  <c r="J11" i="40"/>
  <c r="J21" i="40"/>
  <c r="J12" i="40"/>
  <c r="J24" i="40"/>
  <c r="J14" i="40"/>
  <c r="J22" i="40"/>
  <c r="J23" i="48"/>
  <c r="J25" i="48"/>
  <c r="J24" i="48"/>
  <c r="J17" i="48"/>
  <c r="J26" i="48"/>
  <c r="J18" i="48"/>
  <c r="J28" i="48"/>
  <c r="J21" i="48"/>
  <c r="J20" i="48"/>
  <c r="J27" i="48"/>
  <c r="J16" i="48"/>
  <c r="J19" i="48"/>
  <c r="J22" i="48"/>
  <c r="J15" i="48"/>
  <c r="J13" i="43"/>
  <c r="J10" i="43"/>
  <c r="J12" i="43"/>
  <c r="J11" i="43"/>
  <c r="J18" i="43"/>
  <c r="J14" i="43"/>
  <c r="J19" i="43"/>
  <c r="J17" i="43"/>
  <c r="M25" i="45"/>
  <c r="M16" i="45"/>
  <c r="M19" i="45"/>
  <c r="M22" i="45"/>
  <c r="M28" i="45"/>
  <c r="M20" i="45"/>
  <c r="M18" i="45"/>
  <c r="M24" i="45"/>
  <c r="M15" i="45"/>
  <c r="M26" i="45"/>
  <c r="M17" i="45"/>
  <c r="M21" i="45"/>
  <c r="M23" i="45"/>
  <c r="M27" i="45"/>
  <c r="M23" i="49"/>
  <c r="M31" i="49"/>
  <c r="M20" i="49"/>
  <c r="M21" i="49"/>
  <c r="M26" i="49"/>
  <c r="M17" i="49"/>
  <c r="M19" i="49"/>
  <c r="M27" i="49"/>
  <c r="M16" i="49"/>
  <c r="M18" i="49"/>
  <c r="M25" i="49"/>
  <c r="M24" i="49"/>
  <c r="M15" i="49"/>
  <c r="M22" i="49"/>
  <c r="M30" i="49"/>
  <c r="M28" i="49"/>
  <c r="M21" i="50"/>
  <c r="M23" i="50"/>
  <c r="M15" i="50"/>
  <c r="M29" i="50"/>
  <c r="M25" i="50"/>
  <c r="M17" i="50"/>
  <c r="M19" i="50"/>
  <c r="M28" i="50"/>
  <c r="M20" i="50"/>
  <c r="M30" i="50"/>
  <c r="M22" i="50"/>
  <c r="M24" i="50"/>
  <c r="M16" i="50"/>
  <c r="M27" i="50"/>
  <c r="M26" i="50"/>
  <c r="M18" i="50"/>
  <c r="M26" i="40"/>
  <c r="M16" i="40"/>
  <c r="M28" i="40"/>
  <c r="M18" i="40"/>
  <c r="M10" i="40"/>
  <c r="M27" i="40"/>
  <c r="M23" i="40"/>
  <c r="M13" i="40"/>
  <c r="M25" i="40"/>
  <c r="M15" i="40"/>
  <c r="M21" i="40"/>
  <c r="M12" i="40"/>
  <c r="M24" i="40"/>
  <c r="M14" i="40"/>
  <c r="M22" i="40"/>
  <c r="M17" i="40"/>
  <c r="M19" i="40"/>
  <c r="M11" i="40"/>
  <c r="M24" i="48"/>
  <c r="M17" i="48"/>
  <c r="M26" i="48"/>
  <c r="M18" i="48"/>
  <c r="M23" i="48"/>
  <c r="M25" i="48"/>
  <c r="M16" i="48"/>
  <c r="M19" i="48"/>
  <c r="M22" i="48"/>
  <c r="M15" i="48"/>
  <c r="M28" i="48"/>
  <c r="M21" i="48"/>
  <c r="M20" i="48"/>
  <c r="M27" i="48"/>
  <c r="L19" i="38"/>
  <c r="L26" i="38"/>
  <c r="L17" i="38"/>
  <c r="L25" i="38"/>
  <c r="L18" i="38"/>
  <c r="L20" i="38"/>
  <c r="L22" i="38"/>
  <c r="L21" i="38"/>
  <c r="L24" i="38"/>
  <c r="L15" i="38"/>
  <c r="L23" i="38"/>
  <c r="L16" i="38"/>
  <c r="L55" i="46"/>
  <c r="L29" i="46"/>
  <c r="L30" i="46"/>
  <c r="L53" i="46"/>
  <c r="L24" i="46"/>
  <c r="L51" i="46"/>
  <c r="L22" i="46"/>
  <c r="L56" i="46"/>
  <c r="L44" i="46"/>
  <c r="L52" i="46"/>
  <c r="L23" i="46"/>
  <c r="L17" i="46"/>
  <c r="L35" i="46"/>
  <c r="L47" i="46"/>
  <c r="L61" i="46"/>
  <c r="L18" i="46"/>
  <c r="L34" i="46"/>
  <c r="L46" i="46"/>
  <c r="L60" i="46"/>
  <c r="L26" i="46"/>
  <c r="L37" i="46"/>
  <c r="L49" i="46"/>
  <c r="L63" i="46"/>
  <c r="L25" i="46"/>
  <c r="L36" i="46"/>
  <c r="L48" i="46"/>
  <c r="L62" i="46"/>
  <c r="L50" i="46"/>
  <c r="L64" i="46"/>
  <c r="L41" i="46"/>
  <c r="L28" i="46"/>
  <c r="L42" i="46"/>
  <c r="L57" i="46"/>
  <c r="L21" i="46"/>
  <c r="L27" i="46"/>
  <c r="L38" i="46"/>
  <c r="L54" i="46"/>
  <c r="L33" i="46"/>
  <c r="L59" i="46"/>
  <c r="L16" i="46"/>
  <c r="L32" i="46"/>
  <c r="L43" i="46"/>
  <c r="L58" i="46"/>
  <c r="L13" i="59"/>
  <c r="L12" i="59"/>
  <c r="L10" i="59"/>
  <c r="L11" i="59"/>
  <c r="L15" i="59"/>
  <c r="L14" i="59"/>
  <c r="L17" i="59"/>
  <c r="L16" i="59"/>
  <c r="L28" i="45"/>
  <c r="L20" i="45"/>
  <c r="L18" i="45"/>
  <c r="L25" i="45"/>
  <c r="L16" i="45"/>
  <c r="L19" i="45"/>
  <c r="L22" i="45"/>
  <c r="L21" i="45"/>
  <c r="L23" i="45"/>
  <c r="L27" i="45"/>
  <c r="L24" i="45"/>
  <c r="L15" i="45"/>
  <c r="L26" i="45"/>
  <c r="L17" i="45"/>
  <c r="L21" i="49"/>
  <c r="L26" i="49"/>
  <c r="L17" i="49"/>
  <c r="L19" i="49"/>
  <c r="L23" i="49"/>
  <c r="L31" i="49"/>
  <c r="L20" i="49"/>
  <c r="L24" i="49"/>
  <c r="L15" i="49"/>
  <c r="L22" i="49"/>
  <c r="L28" i="49"/>
  <c r="L27" i="49"/>
  <c r="L16" i="49"/>
  <c r="L18" i="49"/>
  <c r="L25" i="49"/>
  <c r="L30" i="49"/>
  <c r="L28" i="50"/>
  <c r="L20" i="50"/>
  <c r="L30" i="50"/>
  <c r="L22" i="50"/>
  <c r="L24" i="50"/>
  <c r="L16" i="50"/>
  <c r="L27" i="50"/>
  <c r="L26" i="50"/>
  <c r="L18" i="50"/>
  <c r="L21" i="50"/>
  <c r="L23" i="50"/>
  <c r="L15" i="50"/>
  <c r="L29" i="50"/>
  <c r="L25" i="50"/>
  <c r="L17" i="50"/>
  <c r="L19" i="50"/>
  <c r="O19" i="38"/>
  <c r="O17" i="38"/>
  <c r="O25" i="38"/>
  <c r="O18" i="38"/>
  <c r="O20" i="38"/>
  <c r="O26" i="38"/>
  <c r="O22" i="38"/>
  <c r="O21" i="38"/>
  <c r="O24" i="38"/>
  <c r="O15" i="38"/>
  <c r="O23" i="38"/>
  <c r="O16" i="38"/>
  <c r="O55" i="46"/>
  <c r="O29" i="46"/>
  <c r="O30" i="46"/>
  <c r="O53" i="46"/>
  <c r="O24" i="46"/>
  <c r="O51" i="46"/>
  <c r="O22" i="46"/>
  <c r="O56" i="46"/>
  <c r="O44" i="46"/>
  <c r="O52" i="46"/>
  <c r="O23" i="46"/>
  <c r="O17" i="46"/>
  <c r="O35" i="46"/>
  <c r="O47" i="46"/>
  <c r="O61" i="46"/>
  <c r="O18" i="46"/>
  <c r="O34" i="46"/>
  <c r="O46" i="46"/>
  <c r="O60" i="46"/>
  <c r="O26" i="46"/>
  <c r="O37" i="46"/>
  <c r="O49" i="46"/>
  <c r="O63" i="46"/>
  <c r="O25" i="46"/>
  <c r="O36" i="46"/>
  <c r="O48" i="46"/>
  <c r="O62" i="46"/>
  <c r="O50" i="46"/>
  <c r="O64" i="46"/>
  <c r="O41" i="46"/>
  <c r="O28" i="46"/>
  <c r="O42" i="46"/>
  <c r="O57" i="46"/>
  <c r="O21" i="46"/>
  <c r="O27" i="46"/>
  <c r="O38" i="46"/>
  <c r="O54" i="46"/>
  <c r="O33" i="46"/>
  <c r="O59" i="46"/>
  <c r="O16" i="46"/>
  <c r="O32" i="46"/>
  <c r="O43" i="46"/>
  <c r="O58" i="46"/>
  <c r="O15" i="59"/>
  <c r="O14" i="59"/>
  <c r="O17" i="59"/>
  <c r="O16" i="59"/>
  <c r="O13" i="59"/>
  <c r="O12" i="59"/>
  <c r="O10" i="59"/>
  <c r="O11" i="59"/>
  <c r="O28" i="45"/>
  <c r="O20" i="45"/>
  <c r="O18" i="45"/>
  <c r="O25" i="45"/>
  <c r="O16" i="45"/>
  <c r="O19" i="45"/>
  <c r="O22" i="45"/>
  <c r="O21" i="45"/>
  <c r="O23" i="45"/>
  <c r="O27" i="45"/>
  <c r="O24" i="45"/>
  <c r="O15" i="45"/>
  <c r="O26" i="45"/>
  <c r="O17" i="45"/>
  <c r="O21" i="49"/>
  <c r="O26" i="49"/>
  <c r="O17" i="49"/>
  <c r="O19" i="49"/>
  <c r="O23" i="49"/>
  <c r="O31" i="49"/>
  <c r="O20" i="49"/>
  <c r="O24" i="49"/>
  <c r="O15" i="49"/>
  <c r="O22" i="49"/>
  <c r="O30" i="49"/>
  <c r="O28" i="49"/>
  <c r="O27" i="49"/>
  <c r="O16" i="49"/>
  <c r="O18" i="49"/>
  <c r="O25" i="49"/>
  <c r="G28" i="50"/>
  <c r="G20" i="50"/>
  <c r="G30" i="50"/>
  <c r="G22" i="50"/>
  <c r="G24" i="50"/>
  <c r="G16" i="50"/>
  <c r="G26" i="50"/>
  <c r="G18" i="50"/>
  <c r="G21" i="50"/>
  <c r="G23" i="50"/>
  <c r="G15" i="50"/>
  <c r="G29" i="50"/>
  <c r="G25" i="50"/>
  <c r="G17" i="50"/>
  <c r="G27" i="50"/>
  <c r="G19" i="50"/>
  <c r="G23" i="40"/>
  <c r="G13" i="40"/>
  <c r="G25" i="40"/>
  <c r="G15" i="40"/>
  <c r="G10" i="40"/>
  <c r="G26" i="40"/>
  <c r="G16" i="40"/>
  <c r="G28" i="40"/>
  <c r="G18" i="40"/>
  <c r="G27" i="40"/>
  <c r="G17" i="40"/>
  <c r="G19" i="40"/>
  <c r="G11" i="40"/>
  <c r="G21" i="40"/>
  <c r="G12" i="40"/>
  <c r="G24" i="40"/>
  <c r="G14" i="40"/>
  <c r="G22" i="40"/>
  <c r="G23" i="48"/>
  <c r="G25" i="48"/>
  <c r="G24" i="48"/>
  <c r="G17" i="48"/>
  <c r="G26" i="48"/>
  <c r="G18" i="48"/>
  <c r="G28" i="48"/>
  <c r="G21" i="48"/>
  <c r="G20" i="48"/>
  <c r="G27" i="48"/>
  <c r="G16" i="48"/>
  <c r="G19" i="48"/>
  <c r="G22" i="48"/>
  <c r="G15" i="48"/>
  <c r="G13" i="43"/>
  <c r="G12" i="43"/>
  <c r="G10" i="43"/>
  <c r="G11" i="43"/>
  <c r="G18" i="43"/>
  <c r="G14" i="43"/>
  <c r="G19" i="43"/>
  <c r="G17" i="43"/>
  <c r="G13" i="47"/>
  <c r="G22" i="47"/>
  <c r="G30" i="47"/>
  <c r="G37" i="47"/>
  <c r="G10" i="47"/>
  <c r="G19" i="47"/>
  <c r="G28" i="47"/>
  <c r="G26" i="47"/>
  <c r="G17" i="47"/>
  <c r="G18" i="47"/>
  <c r="G27" i="47"/>
  <c r="G33" i="47"/>
  <c r="G12" i="47"/>
  <c r="G25" i="47"/>
  <c r="G35" i="47"/>
  <c r="G11" i="47"/>
  <c r="G24" i="47"/>
  <c r="G31" i="47"/>
  <c r="G16" i="47"/>
  <c r="G21" i="47"/>
  <c r="G32" i="47"/>
  <c r="G14" i="47"/>
  <c r="G23" i="47"/>
  <c r="G34" i="47"/>
  <c r="G15" i="47"/>
  <c r="G20" i="47"/>
  <c r="G29" i="47"/>
  <c r="G36" i="47"/>
  <c r="N17" i="38"/>
  <c r="N25" i="38"/>
  <c r="N18" i="38"/>
  <c r="N20" i="38"/>
  <c r="N22" i="38"/>
  <c r="N21" i="38"/>
  <c r="N24" i="38"/>
  <c r="N15" i="38"/>
  <c r="N23" i="38"/>
  <c r="N16" i="38"/>
  <c r="N19" i="38"/>
  <c r="N26" i="38"/>
  <c r="N44" i="46"/>
  <c r="N52" i="46"/>
  <c r="N23" i="46"/>
  <c r="N17" i="46"/>
  <c r="N35" i="46"/>
  <c r="N47" i="46"/>
  <c r="N61" i="46"/>
  <c r="N18" i="46"/>
  <c r="N34" i="46"/>
  <c r="N46" i="46"/>
  <c r="N60" i="46"/>
  <c r="N26" i="46"/>
  <c r="N37" i="46"/>
  <c r="N49" i="46"/>
  <c r="N63" i="46"/>
  <c r="N25" i="46"/>
  <c r="N36" i="46"/>
  <c r="N48" i="46"/>
  <c r="N62" i="46"/>
  <c r="N50" i="46"/>
  <c r="N64" i="46"/>
  <c r="N41" i="46"/>
  <c r="N28" i="46"/>
  <c r="N42" i="46"/>
  <c r="N57" i="46"/>
  <c r="N21" i="46"/>
  <c r="N27" i="46"/>
  <c r="N38" i="46"/>
  <c r="N54" i="46"/>
  <c r="N33" i="46"/>
  <c r="N59" i="46"/>
  <c r="N16" i="46"/>
  <c r="N32" i="46"/>
  <c r="N43" i="46"/>
  <c r="N58" i="46"/>
  <c r="N55" i="46"/>
  <c r="N29" i="46"/>
  <c r="N30" i="46"/>
  <c r="N53" i="46"/>
  <c r="N24" i="46"/>
  <c r="N51" i="46"/>
  <c r="N22" i="46"/>
  <c r="N56" i="46"/>
  <c r="N15" i="59"/>
  <c r="N14" i="59"/>
  <c r="N17" i="59"/>
  <c r="N16" i="59"/>
  <c r="N13" i="59"/>
  <c r="N12" i="59"/>
  <c r="N10" i="59"/>
  <c r="N11" i="59"/>
  <c r="N25" i="45"/>
  <c r="N16" i="45"/>
  <c r="N19" i="45"/>
  <c r="N22" i="45"/>
  <c r="N28" i="45"/>
  <c r="N20" i="45"/>
  <c r="N18" i="45"/>
  <c r="N24" i="45"/>
  <c r="N15" i="45"/>
  <c r="N26" i="45"/>
  <c r="N17" i="45"/>
  <c r="N21" i="45"/>
  <c r="N23" i="45"/>
  <c r="N27" i="45"/>
  <c r="N23" i="49"/>
  <c r="N31" i="49"/>
  <c r="N20" i="49"/>
  <c r="N21" i="49"/>
  <c r="N26" i="49"/>
  <c r="N17" i="49"/>
  <c r="N19" i="49"/>
  <c r="N27" i="49"/>
  <c r="N16" i="49"/>
  <c r="N18" i="49"/>
  <c r="N25" i="49"/>
  <c r="N24" i="49"/>
  <c r="N15" i="49"/>
  <c r="N22" i="49"/>
  <c r="N30" i="49"/>
  <c r="N28" i="49"/>
  <c r="N21" i="50"/>
  <c r="N23" i="50"/>
  <c r="N15" i="50"/>
  <c r="N29" i="50"/>
  <c r="N25" i="50"/>
  <c r="N17" i="50"/>
  <c r="N27" i="50"/>
  <c r="N19" i="50"/>
  <c r="N28" i="50"/>
  <c r="N20" i="50"/>
  <c r="N30" i="50"/>
  <c r="N22" i="50"/>
  <c r="N24" i="50"/>
  <c r="N16" i="50"/>
  <c r="N26" i="50"/>
  <c r="N18" i="50"/>
  <c r="Q19" i="38"/>
  <c r="Q26" i="38"/>
  <c r="Q17" i="38"/>
  <c r="Q25" i="38"/>
  <c r="Q18" i="38"/>
  <c r="Q20" i="38"/>
  <c r="Q22" i="38"/>
  <c r="Q21" i="38"/>
  <c r="Q24" i="38"/>
  <c r="Q15" i="38"/>
  <c r="Q23" i="38"/>
  <c r="Q16" i="38"/>
  <c r="Q55" i="46"/>
  <c r="Q29" i="46"/>
  <c r="Q30" i="46"/>
  <c r="Q53" i="46"/>
  <c r="Q24" i="46"/>
  <c r="Q51" i="46"/>
  <c r="Q22" i="46"/>
  <c r="Q56" i="46"/>
  <c r="Q44" i="46"/>
  <c r="Q52" i="46"/>
  <c r="Q23" i="46"/>
  <c r="Q17" i="46"/>
  <c r="Q35" i="46"/>
  <c r="Q47" i="46"/>
  <c r="Q61" i="46"/>
  <c r="Q18" i="46"/>
  <c r="Q34" i="46"/>
  <c r="Q46" i="46"/>
  <c r="Q60" i="46"/>
  <c r="Q26" i="46"/>
  <c r="Q37" i="46"/>
  <c r="Q49" i="46"/>
  <c r="Q63" i="46"/>
  <c r="Q25" i="46"/>
  <c r="Q36" i="46"/>
  <c r="Q48" i="46"/>
  <c r="Q62" i="46"/>
  <c r="Q50" i="46"/>
  <c r="Q64" i="46"/>
  <c r="Q41" i="46"/>
  <c r="Q28" i="46"/>
  <c r="Q42" i="46"/>
  <c r="Q57" i="46"/>
  <c r="Q21" i="46"/>
  <c r="Q27" i="46"/>
  <c r="Q38" i="46"/>
  <c r="Q54" i="46"/>
  <c r="Q33" i="46"/>
  <c r="Q59" i="46"/>
  <c r="Q16" i="46"/>
  <c r="Q32" i="46"/>
  <c r="Q43" i="46"/>
  <c r="Q58" i="46"/>
  <c r="Q13" i="59"/>
  <c r="Q12" i="59"/>
  <c r="Q10" i="59"/>
  <c r="Q11" i="59"/>
  <c r="Q15" i="59"/>
  <c r="Q14" i="59"/>
  <c r="Q17" i="59"/>
  <c r="Q16" i="59"/>
  <c r="Q28" i="45"/>
  <c r="Q20" i="45"/>
  <c r="Q18" i="45"/>
  <c r="Q25" i="45"/>
  <c r="Q16" i="45"/>
  <c r="Q19" i="45"/>
  <c r="Q22" i="45"/>
  <c r="Q21" i="45"/>
  <c r="Q23" i="45"/>
  <c r="Q27" i="45"/>
  <c r="Q24" i="45"/>
  <c r="Q15" i="45"/>
  <c r="Q26" i="45"/>
  <c r="Q17" i="45"/>
  <c r="Q21" i="49"/>
  <c r="Q26" i="49"/>
  <c r="Q17" i="49"/>
  <c r="Q19" i="49"/>
  <c r="Q23" i="49"/>
  <c r="Q31" i="49"/>
  <c r="Q20" i="49"/>
  <c r="Q24" i="49"/>
  <c r="Q15" i="49"/>
  <c r="Q22" i="49"/>
  <c r="Q28" i="49"/>
  <c r="Q27" i="49"/>
  <c r="Q16" i="49"/>
  <c r="Q18" i="49"/>
  <c r="Q25" i="49"/>
  <c r="Q30" i="49"/>
  <c r="I28" i="50"/>
  <c r="I20" i="50"/>
  <c r="I30" i="50"/>
  <c r="I22" i="50"/>
  <c r="I24" i="50"/>
  <c r="I16" i="50"/>
  <c r="I26" i="50"/>
  <c r="I18" i="50"/>
  <c r="I21" i="50"/>
  <c r="I23" i="50"/>
  <c r="I15" i="50"/>
  <c r="I29" i="50"/>
  <c r="I25" i="50"/>
  <c r="I17" i="50"/>
  <c r="I27" i="50"/>
  <c r="I19" i="50"/>
  <c r="I23" i="40"/>
  <c r="I13" i="40"/>
  <c r="I25" i="40"/>
  <c r="I15" i="40"/>
  <c r="I26" i="40"/>
  <c r="I16" i="40"/>
  <c r="I28" i="40"/>
  <c r="I18" i="40"/>
  <c r="I10" i="40"/>
  <c r="I27" i="40"/>
  <c r="I17" i="40"/>
  <c r="I19" i="40"/>
  <c r="I11" i="40"/>
  <c r="I21" i="40"/>
  <c r="I12" i="40"/>
  <c r="I24" i="40"/>
  <c r="I14" i="40"/>
  <c r="I22" i="40"/>
  <c r="I23" i="48"/>
  <c r="I25" i="48"/>
  <c r="I24" i="48"/>
  <c r="I17" i="48"/>
  <c r="I26" i="48"/>
  <c r="I18" i="48"/>
  <c r="I28" i="48"/>
  <c r="I21" i="48"/>
  <c r="I20" i="48"/>
  <c r="I27" i="48"/>
  <c r="I16" i="48"/>
  <c r="I19" i="48"/>
  <c r="I22" i="48"/>
  <c r="I15" i="48"/>
  <c r="I13" i="43"/>
  <c r="I12" i="43"/>
  <c r="I10" i="43"/>
  <c r="I11" i="43"/>
  <c r="I18" i="43"/>
  <c r="I14" i="43"/>
  <c r="I19" i="43"/>
  <c r="I17" i="43"/>
  <c r="I13" i="47"/>
  <c r="I22" i="47"/>
  <c r="I30" i="47"/>
  <c r="I37" i="47"/>
  <c r="I10" i="47"/>
  <c r="I19" i="47"/>
  <c r="I28" i="47"/>
  <c r="I26" i="47"/>
  <c r="I17" i="47"/>
  <c r="I18" i="47"/>
  <c r="I27" i="47"/>
  <c r="I33" i="47"/>
  <c r="I12" i="47"/>
  <c r="I25" i="47"/>
  <c r="I35" i="47"/>
  <c r="I11" i="47"/>
  <c r="I24" i="47"/>
  <c r="I31" i="47"/>
  <c r="I16" i="47"/>
  <c r="I32" i="47"/>
  <c r="I14" i="47"/>
  <c r="I23" i="47"/>
  <c r="I34" i="47"/>
  <c r="I21" i="47"/>
  <c r="I15" i="47"/>
  <c r="I20" i="47"/>
  <c r="I29" i="47"/>
  <c r="I36" i="47"/>
  <c r="P12" i="47"/>
  <c r="P25" i="47"/>
  <c r="P35" i="47"/>
  <c r="P11" i="47"/>
  <c r="P24" i="47"/>
  <c r="P31" i="47"/>
  <c r="P16" i="47"/>
  <c r="P21" i="47"/>
  <c r="P13" i="47"/>
  <c r="P22" i="47"/>
  <c r="P30" i="47"/>
  <c r="P37" i="47"/>
  <c r="P10" i="47"/>
  <c r="P19" i="47"/>
  <c r="P28" i="47"/>
  <c r="P26" i="47"/>
  <c r="P17" i="47"/>
  <c r="P18" i="47"/>
  <c r="P27" i="47"/>
  <c r="P33" i="47"/>
  <c r="P15" i="47"/>
  <c r="P20" i="47"/>
  <c r="P29" i="47"/>
  <c r="P36" i="47"/>
  <c r="P32" i="47"/>
  <c r="P14" i="47"/>
  <c r="P23" i="47"/>
  <c r="P34" i="47"/>
  <c r="P17" i="38"/>
  <c r="P25" i="38"/>
  <c r="P18" i="38"/>
  <c r="P20" i="38"/>
  <c r="P26" i="38"/>
  <c r="P22" i="38"/>
  <c r="P21" i="38"/>
  <c r="P24" i="38"/>
  <c r="P15" i="38"/>
  <c r="P23" i="38"/>
  <c r="P16" i="38"/>
  <c r="P19" i="38"/>
  <c r="P44" i="46"/>
  <c r="P52" i="46"/>
  <c r="P23" i="46"/>
  <c r="P17" i="46"/>
  <c r="P35" i="46"/>
  <c r="P47" i="46"/>
  <c r="P61" i="46"/>
  <c r="P18" i="46"/>
  <c r="P34" i="46"/>
  <c r="P46" i="46"/>
  <c r="P60" i="46"/>
  <c r="P26" i="46"/>
  <c r="P37" i="46"/>
  <c r="P49" i="46"/>
  <c r="P63" i="46"/>
  <c r="P25" i="46"/>
  <c r="P36" i="46"/>
  <c r="P48" i="46"/>
  <c r="P62" i="46"/>
  <c r="P50" i="46"/>
  <c r="P64" i="46"/>
  <c r="P41" i="46"/>
  <c r="P28" i="46"/>
  <c r="P42" i="46"/>
  <c r="P57" i="46"/>
  <c r="P21" i="46"/>
  <c r="P27" i="46"/>
  <c r="P38" i="46"/>
  <c r="P54" i="46"/>
  <c r="P33" i="46"/>
  <c r="P59" i="46"/>
  <c r="P16" i="46"/>
  <c r="P32" i="46"/>
  <c r="P43" i="46"/>
  <c r="P58" i="46"/>
  <c r="P55" i="46"/>
  <c r="P29" i="46"/>
  <c r="P30" i="46"/>
  <c r="P53" i="46"/>
  <c r="P24" i="46"/>
  <c r="P51" i="46"/>
  <c r="P22" i="46"/>
  <c r="P56" i="46"/>
  <c r="P13" i="59"/>
  <c r="P12" i="59"/>
  <c r="P10" i="59"/>
  <c r="P11" i="59"/>
  <c r="P15" i="59"/>
  <c r="P14" i="59"/>
  <c r="P17" i="59"/>
  <c r="P16" i="59"/>
  <c r="H25" i="45"/>
  <c r="H16" i="45"/>
  <c r="H19" i="45"/>
  <c r="H22" i="45"/>
  <c r="H28" i="45"/>
  <c r="H20" i="45"/>
  <c r="H18" i="45"/>
  <c r="H24" i="45"/>
  <c r="H15" i="45"/>
  <c r="H26" i="45"/>
  <c r="H17" i="45"/>
  <c r="H21" i="45"/>
  <c r="H23" i="45"/>
  <c r="H27" i="45"/>
  <c r="H23" i="49"/>
  <c r="H31" i="49"/>
  <c r="H20" i="49"/>
  <c r="H21" i="49"/>
  <c r="H26" i="49"/>
  <c r="H17" i="49"/>
  <c r="H19" i="49"/>
  <c r="H27" i="49"/>
  <c r="H16" i="49"/>
  <c r="H18" i="49"/>
  <c r="H25" i="49"/>
  <c r="H30" i="49"/>
  <c r="H24" i="49"/>
  <c r="H15" i="49"/>
  <c r="H22" i="49"/>
  <c r="H28" i="49"/>
  <c r="H21" i="50"/>
  <c r="H23" i="50"/>
  <c r="H15" i="50"/>
  <c r="H29" i="50"/>
  <c r="H25" i="50"/>
  <c r="H17" i="50"/>
  <c r="H19" i="50"/>
  <c r="H28" i="50"/>
  <c r="H20" i="50"/>
  <c r="H30" i="50"/>
  <c r="H22" i="50"/>
  <c r="H24" i="50"/>
  <c r="H16" i="50"/>
  <c r="H27" i="50"/>
  <c r="H26" i="50"/>
  <c r="H18" i="50"/>
  <c r="H26" i="40"/>
  <c r="H16" i="40"/>
  <c r="H28" i="40"/>
  <c r="H18" i="40"/>
  <c r="H10" i="40"/>
  <c r="H27" i="40"/>
  <c r="H23" i="40"/>
  <c r="H13" i="40"/>
  <c r="H25" i="40"/>
  <c r="H15" i="40"/>
  <c r="H21" i="40"/>
  <c r="H12" i="40"/>
  <c r="H24" i="40"/>
  <c r="H14" i="40"/>
  <c r="H22" i="40"/>
  <c r="H17" i="40"/>
  <c r="H19" i="40"/>
  <c r="H11" i="40"/>
  <c r="H24" i="48"/>
  <c r="H17" i="48"/>
  <c r="H26" i="48"/>
  <c r="H18" i="48"/>
  <c r="H23" i="48"/>
  <c r="H25" i="48"/>
  <c r="H16" i="48"/>
  <c r="H19" i="48"/>
  <c r="H22" i="48"/>
  <c r="H15" i="48"/>
  <c r="H28" i="48"/>
  <c r="H21" i="48"/>
  <c r="H20" i="48"/>
  <c r="H27" i="48"/>
  <c r="H12" i="43"/>
  <c r="H10" i="43"/>
  <c r="H11" i="43"/>
  <c r="H13" i="43"/>
  <c r="H19" i="43"/>
  <c r="H17" i="43"/>
  <c r="H18" i="43"/>
  <c r="H14" i="43"/>
  <c r="K25" i="45"/>
  <c r="K16" i="45"/>
  <c r="K19" i="45"/>
  <c r="K22" i="45"/>
  <c r="K28" i="45"/>
  <c r="K20" i="45"/>
  <c r="K18" i="45"/>
  <c r="K24" i="45"/>
  <c r="K15" i="45"/>
  <c r="K26" i="45"/>
  <c r="K17" i="45"/>
  <c r="K21" i="45"/>
  <c r="K23" i="45"/>
  <c r="K27" i="45"/>
  <c r="K23" i="49"/>
  <c r="K31" i="49"/>
  <c r="K20" i="49"/>
  <c r="K21" i="49"/>
  <c r="K26" i="49"/>
  <c r="K17" i="49"/>
  <c r="K19" i="49"/>
  <c r="K27" i="49"/>
  <c r="K16" i="49"/>
  <c r="K18" i="49"/>
  <c r="K25" i="49"/>
  <c r="K24" i="49"/>
  <c r="K15" i="49"/>
  <c r="K22" i="49"/>
  <c r="K30" i="49"/>
  <c r="K28" i="49"/>
  <c r="K21" i="50"/>
  <c r="K23" i="50"/>
  <c r="K15" i="50"/>
  <c r="K29" i="50"/>
  <c r="K25" i="50"/>
  <c r="K17" i="50"/>
  <c r="K27" i="50"/>
  <c r="K19" i="50"/>
  <c r="K28" i="50"/>
  <c r="K20" i="50"/>
  <c r="K30" i="50"/>
  <c r="K22" i="50"/>
  <c r="K24" i="50"/>
  <c r="K16" i="50"/>
  <c r="K26" i="50"/>
  <c r="K18" i="50"/>
  <c r="K26" i="40"/>
  <c r="K16" i="40"/>
  <c r="K28" i="40"/>
  <c r="K18" i="40"/>
  <c r="K27" i="40"/>
  <c r="K23" i="40"/>
  <c r="K13" i="40"/>
  <c r="K25" i="40"/>
  <c r="K15" i="40"/>
  <c r="K10" i="40"/>
  <c r="K21" i="40"/>
  <c r="K12" i="40"/>
  <c r="K24" i="40"/>
  <c r="K14" i="40"/>
  <c r="K22" i="40"/>
  <c r="K17" i="40"/>
  <c r="K19" i="40"/>
  <c r="K11" i="40"/>
  <c r="K24" i="48"/>
  <c r="K17" i="48"/>
  <c r="K26" i="48"/>
  <c r="K18" i="48"/>
  <c r="K23" i="48"/>
  <c r="K25" i="48"/>
  <c r="K16" i="48"/>
  <c r="K19" i="48"/>
  <c r="K22" i="48"/>
  <c r="K15" i="48"/>
  <c r="K28" i="48"/>
  <c r="K21" i="48"/>
  <c r="K20" i="48"/>
  <c r="K27" i="48"/>
  <c r="R11" i="39"/>
  <c r="S11" i="39" s="1"/>
  <c r="R14" i="39"/>
  <c r="S14" i="39" s="1"/>
  <c r="R12" i="39"/>
  <c r="S12" i="39" s="1"/>
  <c r="F21" i="39"/>
  <c r="F31" i="39"/>
  <c r="F24" i="39"/>
  <c r="M24" i="39"/>
  <c r="F35" i="39"/>
  <c r="M35" i="39"/>
  <c r="F17" i="39"/>
  <c r="M17" i="39"/>
  <c r="F29" i="39"/>
  <c r="G7" i="52"/>
  <c r="O7" i="52"/>
  <c r="J7" i="52"/>
  <c r="L7" i="52"/>
  <c r="L14" i="52"/>
  <c r="Q39" i="60" s="1"/>
  <c r="G14" i="52"/>
  <c r="L39" i="60" s="1"/>
  <c r="O14" i="52"/>
  <c r="T39" i="60" s="1"/>
  <c r="J14" i="52"/>
  <c r="O39" i="60" s="1"/>
  <c r="L13" i="52"/>
  <c r="G13" i="52"/>
  <c r="O13" i="52"/>
  <c r="J13" i="52"/>
  <c r="L12" i="52"/>
  <c r="Q42" i="60" s="1"/>
  <c r="G12" i="52"/>
  <c r="O12" i="52"/>
  <c r="J12" i="52"/>
  <c r="L11" i="52"/>
  <c r="G11" i="52"/>
  <c r="O11" i="52"/>
  <c r="J11" i="52"/>
  <c r="L22" i="52"/>
  <c r="G22" i="52"/>
  <c r="O22" i="52"/>
  <c r="J22" i="52"/>
  <c r="I9" i="52"/>
  <c r="Q9" i="52"/>
  <c r="L9" i="52"/>
  <c r="G9" i="52"/>
  <c r="O9" i="52"/>
  <c r="J9" i="52"/>
  <c r="I18" i="52"/>
  <c r="Q18" i="52"/>
  <c r="L18" i="52"/>
  <c r="G18" i="52"/>
  <c r="O18" i="52"/>
  <c r="J18" i="52"/>
  <c r="I16" i="52"/>
  <c r="Q16" i="52"/>
  <c r="L16" i="52"/>
  <c r="G16" i="52"/>
  <c r="O16" i="52"/>
  <c r="J16" i="52"/>
  <c r="DV3" i="56"/>
  <c r="DX3" i="56"/>
  <c r="DR3" i="56"/>
  <c r="DT3" i="56"/>
  <c r="DN3" i="56"/>
  <c r="DP3" i="56"/>
  <c r="R24" i="25"/>
  <c r="S24" i="25" s="1"/>
  <c r="R16" i="23"/>
  <c r="S16" i="23" s="1"/>
  <c r="R12" i="23"/>
  <c r="S12" i="23" s="1"/>
  <c r="R19" i="23"/>
  <c r="S19" i="23" s="1"/>
  <c r="R17" i="23"/>
  <c r="S17" i="23" s="1"/>
  <c r="R15" i="23"/>
  <c r="S15" i="23" s="1"/>
  <c r="R13" i="23"/>
  <c r="S13" i="23" s="1"/>
  <c r="R11" i="23"/>
  <c r="S11" i="23" s="1"/>
  <c r="R29" i="23"/>
  <c r="S29" i="23" s="1"/>
  <c r="R23" i="23"/>
  <c r="S23" i="23" s="1"/>
  <c r="R28" i="22"/>
  <c r="S28" i="22" s="1"/>
  <c r="R29" i="22"/>
  <c r="S29" i="22" s="1"/>
  <c r="R12" i="22"/>
  <c r="S12" i="22" s="1"/>
  <c r="R15" i="22"/>
  <c r="S15" i="22" s="1"/>
  <c r="R58" i="22"/>
  <c r="S58" i="22" s="1"/>
  <c r="D34" i="22"/>
  <c r="R24" i="22"/>
  <c r="S24" i="22" s="1"/>
  <c r="R26" i="22"/>
  <c r="S26" i="22" s="1"/>
  <c r="R22" i="20"/>
  <c r="S22" i="20" s="1"/>
  <c r="R18" i="20"/>
  <c r="S10" i="20"/>
  <c r="R24" i="20"/>
  <c r="S24" i="20" s="1"/>
  <c r="R26" i="20"/>
  <c r="S26" i="20" s="1"/>
  <c r="R28" i="20"/>
  <c r="S28" i="20" s="1"/>
  <c r="R23" i="20"/>
  <c r="S23" i="20" s="1"/>
  <c r="R25" i="20"/>
  <c r="S25" i="20" s="1"/>
  <c r="R27" i="20"/>
  <c r="S27" i="20" s="1"/>
  <c r="R29" i="20"/>
  <c r="S29" i="20" s="1"/>
  <c r="R19" i="20"/>
  <c r="S19" i="20" s="1"/>
  <c r="R28" i="18"/>
  <c r="S28" i="18" s="1"/>
  <c r="R35" i="18"/>
  <c r="S35" i="18" s="1"/>
  <c r="R57" i="17"/>
  <c r="S57" i="17" s="1"/>
  <c r="R56" i="17"/>
  <c r="S56" i="17" s="1"/>
  <c r="R47" i="17"/>
  <c r="S47" i="17" s="1"/>
  <c r="R42" i="17"/>
  <c r="S42" i="17" s="1"/>
  <c r="R46" i="17"/>
  <c r="S46" i="17" s="1"/>
  <c r="R59" i="17"/>
  <c r="S59" i="17" s="1"/>
  <c r="C15" i="16"/>
  <c r="F37" i="16"/>
  <c r="R37" i="16" s="1"/>
  <c r="S37" i="16" s="1"/>
  <c r="R36" i="16"/>
  <c r="S36" i="16" s="1"/>
  <c r="T42" i="60" l="1"/>
  <c r="K42" i="60"/>
  <c r="U42" i="60"/>
  <c r="N42" i="60"/>
  <c r="N43" i="60" s="1"/>
  <c r="H23" i="55"/>
  <c r="M10" i="60" s="1"/>
  <c r="J23" i="55"/>
  <c r="O10" i="60" s="1"/>
  <c r="G23" i="55"/>
  <c r="L10" i="60" s="1"/>
  <c r="O23" i="55"/>
  <c r="T10" i="60" s="1"/>
  <c r="M23" i="55"/>
  <c r="R10" i="60" s="1"/>
  <c r="N23" i="55"/>
  <c r="S10" i="60" s="1"/>
  <c r="R19" i="55"/>
  <c r="F23" i="55"/>
  <c r="K10" i="60" s="1"/>
  <c r="L23" i="55"/>
  <c r="Q10" i="60" s="1"/>
  <c r="I23" i="55"/>
  <c r="N10" i="60" s="1"/>
  <c r="Q23" i="55"/>
  <c r="V10" i="60" s="1"/>
  <c r="K23" i="55"/>
  <c r="P10" i="60" s="1"/>
  <c r="P23" i="55"/>
  <c r="U10" i="60" s="1"/>
  <c r="M42" i="60"/>
  <c r="M43" i="60" s="1"/>
  <c r="L42" i="60"/>
  <c r="S42" i="60"/>
  <c r="O42" i="60"/>
  <c r="R17" i="52"/>
  <c r="S17" i="52" s="1"/>
  <c r="R19" i="52"/>
  <c r="S19" i="52" s="1"/>
  <c r="R10" i="52"/>
  <c r="S10" i="52" s="1"/>
  <c r="R34" i="30"/>
  <c r="S34" i="30" s="1"/>
  <c r="J11" i="56"/>
  <c r="O9" i="60" s="1"/>
  <c r="M11" i="56"/>
  <c r="R9" i="60" s="1"/>
  <c r="Q11" i="56"/>
  <c r="V9" i="60" s="1"/>
  <c r="G11" i="56"/>
  <c r="L9" i="60" s="1"/>
  <c r="H11" i="56"/>
  <c r="M9" i="60" s="1"/>
  <c r="K11" i="56"/>
  <c r="P9" i="60" s="1"/>
  <c r="M74" i="53"/>
  <c r="V43" i="60"/>
  <c r="P43" i="60"/>
  <c r="R30" i="39"/>
  <c r="S30" i="39" s="1"/>
  <c r="R27" i="39"/>
  <c r="S27" i="39" s="1"/>
  <c r="R23" i="39"/>
  <c r="S23" i="39" s="1"/>
  <c r="R29" i="39"/>
  <c r="S29" i="39" s="1"/>
  <c r="R21" i="39"/>
  <c r="S21" i="39" s="1"/>
  <c r="N37" i="39"/>
  <c r="P37" i="39"/>
  <c r="K37" i="39"/>
  <c r="R36" i="39"/>
  <c r="S36" i="39" s="1"/>
  <c r="Q37" i="39"/>
  <c r="G37" i="39"/>
  <c r="R49" i="30"/>
  <c r="S49" i="30" s="1"/>
  <c r="R19" i="39"/>
  <c r="S19" i="39" s="1"/>
  <c r="R26" i="39"/>
  <c r="S26" i="39" s="1"/>
  <c r="R32" i="39"/>
  <c r="S32" i="39" s="1"/>
  <c r="R28" i="39"/>
  <c r="S28" i="39" s="1"/>
  <c r="H37" i="39"/>
  <c r="I37" i="39"/>
  <c r="R33" i="39"/>
  <c r="S33" i="39" s="1"/>
  <c r="R31" i="39"/>
  <c r="S31" i="39" s="1"/>
  <c r="R16" i="39"/>
  <c r="S16" i="39" s="1"/>
  <c r="R25" i="39"/>
  <c r="S25" i="39" s="1"/>
  <c r="O37" i="39"/>
  <c r="S4" i="46"/>
  <c r="R20" i="46"/>
  <c r="R19" i="46"/>
  <c r="R18" i="39"/>
  <c r="S18" i="39" s="1"/>
  <c r="R22" i="39"/>
  <c r="S22" i="39" s="1"/>
  <c r="M28" i="60"/>
  <c r="L28" i="60"/>
  <c r="O74" i="53"/>
  <c r="F74" i="53"/>
  <c r="H74" i="53"/>
  <c r="L74" i="53"/>
  <c r="J74" i="53"/>
  <c r="R21" i="55"/>
  <c r="S28" i="60"/>
  <c r="L11" i="56"/>
  <c r="Q9" i="60" s="1"/>
  <c r="I11" i="56"/>
  <c r="N9" i="60" s="1"/>
  <c r="N11" i="56"/>
  <c r="S9" i="60" s="1"/>
  <c r="O11" i="56"/>
  <c r="T9" i="60" s="1"/>
  <c r="P11" i="56"/>
  <c r="U9" i="60" s="1"/>
  <c r="E74" i="53"/>
  <c r="I74" i="53"/>
  <c r="K74" i="53"/>
  <c r="O28" i="60"/>
  <c r="L37" i="39"/>
  <c r="U43" i="60"/>
  <c r="J37" i="39"/>
  <c r="C32" i="16"/>
  <c r="R28" i="60"/>
  <c r="G74" i="53"/>
  <c r="N74" i="53"/>
  <c r="N28" i="60"/>
  <c r="R27" i="60"/>
  <c r="U28" i="60"/>
  <c r="P28" i="60"/>
  <c r="O27" i="60"/>
  <c r="P74" i="53"/>
  <c r="R9" i="56"/>
  <c r="S9" i="56" s="1"/>
  <c r="Q21" i="53"/>
  <c r="G35" i="53"/>
  <c r="AL2" i="55"/>
  <c r="AH2" i="55"/>
  <c r="AH4" i="55" s="1"/>
  <c r="V4" i="55"/>
  <c r="BE2" i="56"/>
  <c r="AO4" i="56"/>
  <c r="BD2" i="55"/>
  <c r="AN4" i="55"/>
  <c r="E35" i="53"/>
  <c r="Q32" i="53"/>
  <c r="R32" i="53" s="1"/>
  <c r="AT4" i="55"/>
  <c r="BJ2" i="55"/>
  <c r="BC2" i="56"/>
  <c r="AM4" i="56"/>
  <c r="AL2" i="56"/>
  <c r="AH2" i="56"/>
  <c r="AH4" i="56" s="1"/>
  <c r="V4" i="56"/>
  <c r="AO4" i="55"/>
  <c r="BE2" i="55"/>
  <c r="AQ4" i="55"/>
  <c r="BG2" i="55"/>
  <c r="AP4" i="56"/>
  <c r="BF2" i="56"/>
  <c r="AS4" i="55"/>
  <c r="BI2" i="55"/>
  <c r="AT4" i="56"/>
  <c r="BJ2" i="56"/>
  <c r="BL2" i="56"/>
  <c r="AV4" i="56"/>
  <c r="R8" i="55"/>
  <c r="S8" i="55" s="1"/>
  <c r="Q8" i="53"/>
  <c r="R8" i="53" s="1"/>
  <c r="Q54" i="53"/>
  <c r="R54" i="53" s="1"/>
  <c r="Q34" i="53"/>
  <c r="R34" i="53" s="1"/>
  <c r="J35" i="53"/>
  <c r="L35" i="53"/>
  <c r="M35" i="53"/>
  <c r="N35" i="53"/>
  <c r="P35" i="53"/>
  <c r="P14" i="55"/>
  <c r="N14" i="55"/>
  <c r="Q14" i="55"/>
  <c r="H14" i="55"/>
  <c r="O14" i="55"/>
  <c r="I14" i="55"/>
  <c r="Q22" i="53"/>
  <c r="R22" i="53" s="1"/>
  <c r="Q11" i="53"/>
  <c r="R11" i="53" s="1"/>
  <c r="R7" i="56"/>
  <c r="S7" i="56" s="1"/>
  <c r="F11" i="56"/>
  <c r="AM4" i="55"/>
  <c r="BC2" i="55"/>
  <c r="BG2" i="56"/>
  <c r="AQ4" i="56"/>
  <c r="BF2" i="55"/>
  <c r="AP4" i="55"/>
  <c r="AS4" i="56"/>
  <c r="BI2" i="56"/>
  <c r="AR4" i="55"/>
  <c r="BH2" i="55"/>
  <c r="BK2" i="56"/>
  <c r="AU4" i="56"/>
  <c r="AW2" i="56"/>
  <c r="AG4" i="56"/>
  <c r="BL2" i="55"/>
  <c r="AV4" i="55"/>
  <c r="BD2" i="56"/>
  <c r="AN4" i="56"/>
  <c r="R7" i="55"/>
  <c r="F14" i="55"/>
  <c r="Q65" i="53"/>
  <c r="R65" i="53" s="1"/>
  <c r="AR4" i="56"/>
  <c r="BH2" i="56"/>
  <c r="AU4" i="55"/>
  <c r="BK2" i="55"/>
  <c r="AW4" i="55"/>
  <c r="BM2" i="55"/>
  <c r="Q26" i="53"/>
  <c r="R26" i="53" s="1"/>
  <c r="Q45" i="53"/>
  <c r="R45" i="53" s="1"/>
  <c r="I35" i="53"/>
  <c r="O35" i="53"/>
  <c r="K35" i="53"/>
  <c r="F35" i="53"/>
  <c r="H35" i="53"/>
  <c r="R10" i="56"/>
  <c r="S10" i="56" s="1"/>
  <c r="R10" i="55"/>
  <c r="S10" i="55" s="1"/>
  <c r="K14" i="55"/>
  <c r="G14" i="55"/>
  <c r="J14" i="55"/>
  <c r="L14" i="55"/>
  <c r="M14" i="55"/>
  <c r="Q24" i="53"/>
  <c r="R24" i="53" s="1"/>
  <c r="Q20" i="53"/>
  <c r="R20" i="53" s="1"/>
  <c r="Q23" i="53"/>
  <c r="R23" i="53" s="1"/>
  <c r="Q61" i="53"/>
  <c r="R61" i="53" s="1"/>
  <c r="P27" i="60"/>
  <c r="M27" i="60"/>
  <c r="U27" i="60"/>
  <c r="S27" i="60"/>
  <c r="Q27" i="60"/>
  <c r="V27" i="60"/>
  <c r="T27" i="60"/>
  <c r="N27" i="60"/>
  <c r="L27" i="60"/>
  <c r="K27" i="60"/>
  <c r="R34" i="39"/>
  <c r="S34" i="39" s="1"/>
  <c r="R15" i="39"/>
  <c r="S15" i="39" s="1"/>
  <c r="R20" i="39"/>
  <c r="S20" i="39" s="1"/>
  <c r="R21" i="52"/>
  <c r="S21" i="52" s="1"/>
  <c r="CT3" i="55"/>
  <c r="CX3" i="55"/>
  <c r="CT3" i="56"/>
  <c r="CX3" i="56"/>
  <c r="R17" i="39"/>
  <c r="S17" i="39" s="1"/>
  <c r="R35" i="39"/>
  <c r="S35" i="39" s="1"/>
  <c r="R24" i="39"/>
  <c r="S24" i="39" s="1"/>
  <c r="R13" i="39"/>
  <c r="S13" i="39" s="1"/>
  <c r="Q28" i="60"/>
  <c r="P23" i="52"/>
  <c r="Q23" i="52"/>
  <c r="I23" i="52"/>
  <c r="M37" i="39"/>
  <c r="V28" i="60"/>
  <c r="V31" i="60"/>
  <c r="N18" i="59"/>
  <c r="T28" i="60"/>
  <c r="T31" i="60"/>
  <c r="N23" i="52"/>
  <c r="K23" i="52"/>
  <c r="H23" i="52"/>
  <c r="H18" i="59"/>
  <c r="J18" i="59"/>
  <c r="O40" i="60"/>
  <c r="J23" i="52"/>
  <c r="L40" i="60"/>
  <c r="G23" i="52"/>
  <c r="P24" i="3"/>
  <c r="U33" i="60"/>
  <c r="I24" i="3"/>
  <c r="N33" i="60"/>
  <c r="R10" i="47"/>
  <c r="S10" i="47" s="1"/>
  <c r="F38" i="47"/>
  <c r="R10" i="48"/>
  <c r="S10" i="48" s="1"/>
  <c r="F29" i="40"/>
  <c r="R10" i="40"/>
  <c r="S10" i="40" s="1"/>
  <c r="K41" i="60"/>
  <c r="W41" i="60" s="1"/>
  <c r="X41" i="60" s="1"/>
  <c r="R15" i="52"/>
  <c r="S15" i="52" s="1"/>
  <c r="K39" i="60"/>
  <c r="R14" i="52"/>
  <c r="S14" i="52" s="1"/>
  <c r="R7" i="52"/>
  <c r="F23" i="52"/>
  <c r="K24" i="3"/>
  <c r="P33" i="60"/>
  <c r="H24" i="3"/>
  <c r="M33" i="60"/>
  <c r="Q24" i="3"/>
  <c r="V33" i="60"/>
  <c r="O24" i="3"/>
  <c r="T33" i="60"/>
  <c r="Q33" i="60"/>
  <c r="L24" i="3"/>
  <c r="J24" i="3"/>
  <c r="O33" i="60"/>
  <c r="R10" i="46"/>
  <c r="S10" i="46" s="1"/>
  <c r="F27" i="38"/>
  <c r="R10" i="38"/>
  <c r="S10" i="38" s="1"/>
  <c r="P18" i="59"/>
  <c r="P38" i="47"/>
  <c r="I38" i="47"/>
  <c r="I29" i="40"/>
  <c r="Q27" i="38"/>
  <c r="G38" i="47"/>
  <c r="G29" i="40"/>
  <c r="L18" i="59"/>
  <c r="J29" i="40"/>
  <c r="R16" i="59"/>
  <c r="S16" i="59" s="1"/>
  <c r="R14" i="59"/>
  <c r="S14" i="59" s="1"/>
  <c r="R11" i="59"/>
  <c r="S11" i="59" s="1"/>
  <c r="R12" i="59"/>
  <c r="S12" i="59" s="1"/>
  <c r="R23" i="47"/>
  <c r="S23" i="47" s="1"/>
  <c r="R32" i="47"/>
  <c r="S32" i="47" s="1"/>
  <c r="R29" i="47"/>
  <c r="S29" i="47" s="1"/>
  <c r="R15" i="47"/>
  <c r="S15" i="47" s="1"/>
  <c r="R27" i="47"/>
  <c r="S27" i="47" s="1"/>
  <c r="R17" i="47"/>
  <c r="S17" i="47" s="1"/>
  <c r="R28" i="47"/>
  <c r="S28" i="47" s="1"/>
  <c r="R30" i="47"/>
  <c r="S30" i="47" s="1"/>
  <c r="R13" i="47"/>
  <c r="S13" i="47" s="1"/>
  <c r="R16" i="47"/>
  <c r="S16" i="47" s="1"/>
  <c r="R24" i="47"/>
  <c r="S24" i="47" s="1"/>
  <c r="R35" i="47"/>
  <c r="S35" i="47" s="1"/>
  <c r="R12" i="47"/>
  <c r="S12" i="47" s="1"/>
  <c r="R9" i="3"/>
  <c r="S9" i="3" s="1"/>
  <c r="R23" i="3"/>
  <c r="S23" i="3" s="1"/>
  <c r="R14" i="3"/>
  <c r="S14" i="3" s="1"/>
  <c r="R17" i="3"/>
  <c r="S17" i="3" s="1"/>
  <c r="R20" i="3"/>
  <c r="S20" i="3" s="1"/>
  <c r="R18" i="3"/>
  <c r="S18" i="3" s="1"/>
  <c r="R19" i="3"/>
  <c r="S19" i="3" s="1"/>
  <c r="R21" i="3"/>
  <c r="S21" i="3" s="1"/>
  <c r="R28" i="48"/>
  <c r="S28" i="48" s="1"/>
  <c r="R22" i="48"/>
  <c r="S22" i="48" s="1"/>
  <c r="R16" i="48"/>
  <c r="S16" i="48" s="1"/>
  <c r="R25" i="48"/>
  <c r="S25" i="48" s="1"/>
  <c r="R23" i="48"/>
  <c r="S23" i="48" s="1"/>
  <c r="R18" i="48"/>
  <c r="S18" i="48" s="1"/>
  <c r="R17" i="48"/>
  <c r="S17" i="48" s="1"/>
  <c r="R19" i="40"/>
  <c r="S19" i="40" s="1"/>
  <c r="R22" i="40"/>
  <c r="S22" i="40" s="1"/>
  <c r="R24" i="40"/>
  <c r="S24" i="40" s="1"/>
  <c r="R21" i="40"/>
  <c r="S21" i="40" s="1"/>
  <c r="R25" i="40"/>
  <c r="S25" i="40" s="1"/>
  <c r="R23" i="40"/>
  <c r="S23" i="40" s="1"/>
  <c r="R28" i="40"/>
  <c r="S28" i="40" s="1"/>
  <c r="R26" i="40"/>
  <c r="S26" i="40" s="1"/>
  <c r="R14" i="43"/>
  <c r="S14" i="43" s="1"/>
  <c r="R19" i="43"/>
  <c r="S19" i="43" s="1"/>
  <c r="R13" i="43"/>
  <c r="S13" i="43" s="1"/>
  <c r="R11" i="43"/>
  <c r="S11" i="43" s="1"/>
  <c r="R12" i="43"/>
  <c r="S12" i="43" s="1"/>
  <c r="K28" i="60"/>
  <c r="R16" i="52"/>
  <c r="S16" i="52" s="1"/>
  <c r="R18" i="52"/>
  <c r="S18" i="52" s="1"/>
  <c r="R9" i="52"/>
  <c r="S9" i="52" s="1"/>
  <c r="K27" i="38"/>
  <c r="H38" i="47"/>
  <c r="P29" i="40"/>
  <c r="N31" i="60"/>
  <c r="I27" i="38"/>
  <c r="N38" i="47"/>
  <c r="N29" i="40"/>
  <c r="G18" i="59"/>
  <c r="G27" i="38"/>
  <c r="O38" i="47"/>
  <c r="O29" i="40"/>
  <c r="R31" i="60"/>
  <c r="M27" i="38"/>
  <c r="J27" i="38"/>
  <c r="J38" i="47"/>
  <c r="R15" i="49"/>
  <c r="S15" i="49" s="1"/>
  <c r="R30" i="49"/>
  <c r="S30" i="49" s="1"/>
  <c r="R25" i="49"/>
  <c r="S25" i="49" s="1"/>
  <c r="R16" i="49"/>
  <c r="S16" i="49" s="1"/>
  <c r="R19" i="49"/>
  <c r="S19" i="49" s="1"/>
  <c r="R17" i="49"/>
  <c r="S17" i="49" s="1"/>
  <c r="R11" i="49"/>
  <c r="S11" i="49" s="1"/>
  <c r="R20" i="49"/>
  <c r="S20" i="49" s="1"/>
  <c r="R12" i="49"/>
  <c r="S12" i="49" s="1"/>
  <c r="R14" i="45"/>
  <c r="S14" i="45" s="1"/>
  <c r="R12" i="45"/>
  <c r="S12" i="45" s="1"/>
  <c r="R17" i="45"/>
  <c r="S17" i="45" s="1"/>
  <c r="R15" i="45"/>
  <c r="S15" i="45" s="1"/>
  <c r="R18" i="45"/>
  <c r="S18" i="45" s="1"/>
  <c r="R28" i="45"/>
  <c r="S28" i="45" s="1"/>
  <c r="R22" i="45"/>
  <c r="S22" i="45" s="1"/>
  <c r="R16" i="45"/>
  <c r="S16" i="45" s="1"/>
  <c r="R18" i="50"/>
  <c r="S18" i="50" s="1"/>
  <c r="R16" i="50"/>
  <c r="S16" i="50" s="1"/>
  <c r="R14" i="50"/>
  <c r="S14" i="50" s="1"/>
  <c r="R30" i="50"/>
  <c r="S30" i="50" s="1"/>
  <c r="R28" i="50"/>
  <c r="S28" i="50" s="1"/>
  <c r="R19" i="50"/>
  <c r="S19" i="50" s="1"/>
  <c r="R17" i="50"/>
  <c r="S17" i="50" s="1"/>
  <c r="R29" i="50"/>
  <c r="S29" i="50" s="1"/>
  <c r="R23" i="50"/>
  <c r="S23" i="50" s="1"/>
  <c r="R22" i="46"/>
  <c r="S22" i="46" s="1"/>
  <c r="R24" i="46"/>
  <c r="S24" i="46" s="1"/>
  <c r="R11" i="46"/>
  <c r="S11" i="46" s="1"/>
  <c r="R55" i="46"/>
  <c r="S55" i="46" s="1"/>
  <c r="R43" i="46"/>
  <c r="S43" i="46" s="1"/>
  <c r="R16" i="46"/>
  <c r="S16" i="46" s="1"/>
  <c r="R45" i="46"/>
  <c r="S45" i="46" s="1"/>
  <c r="R54" i="46"/>
  <c r="S54" i="46" s="1"/>
  <c r="R27" i="46"/>
  <c r="S27" i="46" s="1"/>
  <c r="R57" i="46"/>
  <c r="S57" i="46" s="1"/>
  <c r="R28" i="46"/>
  <c r="S28" i="46" s="1"/>
  <c r="R41" i="46"/>
  <c r="S41" i="46" s="1"/>
  <c r="R14" i="46"/>
  <c r="S14" i="46" s="1"/>
  <c r="R62" i="46"/>
  <c r="S62" i="46" s="1"/>
  <c r="R36" i="46"/>
  <c r="S36" i="46" s="1"/>
  <c r="R63" i="46"/>
  <c r="S63" i="46" s="1"/>
  <c r="R37" i="46"/>
  <c r="S37" i="46" s="1"/>
  <c r="R60" i="46"/>
  <c r="S60" i="46" s="1"/>
  <c r="R34" i="46"/>
  <c r="S34" i="46" s="1"/>
  <c r="R61" i="46"/>
  <c r="S61" i="46" s="1"/>
  <c r="R35" i="46"/>
  <c r="S35" i="46" s="1"/>
  <c r="R23" i="46"/>
  <c r="S23" i="46" s="1"/>
  <c r="R19" i="38"/>
  <c r="S19" i="38" s="1"/>
  <c r="R16" i="38"/>
  <c r="S16" i="38" s="1"/>
  <c r="R15" i="38"/>
  <c r="S15" i="38" s="1"/>
  <c r="R14" i="38"/>
  <c r="S14" i="38" s="1"/>
  <c r="R13" i="38"/>
  <c r="S13" i="38" s="1"/>
  <c r="R26" i="38"/>
  <c r="S26" i="38" s="1"/>
  <c r="R25" i="38"/>
  <c r="S25" i="38" s="1"/>
  <c r="Q40" i="60"/>
  <c r="Q43" i="60" s="1"/>
  <c r="L23" i="52"/>
  <c r="T40" i="60"/>
  <c r="T43" i="60" s="1"/>
  <c r="O23" i="52"/>
  <c r="G24" i="3"/>
  <c r="L33" i="60"/>
  <c r="R10" i="59"/>
  <c r="S10" i="59" s="1"/>
  <c r="F18" i="59"/>
  <c r="F24" i="3"/>
  <c r="R8" i="3"/>
  <c r="S8" i="3" s="1"/>
  <c r="K33" i="60"/>
  <c r="R10" i="43"/>
  <c r="S10" i="43" s="1"/>
  <c r="R40" i="60"/>
  <c r="R43" i="60" s="1"/>
  <c r="M23" i="52"/>
  <c r="F37" i="39"/>
  <c r="R10" i="39"/>
  <c r="S10" i="39" s="1"/>
  <c r="S33" i="60"/>
  <c r="N24" i="3"/>
  <c r="M24" i="3"/>
  <c r="R33" i="60"/>
  <c r="R10" i="49"/>
  <c r="S10" i="49" s="1"/>
  <c r="R32" i="46"/>
  <c r="S32" i="46" s="1"/>
  <c r="K31" i="60"/>
  <c r="R42" i="46"/>
  <c r="S42" i="46" s="1"/>
  <c r="R25" i="46"/>
  <c r="S25" i="46" s="1"/>
  <c r="K29" i="40"/>
  <c r="H29" i="40"/>
  <c r="U31" i="60"/>
  <c r="P27" i="38"/>
  <c r="Q18" i="59"/>
  <c r="S31" i="60"/>
  <c r="N27" i="38"/>
  <c r="O18" i="59"/>
  <c r="O27" i="38"/>
  <c r="Q31" i="60"/>
  <c r="L27" i="38"/>
  <c r="M29" i="40"/>
  <c r="R17" i="59"/>
  <c r="S17" i="59" s="1"/>
  <c r="R15" i="59"/>
  <c r="S15" i="59" s="1"/>
  <c r="R13" i="59"/>
  <c r="S13" i="59" s="1"/>
  <c r="R34" i="47"/>
  <c r="S34" i="47" s="1"/>
  <c r="R14" i="47"/>
  <c r="S14" i="47" s="1"/>
  <c r="R36" i="47"/>
  <c r="S36" i="47" s="1"/>
  <c r="R20" i="47"/>
  <c r="S20" i="47" s="1"/>
  <c r="R33" i="47"/>
  <c r="S33" i="47" s="1"/>
  <c r="R18" i="47"/>
  <c r="S18" i="47" s="1"/>
  <c r="R26" i="47"/>
  <c r="S26" i="47" s="1"/>
  <c r="R19" i="47"/>
  <c r="S19" i="47" s="1"/>
  <c r="R37" i="47"/>
  <c r="S37" i="47" s="1"/>
  <c r="R22" i="47"/>
  <c r="S22" i="47" s="1"/>
  <c r="R21" i="47"/>
  <c r="S21" i="47" s="1"/>
  <c r="R31" i="47"/>
  <c r="S31" i="47" s="1"/>
  <c r="R11" i="47"/>
  <c r="S11" i="47" s="1"/>
  <c r="R25" i="47"/>
  <c r="S25" i="47" s="1"/>
  <c r="R16" i="3"/>
  <c r="S16" i="3" s="1"/>
  <c r="R22" i="3"/>
  <c r="S22" i="3" s="1"/>
  <c r="R15" i="3"/>
  <c r="S15" i="3" s="1"/>
  <c r="R12" i="3"/>
  <c r="S12" i="3" s="1"/>
  <c r="R10" i="3"/>
  <c r="S10" i="3" s="1"/>
  <c r="R11" i="3"/>
  <c r="S11" i="3" s="1"/>
  <c r="R13" i="3"/>
  <c r="S13" i="3" s="1"/>
  <c r="R27" i="48"/>
  <c r="S27" i="48" s="1"/>
  <c r="R20" i="48"/>
  <c r="S20" i="48" s="1"/>
  <c r="R21" i="48"/>
  <c r="S21" i="48" s="1"/>
  <c r="R15" i="48"/>
  <c r="S15" i="48" s="1"/>
  <c r="R19" i="48"/>
  <c r="S19" i="48" s="1"/>
  <c r="R14" i="48"/>
  <c r="S14" i="48" s="1"/>
  <c r="R12" i="48"/>
  <c r="S12" i="48" s="1"/>
  <c r="R11" i="48"/>
  <c r="S11" i="48" s="1"/>
  <c r="R26" i="48"/>
  <c r="S26" i="48" s="1"/>
  <c r="R24" i="48"/>
  <c r="S24" i="48" s="1"/>
  <c r="R11" i="40"/>
  <c r="S11" i="40" s="1"/>
  <c r="R17" i="40"/>
  <c r="S17" i="40" s="1"/>
  <c r="R14" i="40"/>
  <c r="S14" i="40" s="1"/>
  <c r="R12" i="40"/>
  <c r="S12" i="40" s="1"/>
  <c r="R15" i="40"/>
  <c r="S15" i="40" s="1"/>
  <c r="R13" i="40"/>
  <c r="S13" i="40" s="1"/>
  <c r="R27" i="40"/>
  <c r="S27" i="40" s="1"/>
  <c r="R18" i="40"/>
  <c r="S18" i="40" s="1"/>
  <c r="R16" i="40"/>
  <c r="S16" i="40" s="1"/>
  <c r="R18" i="43"/>
  <c r="S18" i="43" s="1"/>
  <c r="R17" i="43"/>
  <c r="S17" i="43" s="1"/>
  <c r="R22" i="52"/>
  <c r="S22" i="52" s="1"/>
  <c r="R11" i="52"/>
  <c r="S11" i="52" s="1"/>
  <c r="R12" i="52"/>
  <c r="S12" i="52" s="1"/>
  <c r="R13" i="52"/>
  <c r="S13" i="52" s="1"/>
  <c r="K18" i="59"/>
  <c r="P31" i="60"/>
  <c r="K38" i="47"/>
  <c r="M31" i="60"/>
  <c r="H27" i="38"/>
  <c r="I18" i="59"/>
  <c r="Q38" i="47"/>
  <c r="Q29" i="40"/>
  <c r="L31" i="60"/>
  <c r="L38" i="47"/>
  <c r="L29" i="40"/>
  <c r="M18" i="59"/>
  <c r="M38" i="47"/>
  <c r="O31" i="60"/>
  <c r="R28" i="49"/>
  <c r="S28" i="49" s="1"/>
  <c r="R22" i="49"/>
  <c r="S22" i="49" s="1"/>
  <c r="R24" i="49"/>
  <c r="S24" i="49" s="1"/>
  <c r="R14" i="49"/>
  <c r="S14" i="49" s="1"/>
  <c r="R18" i="49"/>
  <c r="S18" i="49" s="1"/>
  <c r="R27" i="49"/>
  <c r="S27" i="49" s="1"/>
  <c r="R26" i="49"/>
  <c r="S26" i="49" s="1"/>
  <c r="R21" i="49"/>
  <c r="S21" i="49" s="1"/>
  <c r="R31" i="49"/>
  <c r="S31" i="49" s="1"/>
  <c r="R23" i="49"/>
  <c r="S23" i="49" s="1"/>
  <c r="R27" i="45"/>
  <c r="S27" i="45" s="1"/>
  <c r="R23" i="45"/>
  <c r="S23" i="45" s="1"/>
  <c r="R21" i="45"/>
  <c r="S21" i="45" s="1"/>
  <c r="R26" i="45"/>
  <c r="S26" i="45" s="1"/>
  <c r="R24" i="45"/>
  <c r="S24" i="45" s="1"/>
  <c r="R20" i="45"/>
  <c r="S20" i="45" s="1"/>
  <c r="R19" i="45"/>
  <c r="S19" i="45" s="1"/>
  <c r="R25" i="45"/>
  <c r="S25" i="45" s="1"/>
  <c r="R26" i="50"/>
  <c r="S26" i="50" s="1"/>
  <c r="R24" i="50"/>
  <c r="S24" i="50" s="1"/>
  <c r="R22" i="50"/>
  <c r="S22" i="50" s="1"/>
  <c r="R20" i="50"/>
  <c r="S20" i="50" s="1"/>
  <c r="R27" i="50"/>
  <c r="S27" i="50" s="1"/>
  <c r="R25" i="50"/>
  <c r="S25" i="50" s="1"/>
  <c r="R15" i="50"/>
  <c r="S15" i="50" s="1"/>
  <c r="R12" i="50"/>
  <c r="S12" i="50" s="1"/>
  <c r="R21" i="50"/>
  <c r="S21" i="50" s="1"/>
  <c r="R56" i="46"/>
  <c r="S56" i="46" s="1"/>
  <c r="R51" i="46"/>
  <c r="S51" i="46" s="1"/>
  <c r="R53" i="46"/>
  <c r="S53" i="46" s="1"/>
  <c r="R30" i="46"/>
  <c r="S30" i="46" s="1"/>
  <c r="R29" i="46"/>
  <c r="S29" i="46" s="1"/>
  <c r="R58" i="46"/>
  <c r="S58" i="46" s="1"/>
  <c r="R59" i="46"/>
  <c r="S59" i="46" s="1"/>
  <c r="R33" i="46"/>
  <c r="S33" i="46" s="1"/>
  <c r="R38" i="46"/>
  <c r="S38" i="46" s="1"/>
  <c r="R21" i="46"/>
  <c r="S21" i="46" s="1"/>
  <c r="R12" i="46"/>
  <c r="S12" i="46" s="1"/>
  <c r="R64" i="46"/>
  <c r="S64" i="46" s="1"/>
  <c r="R50" i="46"/>
  <c r="S50" i="46" s="1"/>
  <c r="R48" i="46"/>
  <c r="S48" i="46" s="1"/>
  <c r="R49" i="46"/>
  <c r="S49" i="46" s="1"/>
  <c r="R26" i="46"/>
  <c r="S26" i="46" s="1"/>
  <c r="R46" i="46"/>
  <c r="S46" i="46" s="1"/>
  <c r="R18" i="46"/>
  <c r="S18" i="46" s="1"/>
  <c r="R47" i="46"/>
  <c r="S47" i="46" s="1"/>
  <c r="R17" i="46"/>
  <c r="S17" i="46" s="1"/>
  <c r="R52" i="46"/>
  <c r="S52" i="46" s="1"/>
  <c r="R44" i="46"/>
  <c r="S44" i="46" s="1"/>
  <c r="R12" i="38"/>
  <c r="S12" i="38" s="1"/>
  <c r="R11" i="38"/>
  <c r="S11" i="38" s="1"/>
  <c r="R23" i="38"/>
  <c r="S23" i="38" s="1"/>
  <c r="R24" i="38"/>
  <c r="S24" i="38" s="1"/>
  <c r="R21" i="38"/>
  <c r="S21" i="38" s="1"/>
  <c r="R22" i="38"/>
  <c r="S22" i="38" s="1"/>
  <c r="R20" i="38"/>
  <c r="S20" i="38" s="1"/>
  <c r="R18" i="38"/>
  <c r="S18" i="38" s="1"/>
  <c r="R17" i="38"/>
  <c r="S17" i="38" s="1"/>
  <c r="R22" i="23"/>
  <c r="S22" i="23" s="1"/>
  <c r="R28" i="23"/>
  <c r="S28" i="23" s="1"/>
  <c r="R24" i="23"/>
  <c r="S24" i="23" s="1"/>
  <c r="R14" i="23"/>
  <c r="S14" i="23" s="1"/>
  <c r="R38" i="23"/>
  <c r="S38" i="23" s="1"/>
  <c r="R10" i="23"/>
  <c r="S10" i="23" s="1"/>
  <c r="R18" i="23"/>
  <c r="S18" i="23" s="1"/>
  <c r="R27" i="23"/>
  <c r="S27" i="23" s="1"/>
  <c r="R25" i="23"/>
  <c r="S25" i="23" s="1"/>
  <c r="R20" i="23"/>
  <c r="S20" i="23" s="1"/>
  <c r="R26" i="23"/>
  <c r="S26" i="23" s="1"/>
  <c r="R18" i="22"/>
  <c r="S18" i="22" s="1"/>
  <c r="R22" i="22"/>
  <c r="S22" i="22" s="1"/>
  <c r="R27" i="22"/>
  <c r="S27" i="22" s="1"/>
  <c r="R14" i="22"/>
  <c r="S14" i="22" s="1"/>
  <c r="R25" i="22"/>
  <c r="S25" i="22" s="1"/>
  <c r="R11" i="22"/>
  <c r="S11" i="22" s="1"/>
  <c r="R16" i="22"/>
  <c r="S16" i="22" s="1"/>
  <c r="R10" i="22"/>
  <c r="S10" i="22" s="1"/>
  <c r="R23" i="22"/>
  <c r="S23" i="22" s="1"/>
  <c r="R20" i="22"/>
  <c r="S20" i="22" s="1"/>
  <c r="R19" i="22"/>
  <c r="S19" i="22" s="1"/>
  <c r="R17" i="22"/>
  <c r="S17" i="22" s="1"/>
  <c r="R13" i="22"/>
  <c r="S13" i="22" s="1"/>
  <c r="R11" i="21"/>
  <c r="S11" i="21" s="1"/>
  <c r="S18" i="20"/>
  <c r="R34" i="20"/>
  <c r="S34" i="20" s="1"/>
  <c r="R21" i="20"/>
  <c r="S21" i="20" s="1"/>
  <c r="R33" i="20"/>
  <c r="S33" i="20" s="1"/>
  <c r="R31" i="18"/>
  <c r="S31" i="18" s="1"/>
  <c r="R33" i="18"/>
  <c r="S33" i="18" s="1"/>
  <c r="R34" i="18"/>
  <c r="S34" i="18" s="1"/>
  <c r="R21" i="18"/>
  <c r="S21" i="18" s="1"/>
  <c r="Q36" i="18"/>
  <c r="O36" i="18"/>
  <c r="M36" i="18"/>
  <c r="K36" i="18"/>
  <c r="I36" i="18"/>
  <c r="G36" i="18"/>
  <c r="P36" i="18"/>
  <c r="N36" i="18"/>
  <c r="L36" i="18"/>
  <c r="J36" i="18"/>
  <c r="H36" i="18"/>
  <c r="R18" i="18"/>
  <c r="S18" i="18" s="1"/>
  <c r="R32" i="18"/>
  <c r="S32" i="18" s="1"/>
  <c r="R29" i="18"/>
  <c r="S29" i="18" s="1"/>
  <c r="P17" i="17"/>
  <c r="N17" i="17"/>
  <c r="L17" i="17"/>
  <c r="J17" i="17"/>
  <c r="H17" i="17"/>
  <c r="F17" i="17"/>
  <c r="Q17" i="17"/>
  <c r="O17" i="17"/>
  <c r="M17" i="17"/>
  <c r="K17" i="17"/>
  <c r="I17" i="17"/>
  <c r="G17" i="17"/>
  <c r="R29" i="17"/>
  <c r="S29" i="17" s="1"/>
  <c r="Q25" i="17"/>
  <c r="O25" i="17"/>
  <c r="M25" i="17"/>
  <c r="K25" i="17"/>
  <c r="I25" i="17"/>
  <c r="G25" i="17"/>
  <c r="P25" i="17"/>
  <c r="N25" i="17"/>
  <c r="L25" i="17"/>
  <c r="J25" i="17"/>
  <c r="H25" i="17"/>
  <c r="F25" i="17"/>
  <c r="R43" i="17"/>
  <c r="S43" i="17" s="1"/>
  <c r="R45" i="17"/>
  <c r="S45" i="17" s="1"/>
  <c r="R53" i="17"/>
  <c r="S53" i="17" s="1"/>
  <c r="R50" i="17"/>
  <c r="S50" i="17" s="1"/>
  <c r="R60" i="17"/>
  <c r="S60" i="17" s="1"/>
  <c r="R61" i="17"/>
  <c r="S61" i="17" s="1"/>
  <c r="R41" i="17"/>
  <c r="S41" i="17" s="1"/>
  <c r="R52" i="17"/>
  <c r="S52" i="17" s="1"/>
  <c r="R62" i="17"/>
  <c r="S62" i="17" s="1"/>
  <c r="R48" i="17"/>
  <c r="S48" i="17" s="1"/>
  <c r="R33" i="17"/>
  <c r="S33" i="17" s="1"/>
  <c r="R51" i="17"/>
  <c r="S51" i="17" s="1"/>
  <c r="R58" i="17"/>
  <c r="S58" i="17" s="1"/>
  <c r="R49" i="17"/>
  <c r="S49" i="17" s="1"/>
  <c r="R31" i="16"/>
  <c r="S31" i="16" s="1"/>
  <c r="Q15" i="16"/>
  <c r="O15" i="16"/>
  <c r="M15" i="16"/>
  <c r="K15" i="16"/>
  <c r="I15" i="16"/>
  <c r="G15" i="16"/>
  <c r="P15" i="16"/>
  <c r="N15" i="16"/>
  <c r="L15" i="16"/>
  <c r="J15" i="16"/>
  <c r="H15" i="16"/>
  <c r="F15" i="16"/>
  <c r="Q23" i="16"/>
  <c r="O23" i="16"/>
  <c r="M23" i="16"/>
  <c r="K23" i="16"/>
  <c r="I23" i="16"/>
  <c r="G23" i="16"/>
  <c r="P23" i="16"/>
  <c r="N23" i="16"/>
  <c r="L23" i="16"/>
  <c r="J23" i="16"/>
  <c r="H23" i="16"/>
  <c r="F23" i="16"/>
  <c r="R26" i="16"/>
  <c r="S26" i="16" s="1"/>
  <c r="P15" i="60" l="1"/>
  <c r="O43" i="60"/>
  <c r="D32" i="16"/>
  <c r="C38" i="16"/>
  <c r="S38" i="16" s="1"/>
  <c r="S19" i="55"/>
  <c r="R23" i="55"/>
  <c r="S23" i="55" s="1"/>
  <c r="S7" i="55"/>
  <c r="L43" i="60"/>
  <c r="L15" i="60" s="1"/>
  <c r="W42" i="60"/>
  <c r="X42" i="60" s="1"/>
  <c r="S43" i="60"/>
  <c r="S15" i="60" s="1"/>
  <c r="V15" i="60"/>
  <c r="U15" i="60"/>
  <c r="N15" i="60"/>
  <c r="M15" i="60"/>
  <c r="R15" i="60"/>
  <c r="T15" i="60"/>
  <c r="Q15" i="60"/>
  <c r="O15" i="60"/>
  <c r="S20" i="46"/>
  <c r="S19" i="46"/>
  <c r="S21" i="55"/>
  <c r="R37" i="39"/>
  <c r="S37" i="39" s="1"/>
  <c r="R21" i="53"/>
  <c r="Q74" i="53"/>
  <c r="R74" i="53" s="1"/>
  <c r="CC2" i="55"/>
  <c r="BM4" i="55"/>
  <c r="CA2" i="55"/>
  <c r="BK4" i="55"/>
  <c r="BH4" i="56"/>
  <c r="BX2" i="56"/>
  <c r="W10" i="60"/>
  <c r="X10" i="60" s="1"/>
  <c r="R14" i="55"/>
  <c r="S14" i="55" s="1"/>
  <c r="BX2" i="55"/>
  <c r="BH4" i="55"/>
  <c r="BY2" i="56"/>
  <c r="BI4" i="56"/>
  <c r="BS2" i="55"/>
  <c r="BC4" i="55"/>
  <c r="R11" i="56"/>
  <c r="S11" i="56" s="1"/>
  <c r="K9" i="60"/>
  <c r="W9" i="60" s="1"/>
  <c r="X9" i="60" s="1"/>
  <c r="CB2" i="56"/>
  <c r="BL4" i="56"/>
  <c r="BZ2" i="55"/>
  <c r="BJ4" i="55"/>
  <c r="BB2" i="55"/>
  <c r="AX2" i="55"/>
  <c r="AX4" i="55" s="1"/>
  <c r="AL4" i="55"/>
  <c r="BT2" i="56"/>
  <c r="BD4" i="56"/>
  <c r="BL4" i="55"/>
  <c r="CB2" i="55"/>
  <c r="AW4" i="56"/>
  <c r="BM2" i="56"/>
  <c r="BK4" i="56"/>
  <c r="CA2" i="56"/>
  <c r="BF4" i="55"/>
  <c r="BV2" i="55"/>
  <c r="BG4" i="56"/>
  <c r="BW2" i="56"/>
  <c r="BZ2" i="56"/>
  <c r="BJ4" i="56"/>
  <c r="BY2" i="55"/>
  <c r="BI4" i="55"/>
  <c r="BV2" i="56"/>
  <c r="BF4" i="56"/>
  <c r="BW2" i="55"/>
  <c r="BG4" i="55"/>
  <c r="BU2" i="55"/>
  <c r="BE4" i="55"/>
  <c r="AX2" i="56"/>
  <c r="AX4" i="56" s="1"/>
  <c r="AL4" i="56"/>
  <c r="BB2" i="56"/>
  <c r="BC4" i="56"/>
  <c r="BS2" i="56"/>
  <c r="BD4" i="55"/>
  <c r="BT2" i="55"/>
  <c r="BE4" i="56"/>
  <c r="BU2" i="56"/>
  <c r="Q35" i="53"/>
  <c r="R35" i="53" s="1"/>
  <c r="W28" i="60"/>
  <c r="X28" i="60" s="1"/>
  <c r="DJ3" i="56"/>
  <c r="DM3" i="56"/>
  <c r="DY3" i="56" s="1"/>
  <c r="DJ3" i="55"/>
  <c r="DM3" i="55"/>
  <c r="DY3" i="55" s="1"/>
  <c r="W39" i="60"/>
  <c r="X39" i="60" s="1"/>
  <c r="K43" i="60"/>
  <c r="W33" i="60"/>
  <c r="X33" i="60" s="1"/>
  <c r="R24" i="3"/>
  <c r="S24" i="3" s="1"/>
  <c r="W40" i="60"/>
  <c r="X40" i="60" s="1"/>
  <c r="R29" i="40"/>
  <c r="S29" i="40" s="1"/>
  <c r="S7" i="52"/>
  <c r="R23" i="52"/>
  <c r="S23" i="52" s="1"/>
  <c r="W31" i="60"/>
  <c r="X31" i="60" s="1"/>
  <c r="W27" i="60"/>
  <c r="X27" i="60" s="1"/>
  <c r="R18" i="59"/>
  <c r="S18" i="59" s="1"/>
  <c r="R27" i="38"/>
  <c r="S27" i="38" s="1"/>
  <c r="R38" i="47"/>
  <c r="S38" i="47" s="1"/>
  <c r="R17" i="17"/>
  <c r="S17" i="17" s="1"/>
  <c r="R23" i="16"/>
  <c r="S23" i="16" s="1"/>
  <c r="R21" i="22"/>
  <c r="S21" i="22" s="1"/>
  <c r="R30" i="22"/>
  <c r="S30" i="22" s="1"/>
  <c r="H32" i="16"/>
  <c r="L32" i="16"/>
  <c r="P32" i="16"/>
  <c r="I32" i="16"/>
  <c r="M32" i="16"/>
  <c r="Q32" i="16"/>
  <c r="F32" i="16"/>
  <c r="J32" i="16"/>
  <c r="N32" i="16"/>
  <c r="G32" i="16"/>
  <c r="K32" i="16"/>
  <c r="O32" i="16"/>
  <c r="G34" i="17"/>
  <c r="K34" i="17"/>
  <c r="O34" i="17"/>
  <c r="F34" i="17"/>
  <c r="J34" i="17"/>
  <c r="N34" i="17"/>
  <c r="I34" i="17"/>
  <c r="M34" i="17"/>
  <c r="Q34" i="17"/>
  <c r="H34" i="17"/>
  <c r="L34" i="17"/>
  <c r="P34" i="17"/>
  <c r="R13" i="18"/>
  <c r="S13" i="18" s="1"/>
  <c r="R17" i="18"/>
  <c r="S17" i="18" s="1"/>
  <c r="F36" i="18"/>
  <c r="R36" i="18" s="1"/>
  <c r="S36" i="18" s="1"/>
  <c r="R16" i="18"/>
  <c r="S16" i="18" s="1"/>
  <c r="R22" i="18"/>
  <c r="S22" i="18" s="1"/>
  <c r="R11" i="18"/>
  <c r="S11" i="18" s="1"/>
  <c r="R12" i="18"/>
  <c r="S12" i="18" s="1"/>
  <c r="R23" i="18"/>
  <c r="S23" i="18" s="1"/>
  <c r="R14" i="18"/>
  <c r="S14" i="18" s="1"/>
  <c r="R18" i="17"/>
  <c r="S18" i="17" s="1"/>
  <c r="R13" i="17"/>
  <c r="S13" i="17" s="1"/>
  <c r="R28" i="17"/>
  <c r="S28" i="17" s="1"/>
  <c r="R24" i="17"/>
  <c r="S24" i="17" s="1"/>
  <c r="R27" i="17"/>
  <c r="S27" i="17" s="1"/>
  <c r="R23" i="17"/>
  <c r="S23" i="17" s="1"/>
  <c r="R19" i="17"/>
  <c r="S19" i="17" s="1"/>
  <c r="R11" i="17"/>
  <c r="S11" i="17" s="1"/>
  <c r="R15" i="17"/>
  <c r="S15" i="17" s="1"/>
  <c r="R20" i="17"/>
  <c r="S20" i="17" s="1"/>
  <c r="R10" i="17"/>
  <c r="S10" i="17" s="1"/>
  <c r="R12" i="17"/>
  <c r="S12" i="17" s="1"/>
  <c r="R16" i="17"/>
  <c r="S16" i="17" s="1"/>
  <c r="R26" i="17"/>
  <c r="S26" i="17" s="1"/>
  <c r="R14" i="17"/>
  <c r="S14" i="17" s="1"/>
  <c r="R25" i="17"/>
  <c r="S25" i="17" s="1"/>
  <c r="R25" i="16"/>
  <c r="S25" i="16" s="1"/>
  <c r="R19" i="16"/>
  <c r="S19" i="16" s="1"/>
  <c r="R16" i="16"/>
  <c r="R8" i="16"/>
  <c r="R21" i="16"/>
  <c r="S21" i="16" s="1"/>
  <c r="R24" i="16"/>
  <c r="S24" i="16" s="1"/>
  <c r="R22" i="16"/>
  <c r="S22" i="16" s="1"/>
  <c r="R20" i="16"/>
  <c r="S20" i="16" s="1"/>
  <c r="R17" i="16"/>
  <c r="S17" i="16" s="1"/>
  <c r="R15" i="16"/>
  <c r="S15" i="16" s="1"/>
  <c r="R13" i="16"/>
  <c r="S13" i="16" s="1"/>
  <c r="R11" i="16"/>
  <c r="S11" i="16" s="1"/>
  <c r="R9" i="16"/>
  <c r="S9" i="16" s="1"/>
  <c r="R14" i="16"/>
  <c r="S14" i="16" s="1"/>
  <c r="R12" i="16"/>
  <c r="S12" i="16" s="1"/>
  <c r="R10" i="16"/>
  <c r="S10" i="16" s="1"/>
  <c r="W43" i="60" l="1"/>
  <c r="X43" i="60" s="1"/>
  <c r="K15" i="60"/>
  <c r="W15" i="60" s="1"/>
  <c r="X15" i="60" s="1"/>
  <c r="BU4" i="56"/>
  <c r="CK2" i="56"/>
  <c r="CJ2" i="55"/>
  <c r="BT4" i="55"/>
  <c r="BS4" i="56"/>
  <c r="CI2" i="56"/>
  <c r="BR2" i="56"/>
  <c r="BB4" i="56"/>
  <c r="BU4" i="55"/>
  <c r="CK2" i="55"/>
  <c r="BW4" i="55"/>
  <c r="CM2" i="55"/>
  <c r="BV4" i="56"/>
  <c r="CL2" i="56"/>
  <c r="BY4" i="55"/>
  <c r="CO2" i="55"/>
  <c r="CP2" i="56"/>
  <c r="BZ4" i="56"/>
  <c r="CJ2" i="56"/>
  <c r="BT4" i="56"/>
  <c r="BB4" i="55"/>
  <c r="BR2" i="55"/>
  <c r="BN2" i="55"/>
  <c r="BN4" i="55" s="1"/>
  <c r="BZ4" i="55"/>
  <c r="CP2" i="55"/>
  <c r="CR2" i="56"/>
  <c r="CB4" i="56"/>
  <c r="BS4" i="55"/>
  <c r="CI2" i="55"/>
  <c r="BY4" i="56"/>
  <c r="CO2" i="56"/>
  <c r="CN2" i="55"/>
  <c r="BX4" i="55"/>
  <c r="CA4" i="55"/>
  <c r="CQ2" i="55"/>
  <c r="CC4" i="55"/>
  <c r="CS2" i="55"/>
  <c r="BW4" i="56"/>
  <c r="CM2" i="56"/>
  <c r="CL2" i="55"/>
  <c r="BV4" i="55"/>
  <c r="CA4" i="56"/>
  <c r="CQ2" i="56"/>
  <c r="BN2" i="56"/>
  <c r="BN4" i="56" s="1"/>
  <c r="BM4" i="56"/>
  <c r="CC2" i="56"/>
  <c r="CR2" i="55"/>
  <c r="CB4" i="55"/>
  <c r="BX4" i="56"/>
  <c r="CN2" i="56"/>
  <c r="R34" i="22"/>
  <c r="S34" i="22" s="1"/>
  <c r="R35" i="21"/>
  <c r="S35" i="21" s="1"/>
  <c r="R19" i="18"/>
  <c r="S19" i="18" s="1"/>
  <c r="R34" i="17"/>
  <c r="S34" i="17" s="1"/>
  <c r="R21" i="17"/>
  <c r="S21" i="17" s="1"/>
  <c r="R30" i="17"/>
  <c r="S30" i="17" s="1"/>
  <c r="S16" i="16"/>
  <c r="S8" i="16"/>
  <c r="R32" i="16"/>
  <c r="S32" i="16" s="1"/>
  <c r="R18" i="16"/>
  <c r="S18" i="16" s="1"/>
  <c r="CR4" i="55" l="1"/>
  <c r="DH2" i="55"/>
  <c r="DH4" i="55" s="1"/>
  <c r="DW2" i="55"/>
  <c r="DW4" i="55" s="1"/>
  <c r="DV2" i="56"/>
  <c r="DV4" i="56" s="1"/>
  <c r="CQ4" i="56"/>
  <c r="DG2" i="56"/>
  <c r="DG4" i="56" s="1"/>
  <c r="DR2" i="56"/>
  <c r="DR4" i="56" s="1"/>
  <c r="CM4" i="56"/>
  <c r="DC2" i="56"/>
  <c r="DC4" i="56" s="1"/>
  <c r="DX2" i="55"/>
  <c r="DX4" i="55" s="1"/>
  <c r="CS4" i="55"/>
  <c r="DI2" i="55"/>
  <c r="DI4" i="55" s="1"/>
  <c r="DV2" i="55"/>
  <c r="DV4" i="55" s="1"/>
  <c r="CQ4" i="55"/>
  <c r="DG2" i="55"/>
  <c r="DG4" i="55" s="1"/>
  <c r="DT2" i="56"/>
  <c r="DT4" i="56" s="1"/>
  <c r="CO4" i="56"/>
  <c r="DE2" i="56"/>
  <c r="DE4" i="56" s="1"/>
  <c r="DN2" i="55"/>
  <c r="DN4" i="55" s="1"/>
  <c r="CI4" i="55"/>
  <c r="CY2" i="55"/>
  <c r="CY4" i="55" s="1"/>
  <c r="CP4" i="55"/>
  <c r="DF2" i="55"/>
  <c r="DF4" i="55" s="1"/>
  <c r="DU2" i="55"/>
  <c r="DU4" i="55" s="1"/>
  <c r="DO2" i="56"/>
  <c r="DO4" i="56" s="1"/>
  <c r="CZ2" i="56"/>
  <c r="CZ4" i="56" s="1"/>
  <c r="CJ4" i="56"/>
  <c r="DF2" i="56"/>
  <c r="DF4" i="56" s="1"/>
  <c r="CP4" i="56"/>
  <c r="DU2" i="56"/>
  <c r="DU4" i="56" s="1"/>
  <c r="BR4" i="56"/>
  <c r="CD2" i="56"/>
  <c r="CD4" i="56" s="1"/>
  <c r="CH2" i="56"/>
  <c r="CZ2" i="55"/>
  <c r="CZ4" i="55" s="1"/>
  <c r="DO2" i="55"/>
  <c r="DO4" i="55" s="1"/>
  <c r="CJ4" i="55"/>
  <c r="DS2" i="56"/>
  <c r="DS4" i="56" s="1"/>
  <c r="DD2" i="56"/>
  <c r="DD4" i="56" s="1"/>
  <c r="CN4" i="56"/>
  <c r="CS2" i="56"/>
  <c r="CC4" i="56"/>
  <c r="DQ2" i="55"/>
  <c r="DQ4" i="55" s="1"/>
  <c r="CL4" i="55"/>
  <c r="DB2" i="55"/>
  <c r="DB4" i="55" s="1"/>
  <c r="DD2" i="55"/>
  <c r="DD4" i="55" s="1"/>
  <c r="DS2" i="55"/>
  <c r="DS4" i="55" s="1"/>
  <c r="CN4" i="55"/>
  <c r="DH2" i="56"/>
  <c r="DH4" i="56" s="1"/>
  <c r="CR4" i="56"/>
  <c r="DW2" i="56"/>
  <c r="DW4" i="56" s="1"/>
  <c r="BR4" i="55"/>
  <c r="CH2" i="55"/>
  <c r="CD2" i="55"/>
  <c r="CD4" i="55" s="1"/>
  <c r="DT2" i="55"/>
  <c r="DT4" i="55" s="1"/>
  <c r="CO4" i="55"/>
  <c r="DE2" i="55"/>
  <c r="DE4" i="55" s="1"/>
  <c r="DQ2" i="56"/>
  <c r="DQ4" i="56" s="1"/>
  <c r="DB2" i="56"/>
  <c r="DB4" i="56" s="1"/>
  <c r="CL4" i="56"/>
  <c r="DC2" i="55"/>
  <c r="DC4" i="55" s="1"/>
  <c r="DR2" i="55"/>
  <c r="DR4" i="55" s="1"/>
  <c r="CM4" i="55"/>
  <c r="CK4" i="55"/>
  <c r="DA2" i="55"/>
  <c r="DA4" i="55" s="1"/>
  <c r="DP2" i="55"/>
  <c r="DP4" i="55" s="1"/>
  <c r="CY2" i="56"/>
  <c r="CY4" i="56" s="1"/>
  <c r="DN2" i="56"/>
  <c r="DN4" i="56" s="1"/>
  <c r="CI4" i="56"/>
  <c r="DA2" i="56"/>
  <c r="DA4" i="56" s="1"/>
  <c r="DP2" i="56"/>
  <c r="DP4" i="56" s="1"/>
  <c r="CK4" i="56"/>
  <c r="CX2" i="56" l="1"/>
  <c r="DM2" i="56"/>
  <c r="CT2" i="56"/>
  <c r="CT4" i="56" s="1"/>
  <c r="CH4" i="56"/>
  <c r="CX2" i="55"/>
  <c r="DM2" i="55"/>
  <c r="CH4" i="55"/>
  <c r="CT2" i="55"/>
  <c r="CT4" i="55" s="1"/>
  <c r="DI2" i="56"/>
  <c r="DI4" i="56" s="1"/>
  <c r="DX2" i="56"/>
  <c r="DX4" i="56" s="1"/>
  <c r="CS4" i="56"/>
  <c r="C33" i="15"/>
  <c r="C247" i="62" s="1"/>
  <c r="F33" i="15"/>
  <c r="G33" i="15"/>
  <c r="H33" i="15"/>
  <c r="I33" i="15"/>
  <c r="J33" i="15"/>
  <c r="K33" i="15"/>
  <c r="L33" i="15"/>
  <c r="M33" i="15"/>
  <c r="N33" i="15"/>
  <c r="O33" i="15"/>
  <c r="P33" i="15"/>
  <c r="Q33" i="15"/>
  <c r="C44" i="14"/>
  <c r="C44" i="13"/>
  <c r="D43" i="13"/>
  <c r="Q43" i="13" s="1"/>
  <c r="D42" i="13"/>
  <c r="Q42" i="13" s="1"/>
  <c r="D41" i="13"/>
  <c r="Q41" i="13" s="1"/>
  <c r="D40" i="13"/>
  <c r="Q40" i="13" s="1"/>
  <c r="D39" i="13"/>
  <c r="Q39" i="13" s="1"/>
  <c r="D38" i="13"/>
  <c r="Q38" i="13" s="1"/>
  <c r="D37" i="13"/>
  <c r="Q37" i="13" s="1"/>
  <c r="D36" i="13"/>
  <c r="Q36" i="13" s="1"/>
  <c r="D35" i="13"/>
  <c r="Q35" i="13" s="1"/>
  <c r="Q30" i="13"/>
  <c r="P30" i="13"/>
  <c r="O30" i="13"/>
  <c r="N30" i="13"/>
  <c r="M30" i="13"/>
  <c r="L30" i="13"/>
  <c r="K30" i="13"/>
  <c r="J30" i="13"/>
  <c r="I30" i="13"/>
  <c r="H30" i="13"/>
  <c r="G30" i="13"/>
  <c r="F30" i="13"/>
  <c r="Q29" i="13"/>
  <c r="P29" i="13"/>
  <c r="O29" i="13"/>
  <c r="N29" i="13"/>
  <c r="M29" i="13"/>
  <c r="L29" i="13"/>
  <c r="K29" i="13"/>
  <c r="J29" i="13"/>
  <c r="I29" i="13"/>
  <c r="H29" i="13"/>
  <c r="G29" i="13"/>
  <c r="F29" i="13"/>
  <c r="Q28" i="13"/>
  <c r="P28" i="13"/>
  <c r="O28" i="13"/>
  <c r="N28" i="13"/>
  <c r="M28" i="13"/>
  <c r="L28" i="13"/>
  <c r="K28" i="13"/>
  <c r="J28" i="13"/>
  <c r="I28" i="13"/>
  <c r="H28" i="13"/>
  <c r="G28" i="13"/>
  <c r="F28" i="13"/>
  <c r="Q27" i="13"/>
  <c r="P27" i="13"/>
  <c r="O27" i="13"/>
  <c r="N27" i="13"/>
  <c r="M27" i="13"/>
  <c r="L27" i="13"/>
  <c r="K27" i="13"/>
  <c r="J27" i="13"/>
  <c r="I27" i="13"/>
  <c r="H27" i="13"/>
  <c r="G27" i="13"/>
  <c r="F27" i="13"/>
  <c r="Q26" i="13"/>
  <c r="P26" i="13"/>
  <c r="O26" i="13"/>
  <c r="N26" i="13"/>
  <c r="M26" i="13"/>
  <c r="L26" i="13"/>
  <c r="K26" i="13"/>
  <c r="J26" i="13"/>
  <c r="I26" i="13"/>
  <c r="H26" i="13"/>
  <c r="G26" i="13"/>
  <c r="F26" i="13"/>
  <c r="Q25" i="13"/>
  <c r="P25" i="13"/>
  <c r="O25" i="13"/>
  <c r="N25" i="13"/>
  <c r="M25" i="13"/>
  <c r="L25" i="13"/>
  <c r="K25" i="13"/>
  <c r="J25" i="13"/>
  <c r="I25" i="13"/>
  <c r="H25" i="13"/>
  <c r="G25" i="13"/>
  <c r="F25" i="13"/>
  <c r="Q24" i="13"/>
  <c r="P24" i="13"/>
  <c r="O24" i="13"/>
  <c r="N24" i="13"/>
  <c r="M24" i="13"/>
  <c r="L24" i="13"/>
  <c r="K24" i="13"/>
  <c r="J24" i="13"/>
  <c r="I24" i="13"/>
  <c r="H24" i="13"/>
  <c r="G24" i="13"/>
  <c r="F24" i="13"/>
  <c r="C30" i="13"/>
  <c r="C195" i="62" s="1"/>
  <c r="C29" i="13"/>
  <c r="C194" i="62" s="1"/>
  <c r="C28" i="13"/>
  <c r="C193" i="62" s="1"/>
  <c r="C27" i="13"/>
  <c r="C192" i="62" s="1"/>
  <c r="C26" i="13"/>
  <c r="C191" i="62" s="1"/>
  <c r="C25" i="13"/>
  <c r="C190" i="62" s="1"/>
  <c r="C24" i="13"/>
  <c r="C189" i="62" s="1"/>
  <c r="Q14" i="13"/>
  <c r="P14" i="13"/>
  <c r="O14" i="13"/>
  <c r="N14" i="13"/>
  <c r="M14" i="13"/>
  <c r="L14" i="13"/>
  <c r="K14" i="13"/>
  <c r="J14" i="13"/>
  <c r="I14" i="13"/>
  <c r="H14" i="13"/>
  <c r="G14" i="13"/>
  <c r="F14" i="13"/>
  <c r="Q13" i="13"/>
  <c r="P13" i="13"/>
  <c r="O13" i="13"/>
  <c r="N13" i="13"/>
  <c r="M13" i="13"/>
  <c r="L13" i="13"/>
  <c r="K13" i="13"/>
  <c r="J13" i="13"/>
  <c r="I13" i="13"/>
  <c r="H13" i="13"/>
  <c r="G13" i="13"/>
  <c r="F13" i="13"/>
  <c r="Q12" i="13"/>
  <c r="P12" i="13"/>
  <c r="O12" i="13"/>
  <c r="N12" i="13"/>
  <c r="M12" i="13"/>
  <c r="L12" i="13"/>
  <c r="K12" i="13"/>
  <c r="J12" i="13"/>
  <c r="I12" i="13"/>
  <c r="H12" i="13"/>
  <c r="G12" i="13"/>
  <c r="F12" i="13"/>
  <c r="Q11" i="13"/>
  <c r="P11" i="13"/>
  <c r="O11" i="13"/>
  <c r="N11" i="13"/>
  <c r="M11" i="13"/>
  <c r="L11" i="13"/>
  <c r="K11" i="13"/>
  <c r="J11" i="13"/>
  <c r="I11" i="13"/>
  <c r="H11" i="13"/>
  <c r="G11" i="13"/>
  <c r="F11" i="13"/>
  <c r="Q10" i="13"/>
  <c r="P10" i="13"/>
  <c r="O10" i="13"/>
  <c r="N10" i="13"/>
  <c r="M10" i="13"/>
  <c r="L10" i="13"/>
  <c r="K10" i="13"/>
  <c r="J10" i="13"/>
  <c r="I10" i="13"/>
  <c r="H10" i="13"/>
  <c r="G10" i="13"/>
  <c r="F10" i="13"/>
  <c r="Q9" i="13"/>
  <c r="P9" i="13"/>
  <c r="O9" i="13"/>
  <c r="N9" i="13"/>
  <c r="M9" i="13"/>
  <c r="L9" i="13"/>
  <c r="K9" i="13"/>
  <c r="J9" i="13"/>
  <c r="I9" i="13"/>
  <c r="H9" i="13"/>
  <c r="G9" i="13"/>
  <c r="F9" i="13"/>
  <c r="Q8" i="13"/>
  <c r="P8" i="13"/>
  <c r="P15" i="13" s="1"/>
  <c r="O8" i="13"/>
  <c r="O15" i="13" s="1"/>
  <c r="N8" i="13"/>
  <c r="N15" i="13" s="1"/>
  <c r="M8" i="13"/>
  <c r="M15" i="13" s="1"/>
  <c r="L8" i="13"/>
  <c r="L15" i="13" s="1"/>
  <c r="K8" i="13"/>
  <c r="K15" i="13" s="1"/>
  <c r="J8" i="13"/>
  <c r="J15" i="13" s="1"/>
  <c r="I8" i="13"/>
  <c r="I15" i="13" s="1"/>
  <c r="H8" i="13"/>
  <c r="H15" i="13" s="1"/>
  <c r="G8" i="13"/>
  <c r="G15" i="13" s="1"/>
  <c r="F8" i="13"/>
  <c r="F15" i="13" s="1"/>
  <c r="C14" i="13"/>
  <c r="C179" i="62" s="1"/>
  <c r="C13" i="13"/>
  <c r="C178" i="62" s="1"/>
  <c r="C12" i="13"/>
  <c r="C177" i="62" s="1"/>
  <c r="C11" i="13"/>
  <c r="C176" i="62" s="1"/>
  <c r="C10" i="13"/>
  <c r="C175" i="62" s="1"/>
  <c r="C9" i="13"/>
  <c r="C174" i="62" s="1"/>
  <c r="C8" i="13"/>
  <c r="C173" i="62" s="1"/>
  <c r="Q31" i="10"/>
  <c r="P31" i="10"/>
  <c r="O31" i="10"/>
  <c r="N31" i="10"/>
  <c r="M31" i="10"/>
  <c r="L31" i="10"/>
  <c r="K31" i="10"/>
  <c r="J31" i="10"/>
  <c r="I31" i="10"/>
  <c r="H31" i="10"/>
  <c r="G31" i="10"/>
  <c r="F31" i="10"/>
  <c r="Q30" i="10"/>
  <c r="P30" i="10"/>
  <c r="O30" i="10"/>
  <c r="N30" i="10"/>
  <c r="M30" i="10"/>
  <c r="L30" i="10"/>
  <c r="K30" i="10"/>
  <c r="J30" i="10"/>
  <c r="I30" i="10"/>
  <c r="H30" i="10"/>
  <c r="G30" i="10"/>
  <c r="F30" i="10"/>
  <c r="Q29" i="10"/>
  <c r="P29" i="10"/>
  <c r="O29" i="10"/>
  <c r="N29" i="10"/>
  <c r="M29" i="10"/>
  <c r="L29" i="10"/>
  <c r="K29" i="10"/>
  <c r="J29" i="10"/>
  <c r="I29" i="10"/>
  <c r="H29" i="10"/>
  <c r="G29" i="10"/>
  <c r="F29" i="10"/>
  <c r="Q28" i="10"/>
  <c r="P28" i="10"/>
  <c r="O28" i="10"/>
  <c r="N28" i="10"/>
  <c r="M28" i="10"/>
  <c r="L28" i="10"/>
  <c r="K28" i="10"/>
  <c r="J28" i="10"/>
  <c r="I28" i="10"/>
  <c r="H28" i="10"/>
  <c r="G28" i="10"/>
  <c r="F28" i="10"/>
  <c r="Q27" i="10"/>
  <c r="P27" i="10"/>
  <c r="O27" i="10"/>
  <c r="N27" i="10"/>
  <c r="M27" i="10"/>
  <c r="L27" i="10"/>
  <c r="K27" i="10"/>
  <c r="J27" i="10"/>
  <c r="I27" i="10"/>
  <c r="H27" i="10"/>
  <c r="G27" i="10"/>
  <c r="F27" i="10"/>
  <c r="Q26" i="10"/>
  <c r="P26" i="10"/>
  <c r="O26" i="10"/>
  <c r="N26" i="10"/>
  <c r="M26" i="10"/>
  <c r="L26" i="10"/>
  <c r="K26" i="10"/>
  <c r="J26" i="10"/>
  <c r="I26" i="10"/>
  <c r="H26" i="10"/>
  <c r="G26" i="10"/>
  <c r="F26" i="10"/>
  <c r="Q25" i="10"/>
  <c r="P25" i="10"/>
  <c r="O25" i="10"/>
  <c r="N25" i="10"/>
  <c r="M25" i="10"/>
  <c r="L25" i="10"/>
  <c r="K25" i="10"/>
  <c r="J25" i="10"/>
  <c r="I25" i="10"/>
  <c r="H25" i="10"/>
  <c r="G25" i="10"/>
  <c r="F25" i="10"/>
  <c r="D48" i="10"/>
  <c r="Q48" i="10" s="1"/>
  <c r="D47" i="10"/>
  <c r="Q47" i="10" s="1"/>
  <c r="D46" i="10"/>
  <c r="Q46" i="10" s="1"/>
  <c r="D45" i="10"/>
  <c r="Q45" i="10" s="1"/>
  <c r="D44" i="10"/>
  <c r="Q44" i="10" s="1"/>
  <c r="D43" i="10"/>
  <c r="Q43" i="10" s="1"/>
  <c r="D42" i="10"/>
  <c r="Q42" i="10" s="1"/>
  <c r="D41" i="10"/>
  <c r="Q41" i="10" s="1"/>
  <c r="D40" i="10"/>
  <c r="Q40" i="10" s="1"/>
  <c r="D39" i="10"/>
  <c r="Q39" i="10" s="1"/>
  <c r="D38" i="10"/>
  <c r="Q38" i="10" s="1"/>
  <c r="D37" i="10"/>
  <c r="Q37" i="10" s="1"/>
  <c r="D36" i="10"/>
  <c r="Q36" i="10" s="1"/>
  <c r="R44" i="11"/>
  <c r="Q15" i="10"/>
  <c r="P15" i="10"/>
  <c r="O15" i="10"/>
  <c r="N15" i="10"/>
  <c r="M15" i="10"/>
  <c r="L15" i="10"/>
  <c r="K15" i="10"/>
  <c r="J15" i="10"/>
  <c r="I15" i="10"/>
  <c r="H15" i="10"/>
  <c r="G15" i="10"/>
  <c r="F15" i="10"/>
  <c r="Q14" i="10"/>
  <c r="P14" i="10"/>
  <c r="O14" i="10"/>
  <c r="N14" i="10"/>
  <c r="M14" i="10"/>
  <c r="L14" i="10"/>
  <c r="K14" i="10"/>
  <c r="J14" i="10"/>
  <c r="I14" i="10"/>
  <c r="H14" i="10"/>
  <c r="G14" i="10"/>
  <c r="F14" i="10"/>
  <c r="Q13" i="10"/>
  <c r="P13" i="10"/>
  <c r="O13" i="10"/>
  <c r="N13" i="10"/>
  <c r="M13" i="10"/>
  <c r="L13" i="10"/>
  <c r="K13" i="10"/>
  <c r="J13" i="10"/>
  <c r="I13" i="10"/>
  <c r="H13" i="10"/>
  <c r="G13" i="10"/>
  <c r="F13" i="10"/>
  <c r="Q12" i="10"/>
  <c r="P12" i="10"/>
  <c r="O12" i="10"/>
  <c r="N12" i="10"/>
  <c r="M12" i="10"/>
  <c r="L12" i="10"/>
  <c r="K12" i="10"/>
  <c r="J12" i="10"/>
  <c r="I12" i="10"/>
  <c r="H12" i="10"/>
  <c r="G12" i="10"/>
  <c r="F12" i="10"/>
  <c r="Q11" i="10"/>
  <c r="P11" i="10"/>
  <c r="O11" i="10"/>
  <c r="N11" i="10"/>
  <c r="M11" i="10"/>
  <c r="L11" i="10"/>
  <c r="K11" i="10"/>
  <c r="J11" i="10"/>
  <c r="I11" i="10"/>
  <c r="H11" i="10"/>
  <c r="G11" i="10"/>
  <c r="F11" i="10"/>
  <c r="Q10" i="10"/>
  <c r="P10" i="10"/>
  <c r="O10" i="10"/>
  <c r="N10" i="10"/>
  <c r="M10" i="10"/>
  <c r="L10" i="10"/>
  <c r="K10" i="10"/>
  <c r="J10" i="10"/>
  <c r="I10" i="10"/>
  <c r="H10" i="10"/>
  <c r="G10" i="10"/>
  <c r="F10" i="10"/>
  <c r="Q9" i="10"/>
  <c r="Q16" i="10" s="1"/>
  <c r="P9" i="10"/>
  <c r="P16" i="10" s="1"/>
  <c r="O9" i="10"/>
  <c r="O16" i="10" s="1"/>
  <c r="N9" i="10"/>
  <c r="N16" i="10" s="1"/>
  <c r="M9" i="10"/>
  <c r="M16" i="10" s="1"/>
  <c r="L9" i="10"/>
  <c r="L16" i="10" s="1"/>
  <c r="K9" i="10"/>
  <c r="J9" i="10"/>
  <c r="J16" i="10" s="1"/>
  <c r="I9" i="10"/>
  <c r="H9" i="10"/>
  <c r="G9" i="10"/>
  <c r="G16" i="10" s="1"/>
  <c r="F9" i="10"/>
  <c r="F16" i="10" s="1"/>
  <c r="C31" i="10"/>
  <c r="C117" i="62" s="1"/>
  <c r="C30" i="10"/>
  <c r="C116" i="62" s="1"/>
  <c r="C29" i="10"/>
  <c r="C115" i="62" s="1"/>
  <c r="C28" i="10"/>
  <c r="C114" i="62" s="1"/>
  <c r="C27" i="10"/>
  <c r="C113" i="62" s="1"/>
  <c r="C26" i="10"/>
  <c r="C112" i="62" s="1"/>
  <c r="C25" i="10"/>
  <c r="C111" i="62" s="1"/>
  <c r="C15" i="10"/>
  <c r="C101" i="62" s="1"/>
  <c r="C14" i="10"/>
  <c r="C100" i="62" s="1"/>
  <c r="C13" i="10"/>
  <c r="C99" i="62" s="1"/>
  <c r="C12" i="10"/>
  <c r="C98" i="62" s="1"/>
  <c r="C11" i="10"/>
  <c r="C97" i="62" s="1"/>
  <c r="C10" i="10"/>
  <c r="C96" i="62" s="1"/>
  <c r="C9" i="10"/>
  <c r="C95" i="62" s="1"/>
  <c r="H16" i="10" l="1"/>
  <c r="Q15" i="13"/>
  <c r="K16" i="10"/>
  <c r="I16" i="10"/>
  <c r="C31" i="13"/>
  <c r="C118" i="62"/>
  <c r="C180" i="62"/>
  <c r="C196" i="62"/>
  <c r="C102" i="62"/>
  <c r="CX4" i="55"/>
  <c r="DJ2" i="55"/>
  <c r="DJ4" i="55" s="1"/>
  <c r="CX4" i="56"/>
  <c r="DJ2" i="56"/>
  <c r="DJ4" i="56" s="1"/>
  <c r="DM4" i="55"/>
  <c r="DY2" i="55"/>
  <c r="DY4" i="55" s="1"/>
  <c r="DM4" i="56"/>
  <c r="DY2" i="56"/>
  <c r="DY4" i="56" s="1"/>
  <c r="C32" i="10"/>
  <c r="R33" i="15"/>
  <c r="S33" i="15" s="1"/>
  <c r="F32" i="15"/>
  <c r="F31" i="15"/>
  <c r="F30" i="15"/>
  <c r="F29" i="15"/>
  <c r="F28" i="15"/>
  <c r="H32" i="15"/>
  <c r="H31" i="15"/>
  <c r="H30" i="15"/>
  <c r="H29" i="15"/>
  <c r="H28" i="15"/>
  <c r="J32" i="15"/>
  <c r="J31" i="15"/>
  <c r="J30" i="15"/>
  <c r="J29" i="15"/>
  <c r="J28" i="15"/>
  <c r="L32" i="15"/>
  <c r="L31" i="15"/>
  <c r="L30" i="15"/>
  <c r="L29" i="15"/>
  <c r="L28" i="15"/>
  <c r="N32" i="15"/>
  <c r="N31" i="15"/>
  <c r="N30" i="15"/>
  <c r="N29" i="15"/>
  <c r="N28" i="15"/>
  <c r="P32" i="15"/>
  <c r="P31" i="15"/>
  <c r="P30" i="15"/>
  <c r="P29" i="15"/>
  <c r="P28" i="15"/>
  <c r="P27" i="15"/>
  <c r="R3" i="15"/>
  <c r="S3" i="15" s="1"/>
  <c r="F27" i="15"/>
  <c r="J27" i="15"/>
  <c r="N27" i="15"/>
  <c r="C32" i="15"/>
  <c r="C246" i="62" s="1"/>
  <c r="C31" i="15"/>
  <c r="C245" i="62" s="1"/>
  <c r="C30" i="15"/>
  <c r="C244" i="62" s="1"/>
  <c r="C29" i="15"/>
  <c r="C243" i="62" s="1"/>
  <c r="C28" i="15"/>
  <c r="C242" i="62" s="1"/>
  <c r="C27" i="15"/>
  <c r="C241" i="62" s="1"/>
  <c r="G32" i="15"/>
  <c r="G31" i="15"/>
  <c r="G30" i="15"/>
  <c r="G29" i="15"/>
  <c r="G28" i="15"/>
  <c r="G27" i="15"/>
  <c r="I32" i="15"/>
  <c r="I31" i="15"/>
  <c r="I30" i="15"/>
  <c r="I29" i="15"/>
  <c r="I28" i="15"/>
  <c r="I27" i="15"/>
  <c r="K32" i="15"/>
  <c r="K31" i="15"/>
  <c r="K30" i="15"/>
  <c r="K29" i="15"/>
  <c r="K28" i="15"/>
  <c r="K27" i="15"/>
  <c r="M32" i="15"/>
  <c r="M31" i="15"/>
  <c r="M30" i="15"/>
  <c r="M29" i="15"/>
  <c r="M28" i="15"/>
  <c r="M27" i="15"/>
  <c r="O32" i="15"/>
  <c r="O31" i="15"/>
  <c r="O30" i="15"/>
  <c r="O29" i="15"/>
  <c r="O28" i="15"/>
  <c r="O27" i="15"/>
  <c r="Q32" i="15"/>
  <c r="Q31" i="15"/>
  <c r="Q30" i="15"/>
  <c r="Q29" i="15"/>
  <c r="Q28" i="15"/>
  <c r="Q27" i="15"/>
  <c r="H27" i="15"/>
  <c r="L27" i="15"/>
  <c r="F35" i="13"/>
  <c r="H35" i="13"/>
  <c r="J35" i="13"/>
  <c r="L35" i="13"/>
  <c r="N35" i="13"/>
  <c r="P35" i="13"/>
  <c r="F36" i="13"/>
  <c r="H36" i="13"/>
  <c r="J36" i="13"/>
  <c r="L36" i="13"/>
  <c r="N36" i="13"/>
  <c r="P36" i="13"/>
  <c r="F37" i="13"/>
  <c r="H37" i="13"/>
  <c r="J37" i="13"/>
  <c r="L37" i="13"/>
  <c r="N37" i="13"/>
  <c r="P37" i="13"/>
  <c r="F38" i="13"/>
  <c r="H38" i="13"/>
  <c r="J38" i="13"/>
  <c r="L38" i="13"/>
  <c r="N38" i="13"/>
  <c r="P38" i="13"/>
  <c r="F39" i="13"/>
  <c r="H39" i="13"/>
  <c r="J39" i="13"/>
  <c r="L39" i="13"/>
  <c r="N39" i="13"/>
  <c r="P39" i="13"/>
  <c r="F40" i="13"/>
  <c r="H40" i="13"/>
  <c r="J40" i="13"/>
  <c r="L40" i="13"/>
  <c r="N40" i="13"/>
  <c r="P40" i="13"/>
  <c r="F41" i="13"/>
  <c r="H41" i="13"/>
  <c r="J41" i="13"/>
  <c r="L41" i="13"/>
  <c r="N41" i="13"/>
  <c r="P41" i="13"/>
  <c r="F42" i="13"/>
  <c r="H42" i="13"/>
  <c r="J42" i="13"/>
  <c r="L42" i="13"/>
  <c r="N42" i="13"/>
  <c r="P42" i="13"/>
  <c r="F43" i="13"/>
  <c r="H43" i="13"/>
  <c r="J43" i="13"/>
  <c r="L43" i="13"/>
  <c r="N43" i="13"/>
  <c r="P43" i="13"/>
  <c r="C15" i="13"/>
  <c r="G35" i="13"/>
  <c r="I35" i="13"/>
  <c r="K35" i="13"/>
  <c r="M35" i="13"/>
  <c r="O35" i="13"/>
  <c r="G36" i="13"/>
  <c r="I36" i="13"/>
  <c r="K36" i="13"/>
  <c r="M36" i="13"/>
  <c r="O36" i="13"/>
  <c r="G37" i="13"/>
  <c r="I37" i="13"/>
  <c r="K37" i="13"/>
  <c r="M37" i="13"/>
  <c r="O37" i="13"/>
  <c r="G38" i="13"/>
  <c r="I38" i="13"/>
  <c r="K38" i="13"/>
  <c r="M38" i="13"/>
  <c r="O38" i="13"/>
  <c r="G39" i="13"/>
  <c r="I39" i="13"/>
  <c r="K39" i="13"/>
  <c r="M39" i="13"/>
  <c r="O39" i="13"/>
  <c r="G40" i="13"/>
  <c r="I40" i="13"/>
  <c r="K40" i="13"/>
  <c r="M40" i="13"/>
  <c r="O40" i="13"/>
  <c r="G41" i="13"/>
  <c r="I41" i="13"/>
  <c r="K41" i="13"/>
  <c r="M41" i="13"/>
  <c r="O41" i="13"/>
  <c r="G42" i="13"/>
  <c r="I42" i="13"/>
  <c r="K42" i="13"/>
  <c r="M42" i="13"/>
  <c r="O42" i="13"/>
  <c r="G43" i="13"/>
  <c r="I43" i="13"/>
  <c r="K43" i="13"/>
  <c r="M43" i="13"/>
  <c r="O43" i="13"/>
  <c r="R2" i="11"/>
  <c r="S2" i="11" s="1"/>
  <c r="F36" i="10"/>
  <c r="H36" i="10"/>
  <c r="J36" i="10"/>
  <c r="L36" i="10"/>
  <c r="N36" i="10"/>
  <c r="P36" i="10"/>
  <c r="F37" i="10"/>
  <c r="H37" i="10"/>
  <c r="J37" i="10"/>
  <c r="L37" i="10"/>
  <c r="N37" i="10"/>
  <c r="P37" i="10"/>
  <c r="F38" i="10"/>
  <c r="H38" i="10"/>
  <c r="J38" i="10"/>
  <c r="L38" i="10"/>
  <c r="N38" i="10"/>
  <c r="P38" i="10"/>
  <c r="F39" i="10"/>
  <c r="H39" i="10"/>
  <c r="J39" i="10"/>
  <c r="L39" i="10"/>
  <c r="N39" i="10"/>
  <c r="P39" i="10"/>
  <c r="F40" i="10"/>
  <c r="H40" i="10"/>
  <c r="J40" i="10"/>
  <c r="L40" i="10"/>
  <c r="N40" i="10"/>
  <c r="P40" i="10"/>
  <c r="F41" i="10"/>
  <c r="H41" i="10"/>
  <c r="J41" i="10"/>
  <c r="L41" i="10"/>
  <c r="N41" i="10"/>
  <c r="P41" i="10"/>
  <c r="F42" i="10"/>
  <c r="H42" i="10"/>
  <c r="J42" i="10"/>
  <c r="L42" i="10"/>
  <c r="N42" i="10"/>
  <c r="P42" i="10"/>
  <c r="F43" i="10"/>
  <c r="H43" i="10"/>
  <c r="J43" i="10"/>
  <c r="L43" i="10"/>
  <c r="N43" i="10"/>
  <c r="P43" i="10"/>
  <c r="F44" i="10"/>
  <c r="H44" i="10"/>
  <c r="J44" i="10"/>
  <c r="L44" i="10"/>
  <c r="N44" i="10"/>
  <c r="P44" i="10"/>
  <c r="F45" i="10"/>
  <c r="H45" i="10"/>
  <c r="J45" i="10"/>
  <c r="L45" i="10"/>
  <c r="N45" i="10"/>
  <c r="P45" i="10"/>
  <c r="F46" i="10"/>
  <c r="H46" i="10"/>
  <c r="J46" i="10"/>
  <c r="L46" i="10"/>
  <c r="N46" i="10"/>
  <c r="P46" i="10"/>
  <c r="F47" i="10"/>
  <c r="H47" i="10"/>
  <c r="J47" i="10"/>
  <c r="L47" i="10"/>
  <c r="N47" i="10"/>
  <c r="P47" i="10"/>
  <c r="F48" i="10"/>
  <c r="H48" i="10"/>
  <c r="J48" i="10"/>
  <c r="L48" i="10"/>
  <c r="N48" i="10"/>
  <c r="P48" i="10"/>
  <c r="G36" i="10"/>
  <c r="I36" i="10"/>
  <c r="K36" i="10"/>
  <c r="M36" i="10"/>
  <c r="O36" i="10"/>
  <c r="G37" i="10"/>
  <c r="I37" i="10"/>
  <c r="K37" i="10"/>
  <c r="M37" i="10"/>
  <c r="O37" i="10"/>
  <c r="G38" i="10"/>
  <c r="I38" i="10"/>
  <c r="K38" i="10"/>
  <c r="M38" i="10"/>
  <c r="O38" i="10"/>
  <c r="G39" i="10"/>
  <c r="I39" i="10"/>
  <c r="K39" i="10"/>
  <c r="M39" i="10"/>
  <c r="O39" i="10"/>
  <c r="G40" i="10"/>
  <c r="I40" i="10"/>
  <c r="K40" i="10"/>
  <c r="M40" i="10"/>
  <c r="O40" i="10"/>
  <c r="G41" i="10"/>
  <c r="I41" i="10"/>
  <c r="K41" i="10"/>
  <c r="M41" i="10"/>
  <c r="O41" i="10"/>
  <c r="G42" i="10"/>
  <c r="I42" i="10"/>
  <c r="K42" i="10"/>
  <c r="M42" i="10"/>
  <c r="O42" i="10"/>
  <c r="G43" i="10"/>
  <c r="I43" i="10"/>
  <c r="K43" i="10"/>
  <c r="M43" i="10"/>
  <c r="O43" i="10"/>
  <c r="G44" i="10"/>
  <c r="I44" i="10"/>
  <c r="K44" i="10"/>
  <c r="M44" i="10"/>
  <c r="O44" i="10"/>
  <c r="G45" i="10"/>
  <c r="I45" i="10"/>
  <c r="K45" i="10"/>
  <c r="M45" i="10"/>
  <c r="O45" i="10"/>
  <c r="G46" i="10"/>
  <c r="I46" i="10"/>
  <c r="K46" i="10"/>
  <c r="M46" i="10"/>
  <c r="O46" i="10"/>
  <c r="G47" i="10"/>
  <c r="I47" i="10"/>
  <c r="K47" i="10"/>
  <c r="M47" i="10"/>
  <c r="O47" i="10"/>
  <c r="G48" i="10"/>
  <c r="I48" i="10"/>
  <c r="K48" i="10"/>
  <c r="M48" i="10"/>
  <c r="O48" i="10"/>
  <c r="C16" i="10"/>
  <c r="R5" i="10"/>
  <c r="T5" i="10" s="1"/>
  <c r="D41" i="8"/>
  <c r="P41" i="8" s="1"/>
  <c r="D40" i="8"/>
  <c r="P40" i="8" s="1"/>
  <c r="D39" i="8"/>
  <c r="P39" i="8" s="1"/>
  <c r="D38" i="8"/>
  <c r="P38" i="8" s="1"/>
  <c r="D37" i="8"/>
  <c r="P37" i="8" s="1"/>
  <c r="D36" i="8"/>
  <c r="P36" i="8" s="1"/>
  <c r="D35" i="8"/>
  <c r="P35" i="8" s="1"/>
  <c r="D34" i="8"/>
  <c r="P34" i="8" s="1"/>
  <c r="D33" i="8"/>
  <c r="P33" i="8" s="1"/>
  <c r="D32" i="8"/>
  <c r="P32" i="8" s="1"/>
  <c r="D31" i="8"/>
  <c r="P31" i="8" s="1"/>
  <c r="D30" i="8"/>
  <c r="P30" i="8" s="1"/>
  <c r="D29" i="8"/>
  <c r="P29" i="8" s="1"/>
  <c r="D28" i="8"/>
  <c r="P28" i="8" s="1"/>
  <c r="C40" i="7"/>
  <c r="Q11" i="7"/>
  <c r="P12" i="7"/>
  <c r="O11" i="7"/>
  <c r="N12" i="7"/>
  <c r="M11" i="7"/>
  <c r="L12" i="7"/>
  <c r="K11" i="7"/>
  <c r="J12" i="7"/>
  <c r="I11" i="7"/>
  <c r="H12" i="7"/>
  <c r="G11" i="7"/>
  <c r="F12" i="7"/>
  <c r="C14" i="5"/>
  <c r="C13" i="5"/>
  <c r="C23" i="62" s="1"/>
  <c r="C12" i="5"/>
  <c r="C22" i="62" s="1"/>
  <c r="C11" i="5"/>
  <c r="C21" i="62" s="1"/>
  <c r="C10" i="5"/>
  <c r="C20" i="62" s="1"/>
  <c r="C9" i="5"/>
  <c r="C19" i="62" s="1"/>
  <c r="C8" i="5"/>
  <c r="C18" i="62" s="1"/>
  <c r="C40" i="5"/>
  <c r="Q14" i="5"/>
  <c r="P14" i="5"/>
  <c r="O14" i="5"/>
  <c r="N14" i="5"/>
  <c r="M14" i="5"/>
  <c r="L14" i="5"/>
  <c r="K14" i="5"/>
  <c r="J14" i="5"/>
  <c r="I14" i="5"/>
  <c r="H14" i="5"/>
  <c r="G14" i="5"/>
  <c r="F14" i="5"/>
  <c r="D39" i="5"/>
  <c r="R16" i="10" l="1"/>
  <c r="T16" i="10" s="1"/>
  <c r="C25" i="62"/>
  <c r="C248" i="62"/>
  <c r="C15" i="5"/>
  <c r="C16" i="5"/>
  <c r="C41" i="5" s="1"/>
  <c r="C34" i="15"/>
  <c r="G28" i="8"/>
  <c r="I28" i="8"/>
  <c r="K28" i="8"/>
  <c r="M28" i="8"/>
  <c r="O28" i="8"/>
  <c r="Q28" i="8"/>
  <c r="G29" i="8"/>
  <c r="I29" i="8"/>
  <c r="K29" i="8"/>
  <c r="M29" i="8"/>
  <c r="O29" i="8"/>
  <c r="Q29" i="8"/>
  <c r="G30" i="8"/>
  <c r="I30" i="8"/>
  <c r="K30" i="8"/>
  <c r="M30" i="8"/>
  <c r="O30" i="8"/>
  <c r="Q30" i="8"/>
  <c r="G31" i="8"/>
  <c r="I31" i="8"/>
  <c r="K31" i="8"/>
  <c r="M31" i="8"/>
  <c r="O31" i="8"/>
  <c r="Q31" i="8"/>
  <c r="G32" i="8"/>
  <c r="I32" i="8"/>
  <c r="K32" i="8"/>
  <c r="M32" i="8"/>
  <c r="O32" i="8"/>
  <c r="Q32" i="8"/>
  <c r="G33" i="8"/>
  <c r="I33" i="8"/>
  <c r="K33" i="8"/>
  <c r="M33" i="8"/>
  <c r="O33" i="8"/>
  <c r="Q33" i="8"/>
  <c r="G34" i="8"/>
  <c r="I34" i="8"/>
  <c r="K34" i="8"/>
  <c r="M34" i="8"/>
  <c r="O34" i="8"/>
  <c r="Q34" i="8"/>
  <c r="G35" i="8"/>
  <c r="I35" i="8"/>
  <c r="K35" i="8"/>
  <c r="M35" i="8"/>
  <c r="O35" i="8"/>
  <c r="Q35" i="8"/>
  <c r="G36" i="8"/>
  <c r="I36" i="8"/>
  <c r="K36" i="8"/>
  <c r="M36" i="8"/>
  <c r="O36" i="8"/>
  <c r="Q36" i="8"/>
  <c r="G37" i="8"/>
  <c r="I37" i="8"/>
  <c r="K37" i="8"/>
  <c r="M37" i="8"/>
  <c r="O37" i="8"/>
  <c r="Q37" i="8"/>
  <c r="G38" i="8"/>
  <c r="I38" i="8"/>
  <c r="K38" i="8"/>
  <c r="M38" i="8"/>
  <c r="O38" i="8"/>
  <c r="Q38" i="8"/>
  <c r="G39" i="8"/>
  <c r="I39" i="8"/>
  <c r="K39" i="8"/>
  <c r="M39" i="8"/>
  <c r="O39" i="8"/>
  <c r="Q39" i="8"/>
  <c r="G40" i="8"/>
  <c r="I40" i="8"/>
  <c r="K40" i="8"/>
  <c r="M40" i="8"/>
  <c r="O40" i="8"/>
  <c r="Q40" i="8"/>
  <c r="G41" i="8"/>
  <c r="I41" i="8"/>
  <c r="K41" i="8"/>
  <c r="M41" i="8"/>
  <c r="O41" i="8"/>
  <c r="Q41" i="8"/>
  <c r="F28" i="8"/>
  <c r="H28" i="8"/>
  <c r="J28" i="8"/>
  <c r="L28" i="8"/>
  <c r="N28" i="8"/>
  <c r="F29" i="8"/>
  <c r="H29" i="8"/>
  <c r="J29" i="8"/>
  <c r="L29" i="8"/>
  <c r="N29" i="8"/>
  <c r="F30" i="8"/>
  <c r="H30" i="8"/>
  <c r="J30" i="8"/>
  <c r="L30" i="8"/>
  <c r="N30" i="8"/>
  <c r="F31" i="8"/>
  <c r="H31" i="8"/>
  <c r="J31" i="8"/>
  <c r="L31" i="8"/>
  <c r="N31" i="8"/>
  <c r="F32" i="8"/>
  <c r="H32" i="8"/>
  <c r="J32" i="8"/>
  <c r="L32" i="8"/>
  <c r="N32" i="8"/>
  <c r="F33" i="8"/>
  <c r="H33" i="8"/>
  <c r="J33" i="8"/>
  <c r="L33" i="8"/>
  <c r="N33" i="8"/>
  <c r="F34" i="8"/>
  <c r="H34" i="8"/>
  <c r="J34" i="8"/>
  <c r="L34" i="8"/>
  <c r="N34" i="8"/>
  <c r="F35" i="8"/>
  <c r="H35" i="8"/>
  <c r="J35" i="8"/>
  <c r="L35" i="8"/>
  <c r="N35" i="8"/>
  <c r="F36" i="8"/>
  <c r="H36" i="8"/>
  <c r="J36" i="8"/>
  <c r="L36" i="8"/>
  <c r="N36" i="8"/>
  <c r="F37" i="8"/>
  <c r="H37" i="8"/>
  <c r="J37" i="8"/>
  <c r="L37" i="8"/>
  <c r="N37" i="8"/>
  <c r="F38" i="8"/>
  <c r="H38" i="8"/>
  <c r="J38" i="8"/>
  <c r="L38" i="8"/>
  <c r="N38" i="8"/>
  <c r="F39" i="8"/>
  <c r="H39" i="8"/>
  <c r="J39" i="8"/>
  <c r="L39" i="8"/>
  <c r="N39" i="8"/>
  <c r="F40" i="8"/>
  <c r="H40" i="8"/>
  <c r="J40" i="8"/>
  <c r="L40" i="8"/>
  <c r="N40" i="8"/>
  <c r="F41" i="8"/>
  <c r="H41" i="8"/>
  <c r="J41" i="8"/>
  <c r="L41" i="8"/>
  <c r="N41" i="8"/>
  <c r="R14" i="5"/>
  <c r="S14" i="5" s="1"/>
  <c r="H34" i="15"/>
  <c r="Q34" i="15"/>
  <c r="O34" i="15"/>
  <c r="M34" i="15"/>
  <c r="K34" i="15"/>
  <c r="I34" i="15"/>
  <c r="G34" i="15"/>
  <c r="N34" i="15"/>
  <c r="F34" i="15"/>
  <c r="R27" i="15"/>
  <c r="S27" i="15" s="1"/>
  <c r="P34" i="15"/>
  <c r="R28" i="15"/>
  <c r="S28" i="15" s="1"/>
  <c r="R30" i="15"/>
  <c r="S30" i="15" s="1"/>
  <c r="R32" i="15"/>
  <c r="S32" i="15" s="1"/>
  <c r="L34" i="15"/>
  <c r="J34" i="15"/>
  <c r="R29" i="15"/>
  <c r="S29" i="15" s="1"/>
  <c r="R31" i="15"/>
  <c r="S31" i="15" s="1"/>
  <c r="C32" i="13"/>
  <c r="R38" i="13"/>
  <c r="T38" i="13" s="1"/>
  <c r="R36" i="13"/>
  <c r="T36" i="13" s="1"/>
  <c r="R37" i="13"/>
  <c r="T37" i="13" s="1"/>
  <c r="C45" i="12"/>
  <c r="C43" i="11"/>
  <c r="C33" i="10"/>
  <c r="R40" i="10"/>
  <c r="T40" i="10" s="1"/>
  <c r="R41" i="10"/>
  <c r="T41" i="10" s="1"/>
  <c r="R45" i="10"/>
  <c r="T45" i="10" s="1"/>
  <c r="R44" i="10"/>
  <c r="T44" i="10" s="1"/>
  <c r="C49" i="10"/>
  <c r="R42" i="10"/>
  <c r="T42" i="10" s="1"/>
  <c r="Q39" i="7"/>
  <c r="O39" i="7"/>
  <c r="M39" i="7"/>
  <c r="K39" i="7"/>
  <c r="I39" i="7"/>
  <c r="G39" i="7"/>
  <c r="P39" i="7"/>
  <c r="N39" i="7"/>
  <c r="L39" i="7"/>
  <c r="J39" i="7"/>
  <c r="H39" i="7"/>
  <c r="F39" i="7"/>
  <c r="R2" i="7"/>
  <c r="S2" i="7" s="1"/>
  <c r="C6" i="7"/>
  <c r="C28" i="62" s="1"/>
  <c r="G6" i="7"/>
  <c r="I6" i="7"/>
  <c r="K6" i="7"/>
  <c r="M6" i="7"/>
  <c r="O6" i="7"/>
  <c r="Q6" i="7"/>
  <c r="F7" i="7"/>
  <c r="H7" i="7"/>
  <c r="J7" i="7"/>
  <c r="L7" i="7"/>
  <c r="N7" i="7"/>
  <c r="P7" i="7"/>
  <c r="C8" i="7"/>
  <c r="C30" i="62" s="1"/>
  <c r="G8" i="7"/>
  <c r="I8" i="7"/>
  <c r="K8" i="7"/>
  <c r="M8" i="7"/>
  <c r="O8" i="7"/>
  <c r="Q8" i="7"/>
  <c r="F9" i="7"/>
  <c r="H9" i="7"/>
  <c r="J9" i="7"/>
  <c r="L9" i="7"/>
  <c r="N9" i="7"/>
  <c r="P9" i="7"/>
  <c r="C10" i="7"/>
  <c r="C32" i="62" s="1"/>
  <c r="G10" i="7"/>
  <c r="I10" i="7"/>
  <c r="K10" i="7"/>
  <c r="M10" i="7"/>
  <c r="O10" i="7"/>
  <c r="Q10" i="7"/>
  <c r="F11" i="7"/>
  <c r="H11" i="7"/>
  <c r="J11" i="7"/>
  <c r="L11" i="7"/>
  <c r="N11" i="7"/>
  <c r="P11" i="7"/>
  <c r="C12" i="7"/>
  <c r="C34" i="62" s="1"/>
  <c r="G12" i="7"/>
  <c r="I12" i="7"/>
  <c r="K12" i="7"/>
  <c r="M12" i="7"/>
  <c r="O12" i="7"/>
  <c r="Q12" i="7"/>
  <c r="F6" i="7"/>
  <c r="H6" i="7"/>
  <c r="J6" i="7"/>
  <c r="L6" i="7"/>
  <c r="N6" i="7"/>
  <c r="P6" i="7"/>
  <c r="C7" i="7"/>
  <c r="C29" i="62" s="1"/>
  <c r="G7" i="7"/>
  <c r="I7" i="7"/>
  <c r="K7" i="7"/>
  <c r="M7" i="7"/>
  <c r="O7" i="7"/>
  <c r="Q7" i="7"/>
  <c r="F8" i="7"/>
  <c r="H8" i="7"/>
  <c r="J8" i="7"/>
  <c r="L8" i="7"/>
  <c r="N8" i="7"/>
  <c r="P8" i="7"/>
  <c r="C9" i="7"/>
  <c r="C31" i="62" s="1"/>
  <c r="G9" i="7"/>
  <c r="I9" i="7"/>
  <c r="K9" i="7"/>
  <c r="M9" i="7"/>
  <c r="O9" i="7"/>
  <c r="Q9" i="7"/>
  <c r="F10" i="7"/>
  <c r="H10" i="7"/>
  <c r="J10" i="7"/>
  <c r="L10" i="7"/>
  <c r="N10" i="7"/>
  <c r="P10" i="7"/>
  <c r="C11" i="7"/>
  <c r="C33" i="62" s="1"/>
  <c r="Q39" i="5"/>
  <c r="O39" i="5"/>
  <c r="M39" i="5"/>
  <c r="K39" i="5"/>
  <c r="I39" i="5"/>
  <c r="G39" i="5"/>
  <c r="P39" i="5"/>
  <c r="N39" i="5"/>
  <c r="L39" i="5"/>
  <c r="J39" i="5"/>
  <c r="H39" i="5"/>
  <c r="F39" i="5"/>
  <c r="G8" i="5"/>
  <c r="G18" i="62" s="1"/>
  <c r="I8" i="5"/>
  <c r="I18" i="62" s="1"/>
  <c r="K8" i="5"/>
  <c r="K18" i="62" s="1"/>
  <c r="M8" i="5"/>
  <c r="M18" i="62" s="1"/>
  <c r="O8" i="5"/>
  <c r="O18" i="62" s="1"/>
  <c r="Q8" i="5"/>
  <c r="Q18" i="62" s="1"/>
  <c r="G9" i="5"/>
  <c r="I9" i="5"/>
  <c r="K9" i="5"/>
  <c r="M9" i="5"/>
  <c r="O9" i="5"/>
  <c r="Q9" i="5"/>
  <c r="G10" i="5"/>
  <c r="I10" i="5"/>
  <c r="K10" i="5"/>
  <c r="M10" i="5"/>
  <c r="O10" i="5"/>
  <c r="Q10" i="5"/>
  <c r="G11" i="5"/>
  <c r="I11" i="5"/>
  <c r="K11" i="5"/>
  <c r="M11" i="5"/>
  <c r="O11" i="5"/>
  <c r="Q11" i="5"/>
  <c r="G12" i="5"/>
  <c r="I12" i="5"/>
  <c r="K12" i="5"/>
  <c r="M12" i="5"/>
  <c r="O12" i="5"/>
  <c r="Q12" i="5"/>
  <c r="G13" i="5"/>
  <c r="G23" i="62" s="1"/>
  <c r="I13" i="5"/>
  <c r="I23" i="62" s="1"/>
  <c r="K13" i="5"/>
  <c r="K23" i="62" s="1"/>
  <c r="M13" i="5"/>
  <c r="M23" i="62" s="1"/>
  <c r="O13" i="5"/>
  <c r="O23" i="62" s="1"/>
  <c r="Q13" i="5"/>
  <c r="Q23" i="62" s="1"/>
  <c r="D21" i="5"/>
  <c r="D23" i="5"/>
  <c r="D25" i="5"/>
  <c r="D27" i="5"/>
  <c r="D30" i="5"/>
  <c r="D32" i="5"/>
  <c r="D34" i="5"/>
  <c r="D36" i="5"/>
  <c r="D38" i="5"/>
  <c r="R2" i="5"/>
  <c r="S2" i="5" s="1"/>
  <c r="F8" i="5"/>
  <c r="F18" i="62" s="1"/>
  <c r="H8" i="5"/>
  <c r="H18" i="62" s="1"/>
  <c r="J8" i="5"/>
  <c r="J18" i="62" s="1"/>
  <c r="L8" i="5"/>
  <c r="L18" i="62" s="1"/>
  <c r="N8" i="5"/>
  <c r="N18" i="62" s="1"/>
  <c r="P8" i="5"/>
  <c r="P18" i="62" s="1"/>
  <c r="F9" i="5"/>
  <c r="H9" i="5"/>
  <c r="J9" i="5"/>
  <c r="L9" i="5"/>
  <c r="N9" i="5"/>
  <c r="P9" i="5"/>
  <c r="F10" i="5"/>
  <c r="H10" i="5"/>
  <c r="J10" i="5"/>
  <c r="L10" i="5"/>
  <c r="N10" i="5"/>
  <c r="P10" i="5"/>
  <c r="F11" i="5"/>
  <c r="H11" i="5"/>
  <c r="J11" i="5"/>
  <c r="L11" i="5"/>
  <c r="N11" i="5"/>
  <c r="P11" i="5"/>
  <c r="F12" i="5"/>
  <c r="H12" i="5"/>
  <c r="J12" i="5"/>
  <c r="L12" i="5"/>
  <c r="N12" i="5"/>
  <c r="P12" i="5"/>
  <c r="F13" i="5"/>
  <c r="F23" i="62" s="1"/>
  <c r="H13" i="5"/>
  <c r="H23" i="62" s="1"/>
  <c r="J13" i="5"/>
  <c r="J23" i="62" s="1"/>
  <c r="L13" i="5"/>
  <c r="L23" i="62" s="1"/>
  <c r="N13" i="5"/>
  <c r="N23" i="62" s="1"/>
  <c r="P13" i="5"/>
  <c r="P23" i="62" s="1"/>
  <c r="D16" i="5"/>
  <c r="D20" i="5"/>
  <c r="D22" i="5"/>
  <c r="D24" i="5"/>
  <c r="D26" i="5"/>
  <c r="D28" i="5"/>
  <c r="D31" i="5"/>
  <c r="D33" i="5"/>
  <c r="D35" i="5"/>
  <c r="D37" i="5"/>
  <c r="C10" i="4"/>
  <c r="C10" i="62" s="1"/>
  <c r="I10" i="4"/>
  <c r="I10" i="62" s="1"/>
  <c r="K10" i="4"/>
  <c r="K10" i="62" s="1"/>
  <c r="M10" i="4"/>
  <c r="M10" i="62" s="1"/>
  <c r="O10" i="4"/>
  <c r="O10" i="62" s="1"/>
  <c r="Q10" i="4"/>
  <c r="Q10" i="62" s="1"/>
  <c r="F8" i="4"/>
  <c r="F8" i="62" s="1"/>
  <c r="G8" i="4"/>
  <c r="G8" i="62" s="1"/>
  <c r="H8" i="4"/>
  <c r="H8" i="62" s="1"/>
  <c r="I8" i="4"/>
  <c r="I8" i="62" s="1"/>
  <c r="J8" i="4"/>
  <c r="J8" i="62" s="1"/>
  <c r="K8" i="4"/>
  <c r="K8" i="62" s="1"/>
  <c r="L8" i="4"/>
  <c r="L8" i="62" s="1"/>
  <c r="M8" i="4"/>
  <c r="M8" i="62" s="1"/>
  <c r="N8" i="4"/>
  <c r="N8" i="62" s="1"/>
  <c r="O8" i="4"/>
  <c r="O8" i="62" s="1"/>
  <c r="P8" i="4"/>
  <c r="P8" i="62" s="1"/>
  <c r="Q8" i="4"/>
  <c r="Q8" i="62" s="1"/>
  <c r="F9" i="4"/>
  <c r="F9" i="62" s="1"/>
  <c r="G9" i="4"/>
  <c r="G9" i="62" s="1"/>
  <c r="H9" i="4"/>
  <c r="H9" i="62" s="1"/>
  <c r="I9" i="4"/>
  <c r="I9" i="62" s="1"/>
  <c r="J9" i="4"/>
  <c r="J9" i="62" s="1"/>
  <c r="K9" i="4"/>
  <c r="K9" i="62" s="1"/>
  <c r="L9" i="4"/>
  <c r="L9" i="62" s="1"/>
  <c r="M9" i="4"/>
  <c r="M9" i="62" s="1"/>
  <c r="N9" i="4"/>
  <c r="N9" i="62" s="1"/>
  <c r="O9" i="4"/>
  <c r="O9" i="62" s="1"/>
  <c r="P9" i="4"/>
  <c r="P9" i="62" s="1"/>
  <c r="Q9" i="4"/>
  <c r="Q9" i="62" s="1"/>
  <c r="F10" i="4"/>
  <c r="F10" i="62" s="1"/>
  <c r="H10" i="4"/>
  <c r="H10" i="62" s="1"/>
  <c r="J10" i="4"/>
  <c r="J10" i="62" s="1"/>
  <c r="L10" i="4"/>
  <c r="L10" i="62" s="1"/>
  <c r="N10" i="4"/>
  <c r="N10" i="62" s="1"/>
  <c r="P10" i="4"/>
  <c r="P10" i="62" s="1"/>
  <c r="F11" i="4"/>
  <c r="F11" i="62" s="1"/>
  <c r="H11" i="4"/>
  <c r="H11" i="62" s="1"/>
  <c r="J11" i="4"/>
  <c r="J11" i="62" s="1"/>
  <c r="L11" i="4"/>
  <c r="L11" i="62" s="1"/>
  <c r="N11" i="4"/>
  <c r="N11" i="62" s="1"/>
  <c r="P11" i="4"/>
  <c r="P11" i="62" s="1"/>
  <c r="F12" i="4"/>
  <c r="F12" i="62" s="1"/>
  <c r="G12" i="4"/>
  <c r="G12" i="62" s="1"/>
  <c r="H12" i="4"/>
  <c r="H12" i="62" s="1"/>
  <c r="I12" i="4"/>
  <c r="I12" i="62" s="1"/>
  <c r="J12" i="4"/>
  <c r="J12" i="62" s="1"/>
  <c r="K12" i="4"/>
  <c r="K12" i="62" s="1"/>
  <c r="L12" i="4"/>
  <c r="L12" i="62" s="1"/>
  <c r="M12" i="4"/>
  <c r="M12" i="62" s="1"/>
  <c r="N12" i="4"/>
  <c r="N12" i="62" s="1"/>
  <c r="O12" i="4"/>
  <c r="O12" i="62" s="1"/>
  <c r="P12" i="4"/>
  <c r="P12" i="62" s="1"/>
  <c r="Q12" i="4"/>
  <c r="Q12" i="62" s="1"/>
  <c r="F13" i="4"/>
  <c r="F13" i="62" s="1"/>
  <c r="G13" i="4"/>
  <c r="G13" i="62" s="1"/>
  <c r="H13" i="4"/>
  <c r="H13" i="62" s="1"/>
  <c r="I13" i="4"/>
  <c r="I13" i="62" s="1"/>
  <c r="J13" i="4"/>
  <c r="J13" i="62" s="1"/>
  <c r="K13" i="4"/>
  <c r="K13" i="62" s="1"/>
  <c r="L13" i="4"/>
  <c r="L13" i="62" s="1"/>
  <c r="M13" i="4"/>
  <c r="M13" i="62" s="1"/>
  <c r="N13" i="4"/>
  <c r="N13" i="62" s="1"/>
  <c r="O13" i="4"/>
  <c r="O13" i="62" s="1"/>
  <c r="P13" i="4"/>
  <c r="P13" i="62" s="1"/>
  <c r="Q13" i="4"/>
  <c r="Q13" i="62" s="1"/>
  <c r="F14" i="4"/>
  <c r="H14" i="4"/>
  <c r="H14" i="62" s="1"/>
  <c r="J14" i="4"/>
  <c r="L14" i="4"/>
  <c r="L14" i="62" s="1"/>
  <c r="N14" i="4"/>
  <c r="P14" i="4"/>
  <c r="P14" i="62" s="1"/>
  <c r="D38" i="4"/>
  <c r="I38" i="4" s="1"/>
  <c r="D39" i="4"/>
  <c r="I39" i="4" s="1"/>
  <c r="D42" i="4"/>
  <c r="G42" i="4" s="1"/>
  <c r="D33" i="10" l="1"/>
  <c r="C50" i="10"/>
  <c r="D32" i="13"/>
  <c r="C45" i="13"/>
  <c r="N15" i="4"/>
  <c r="N14" i="62"/>
  <c r="F15" i="4"/>
  <c r="F14" i="62"/>
  <c r="J15" i="4"/>
  <c r="J14" i="62"/>
  <c r="C35" i="62"/>
  <c r="R39" i="5"/>
  <c r="S39" i="5" s="1"/>
  <c r="P15" i="4"/>
  <c r="L15" i="4"/>
  <c r="H15" i="4"/>
  <c r="Q42" i="4"/>
  <c r="R34" i="15"/>
  <c r="S34" i="15" s="1"/>
  <c r="R40" i="13"/>
  <c r="T40" i="13" s="1"/>
  <c r="R41" i="13"/>
  <c r="T41" i="13" s="1"/>
  <c r="R43" i="13"/>
  <c r="T43" i="13" s="1"/>
  <c r="R48" i="10"/>
  <c r="T48" i="10" s="1"/>
  <c r="R39" i="10"/>
  <c r="T39" i="10" s="1"/>
  <c r="R43" i="10"/>
  <c r="T43" i="10" s="1"/>
  <c r="R46" i="10"/>
  <c r="T46" i="10" s="1"/>
  <c r="R47" i="10"/>
  <c r="T47" i="10" s="1"/>
  <c r="R50" i="9"/>
  <c r="T50" i="9" s="1"/>
  <c r="R31" i="8"/>
  <c r="T31" i="8" s="1"/>
  <c r="R35" i="8"/>
  <c r="T35" i="8" s="1"/>
  <c r="C42" i="8"/>
  <c r="R33" i="8"/>
  <c r="T33" i="8" s="1"/>
  <c r="R34" i="8"/>
  <c r="T34" i="8" s="1"/>
  <c r="R12" i="7"/>
  <c r="R39" i="7"/>
  <c r="S39" i="7" s="1"/>
  <c r="Q37" i="7"/>
  <c r="O37" i="7"/>
  <c r="M37" i="7"/>
  <c r="K37" i="7"/>
  <c r="I37" i="7"/>
  <c r="G37" i="7"/>
  <c r="P37" i="7"/>
  <c r="N37" i="7"/>
  <c r="L37" i="7"/>
  <c r="J37" i="7"/>
  <c r="H37" i="7"/>
  <c r="F37" i="7"/>
  <c r="Q33" i="7"/>
  <c r="O33" i="7"/>
  <c r="M33" i="7"/>
  <c r="K33" i="7"/>
  <c r="I33" i="7"/>
  <c r="G33" i="7"/>
  <c r="P33" i="7"/>
  <c r="N33" i="7"/>
  <c r="L33" i="7"/>
  <c r="J33" i="7"/>
  <c r="H33" i="7"/>
  <c r="F33" i="7"/>
  <c r="Q29" i="7"/>
  <c r="O29" i="7"/>
  <c r="M29" i="7"/>
  <c r="K29" i="7"/>
  <c r="I29" i="7"/>
  <c r="G29" i="7"/>
  <c r="P29" i="7"/>
  <c r="N29" i="7"/>
  <c r="L29" i="7"/>
  <c r="J29" i="7"/>
  <c r="H29" i="7"/>
  <c r="F29" i="7"/>
  <c r="Q26" i="7"/>
  <c r="O26" i="7"/>
  <c r="M26" i="7"/>
  <c r="K26" i="7"/>
  <c r="I26" i="7"/>
  <c r="G26" i="7"/>
  <c r="P26" i="7"/>
  <c r="N26" i="7"/>
  <c r="L26" i="7"/>
  <c r="J26" i="7"/>
  <c r="H26" i="7"/>
  <c r="F26" i="7"/>
  <c r="Q21" i="7"/>
  <c r="O21" i="7"/>
  <c r="M21" i="7"/>
  <c r="K21" i="7"/>
  <c r="I21" i="7"/>
  <c r="G21" i="7"/>
  <c r="P21" i="7"/>
  <c r="N21" i="7"/>
  <c r="L21" i="7"/>
  <c r="J21" i="7"/>
  <c r="H21" i="7"/>
  <c r="F21" i="7"/>
  <c r="N14" i="7"/>
  <c r="N13" i="7"/>
  <c r="J14" i="7"/>
  <c r="J13" i="7"/>
  <c r="F14" i="7"/>
  <c r="R6" i="7"/>
  <c r="F13" i="7"/>
  <c r="P38" i="7"/>
  <c r="N38" i="7"/>
  <c r="L38" i="7"/>
  <c r="J38" i="7"/>
  <c r="H38" i="7"/>
  <c r="F38" i="7"/>
  <c r="Q38" i="7"/>
  <c r="O38" i="7"/>
  <c r="M38" i="7"/>
  <c r="K38" i="7"/>
  <c r="I38" i="7"/>
  <c r="G38" i="7"/>
  <c r="P34" i="7"/>
  <c r="N34" i="7"/>
  <c r="L34" i="7"/>
  <c r="J34" i="7"/>
  <c r="H34" i="7"/>
  <c r="F34" i="7"/>
  <c r="Q34" i="7"/>
  <c r="O34" i="7"/>
  <c r="M34" i="7"/>
  <c r="K34" i="7"/>
  <c r="I34" i="7"/>
  <c r="G34" i="7"/>
  <c r="P30" i="7"/>
  <c r="N30" i="7"/>
  <c r="L30" i="7"/>
  <c r="J30" i="7"/>
  <c r="H30" i="7"/>
  <c r="F30" i="7"/>
  <c r="Q30" i="7"/>
  <c r="O30" i="7"/>
  <c r="M30" i="7"/>
  <c r="K30" i="7"/>
  <c r="I30" i="7"/>
  <c r="G30" i="7"/>
  <c r="P27" i="7"/>
  <c r="N27" i="7"/>
  <c r="L27" i="7"/>
  <c r="J27" i="7"/>
  <c r="H27" i="7"/>
  <c r="F27" i="7"/>
  <c r="Q27" i="7"/>
  <c r="O27" i="7"/>
  <c r="M27" i="7"/>
  <c r="K27" i="7"/>
  <c r="I27" i="7"/>
  <c r="G27" i="7"/>
  <c r="P22" i="7"/>
  <c r="N22" i="7"/>
  <c r="L22" i="7"/>
  <c r="J22" i="7"/>
  <c r="H22" i="7"/>
  <c r="F22" i="7"/>
  <c r="Q22" i="7"/>
  <c r="O22" i="7"/>
  <c r="M22" i="7"/>
  <c r="K22" i="7"/>
  <c r="I22" i="7"/>
  <c r="G22" i="7"/>
  <c r="O13" i="7"/>
  <c r="O14" i="7"/>
  <c r="K13" i="7"/>
  <c r="K14" i="7"/>
  <c r="G13" i="7"/>
  <c r="G14" i="7"/>
  <c r="R10" i="7"/>
  <c r="S12" i="7"/>
  <c r="R11" i="7"/>
  <c r="S11" i="7" s="1"/>
  <c r="R7" i="7"/>
  <c r="S7" i="7" s="1"/>
  <c r="Q35" i="7"/>
  <c r="O35" i="7"/>
  <c r="M35" i="7"/>
  <c r="K35" i="7"/>
  <c r="I35" i="7"/>
  <c r="G35" i="7"/>
  <c r="P35" i="7"/>
  <c r="N35" i="7"/>
  <c r="L35" i="7"/>
  <c r="J35" i="7"/>
  <c r="H35" i="7"/>
  <c r="F35" i="7"/>
  <c r="Q31" i="7"/>
  <c r="O31" i="7"/>
  <c r="M31" i="7"/>
  <c r="K31" i="7"/>
  <c r="I31" i="7"/>
  <c r="G31" i="7"/>
  <c r="P31" i="7"/>
  <c r="N31" i="7"/>
  <c r="L31" i="7"/>
  <c r="J31" i="7"/>
  <c r="H31" i="7"/>
  <c r="F31" i="7"/>
  <c r="Q23" i="7"/>
  <c r="O23" i="7"/>
  <c r="M23" i="7"/>
  <c r="K23" i="7"/>
  <c r="I23" i="7"/>
  <c r="G23" i="7"/>
  <c r="P23" i="7"/>
  <c r="N23" i="7"/>
  <c r="L23" i="7"/>
  <c r="J23" i="7"/>
  <c r="H23" i="7"/>
  <c r="F23" i="7"/>
  <c r="Q19" i="7"/>
  <c r="O19" i="7"/>
  <c r="M19" i="7"/>
  <c r="K19" i="7"/>
  <c r="I19" i="7"/>
  <c r="G19" i="7"/>
  <c r="P19" i="7"/>
  <c r="N19" i="7"/>
  <c r="L19" i="7"/>
  <c r="J19" i="7"/>
  <c r="H19" i="7"/>
  <c r="F19" i="7"/>
  <c r="P14" i="7"/>
  <c r="P13" i="7"/>
  <c r="L14" i="7"/>
  <c r="L13" i="7"/>
  <c r="H14" i="7"/>
  <c r="H13" i="7"/>
  <c r="P36" i="7"/>
  <c r="N36" i="7"/>
  <c r="L36" i="7"/>
  <c r="J36" i="7"/>
  <c r="H36" i="7"/>
  <c r="F36" i="7"/>
  <c r="Q36" i="7"/>
  <c r="O36" i="7"/>
  <c r="M36" i="7"/>
  <c r="K36" i="7"/>
  <c r="I36" i="7"/>
  <c r="G36" i="7"/>
  <c r="P32" i="7"/>
  <c r="N32" i="7"/>
  <c r="L32" i="7"/>
  <c r="J32" i="7"/>
  <c r="H32" i="7"/>
  <c r="F32" i="7"/>
  <c r="Q32" i="7"/>
  <c r="O32" i="7"/>
  <c r="M32" i="7"/>
  <c r="K32" i="7"/>
  <c r="I32" i="7"/>
  <c r="G32" i="7"/>
  <c r="P28" i="7"/>
  <c r="N28" i="7"/>
  <c r="L28" i="7"/>
  <c r="J28" i="7"/>
  <c r="H28" i="7"/>
  <c r="F28" i="7"/>
  <c r="Q28" i="7"/>
  <c r="O28" i="7"/>
  <c r="M28" i="7"/>
  <c r="K28" i="7"/>
  <c r="I28" i="7"/>
  <c r="G28" i="7"/>
  <c r="P25" i="7"/>
  <c r="N25" i="7"/>
  <c r="L25" i="7"/>
  <c r="J25" i="7"/>
  <c r="H25" i="7"/>
  <c r="F25" i="7"/>
  <c r="Q25" i="7"/>
  <c r="O25" i="7"/>
  <c r="M25" i="7"/>
  <c r="K25" i="7"/>
  <c r="I25" i="7"/>
  <c r="G25" i="7"/>
  <c r="P20" i="7"/>
  <c r="N20" i="7"/>
  <c r="L20" i="7"/>
  <c r="J20" i="7"/>
  <c r="H20" i="7"/>
  <c r="F20" i="7"/>
  <c r="Q20" i="7"/>
  <c r="O20" i="7"/>
  <c r="M20" i="7"/>
  <c r="K20" i="7"/>
  <c r="I20" i="7"/>
  <c r="G20" i="7"/>
  <c r="Q13" i="7"/>
  <c r="Q14" i="7"/>
  <c r="M13" i="7"/>
  <c r="M14" i="7"/>
  <c r="I13" i="7"/>
  <c r="I14" i="7"/>
  <c r="C14" i="7"/>
  <c r="C13" i="7"/>
  <c r="S6" i="7"/>
  <c r="R8" i="7"/>
  <c r="S8" i="7" s="1"/>
  <c r="S10" i="7"/>
  <c r="R9" i="7"/>
  <c r="S9" i="7" s="1"/>
  <c r="M42" i="4"/>
  <c r="Q35" i="5"/>
  <c r="O35" i="5"/>
  <c r="M35" i="5"/>
  <c r="K35" i="5"/>
  <c r="I35" i="5"/>
  <c r="G35" i="5"/>
  <c r="P35" i="5"/>
  <c r="N35" i="5"/>
  <c r="L35" i="5"/>
  <c r="J35" i="5"/>
  <c r="H35" i="5"/>
  <c r="F35" i="5"/>
  <c r="Q31" i="5"/>
  <c r="O31" i="5"/>
  <c r="M31" i="5"/>
  <c r="K31" i="5"/>
  <c r="I31" i="5"/>
  <c r="G31" i="5"/>
  <c r="P31" i="5"/>
  <c r="N31" i="5"/>
  <c r="L31" i="5"/>
  <c r="J31" i="5"/>
  <c r="H31" i="5"/>
  <c r="F31" i="5"/>
  <c r="Q26" i="5"/>
  <c r="O26" i="5"/>
  <c r="M26" i="5"/>
  <c r="K26" i="5"/>
  <c r="I26" i="5"/>
  <c r="G26" i="5"/>
  <c r="P26" i="5"/>
  <c r="N26" i="5"/>
  <c r="L26" i="5"/>
  <c r="J26" i="5"/>
  <c r="H26" i="5"/>
  <c r="F26" i="5"/>
  <c r="Q22" i="5"/>
  <c r="O22" i="5"/>
  <c r="M22" i="5"/>
  <c r="K22" i="5"/>
  <c r="I22" i="5"/>
  <c r="G22" i="5"/>
  <c r="P22" i="5"/>
  <c r="N22" i="5"/>
  <c r="L22" i="5"/>
  <c r="J22" i="5"/>
  <c r="H22" i="5"/>
  <c r="F22" i="5"/>
  <c r="N16" i="5"/>
  <c r="N15" i="5"/>
  <c r="J16" i="5"/>
  <c r="J15" i="5"/>
  <c r="R8" i="5"/>
  <c r="F16" i="5"/>
  <c r="F15" i="5"/>
  <c r="P38" i="5"/>
  <c r="N38" i="5"/>
  <c r="L38" i="5"/>
  <c r="J38" i="5"/>
  <c r="H38" i="5"/>
  <c r="F38" i="5"/>
  <c r="Q38" i="5"/>
  <c r="O38" i="5"/>
  <c r="M38" i="5"/>
  <c r="K38" i="5"/>
  <c r="I38" i="5"/>
  <c r="G38" i="5"/>
  <c r="P34" i="5"/>
  <c r="N34" i="5"/>
  <c r="L34" i="5"/>
  <c r="J34" i="5"/>
  <c r="H34" i="5"/>
  <c r="F34" i="5"/>
  <c r="Q34" i="5"/>
  <c r="O34" i="5"/>
  <c r="M34" i="5"/>
  <c r="K34" i="5"/>
  <c r="I34" i="5"/>
  <c r="G34" i="5"/>
  <c r="P30" i="5"/>
  <c r="N30" i="5"/>
  <c r="L30" i="5"/>
  <c r="J30" i="5"/>
  <c r="H30" i="5"/>
  <c r="F30" i="5"/>
  <c r="Q30" i="5"/>
  <c r="O30" i="5"/>
  <c r="M30" i="5"/>
  <c r="K30" i="5"/>
  <c r="I30" i="5"/>
  <c r="G30" i="5"/>
  <c r="P25" i="5"/>
  <c r="N25" i="5"/>
  <c r="L25" i="5"/>
  <c r="J25" i="5"/>
  <c r="H25" i="5"/>
  <c r="F25" i="5"/>
  <c r="Q25" i="5"/>
  <c r="O25" i="5"/>
  <c r="M25" i="5"/>
  <c r="K25" i="5"/>
  <c r="I25" i="5"/>
  <c r="G25" i="5"/>
  <c r="P21" i="5"/>
  <c r="N21" i="5"/>
  <c r="L21" i="5"/>
  <c r="J21" i="5"/>
  <c r="H21" i="5"/>
  <c r="F21" i="5"/>
  <c r="Q21" i="5"/>
  <c r="O21" i="5"/>
  <c r="M21" i="5"/>
  <c r="K21" i="5"/>
  <c r="I21" i="5"/>
  <c r="G21" i="5"/>
  <c r="O16" i="5"/>
  <c r="O15" i="5"/>
  <c r="K16" i="5"/>
  <c r="K15" i="5"/>
  <c r="G16" i="5"/>
  <c r="G15" i="5"/>
  <c r="R13" i="5"/>
  <c r="R12" i="5"/>
  <c r="S12" i="5" s="1"/>
  <c r="R11" i="5"/>
  <c r="S11" i="5" s="1"/>
  <c r="R10" i="5"/>
  <c r="S10" i="5" s="1"/>
  <c r="R9" i="5"/>
  <c r="S9" i="5" s="1"/>
  <c r="Q37" i="5"/>
  <c r="O37" i="5"/>
  <c r="M37" i="5"/>
  <c r="K37" i="5"/>
  <c r="I37" i="5"/>
  <c r="G37" i="5"/>
  <c r="P37" i="5"/>
  <c r="N37" i="5"/>
  <c r="L37" i="5"/>
  <c r="J37" i="5"/>
  <c r="H37" i="5"/>
  <c r="F37" i="5"/>
  <c r="Q33" i="5"/>
  <c r="O33" i="5"/>
  <c r="M33" i="5"/>
  <c r="K33" i="5"/>
  <c r="I33" i="5"/>
  <c r="G33" i="5"/>
  <c r="P33" i="5"/>
  <c r="N33" i="5"/>
  <c r="L33" i="5"/>
  <c r="J33" i="5"/>
  <c r="H33" i="5"/>
  <c r="F33" i="5"/>
  <c r="Q28" i="5"/>
  <c r="O28" i="5"/>
  <c r="M28" i="5"/>
  <c r="K28" i="5"/>
  <c r="I28" i="5"/>
  <c r="G28" i="5"/>
  <c r="P28" i="5"/>
  <c r="N28" i="5"/>
  <c r="L28" i="5"/>
  <c r="J28" i="5"/>
  <c r="H28" i="5"/>
  <c r="F28" i="5"/>
  <c r="Q24" i="5"/>
  <c r="O24" i="5"/>
  <c r="M24" i="5"/>
  <c r="K24" i="5"/>
  <c r="I24" i="5"/>
  <c r="G24" i="5"/>
  <c r="P24" i="5"/>
  <c r="N24" i="5"/>
  <c r="L24" i="5"/>
  <c r="J24" i="5"/>
  <c r="H24" i="5"/>
  <c r="F24" i="5"/>
  <c r="Q20" i="5"/>
  <c r="O20" i="5"/>
  <c r="M20" i="5"/>
  <c r="K20" i="5"/>
  <c r="I20" i="5"/>
  <c r="G20" i="5"/>
  <c r="P20" i="5"/>
  <c r="N20" i="5"/>
  <c r="L20" i="5"/>
  <c r="J20" i="5"/>
  <c r="H20" i="5"/>
  <c r="F20" i="5"/>
  <c r="P16" i="5"/>
  <c r="P15" i="5"/>
  <c r="L16" i="5"/>
  <c r="L15" i="5"/>
  <c r="H16" i="5"/>
  <c r="H15" i="5"/>
  <c r="P36" i="5"/>
  <c r="N36" i="5"/>
  <c r="L36" i="5"/>
  <c r="J36" i="5"/>
  <c r="H36" i="5"/>
  <c r="F36" i="5"/>
  <c r="Q36" i="5"/>
  <c r="O36" i="5"/>
  <c r="M36" i="5"/>
  <c r="K36" i="5"/>
  <c r="I36" i="5"/>
  <c r="G36" i="5"/>
  <c r="P32" i="5"/>
  <c r="N32" i="5"/>
  <c r="L32" i="5"/>
  <c r="J32" i="5"/>
  <c r="H32" i="5"/>
  <c r="F32" i="5"/>
  <c r="Q32" i="5"/>
  <c r="O32" i="5"/>
  <c r="M32" i="5"/>
  <c r="K32" i="5"/>
  <c r="I32" i="5"/>
  <c r="G32" i="5"/>
  <c r="P27" i="5"/>
  <c r="N27" i="5"/>
  <c r="L27" i="5"/>
  <c r="J27" i="5"/>
  <c r="H27" i="5"/>
  <c r="F27" i="5"/>
  <c r="Q27" i="5"/>
  <c r="O27" i="5"/>
  <c r="M27" i="5"/>
  <c r="K27" i="5"/>
  <c r="I27" i="5"/>
  <c r="G27" i="5"/>
  <c r="P23" i="5"/>
  <c r="N23" i="5"/>
  <c r="L23" i="5"/>
  <c r="J23" i="5"/>
  <c r="H23" i="5"/>
  <c r="F23" i="5"/>
  <c r="Q23" i="5"/>
  <c r="O23" i="5"/>
  <c r="M23" i="5"/>
  <c r="K23" i="5"/>
  <c r="I23" i="5"/>
  <c r="G23" i="5"/>
  <c r="Q16" i="5"/>
  <c r="Q15" i="5"/>
  <c r="M16" i="5"/>
  <c r="M15" i="5"/>
  <c r="I16" i="5"/>
  <c r="I15" i="5"/>
  <c r="M38" i="4"/>
  <c r="R12" i="4"/>
  <c r="R12" i="62" s="1"/>
  <c r="P16" i="4"/>
  <c r="L16" i="4"/>
  <c r="H16" i="4"/>
  <c r="R8" i="4"/>
  <c r="R8" i="62" s="1"/>
  <c r="R2" i="4"/>
  <c r="S2" i="4" s="1"/>
  <c r="I42" i="4"/>
  <c r="M39" i="4"/>
  <c r="O42" i="4"/>
  <c r="K42" i="4"/>
  <c r="Q39" i="4"/>
  <c r="Q38" i="4"/>
  <c r="N16" i="4"/>
  <c r="J16" i="4"/>
  <c r="F16" i="4"/>
  <c r="F38" i="4"/>
  <c r="H38" i="4"/>
  <c r="J38" i="4"/>
  <c r="L38" i="4"/>
  <c r="N38" i="4"/>
  <c r="P38" i="4"/>
  <c r="F42" i="4"/>
  <c r="H42" i="4"/>
  <c r="J42" i="4"/>
  <c r="L42" i="4"/>
  <c r="N42" i="4"/>
  <c r="P42" i="4"/>
  <c r="F39" i="4"/>
  <c r="G39" i="4"/>
  <c r="K39" i="4"/>
  <c r="O39" i="4"/>
  <c r="O38" i="4"/>
  <c r="K38" i="4"/>
  <c r="G38" i="4"/>
  <c r="D34" i="4"/>
  <c r="N34" i="4" s="1"/>
  <c r="D33" i="4"/>
  <c r="D30" i="4"/>
  <c r="P30" i="4" s="1"/>
  <c r="D29" i="4"/>
  <c r="D27" i="4"/>
  <c r="P27" i="4" s="1"/>
  <c r="D26" i="4"/>
  <c r="R13" i="4"/>
  <c r="R13" i="62" s="1"/>
  <c r="C13" i="4"/>
  <c r="C13" i="62" s="1"/>
  <c r="C12" i="4"/>
  <c r="R9" i="4"/>
  <c r="R9" i="62" s="1"/>
  <c r="C9" i="4"/>
  <c r="C9" i="62" s="1"/>
  <c r="C8" i="4"/>
  <c r="C8" i="62" s="1"/>
  <c r="D41" i="4"/>
  <c r="N41" i="4" s="1"/>
  <c r="D40" i="4"/>
  <c r="D37" i="4"/>
  <c r="N37" i="4" s="1"/>
  <c r="D36" i="4"/>
  <c r="D32" i="4"/>
  <c r="N32" i="4" s="1"/>
  <c r="D31" i="4"/>
  <c r="D28" i="4"/>
  <c r="N28" i="4" s="1"/>
  <c r="D25" i="4"/>
  <c r="N25" i="4" s="1"/>
  <c r="Q14" i="4"/>
  <c r="Q14" i="62" s="1"/>
  <c r="O14" i="4"/>
  <c r="O14" i="62" s="1"/>
  <c r="M14" i="4"/>
  <c r="M14" i="62" s="1"/>
  <c r="K14" i="4"/>
  <c r="K14" i="62" s="1"/>
  <c r="I14" i="4"/>
  <c r="I14" i="62" s="1"/>
  <c r="G14" i="4"/>
  <c r="G14" i="62" s="1"/>
  <c r="C14" i="4"/>
  <c r="C14" i="62" s="1"/>
  <c r="Q11" i="4"/>
  <c r="Q11" i="62" s="1"/>
  <c r="O11" i="4"/>
  <c r="O11" i="62" s="1"/>
  <c r="M11" i="4"/>
  <c r="M11" i="62" s="1"/>
  <c r="K11" i="4"/>
  <c r="K11" i="62" s="1"/>
  <c r="I11" i="4"/>
  <c r="I11" i="62" s="1"/>
  <c r="G11" i="4"/>
  <c r="G11" i="62" s="1"/>
  <c r="C11" i="4"/>
  <c r="C11" i="62" s="1"/>
  <c r="G10" i="4"/>
  <c r="G10" i="62" s="1"/>
  <c r="P39" i="4"/>
  <c r="N39" i="4"/>
  <c r="L39" i="4"/>
  <c r="J39" i="4"/>
  <c r="H39" i="4"/>
  <c r="Q2" i="60" l="1"/>
  <c r="M2" i="60"/>
  <c r="U2" i="60"/>
  <c r="O2" i="60"/>
  <c r="K2" i="60"/>
  <c r="S2" i="60"/>
  <c r="P34" i="4"/>
  <c r="S13" i="5"/>
  <c r="R23" i="62"/>
  <c r="J30" i="4"/>
  <c r="J27" i="4"/>
  <c r="H34" i="4"/>
  <c r="H25" i="4"/>
  <c r="J25" i="4"/>
  <c r="H28" i="4"/>
  <c r="N27" i="4"/>
  <c r="P28" i="4"/>
  <c r="N30" i="4"/>
  <c r="L34" i="4"/>
  <c r="H32" i="4"/>
  <c r="L37" i="4"/>
  <c r="H41" i="4"/>
  <c r="H27" i="4"/>
  <c r="L27" i="4"/>
  <c r="L28" i="4"/>
  <c r="H30" i="4"/>
  <c r="L30" i="4"/>
  <c r="L32" i="4"/>
  <c r="J34" i="4"/>
  <c r="H37" i="4"/>
  <c r="L41" i="4"/>
  <c r="L25" i="4"/>
  <c r="P25" i="4"/>
  <c r="R24" i="5"/>
  <c r="S24" i="5" s="1"/>
  <c r="R28" i="5"/>
  <c r="S28" i="5" s="1"/>
  <c r="R33" i="5"/>
  <c r="S33" i="5" s="1"/>
  <c r="R37" i="5"/>
  <c r="S37" i="5" s="1"/>
  <c r="R21" i="7"/>
  <c r="S21" i="7" s="1"/>
  <c r="R26" i="7"/>
  <c r="S26" i="7" s="1"/>
  <c r="P41" i="4"/>
  <c r="P37" i="4"/>
  <c r="P32" i="4"/>
  <c r="S8" i="5"/>
  <c r="R18" i="62"/>
  <c r="S12" i="4"/>
  <c r="C12" i="62"/>
  <c r="J28" i="4"/>
  <c r="J32" i="4"/>
  <c r="J37" i="4"/>
  <c r="J41" i="4"/>
  <c r="R29" i="7"/>
  <c r="S29" i="7" s="1"/>
  <c r="R22" i="5"/>
  <c r="S22" i="5" s="1"/>
  <c r="R26" i="5"/>
  <c r="S26" i="5" s="1"/>
  <c r="R31" i="5"/>
  <c r="S31" i="5" s="1"/>
  <c r="I16" i="4"/>
  <c r="M16" i="4"/>
  <c r="Q16" i="4"/>
  <c r="K16" i="4"/>
  <c r="O15" i="4"/>
  <c r="T2" i="60" s="1"/>
  <c r="R23" i="7"/>
  <c r="S23" i="7" s="1"/>
  <c r="R31" i="7"/>
  <c r="S31" i="7" s="1"/>
  <c r="S9" i="4"/>
  <c r="R42" i="13"/>
  <c r="T42" i="13" s="1"/>
  <c r="R9" i="13"/>
  <c r="T9" i="13" s="1"/>
  <c r="R25" i="13"/>
  <c r="T25" i="13" s="1"/>
  <c r="R29" i="13"/>
  <c r="T29" i="13" s="1"/>
  <c r="R13" i="13"/>
  <c r="T13" i="13" s="1"/>
  <c r="I44" i="13"/>
  <c r="M44" i="13"/>
  <c r="Q44" i="13"/>
  <c r="H44" i="13"/>
  <c r="L44" i="13"/>
  <c r="P44" i="13"/>
  <c r="R39" i="13"/>
  <c r="T39" i="13" s="1"/>
  <c r="R35" i="13"/>
  <c r="T35" i="13" s="1"/>
  <c r="F44" i="13"/>
  <c r="G44" i="13"/>
  <c r="K44" i="13"/>
  <c r="O44" i="13"/>
  <c r="J44" i="13"/>
  <c r="N44" i="13"/>
  <c r="R26" i="10"/>
  <c r="T26" i="10" s="1"/>
  <c r="R30" i="10"/>
  <c r="T30" i="10" s="1"/>
  <c r="R14" i="10"/>
  <c r="T14" i="10" s="1"/>
  <c r="R37" i="10"/>
  <c r="T37" i="10" s="1"/>
  <c r="I49" i="10"/>
  <c r="M49" i="10"/>
  <c r="Q49" i="10"/>
  <c r="H49" i="10"/>
  <c r="L49" i="10"/>
  <c r="P49" i="10"/>
  <c r="F49" i="10"/>
  <c r="R36" i="10"/>
  <c r="T36" i="10" s="1"/>
  <c r="R38" i="10"/>
  <c r="T38" i="10" s="1"/>
  <c r="G49" i="10"/>
  <c r="K49" i="10"/>
  <c r="O49" i="10"/>
  <c r="J49" i="10"/>
  <c r="N49" i="10"/>
  <c r="R47" i="9"/>
  <c r="T47" i="9" s="1"/>
  <c r="R49" i="9"/>
  <c r="T49" i="9" s="1"/>
  <c r="R36" i="8"/>
  <c r="T36" i="8" s="1"/>
  <c r="R38" i="8"/>
  <c r="T38" i="8" s="1"/>
  <c r="R40" i="8"/>
  <c r="T40" i="8" s="1"/>
  <c r="R32" i="8"/>
  <c r="T32" i="8" s="1"/>
  <c r="R37" i="8"/>
  <c r="T37" i="8" s="1"/>
  <c r="R39" i="8"/>
  <c r="T39" i="8" s="1"/>
  <c r="R35" i="7"/>
  <c r="S35" i="7" s="1"/>
  <c r="R33" i="7"/>
  <c r="S33" i="7" s="1"/>
  <c r="D14" i="7"/>
  <c r="H40" i="7"/>
  <c r="L40" i="7"/>
  <c r="P40" i="7"/>
  <c r="I40" i="7"/>
  <c r="M40" i="7"/>
  <c r="Q40" i="7"/>
  <c r="R22" i="7"/>
  <c r="S22" i="7" s="1"/>
  <c r="R27" i="7"/>
  <c r="S27" i="7" s="1"/>
  <c r="R30" i="7"/>
  <c r="S30" i="7" s="1"/>
  <c r="R34" i="7"/>
  <c r="S34" i="7" s="1"/>
  <c r="R38" i="7"/>
  <c r="S38" i="7" s="1"/>
  <c r="F40" i="7"/>
  <c r="R19" i="7"/>
  <c r="R14" i="7"/>
  <c r="S14" i="7" s="1"/>
  <c r="R13" i="7"/>
  <c r="S13" i="7" s="1"/>
  <c r="R20" i="7"/>
  <c r="S20" i="7" s="1"/>
  <c r="R25" i="7"/>
  <c r="S25" i="7" s="1"/>
  <c r="R28" i="7"/>
  <c r="S28" i="7" s="1"/>
  <c r="R32" i="7"/>
  <c r="S32" i="7" s="1"/>
  <c r="R36" i="7"/>
  <c r="S36" i="7" s="1"/>
  <c r="J40" i="7"/>
  <c r="N40" i="7"/>
  <c r="G40" i="7"/>
  <c r="K40" i="7"/>
  <c r="O40" i="7"/>
  <c r="R37" i="7"/>
  <c r="S37" i="7" s="1"/>
  <c r="H40" i="5"/>
  <c r="L40" i="5"/>
  <c r="P40" i="5"/>
  <c r="I40" i="5"/>
  <c r="M40" i="5"/>
  <c r="Q40" i="5"/>
  <c r="R21" i="5"/>
  <c r="S21" i="5" s="1"/>
  <c r="R25" i="5"/>
  <c r="S25" i="5" s="1"/>
  <c r="R30" i="5"/>
  <c r="S30" i="5" s="1"/>
  <c r="R34" i="5"/>
  <c r="S34" i="5" s="1"/>
  <c r="R38" i="5"/>
  <c r="S38" i="5" s="1"/>
  <c r="R15" i="5"/>
  <c r="S15" i="5" s="1"/>
  <c r="F40" i="5"/>
  <c r="R20" i="5"/>
  <c r="S20" i="5" s="1"/>
  <c r="R23" i="5"/>
  <c r="S23" i="5" s="1"/>
  <c r="R27" i="5"/>
  <c r="S27" i="5" s="1"/>
  <c r="R32" i="5"/>
  <c r="S32" i="5" s="1"/>
  <c r="R36" i="5"/>
  <c r="S36" i="5" s="1"/>
  <c r="J40" i="5"/>
  <c r="N40" i="5"/>
  <c r="G40" i="5"/>
  <c r="K40" i="5"/>
  <c r="O40" i="5"/>
  <c r="R16" i="5"/>
  <c r="S16" i="5" s="1"/>
  <c r="R35" i="5"/>
  <c r="S35" i="5" s="1"/>
  <c r="R14" i="4"/>
  <c r="F25" i="4"/>
  <c r="I25" i="4"/>
  <c r="M25" i="4"/>
  <c r="Q25" i="4"/>
  <c r="G25" i="4"/>
  <c r="K25" i="4"/>
  <c r="O25" i="4"/>
  <c r="G31" i="4"/>
  <c r="I31" i="4"/>
  <c r="K31" i="4"/>
  <c r="M31" i="4"/>
  <c r="O31" i="4"/>
  <c r="Q31" i="4"/>
  <c r="F31" i="4"/>
  <c r="H31" i="4"/>
  <c r="J31" i="4"/>
  <c r="L31" i="4"/>
  <c r="N31" i="4"/>
  <c r="P31" i="4"/>
  <c r="G36" i="4"/>
  <c r="I36" i="4"/>
  <c r="K36" i="4"/>
  <c r="M36" i="4"/>
  <c r="O36" i="4"/>
  <c r="Q36" i="4"/>
  <c r="F36" i="4"/>
  <c r="H36" i="4"/>
  <c r="J36" i="4"/>
  <c r="L36" i="4"/>
  <c r="N36" i="4"/>
  <c r="P36" i="4"/>
  <c r="G40" i="4"/>
  <c r="I40" i="4"/>
  <c r="K40" i="4"/>
  <c r="M40" i="4"/>
  <c r="O40" i="4"/>
  <c r="Q40" i="4"/>
  <c r="F40" i="4"/>
  <c r="J40" i="4"/>
  <c r="N40" i="4"/>
  <c r="H40" i="4"/>
  <c r="P40" i="4"/>
  <c r="L40" i="4"/>
  <c r="C16" i="4"/>
  <c r="D16" i="4" s="1"/>
  <c r="C15" i="4"/>
  <c r="C2" i="60" s="1"/>
  <c r="F26" i="4"/>
  <c r="H26" i="4"/>
  <c r="J26" i="4"/>
  <c r="L26" i="4"/>
  <c r="N26" i="4"/>
  <c r="P26" i="4"/>
  <c r="G26" i="4"/>
  <c r="I26" i="4"/>
  <c r="K26" i="4"/>
  <c r="M26" i="4"/>
  <c r="O26" i="4"/>
  <c r="Q26" i="4"/>
  <c r="F29" i="4"/>
  <c r="H29" i="4"/>
  <c r="J29" i="4"/>
  <c r="L29" i="4"/>
  <c r="N29" i="4"/>
  <c r="P29" i="4"/>
  <c r="G29" i="4"/>
  <c r="I29" i="4"/>
  <c r="K29" i="4"/>
  <c r="M29" i="4"/>
  <c r="O29" i="4"/>
  <c r="Q29" i="4"/>
  <c r="F33" i="4"/>
  <c r="H33" i="4"/>
  <c r="J33" i="4"/>
  <c r="L33" i="4"/>
  <c r="N33" i="4"/>
  <c r="P33" i="4"/>
  <c r="G33" i="4"/>
  <c r="I33" i="4"/>
  <c r="K33" i="4"/>
  <c r="M33" i="4"/>
  <c r="O33" i="4"/>
  <c r="Q33" i="4"/>
  <c r="G15" i="4"/>
  <c r="L2" i="60" s="1"/>
  <c r="R42" i="4"/>
  <c r="S42" i="4" s="1"/>
  <c r="R38" i="4"/>
  <c r="S38" i="4" s="1"/>
  <c r="O16" i="4"/>
  <c r="K15" i="4"/>
  <c r="P2" i="60" s="1"/>
  <c r="I15" i="4"/>
  <c r="N2" i="60" s="1"/>
  <c r="M15" i="4"/>
  <c r="R2" i="60" s="1"/>
  <c r="Q15" i="4"/>
  <c r="V2" i="60" s="1"/>
  <c r="R10" i="4"/>
  <c r="R10" i="62" s="1"/>
  <c r="G16" i="4"/>
  <c r="F28" i="4"/>
  <c r="I28" i="4"/>
  <c r="M28" i="4"/>
  <c r="Q28" i="4"/>
  <c r="G28" i="4"/>
  <c r="K28" i="4"/>
  <c r="O28" i="4"/>
  <c r="F32" i="4"/>
  <c r="I32" i="4"/>
  <c r="M32" i="4"/>
  <c r="Q32" i="4"/>
  <c r="G32" i="4"/>
  <c r="K32" i="4"/>
  <c r="O32" i="4"/>
  <c r="F37" i="4"/>
  <c r="I37" i="4"/>
  <c r="M37" i="4"/>
  <c r="Q37" i="4"/>
  <c r="G37" i="4"/>
  <c r="O37" i="4"/>
  <c r="K37" i="4"/>
  <c r="F41" i="4"/>
  <c r="I41" i="4"/>
  <c r="M41" i="4"/>
  <c r="Q41" i="4"/>
  <c r="K41" i="4"/>
  <c r="O41" i="4"/>
  <c r="G41" i="4"/>
  <c r="F27" i="4"/>
  <c r="G27" i="4"/>
  <c r="K27" i="4"/>
  <c r="O27" i="4"/>
  <c r="I27" i="4"/>
  <c r="M27" i="4"/>
  <c r="Q27" i="4"/>
  <c r="F30" i="4"/>
  <c r="G30" i="4"/>
  <c r="K30" i="4"/>
  <c r="O30" i="4"/>
  <c r="I30" i="4"/>
  <c r="M30" i="4"/>
  <c r="Q30" i="4"/>
  <c r="F34" i="4"/>
  <c r="G34" i="4"/>
  <c r="K34" i="4"/>
  <c r="O34" i="4"/>
  <c r="I34" i="4"/>
  <c r="M34" i="4"/>
  <c r="Q34" i="4"/>
  <c r="R39" i="4"/>
  <c r="S39" i="4" s="1"/>
  <c r="R11" i="4"/>
  <c r="S13" i="4"/>
  <c r="S8" i="4"/>
  <c r="I2" i="60" l="1"/>
  <c r="J2" i="60" s="1"/>
  <c r="S11" i="4"/>
  <c r="R11" i="62"/>
  <c r="S14" i="4"/>
  <c r="R14" i="62"/>
  <c r="C15" i="62"/>
  <c r="R25" i="4"/>
  <c r="S25" i="4" s="1"/>
  <c r="R41" i="4"/>
  <c r="S41" i="4" s="1"/>
  <c r="R37" i="4"/>
  <c r="S37" i="4" s="1"/>
  <c r="R30" i="4"/>
  <c r="S30" i="4" s="1"/>
  <c r="W2" i="60"/>
  <c r="F31" i="13"/>
  <c r="F32" i="13" s="1"/>
  <c r="R24" i="13"/>
  <c r="T24" i="13" s="1"/>
  <c r="R12" i="13"/>
  <c r="T12" i="13" s="1"/>
  <c r="R28" i="13"/>
  <c r="T28" i="13" s="1"/>
  <c r="G31" i="13"/>
  <c r="G32" i="13" s="1"/>
  <c r="K31" i="13"/>
  <c r="K32" i="13" s="1"/>
  <c r="O31" i="13"/>
  <c r="O32" i="13" s="1"/>
  <c r="J31" i="13"/>
  <c r="J32" i="13" s="1"/>
  <c r="N31" i="13"/>
  <c r="N32" i="13" s="1"/>
  <c r="R27" i="13"/>
  <c r="T27" i="13" s="1"/>
  <c r="R11" i="13"/>
  <c r="T11" i="13" s="1"/>
  <c r="R8" i="13"/>
  <c r="T8" i="13" s="1"/>
  <c r="I31" i="13"/>
  <c r="I32" i="13" s="1"/>
  <c r="M31" i="13"/>
  <c r="M32" i="13" s="1"/>
  <c r="Q31" i="13"/>
  <c r="Q32" i="13" s="1"/>
  <c r="H31" i="13"/>
  <c r="H32" i="13" s="1"/>
  <c r="L31" i="13"/>
  <c r="L32" i="13" s="1"/>
  <c r="P31" i="13"/>
  <c r="P32" i="13" s="1"/>
  <c r="R44" i="13"/>
  <c r="T44" i="13" s="1"/>
  <c r="R14" i="13"/>
  <c r="T14" i="13" s="1"/>
  <c r="R30" i="13"/>
  <c r="T30" i="13" s="1"/>
  <c r="R26" i="13"/>
  <c r="T26" i="13" s="1"/>
  <c r="R10" i="13"/>
  <c r="T10" i="13" s="1"/>
  <c r="R15" i="13"/>
  <c r="T15" i="13" s="1"/>
  <c r="F32" i="10"/>
  <c r="F33" i="10" s="1"/>
  <c r="R25" i="10"/>
  <c r="T25" i="10" s="1"/>
  <c r="R9" i="10"/>
  <c r="T9" i="10" s="1"/>
  <c r="R13" i="10"/>
  <c r="T13" i="10" s="1"/>
  <c r="R29" i="10"/>
  <c r="T29" i="10" s="1"/>
  <c r="G32" i="10"/>
  <c r="G33" i="10" s="1"/>
  <c r="K32" i="10"/>
  <c r="K33" i="10" s="1"/>
  <c r="O32" i="10"/>
  <c r="O33" i="10" s="1"/>
  <c r="J32" i="10"/>
  <c r="J33" i="10" s="1"/>
  <c r="N32" i="10"/>
  <c r="N33" i="10" s="1"/>
  <c r="R49" i="10"/>
  <c r="T49" i="10" s="1"/>
  <c r="R11" i="10"/>
  <c r="T11" i="10" s="1"/>
  <c r="I32" i="10"/>
  <c r="I33" i="10" s="1"/>
  <c r="M32" i="10"/>
  <c r="M33" i="10" s="1"/>
  <c r="Q32" i="10"/>
  <c r="Q33" i="10" s="1"/>
  <c r="H32" i="10"/>
  <c r="H33" i="10" s="1"/>
  <c r="L32" i="10"/>
  <c r="L33" i="10" s="1"/>
  <c r="P32" i="10"/>
  <c r="P33" i="10" s="1"/>
  <c r="R28" i="10"/>
  <c r="T28" i="10" s="1"/>
  <c r="R12" i="10"/>
  <c r="T12" i="10" s="1"/>
  <c r="R10" i="10"/>
  <c r="T10" i="10" s="1"/>
  <c r="R15" i="10"/>
  <c r="T15" i="10" s="1"/>
  <c r="R31" i="10"/>
  <c r="T31" i="10" s="1"/>
  <c r="R27" i="10"/>
  <c r="T27" i="10" s="1"/>
  <c r="F42" i="8"/>
  <c r="R28" i="8"/>
  <c r="T28" i="8" s="1"/>
  <c r="R30" i="8"/>
  <c r="T30" i="8" s="1"/>
  <c r="G42" i="8"/>
  <c r="K42" i="8"/>
  <c r="O42" i="8"/>
  <c r="J42" i="8"/>
  <c r="N42" i="8"/>
  <c r="R41" i="8"/>
  <c r="T41" i="8" s="1"/>
  <c r="I42" i="8"/>
  <c r="M42" i="8"/>
  <c r="Q42" i="8"/>
  <c r="H42" i="8"/>
  <c r="L42" i="8"/>
  <c r="P42" i="8"/>
  <c r="R29" i="8"/>
  <c r="T29" i="8" s="1"/>
  <c r="S19" i="7"/>
  <c r="R40" i="7"/>
  <c r="S40" i="7" s="1"/>
  <c r="R40" i="5"/>
  <c r="S40" i="5" s="1"/>
  <c r="R28" i="4"/>
  <c r="S28" i="4" s="1"/>
  <c r="R34" i="4"/>
  <c r="S34" i="4" s="1"/>
  <c r="R27" i="4"/>
  <c r="S27" i="4" s="1"/>
  <c r="R32" i="4"/>
  <c r="S32" i="4" s="1"/>
  <c r="S10" i="4"/>
  <c r="R16" i="4"/>
  <c r="S16" i="4" s="1"/>
  <c r="R15" i="4"/>
  <c r="S15" i="4" s="1"/>
  <c r="R33" i="4"/>
  <c r="S33" i="4" s="1"/>
  <c r="R29" i="4"/>
  <c r="S29" i="4" s="1"/>
  <c r="R26" i="4"/>
  <c r="S26" i="4" s="1"/>
  <c r="R22" i="4"/>
  <c r="S22" i="4" s="1"/>
  <c r="R40" i="4"/>
  <c r="S40" i="4" s="1"/>
  <c r="R36" i="4"/>
  <c r="S36" i="4" s="1"/>
  <c r="R31" i="4"/>
  <c r="S31" i="4" s="1"/>
  <c r="R24" i="4"/>
  <c r="S24" i="4" s="1"/>
  <c r="X2" i="60" l="1"/>
  <c r="R23" i="13"/>
  <c r="T23" i="13" s="1"/>
  <c r="R31" i="13"/>
  <c r="T31" i="13" s="1"/>
  <c r="R24" i="10"/>
  <c r="T24" i="10" s="1"/>
  <c r="R32" i="10"/>
  <c r="T32" i="10" s="1"/>
  <c r="R42" i="8"/>
  <c r="T42" i="8" s="1"/>
  <c r="R32" i="13" l="1"/>
  <c r="T32" i="13" s="1"/>
  <c r="R33" i="10"/>
  <c r="T33" i="10" s="1"/>
  <c r="C98" i="61" l="1"/>
  <c r="C94" i="58" l="1"/>
  <c r="D94" i="58" s="1"/>
  <c r="P94" i="58" s="1"/>
  <c r="D98" i="61"/>
  <c r="M98" i="61" l="1"/>
  <c r="L98" i="61"/>
  <c r="O94" i="58"/>
  <c r="P4" i="42" s="1"/>
  <c r="K94" i="58"/>
  <c r="G94" i="58"/>
  <c r="H4" i="42" s="1"/>
  <c r="L94" i="58"/>
  <c r="M4" i="41" s="1"/>
  <c r="H94" i="58"/>
  <c r="I4" i="41" s="1"/>
  <c r="E94" i="58"/>
  <c r="F4" i="44" s="1"/>
  <c r="M94" i="58"/>
  <c r="N4" i="42" s="1"/>
  <c r="I94" i="58"/>
  <c r="J4" i="44" s="1"/>
  <c r="N94" i="58"/>
  <c r="O4" i="44" s="1"/>
  <c r="J94" i="58"/>
  <c r="F94" i="58"/>
  <c r="G4" i="44" s="1"/>
  <c r="J98" i="61"/>
  <c r="C4" i="42"/>
  <c r="D27" i="42" s="1"/>
  <c r="C4" i="41"/>
  <c r="C4" i="44"/>
  <c r="F4" i="42"/>
  <c r="F4" i="41"/>
  <c r="J4" i="41"/>
  <c r="J4" i="42"/>
  <c r="K4" i="41"/>
  <c r="K4" i="42"/>
  <c r="K4" i="44"/>
  <c r="Q4" i="42"/>
  <c r="Q4" i="44"/>
  <c r="Q4" i="41"/>
  <c r="H4" i="44"/>
  <c r="O4" i="42"/>
  <c r="P4" i="44"/>
  <c r="L4" i="44"/>
  <c r="L4" i="41"/>
  <c r="L4" i="42"/>
  <c r="M4" i="42"/>
  <c r="M4" i="44" l="1"/>
  <c r="Q94" i="58"/>
  <c r="R94" i="58" s="1"/>
  <c r="N4" i="44"/>
  <c r="G4" i="42"/>
  <c r="I4" i="42"/>
  <c r="N4" i="41"/>
  <c r="P4" i="41"/>
  <c r="O4" i="41"/>
  <c r="I4" i="44"/>
  <c r="H4" i="41"/>
  <c r="R4" i="41" s="1"/>
  <c r="S4" i="41" s="1"/>
  <c r="G4" i="41"/>
  <c r="D21" i="42"/>
  <c r="O21" i="42" s="1"/>
  <c r="D20" i="42"/>
  <c r="I20" i="42" s="1"/>
  <c r="D28" i="42"/>
  <c r="I28" i="42" s="1"/>
  <c r="D18" i="42"/>
  <c r="K18" i="42" s="1"/>
  <c r="D22" i="42"/>
  <c r="G22" i="42" s="1"/>
  <c r="D26" i="42"/>
  <c r="D19" i="42"/>
  <c r="F19" i="42" s="1"/>
  <c r="D29" i="42"/>
  <c r="N29" i="42" s="1"/>
  <c r="D17" i="42"/>
  <c r="J17" i="42" s="1"/>
  <c r="D16" i="42"/>
  <c r="M16" i="42" s="1"/>
  <c r="D23" i="42"/>
  <c r="J23" i="42" s="1"/>
  <c r="D24" i="42"/>
  <c r="P24" i="42" s="1"/>
  <c r="D25" i="42"/>
  <c r="K25" i="42" s="1"/>
  <c r="R4" i="42"/>
  <c r="S4" i="42" s="1"/>
  <c r="K27" i="42"/>
  <c r="J27" i="42"/>
  <c r="H27" i="42"/>
  <c r="I27" i="42"/>
  <c r="G27" i="42"/>
  <c r="N27" i="42"/>
  <c r="Q27" i="42"/>
  <c r="O27" i="42"/>
  <c r="P27" i="42"/>
  <c r="L27" i="42"/>
  <c r="M27" i="42"/>
  <c r="F27" i="42"/>
  <c r="R4" i="44"/>
  <c r="S4" i="44" s="1"/>
  <c r="G26" i="42" l="1"/>
  <c r="J21" i="42"/>
  <c r="K22" i="42"/>
  <c r="G20" i="42"/>
  <c r="N19" i="42"/>
  <c r="Q19" i="42"/>
  <c r="K28" i="42"/>
  <c r="I21" i="42"/>
  <c r="O22" i="42"/>
  <c r="M21" i="42"/>
  <c r="I22" i="42"/>
  <c r="P28" i="42"/>
  <c r="G28" i="42"/>
  <c r="G24" i="42"/>
  <c r="J20" i="42"/>
  <c r="O24" i="42"/>
  <c r="I18" i="42"/>
  <c r="Q16" i="42"/>
  <c r="K24" i="42"/>
  <c r="H16" i="42"/>
  <c r="K16" i="42"/>
  <c r="P20" i="42"/>
  <c r="N25" i="42"/>
  <c r="I23" i="42"/>
  <c r="Q28" i="42"/>
  <c r="J28" i="42"/>
  <c r="N28" i="42"/>
  <c r="H22" i="42"/>
  <c r="L22" i="42"/>
  <c r="N22" i="42"/>
  <c r="N21" i="42"/>
  <c r="H21" i="42"/>
  <c r="G21" i="42"/>
  <c r="M19" i="42"/>
  <c r="P19" i="42"/>
  <c r="G19" i="42"/>
  <c r="Q24" i="42"/>
  <c r="N24" i="42"/>
  <c r="J24" i="42"/>
  <c r="G16" i="42"/>
  <c r="J16" i="42"/>
  <c r="O16" i="42"/>
  <c r="F20" i="42"/>
  <c r="M20" i="42"/>
  <c r="Q20" i="42"/>
  <c r="O26" i="42"/>
  <c r="K23" i="42"/>
  <c r="F28" i="42"/>
  <c r="H28" i="42"/>
  <c r="M28" i="42"/>
  <c r="L28" i="42"/>
  <c r="O28" i="42"/>
  <c r="F22" i="42"/>
  <c r="J22" i="42"/>
  <c r="M22" i="42"/>
  <c r="P22" i="42"/>
  <c r="Q22" i="42"/>
  <c r="L21" i="42"/>
  <c r="K21" i="42"/>
  <c r="Q21" i="42"/>
  <c r="P21" i="42"/>
  <c r="F21" i="42"/>
  <c r="O19" i="42"/>
  <c r="I19" i="42"/>
  <c r="H19" i="42"/>
  <c r="K19" i="42"/>
  <c r="J19" i="42"/>
  <c r="L19" i="42"/>
  <c r="F24" i="42"/>
  <c r="L24" i="42"/>
  <c r="I24" i="42"/>
  <c r="H24" i="42"/>
  <c r="M24" i="42"/>
  <c r="F16" i="42"/>
  <c r="N16" i="42"/>
  <c r="P16" i="42"/>
  <c r="L16" i="42"/>
  <c r="I16" i="42"/>
  <c r="Q18" i="42"/>
  <c r="M18" i="42"/>
  <c r="H20" i="42"/>
  <c r="K20" i="42"/>
  <c r="L20" i="42"/>
  <c r="O20" i="42"/>
  <c r="N20" i="42"/>
  <c r="L29" i="42"/>
  <c r="G17" i="42"/>
  <c r="K26" i="42"/>
  <c r="I26" i="42"/>
  <c r="I29" i="42"/>
  <c r="L25" i="42"/>
  <c r="J25" i="42"/>
  <c r="M23" i="42"/>
  <c r="P18" i="42"/>
  <c r="G18" i="42"/>
  <c r="H18" i="42"/>
  <c r="N26" i="42"/>
  <c r="J26" i="42"/>
  <c r="L26" i="42"/>
  <c r="O17" i="42"/>
  <c r="K17" i="42"/>
  <c r="J29" i="42"/>
  <c r="F25" i="42"/>
  <c r="O25" i="42"/>
  <c r="I25" i="42"/>
  <c r="F23" i="42"/>
  <c r="L23" i="42"/>
  <c r="H23" i="42"/>
  <c r="J18" i="42"/>
  <c r="O18" i="42"/>
  <c r="L18" i="42"/>
  <c r="F18" i="42"/>
  <c r="N18" i="42"/>
  <c r="F26" i="42"/>
  <c r="H26" i="42"/>
  <c r="M26" i="42"/>
  <c r="P26" i="42"/>
  <c r="Q26" i="42"/>
  <c r="L17" i="42"/>
  <c r="F17" i="42"/>
  <c r="H17" i="42"/>
  <c r="Q29" i="42"/>
  <c r="M29" i="42"/>
  <c r="H29" i="42"/>
  <c r="M25" i="42"/>
  <c r="P25" i="42"/>
  <c r="Q25" i="42"/>
  <c r="G25" i="42"/>
  <c r="H25" i="42"/>
  <c r="G23" i="42"/>
  <c r="Q23" i="42"/>
  <c r="P23" i="42"/>
  <c r="N23" i="42"/>
  <c r="O23" i="42"/>
  <c r="M17" i="42"/>
  <c r="P17" i="42"/>
  <c r="Q17" i="42"/>
  <c r="N17" i="42"/>
  <c r="I17" i="42"/>
  <c r="F29" i="42"/>
  <c r="K29" i="42"/>
  <c r="O29" i="42"/>
  <c r="G29" i="42"/>
  <c r="P29" i="42"/>
  <c r="R27" i="42"/>
  <c r="S27" i="42" s="1"/>
  <c r="R15" i="42"/>
  <c r="S15" i="42" s="1"/>
  <c r="R13" i="42"/>
  <c r="S13" i="42" s="1"/>
  <c r="R19" i="42" l="1"/>
  <c r="S19" i="42" s="1"/>
  <c r="R28" i="42"/>
  <c r="S28" i="42" s="1"/>
  <c r="R24" i="42"/>
  <c r="S24" i="42" s="1"/>
  <c r="R22" i="42"/>
  <c r="S22" i="42" s="1"/>
  <c r="R20" i="42"/>
  <c r="S20" i="42" s="1"/>
  <c r="R21" i="42"/>
  <c r="S21" i="42" s="1"/>
  <c r="R16" i="42"/>
  <c r="S16" i="42" s="1"/>
  <c r="R18" i="42"/>
  <c r="S18" i="42" s="1"/>
  <c r="R26" i="42"/>
  <c r="S26" i="42" s="1"/>
  <c r="R29" i="42"/>
  <c r="S29" i="42" s="1"/>
  <c r="R17" i="42"/>
  <c r="S17" i="42" s="1"/>
  <c r="R23" i="42"/>
  <c r="S23" i="42" s="1"/>
  <c r="R25" i="42"/>
  <c r="S25" i="42" s="1"/>
  <c r="D50" i="23" l="1"/>
  <c r="C61" i="23"/>
  <c r="C40" i="21"/>
  <c r="C41" i="21" l="1"/>
  <c r="D61" i="23"/>
  <c r="C62" i="23"/>
  <c r="K50" i="23"/>
  <c r="N50" i="23"/>
  <c r="F50" i="23"/>
  <c r="M50" i="23"/>
  <c r="P50" i="23"/>
  <c r="H50" i="23"/>
  <c r="O50" i="23"/>
  <c r="G50" i="23"/>
  <c r="J50" i="23"/>
  <c r="Q50" i="23"/>
  <c r="I50" i="23"/>
  <c r="L50" i="23"/>
  <c r="I26" i="60"/>
  <c r="J26" i="60" s="1"/>
  <c r="C56" i="20"/>
  <c r="D44" i="20"/>
  <c r="D56" i="20" l="1"/>
  <c r="C57" i="20"/>
  <c r="I23" i="60"/>
  <c r="J23" i="60" s="1"/>
  <c r="I40" i="21"/>
  <c r="J40" i="21"/>
  <c r="O40" i="21"/>
  <c r="P40" i="21"/>
  <c r="F40" i="21"/>
  <c r="R39" i="21"/>
  <c r="S39" i="21" s="1"/>
  <c r="K40" i="21"/>
  <c r="I61" i="23"/>
  <c r="J61" i="23"/>
  <c r="O61" i="23"/>
  <c r="P61" i="23"/>
  <c r="F61" i="23"/>
  <c r="R50" i="23"/>
  <c r="S50" i="23" s="1"/>
  <c r="K61" i="23"/>
  <c r="N44" i="20"/>
  <c r="F44" i="20"/>
  <c r="K44" i="20"/>
  <c r="P44" i="20"/>
  <c r="H44" i="20"/>
  <c r="M44" i="20"/>
  <c r="J44" i="20"/>
  <c r="O44" i="20"/>
  <c r="G44" i="20"/>
  <c r="L44" i="20"/>
  <c r="Q44" i="20"/>
  <c r="I44" i="20"/>
  <c r="L40" i="21"/>
  <c r="Q40" i="21"/>
  <c r="G40" i="21"/>
  <c r="H40" i="21"/>
  <c r="M40" i="21"/>
  <c r="N40" i="21"/>
  <c r="L61" i="23"/>
  <c r="Q61" i="23"/>
  <c r="G61" i="23"/>
  <c r="H61" i="23"/>
  <c r="M61" i="23"/>
  <c r="N61" i="23"/>
  <c r="I56" i="20" l="1"/>
  <c r="L56" i="20"/>
  <c r="O56" i="20"/>
  <c r="M56" i="20"/>
  <c r="P56" i="20"/>
  <c r="F56" i="20"/>
  <c r="R44" i="20"/>
  <c r="S44" i="20" s="1"/>
  <c r="R61" i="23"/>
  <c r="S61" i="23" s="1"/>
  <c r="Q56" i="20"/>
  <c r="G56" i="20"/>
  <c r="J56" i="20"/>
  <c r="H56" i="20"/>
  <c r="K56" i="20"/>
  <c r="N56" i="20"/>
  <c r="R40" i="21"/>
  <c r="S40" i="21" s="1"/>
  <c r="R56" i="20" l="1"/>
  <c r="S56" i="20" s="1"/>
  <c r="C31" i="61"/>
  <c r="C27" i="58" l="1"/>
  <c r="D27" i="58" s="1"/>
  <c r="F27" i="58" s="1"/>
  <c r="D31" i="61"/>
  <c r="G27" i="58" l="1"/>
  <c r="G29" i="58" s="1"/>
  <c r="H4" i="15" s="1"/>
  <c r="K27" i="58"/>
  <c r="L2" i="15" s="1"/>
  <c r="D29" i="58"/>
  <c r="L27" i="58"/>
  <c r="O27" i="58"/>
  <c r="P2" i="15" s="1"/>
  <c r="H27" i="58"/>
  <c r="H29" i="58" s="1"/>
  <c r="I4" i="15" s="1"/>
  <c r="L31" i="61"/>
  <c r="M31" i="61"/>
  <c r="E27" i="58"/>
  <c r="E29" i="58" s="1"/>
  <c r="M27" i="58"/>
  <c r="M29" i="58" s="1"/>
  <c r="N4" i="15" s="1"/>
  <c r="I27" i="58"/>
  <c r="I29" i="58" s="1"/>
  <c r="J4" i="15" s="1"/>
  <c r="N27" i="58"/>
  <c r="J27" i="58"/>
  <c r="K2" i="15" s="1"/>
  <c r="P27" i="58"/>
  <c r="Q2" i="15" s="1"/>
  <c r="Q19" i="15" s="1"/>
  <c r="C2" i="15"/>
  <c r="J31" i="61"/>
  <c r="D33" i="61"/>
  <c r="F29" i="58"/>
  <c r="G4" i="15" s="1"/>
  <c r="G2" i="15"/>
  <c r="F2" i="15"/>
  <c r="H2" i="15"/>
  <c r="K29" i="58"/>
  <c r="L4" i="15" s="1"/>
  <c r="L29" i="58"/>
  <c r="M4" i="15" s="1"/>
  <c r="M2" i="15"/>
  <c r="J29" i="58"/>
  <c r="K4" i="15" s="1"/>
  <c r="N29" i="58"/>
  <c r="O4" i="15" s="1"/>
  <c r="O2" i="15"/>
  <c r="N2" i="15"/>
  <c r="J2" i="15" l="1"/>
  <c r="O29" i="58"/>
  <c r="P4" i="15" s="1"/>
  <c r="Q27" i="58"/>
  <c r="R27" i="58" s="1"/>
  <c r="I2" i="15"/>
  <c r="P29" i="58"/>
  <c r="Q4" i="15" s="1"/>
  <c r="L33" i="61"/>
  <c r="M33" i="61"/>
  <c r="C14" i="15"/>
  <c r="C25" i="15"/>
  <c r="C23" i="15"/>
  <c r="C24" i="15"/>
  <c r="C22" i="15"/>
  <c r="C19" i="15"/>
  <c r="C21" i="15"/>
  <c r="C20" i="15"/>
  <c r="C16" i="15"/>
  <c r="C17" i="15"/>
  <c r="C15" i="15"/>
  <c r="C11" i="15"/>
  <c r="C13" i="15"/>
  <c r="C12" i="15"/>
  <c r="G22" i="15"/>
  <c r="G13" i="15"/>
  <c r="G16" i="15"/>
  <c r="G23" i="15"/>
  <c r="G17" i="15"/>
  <c r="G14" i="15"/>
  <c r="G19" i="15"/>
  <c r="G24" i="15"/>
  <c r="G20" i="15"/>
  <c r="G12" i="15"/>
  <c r="G25" i="15"/>
  <c r="G21" i="15"/>
  <c r="G15" i="15"/>
  <c r="G11" i="15"/>
  <c r="P22" i="15"/>
  <c r="P12" i="15"/>
  <c r="P16" i="15"/>
  <c r="P23" i="15"/>
  <c r="P17" i="15"/>
  <c r="P15" i="15"/>
  <c r="P19" i="15"/>
  <c r="P24" i="15"/>
  <c r="P20" i="15"/>
  <c r="P14" i="15"/>
  <c r="P25" i="15"/>
  <c r="P21" i="15"/>
  <c r="P13" i="15"/>
  <c r="P11" i="15"/>
  <c r="C4" i="15"/>
  <c r="D53" i="15" s="1"/>
  <c r="N22" i="15"/>
  <c r="N12" i="15"/>
  <c r="N16" i="15"/>
  <c r="N23" i="15"/>
  <c r="N17" i="15"/>
  <c r="N15" i="15"/>
  <c r="N19" i="15"/>
  <c r="N24" i="15"/>
  <c r="N20" i="15"/>
  <c r="N14" i="15"/>
  <c r="N25" i="15"/>
  <c r="N21" i="15"/>
  <c r="N13" i="15"/>
  <c r="N11" i="15"/>
  <c r="I22" i="15"/>
  <c r="I12" i="15"/>
  <c r="I15" i="15"/>
  <c r="I23" i="15"/>
  <c r="I17" i="15"/>
  <c r="I13" i="15"/>
  <c r="I19" i="15"/>
  <c r="I24" i="15"/>
  <c r="I20" i="15"/>
  <c r="I16" i="15"/>
  <c r="I25" i="15"/>
  <c r="I21" i="15"/>
  <c r="I14" i="15"/>
  <c r="I11" i="15"/>
  <c r="O22" i="15"/>
  <c r="O13" i="15"/>
  <c r="O16" i="15"/>
  <c r="O23" i="15"/>
  <c r="O17" i="15"/>
  <c r="O14" i="15"/>
  <c r="O19" i="15"/>
  <c r="O24" i="15"/>
  <c r="O20" i="15"/>
  <c r="O12" i="15"/>
  <c r="O25" i="15"/>
  <c r="O21" i="15"/>
  <c r="O15" i="15"/>
  <c r="O11" i="15"/>
  <c r="K22" i="15"/>
  <c r="K13" i="15"/>
  <c r="K16" i="15"/>
  <c r="K23" i="15"/>
  <c r="K17" i="15"/>
  <c r="K14" i="15"/>
  <c r="K19" i="15"/>
  <c r="K24" i="15"/>
  <c r="K20" i="15"/>
  <c r="K12" i="15"/>
  <c r="K25" i="15"/>
  <c r="K21" i="15"/>
  <c r="K15" i="15"/>
  <c r="K11" i="15"/>
  <c r="J22" i="15"/>
  <c r="J12" i="15"/>
  <c r="J16" i="15"/>
  <c r="J23" i="15"/>
  <c r="J17" i="15"/>
  <c r="J15" i="15"/>
  <c r="J19" i="15"/>
  <c r="J24" i="15"/>
  <c r="J20" i="15"/>
  <c r="J14" i="15"/>
  <c r="J25" i="15"/>
  <c r="J21" i="15"/>
  <c r="J13" i="15"/>
  <c r="J11" i="15"/>
  <c r="M22" i="15"/>
  <c r="M12" i="15"/>
  <c r="M15" i="15"/>
  <c r="M23" i="15"/>
  <c r="M17" i="15"/>
  <c r="M13" i="15"/>
  <c r="M19" i="15"/>
  <c r="M24" i="15"/>
  <c r="M20" i="15"/>
  <c r="M16" i="15"/>
  <c r="M25" i="15"/>
  <c r="M21" i="15"/>
  <c r="M14" i="15"/>
  <c r="M11" i="15"/>
  <c r="L22" i="15"/>
  <c r="L12" i="15"/>
  <c r="L16" i="15"/>
  <c r="L23" i="15"/>
  <c r="L17" i="15"/>
  <c r="L15" i="15"/>
  <c r="L19" i="15"/>
  <c r="L24" i="15"/>
  <c r="L20" i="15"/>
  <c r="L14" i="15"/>
  <c r="L25" i="15"/>
  <c r="L21" i="15"/>
  <c r="L13" i="15"/>
  <c r="L11" i="15"/>
  <c r="H22" i="15"/>
  <c r="H12" i="15"/>
  <c r="H16" i="15"/>
  <c r="H23" i="15"/>
  <c r="H17" i="15"/>
  <c r="H15" i="15"/>
  <c r="H19" i="15"/>
  <c r="H24" i="15"/>
  <c r="H20" i="15"/>
  <c r="H14" i="15"/>
  <c r="H25" i="15"/>
  <c r="H21" i="15"/>
  <c r="H13" i="15"/>
  <c r="H11" i="15"/>
  <c r="Q22" i="15"/>
  <c r="Q12" i="15"/>
  <c r="Q15" i="15"/>
  <c r="Q23" i="15"/>
  <c r="Q17" i="15"/>
  <c r="Q13" i="15"/>
  <c r="Q24" i="15"/>
  <c r="Q20" i="15"/>
  <c r="Q16" i="15"/>
  <c r="Q25" i="15"/>
  <c r="Q21" i="15"/>
  <c r="Q14" i="15"/>
  <c r="Q11" i="15"/>
  <c r="F22" i="15"/>
  <c r="F24" i="15"/>
  <c r="F25" i="15"/>
  <c r="F15" i="15"/>
  <c r="F16" i="15"/>
  <c r="F14" i="15"/>
  <c r="F23" i="15"/>
  <c r="F12" i="15"/>
  <c r="F20" i="15"/>
  <c r="F21" i="15"/>
  <c r="F17" i="15"/>
  <c r="R2" i="15"/>
  <c r="R4" i="15" s="1"/>
  <c r="F19" i="15"/>
  <c r="F13" i="15"/>
  <c r="F11" i="15"/>
  <c r="J33" i="61"/>
  <c r="F4" i="15"/>
  <c r="Q29" i="58" l="1"/>
  <c r="R29" i="58" s="1"/>
  <c r="G53" i="15"/>
  <c r="N53" i="15"/>
  <c r="P53" i="15"/>
  <c r="H53" i="15"/>
  <c r="Q53" i="15"/>
  <c r="M53" i="15"/>
  <c r="I53" i="15"/>
  <c r="F53" i="15"/>
  <c r="J53" i="15"/>
  <c r="L53" i="15"/>
  <c r="O53" i="15"/>
  <c r="K53" i="15"/>
  <c r="R23" i="15"/>
  <c r="S23" i="15" s="1"/>
  <c r="R17" i="15"/>
  <c r="S17" i="15" s="1"/>
  <c r="R20" i="15"/>
  <c r="S20" i="15" s="1"/>
  <c r="R25" i="15"/>
  <c r="S25" i="15" s="1"/>
  <c r="R22" i="15"/>
  <c r="S22" i="15" s="1"/>
  <c r="R13" i="15"/>
  <c r="S13" i="15" s="1"/>
  <c r="R21" i="15"/>
  <c r="S21" i="15" s="1"/>
  <c r="R12" i="15"/>
  <c r="S12" i="15" s="1"/>
  <c r="R24" i="15"/>
  <c r="S24" i="15" s="1"/>
  <c r="R14" i="15"/>
  <c r="S14" i="15" s="1"/>
  <c r="R15" i="15"/>
  <c r="S15" i="15" s="1"/>
  <c r="Q18" i="15"/>
  <c r="H18" i="15"/>
  <c r="L18" i="15"/>
  <c r="M18" i="15"/>
  <c r="N18" i="15"/>
  <c r="J18" i="15"/>
  <c r="K18" i="15"/>
  <c r="O18" i="15"/>
  <c r="I18" i="15"/>
  <c r="S4" i="15"/>
  <c r="D56" i="15"/>
  <c r="D58" i="15"/>
  <c r="D49" i="15"/>
  <c r="D60" i="15"/>
  <c r="D46" i="15"/>
  <c r="D47" i="15"/>
  <c r="D59" i="15"/>
  <c r="D48" i="15"/>
  <c r="D62" i="15"/>
  <c r="D54" i="15"/>
  <c r="D51" i="15"/>
  <c r="D57" i="15"/>
  <c r="D50" i="15"/>
  <c r="D52" i="15"/>
  <c r="D55" i="15"/>
  <c r="D61" i="15"/>
  <c r="D45" i="15"/>
  <c r="C26" i="15"/>
  <c r="C233" i="62"/>
  <c r="C226" i="62"/>
  <c r="C230" i="62"/>
  <c r="C231" i="62"/>
  <c r="C235" i="62"/>
  <c r="C234" i="62"/>
  <c r="C237" i="62"/>
  <c r="P26" i="15"/>
  <c r="G26" i="15"/>
  <c r="R11" i="15"/>
  <c r="S11" i="15" s="1"/>
  <c r="F18" i="15"/>
  <c r="R19" i="15"/>
  <c r="S19" i="15" s="1"/>
  <c r="F26" i="15"/>
  <c r="C229" i="62"/>
  <c r="C225" i="62"/>
  <c r="C18" i="15"/>
  <c r="C228" i="62"/>
  <c r="C227" i="62"/>
  <c r="C238" i="62"/>
  <c r="C239" i="62"/>
  <c r="C236" i="62"/>
  <c r="R16" i="15"/>
  <c r="S16" i="15" s="1"/>
  <c r="Q26" i="15"/>
  <c r="H26" i="15"/>
  <c r="L26" i="15"/>
  <c r="M26" i="15"/>
  <c r="J26" i="15"/>
  <c r="K26" i="15"/>
  <c r="O26" i="15"/>
  <c r="I26" i="15"/>
  <c r="N26" i="15"/>
  <c r="S2" i="15"/>
  <c r="P18" i="15"/>
  <c r="G18" i="15"/>
  <c r="R53" i="15" l="1"/>
  <c r="S53" i="15" s="1"/>
  <c r="C35" i="15"/>
  <c r="C240" i="62"/>
  <c r="L61" i="15"/>
  <c r="M61" i="15"/>
  <c r="J61" i="15"/>
  <c r="P61" i="15"/>
  <c r="Q61" i="15"/>
  <c r="F61" i="15"/>
  <c r="H61" i="15"/>
  <c r="N61" i="15"/>
  <c r="G61" i="15"/>
  <c r="I61" i="15"/>
  <c r="O61" i="15"/>
  <c r="K61" i="15"/>
  <c r="I52" i="15"/>
  <c r="O52" i="15"/>
  <c r="H52" i="15"/>
  <c r="N52" i="15"/>
  <c r="P52" i="15"/>
  <c r="L52" i="15"/>
  <c r="F52" i="15"/>
  <c r="J52" i="15"/>
  <c r="M52" i="15"/>
  <c r="Q52" i="15"/>
  <c r="K52" i="15"/>
  <c r="G52" i="15"/>
  <c r="M57" i="15"/>
  <c r="H57" i="15"/>
  <c r="N57" i="15"/>
  <c r="I57" i="15"/>
  <c r="O57" i="15"/>
  <c r="J57" i="15"/>
  <c r="P57" i="15"/>
  <c r="K57" i="15"/>
  <c r="Q57" i="15"/>
  <c r="L57" i="15"/>
  <c r="G57" i="15"/>
  <c r="F57" i="15"/>
  <c r="R41" i="15"/>
  <c r="S41" i="15" s="1"/>
  <c r="M62" i="15"/>
  <c r="H62" i="15"/>
  <c r="N62" i="15"/>
  <c r="I62" i="15"/>
  <c r="O62" i="15"/>
  <c r="J62" i="15"/>
  <c r="P62" i="15"/>
  <c r="K62" i="15"/>
  <c r="Q62" i="15"/>
  <c r="L62" i="15"/>
  <c r="G62" i="15"/>
  <c r="F62" i="15"/>
  <c r="F59" i="15"/>
  <c r="K59" i="15"/>
  <c r="P59" i="15"/>
  <c r="G59" i="15"/>
  <c r="Q59" i="15"/>
  <c r="J59" i="15"/>
  <c r="N59" i="15"/>
  <c r="H59" i="15"/>
  <c r="L59" i="15"/>
  <c r="I59" i="15"/>
  <c r="M59" i="15"/>
  <c r="O59" i="15"/>
  <c r="I46" i="15"/>
  <c r="O46" i="15"/>
  <c r="J46" i="15"/>
  <c r="P46" i="15"/>
  <c r="K46" i="15"/>
  <c r="Q46" i="15"/>
  <c r="L46" i="15"/>
  <c r="G46" i="15"/>
  <c r="M46" i="15"/>
  <c r="H46" i="15"/>
  <c r="N46" i="15"/>
  <c r="F46" i="15"/>
  <c r="I58" i="15"/>
  <c r="O58" i="15"/>
  <c r="J58" i="15"/>
  <c r="P58" i="15"/>
  <c r="K58" i="15"/>
  <c r="Q58" i="15"/>
  <c r="L58" i="15"/>
  <c r="G58" i="15"/>
  <c r="M58" i="15"/>
  <c r="H58" i="15"/>
  <c r="N58" i="15"/>
  <c r="F58" i="15"/>
  <c r="N35" i="15"/>
  <c r="I35" i="15"/>
  <c r="O35" i="15"/>
  <c r="K35" i="15"/>
  <c r="J35" i="15"/>
  <c r="M35" i="15"/>
  <c r="L35" i="15"/>
  <c r="H35" i="15"/>
  <c r="Q35" i="15"/>
  <c r="P35" i="15"/>
  <c r="G35" i="15"/>
  <c r="C232" i="62"/>
  <c r="F35" i="15"/>
  <c r="R18" i="15"/>
  <c r="F45" i="15"/>
  <c r="K45" i="15"/>
  <c r="P45" i="15"/>
  <c r="J45" i="15"/>
  <c r="G45" i="15"/>
  <c r="L45" i="15"/>
  <c r="M45" i="15"/>
  <c r="H45" i="15"/>
  <c r="N45" i="15"/>
  <c r="Q45" i="15"/>
  <c r="I45" i="15"/>
  <c r="O45" i="15"/>
  <c r="G55" i="15"/>
  <c r="K55" i="15"/>
  <c r="I55" i="15"/>
  <c r="M55" i="15"/>
  <c r="Q55" i="15"/>
  <c r="P55" i="15"/>
  <c r="N55" i="15"/>
  <c r="F55" i="15"/>
  <c r="J55" i="15"/>
  <c r="L55" i="15"/>
  <c r="O55" i="15"/>
  <c r="H55" i="15"/>
  <c r="M50" i="15"/>
  <c r="H50" i="15"/>
  <c r="N50" i="15"/>
  <c r="I50" i="15"/>
  <c r="O50" i="15"/>
  <c r="J50" i="15"/>
  <c r="P50" i="15"/>
  <c r="K50" i="15"/>
  <c r="Q50" i="15"/>
  <c r="L50" i="15"/>
  <c r="G50" i="15"/>
  <c r="F50" i="15"/>
  <c r="N51" i="15"/>
  <c r="K51" i="15"/>
  <c r="M51" i="15"/>
  <c r="P51" i="15"/>
  <c r="H51" i="15"/>
  <c r="O51" i="15"/>
  <c r="G51" i="15"/>
  <c r="J51" i="15"/>
  <c r="F51" i="15"/>
  <c r="Q51" i="15"/>
  <c r="I51" i="15"/>
  <c r="L51" i="15"/>
  <c r="M54" i="15"/>
  <c r="H54" i="15"/>
  <c r="N54" i="15"/>
  <c r="I54" i="15"/>
  <c r="O54" i="15"/>
  <c r="J54" i="15"/>
  <c r="P54" i="15"/>
  <c r="K54" i="15"/>
  <c r="Q54" i="15"/>
  <c r="L54" i="15"/>
  <c r="G54" i="15"/>
  <c r="F54" i="15"/>
  <c r="I48" i="15"/>
  <c r="O48" i="15"/>
  <c r="J48" i="15"/>
  <c r="P48" i="15"/>
  <c r="K48" i="15"/>
  <c r="Q48" i="15"/>
  <c r="L48" i="15"/>
  <c r="G48" i="15"/>
  <c r="M48" i="15"/>
  <c r="H48" i="15"/>
  <c r="N48" i="15"/>
  <c r="F48" i="15"/>
  <c r="I47" i="15"/>
  <c r="O47" i="15"/>
  <c r="J47" i="15"/>
  <c r="P47" i="15"/>
  <c r="K47" i="15"/>
  <c r="Q47" i="15"/>
  <c r="L47" i="15"/>
  <c r="G47" i="15"/>
  <c r="M47" i="15"/>
  <c r="H47" i="15"/>
  <c r="N47" i="15"/>
  <c r="F47" i="15"/>
  <c r="Q60" i="15"/>
  <c r="M60" i="15"/>
  <c r="I60" i="15"/>
  <c r="P60" i="15"/>
  <c r="L60" i="15"/>
  <c r="H60" i="15"/>
  <c r="O60" i="15"/>
  <c r="K60" i="15"/>
  <c r="G60" i="15"/>
  <c r="N60" i="15"/>
  <c r="J60" i="15"/>
  <c r="F60" i="15"/>
  <c r="I49" i="15"/>
  <c r="O49" i="15"/>
  <c r="J49" i="15"/>
  <c r="P49" i="15"/>
  <c r="K49" i="15"/>
  <c r="Q49" i="15"/>
  <c r="L49" i="15"/>
  <c r="G49" i="15"/>
  <c r="M49" i="15"/>
  <c r="H49" i="15"/>
  <c r="N49" i="15"/>
  <c r="F49" i="15"/>
  <c r="I56" i="15"/>
  <c r="O56" i="15"/>
  <c r="J56" i="15"/>
  <c r="P56" i="15"/>
  <c r="K56" i="15"/>
  <c r="F56" i="15"/>
  <c r="Q56" i="15"/>
  <c r="L56" i="15"/>
  <c r="G56" i="15"/>
  <c r="M56" i="15"/>
  <c r="H56" i="15"/>
  <c r="N56" i="15"/>
  <c r="R26" i="15"/>
  <c r="S26" i="15" s="1"/>
  <c r="R46" i="15" l="1"/>
  <c r="S46" i="15" s="1"/>
  <c r="R62" i="15"/>
  <c r="S62" i="15" s="1"/>
  <c r="R49" i="15"/>
  <c r="S49" i="15" s="1"/>
  <c r="R48" i="15"/>
  <c r="S48" i="15" s="1"/>
  <c r="R58" i="15"/>
  <c r="S58" i="15" s="1"/>
  <c r="R50" i="15"/>
  <c r="S50" i="15" s="1"/>
  <c r="R57" i="15"/>
  <c r="S57" i="15" s="1"/>
  <c r="R54" i="15"/>
  <c r="S54" i="15" s="1"/>
  <c r="R47" i="15"/>
  <c r="S47" i="15" s="1"/>
  <c r="R60" i="15"/>
  <c r="S60" i="15" s="1"/>
  <c r="R51" i="15"/>
  <c r="S51" i="15" s="1"/>
  <c r="R45" i="15"/>
  <c r="S45" i="15" s="1"/>
  <c r="R59" i="15"/>
  <c r="S59" i="15" s="1"/>
  <c r="R52" i="15"/>
  <c r="S52" i="15" s="1"/>
  <c r="D35" i="15"/>
  <c r="R56" i="15"/>
  <c r="S56" i="15" s="1"/>
  <c r="R35" i="15"/>
  <c r="S35" i="15" s="1"/>
  <c r="R55" i="15"/>
  <c r="S55" i="15" s="1"/>
  <c r="R61" i="15"/>
  <c r="S61" i="15" s="1"/>
  <c r="S18" i="15"/>
  <c r="AG5" i="60" l="1"/>
  <c r="Y43" i="60" l="1"/>
  <c r="AG13" i="60" l="1"/>
  <c r="AG17" i="60" l="1"/>
  <c r="AG36" i="60" s="1"/>
  <c r="AG45" i="60" s="1"/>
  <c r="Y17" i="60" l="1"/>
  <c r="Y36" i="60" s="1"/>
  <c r="Y45" i="60" s="1"/>
  <c r="D13" i="46" l="1"/>
  <c r="C65" i="46"/>
  <c r="D13" i="49"/>
  <c r="C32" i="49"/>
  <c r="H13" i="49" l="1"/>
  <c r="J13" i="49"/>
  <c r="L13" i="49"/>
  <c r="N13" i="49"/>
  <c r="P13" i="49"/>
  <c r="G13" i="49"/>
  <c r="I13" i="49"/>
  <c r="K13" i="49"/>
  <c r="M13" i="49"/>
  <c r="O13" i="49"/>
  <c r="Q13" i="49"/>
  <c r="F13" i="49"/>
  <c r="D65" i="46"/>
  <c r="G13" i="46"/>
  <c r="G65" i="46" s="1"/>
  <c r="I13" i="46"/>
  <c r="I65" i="46" s="1"/>
  <c r="K13" i="46"/>
  <c r="K65" i="46" s="1"/>
  <c r="M13" i="46"/>
  <c r="M65" i="46" s="1"/>
  <c r="O13" i="46"/>
  <c r="O65" i="46" s="1"/>
  <c r="Q13" i="46"/>
  <c r="Q65" i="46" s="1"/>
  <c r="F13" i="46"/>
  <c r="H13" i="46"/>
  <c r="H65" i="46" s="1"/>
  <c r="J13" i="46"/>
  <c r="J65" i="46" s="1"/>
  <c r="L13" i="46"/>
  <c r="L65" i="46" s="1"/>
  <c r="N13" i="46"/>
  <c r="N65" i="46" s="1"/>
  <c r="P13" i="46"/>
  <c r="P65" i="46" s="1"/>
  <c r="D32" i="49"/>
  <c r="F65" i="46" l="1"/>
  <c r="R65" i="46" s="1"/>
  <c r="S65" i="46" s="1"/>
  <c r="R13" i="46"/>
  <c r="S13" i="46" s="1"/>
  <c r="K32" i="49"/>
  <c r="J32" i="49"/>
  <c r="F32" i="49"/>
  <c r="R13" i="49"/>
  <c r="S13" i="49" s="1"/>
  <c r="Q32" i="49"/>
  <c r="L32" i="49"/>
  <c r="I32" i="49"/>
  <c r="N32" i="49"/>
  <c r="P32" i="49"/>
  <c r="H32" i="49"/>
  <c r="O32" i="49"/>
  <c r="M32" i="49"/>
  <c r="G32" i="49"/>
  <c r="R32" i="49" l="1"/>
  <c r="S32" i="49" s="1"/>
  <c r="D14" i="41" l="1"/>
  <c r="C28" i="41"/>
  <c r="D13" i="48"/>
  <c r="C29" i="48"/>
  <c r="D13" i="36"/>
  <c r="C33" i="36"/>
  <c r="G14" i="41" l="1"/>
  <c r="P14" i="41"/>
  <c r="L14" i="41"/>
  <c r="F14" i="41"/>
  <c r="N14" i="41"/>
  <c r="J14" i="41"/>
  <c r="H14" i="41"/>
  <c r="O14" i="41"/>
  <c r="M14" i="41"/>
  <c r="K14" i="41"/>
  <c r="I14" i="41"/>
  <c r="Q14" i="41"/>
  <c r="J13" i="48"/>
  <c r="J29" i="48" s="1"/>
  <c r="G13" i="48"/>
  <c r="G29" i="48" s="1"/>
  <c r="K13" i="48"/>
  <c r="K29" i="48" s="1"/>
  <c r="O13" i="48"/>
  <c r="O29" i="48" s="1"/>
  <c r="H13" i="48"/>
  <c r="H29" i="48" s="1"/>
  <c r="N13" i="48"/>
  <c r="N29" i="48" s="1"/>
  <c r="P13" i="48"/>
  <c r="P29" i="48" s="1"/>
  <c r="I13" i="48"/>
  <c r="I29" i="48" s="1"/>
  <c r="M13" i="48"/>
  <c r="M29" i="48" s="1"/>
  <c r="Q13" i="48"/>
  <c r="Q29" i="48" s="1"/>
  <c r="L13" i="48"/>
  <c r="L29" i="48" s="1"/>
  <c r="F13" i="48"/>
  <c r="D29" i="48"/>
  <c r="G13" i="36"/>
  <c r="P13" i="36"/>
  <c r="L13" i="36"/>
  <c r="F13" i="36"/>
  <c r="N13" i="36"/>
  <c r="J13" i="36"/>
  <c r="K13" i="36"/>
  <c r="I13" i="36"/>
  <c r="Q13" i="36"/>
  <c r="H13" i="36"/>
  <c r="O13" i="36"/>
  <c r="M13" i="36"/>
  <c r="D33" i="36"/>
  <c r="R14" i="41" l="1"/>
  <c r="S14" i="41" s="1"/>
  <c r="F29" i="48"/>
  <c r="R29" i="48" s="1"/>
  <c r="S29" i="48" s="1"/>
  <c r="R13" i="48"/>
  <c r="S13" i="48" s="1"/>
  <c r="O33" i="36"/>
  <c r="Q33" i="36"/>
  <c r="K33" i="36"/>
  <c r="N33" i="36"/>
  <c r="L33" i="36"/>
  <c r="G33" i="36"/>
  <c r="M33" i="36"/>
  <c r="H33" i="36"/>
  <c r="I33" i="36"/>
  <c r="J33" i="36"/>
  <c r="R13" i="36"/>
  <c r="S13" i="36" s="1"/>
  <c r="F33" i="36"/>
  <c r="P33" i="36"/>
  <c r="R33" i="36" l="1"/>
  <c r="S33" i="36" s="1"/>
  <c r="I61" i="61" l="1"/>
  <c r="C61" i="61" s="1"/>
  <c r="C59" i="61"/>
  <c r="D59" i="61" l="1"/>
  <c r="D61" i="61" s="1"/>
  <c r="C55" i="58"/>
  <c r="D55" i="58" s="1"/>
  <c r="P55" i="58" s="1"/>
  <c r="C2" i="25" l="1"/>
  <c r="C8" i="25" s="1"/>
  <c r="J59" i="61"/>
  <c r="M61" i="61"/>
  <c r="L61" i="61"/>
  <c r="M59" i="61"/>
  <c r="L59" i="61"/>
  <c r="G55" i="58"/>
  <c r="H2" i="25" s="1"/>
  <c r="H8" i="25" s="1"/>
  <c r="I55" i="58"/>
  <c r="I57" i="58" s="1"/>
  <c r="J4" i="25" s="1"/>
  <c r="K55" i="58"/>
  <c r="K57" i="58" s="1"/>
  <c r="L4" i="25" s="1"/>
  <c r="M55" i="58"/>
  <c r="N2" i="25" s="1"/>
  <c r="N8" i="25" s="1"/>
  <c r="O55" i="58"/>
  <c r="P2" i="25" s="1"/>
  <c r="P8" i="25" s="1"/>
  <c r="E55" i="58"/>
  <c r="E57" i="58" s="1"/>
  <c r="F55" i="58"/>
  <c r="F57" i="58" s="1"/>
  <c r="G4" i="25" s="1"/>
  <c r="H55" i="58"/>
  <c r="I2" i="25" s="1"/>
  <c r="I8" i="25" s="1"/>
  <c r="J55" i="58"/>
  <c r="J57" i="58" s="1"/>
  <c r="K4" i="25" s="1"/>
  <c r="L55" i="58"/>
  <c r="M2" i="25" s="1"/>
  <c r="M8" i="25" s="1"/>
  <c r="N55" i="58"/>
  <c r="N57" i="58" s="1"/>
  <c r="O4" i="25" s="1"/>
  <c r="P57" i="58"/>
  <c r="Q4" i="25" s="1"/>
  <c r="D57" i="58"/>
  <c r="C17" i="25"/>
  <c r="C19" i="25"/>
  <c r="C20" i="25"/>
  <c r="C21" i="25"/>
  <c r="C22" i="25"/>
  <c r="C18" i="25"/>
  <c r="C14" i="25"/>
  <c r="C9" i="25"/>
  <c r="C4" i="25"/>
  <c r="C12" i="25"/>
  <c r="C13" i="25"/>
  <c r="C11" i="25"/>
  <c r="C10" i="25"/>
  <c r="C16" i="25"/>
  <c r="J61" i="61"/>
  <c r="D38" i="25" l="1"/>
  <c r="D40" i="25"/>
  <c r="D39" i="25"/>
  <c r="Q2" i="25"/>
  <c r="Q8" i="25" s="1"/>
  <c r="O57" i="58"/>
  <c r="P4" i="25" s="1"/>
  <c r="G57" i="58"/>
  <c r="H4" i="25" s="1"/>
  <c r="M57" i="58"/>
  <c r="N4" i="25" s="1"/>
  <c r="L57" i="58"/>
  <c r="M4" i="25" s="1"/>
  <c r="G2" i="25"/>
  <c r="G8" i="25" s="1"/>
  <c r="F2" i="25"/>
  <c r="F8" i="25" s="1"/>
  <c r="O2" i="25"/>
  <c r="O8" i="25" s="1"/>
  <c r="K2" i="25"/>
  <c r="K8" i="25" s="1"/>
  <c r="Q55" i="58"/>
  <c r="R55" i="58" s="1"/>
  <c r="H57" i="58"/>
  <c r="I4" i="25" s="1"/>
  <c r="J2" i="25"/>
  <c r="J8" i="25" s="1"/>
  <c r="L2" i="25"/>
  <c r="L8" i="25" s="1"/>
  <c r="I14" i="25"/>
  <c r="I13" i="25"/>
  <c r="I22" i="25"/>
  <c r="I21" i="25"/>
  <c r="I20" i="25"/>
  <c r="I12" i="25"/>
  <c r="I19" i="25"/>
  <c r="I11" i="25"/>
  <c r="I10" i="25"/>
  <c r="I9" i="25"/>
  <c r="I18" i="25"/>
  <c r="I17" i="25"/>
  <c r="I16" i="25"/>
  <c r="N11" i="25"/>
  <c r="N22" i="25"/>
  <c r="N19" i="25"/>
  <c r="N20" i="25"/>
  <c r="N12" i="25"/>
  <c r="N9" i="25"/>
  <c r="N18" i="25"/>
  <c r="N10" i="25"/>
  <c r="N17" i="25"/>
  <c r="N21" i="25"/>
  <c r="N13" i="25"/>
  <c r="N14" i="25"/>
  <c r="N16" i="25"/>
  <c r="C23" i="25"/>
  <c r="C459" i="62"/>
  <c r="C454" i="62"/>
  <c r="C455" i="62"/>
  <c r="D42" i="25"/>
  <c r="D41" i="25"/>
  <c r="D37" i="25"/>
  <c r="D36" i="25"/>
  <c r="C457" i="62"/>
  <c r="C465" i="62"/>
  <c r="C463" i="62"/>
  <c r="C460" i="62"/>
  <c r="F4" i="25"/>
  <c r="H11" i="25"/>
  <c r="H22" i="25"/>
  <c r="H19" i="25"/>
  <c r="H20" i="25"/>
  <c r="H12" i="25"/>
  <c r="H9" i="25"/>
  <c r="H18" i="25"/>
  <c r="H10" i="25"/>
  <c r="H17" i="25"/>
  <c r="H21" i="25"/>
  <c r="H13" i="25"/>
  <c r="H14" i="25"/>
  <c r="H16" i="25"/>
  <c r="C453" i="62"/>
  <c r="C456" i="62"/>
  <c r="C451" i="62"/>
  <c r="C15" i="25"/>
  <c r="C452" i="62"/>
  <c r="C461" i="62"/>
  <c r="C464" i="62"/>
  <c r="C462" i="62"/>
  <c r="M14" i="25"/>
  <c r="M13" i="25"/>
  <c r="M22" i="25"/>
  <c r="M21" i="25"/>
  <c r="M20" i="25"/>
  <c r="M12" i="25"/>
  <c r="M19" i="25"/>
  <c r="M11" i="25"/>
  <c r="M10" i="25"/>
  <c r="M9" i="25"/>
  <c r="M18" i="25"/>
  <c r="M17" i="25"/>
  <c r="M16" i="25"/>
  <c r="P11" i="25"/>
  <c r="P22" i="25"/>
  <c r="P19" i="25"/>
  <c r="P20" i="25"/>
  <c r="P12" i="25"/>
  <c r="P9" i="25"/>
  <c r="P18" i="25"/>
  <c r="P10" i="25"/>
  <c r="P17" i="25"/>
  <c r="P21" i="25"/>
  <c r="P13" i="25"/>
  <c r="P14" i="25"/>
  <c r="P16" i="25"/>
  <c r="Q10" i="25"/>
  <c r="Q16" i="25"/>
  <c r="Q17" i="25" l="1"/>
  <c r="Q18" i="25"/>
  <c r="H38" i="25"/>
  <c r="O38" i="25"/>
  <c r="K38" i="25"/>
  <c r="G38" i="25"/>
  <c r="P38" i="25"/>
  <c r="L38" i="25"/>
  <c r="Q38" i="25"/>
  <c r="M38" i="25"/>
  <c r="I38" i="25"/>
  <c r="F38" i="25"/>
  <c r="N38" i="25"/>
  <c r="J38" i="25"/>
  <c r="H40" i="25"/>
  <c r="O40" i="25"/>
  <c r="G40" i="25"/>
  <c r="M40" i="25"/>
  <c r="F40" i="25"/>
  <c r="N40" i="25"/>
  <c r="J40" i="25"/>
  <c r="K40" i="25"/>
  <c r="Q40" i="25"/>
  <c r="I40" i="25"/>
  <c r="P40" i="25"/>
  <c r="L40" i="25"/>
  <c r="Q11" i="25"/>
  <c r="Q14" i="25"/>
  <c r="Q20" i="25"/>
  <c r="Q22" i="25"/>
  <c r="Q12" i="25"/>
  <c r="Q19" i="25"/>
  <c r="Q13" i="25"/>
  <c r="Q21" i="25"/>
  <c r="Q9" i="25"/>
  <c r="F20" i="25"/>
  <c r="L20" i="25"/>
  <c r="K14" i="25"/>
  <c r="L12" i="25"/>
  <c r="L13" i="25"/>
  <c r="L22" i="25"/>
  <c r="L11" i="25"/>
  <c r="L19" i="25"/>
  <c r="L16" i="25"/>
  <c r="L18" i="25"/>
  <c r="L14" i="25"/>
  <c r="L10" i="25"/>
  <c r="L9" i="25"/>
  <c r="L17" i="25"/>
  <c r="G18" i="25"/>
  <c r="L21" i="25"/>
  <c r="G14" i="25"/>
  <c r="G10" i="25"/>
  <c r="G16" i="25"/>
  <c r="G9" i="25"/>
  <c r="G20" i="25"/>
  <c r="G19" i="25"/>
  <c r="K16" i="25"/>
  <c r="K9" i="25"/>
  <c r="K12" i="25"/>
  <c r="K11" i="25"/>
  <c r="K13" i="25"/>
  <c r="F11" i="25"/>
  <c r="J21" i="25"/>
  <c r="O19" i="25"/>
  <c r="F14" i="25"/>
  <c r="F17" i="25"/>
  <c r="F22" i="25"/>
  <c r="F12" i="25"/>
  <c r="F13" i="25"/>
  <c r="F19" i="25"/>
  <c r="F16" i="25"/>
  <c r="G12" i="25"/>
  <c r="G13" i="25"/>
  <c r="G11" i="25"/>
  <c r="F10" i="25"/>
  <c r="G21" i="25"/>
  <c r="G22" i="25"/>
  <c r="G17" i="25"/>
  <c r="Q57" i="58"/>
  <c r="R57" i="58" s="1"/>
  <c r="K21" i="25"/>
  <c r="K22" i="25"/>
  <c r="K17" i="25"/>
  <c r="F21" i="25"/>
  <c r="F18" i="25"/>
  <c r="F9" i="25"/>
  <c r="K20" i="25"/>
  <c r="K18" i="25"/>
  <c r="K19" i="25"/>
  <c r="O22" i="25"/>
  <c r="J19" i="25"/>
  <c r="J14" i="25"/>
  <c r="K10" i="25"/>
  <c r="O11" i="25"/>
  <c r="O16" i="25"/>
  <c r="O10" i="25"/>
  <c r="O14" i="25"/>
  <c r="O18" i="25"/>
  <c r="J12" i="25"/>
  <c r="J13" i="25"/>
  <c r="J18" i="25"/>
  <c r="O13" i="25"/>
  <c r="O17" i="25"/>
  <c r="O9" i="25"/>
  <c r="J9" i="25"/>
  <c r="J22" i="25"/>
  <c r="J20" i="25"/>
  <c r="R2" i="25"/>
  <c r="R4" i="25" s="1"/>
  <c r="S4" i="25" s="1"/>
  <c r="J16" i="25"/>
  <c r="J10" i="25"/>
  <c r="J11" i="25"/>
  <c r="J17" i="25"/>
  <c r="O21" i="25"/>
  <c r="O12" i="25"/>
  <c r="O20" i="25"/>
  <c r="P23" i="25"/>
  <c r="M23" i="25"/>
  <c r="H15" i="25"/>
  <c r="N15" i="25"/>
  <c r="I15" i="25"/>
  <c r="C458" i="62"/>
  <c r="D43" i="25"/>
  <c r="M36" i="25"/>
  <c r="Q36" i="25"/>
  <c r="P36" i="25"/>
  <c r="I36" i="25"/>
  <c r="O36" i="25"/>
  <c r="N36" i="25"/>
  <c r="K36" i="25"/>
  <c r="G36" i="25"/>
  <c r="H36" i="25"/>
  <c r="L36" i="25"/>
  <c r="J36" i="25"/>
  <c r="F36" i="25"/>
  <c r="H37" i="25"/>
  <c r="G37" i="25"/>
  <c r="Q37" i="25"/>
  <c r="P37" i="25"/>
  <c r="L37" i="25"/>
  <c r="O37" i="25"/>
  <c r="I37" i="25"/>
  <c r="N37" i="25"/>
  <c r="J37" i="25"/>
  <c r="M37" i="25"/>
  <c r="K37" i="25"/>
  <c r="F37" i="25"/>
  <c r="M42" i="25"/>
  <c r="O42" i="25"/>
  <c r="H42" i="25"/>
  <c r="Q42" i="25"/>
  <c r="N42" i="25"/>
  <c r="G42" i="25"/>
  <c r="K42" i="25"/>
  <c r="L42" i="25"/>
  <c r="J42" i="25"/>
  <c r="P42" i="25"/>
  <c r="I42" i="25"/>
  <c r="F42" i="25"/>
  <c r="C466" i="62"/>
  <c r="N23" i="25"/>
  <c r="I23" i="25"/>
  <c r="P15" i="25"/>
  <c r="M15" i="25"/>
  <c r="C32" i="25"/>
  <c r="H23" i="25"/>
  <c r="H39" i="25"/>
  <c r="M39" i="25"/>
  <c r="P39" i="25"/>
  <c r="J39" i="25"/>
  <c r="L39" i="25"/>
  <c r="O39" i="25"/>
  <c r="G39" i="25"/>
  <c r="N39" i="25"/>
  <c r="K39" i="25"/>
  <c r="Q39" i="25"/>
  <c r="I39" i="25"/>
  <c r="F39" i="25"/>
  <c r="I41" i="25"/>
  <c r="L41" i="25"/>
  <c r="M41" i="25"/>
  <c r="K41" i="25"/>
  <c r="P41" i="25"/>
  <c r="H41" i="25"/>
  <c r="G41" i="25"/>
  <c r="Q41" i="25"/>
  <c r="N41" i="25"/>
  <c r="O41" i="25"/>
  <c r="J41" i="25"/>
  <c r="F41" i="25"/>
  <c r="Q23" i="25" l="1"/>
  <c r="R38" i="25"/>
  <c r="S38" i="25" s="1"/>
  <c r="R40" i="25"/>
  <c r="S40" i="25" s="1"/>
  <c r="C44" i="25"/>
  <c r="Q15" i="25"/>
  <c r="L23" i="25"/>
  <c r="L15" i="25"/>
  <c r="R18" i="25"/>
  <c r="S18" i="25" s="1"/>
  <c r="K15" i="25"/>
  <c r="R22" i="25"/>
  <c r="S22" i="25" s="1"/>
  <c r="F23" i="25"/>
  <c r="G23" i="25"/>
  <c r="R19" i="25"/>
  <c r="S19" i="25" s="1"/>
  <c r="G15" i="25"/>
  <c r="K23" i="25"/>
  <c r="S2" i="25"/>
  <c r="R21" i="25"/>
  <c r="S21" i="25" s="1"/>
  <c r="R13" i="25"/>
  <c r="S13" i="25" s="1"/>
  <c r="R16" i="25"/>
  <c r="S16" i="25" s="1"/>
  <c r="R17" i="25"/>
  <c r="S17" i="25" s="1"/>
  <c r="J23" i="25"/>
  <c r="O15" i="25"/>
  <c r="N32" i="25"/>
  <c r="R9" i="25"/>
  <c r="S9" i="25" s="1"/>
  <c r="R14" i="25"/>
  <c r="S14" i="25" s="1"/>
  <c r="J15" i="25"/>
  <c r="R20" i="25"/>
  <c r="S20" i="25" s="1"/>
  <c r="O23" i="25"/>
  <c r="R12" i="25"/>
  <c r="S12" i="25" s="1"/>
  <c r="R11" i="25"/>
  <c r="S11" i="25" s="1"/>
  <c r="R10" i="25"/>
  <c r="S10" i="25" s="1"/>
  <c r="I32" i="25"/>
  <c r="H32" i="25"/>
  <c r="M32" i="25"/>
  <c r="J43" i="25"/>
  <c r="H43" i="25"/>
  <c r="K43" i="25"/>
  <c r="O43" i="25"/>
  <c r="P43" i="25"/>
  <c r="M43" i="25"/>
  <c r="R41" i="25"/>
  <c r="S41" i="25" s="1"/>
  <c r="R39" i="25"/>
  <c r="S39" i="25" s="1"/>
  <c r="D32" i="25"/>
  <c r="P32" i="25"/>
  <c r="Q32" i="25"/>
  <c r="R42" i="25"/>
  <c r="S42" i="25" s="1"/>
  <c r="R37" i="25"/>
  <c r="S37" i="25" s="1"/>
  <c r="F43" i="25"/>
  <c r="R36" i="25"/>
  <c r="S36" i="25" s="1"/>
  <c r="L43" i="25"/>
  <c r="G43" i="25"/>
  <c r="N43" i="25"/>
  <c r="I43" i="25"/>
  <c r="Q43" i="25"/>
  <c r="L32" i="25" l="1"/>
  <c r="O32" i="25"/>
  <c r="K32" i="25"/>
  <c r="G32" i="25"/>
  <c r="R23" i="25"/>
  <c r="S23" i="25" s="1"/>
  <c r="J32" i="25"/>
  <c r="R43" i="25"/>
  <c r="S43" i="25" s="1"/>
  <c r="R8" i="25" l="1"/>
  <c r="S8" i="25" s="1"/>
  <c r="F15" i="25"/>
  <c r="R15" i="25" l="1"/>
  <c r="S15" i="25" s="1"/>
  <c r="F32" i="25"/>
  <c r="R32" i="25" s="1"/>
  <c r="S32" i="25" s="1"/>
  <c r="C28" i="26" l="1"/>
  <c r="I28" i="26"/>
  <c r="I34" i="26" s="1"/>
  <c r="H28" i="26"/>
  <c r="H34" i="26" s="1"/>
  <c r="G28" i="26"/>
  <c r="G34" i="26" s="1"/>
  <c r="O28" i="26"/>
  <c r="O34" i="26" s="1"/>
  <c r="F28" i="26"/>
  <c r="N28" i="26"/>
  <c r="N34" i="26" s="1"/>
  <c r="Q28" i="26"/>
  <c r="Q34" i="26" s="1"/>
  <c r="L28" i="26"/>
  <c r="L34" i="26" s="1"/>
  <c r="P28" i="26"/>
  <c r="P34" i="26" s="1"/>
  <c r="M28" i="26"/>
  <c r="M34" i="26" s="1"/>
  <c r="K28" i="26"/>
  <c r="K34" i="26" s="1"/>
  <c r="J28" i="26"/>
  <c r="J34" i="26" s="1"/>
  <c r="Q35" i="26" l="1"/>
  <c r="G35" i="26"/>
  <c r="M35" i="26"/>
  <c r="H35" i="26"/>
  <c r="K35" i="26"/>
  <c r="P35" i="26"/>
  <c r="R28" i="26"/>
  <c r="S28" i="26" s="1"/>
  <c r="F34" i="26"/>
  <c r="I35" i="26"/>
  <c r="N35" i="26"/>
  <c r="J35" i="26"/>
  <c r="L35" i="26"/>
  <c r="O35" i="26"/>
  <c r="C494" i="62"/>
  <c r="C34" i="26"/>
  <c r="C500" i="62" l="1"/>
  <c r="C35" i="26"/>
  <c r="C49" i="26" s="1"/>
  <c r="R34" i="26"/>
  <c r="S34" i="26" s="1"/>
  <c r="F35" i="26"/>
  <c r="R35" i="26" s="1"/>
  <c r="D35" i="26" l="1"/>
  <c r="S35" i="26"/>
  <c r="H10" i="18" l="1"/>
  <c r="N10" i="18"/>
  <c r="J10" i="18"/>
  <c r="Q10" i="18"/>
  <c r="I10" i="18"/>
  <c r="M10" i="18"/>
  <c r="C10" i="18"/>
  <c r="C305" i="62" s="1"/>
  <c r="F10" i="18"/>
  <c r="P10" i="18"/>
  <c r="O10" i="18"/>
  <c r="L10" i="18"/>
  <c r="K10" i="18"/>
  <c r="G10" i="18"/>
  <c r="D24" i="18"/>
  <c r="O8" i="18"/>
  <c r="K8" i="18"/>
  <c r="M8" i="18"/>
  <c r="C8" i="18"/>
  <c r="L8" i="18"/>
  <c r="H8" i="18"/>
  <c r="G8" i="18"/>
  <c r="I8" i="18"/>
  <c r="F8" i="18"/>
  <c r="Q8" i="18"/>
  <c r="J8" i="18"/>
  <c r="N8" i="18"/>
  <c r="P8" i="18"/>
  <c r="N9" i="18"/>
  <c r="J9" i="18"/>
  <c r="Q9" i="18"/>
  <c r="I9" i="18"/>
  <c r="C9" i="18"/>
  <c r="C304" i="62" s="1"/>
  <c r="F9" i="18"/>
  <c r="H9" i="18"/>
  <c r="O9" i="18"/>
  <c r="L9" i="18"/>
  <c r="G9" i="18"/>
  <c r="P9" i="18"/>
  <c r="M9" i="18"/>
  <c r="K9" i="18"/>
  <c r="Q15" i="18" l="1"/>
  <c r="Q24" i="18" s="1"/>
  <c r="H15" i="18"/>
  <c r="H24" i="18" s="1"/>
  <c r="P15" i="18"/>
  <c r="P24" i="18" s="1"/>
  <c r="K15" i="18"/>
  <c r="R10" i="18"/>
  <c r="S10" i="18" s="1"/>
  <c r="F15" i="18"/>
  <c r="R8" i="18"/>
  <c r="S8" i="18" s="1"/>
  <c r="L15" i="18"/>
  <c r="O15" i="18"/>
  <c r="N15" i="18"/>
  <c r="I15" i="18"/>
  <c r="C15" i="18"/>
  <c r="C303" i="62"/>
  <c r="R9" i="18"/>
  <c r="S9" i="18" s="1"/>
  <c r="J15" i="18"/>
  <c r="G15" i="18"/>
  <c r="M15" i="18"/>
  <c r="J24" i="18" l="1"/>
  <c r="I24" i="18"/>
  <c r="R15" i="18"/>
  <c r="S15" i="18" s="1"/>
  <c r="F24" i="18"/>
  <c r="K24" i="18"/>
  <c r="N24" i="18"/>
  <c r="O24" i="18"/>
  <c r="M24" i="18"/>
  <c r="C310" i="62"/>
  <c r="L24" i="18"/>
  <c r="G24" i="18"/>
  <c r="C24" i="18"/>
  <c r="R24" i="18" l="1"/>
  <c r="S24" i="18" s="1"/>
  <c r="D48" i="9" l="1"/>
  <c r="C70" i="9"/>
  <c r="N48" i="9" l="1"/>
  <c r="G48" i="9"/>
  <c r="K48" i="9"/>
  <c r="O48" i="9"/>
  <c r="J48" i="9"/>
  <c r="P48" i="9"/>
  <c r="H48" i="9"/>
  <c r="F48" i="9"/>
  <c r="I48" i="9"/>
  <c r="M48" i="9"/>
  <c r="Q48" i="9"/>
  <c r="L48" i="9"/>
  <c r="R48" i="9" l="1"/>
  <c r="T48" i="9" s="1"/>
  <c r="C30" i="61" l="1"/>
  <c r="C17" i="61"/>
  <c r="C97" i="61"/>
  <c r="C12" i="61" l="1"/>
  <c r="I18" i="61"/>
  <c r="C18" i="61" s="1"/>
  <c r="D30" i="61"/>
  <c r="C26" i="58"/>
  <c r="D26" i="58" s="1"/>
  <c r="D17" i="61"/>
  <c r="C13" i="58"/>
  <c r="D13" i="58" s="1"/>
  <c r="O13" i="58" s="1"/>
  <c r="C93" i="58"/>
  <c r="D93" i="58" s="1"/>
  <c r="P93" i="58" s="1"/>
  <c r="D97" i="61"/>
  <c r="M97" i="61" l="1"/>
  <c r="L97" i="61"/>
  <c r="M30" i="61"/>
  <c r="L30" i="61"/>
  <c r="L17" i="61"/>
  <c r="M17" i="61"/>
  <c r="C8" i="58"/>
  <c r="D8" i="58" s="1"/>
  <c r="P8" i="58" s="1"/>
  <c r="Q5" i="8" s="1"/>
  <c r="Q9" i="8" s="1"/>
  <c r="Q38" i="62" s="1"/>
  <c r="D12" i="61"/>
  <c r="C16" i="61"/>
  <c r="D16" i="61" s="1"/>
  <c r="C14" i="61"/>
  <c r="C10" i="58" s="1"/>
  <c r="D10" i="58" s="1"/>
  <c r="M8" i="58"/>
  <c r="N5" i="8" s="1"/>
  <c r="N9" i="8" s="1"/>
  <c r="N38" i="62" s="1"/>
  <c r="I23" i="61"/>
  <c r="Q3" i="11"/>
  <c r="G26" i="58"/>
  <c r="H3" i="11" s="1"/>
  <c r="O26" i="58"/>
  <c r="P3" i="11" s="1"/>
  <c r="J26" i="58"/>
  <c r="K3" i="11" s="1"/>
  <c r="I26" i="58"/>
  <c r="J3" i="11" s="1"/>
  <c r="E26" i="58"/>
  <c r="L26" i="58"/>
  <c r="M3" i="11" s="1"/>
  <c r="K26" i="58"/>
  <c r="L3" i="11" s="1"/>
  <c r="F26" i="58"/>
  <c r="G3" i="11" s="1"/>
  <c r="N26" i="58"/>
  <c r="O3" i="11" s="1"/>
  <c r="M26" i="58"/>
  <c r="N3" i="11" s="1"/>
  <c r="H26" i="58"/>
  <c r="I3" i="11" s="1"/>
  <c r="C3" i="11"/>
  <c r="J30" i="61"/>
  <c r="J97" i="61"/>
  <c r="C3" i="42"/>
  <c r="C3" i="44"/>
  <c r="C3" i="41"/>
  <c r="L93" i="58"/>
  <c r="F93" i="58"/>
  <c r="I93" i="58"/>
  <c r="O93" i="58"/>
  <c r="M93" i="58"/>
  <c r="K93" i="58"/>
  <c r="N93" i="58"/>
  <c r="J93" i="58"/>
  <c r="H93" i="58"/>
  <c r="G93" i="58"/>
  <c r="E93" i="58"/>
  <c r="K13" i="58"/>
  <c r="M13" i="58"/>
  <c r="G13" i="58"/>
  <c r="J13" i="58"/>
  <c r="N13" i="58"/>
  <c r="F13" i="58"/>
  <c r="H13" i="58"/>
  <c r="P13" i="58"/>
  <c r="I13" i="58"/>
  <c r="L13" i="58"/>
  <c r="E13" i="58"/>
  <c r="F8" i="58"/>
  <c r="G5" i="8" s="1"/>
  <c r="G9" i="8" s="1"/>
  <c r="G38" i="62" s="1"/>
  <c r="I8" i="58"/>
  <c r="J5" i="8" s="1"/>
  <c r="J9" i="8" s="1"/>
  <c r="J38" i="62" s="1"/>
  <c r="G8" i="58"/>
  <c r="H5" i="8" s="1"/>
  <c r="H9" i="8" s="1"/>
  <c r="H38" i="62" s="1"/>
  <c r="J17" i="61"/>
  <c r="C6" i="9"/>
  <c r="C3" i="12"/>
  <c r="C23" i="61" l="1"/>
  <c r="O23" i="61"/>
  <c r="K8" i="58"/>
  <c r="L5" i="8" s="1"/>
  <c r="L9" i="8" s="1"/>
  <c r="L38" i="62" s="1"/>
  <c r="L16" i="61"/>
  <c r="M16" i="61"/>
  <c r="M12" i="61"/>
  <c r="L12" i="61"/>
  <c r="L8" i="58"/>
  <c r="M5" i="8" s="1"/>
  <c r="M9" i="8" s="1"/>
  <c r="M38" i="62" s="1"/>
  <c r="N8" i="58"/>
  <c r="O5" i="8" s="1"/>
  <c r="O9" i="8" s="1"/>
  <c r="O38" i="62" s="1"/>
  <c r="J8" i="58"/>
  <c r="K5" i="8" s="1"/>
  <c r="K9" i="8" s="1"/>
  <c r="K38" i="62" s="1"/>
  <c r="E8" i="58"/>
  <c r="F5" i="8" s="1"/>
  <c r="H8" i="58"/>
  <c r="I5" i="8" s="1"/>
  <c r="I9" i="8" s="1"/>
  <c r="I38" i="62" s="1"/>
  <c r="C12" i="58"/>
  <c r="D12" i="58" s="1"/>
  <c r="O8" i="58"/>
  <c r="P5" i="8" s="1"/>
  <c r="P9" i="8" s="1"/>
  <c r="P38" i="62" s="1"/>
  <c r="D14" i="61"/>
  <c r="J14" i="61" s="1"/>
  <c r="C5" i="8"/>
  <c r="C19" i="58"/>
  <c r="D19" i="58" s="1"/>
  <c r="P19" i="58" s="1"/>
  <c r="D23" i="61"/>
  <c r="J23" i="61" s="1"/>
  <c r="O18" i="11"/>
  <c r="O19" i="11"/>
  <c r="O15" i="11"/>
  <c r="O20" i="11"/>
  <c r="O16" i="11"/>
  <c r="O21" i="11"/>
  <c r="O17" i="11"/>
  <c r="O29" i="11"/>
  <c r="O28" i="11"/>
  <c r="O27" i="11"/>
  <c r="O26" i="11"/>
  <c r="O25" i="11"/>
  <c r="O24" i="11"/>
  <c r="O23" i="11"/>
  <c r="O13" i="11"/>
  <c r="O12" i="11"/>
  <c r="O11" i="11"/>
  <c r="O10" i="11"/>
  <c r="O9" i="11"/>
  <c r="O8" i="11"/>
  <c r="O7" i="11"/>
  <c r="I20" i="11"/>
  <c r="I16" i="11"/>
  <c r="I21" i="11"/>
  <c r="I17" i="11"/>
  <c r="I18" i="11"/>
  <c r="I19" i="11"/>
  <c r="I15" i="11"/>
  <c r="I29" i="11"/>
  <c r="I28" i="11"/>
  <c r="I27" i="11"/>
  <c r="I26" i="11"/>
  <c r="I25" i="11"/>
  <c r="I24" i="11"/>
  <c r="I23" i="11"/>
  <c r="I13" i="11"/>
  <c r="I12" i="11"/>
  <c r="I11" i="11"/>
  <c r="I10" i="11"/>
  <c r="I9" i="11"/>
  <c r="I8" i="11"/>
  <c r="I7" i="11"/>
  <c r="L19" i="11"/>
  <c r="L15" i="11"/>
  <c r="L20" i="11"/>
  <c r="L16" i="11"/>
  <c r="L21" i="11"/>
  <c r="L17" i="11"/>
  <c r="L18" i="11"/>
  <c r="L29" i="11"/>
  <c r="L28" i="11"/>
  <c r="L27" i="11"/>
  <c r="L26" i="11"/>
  <c r="L25" i="11"/>
  <c r="L24" i="11"/>
  <c r="L23" i="11"/>
  <c r="L13" i="11"/>
  <c r="L12" i="11"/>
  <c r="L11" i="11"/>
  <c r="L10" i="11"/>
  <c r="L9" i="11"/>
  <c r="L8" i="11"/>
  <c r="L7" i="11"/>
  <c r="K18" i="11"/>
  <c r="K19" i="11"/>
  <c r="K15" i="11"/>
  <c r="K20" i="11"/>
  <c r="K16" i="11"/>
  <c r="K21" i="11"/>
  <c r="K17" i="11"/>
  <c r="K29" i="11"/>
  <c r="K28" i="11"/>
  <c r="K27" i="11"/>
  <c r="K26" i="11"/>
  <c r="K25" i="11"/>
  <c r="K24" i="11"/>
  <c r="K23" i="11"/>
  <c r="K13" i="11"/>
  <c r="K12" i="11"/>
  <c r="K11" i="11"/>
  <c r="K10" i="11"/>
  <c r="K9" i="11"/>
  <c r="K8" i="11"/>
  <c r="K7" i="11"/>
  <c r="F3" i="11"/>
  <c r="Q26" i="58"/>
  <c r="R26" i="58" s="1"/>
  <c r="N21" i="11"/>
  <c r="N17" i="11"/>
  <c r="N18" i="11"/>
  <c r="N15" i="11"/>
  <c r="N19" i="11"/>
  <c r="N20" i="11"/>
  <c r="N16" i="11"/>
  <c r="N29" i="11"/>
  <c r="N28" i="11"/>
  <c r="N27" i="11"/>
  <c r="N26" i="11"/>
  <c r="N25" i="11"/>
  <c r="N24" i="11"/>
  <c r="N23" i="11"/>
  <c r="N13" i="11"/>
  <c r="N12" i="11"/>
  <c r="N11" i="11"/>
  <c r="N10" i="11"/>
  <c r="N9" i="11"/>
  <c r="N8" i="11"/>
  <c r="N7" i="11"/>
  <c r="M20" i="11"/>
  <c r="M16" i="11"/>
  <c r="M21" i="11"/>
  <c r="M17" i="11"/>
  <c r="M18" i="11"/>
  <c r="M19" i="11"/>
  <c r="M15" i="11"/>
  <c r="M29" i="11"/>
  <c r="M28" i="11"/>
  <c r="M27" i="11"/>
  <c r="M26" i="11"/>
  <c r="M25" i="11"/>
  <c r="M24" i="11"/>
  <c r="M23" i="11"/>
  <c r="M13" i="11"/>
  <c r="M12" i="11"/>
  <c r="M11" i="11"/>
  <c r="M10" i="11"/>
  <c r="M9" i="11"/>
  <c r="M8" i="11"/>
  <c r="M7" i="11"/>
  <c r="P19" i="11"/>
  <c r="P15" i="11"/>
  <c r="P20" i="11"/>
  <c r="P16" i="11"/>
  <c r="P21" i="11"/>
  <c r="P17" i="11"/>
  <c r="P18" i="11"/>
  <c r="P29" i="11"/>
  <c r="P28" i="11"/>
  <c r="P27" i="11"/>
  <c r="P26" i="11"/>
  <c r="P25" i="11"/>
  <c r="P24" i="11"/>
  <c r="P23" i="11"/>
  <c r="P13" i="11"/>
  <c r="P12" i="11"/>
  <c r="P11" i="11"/>
  <c r="P10" i="11"/>
  <c r="P9" i="11"/>
  <c r="P8" i="11"/>
  <c r="P7" i="11"/>
  <c r="H19" i="11"/>
  <c r="H15" i="11"/>
  <c r="H20" i="11"/>
  <c r="H16" i="11"/>
  <c r="H21" i="11"/>
  <c r="H17" i="11"/>
  <c r="H18" i="11"/>
  <c r="H29" i="11"/>
  <c r="H28" i="11"/>
  <c r="H27" i="11"/>
  <c r="H26" i="11"/>
  <c r="H25" i="11"/>
  <c r="H24" i="11"/>
  <c r="H23" i="11"/>
  <c r="H13" i="11"/>
  <c r="H12" i="11"/>
  <c r="H11" i="11"/>
  <c r="H10" i="11"/>
  <c r="H9" i="11"/>
  <c r="H8" i="11"/>
  <c r="H7" i="11"/>
  <c r="C19" i="11"/>
  <c r="C133" i="62" s="1"/>
  <c r="C15" i="11"/>
  <c r="C18" i="11"/>
  <c r="C132" i="62" s="1"/>
  <c r="C21" i="11"/>
  <c r="C135" i="62" s="1"/>
  <c r="C17" i="11"/>
  <c r="C131" i="62" s="1"/>
  <c r="C20" i="11"/>
  <c r="C134" i="62" s="1"/>
  <c r="C16" i="11"/>
  <c r="C130" i="62" s="1"/>
  <c r="D41" i="11"/>
  <c r="D37" i="11"/>
  <c r="D40" i="11"/>
  <c r="D36" i="11"/>
  <c r="D39" i="11"/>
  <c r="D35" i="11"/>
  <c r="D42" i="11"/>
  <c r="D38" i="11"/>
  <c r="C10" i="11"/>
  <c r="C124" i="62" s="1"/>
  <c r="C23" i="11"/>
  <c r="C27" i="11"/>
  <c r="C141" i="62" s="1"/>
  <c r="C11" i="11"/>
  <c r="C125" i="62" s="1"/>
  <c r="C28" i="11"/>
  <c r="C142" i="62" s="1"/>
  <c r="C8" i="11"/>
  <c r="C122" i="62" s="1"/>
  <c r="C12" i="11"/>
  <c r="C126" i="62" s="1"/>
  <c r="C25" i="11"/>
  <c r="C139" i="62" s="1"/>
  <c r="C29" i="11"/>
  <c r="C143" i="62" s="1"/>
  <c r="C24" i="11"/>
  <c r="C138" i="62" s="1"/>
  <c r="C9" i="11"/>
  <c r="C123" i="62" s="1"/>
  <c r="C13" i="11"/>
  <c r="C127" i="62" s="1"/>
  <c r="C26" i="11"/>
  <c r="C140" i="62" s="1"/>
  <c r="C7" i="11"/>
  <c r="D43" i="11"/>
  <c r="G18" i="11"/>
  <c r="G19" i="11"/>
  <c r="G15" i="11"/>
  <c r="G20" i="11"/>
  <c r="G16" i="11"/>
  <c r="G21" i="11"/>
  <c r="G17" i="11"/>
  <c r="G29" i="11"/>
  <c r="G28" i="11"/>
  <c r="G27" i="11"/>
  <c r="G26" i="11"/>
  <c r="G25" i="11"/>
  <c r="G24" i="11"/>
  <c r="G23" i="11"/>
  <c r="G13" i="11"/>
  <c r="G12" i="11"/>
  <c r="G11" i="11"/>
  <c r="G10" i="11"/>
  <c r="G9" i="11"/>
  <c r="G8" i="11"/>
  <c r="G7" i="11"/>
  <c r="J21" i="11"/>
  <c r="J17" i="11"/>
  <c r="J18" i="11"/>
  <c r="J19" i="11"/>
  <c r="J15" i="11"/>
  <c r="J20" i="11"/>
  <c r="J16" i="11"/>
  <c r="J29" i="11"/>
  <c r="J28" i="11"/>
  <c r="J27" i="11"/>
  <c r="J26" i="11"/>
  <c r="J25" i="11"/>
  <c r="J24" i="11"/>
  <c r="J23" i="11"/>
  <c r="J13" i="11"/>
  <c r="J12" i="11"/>
  <c r="J11" i="11"/>
  <c r="J10" i="11"/>
  <c r="J9" i="11"/>
  <c r="J8" i="11"/>
  <c r="J7" i="11"/>
  <c r="Q20" i="11"/>
  <c r="Q16" i="11"/>
  <c r="Q21" i="11"/>
  <c r="Q18" i="11"/>
  <c r="Q17" i="11"/>
  <c r="Q19" i="11"/>
  <c r="Q15" i="11"/>
  <c r="Q29" i="11"/>
  <c r="Q28" i="11"/>
  <c r="Q27" i="11"/>
  <c r="Q26" i="11"/>
  <c r="Q25" i="11"/>
  <c r="Q24" i="11"/>
  <c r="Q23" i="11"/>
  <c r="Q13" i="11"/>
  <c r="Q12" i="11"/>
  <c r="Q11" i="11"/>
  <c r="Q10" i="11"/>
  <c r="Q9" i="11"/>
  <c r="Q8" i="11"/>
  <c r="Q7" i="11"/>
  <c r="J11" i="8"/>
  <c r="J40" i="62" s="1"/>
  <c r="J19" i="8"/>
  <c r="J15" i="8"/>
  <c r="J44" i="62" s="1"/>
  <c r="J21" i="8"/>
  <c r="J12" i="8"/>
  <c r="J41" i="62" s="1"/>
  <c r="J23" i="8"/>
  <c r="J13" i="8"/>
  <c r="J42" i="62" s="1"/>
  <c r="J20" i="8"/>
  <c r="J18" i="8"/>
  <c r="J14" i="8"/>
  <c r="J43" i="62" s="1"/>
  <c r="J22" i="8"/>
  <c r="J17" i="8"/>
  <c r="J10" i="8"/>
  <c r="J39" i="62" s="1"/>
  <c r="M18" i="8"/>
  <c r="M22" i="8"/>
  <c r="M17" i="8"/>
  <c r="K11" i="8"/>
  <c r="K40" i="62" s="1"/>
  <c r="K15" i="8"/>
  <c r="K44" i="62" s="1"/>
  <c r="K21" i="8"/>
  <c r="Q15" i="8"/>
  <c r="Q44" i="62" s="1"/>
  <c r="Q21" i="8"/>
  <c r="Q14" i="8"/>
  <c r="Q43" i="62" s="1"/>
  <c r="Q18" i="8"/>
  <c r="Q12" i="8"/>
  <c r="Q41" i="62" s="1"/>
  <c r="Q20" i="8"/>
  <c r="Q11" i="8"/>
  <c r="Q40" i="62" s="1"/>
  <c r="Q22" i="8"/>
  <c r="Q13" i="8"/>
  <c r="Q42" i="62" s="1"/>
  <c r="Q19" i="8"/>
  <c r="Q23" i="8"/>
  <c r="Q17" i="8"/>
  <c r="Q10" i="8"/>
  <c r="Q39" i="62" s="1"/>
  <c r="Q13" i="58"/>
  <c r="R13" i="58" s="1"/>
  <c r="F6" i="9"/>
  <c r="F3" i="12"/>
  <c r="I6" i="9"/>
  <c r="I3" i="12"/>
  <c r="H6" i="9"/>
  <c r="H3" i="12"/>
  <c r="K3" i="42"/>
  <c r="K3" i="44"/>
  <c r="K3" i="41"/>
  <c r="P3" i="42"/>
  <c r="P3" i="44"/>
  <c r="P3" i="41"/>
  <c r="G3" i="42"/>
  <c r="G3" i="41"/>
  <c r="G3" i="44"/>
  <c r="D27" i="41"/>
  <c r="D25" i="41"/>
  <c r="D23" i="41"/>
  <c r="D21" i="41"/>
  <c r="D18" i="41"/>
  <c r="D26" i="41"/>
  <c r="D22" i="41"/>
  <c r="D17" i="41"/>
  <c r="D19" i="41"/>
  <c r="D20" i="41"/>
  <c r="D24" i="41"/>
  <c r="D16" i="41"/>
  <c r="D14" i="58"/>
  <c r="G12" i="58"/>
  <c r="N12" i="58"/>
  <c r="F12" i="58"/>
  <c r="M12" i="58"/>
  <c r="H12" i="58"/>
  <c r="P12" i="58"/>
  <c r="K12" i="58"/>
  <c r="J12" i="58"/>
  <c r="O12" i="58"/>
  <c r="L12" i="58"/>
  <c r="I12" i="58"/>
  <c r="E12" i="58"/>
  <c r="M6" i="9"/>
  <c r="M3" i="12"/>
  <c r="F3" i="42"/>
  <c r="Q93" i="58"/>
  <c r="R93" i="58" s="1"/>
  <c r="F3" i="41"/>
  <c r="F3" i="44"/>
  <c r="M3" i="44"/>
  <c r="M3" i="41"/>
  <c r="M3" i="42"/>
  <c r="J16" i="61"/>
  <c r="D18" i="61"/>
  <c r="C5" i="9"/>
  <c r="C2" i="12"/>
  <c r="H11" i="8"/>
  <c r="H40" i="62" s="1"/>
  <c r="H23" i="8"/>
  <c r="H12" i="8"/>
  <c r="H41" i="62" s="1"/>
  <c r="H22" i="8"/>
  <c r="H15" i="8"/>
  <c r="H44" i="62" s="1"/>
  <c r="H20" i="8"/>
  <c r="H14" i="8"/>
  <c r="H43" i="62" s="1"/>
  <c r="H18" i="8"/>
  <c r="H19" i="8"/>
  <c r="H13" i="8"/>
  <c r="H42" i="62" s="1"/>
  <c r="H21" i="8"/>
  <c r="H17" i="8"/>
  <c r="H10" i="8"/>
  <c r="H39" i="62" s="1"/>
  <c r="G6" i="9"/>
  <c r="G3" i="12"/>
  <c r="J3" i="42"/>
  <c r="J3" i="44"/>
  <c r="J3" i="41"/>
  <c r="O15" i="8"/>
  <c r="O44" i="62" s="1"/>
  <c r="O12" i="8"/>
  <c r="O41" i="62" s="1"/>
  <c r="O13" i="8"/>
  <c r="O42" i="62" s="1"/>
  <c r="O14" i="8"/>
  <c r="O43" i="62" s="1"/>
  <c r="O18" i="8"/>
  <c r="O21" i="8"/>
  <c r="O10" i="8"/>
  <c r="O39" i="62" s="1"/>
  <c r="P23" i="8"/>
  <c r="P20" i="8"/>
  <c r="P19" i="8"/>
  <c r="P10" i="8"/>
  <c r="P39" i="62" s="1"/>
  <c r="G20" i="8"/>
  <c r="G14" i="8"/>
  <c r="G43" i="62" s="1"/>
  <c r="G22" i="8"/>
  <c r="G12" i="8"/>
  <c r="G41" i="62" s="1"/>
  <c r="G19" i="8"/>
  <c r="G11" i="8"/>
  <c r="G40" i="62" s="1"/>
  <c r="G23" i="8"/>
  <c r="G15" i="8"/>
  <c r="G44" i="62" s="1"/>
  <c r="G21" i="8"/>
  <c r="G18" i="8"/>
  <c r="G13" i="8"/>
  <c r="G42" i="62" s="1"/>
  <c r="G10" i="8"/>
  <c r="G39" i="62" s="1"/>
  <c r="G17" i="8"/>
  <c r="J6" i="9"/>
  <c r="J3" i="12"/>
  <c r="O6" i="9"/>
  <c r="O3" i="12"/>
  <c r="P6" i="9"/>
  <c r="P3" i="12"/>
  <c r="H3" i="42"/>
  <c r="H3" i="41"/>
  <c r="H3" i="44"/>
  <c r="L3" i="42"/>
  <c r="L3" i="44"/>
  <c r="L3" i="41"/>
  <c r="N19" i="58"/>
  <c r="K19" i="58"/>
  <c r="J19" i="58"/>
  <c r="L19" i="58"/>
  <c r="H19" i="58"/>
  <c r="F19" i="58"/>
  <c r="O19" i="58"/>
  <c r="G19" i="58"/>
  <c r="I19" i="58"/>
  <c r="E19" i="58"/>
  <c r="M19" i="58"/>
  <c r="I21" i="8"/>
  <c r="I20" i="8"/>
  <c r="I10" i="8"/>
  <c r="I39" i="62" s="1"/>
  <c r="N6" i="9"/>
  <c r="N3" i="12"/>
  <c r="O3" i="42"/>
  <c r="O3" i="41"/>
  <c r="O3" i="44"/>
  <c r="C28" i="12"/>
  <c r="C27" i="12"/>
  <c r="C29" i="12"/>
  <c r="C25" i="12"/>
  <c r="C26" i="12"/>
  <c r="C30" i="12"/>
  <c r="C24" i="12"/>
  <c r="N13" i="8"/>
  <c r="N42" i="62" s="1"/>
  <c r="N20" i="8"/>
  <c r="N15" i="8"/>
  <c r="N44" i="62" s="1"/>
  <c r="N23" i="8"/>
  <c r="N14" i="8"/>
  <c r="N43" i="62" s="1"/>
  <c r="N18" i="8"/>
  <c r="N12" i="8"/>
  <c r="N41" i="62" s="1"/>
  <c r="N22" i="8"/>
  <c r="N11" i="8"/>
  <c r="N40" i="62" s="1"/>
  <c r="N21" i="8"/>
  <c r="N19" i="8"/>
  <c r="N17" i="8"/>
  <c r="N10" i="8"/>
  <c r="L12" i="8"/>
  <c r="L41" i="62" s="1"/>
  <c r="L19" i="8"/>
  <c r="L14" i="8"/>
  <c r="L43" i="62" s="1"/>
  <c r="L21" i="8"/>
  <c r="L11" i="8"/>
  <c r="L40" i="62" s="1"/>
  <c r="L23" i="8"/>
  <c r="L13" i="8"/>
  <c r="L42" i="62" s="1"/>
  <c r="L18" i="8"/>
  <c r="L15" i="8"/>
  <c r="L44" i="62" s="1"/>
  <c r="L20" i="8"/>
  <c r="L22" i="8"/>
  <c r="L17" i="8"/>
  <c r="L10" i="8"/>
  <c r="L39" i="62" s="1"/>
  <c r="Q6" i="9"/>
  <c r="Q3" i="12"/>
  <c r="K6" i="9"/>
  <c r="K3" i="12"/>
  <c r="L6" i="9"/>
  <c r="L3" i="12"/>
  <c r="I3" i="42"/>
  <c r="I3" i="44"/>
  <c r="I3" i="41"/>
  <c r="N3" i="44"/>
  <c r="N3" i="41"/>
  <c r="N3" i="42"/>
  <c r="Q3" i="44"/>
  <c r="Q3" i="42"/>
  <c r="Q3" i="41"/>
  <c r="M10" i="58"/>
  <c r="N3" i="9" s="1"/>
  <c r="J10" i="58"/>
  <c r="K3" i="9" s="1"/>
  <c r="K10" i="58"/>
  <c r="L3" i="9" s="1"/>
  <c r="O10" i="58"/>
  <c r="P3" i="9" s="1"/>
  <c r="Q3" i="9"/>
  <c r="I10" i="58"/>
  <c r="J3" i="9" s="1"/>
  <c r="L10" i="58"/>
  <c r="M3" i="9" s="1"/>
  <c r="F10" i="58"/>
  <c r="G3" i="9" s="1"/>
  <c r="N10" i="58"/>
  <c r="O3" i="9" s="1"/>
  <c r="E10" i="58"/>
  <c r="H10" i="58"/>
  <c r="I3" i="9" s="1"/>
  <c r="G10" i="58"/>
  <c r="H3" i="9" s="1"/>
  <c r="I12" i="8" l="1"/>
  <c r="I41" i="62" s="1"/>
  <c r="I22" i="8"/>
  <c r="I18" i="8"/>
  <c r="P11" i="8"/>
  <c r="P40" i="62" s="1"/>
  <c r="P22" i="8"/>
  <c r="P18" i="8"/>
  <c r="K10" i="8"/>
  <c r="K39" i="62" s="1"/>
  <c r="K23" i="8"/>
  <c r="K12" i="8"/>
  <c r="K41" i="62" s="1"/>
  <c r="K14" i="8"/>
  <c r="K43" i="62" s="1"/>
  <c r="M14" i="8"/>
  <c r="M43" i="62" s="1"/>
  <c r="M20" i="8"/>
  <c r="M21" i="8"/>
  <c r="I17" i="8"/>
  <c r="I23" i="8"/>
  <c r="I19" i="8"/>
  <c r="I13" i="8"/>
  <c r="I42" i="62" s="1"/>
  <c r="I11" i="8"/>
  <c r="I40" i="62" s="1"/>
  <c r="I15" i="8"/>
  <c r="I44" i="62" s="1"/>
  <c r="I14" i="8"/>
  <c r="I43" i="62" s="1"/>
  <c r="P17" i="8"/>
  <c r="P21" i="8"/>
  <c r="P14" i="8"/>
  <c r="P43" i="62" s="1"/>
  <c r="P15" i="8"/>
  <c r="P44" i="62" s="1"/>
  <c r="P12" i="8"/>
  <c r="P41" i="62" s="1"/>
  <c r="P13" i="8"/>
  <c r="P42" i="62" s="1"/>
  <c r="K17" i="8"/>
  <c r="K13" i="8"/>
  <c r="K42" i="62" s="1"/>
  <c r="K20" i="8"/>
  <c r="K19" i="8"/>
  <c r="K22" i="8"/>
  <c r="K18" i="8"/>
  <c r="M10" i="8"/>
  <c r="M23" i="8"/>
  <c r="M19" i="8"/>
  <c r="M13" i="8"/>
  <c r="M42" i="62" s="1"/>
  <c r="M12" i="8"/>
  <c r="M41" i="62" s="1"/>
  <c r="M15" i="8"/>
  <c r="M44" i="62" s="1"/>
  <c r="M11" i="8"/>
  <c r="M40" i="62" s="1"/>
  <c r="C3" i="9"/>
  <c r="C12" i="9" s="1"/>
  <c r="L18" i="61"/>
  <c r="M18" i="61"/>
  <c r="L14" i="61"/>
  <c r="M14" i="61"/>
  <c r="M23" i="61"/>
  <c r="L23" i="61"/>
  <c r="Q8" i="58"/>
  <c r="R8" i="58" s="1"/>
  <c r="O17" i="8"/>
  <c r="O11" i="8"/>
  <c r="O40" i="62" s="1"/>
  <c r="O23" i="8"/>
  <c r="O20" i="8"/>
  <c r="O19" i="8"/>
  <c r="O22" i="8"/>
  <c r="C3" i="14"/>
  <c r="C28" i="14" s="1"/>
  <c r="C10" i="8"/>
  <c r="C39" i="62" s="1"/>
  <c r="C22" i="8"/>
  <c r="C62" i="62" s="1"/>
  <c r="C23" i="8"/>
  <c r="C63" i="62" s="1"/>
  <c r="C9" i="8"/>
  <c r="C17" i="8"/>
  <c r="C11" i="8"/>
  <c r="C40" i="62" s="1"/>
  <c r="C18" i="8"/>
  <c r="C58" i="62" s="1"/>
  <c r="C19" i="8"/>
  <c r="C59" i="62" s="1"/>
  <c r="C12" i="8"/>
  <c r="C41" i="62" s="1"/>
  <c r="C13" i="8"/>
  <c r="C42" i="62" s="1"/>
  <c r="C20" i="8"/>
  <c r="C60" i="62" s="1"/>
  <c r="C21" i="8"/>
  <c r="C61" i="62" s="1"/>
  <c r="C14" i="8"/>
  <c r="C43" i="62" s="1"/>
  <c r="C15" i="8"/>
  <c r="C44" i="62" s="1"/>
  <c r="J18" i="61"/>
  <c r="H14" i="11"/>
  <c r="P30" i="11"/>
  <c r="M22" i="11"/>
  <c r="N22" i="11"/>
  <c r="I14" i="11"/>
  <c r="O30" i="11"/>
  <c r="G14" i="11"/>
  <c r="Q22" i="11"/>
  <c r="L24" i="8"/>
  <c r="N16" i="8"/>
  <c r="N39" i="62"/>
  <c r="M39" i="62"/>
  <c r="R3" i="42"/>
  <c r="S3" i="42" s="1"/>
  <c r="Q14" i="11"/>
  <c r="J30" i="11"/>
  <c r="G22" i="11"/>
  <c r="C121" i="62"/>
  <c r="C128" i="62" s="1"/>
  <c r="C14" i="11"/>
  <c r="P42" i="11"/>
  <c r="I42" i="11"/>
  <c r="Q42" i="11"/>
  <c r="F42" i="11"/>
  <c r="N42" i="11"/>
  <c r="M42" i="11"/>
  <c r="J42" i="11"/>
  <c r="K42" i="11"/>
  <c r="G42" i="11"/>
  <c r="O42" i="11"/>
  <c r="L42" i="11"/>
  <c r="H42" i="11"/>
  <c r="P40" i="11"/>
  <c r="I40" i="11"/>
  <c r="Q40" i="11"/>
  <c r="J40" i="11"/>
  <c r="K40" i="11"/>
  <c r="M40" i="11"/>
  <c r="F40" i="11"/>
  <c r="N40" i="11"/>
  <c r="L40" i="11"/>
  <c r="G40" i="11"/>
  <c r="O40" i="11"/>
  <c r="H40" i="11"/>
  <c r="C129" i="62"/>
  <c r="C136" i="62" s="1"/>
  <c r="C22" i="11"/>
  <c r="M14" i="11"/>
  <c r="N30" i="11"/>
  <c r="K14" i="11"/>
  <c r="L30" i="11"/>
  <c r="L22" i="11"/>
  <c r="I22" i="11"/>
  <c r="H16" i="8"/>
  <c r="J14" i="11"/>
  <c r="J22" i="11"/>
  <c r="G30" i="11"/>
  <c r="C137" i="62"/>
  <c r="C144" i="62" s="1"/>
  <c r="C30" i="11"/>
  <c r="P35" i="11"/>
  <c r="M35" i="11"/>
  <c r="L35" i="11"/>
  <c r="G35" i="11"/>
  <c r="F35" i="11"/>
  <c r="O35" i="11"/>
  <c r="I35" i="11"/>
  <c r="Q35" i="11"/>
  <c r="H35" i="11"/>
  <c r="K35" i="11"/>
  <c r="J35" i="11"/>
  <c r="N35" i="11"/>
  <c r="P37" i="11"/>
  <c r="M37" i="11"/>
  <c r="H37" i="11"/>
  <c r="O37" i="11"/>
  <c r="J37" i="11"/>
  <c r="I37" i="11"/>
  <c r="Q37" i="11"/>
  <c r="L37" i="11"/>
  <c r="G37" i="11"/>
  <c r="K37" i="11"/>
  <c r="F37" i="11"/>
  <c r="N37" i="11"/>
  <c r="H30" i="11"/>
  <c r="H22" i="11"/>
  <c r="N14" i="11"/>
  <c r="L14" i="11"/>
  <c r="I30" i="11"/>
  <c r="O22" i="11"/>
  <c r="P39" i="11"/>
  <c r="M39" i="11"/>
  <c r="L39" i="11"/>
  <c r="N39" i="11"/>
  <c r="I39" i="11"/>
  <c r="Q39" i="11"/>
  <c r="H39" i="11"/>
  <c r="O39" i="11"/>
  <c r="K39" i="11"/>
  <c r="J39" i="11"/>
  <c r="G39" i="11"/>
  <c r="F39" i="11"/>
  <c r="P41" i="11"/>
  <c r="M41" i="11"/>
  <c r="H41" i="11"/>
  <c r="O41" i="11"/>
  <c r="J41" i="11"/>
  <c r="I41" i="11"/>
  <c r="Q41" i="11"/>
  <c r="L41" i="11"/>
  <c r="G41" i="11"/>
  <c r="K41" i="11"/>
  <c r="F41" i="11"/>
  <c r="N41" i="11"/>
  <c r="P22" i="11"/>
  <c r="K22" i="11"/>
  <c r="Q30" i="11"/>
  <c r="P38" i="11"/>
  <c r="I38" i="11"/>
  <c r="Q38" i="11"/>
  <c r="F38" i="11"/>
  <c r="N38" i="11"/>
  <c r="K38" i="11"/>
  <c r="M38" i="11"/>
  <c r="J38" i="11"/>
  <c r="H38" i="11"/>
  <c r="G38" i="11"/>
  <c r="O38" i="11"/>
  <c r="L38" i="11"/>
  <c r="P36" i="11"/>
  <c r="I36" i="11"/>
  <c r="Q36" i="11"/>
  <c r="J36" i="11"/>
  <c r="K36" i="11"/>
  <c r="L36" i="11"/>
  <c r="M36" i="11"/>
  <c r="F36" i="11"/>
  <c r="N36" i="11"/>
  <c r="G36" i="11"/>
  <c r="O36" i="11"/>
  <c r="H36" i="11"/>
  <c r="P14" i="11"/>
  <c r="M30" i="11"/>
  <c r="F21" i="11"/>
  <c r="R21" i="11" s="1"/>
  <c r="S21" i="11" s="1"/>
  <c r="F15" i="11"/>
  <c r="F19" i="11"/>
  <c r="R19" i="11" s="1"/>
  <c r="S19" i="11" s="1"/>
  <c r="F16" i="11"/>
  <c r="R16" i="11" s="1"/>
  <c r="S16" i="11" s="1"/>
  <c r="F17" i="11"/>
  <c r="R17" i="11" s="1"/>
  <c r="S17" i="11" s="1"/>
  <c r="F18" i="11"/>
  <c r="R18" i="11" s="1"/>
  <c r="S18" i="11" s="1"/>
  <c r="F20" i="11"/>
  <c r="R20" i="11" s="1"/>
  <c r="S20" i="11" s="1"/>
  <c r="R3" i="11"/>
  <c r="S3" i="11" s="1"/>
  <c r="F29" i="11"/>
  <c r="R29" i="11" s="1"/>
  <c r="S29" i="11" s="1"/>
  <c r="F28" i="11"/>
  <c r="R28" i="11" s="1"/>
  <c r="S28" i="11" s="1"/>
  <c r="F27" i="11"/>
  <c r="R27" i="11" s="1"/>
  <c r="S27" i="11" s="1"/>
  <c r="F26" i="11"/>
  <c r="R26" i="11" s="1"/>
  <c r="S26" i="11" s="1"/>
  <c r="F25" i="11"/>
  <c r="R25" i="11" s="1"/>
  <c r="S25" i="11" s="1"/>
  <c r="F24" i="11"/>
  <c r="R24" i="11" s="1"/>
  <c r="S24" i="11" s="1"/>
  <c r="F23" i="11"/>
  <c r="F13" i="11"/>
  <c r="R13" i="11" s="1"/>
  <c r="S13" i="11" s="1"/>
  <c r="F12" i="11"/>
  <c r="R12" i="11" s="1"/>
  <c r="S12" i="11" s="1"/>
  <c r="F11" i="11"/>
  <c r="R11" i="11" s="1"/>
  <c r="S11" i="11" s="1"/>
  <c r="F10" i="11"/>
  <c r="R10" i="11" s="1"/>
  <c r="S10" i="11" s="1"/>
  <c r="F9" i="11"/>
  <c r="R9" i="11" s="1"/>
  <c r="S9" i="11" s="1"/>
  <c r="F8" i="11"/>
  <c r="R8" i="11" s="1"/>
  <c r="S8" i="11" s="1"/>
  <c r="F7" i="11"/>
  <c r="K30" i="11"/>
  <c r="O14" i="11"/>
  <c r="G16" i="8"/>
  <c r="N24" i="8"/>
  <c r="G24" i="8"/>
  <c r="C169" i="62"/>
  <c r="H3" i="14"/>
  <c r="H12" i="9"/>
  <c r="G5" i="9"/>
  <c r="F14" i="58"/>
  <c r="G2" i="12"/>
  <c r="J19" i="41"/>
  <c r="O19" i="41"/>
  <c r="H19" i="41"/>
  <c r="K19" i="41"/>
  <c r="L19" i="41"/>
  <c r="I19" i="41"/>
  <c r="P19" i="41"/>
  <c r="Q19" i="41"/>
  <c r="M19" i="41"/>
  <c r="G19" i="41"/>
  <c r="N19" i="41"/>
  <c r="F19" i="41"/>
  <c r="L25" i="12"/>
  <c r="L27" i="12"/>
  <c r="L29" i="12"/>
  <c r="L26" i="12"/>
  <c r="L30" i="12"/>
  <c r="L28" i="12"/>
  <c r="L24" i="12"/>
  <c r="Q26" i="12"/>
  <c r="Q28" i="12"/>
  <c r="Q29" i="12"/>
  <c r="Q27" i="12"/>
  <c r="Q25" i="12"/>
  <c r="Q30" i="12"/>
  <c r="Q24" i="12"/>
  <c r="L16" i="8"/>
  <c r="C163" i="62"/>
  <c r="C31" i="12"/>
  <c r="C168" i="62"/>
  <c r="J3" i="14"/>
  <c r="J12" i="9"/>
  <c r="I3" i="14"/>
  <c r="I12" i="9"/>
  <c r="L3" i="14"/>
  <c r="L12" i="9"/>
  <c r="C24" i="14"/>
  <c r="Q12" i="58"/>
  <c r="R12" i="58" s="1"/>
  <c r="F5" i="9"/>
  <c r="E14" i="58"/>
  <c r="F2" i="12"/>
  <c r="K5" i="9"/>
  <c r="J14" i="58"/>
  <c r="K2" i="12"/>
  <c r="N5" i="9"/>
  <c r="M14" i="58"/>
  <c r="N2" i="12"/>
  <c r="P20" i="41"/>
  <c r="K20" i="41"/>
  <c r="M20" i="41"/>
  <c r="J20" i="41"/>
  <c r="O20" i="41"/>
  <c r="H20" i="41"/>
  <c r="G20" i="41"/>
  <c r="L20" i="41"/>
  <c r="N20" i="41"/>
  <c r="Q20" i="41"/>
  <c r="I20" i="41"/>
  <c r="F20" i="41"/>
  <c r="J26" i="41"/>
  <c r="G26" i="41"/>
  <c r="K26" i="41"/>
  <c r="H26" i="41"/>
  <c r="Q26" i="41"/>
  <c r="N26" i="41"/>
  <c r="I26" i="41"/>
  <c r="L26" i="41"/>
  <c r="O26" i="41"/>
  <c r="P26" i="41"/>
  <c r="M26" i="41"/>
  <c r="F26" i="41"/>
  <c r="L25" i="41"/>
  <c r="G25" i="41"/>
  <c r="P25" i="41"/>
  <c r="H25" i="41"/>
  <c r="M25" i="41"/>
  <c r="I25" i="41"/>
  <c r="N25" i="41"/>
  <c r="K25" i="41"/>
  <c r="O25" i="41"/>
  <c r="Q25" i="41"/>
  <c r="F25" i="41"/>
  <c r="J25" i="41"/>
  <c r="H26" i="12"/>
  <c r="H28" i="12"/>
  <c r="H29" i="12"/>
  <c r="H27" i="12"/>
  <c r="H25" i="12"/>
  <c r="H30" i="12"/>
  <c r="H24" i="12"/>
  <c r="R3" i="12"/>
  <c r="T3" i="12" s="1"/>
  <c r="F27" i="12"/>
  <c r="F29" i="12"/>
  <c r="F28" i="12"/>
  <c r="F26" i="12"/>
  <c r="F25" i="12"/>
  <c r="F24" i="12"/>
  <c r="F30" i="12"/>
  <c r="Q24" i="8"/>
  <c r="J24" i="8"/>
  <c r="C166" i="62"/>
  <c r="M3" i="14"/>
  <c r="M12" i="9"/>
  <c r="O25" i="12"/>
  <c r="O28" i="12"/>
  <c r="O29" i="12"/>
  <c r="O30" i="12"/>
  <c r="O27" i="12"/>
  <c r="O26" i="12"/>
  <c r="O24" i="12"/>
  <c r="L5" i="9"/>
  <c r="K14" i="58"/>
  <c r="L2" i="12"/>
  <c r="N18" i="41"/>
  <c r="O18" i="41"/>
  <c r="M18" i="41"/>
  <c r="F18" i="41"/>
  <c r="Q18" i="41"/>
  <c r="J18" i="41"/>
  <c r="P18" i="41"/>
  <c r="I18" i="41"/>
  <c r="K18" i="41"/>
  <c r="L18" i="41"/>
  <c r="G18" i="41"/>
  <c r="H18" i="41"/>
  <c r="R6" i="9"/>
  <c r="T6" i="9" s="1"/>
  <c r="R5" i="8"/>
  <c r="T5" i="8" s="1"/>
  <c r="F22" i="8"/>
  <c r="R22" i="8" s="1"/>
  <c r="F11" i="8"/>
  <c r="F19" i="8"/>
  <c r="F18" i="8"/>
  <c r="F23" i="8"/>
  <c r="F15" i="8"/>
  <c r="F21" i="8"/>
  <c r="F14" i="8"/>
  <c r="F17" i="8"/>
  <c r="F20" i="8"/>
  <c r="F10" i="8"/>
  <c r="F9" i="8"/>
  <c r="F38" i="62" s="1"/>
  <c r="F12" i="8"/>
  <c r="F13" i="8"/>
  <c r="C165" i="62"/>
  <c r="C167" i="62"/>
  <c r="N3" i="14"/>
  <c r="N12" i="9"/>
  <c r="K3" i="14"/>
  <c r="K12" i="9"/>
  <c r="H24" i="8"/>
  <c r="C18" i="12"/>
  <c r="C11" i="12"/>
  <c r="C12" i="12"/>
  <c r="C20" i="12"/>
  <c r="C14" i="12"/>
  <c r="C21" i="12"/>
  <c r="C13" i="12"/>
  <c r="C9" i="12"/>
  <c r="C17" i="12"/>
  <c r="C10" i="12"/>
  <c r="C22" i="12"/>
  <c r="C19" i="12"/>
  <c r="C8" i="12"/>
  <c r="C4" i="12"/>
  <c r="C16" i="12"/>
  <c r="R3" i="44"/>
  <c r="S3" i="44" s="1"/>
  <c r="M26" i="12"/>
  <c r="M27" i="12"/>
  <c r="M29" i="12"/>
  <c r="M25" i="12"/>
  <c r="M30" i="12"/>
  <c r="M28" i="12"/>
  <c r="M24" i="12"/>
  <c r="M5" i="9"/>
  <c r="L14" i="58"/>
  <c r="M2" i="12"/>
  <c r="Q5" i="9"/>
  <c r="P14" i="58"/>
  <c r="Q2" i="12"/>
  <c r="O5" i="9"/>
  <c r="N14" i="58"/>
  <c r="O2" i="12"/>
  <c r="D28" i="41"/>
  <c r="F16" i="41"/>
  <c r="G16" i="41"/>
  <c r="Q16" i="41"/>
  <c r="I16" i="41"/>
  <c r="N16" i="41"/>
  <c r="P16" i="41"/>
  <c r="K16" i="41"/>
  <c r="J16" i="41"/>
  <c r="L16" i="41"/>
  <c r="H16" i="41"/>
  <c r="O16" i="41"/>
  <c r="M16" i="41"/>
  <c r="L17" i="41"/>
  <c r="H17" i="41"/>
  <c r="P17" i="41"/>
  <c r="J17" i="41"/>
  <c r="M17" i="41"/>
  <c r="N17" i="41"/>
  <c r="Q17" i="41"/>
  <c r="K17" i="41"/>
  <c r="G17" i="41"/>
  <c r="I17" i="41"/>
  <c r="O17" i="41"/>
  <c r="F17" i="41"/>
  <c r="H21" i="41"/>
  <c r="G21" i="41"/>
  <c r="M21" i="41"/>
  <c r="L21" i="41"/>
  <c r="I21" i="41"/>
  <c r="N21" i="41"/>
  <c r="O21" i="41"/>
  <c r="K21" i="41"/>
  <c r="P21" i="41"/>
  <c r="J21" i="41"/>
  <c r="F21" i="41"/>
  <c r="Q21" i="41"/>
  <c r="H27" i="41"/>
  <c r="O27" i="41"/>
  <c r="M27" i="41"/>
  <c r="Q27" i="41"/>
  <c r="G27" i="41"/>
  <c r="L27" i="41"/>
  <c r="K27" i="41"/>
  <c r="I27" i="41"/>
  <c r="J27" i="41"/>
  <c r="P27" i="41"/>
  <c r="N27" i="41"/>
  <c r="F27" i="41"/>
  <c r="I26" i="12"/>
  <c r="I28" i="12"/>
  <c r="I25" i="12"/>
  <c r="I27" i="12"/>
  <c r="I29" i="12"/>
  <c r="I30" i="12"/>
  <c r="I24" i="12"/>
  <c r="O3" i="14"/>
  <c r="O12" i="9"/>
  <c r="J5" i="9"/>
  <c r="I14" i="58"/>
  <c r="J2" i="12"/>
  <c r="Q10" i="58"/>
  <c r="R10" i="58" s="1"/>
  <c r="F3" i="9"/>
  <c r="R3" i="9" s="1"/>
  <c r="K26" i="12"/>
  <c r="K25" i="12"/>
  <c r="K29" i="12"/>
  <c r="K30" i="12"/>
  <c r="K27" i="12"/>
  <c r="K28" i="12"/>
  <c r="K24" i="12"/>
  <c r="P3" i="14"/>
  <c r="P12" i="9"/>
  <c r="C164" i="62"/>
  <c r="N26" i="12"/>
  <c r="N27" i="12"/>
  <c r="N29" i="12"/>
  <c r="N25" i="12"/>
  <c r="N30" i="12"/>
  <c r="N28" i="12"/>
  <c r="N24" i="12"/>
  <c r="Q19" i="58"/>
  <c r="R19" i="58" s="1"/>
  <c r="F3" i="14"/>
  <c r="F12" i="9"/>
  <c r="G3" i="14"/>
  <c r="G12" i="9"/>
  <c r="Q3" i="14"/>
  <c r="Q12" i="9"/>
  <c r="P25" i="12"/>
  <c r="P28" i="12"/>
  <c r="P29" i="12"/>
  <c r="P27" i="12"/>
  <c r="P26" i="12"/>
  <c r="P30" i="12"/>
  <c r="P24" i="12"/>
  <c r="J26" i="12"/>
  <c r="J28" i="12"/>
  <c r="J29" i="12"/>
  <c r="J27" i="12"/>
  <c r="J25" i="12"/>
  <c r="J30" i="12"/>
  <c r="J24" i="12"/>
  <c r="O16" i="8"/>
  <c r="G29" i="12"/>
  <c r="G30" i="12"/>
  <c r="G25" i="12"/>
  <c r="G26" i="12"/>
  <c r="G28" i="12"/>
  <c r="G27" i="12"/>
  <c r="G24" i="12"/>
  <c r="C7" i="9"/>
  <c r="R3" i="41"/>
  <c r="S3" i="41" s="1"/>
  <c r="P5" i="9"/>
  <c r="O14" i="58"/>
  <c r="P2" i="12"/>
  <c r="I5" i="9"/>
  <c r="H14" i="58"/>
  <c r="I2" i="12"/>
  <c r="H5" i="9"/>
  <c r="G14" i="58"/>
  <c r="H2" i="12"/>
  <c r="Q24" i="41"/>
  <c r="M24" i="41"/>
  <c r="J24" i="41"/>
  <c r="O24" i="41"/>
  <c r="I24" i="41"/>
  <c r="K24" i="41"/>
  <c r="N24" i="41"/>
  <c r="G24" i="41"/>
  <c r="H24" i="41"/>
  <c r="L24" i="41"/>
  <c r="P24" i="41"/>
  <c r="F24" i="41"/>
  <c r="N22" i="41"/>
  <c r="Q22" i="41"/>
  <c r="I22" i="41"/>
  <c r="O22" i="41"/>
  <c r="K22" i="41"/>
  <c r="L22" i="41"/>
  <c r="H22" i="41"/>
  <c r="J22" i="41"/>
  <c r="P22" i="41"/>
  <c r="G22" i="41"/>
  <c r="M22" i="41"/>
  <c r="F22" i="41"/>
  <c r="O23" i="41"/>
  <c r="K23" i="41"/>
  <c r="N23" i="41"/>
  <c r="P23" i="41"/>
  <c r="J23" i="41"/>
  <c r="L23" i="41"/>
  <c r="G23" i="41"/>
  <c r="H23" i="41"/>
  <c r="Q23" i="41"/>
  <c r="I23" i="41"/>
  <c r="F23" i="41"/>
  <c r="M23" i="41"/>
  <c r="Q16" i="8"/>
  <c r="J16" i="8"/>
  <c r="M24" i="8" l="1"/>
  <c r="P24" i="8"/>
  <c r="R18" i="8"/>
  <c r="T18" i="8" s="1"/>
  <c r="K16" i="8"/>
  <c r="P16" i="8"/>
  <c r="K24" i="8"/>
  <c r="I24" i="8"/>
  <c r="T3" i="9"/>
  <c r="I16" i="8"/>
  <c r="R21" i="8"/>
  <c r="T21" i="8" s="1"/>
  <c r="R23" i="8"/>
  <c r="R19" i="8"/>
  <c r="T22" i="8"/>
  <c r="C29" i="14"/>
  <c r="C27" i="14"/>
  <c r="M16" i="8"/>
  <c r="M25" i="8" s="1"/>
  <c r="O24" i="8"/>
  <c r="R20" i="8"/>
  <c r="T20" i="8" s="1"/>
  <c r="T23" i="8"/>
  <c r="C25" i="14"/>
  <c r="C216" i="62" s="1"/>
  <c r="C30" i="14"/>
  <c r="C221" i="62" s="1"/>
  <c r="C26" i="14"/>
  <c r="T19" i="8"/>
  <c r="C38" i="62"/>
  <c r="C45" i="62" s="1"/>
  <c r="C16" i="8"/>
  <c r="C57" i="62"/>
  <c r="C64" i="62" s="1"/>
  <c r="C24" i="8"/>
  <c r="L31" i="12"/>
  <c r="Q31" i="11"/>
  <c r="R41" i="11"/>
  <c r="S41" i="11" s="1"/>
  <c r="N25" i="8"/>
  <c r="O31" i="11"/>
  <c r="H31" i="11"/>
  <c r="O43" i="11"/>
  <c r="I31" i="11"/>
  <c r="H25" i="8"/>
  <c r="G25" i="8"/>
  <c r="R10" i="8"/>
  <c r="F39" i="62"/>
  <c r="R13" i="8"/>
  <c r="F42" i="62"/>
  <c r="R15" i="8"/>
  <c r="F44" i="62"/>
  <c r="R11" i="8"/>
  <c r="F40" i="62"/>
  <c r="R12" i="8"/>
  <c r="F41" i="62"/>
  <c r="R14" i="8"/>
  <c r="F43" i="62"/>
  <c r="R22" i="41"/>
  <c r="S22" i="41" s="1"/>
  <c r="R24" i="41"/>
  <c r="S24" i="41" s="1"/>
  <c r="H31" i="12"/>
  <c r="R25" i="41"/>
  <c r="S25" i="41" s="1"/>
  <c r="P31" i="11"/>
  <c r="N43" i="11"/>
  <c r="Q43" i="11"/>
  <c r="G43" i="11"/>
  <c r="C31" i="11"/>
  <c r="G31" i="11"/>
  <c r="G31" i="12"/>
  <c r="F30" i="11"/>
  <c r="R30" i="11" s="1"/>
  <c r="S30" i="11" s="1"/>
  <c r="R23" i="11"/>
  <c r="S23" i="11" s="1"/>
  <c r="R39" i="11"/>
  <c r="S39" i="11" s="1"/>
  <c r="N31" i="11"/>
  <c r="R37" i="11"/>
  <c r="S37" i="11" s="1"/>
  <c r="J43" i="11"/>
  <c r="I43" i="11"/>
  <c r="L43" i="11"/>
  <c r="F14" i="11"/>
  <c r="R14" i="11" s="1"/>
  <c r="S14" i="11" s="1"/>
  <c r="R7" i="11"/>
  <c r="S7" i="11" s="1"/>
  <c r="R15" i="11"/>
  <c r="S15" i="11" s="1"/>
  <c r="F22" i="11"/>
  <c r="R36" i="11"/>
  <c r="S36" i="11" s="1"/>
  <c r="R38" i="11"/>
  <c r="S38" i="11" s="1"/>
  <c r="K43" i="11"/>
  <c r="M43" i="11"/>
  <c r="R42" i="11"/>
  <c r="S42" i="11" s="1"/>
  <c r="M31" i="12"/>
  <c r="K31" i="11"/>
  <c r="H43" i="11"/>
  <c r="R35" i="11"/>
  <c r="S35" i="11" s="1"/>
  <c r="F43" i="11"/>
  <c r="P43" i="11"/>
  <c r="J31" i="11"/>
  <c r="L31" i="11"/>
  <c r="M31" i="11"/>
  <c r="R40" i="11"/>
  <c r="S40" i="11" s="1"/>
  <c r="H13" i="12"/>
  <c r="H12" i="12"/>
  <c r="H22" i="12"/>
  <c r="H10" i="12"/>
  <c r="H17" i="12"/>
  <c r="H14" i="12"/>
  <c r="H21" i="12"/>
  <c r="H19" i="12"/>
  <c r="H11" i="12"/>
  <c r="H18" i="12"/>
  <c r="H20" i="12"/>
  <c r="H9" i="12"/>
  <c r="H16" i="12"/>
  <c r="H8" i="12"/>
  <c r="I7" i="9"/>
  <c r="I4" i="12"/>
  <c r="J31" i="12"/>
  <c r="Q38" i="9"/>
  <c r="Q39" i="9"/>
  <c r="Q41" i="9"/>
  <c r="Q37" i="9"/>
  <c r="Q42" i="9"/>
  <c r="Q40" i="9"/>
  <c r="Q36" i="9"/>
  <c r="R12" i="9"/>
  <c r="F38" i="9"/>
  <c r="F39" i="9"/>
  <c r="F37" i="9"/>
  <c r="F36" i="9"/>
  <c r="F42" i="9"/>
  <c r="F40" i="9"/>
  <c r="F41" i="9"/>
  <c r="K31" i="12"/>
  <c r="J13" i="12"/>
  <c r="J12" i="12"/>
  <c r="J14" i="12"/>
  <c r="J9" i="12"/>
  <c r="J20" i="12"/>
  <c r="J10" i="12"/>
  <c r="J19" i="12"/>
  <c r="J17" i="12"/>
  <c r="J22" i="12"/>
  <c r="J18" i="12"/>
  <c r="J21" i="12"/>
  <c r="J11" i="12"/>
  <c r="J8" i="12"/>
  <c r="J16" i="12"/>
  <c r="R27" i="41"/>
  <c r="S27" i="41" s="1"/>
  <c r="R17" i="41"/>
  <c r="S17" i="41" s="1"/>
  <c r="M28" i="41"/>
  <c r="J28" i="41"/>
  <c r="I28" i="41"/>
  <c r="Q13" i="12"/>
  <c r="Q12" i="12"/>
  <c r="Q19" i="12"/>
  <c r="Q9" i="12"/>
  <c r="Q22" i="12"/>
  <c r="Q20" i="12"/>
  <c r="Q10" i="12"/>
  <c r="Q21" i="12"/>
  <c r="Q17" i="12"/>
  <c r="Q11" i="12"/>
  <c r="Q14" i="12"/>
  <c r="Q18" i="12"/>
  <c r="Q16" i="12"/>
  <c r="Q8" i="12"/>
  <c r="M4" i="12"/>
  <c r="M7" i="9"/>
  <c r="C147" i="62"/>
  <c r="C15" i="12"/>
  <c r="C156" i="62"/>
  <c r="C153" i="62"/>
  <c r="C150" i="62"/>
  <c r="K27" i="14"/>
  <c r="K25" i="14"/>
  <c r="K28" i="14"/>
  <c r="K30" i="14"/>
  <c r="K29" i="14"/>
  <c r="K26" i="14"/>
  <c r="K24" i="14"/>
  <c r="M38" i="9"/>
  <c r="M40" i="9"/>
  <c r="M41" i="9"/>
  <c r="M39" i="9"/>
  <c r="M37" i="9"/>
  <c r="M42" i="9"/>
  <c r="M36" i="9"/>
  <c r="K25" i="8"/>
  <c r="R25" i="12"/>
  <c r="T25" i="12" s="1"/>
  <c r="R27" i="12"/>
  <c r="T27" i="12" s="1"/>
  <c r="R2" i="12"/>
  <c r="T2" i="12" s="1"/>
  <c r="F20" i="12"/>
  <c r="F19" i="12"/>
  <c r="F18" i="12"/>
  <c r="F22" i="12"/>
  <c r="F17" i="12"/>
  <c r="F21" i="12"/>
  <c r="F12" i="12"/>
  <c r="F10" i="12"/>
  <c r="F9" i="12"/>
  <c r="F14" i="12"/>
  <c r="F11" i="12"/>
  <c r="F8" i="12"/>
  <c r="F13" i="12"/>
  <c r="F16" i="12"/>
  <c r="C217" i="62"/>
  <c r="L26" i="14"/>
  <c r="L30" i="14"/>
  <c r="L29" i="14"/>
  <c r="L28" i="14"/>
  <c r="L27" i="14"/>
  <c r="L25" i="14"/>
  <c r="L24" i="14"/>
  <c r="J25" i="14"/>
  <c r="J24" i="14"/>
  <c r="J26" i="14"/>
  <c r="J29" i="14"/>
  <c r="J28" i="14"/>
  <c r="J30" i="14"/>
  <c r="J27" i="14"/>
  <c r="R23" i="41"/>
  <c r="S23" i="41" s="1"/>
  <c r="H4" i="12"/>
  <c r="H7" i="9"/>
  <c r="Q28" i="14"/>
  <c r="Q25" i="14"/>
  <c r="Q26" i="14"/>
  <c r="Q27" i="14"/>
  <c r="Q30" i="14"/>
  <c r="Q29" i="14"/>
  <c r="Q24" i="14"/>
  <c r="R3" i="14"/>
  <c r="T3" i="14" s="1"/>
  <c r="F26" i="14"/>
  <c r="F25" i="14"/>
  <c r="F30" i="14"/>
  <c r="F29" i="14"/>
  <c r="F24" i="14"/>
  <c r="F27" i="14"/>
  <c r="F28" i="14"/>
  <c r="J7" i="9"/>
  <c r="J4" i="12"/>
  <c r="O38" i="9"/>
  <c r="O39" i="9"/>
  <c r="O41" i="9"/>
  <c r="O37" i="9"/>
  <c r="O42" i="9"/>
  <c r="O40" i="9"/>
  <c r="O36" i="9"/>
  <c r="I31" i="12"/>
  <c r="R21" i="41"/>
  <c r="S21" i="41" s="1"/>
  <c r="O28" i="41"/>
  <c r="K28" i="41"/>
  <c r="Q28" i="41"/>
  <c r="O13" i="12"/>
  <c r="O12" i="12"/>
  <c r="O14" i="12"/>
  <c r="O9" i="12"/>
  <c r="O21" i="12"/>
  <c r="O10" i="12"/>
  <c r="O20" i="12"/>
  <c r="O18" i="12"/>
  <c r="O17" i="12"/>
  <c r="O19" i="12"/>
  <c r="O22" i="12"/>
  <c r="O11" i="12"/>
  <c r="O8" i="12"/>
  <c r="O16" i="12"/>
  <c r="Q7" i="9"/>
  <c r="Q4" i="12"/>
  <c r="C158" i="62"/>
  <c r="C148" i="62"/>
  <c r="C159" i="62"/>
  <c r="C157" i="62"/>
  <c r="P25" i="8"/>
  <c r="N38" i="9"/>
  <c r="N39" i="9"/>
  <c r="N41" i="9"/>
  <c r="N37" i="9"/>
  <c r="N42" i="9"/>
  <c r="N40" i="9"/>
  <c r="N36" i="9"/>
  <c r="R17" i="8"/>
  <c r="T17" i="8" s="1"/>
  <c r="F24" i="8"/>
  <c r="O31" i="12"/>
  <c r="M28" i="14"/>
  <c r="M29" i="14"/>
  <c r="M26" i="14"/>
  <c r="M25" i="14"/>
  <c r="M27" i="14"/>
  <c r="M30" i="14"/>
  <c r="M24" i="14"/>
  <c r="R26" i="12"/>
  <c r="T26" i="12" s="1"/>
  <c r="R26" i="41"/>
  <c r="S26" i="41" s="1"/>
  <c r="R20" i="41"/>
  <c r="S20" i="41" s="1"/>
  <c r="K13" i="12"/>
  <c r="K12" i="12"/>
  <c r="K10" i="12"/>
  <c r="K9" i="12"/>
  <c r="K21" i="12"/>
  <c r="K17" i="12"/>
  <c r="K20" i="12"/>
  <c r="K18" i="12"/>
  <c r="K14" i="12"/>
  <c r="K19" i="12"/>
  <c r="K22" i="12"/>
  <c r="K11" i="12"/>
  <c r="K16" i="12"/>
  <c r="K8" i="12"/>
  <c r="F7" i="9"/>
  <c r="Q14" i="58"/>
  <c r="R14" i="58" s="1"/>
  <c r="F4" i="12"/>
  <c r="C220" i="62"/>
  <c r="C218" i="62"/>
  <c r="I38" i="9"/>
  <c r="I39" i="9"/>
  <c r="I41" i="9"/>
  <c r="I37" i="9"/>
  <c r="I42" i="9"/>
  <c r="I40" i="9"/>
  <c r="I36" i="9"/>
  <c r="C170" i="62"/>
  <c r="R19" i="41"/>
  <c r="S19" i="41" s="1"/>
  <c r="G13" i="12"/>
  <c r="G12" i="12"/>
  <c r="G17" i="12"/>
  <c r="G9" i="12"/>
  <c r="G21" i="12"/>
  <c r="G14" i="12"/>
  <c r="G20" i="12"/>
  <c r="G22" i="12"/>
  <c r="G10" i="12"/>
  <c r="G19" i="12"/>
  <c r="G18" i="12"/>
  <c r="G11" i="12"/>
  <c r="G8" i="12"/>
  <c r="G16" i="12"/>
  <c r="H38" i="9"/>
  <c r="H39" i="9"/>
  <c r="H41" i="9"/>
  <c r="H37" i="9"/>
  <c r="H42" i="9"/>
  <c r="H40" i="9"/>
  <c r="H36" i="9"/>
  <c r="G28" i="41"/>
  <c r="C161" i="62"/>
  <c r="C152" i="62"/>
  <c r="N28" i="14"/>
  <c r="N25" i="14"/>
  <c r="N27" i="14"/>
  <c r="N26" i="14"/>
  <c r="N29" i="14"/>
  <c r="N30" i="14"/>
  <c r="N24" i="14"/>
  <c r="R9" i="8"/>
  <c r="F16" i="8"/>
  <c r="R18" i="41"/>
  <c r="S18" i="41" s="1"/>
  <c r="L12" i="12"/>
  <c r="L11" i="12"/>
  <c r="L22" i="12"/>
  <c r="L9" i="12"/>
  <c r="L17" i="12"/>
  <c r="L14" i="12"/>
  <c r="L21" i="12"/>
  <c r="L19" i="12"/>
  <c r="L13" i="12"/>
  <c r="L18" i="12"/>
  <c r="L20" i="12"/>
  <c r="L10" i="12"/>
  <c r="L8" i="12"/>
  <c r="L16" i="12"/>
  <c r="R30" i="12"/>
  <c r="T30" i="12" s="1"/>
  <c r="R28" i="12"/>
  <c r="T28" i="12" s="1"/>
  <c r="N13" i="12"/>
  <c r="N12" i="12"/>
  <c r="N22" i="12"/>
  <c r="N9" i="12"/>
  <c r="N20" i="12"/>
  <c r="N14" i="12"/>
  <c r="N19" i="12"/>
  <c r="N21" i="12"/>
  <c r="N10" i="12"/>
  <c r="N18" i="12"/>
  <c r="N17" i="12"/>
  <c r="N11" i="12"/>
  <c r="N8" i="12"/>
  <c r="N16" i="12"/>
  <c r="K7" i="9"/>
  <c r="K4" i="12"/>
  <c r="R5" i="9"/>
  <c r="T5" i="9" s="1"/>
  <c r="C219" i="62"/>
  <c r="I28" i="14"/>
  <c r="I25" i="14"/>
  <c r="I26" i="14"/>
  <c r="I27" i="14"/>
  <c r="I30" i="14"/>
  <c r="I29" i="14"/>
  <c r="I24" i="14"/>
  <c r="L25" i="8"/>
  <c r="G4" i="12"/>
  <c r="G7" i="9"/>
  <c r="H30" i="14"/>
  <c r="H28" i="14"/>
  <c r="H27" i="14"/>
  <c r="H26" i="14"/>
  <c r="H25" i="14"/>
  <c r="H29" i="14"/>
  <c r="H24" i="14"/>
  <c r="J25" i="8"/>
  <c r="P9" i="12"/>
  <c r="P13" i="12"/>
  <c r="P12" i="12"/>
  <c r="P11" i="12"/>
  <c r="P17" i="12"/>
  <c r="P22" i="12"/>
  <c r="P21" i="12"/>
  <c r="P19" i="12"/>
  <c r="P10" i="12"/>
  <c r="P18" i="12"/>
  <c r="P20" i="12"/>
  <c r="P14" i="12"/>
  <c r="P8" i="12"/>
  <c r="P16" i="12"/>
  <c r="O25" i="8"/>
  <c r="T12" i="9"/>
  <c r="C39" i="9"/>
  <c r="C38" i="9"/>
  <c r="C42" i="9"/>
  <c r="C41" i="9"/>
  <c r="C40" i="9"/>
  <c r="C37" i="9"/>
  <c r="C36" i="9"/>
  <c r="G38" i="9"/>
  <c r="G39" i="9"/>
  <c r="G41" i="9"/>
  <c r="G37" i="9"/>
  <c r="G42" i="9"/>
  <c r="G40" i="9"/>
  <c r="G36" i="9"/>
  <c r="P38" i="9"/>
  <c r="P39" i="9"/>
  <c r="P41" i="9"/>
  <c r="P37" i="9"/>
  <c r="P42" i="9"/>
  <c r="P40" i="9"/>
  <c r="P36" i="9"/>
  <c r="O30" i="14"/>
  <c r="O25" i="14"/>
  <c r="O26" i="14"/>
  <c r="O27" i="14"/>
  <c r="O28" i="14"/>
  <c r="O29" i="14"/>
  <c r="O24" i="14"/>
  <c r="H28" i="41"/>
  <c r="P28" i="41"/>
  <c r="O7" i="9"/>
  <c r="O4" i="12"/>
  <c r="C155" i="62"/>
  <c r="C23" i="12"/>
  <c r="Q25" i="8"/>
  <c r="I13" i="12"/>
  <c r="I12" i="12"/>
  <c r="I14" i="12"/>
  <c r="I9" i="12"/>
  <c r="I18" i="12"/>
  <c r="I10" i="12"/>
  <c r="I22" i="12"/>
  <c r="I20" i="12"/>
  <c r="I19" i="12"/>
  <c r="I21" i="12"/>
  <c r="I17" i="12"/>
  <c r="I11" i="12"/>
  <c r="I8" i="12"/>
  <c r="I16" i="12"/>
  <c r="P4" i="12"/>
  <c r="P7" i="9"/>
  <c r="P31" i="12"/>
  <c r="G30" i="14"/>
  <c r="G27" i="14"/>
  <c r="G26" i="14"/>
  <c r="G25" i="14"/>
  <c r="G28" i="14"/>
  <c r="G29" i="14"/>
  <c r="G24" i="14"/>
  <c r="N31" i="12"/>
  <c r="P30" i="14"/>
  <c r="P28" i="14"/>
  <c r="P27" i="14"/>
  <c r="P26" i="14"/>
  <c r="P25" i="14"/>
  <c r="P29" i="14"/>
  <c r="P24" i="14"/>
  <c r="L28" i="41"/>
  <c r="N28" i="41"/>
  <c r="R16" i="41"/>
  <c r="S16" i="41" s="1"/>
  <c r="F28" i="41"/>
  <c r="M13" i="12"/>
  <c r="M12" i="12"/>
  <c r="M22" i="12"/>
  <c r="M20" i="12"/>
  <c r="M21" i="12"/>
  <c r="M17" i="12"/>
  <c r="M19" i="12"/>
  <c r="M9" i="12"/>
  <c r="M14" i="12"/>
  <c r="M18" i="12"/>
  <c r="M10" i="12"/>
  <c r="M11" i="12"/>
  <c r="M8" i="12"/>
  <c r="M16" i="12"/>
  <c r="D42" i="12"/>
  <c r="D44" i="12"/>
  <c r="D43" i="12"/>
  <c r="D40" i="12"/>
  <c r="D38" i="12"/>
  <c r="D37" i="12"/>
  <c r="D41" i="12"/>
  <c r="D35" i="12"/>
  <c r="D36" i="12"/>
  <c r="D39" i="12"/>
  <c r="C149" i="62"/>
  <c r="C160" i="62"/>
  <c r="C151" i="62"/>
  <c r="K38" i="9"/>
  <c r="K40" i="9"/>
  <c r="K37" i="9"/>
  <c r="K39" i="9"/>
  <c r="K41" i="9"/>
  <c r="K42" i="9"/>
  <c r="K36" i="9"/>
  <c r="I25" i="8"/>
  <c r="L4" i="12"/>
  <c r="L7" i="9"/>
  <c r="F31" i="12"/>
  <c r="R24" i="12"/>
  <c r="T24" i="12" s="1"/>
  <c r="R29" i="12"/>
  <c r="T29" i="12" s="1"/>
  <c r="N4" i="12"/>
  <c r="N7" i="9"/>
  <c r="C215" i="62"/>
  <c r="C31" i="14"/>
  <c r="L38" i="9"/>
  <c r="L40" i="9"/>
  <c r="L41" i="9"/>
  <c r="L39" i="9"/>
  <c r="L37" i="9"/>
  <c r="L42" i="9"/>
  <c r="L36" i="9"/>
  <c r="J38" i="9"/>
  <c r="J40" i="9"/>
  <c r="J37" i="9"/>
  <c r="J39" i="9"/>
  <c r="J41" i="9"/>
  <c r="J42" i="9"/>
  <c r="J36" i="9"/>
  <c r="Q31" i="12"/>
  <c r="D31" i="11" l="1"/>
  <c r="C44" i="11"/>
  <c r="S44" i="11" s="1"/>
  <c r="C25" i="8"/>
  <c r="Q23" i="12"/>
  <c r="T9" i="8"/>
  <c r="R38" i="62"/>
  <c r="T14" i="8"/>
  <c r="R43" i="62"/>
  <c r="T11" i="8"/>
  <c r="R40" i="62"/>
  <c r="T13" i="8"/>
  <c r="R42" i="62"/>
  <c r="T12" i="8"/>
  <c r="R41" i="62"/>
  <c r="T15" i="8"/>
  <c r="R44" i="62"/>
  <c r="T10" i="8"/>
  <c r="R39" i="62"/>
  <c r="C222" i="62"/>
  <c r="P31" i="14"/>
  <c r="Q31" i="14"/>
  <c r="M43" i="9"/>
  <c r="R43" i="11"/>
  <c r="S43" i="11" s="1"/>
  <c r="P43" i="9"/>
  <c r="J15" i="12"/>
  <c r="H15" i="12"/>
  <c r="I15" i="12"/>
  <c r="R31" i="12"/>
  <c r="T31" i="12" s="1"/>
  <c r="M23" i="12"/>
  <c r="H31" i="14"/>
  <c r="F31" i="11"/>
  <c r="R31" i="11" s="1"/>
  <c r="S31" i="11" s="1"/>
  <c r="R22" i="11"/>
  <c r="S22" i="11" s="1"/>
  <c r="P39" i="12"/>
  <c r="N39" i="12"/>
  <c r="M39" i="12"/>
  <c r="J39" i="12"/>
  <c r="K39" i="12"/>
  <c r="G39" i="12"/>
  <c r="O39" i="12"/>
  <c r="L39" i="12"/>
  <c r="Q39" i="12"/>
  <c r="H39" i="12"/>
  <c r="I39" i="12"/>
  <c r="F39" i="12"/>
  <c r="N37" i="12"/>
  <c r="O37" i="12"/>
  <c r="K37" i="12"/>
  <c r="I37" i="12"/>
  <c r="P37" i="12"/>
  <c r="G37" i="12"/>
  <c r="J37" i="12"/>
  <c r="Q37" i="12"/>
  <c r="L37" i="12"/>
  <c r="H37" i="12"/>
  <c r="M37" i="12"/>
  <c r="F37" i="12"/>
  <c r="L44" i="12"/>
  <c r="H44" i="12"/>
  <c r="K44" i="12"/>
  <c r="O44" i="12"/>
  <c r="J44" i="12"/>
  <c r="G44" i="12"/>
  <c r="Q44" i="12"/>
  <c r="N44" i="12"/>
  <c r="I44" i="12"/>
  <c r="M44" i="12"/>
  <c r="P44" i="12"/>
  <c r="F44" i="12"/>
  <c r="M15" i="12"/>
  <c r="O31" i="14"/>
  <c r="C90" i="62"/>
  <c r="P15" i="12"/>
  <c r="N23" i="12"/>
  <c r="L23" i="12"/>
  <c r="G23" i="12"/>
  <c r="I43" i="9"/>
  <c r="R4" i="12"/>
  <c r="T4" i="12" s="1"/>
  <c r="K23" i="12"/>
  <c r="O23" i="12"/>
  <c r="F31" i="14"/>
  <c r="R24" i="14"/>
  <c r="T24" i="14" s="1"/>
  <c r="R26" i="14"/>
  <c r="T26" i="14" s="1"/>
  <c r="R13" i="12"/>
  <c r="T13" i="12" s="1"/>
  <c r="R9" i="12"/>
  <c r="T9" i="12" s="1"/>
  <c r="R17" i="12"/>
  <c r="T17" i="12" s="1"/>
  <c r="R20" i="12"/>
  <c r="T20" i="12" s="1"/>
  <c r="R41" i="9"/>
  <c r="T41" i="9" s="1"/>
  <c r="R37" i="9"/>
  <c r="T37" i="9" s="1"/>
  <c r="Q43" i="9"/>
  <c r="L43" i="9"/>
  <c r="K43" i="9"/>
  <c r="L36" i="12"/>
  <c r="H36" i="12"/>
  <c r="K36" i="12"/>
  <c r="Q36" i="12"/>
  <c r="N36" i="12"/>
  <c r="I36" i="12"/>
  <c r="M36" i="12"/>
  <c r="P36" i="12"/>
  <c r="O36" i="12"/>
  <c r="J36" i="12"/>
  <c r="G36" i="12"/>
  <c r="F36" i="12"/>
  <c r="K38" i="12"/>
  <c r="O38" i="12"/>
  <c r="G38" i="12"/>
  <c r="M38" i="12"/>
  <c r="N38" i="12"/>
  <c r="I38" i="12"/>
  <c r="L38" i="12"/>
  <c r="J38" i="12"/>
  <c r="H38" i="12"/>
  <c r="P38" i="12"/>
  <c r="Q38" i="12"/>
  <c r="F38" i="12"/>
  <c r="K42" i="12"/>
  <c r="O42" i="12"/>
  <c r="N42" i="12"/>
  <c r="G42" i="12"/>
  <c r="Q42" i="12"/>
  <c r="J42" i="12"/>
  <c r="I42" i="12"/>
  <c r="M42" i="12"/>
  <c r="P42" i="12"/>
  <c r="H42" i="12"/>
  <c r="L42" i="12"/>
  <c r="F42" i="12"/>
  <c r="R28" i="41"/>
  <c r="S28" i="41" s="1"/>
  <c r="C32" i="12"/>
  <c r="C46" i="12" s="1"/>
  <c r="C43" i="9"/>
  <c r="C85" i="62"/>
  <c r="C91" i="62"/>
  <c r="N15" i="12"/>
  <c r="L15" i="12"/>
  <c r="N31" i="14"/>
  <c r="H43" i="9"/>
  <c r="G15" i="12"/>
  <c r="M31" i="14"/>
  <c r="R24" i="8"/>
  <c r="T24" i="8" s="1"/>
  <c r="O15" i="12"/>
  <c r="R29" i="14"/>
  <c r="T29" i="14" s="1"/>
  <c r="J31" i="14"/>
  <c r="R8" i="12"/>
  <c r="T8" i="12" s="1"/>
  <c r="F15" i="12"/>
  <c r="R10" i="12"/>
  <c r="T10" i="12" s="1"/>
  <c r="R22" i="12"/>
  <c r="T22" i="12" s="1"/>
  <c r="K31" i="14"/>
  <c r="C154" i="62"/>
  <c r="Q15" i="12"/>
  <c r="J23" i="12"/>
  <c r="J32" i="12" s="1"/>
  <c r="R40" i="9"/>
  <c r="T40" i="9" s="1"/>
  <c r="R39" i="9"/>
  <c r="T39" i="9" s="1"/>
  <c r="J43" i="9"/>
  <c r="O35" i="12"/>
  <c r="M35" i="12"/>
  <c r="I35" i="12"/>
  <c r="H35" i="12"/>
  <c r="F35" i="12"/>
  <c r="K35" i="12"/>
  <c r="G35" i="12"/>
  <c r="N35" i="12"/>
  <c r="L35" i="12"/>
  <c r="J35" i="12"/>
  <c r="P35" i="12"/>
  <c r="Q35" i="12"/>
  <c r="L40" i="12"/>
  <c r="H40" i="12"/>
  <c r="K40" i="12"/>
  <c r="O40" i="12"/>
  <c r="J40" i="12"/>
  <c r="G40" i="12"/>
  <c r="Q40" i="12"/>
  <c r="N40" i="12"/>
  <c r="I40" i="12"/>
  <c r="M40" i="12"/>
  <c r="P40" i="12"/>
  <c r="F40" i="12"/>
  <c r="I23" i="12"/>
  <c r="C162" i="62"/>
  <c r="G43" i="9"/>
  <c r="C86" i="62"/>
  <c r="C87" i="62"/>
  <c r="I31" i="14"/>
  <c r="R7" i="9"/>
  <c r="T7" i="9" s="1"/>
  <c r="R28" i="14"/>
  <c r="T28" i="14" s="1"/>
  <c r="R30" i="14"/>
  <c r="T30" i="14" s="1"/>
  <c r="R11" i="12"/>
  <c r="T11" i="12" s="1"/>
  <c r="R12" i="12"/>
  <c r="T12" i="12" s="1"/>
  <c r="R18" i="12"/>
  <c r="T18" i="12" s="1"/>
  <c r="R42" i="9"/>
  <c r="T42" i="9" s="1"/>
  <c r="R38" i="9"/>
  <c r="T38" i="9" s="1"/>
  <c r="N41" i="12"/>
  <c r="O41" i="12"/>
  <c r="K41" i="12"/>
  <c r="G41" i="12"/>
  <c r="L41" i="12"/>
  <c r="H41" i="12"/>
  <c r="Q41" i="12"/>
  <c r="M41" i="12"/>
  <c r="I41" i="12"/>
  <c r="P41" i="12"/>
  <c r="J41" i="12"/>
  <c r="F41" i="12"/>
  <c r="P43" i="12"/>
  <c r="N43" i="12"/>
  <c r="J43" i="12"/>
  <c r="O43" i="12"/>
  <c r="K43" i="12"/>
  <c r="G43" i="12"/>
  <c r="H43" i="12"/>
  <c r="L43" i="12"/>
  <c r="Q43" i="12"/>
  <c r="M43" i="12"/>
  <c r="I43" i="12"/>
  <c r="F43" i="12"/>
  <c r="G31" i="14"/>
  <c r="C89" i="62"/>
  <c r="C88" i="62"/>
  <c r="P23" i="12"/>
  <c r="R16" i="8"/>
  <c r="T16" i="8" s="1"/>
  <c r="F25" i="8"/>
  <c r="R25" i="8" s="1"/>
  <c r="T25" i="8" s="1"/>
  <c r="K15" i="12"/>
  <c r="N43" i="9"/>
  <c r="O43" i="9"/>
  <c r="R27" i="14"/>
  <c r="T27" i="14" s="1"/>
  <c r="R25" i="14"/>
  <c r="T25" i="14" s="1"/>
  <c r="L31" i="14"/>
  <c r="R16" i="12"/>
  <c r="T16" i="12" s="1"/>
  <c r="F23" i="12"/>
  <c r="R14" i="12"/>
  <c r="T14" i="12" s="1"/>
  <c r="R21" i="12"/>
  <c r="T21" i="12" s="1"/>
  <c r="R19" i="12"/>
  <c r="T19" i="12" s="1"/>
  <c r="R36" i="9"/>
  <c r="T36" i="9" s="1"/>
  <c r="F43" i="9"/>
  <c r="H23" i="12"/>
  <c r="Q32" i="12" l="1"/>
  <c r="H32" i="12"/>
  <c r="P32" i="12"/>
  <c r="D25" i="8"/>
  <c r="C43" i="8"/>
  <c r="I32" i="12"/>
  <c r="M32" i="12"/>
  <c r="R44" i="12"/>
  <c r="T44" i="12" s="1"/>
  <c r="R37" i="12"/>
  <c r="T37" i="12" s="1"/>
  <c r="R39" i="12"/>
  <c r="T39" i="12" s="1"/>
  <c r="R43" i="9"/>
  <c r="T43" i="9" s="1"/>
  <c r="R23" i="12"/>
  <c r="T23" i="12" s="1"/>
  <c r="F32" i="12"/>
  <c r="R40" i="12"/>
  <c r="T40" i="12" s="1"/>
  <c r="Q45" i="12"/>
  <c r="N45" i="12"/>
  <c r="H45" i="12"/>
  <c r="R15" i="12"/>
  <c r="T15" i="12" s="1"/>
  <c r="K32" i="12"/>
  <c r="L32" i="12"/>
  <c r="R43" i="12"/>
  <c r="T43" i="12" s="1"/>
  <c r="R41" i="12"/>
  <c r="T41" i="12" s="1"/>
  <c r="P45" i="12"/>
  <c r="G45" i="12"/>
  <c r="I45" i="12"/>
  <c r="C92" i="62"/>
  <c r="N32" i="12"/>
  <c r="J45" i="12"/>
  <c r="K45" i="12"/>
  <c r="M45" i="12"/>
  <c r="R31" i="14"/>
  <c r="T31" i="14" s="1"/>
  <c r="L45" i="12"/>
  <c r="F45" i="12"/>
  <c r="R35" i="12"/>
  <c r="T35" i="12" s="1"/>
  <c r="O45" i="12"/>
  <c r="R42" i="12"/>
  <c r="T42" i="12" s="1"/>
  <c r="R38" i="12"/>
  <c r="T38" i="12" s="1"/>
  <c r="R36" i="12"/>
  <c r="T36" i="12" s="1"/>
  <c r="O32" i="12"/>
  <c r="G32" i="12"/>
  <c r="R45" i="12" l="1"/>
  <c r="T45" i="12" s="1"/>
  <c r="R32" i="12"/>
  <c r="T32" i="12" s="1"/>
  <c r="D60" i="53" l="1"/>
  <c r="P60" i="53" l="1"/>
  <c r="H60" i="53"/>
  <c r="K60" i="53"/>
  <c r="I60" i="53"/>
  <c r="G60" i="53"/>
  <c r="N60" i="53"/>
  <c r="F60" i="53"/>
  <c r="J60" i="53"/>
  <c r="L60" i="53"/>
  <c r="M60" i="53"/>
  <c r="O60" i="53"/>
  <c r="E60" i="53"/>
  <c r="Q60" i="53" l="1"/>
  <c r="R60" i="53" s="1"/>
  <c r="I15" i="61" l="1"/>
  <c r="C15" i="61" s="1"/>
  <c r="I22" i="61"/>
  <c r="O22" i="61" s="1"/>
  <c r="C13" i="61"/>
  <c r="C9" i="58" l="1"/>
  <c r="D9" i="58" s="1"/>
  <c r="D13" i="61"/>
  <c r="I24" i="61"/>
  <c r="O24" i="61" s="1"/>
  <c r="N23" i="61" s="1"/>
  <c r="C22" i="61"/>
  <c r="N22" i="61" l="1"/>
  <c r="N24" i="61" s="1"/>
  <c r="L13" i="61"/>
  <c r="M13" i="61"/>
  <c r="C24" i="61"/>
  <c r="C18" i="58"/>
  <c r="D18" i="58" s="1"/>
  <c r="P18" i="58" s="1"/>
  <c r="D22" i="61"/>
  <c r="G29" i="61"/>
  <c r="G30" i="61"/>
  <c r="D15" i="61"/>
  <c r="J13" i="61"/>
  <c r="C2" i="9"/>
  <c r="I9" i="58"/>
  <c r="K9" i="58"/>
  <c r="J9" i="58"/>
  <c r="P9" i="58"/>
  <c r="D11" i="58"/>
  <c r="F9" i="58"/>
  <c r="E9" i="58"/>
  <c r="O9" i="58"/>
  <c r="M9" i="58"/>
  <c r="N9" i="58"/>
  <c r="G9" i="58"/>
  <c r="H9" i="58"/>
  <c r="L9" i="58"/>
  <c r="M22" i="61" l="1"/>
  <c r="L22" i="61"/>
  <c r="L15" i="61"/>
  <c r="M15" i="61"/>
  <c r="J15" i="61"/>
  <c r="M2" i="9"/>
  <c r="L11" i="58"/>
  <c r="M4" i="9" s="1"/>
  <c r="G2" i="9"/>
  <c r="F11" i="58"/>
  <c r="G4" i="9" s="1"/>
  <c r="G11" i="58"/>
  <c r="H4" i="9" s="1"/>
  <c r="H2" i="9"/>
  <c r="P11" i="58"/>
  <c r="Q4" i="9" s="1"/>
  <c r="Q2" i="9"/>
  <c r="C4" i="9"/>
  <c r="C11" i="9"/>
  <c r="N11" i="58"/>
  <c r="O4" i="9" s="1"/>
  <c r="O2" i="9"/>
  <c r="E11" i="58"/>
  <c r="Q9" i="58"/>
  <c r="R9" i="58" s="1"/>
  <c r="F2" i="9"/>
  <c r="K2" i="9"/>
  <c r="J11" i="58"/>
  <c r="K4" i="9" s="1"/>
  <c r="M11" i="58"/>
  <c r="N4" i="9" s="1"/>
  <c r="N2" i="9"/>
  <c r="K11" i="58"/>
  <c r="L4" i="9" s="1"/>
  <c r="L2" i="9"/>
  <c r="J22" i="61"/>
  <c r="D24" i="61"/>
  <c r="C2" i="14"/>
  <c r="I2" i="9"/>
  <c r="H11" i="58"/>
  <c r="I4" i="9" s="1"/>
  <c r="P2" i="9"/>
  <c r="O11" i="58"/>
  <c r="P4" i="9" s="1"/>
  <c r="J2" i="9"/>
  <c r="I11" i="58"/>
  <c r="J4" i="9" s="1"/>
  <c r="D20" i="58"/>
  <c r="J18" i="58"/>
  <c r="H18" i="58"/>
  <c r="I18" i="58"/>
  <c r="L18" i="58"/>
  <c r="G18" i="58"/>
  <c r="K18" i="58"/>
  <c r="E18" i="58"/>
  <c r="M18" i="58"/>
  <c r="F18" i="58"/>
  <c r="O18" i="58"/>
  <c r="N18" i="58"/>
  <c r="M24" i="61" l="1"/>
  <c r="L24" i="61"/>
  <c r="J24" i="61"/>
  <c r="K20" i="58"/>
  <c r="L2" i="14"/>
  <c r="L11" i="9"/>
  <c r="Q2" i="14"/>
  <c r="P20" i="58"/>
  <c r="Q11" i="9"/>
  <c r="C30" i="9"/>
  <c r="C31" i="9"/>
  <c r="C29" i="9"/>
  <c r="C34" i="9"/>
  <c r="C32" i="9"/>
  <c r="C33" i="9"/>
  <c r="C26" i="9"/>
  <c r="C28" i="9"/>
  <c r="C21" i="9"/>
  <c r="C24" i="9"/>
  <c r="C20" i="9"/>
  <c r="C22" i="9"/>
  <c r="C25" i="9"/>
  <c r="C23" i="9"/>
  <c r="C13" i="9"/>
  <c r="O20" i="58"/>
  <c r="P2" i="14"/>
  <c r="P11" i="9"/>
  <c r="N2" i="14"/>
  <c r="M20" i="58"/>
  <c r="N11" i="9"/>
  <c r="M2" i="14"/>
  <c r="L20" i="58"/>
  <c r="M11" i="9"/>
  <c r="N20" i="58"/>
  <c r="O2" i="14"/>
  <c r="O11" i="9"/>
  <c r="Q18" i="58"/>
  <c r="R18" i="58" s="1"/>
  <c r="E20" i="58"/>
  <c r="F2" i="14"/>
  <c r="F11" i="9"/>
  <c r="I20" i="58"/>
  <c r="J2" i="14"/>
  <c r="J11" i="9"/>
  <c r="Q11" i="58"/>
  <c r="R11" i="58" s="1"/>
  <c r="F4" i="9"/>
  <c r="R4" i="9" s="1"/>
  <c r="T4" i="9" s="1"/>
  <c r="H20" i="58"/>
  <c r="I2" i="14"/>
  <c r="I11" i="9"/>
  <c r="C19" i="14"/>
  <c r="C12" i="14"/>
  <c r="C10" i="14"/>
  <c r="C17" i="14"/>
  <c r="C21" i="14"/>
  <c r="C11" i="14"/>
  <c r="C14" i="14"/>
  <c r="C9" i="14"/>
  <c r="C18" i="14"/>
  <c r="C22" i="14"/>
  <c r="C20" i="14"/>
  <c r="C13" i="14"/>
  <c r="C8" i="14"/>
  <c r="C16" i="14"/>
  <c r="C4" i="14"/>
  <c r="F20" i="58"/>
  <c r="G2" i="14"/>
  <c r="G11" i="9"/>
  <c r="H2" i="14"/>
  <c r="G20" i="58"/>
  <c r="H11" i="9"/>
  <c r="J20" i="58"/>
  <c r="K2" i="14"/>
  <c r="K11" i="9"/>
  <c r="R2" i="9"/>
  <c r="T2" i="9" s="1"/>
  <c r="C27" i="9" l="1"/>
  <c r="H31" i="9"/>
  <c r="H24" i="9"/>
  <c r="H22" i="9"/>
  <c r="H28" i="9"/>
  <c r="H32" i="9"/>
  <c r="H25" i="9"/>
  <c r="H33" i="9"/>
  <c r="H34" i="9"/>
  <c r="H26" i="9"/>
  <c r="H21" i="9"/>
  <c r="H30" i="9"/>
  <c r="H23" i="9"/>
  <c r="H29" i="9"/>
  <c r="H20" i="9"/>
  <c r="C15" i="14"/>
  <c r="C199" i="62"/>
  <c r="C212" i="62"/>
  <c r="I13" i="9"/>
  <c r="I4" i="14"/>
  <c r="O34" i="9"/>
  <c r="O29" i="9"/>
  <c r="O24" i="9"/>
  <c r="O32" i="9"/>
  <c r="O23" i="9"/>
  <c r="O21" i="9"/>
  <c r="O33" i="9"/>
  <c r="O26" i="9"/>
  <c r="O30" i="9"/>
  <c r="O25" i="9"/>
  <c r="O22" i="9"/>
  <c r="O31" i="9"/>
  <c r="O28" i="9"/>
  <c r="O20" i="9"/>
  <c r="K11" i="14"/>
  <c r="K21" i="14"/>
  <c r="K22" i="14"/>
  <c r="K17" i="14"/>
  <c r="K9" i="14"/>
  <c r="K12" i="14"/>
  <c r="K13" i="14"/>
  <c r="K20" i="14"/>
  <c r="K19" i="14"/>
  <c r="K18" i="14"/>
  <c r="K10" i="14"/>
  <c r="K14" i="14"/>
  <c r="K8" i="14"/>
  <c r="K16" i="14"/>
  <c r="H14" i="14"/>
  <c r="H18" i="14"/>
  <c r="H22" i="14"/>
  <c r="H17" i="14"/>
  <c r="H21" i="14"/>
  <c r="H19" i="14"/>
  <c r="H10" i="14"/>
  <c r="H20" i="14"/>
  <c r="H12" i="14"/>
  <c r="H9" i="14"/>
  <c r="H13" i="14"/>
  <c r="H11" i="14"/>
  <c r="H16" i="14"/>
  <c r="H8" i="14"/>
  <c r="D37" i="14"/>
  <c r="D40" i="14"/>
  <c r="D41" i="14"/>
  <c r="D43" i="14"/>
  <c r="D42" i="14"/>
  <c r="D35" i="14"/>
  <c r="D38" i="14"/>
  <c r="D39" i="14"/>
  <c r="D36" i="14"/>
  <c r="C211" i="62"/>
  <c r="C205" i="62"/>
  <c r="C201" i="62"/>
  <c r="I22" i="9"/>
  <c r="I33" i="9"/>
  <c r="I21" i="9"/>
  <c r="I32" i="9"/>
  <c r="I31" i="9"/>
  <c r="I34" i="9"/>
  <c r="I26" i="9"/>
  <c r="I29" i="9"/>
  <c r="I24" i="9"/>
  <c r="I30" i="9"/>
  <c r="I23" i="9"/>
  <c r="I25" i="9"/>
  <c r="I28" i="9"/>
  <c r="I20" i="9"/>
  <c r="J22" i="14"/>
  <c r="J10" i="14"/>
  <c r="J14" i="14"/>
  <c r="J21" i="14"/>
  <c r="J19" i="14"/>
  <c r="J12" i="14"/>
  <c r="J13" i="14"/>
  <c r="J18" i="14"/>
  <c r="J20" i="14"/>
  <c r="J11" i="14"/>
  <c r="J9" i="14"/>
  <c r="J17" i="14"/>
  <c r="J8" i="14"/>
  <c r="J16" i="14"/>
  <c r="Q20" i="58"/>
  <c r="R20" i="58" s="1"/>
  <c r="F4" i="14"/>
  <c r="F13" i="9"/>
  <c r="O13" i="9"/>
  <c r="O4" i="14"/>
  <c r="N33" i="9"/>
  <c r="N31" i="9"/>
  <c r="N30" i="9"/>
  <c r="N24" i="9"/>
  <c r="N25" i="9"/>
  <c r="N26" i="9"/>
  <c r="N29" i="9"/>
  <c r="N32" i="9"/>
  <c r="N23" i="9"/>
  <c r="N22" i="9"/>
  <c r="N34" i="9"/>
  <c r="N21" i="9"/>
  <c r="N28" i="9"/>
  <c r="N20" i="9"/>
  <c r="P21" i="14"/>
  <c r="P19" i="14"/>
  <c r="P11" i="14"/>
  <c r="P12" i="14"/>
  <c r="P18" i="14"/>
  <c r="P10" i="14"/>
  <c r="P9" i="14"/>
  <c r="P14" i="14"/>
  <c r="P20" i="14"/>
  <c r="P17" i="14"/>
  <c r="P22" i="14"/>
  <c r="P13" i="14"/>
  <c r="P16" i="14"/>
  <c r="P8" i="14"/>
  <c r="C72" i="62"/>
  <c r="C68" i="62"/>
  <c r="C80" i="62"/>
  <c r="C79" i="62"/>
  <c r="Q18" i="14"/>
  <c r="Q12" i="14"/>
  <c r="Q9" i="14"/>
  <c r="Q21" i="14"/>
  <c r="Q13" i="14"/>
  <c r="Q20" i="14"/>
  <c r="Q8" i="14"/>
  <c r="Q11" i="14"/>
  <c r="Q19" i="14"/>
  <c r="Q14" i="14"/>
  <c r="Q10" i="14"/>
  <c r="Q22" i="14"/>
  <c r="Q17" i="14"/>
  <c r="Q16" i="14"/>
  <c r="K4" i="14"/>
  <c r="K13" i="9"/>
  <c r="G30" i="9"/>
  <c r="G22" i="9"/>
  <c r="G29" i="9"/>
  <c r="G21" i="9"/>
  <c r="G32" i="9"/>
  <c r="G26" i="9"/>
  <c r="G33" i="9"/>
  <c r="G24" i="9"/>
  <c r="G31" i="9"/>
  <c r="G34" i="9"/>
  <c r="G23" i="9"/>
  <c r="G25" i="9"/>
  <c r="G28" i="9"/>
  <c r="G20" i="9"/>
  <c r="C23" i="14"/>
  <c r="C207" i="62"/>
  <c r="C213" i="62"/>
  <c r="C202" i="62"/>
  <c r="C203" i="62"/>
  <c r="I13" i="14"/>
  <c r="I17" i="14"/>
  <c r="I10" i="14"/>
  <c r="I18" i="14"/>
  <c r="I14" i="14"/>
  <c r="I20" i="14"/>
  <c r="I12" i="14"/>
  <c r="I21" i="14"/>
  <c r="I11" i="14"/>
  <c r="I19" i="14"/>
  <c r="I22" i="14"/>
  <c r="I9" i="14"/>
  <c r="I8" i="14"/>
  <c r="I16" i="14"/>
  <c r="J13" i="9"/>
  <c r="J4" i="14"/>
  <c r="M24" i="9"/>
  <c r="M32" i="9"/>
  <c r="M23" i="9"/>
  <c r="M31" i="9"/>
  <c r="M21" i="9"/>
  <c r="M33" i="9"/>
  <c r="M22" i="9"/>
  <c r="M30" i="9"/>
  <c r="M34" i="9"/>
  <c r="M29" i="9"/>
  <c r="M26" i="9"/>
  <c r="M25" i="9"/>
  <c r="M28" i="9"/>
  <c r="M20" i="9"/>
  <c r="N13" i="9"/>
  <c r="N4" i="14"/>
  <c r="P13" i="9"/>
  <c r="P4" i="14"/>
  <c r="C69" i="62"/>
  <c r="C35" i="9"/>
  <c r="C76" i="62"/>
  <c r="C82" i="62"/>
  <c r="C78" i="62"/>
  <c r="L31" i="9"/>
  <c r="L23" i="9"/>
  <c r="L30" i="9"/>
  <c r="L33" i="9"/>
  <c r="L24" i="9"/>
  <c r="L29" i="9"/>
  <c r="L25" i="9"/>
  <c r="L34" i="9"/>
  <c r="L21" i="9"/>
  <c r="L26" i="9"/>
  <c r="L32" i="9"/>
  <c r="L22" i="9"/>
  <c r="L28" i="9"/>
  <c r="L20" i="9"/>
  <c r="G10" i="14"/>
  <c r="G11" i="14"/>
  <c r="G9" i="14"/>
  <c r="G13" i="14"/>
  <c r="G19" i="14"/>
  <c r="G12" i="14"/>
  <c r="G21" i="14"/>
  <c r="G20" i="14"/>
  <c r="G17" i="14"/>
  <c r="G18" i="14"/>
  <c r="G22" i="14"/>
  <c r="G14" i="14"/>
  <c r="G8" i="14"/>
  <c r="G16" i="14"/>
  <c r="C209" i="62"/>
  <c r="C210" i="62"/>
  <c r="F26" i="9"/>
  <c r="F33" i="9"/>
  <c r="R11" i="9"/>
  <c r="T11" i="9" s="1"/>
  <c r="F24" i="9"/>
  <c r="F25" i="9"/>
  <c r="F32" i="9"/>
  <c r="F30" i="9"/>
  <c r="F29" i="9"/>
  <c r="F23" i="9"/>
  <c r="F21" i="9"/>
  <c r="F31" i="9"/>
  <c r="F34" i="9"/>
  <c r="F28" i="9"/>
  <c r="F22" i="9"/>
  <c r="F20" i="9"/>
  <c r="M13" i="9"/>
  <c r="M4" i="14"/>
  <c r="N11" i="14"/>
  <c r="N9" i="14"/>
  <c r="N20" i="14"/>
  <c r="N12" i="14"/>
  <c r="N22" i="14"/>
  <c r="N13" i="14"/>
  <c r="N10" i="14"/>
  <c r="N19" i="14"/>
  <c r="N14" i="14"/>
  <c r="N21" i="14"/>
  <c r="N17" i="14"/>
  <c r="N18" i="14"/>
  <c r="N8" i="14"/>
  <c r="N16" i="14"/>
  <c r="D53" i="9"/>
  <c r="D56" i="9"/>
  <c r="D55" i="9"/>
  <c r="D62" i="9"/>
  <c r="D54" i="9"/>
  <c r="D60" i="9"/>
  <c r="D58" i="9"/>
  <c r="D63" i="9"/>
  <c r="D64" i="9"/>
  <c r="D61" i="9"/>
  <c r="D67" i="9"/>
  <c r="D66" i="9"/>
  <c r="D59" i="9"/>
  <c r="D69" i="9"/>
  <c r="D68" i="9"/>
  <c r="D52" i="9"/>
  <c r="D57" i="9"/>
  <c r="D65" i="9"/>
  <c r="D51" i="9"/>
  <c r="C67" i="62"/>
  <c r="C73" i="62"/>
  <c r="C77" i="62"/>
  <c r="Q26" i="9"/>
  <c r="Q25" i="9"/>
  <c r="Q24" i="9"/>
  <c r="Q33" i="9"/>
  <c r="Q21" i="9"/>
  <c r="Q22" i="9"/>
  <c r="Q32" i="9"/>
  <c r="Q34" i="9"/>
  <c r="Q29" i="9"/>
  <c r="Q31" i="9"/>
  <c r="Q30" i="9"/>
  <c r="Q23" i="9"/>
  <c r="Q28" i="9"/>
  <c r="Q20" i="9"/>
  <c r="L12" i="14"/>
  <c r="L22" i="14"/>
  <c r="L14" i="14"/>
  <c r="L18" i="14"/>
  <c r="L13" i="14"/>
  <c r="L19" i="14"/>
  <c r="L11" i="14"/>
  <c r="L21" i="14"/>
  <c r="L10" i="14"/>
  <c r="L20" i="14"/>
  <c r="L9" i="14"/>
  <c r="L17" i="14"/>
  <c r="L8" i="14"/>
  <c r="L16" i="14"/>
  <c r="K30" i="9"/>
  <c r="K32" i="9"/>
  <c r="K34" i="9"/>
  <c r="K24" i="9"/>
  <c r="K31" i="9"/>
  <c r="K33" i="9"/>
  <c r="K23" i="9"/>
  <c r="K21" i="9"/>
  <c r="K29" i="9"/>
  <c r="K25" i="9"/>
  <c r="K22" i="9"/>
  <c r="K26" i="9"/>
  <c r="K28" i="9"/>
  <c r="K20" i="9"/>
  <c r="H4" i="14"/>
  <c r="H13" i="9"/>
  <c r="G13" i="9"/>
  <c r="G4" i="14"/>
  <c r="C204" i="62"/>
  <c r="C200" i="62"/>
  <c r="C208" i="62"/>
  <c r="J23" i="9"/>
  <c r="J34" i="9"/>
  <c r="J22" i="9"/>
  <c r="J29" i="9"/>
  <c r="J24" i="9"/>
  <c r="J33" i="9"/>
  <c r="J32" i="9"/>
  <c r="J30" i="9"/>
  <c r="J26" i="9"/>
  <c r="J31" i="9"/>
  <c r="J21" i="9"/>
  <c r="J25" i="9"/>
  <c r="J28" i="9"/>
  <c r="J20" i="9"/>
  <c r="R2" i="14"/>
  <c r="T2" i="14" s="1"/>
  <c r="F9" i="14"/>
  <c r="F14" i="14"/>
  <c r="F12" i="14"/>
  <c r="F18" i="14"/>
  <c r="F21" i="14"/>
  <c r="F17" i="14"/>
  <c r="F22" i="14"/>
  <c r="F13" i="14"/>
  <c r="F10" i="14"/>
  <c r="F11" i="14"/>
  <c r="F19" i="14"/>
  <c r="F8" i="14"/>
  <c r="F16" i="14"/>
  <c r="F20" i="14"/>
  <c r="O14" i="14"/>
  <c r="O10" i="14"/>
  <c r="O20" i="14"/>
  <c r="O19" i="14"/>
  <c r="O13" i="14"/>
  <c r="O9" i="14"/>
  <c r="O18" i="14"/>
  <c r="O22" i="14"/>
  <c r="O17" i="14"/>
  <c r="O21" i="14"/>
  <c r="O11" i="14"/>
  <c r="O12" i="14"/>
  <c r="O8" i="14"/>
  <c r="O16" i="14"/>
  <c r="M13" i="14"/>
  <c r="M17" i="14"/>
  <c r="M12" i="14"/>
  <c r="M11" i="14"/>
  <c r="M20" i="14"/>
  <c r="M22" i="14"/>
  <c r="M9" i="14"/>
  <c r="M10" i="14"/>
  <c r="M18" i="14"/>
  <c r="M14" i="14"/>
  <c r="M19" i="14"/>
  <c r="M21" i="14"/>
  <c r="M8" i="14"/>
  <c r="M16" i="14"/>
  <c r="P23" i="9"/>
  <c r="P31" i="9"/>
  <c r="P25" i="9"/>
  <c r="P26" i="9"/>
  <c r="P29" i="9"/>
  <c r="P33" i="9"/>
  <c r="P22" i="9"/>
  <c r="P21" i="9"/>
  <c r="P34" i="9"/>
  <c r="P30" i="9"/>
  <c r="P32" i="9"/>
  <c r="P24" i="9"/>
  <c r="P28" i="9"/>
  <c r="P20" i="9"/>
  <c r="C70" i="62"/>
  <c r="C767" i="62" s="1"/>
  <c r="C71" i="62"/>
  <c r="C768" i="62" s="1"/>
  <c r="C81" i="62"/>
  <c r="C778" i="62" s="1"/>
  <c r="Q4" i="14"/>
  <c r="Q13" i="9"/>
  <c r="L4" i="14"/>
  <c r="L13" i="9"/>
  <c r="I827" i="62" l="1"/>
  <c r="C827" i="62" s="1"/>
  <c r="O827" i="62"/>
  <c r="C770" i="62"/>
  <c r="C766" i="62"/>
  <c r="I796" i="62" s="1"/>
  <c r="J796" i="62" s="1"/>
  <c r="C3" i="60"/>
  <c r="C775" i="62"/>
  <c r="L15" i="14"/>
  <c r="K27" i="9"/>
  <c r="Q27" i="9"/>
  <c r="M35" i="9"/>
  <c r="I35" i="9"/>
  <c r="H27" i="9"/>
  <c r="C777" i="62"/>
  <c r="G23" i="14"/>
  <c r="G27" i="9"/>
  <c r="Q23" i="14"/>
  <c r="N27" i="9"/>
  <c r="J15" i="14"/>
  <c r="H23" i="14"/>
  <c r="O35" i="9"/>
  <c r="P35" i="9"/>
  <c r="O15" i="14"/>
  <c r="R22" i="14"/>
  <c r="T22" i="14" s="1"/>
  <c r="J27" i="9"/>
  <c r="R24" i="9"/>
  <c r="T24" i="9" s="1"/>
  <c r="M15" i="14"/>
  <c r="R16" i="14"/>
  <c r="T16" i="14" s="1"/>
  <c r="F23" i="14"/>
  <c r="R10" i="14"/>
  <c r="T10" i="14" s="1"/>
  <c r="R21" i="14"/>
  <c r="T21" i="14" s="1"/>
  <c r="R9" i="14"/>
  <c r="T9" i="14" s="1"/>
  <c r="L23" i="14"/>
  <c r="C774" i="62"/>
  <c r="C74" i="62"/>
  <c r="C764" i="62"/>
  <c r="I65" i="9"/>
  <c r="H65" i="9"/>
  <c r="P65" i="9"/>
  <c r="Q65" i="9"/>
  <c r="G65" i="9"/>
  <c r="L65" i="9"/>
  <c r="J65" i="9"/>
  <c r="N65" i="9"/>
  <c r="O65" i="9"/>
  <c r="M65" i="9"/>
  <c r="K65" i="9"/>
  <c r="F65" i="9"/>
  <c r="M69" i="9"/>
  <c r="H69" i="9"/>
  <c r="Q69" i="9"/>
  <c r="L69" i="9"/>
  <c r="O69" i="9"/>
  <c r="I69" i="9"/>
  <c r="N69" i="9"/>
  <c r="J69" i="9"/>
  <c r="K69" i="9"/>
  <c r="P69" i="9"/>
  <c r="G69" i="9"/>
  <c r="F69" i="9"/>
  <c r="M61" i="9"/>
  <c r="F61" i="9"/>
  <c r="K61" i="9"/>
  <c r="P61" i="9"/>
  <c r="N61" i="9"/>
  <c r="I61" i="9"/>
  <c r="L61" i="9"/>
  <c r="G61" i="9"/>
  <c r="Q61" i="9"/>
  <c r="J61" i="9"/>
  <c r="H61" i="9"/>
  <c r="O61" i="9"/>
  <c r="H60" i="9"/>
  <c r="G60" i="9"/>
  <c r="L60" i="9"/>
  <c r="Q60" i="9"/>
  <c r="M60" i="9"/>
  <c r="J60" i="9"/>
  <c r="O60" i="9"/>
  <c r="I60" i="9"/>
  <c r="N60" i="9"/>
  <c r="P60" i="9"/>
  <c r="K60" i="9"/>
  <c r="F60" i="9"/>
  <c r="N56" i="9"/>
  <c r="J56" i="9"/>
  <c r="Q56" i="9"/>
  <c r="G56" i="9"/>
  <c r="O56" i="9"/>
  <c r="L56" i="9"/>
  <c r="M56" i="9"/>
  <c r="K56" i="9"/>
  <c r="H56" i="9"/>
  <c r="P56" i="9"/>
  <c r="I56" i="9"/>
  <c r="F56" i="9"/>
  <c r="N15" i="14"/>
  <c r="R22" i="9"/>
  <c r="T22" i="9" s="1"/>
  <c r="R21" i="9"/>
  <c r="T21" i="9" s="1"/>
  <c r="R32" i="9"/>
  <c r="T32" i="9" s="1"/>
  <c r="R33" i="9"/>
  <c r="T33" i="9" s="1"/>
  <c r="L27" i="9"/>
  <c r="C779" i="62"/>
  <c r="I15" i="14"/>
  <c r="C32" i="14"/>
  <c r="C45" i="14" s="1"/>
  <c r="C765" i="62"/>
  <c r="P15" i="14"/>
  <c r="Q39" i="14"/>
  <c r="G39" i="14"/>
  <c r="M39" i="14"/>
  <c r="P39" i="14"/>
  <c r="L39" i="14"/>
  <c r="H39" i="14"/>
  <c r="N39" i="14"/>
  <c r="I39" i="14"/>
  <c r="O39" i="14"/>
  <c r="J39" i="14"/>
  <c r="K39" i="14"/>
  <c r="F39" i="14"/>
  <c r="J43" i="14"/>
  <c r="H43" i="14"/>
  <c r="N43" i="14"/>
  <c r="O43" i="14"/>
  <c r="G43" i="14"/>
  <c r="I43" i="14"/>
  <c r="L43" i="14"/>
  <c r="P43" i="14"/>
  <c r="K43" i="14"/>
  <c r="Q43" i="14"/>
  <c r="M43" i="14"/>
  <c r="F43" i="14"/>
  <c r="Q37" i="14"/>
  <c r="G37" i="14"/>
  <c r="J37" i="14"/>
  <c r="N37" i="14"/>
  <c r="P37" i="14"/>
  <c r="H37" i="14"/>
  <c r="K37" i="14"/>
  <c r="L37" i="14"/>
  <c r="I37" i="14"/>
  <c r="M37" i="14"/>
  <c r="O37" i="14"/>
  <c r="F37" i="14"/>
  <c r="K15" i="14"/>
  <c r="H35" i="9"/>
  <c r="I798" i="62"/>
  <c r="J798" i="62" s="1"/>
  <c r="G827" i="62"/>
  <c r="P27" i="9"/>
  <c r="O23" i="14"/>
  <c r="O32" i="14" s="1"/>
  <c r="F15" i="14"/>
  <c r="R8" i="14"/>
  <c r="T8" i="14" s="1"/>
  <c r="R13" i="14"/>
  <c r="T13" i="14" s="1"/>
  <c r="R18" i="14"/>
  <c r="T18" i="14" s="1"/>
  <c r="P57" i="9"/>
  <c r="Q57" i="9"/>
  <c r="G57" i="9"/>
  <c r="M57" i="9"/>
  <c r="O57" i="9"/>
  <c r="H57" i="9"/>
  <c r="N57" i="9"/>
  <c r="K57" i="9"/>
  <c r="L57" i="9"/>
  <c r="J57" i="9"/>
  <c r="I57" i="9"/>
  <c r="F57" i="9"/>
  <c r="L59" i="9"/>
  <c r="J59" i="9"/>
  <c r="O59" i="9"/>
  <c r="M59" i="9"/>
  <c r="Q59" i="9"/>
  <c r="I59" i="9"/>
  <c r="N59" i="9"/>
  <c r="H59" i="9"/>
  <c r="P59" i="9"/>
  <c r="G59" i="9"/>
  <c r="K59" i="9"/>
  <c r="F59" i="9"/>
  <c r="P64" i="9"/>
  <c r="O64" i="9"/>
  <c r="N64" i="9"/>
  <c r="M64" i="9"/>
  <c r="J64" i="9"/>
  <c r="L64" i="9"/>
  <c r="I64" i="9"/>
  <c r="Q64" i="9"/>
  <c r="H64" i="9"/>
  <c r="G64" i="9"/>
  <c r="K64" i="9"/>
  <c r="F64" i="9"/>
  <c r="N54" i="9"/>
  <c r="O54" i="9"/>
  <c r="G54" i="9"/>
  <c r="M54" i="9"/>
  <c r="J54" i="9"/>
  <c r="K54" i="9"/>
  <c r="L54" i="9"/>
  <c r="H54" i="9"/>
  <c r="P54" i="9"/>
  <c r="I54" i="9"/>
  <c r="Q54" i="9"/>
  <c r="F54" i="9"/>
  <c r="O53" i="9"/>
  <c r="H53" i="9"/>
  <c r="G53" i="9"/>
  <c r="K53" i="9"/>
  <c r="P53" i="9"/>
  <c r="J53" i="9"/>
  <c r="I53" i="9"/>
  <c r="Q53" i="9"/>
  <c r="N53" i="9"/>
  <c r="L53" i="9"/>
  <c r="M53" i="9"/>
  <c r="F53" i="9"/>
  <c r="R28" i="9"/>
  <c r="T28" i="9" s="1"/>
  <c r="F35" i="9"/>
  <c r="R23" i="9"/>
  <c r="T23" i="9" s="1"/>
  <c r="R25" i="9"/>
  <c r="T25" i="9" s="1"/>
  <c r="R26" i="9"/>
  <c r="T26" i="9" s="1"/>
  <c r="L35" i="9"/>
  <c r="Q15" i="14"/>
  <c r="Q32" i="14" s="1"/>
  <c r="C776" i="62"/>
  <c r="P23" i="14"/>
  <c r="P32" i="14" s="1"/>
  <c r="J23" i="14"/>
  <c r="G38" i="14"/>
  <c r="M38" i="14"/>
  <c r="H38" i="14"/>
  <c r="J38" i="14"/>
  <c r="Q38" i="14"/>
  <c r="L38" i="14"/>
  <c r="N38" i="14"/>
  <c r="P38" i="14"/>
  <c r="O38" i="14"/>
  <c r="K38" i="14"/>
  <c r="I38" i="14"/>
  <c r="F38" i="14"/>
  <c r="P41" i="14"/>
  <c r="O41" i="14"/>
  <c r="I41" i="14"/>
  <c r="K41" i="14"/>
  <c r="M41" i="14"/>
  <c r="L41" i="14"/>
  <c r="J41" i="14"/>
  <c r="Q41" i="14"/>
  <c r="G41" i="14"/>
  <c r="H41" i="14"/>
  <c r="F41" i="14"/>
  <c r="N41" i="14"/>
  <c r="H15" i="14"/>
  <c r="H32" i="14" s="1"/>
  <c r="O27" i="9"/>
  <c r="G63" i="9"/>
  <c r="M63" i="9"/>
  <c r="J63" i="9"/>
  <c r="Q63" i="9"/>
  <c r="H63" i="9"/>
  <c r="L63" i="9"/>
  <c r="K63" i="9"/>
  <c r="N63" i="9"/>
  <c r="P63" i="9"/>
  <c r="O63" i="9"/>
  <c r="I63" i="9"/>
  <c r="F63" i="9"/>
  <c r="R34" i="9"/>
  <c r="T34" i="9" s="1"/>
  <c r="C83" i="62"/>
  <c r="C773" i="62"/>
  <c r="C769" i="62"/>
  <c r="R13" i="9"/>
  <c r="T13" i="9" s="1"/>
  <c r="N35" i="14"/>
  <c r="Q35" i="14"/>
  <c r="O35" i="14"/>
  <c r="H35" i="14"/>
  <c r="J35" i="14"/>
  <c r="G35" i="14"/>
  <c r="L35" i="14"/>
  <c r="M35" i="14"/>
  <c r="P35" i="14"/>
  <c r="I35" i="14"/>
  <c r="F35" i="14"/>
  <c r="K35" i="14"/>
  <c r="R19" i="14"/>
  <c r="T19" i="14" s="1"/>
  <c r="R12" i="14"/>
  <c r="T12" i="14" s="1"/>
  <c r="J52" i="9"/>
  <c r="P52" i="9"/>
  <c r="M52" i="9"/>
  <c r="H52" i="9"/>
  <c r="O52" i="9"/>
  <c r="L52" i="9"/>
  <c r="N52" i="9"/>
  <c r="K52" i="9"/>
  <c r="Q52" i="9"/>
  <c r="I52" i="9"/>
  <c r="G52" i="9"/>
  <c r="F52" i="9"/>
  <c r="H66" i="9"/>
  <c r="L66" i="9"/>
  <c r="Q66" i="9"/>
  <c r="N66" i="9"/>
  <c r="J66" i="9"/>
  <c r="I66" i="9"/>
  <c r="K66" i="9"/>
  <c r="P66" i="9"/>
  <c r="G66" i="9"/>
  <c r="M66" i="9"/>
  <c r="O66" i="9"/>
  <c r="F66" i="9"/>
  <c r="G62" i="9"/>
  <c r="J62" i="9"/>
  <c r="M62" i="9"/>
  <c r="L62" i="9"/>
  <c r="K62" i="9"/>
  <c r="N62" i="9"/>
  <c r="I62" i="9"/>
  <c r="P62" i="9"/>
  <c r="Q62" i="9"/>
  <c r="O62" i="9"/>
  <c r="H62" i="9"/>
  <c r="F62" i="9"/>
  <c r="R29" i="9"/>
  <c r="T29" i="9" s="1"/>
  <c r="I797" i="62"/>
  <c r="J797" i="62" s="1"/>
  <c r="G826" i="62"/>
  <c r="I826" i="62"/>
  <c r="C826" i="62" s="1"/>
  <c r="C38" i="53" s="1"/>
  <c r="M23" i="14"/>
  <c r="M32" i="14" s="1"/>
  <c r="R20" i="14"/>
  <c r="T20" i="14" s="1"/>
  <c r="R11" i="14"/>
  <c r="T11" i="14" s="1"/>
  <c r="R17" i="14"/>
  <c r="T17" i="14" s="1"/>
  <c r="R14" i="14"/>
  <c r="T14" i="14" s="1"/>
  <c r="J35" i="9"/>
  <c r="K35" i="9"/>
  <c r="Q35" i="9"/>
  <c r="L51" i="9"/>
  <c r="J51" i="9"/>
  <c r="G51" i="9"/>
  <c r="I51" i="9"/>
  <c r="O51" i="9"/>
  <c r="N51" i="9"/>
  <c r="P51" i="9"/>
  <c r="M51" i="9"/>
  <c r="H51" i="9"/>
  <c r="F51" i="9"/>
  <c r="K51" i="9"/>
  <c r="Q51" i="9"/>
  <c r="J68" i="9"/>
  <c r="I68" i="9"/>
  <c r="H68" i="9"/>
  <c r="O68" i="9"/>
  <c r="L68" i="9"/>
  <c r="M68" i="9"/>
  <c r="F68" i="9"/>
  <c r="K68" i="9"/>
  <c r="G68" i="9"/>
  <c r="N68" i="9"/>
  <c r="Q68" i="9"/>
  <c r="P68" i="9"/>
  <c r="Q67" i="9"/>
  <c r="P67" i="9"/>
  <c r="O67" i="9"/>
  <c r="J67" i="9"/>
  <c r="M67" i="9"/>
  <c r="I67" i="9"/>
  <c r="H67" i="9"/>
  <c r="N67" i="9"/>
  <c r="G67" i="9"/>
  <c r="L67" i="9"/>
  <c r="K67" i="9"/>
  <c r="F67" i="9"/>
  <c r="K58" i="9"/>
  <c r="I58" i="9"/>
  <c r="L58" i="9"/>
  <c r="G58" i="9"/>
  <c r="O58" i="9"/>
  <c r="Q58" i="9"/>
  <c r="P58" i="9"/>
  <c r="M58" i="9"/>
  <c r="J58" i="9"/>
  <c r="H58" i="9"/>
  <c r="N58" i="9"/>
  <c r="F58" i="9"/>
  <c r="M55" i="9"/>
  <c r="Q55" i="9"/>
  <c r="P55" i="9"/>
  <c r="J55" i="9"/>
  <c r="H55" i="9"/>
  <c r="I55" i="9"/>
  <c r="N55" i="9"/>
  <c r="O55" i="9"/>
  <c r="L55" i="9"/>
  <c r="K55" i="9"/>
  <c r="G55" i="9"/>
  <c r="F55" i="9"/>
  <c r="N23" i="14"/>
  <c r="N32" i="14" s="1"/>
  <c r="R20" i="9"/>
  <c r="T20" i="9" s="1"/>
  <c r="F27" i="9"/>
  <c r="K3" i="60" s="1"/>
  <c r="R31" i="9"/>
  <c r="T31" i="9" s="1"/>
  <c r="R30" i="9"/>
  <c r="T30" i="9" s="1"/>
  <c r="G15" i="14"/>
  <c r="C44" i="9"/>
  <c r="C71" i="9" s="1"/>
  <c r="M27" i="9"/>
  <c r="I23" i="14"/>
  <c r="I32" i="14" s="1"/>
  <c r="C214" i="62"/>
  <c r="G35" i="9"/>
  <c r="N35" i="9"/>
  <c r="R4" i="14"/>
  <c r="T4" i="14" s="1"/>
  <c r="I27" i="9"/>
  <c r="M36" i="14"/>
  <c r="L36" i="14"/>
  <c r="K36" i="14"/>
  <c r="P36" i="14"/>
  <c r="Q36" i="14"/>
  <c r="G36" i="14"/>
  <c r="H36" i="14"/>
  <c r="J36" i="14"/>
  <c r="O36" i="14"/>
  <c r="I36" i="14"/>
  <c r="N36" i="14"/>
  <c r="F36" i="14"/>
  <c r="J42" i="14"/>
  <c r="L42" i="14"/>
  <c r="G42" i="14"/>
  <c r="P42" i="14"/>
  <c r="N42" i="14"/>
  <c r="O42" i="14"/>
  <c r="Q42" i="14"/>
  <c r="K42" i="14"/>
  <c r="I42" i="14"/>
  <c r="H42" i="14"/>
  <c r="M42" i="14"/>
  <c r="F42" i="14"/>
  <c r="N40" i="14"/>
  <c r="L40" i="14"/>
  <c r="Q40" i="14"/>
  <c r="I40" i="14"/>
  <c r="G40" i="14"/>
  <c r="P40" i="14"/>
  <c r="J40" i="14"/>
  <c r="O40" i="14"/>
  <c r="H40" i="14"/>
  <c r="F40" i="14"/>
  <c r="K40" i="14"/>
  <c r="M40" i="14"/>
  <c r="K23" i="14"/>
  <c r="K32" i="14" s="1"/>
  <c r="C206" i="62"/>
  <c r="H44" i="9" l="1"/>
  <c r="N3" i="60"/>
  <c r="R3" i="60"/>
  <c r="G32" i="14"/>
  <c r="J44" i="9"/>
  <c r="T3" i="60"/>
  <c r="J32" i="14"/>
  <c r="G825" i="62"/>
  <c r="O3" i="60"/>
  <c r="M3" i="60"/>
  <c r="P3" i="60"/>
  <c r="U3" i="60"/>
  <c r="Q3" i="60"/>
  <c r="S3" i="60"/>
  <c r="L3" i="60"/>
  <c r="V3" i="60"/>
  <c r="I825" i="62"/>
  <c r="C825" i="62" s="1"/>
  <c r="O825" i="62"/>
  <c r="O828" i="62"/>
  <c r="I828" i="62"/>
  <c r="C828" i="62" s="1"/>
  <c r="I823" i="62"/>
  <c r="I800" i="62"/>
  <c r="J800" i="62" s="1"/>
  <c r="I829" i="62"/>
  <c r="J829" i="62" s="1"/>
  <c r="C51" i="53"/>
  <c r="L32" i="14"/>
  <c r="R57" i="9"/>
  <c r="T57" i="9" s="1"/>
  <c r="R38" i="14"/>
  <c r="T38" i="14" s="1"/>
  <c r="R42" i="14"/>
  <c r="T42" i="14" s="1"/>
  <c r="R36" i="14"/>
  <c r="T36" i="14" s="1"/>
  <c r="R40" i="14"/>
  <c r="T40" i="14" s="1"/>
  <c r="Q44" i="9"/>
  <c r="M44" i="9"/>
  <c r="H70" i="9"/>
  <c r="O70" i="9"/>
  <c r="L70" i="9"/>
  <c r="K44" i="9"/>
  <c r="I44" i="14"/>
  <c r="G44" i="14"/>
  <c r="Q44" i="14"/>
  <c r="N44" i="9"/>
  <c r="G44" i="9"/>
  <c r="O44" i="9"/>
  <c r="R53" i="9"/>
  <c r="T53" i="9" s="1"/>
  <c r="R54" i="9"/>
  <c r="T54" i="9" s="1"/>
  <c r="R64" i="9"/>
  <c r="T64" i="9" s="1"/>
  <c r="R59" i="9"/>
  <c r="T59" i="9" s="1"/>
  <c r="I3" i="60"/>
  <c r="J3" i="60" s="1"/>
  <c r="I795" i="62"/>
  <c r="J795" i="62" s="1"/>
  <c r="G824" i="62"/>
  <c r="M824" i="62" s="1"/>
  <c r="C824" i="62" s="1"/>
  <c r="I824" i="62"/>
  <c r="D44" i="9"/>
  <c r="R55" i="9"/>
  <c r="T55" i="9" s="1"/>
  <c r="R58" i="9"/>
  <c r="T58" i="9" s="1"/>
  <c r="R67" i="9"/>
  <c r="T67" i="9" s="1"/>
  <c r="Q70" i="9"/>
  <c r="M70" i="9"/>
  <c r="I70" i="9"/>
  <c r="D38" i="53"/>
  <c r="R62" i="9"/>
  <c r="T62" i="9" s="1"/>
  <c r="R66" i="9"/>
  <c r="T66" i="9" s="1"/>
  <c r="R52" i="9"/>
  <c r="T52" i="9" s="1"/>
  <c r="P44" i="14"/>
  <c r="J44" i="14"/>
  <c r="N44" i="14"/>
  <c r="I799" i="62"/>
  <c r="J799" i="62" s="1"/>
  <c r="G828" i="62"/>
  <c r="I832" i="62"/>
  <c r="C780" i="62"/>
  <c r="L832" i="62" s="1"/>
  <c r="C832" i="62" s="1"/>
  <c r="I803" i="62"/>
  <c r="J803" i="62" s="1"/>
  <c r="R63" i="9"/>
  <c r="T63" i="9" s="1"/>
  <c r="R15" i="14"/>
  <c r="T15" i="14" s="1"/>
  <c r="F827" i="62"/>
  <c r="J827" i="62"/>
  <c r="L44" i="9"/>
  <c r="R61" i="9"/>
  <c r="T61" i="9" s="1"/>
  <c r="I44" i="9"/>
  <c r="R27" i="9"/>
  <c r="T27" i="9" s="1"/>
  <c r="F44" i="9"/>
  <c r="R68" i="9"/>
  <c r="T68" i="9" s="1"/>
  <c r="K70" i="9"/>
  <c r="P70" i="9"/>
  <c r="G70" i="9"/>
  <c r="J826" i="62"/>
  <c r="K44" i="14"/>
  <c r="M44" i="14"/>
  <c r="H44" i="14"/>
  <c r="R35" i="9"/>
  <c r="T35" i="9" s="1"/>
  <c r="D32" i="14"/>
  <c r="F70" i="9"/>
  <c r="R51" i="9"/>
  <c r="T51" i="9" s="1"/>
  <c r="N70" i="9"/>
  <c r="J70" i="9"/>
  <c r="R35" i="14"/>
  <c r="T35" i="14" s="1"/>
  <c r="F44" i="14"/>
  <c r="L44" i="14"/>
  <c r="O44" i="14"/>
  <c r="R41" i="14"/>
  <c r="T41" i="14" s="1"/>
  <c r="F825" i="62"/>
  <c r="P44" i="9"/>
  <c r="R37" i="14"/>
  <c r="T37" i="14" s="1"/>
  <c r="R43" i="14"/>
  <c r="T43" i="14" s="1"/>
  <c r="R39" i="14"/>
  <c r="T39" i="14" s="1"/>
  <c r="R56" i="9"/>
  <c r="T56" i="9" s="1"/>
  <c r="R60" i="9"/>
  <c r="T60" i="9" s="1"/>
  <c r="R69" i="9"/>
  <c r="T69" i="9" s="1"/>
  <c r="R65" i="9"/>
  <c r="T65" i="9" s="1"/>
  <c r="I794" i="62"/>
  <c r="J794" i="62" s="1"/>
  <c r="C771" i="62"/>
  <c r="A769" i="62" s="1"/>
  <c r="G823" i="62"/>
  <c r="L823" i="62"/>
  <c r="C823" i="62" s="1"/>
  <c r="F32" i="14"/>
  <c r="R23" i="14"/>
  <c r="T23" i="14" s="1"/>
  <c r="J825" i="62" l="1"/>
  <c r="R32" i="14"/>
  <c r="T32" i="14" s="1"/>
  <c r="C44" i="53"/>
  <c r="A768" i="62"/>
  <c r="A767" i="62"/>
  <c r="A766" i="62"/>
  <c r="A770" i="62"/>
  <c r="A765" i="62"/>
  <c r="A764" i="62"/>
  <c r="G832" i="62"/>
  <c r="D44" i="53"/>
  <c r="L44" i="53" s="1"/>
  <c r="C59" i="53"/>
  <c r="D51" i="53"/>
  <c r="C19" i="53"/>
  <c r="I830" i="62"/>
  <c r="W3" i="60"/>
  <c r="X3" i="60" s="1"/>
  <c r="G38" i="53"/>
  <c r="F38" i="53"/>
  <c r="P38" i="53"/>
  <c r="I38" i="53"/>
  <c r="O38" i="53"/>
  <c r="N38" i="53"/>
  <c r="K38" i="53"/>
  <c r="H38" i="53"/>
  <c r="E38" i="53"/>
  <c r="J38" i="53"/>
  <c r="M38" i="53"/>
  <c r="L38" i="53"/>
  <c r="C830" i="62"/>
  <c r="C7" i="53"/>
  <c r="G830" i="62"/>
  <c r="F823" i="62"/>
  <c r="J823" i="62"/>
  <c r="R44" i="14"/>
  <c r="T44" i="14" s="1"/>
  <c r="R44" i="9"/>
  <c r="T44" i="9" s="1"/>
  <c r="F824" i="62"/>
  <c r="J824" i="62"/>
  <c r="R70" i="9"/>
  <c r="T70" i="9" s="1"/>
  <c r="J828" i="62"/>
  <c r="F828" i="62"/>
  <c r="F832" i="62" l="1"/>
  <c r="O832" i="62"/>
  <c r="O44" i="53"/>
  <c r="G44" i="53"/>
  <c r="I44" i="53"/>
  <c r="D59" i="53"/>
  <c r="P59" i="53" s="1"/>
  <c r="P62" i="53" s="1"/>
  <c r="C62" i="53"/>
  <c r="E44" i="53"/>
  <c r="N44" i="53"/>
  <c r="J44" i="53"/>
  <c r="M44" i="53"/>
  <c r="F44" i="53"/>
  <c r="H44" i="53"/>
  <c r="P44" i="53"/>
  <c r="K44" i="53"/>
  <c r="C839" i="62"/>
  <c r="C9" i="53"/>
  <c r="C71" i="53" s="1"/>
  <c r="K51" i="53"/>
  <c r="H51" i="53"/>
  <c r="I51" i="53"/>
  <c r="N51" i="53"/>
  <c r="O51" i="53"/>
  <c r="J51" i="53"/>
  <c r="M51" i="53"/>
  <c r="P51" i="53"/>
  <c r="G51" i="53"/>
  <c r="E51" i="53"/>
  <c r="L51" i="53"/>
  <c r="F51" i="53"/>
  <c r="D19" i="53"/>
  <c r="P19" i="53" s="1"/>
  <c r="J830" i="62"/>
  <c r="J832" i="62" s="1"/>
  <c r="Q38" i="53"/>
  <c r="R38" i="53" s="1"/>
  <c r="D7" i="53"/>
  <c r="O59" i="53" l="1"/>
  <c r="O62" i="53" s="1"/>
  <c r="H19" i="53"/>
  <c r="G59" i="53"/>
  <c r="G62" i="53" s="1"/>
  <c r="K59" i="53"/>
  <c r="K62" i="53" s="1"/>
  <c r="H59" i="53"/>
  <c r="H62" i="53" s="1"/>
  <c r="J59" i="53"/>
  <c r="J62" i="53" s="1"/>
  <c r="I59" i="53"/>
  <c r="I62" i="53" s="1"/>
  <c r="N59" i="53"/>
  <c r="N62" i="53" s="1"/>
  <c r="M59" i="53"/>
  <c r="M62" i="53" s="1"/>
  <c r="D62" i="53"/>
  <c r="L59" i="53"/>
  <c r="L62" i="53" s="1"/>
  <c r="F59" i="53"/>
  <c r="F62" i="53" s="1"/>
  <c r="E59" i="53"/>
  <c r="E62" i="53" s="1"/>
  <c r="Q44" i="53"/>
  <c r="R44" i="53" s="1"/>
  <c r="D9" i="53"/>
  <c r="P9" i="53" s="1"/>
  <c r="Q51" i="53"/>
  <c r="R51" i="53" s="1"/>
  <c r="J19" i="53"/>
  <c r="I19" i="53"/>
  <c r="K19" i="53"/>
  <c r="G19" i="53"/>
  <c r="O19" i="53"/>
  <c r="E19" i="53"/>
  <c r="F19" i="53"/>
  <c r="N19" i="53"/>
  <c r="M19" i="53"/>
  <c r="L19" i="53"/>
  <c r="H7" i="53"/>
  <c r="P7" i="53"/>
  <c r="G7" i="53"/>
  <c r="M7" i="53"/>
  <c r="I7" i="53"/>
  <c r="L7" i="53"/>
  <c r="E7" i="53"/>
  <c r="N7" i="53"/>
  <c r="F7" i="53"/>
  <c r="K7" i="53"/>
  <c r="O7" i="53"/>
  <c r="J7" i="53"/>
  <c r="H9" i="53" l="1"/>
  <c r="H71" i="53" s="1"/>
  <c r="Q59" i="53"/>
  <c r="R59" i="53" s="1"/>
  <c r="N9" i="53"/>
  <c r="L9" i="53"/>
  <c r="Q62" i="53"/>
  <c r="R62" i="53" s="1"/>
  <c r="K9" i="53"/>
  <c r="D71" i="53"/>
  <c r="G9" i="53"/>
  <c r="J9" i="53"/>
  <c r="E9" i="53"/>
  <c r="E71" i="53" s="1"/>
  <c r="M9" i="53"/>
  <c r="O9" i="53"/>
  <c r="O71" i="53" s="1"/>
  <c r="I9" i="53"/>
  <c r="F9" i="53"/>
  <c r="F71" i="53" s="1"/>
  <c r="Q19" i="53"/>
  <c r="R19" i="53" s="1"/>
  <c r="L71" i="53"/>
  <c r="P71" i="53"/>
  <c r="N71" i="53"/>
  <c r="Q7" i="53"/>
  <c r="G71" i="53"/>
  <c r="M71" i="53" l="1"/>
  <c r="I71" i="53"/>
  <c r="K71" i="53"/>
  <c r="J71" i="53"/>
  <c r="Q9" i="53"/>
  <c r="R9" i="53" s="1"/>
  <c r="R7" i="53"/>
  <c r="Q71" i="53" l="1"/>
  <c r="R71" i="53" s="1"/>
  <c r="D14" i="42" l="1"/>
  <c r="O14" i="42" l="1"/>
  <c r="I14" i="42"/>
  <c r="K14" i="42"/>
  <c r="M14" i="42"/>
  <c r="P14" i="42"/>
  <c r="N14" i="42"/>
  <c r="Q14" i="42"/>
  <c r="H14" i="42"/>
  <c r="J14" i="42"/>
  <c r="G14" i="42"/>
  <c r="L14" i="42"/>
  <c r="F14" i="42"/>
  <c r="D11" i="51"/>
  <c r="R14" i="42" l="1"/>
  <c r="S14" i="42" s="1"/>
  <c r="J11" i="51"/>
  <c r="G11" i="51"/>
  <c r="O11" i="51"/>
  <c r="L11" i="51"/>
  <c r="I11" i="51"/>
  <c r="Q11" i="51"/>
  <c r="N11" i="51"/>
  <c r="K11" i="51"/>
  <c r="F11" i="51"/>
  <c r="H11" i="51"/>
  <c r="P11" i="51"/>
  <c r="M11" i="51"/>
  <c r="D13" i="45"/>
  <c r="D11" i="45"/>
  <c r="D12" i="42"/>
  <c r="K11" i="45" l="1"/>
  <c r="Q11" i="45"/>
  <c r="J11" i="45"/>
  <c r="G11" i="45"/>
  <c r="L11" i="45"/>
  <c r="F11" i="45"/>
  <c r="I11" i="45"/>
  <c r="H11" i="45"/>
  <c r="O11" i="45"/>
  <c r="P11" i="45"/>
  <c r="N11" i="45"/>
  <c r="M11" i="45"/>
  <c r="D10" i="45"/>
  <c r="C29" i="45"/>
  <c r="D11" i="42"/>
  <c r="C30" i="42"/>
  <c r="Q12" i="42"/>
  <c r="J12" i="42"/>
  <c r="F12" i="42"/>
  <c r="M12" i="42"/>
  <c r="L12" i="42"/>
  <c r="N12" i="42"/>
  <c r="H12" i="42"/>
  <c r="O12" i="42"/>
  <c r="K12" i="42"/>
  <c r="P12" i="42"/>
  <c r="I12" i="42"/>
  <c r="G12" i="42"/>
  <c r="L13" i="45"/>
  <c r="N13" i="45"/>
  <c r="H13" i="45"/>
  <c r="O13" i="45"/>
  <c r="I13" i="45"/>
  <c r="G13" i="45"/>
  <c r="M13" i="45"/>
  <c r="K13" i="45"/>
  <c r="J13" i="45"/>
  <c r="P13" i="45"/>
  <c r="Q13" i="45"/>
  <c r="F13" i="45"/>
  <c r="R11" i="51"/>
  <c r="S11" i="51" s="1"/>
  <c r="R13" i="45" l="1"/>
  <c r="S13" i="45" s="1"/>
  <c r="R12" i="42"/>
  <c r="S12" i="42" s="1"/>
  <c r="I11" i="42"/>
  <c r="I30" i="42" s="1"/>
  <c r="K11" i="42"/>
  <c r="K30" i="42" s="1"/>
  <c r="Q11" i="42"/>
  <c r="Q30" i="42" s="1"/>
  <c r="G11" i="42"/>
  <c r="G30" i="42" s="1"/>
  <c r="J11" i="42"/>
  <c r="J30" i="42" s="1"/>
  <c r="F11" i="42"/>
  <c r="O11" i="42"/>
  <c r="O30" i="42" s="1"/>
  <c r="N11" i="42"/>
  <c r="N30" i="42" s="1"/>
  <c r="P11" i="42"/>
  <c r="P30" i="42" s="1"/>
  <c r="H11" i="42"/>
  <c r="H30" i="42" s="1"/>
  <c r="M11" i="42"/>
  <c r="M30" i="42" s="1"/>
  <c r="L11" i="42"/>
  <c r="L30" i="42" s="1"/>
  <c r="D30" i="42"/>
  <c r="R11" i="45"/>
  <c r="S11" i="45" s="1"/>
  <c r="Q10" i="45"/>
  <c r="Q29" i="45" s="1"/>
  <c r="M10" i="45"/>
  <c r="M29" i="45" s="1"/>
  <c r="P10" i="45"/>
  <c r="P29" i="45" s="1"/>
  <c r="J10" i="45"/>
  <c r="J29" i="45" s="1"/>
  <c r="K10" i="45"/>
  <c r="K29" i="45" s="1"/>
  <c r="N10" i="45"/>
  <c r="N29" i="45" s="1"/>
  <c r="F10" i="45"/>
  <c r="L10" i="45"/>
  <c r="L29" i="45" s="1"/>
  <c r="I10" i="45"/>
  <c r="I29" i="45" s="1"/>
  <c r="O10" i="45"/>
  <c r="O29" i="45" s="1"/>
  <c r="G10" i="45"/>
  <c r="G29" i="45" s="1"/>
  <c r="H10" i="45"/>
  <c r="H29" i="45" s="1"/>
  <c r="D29" i="45"/>
  <c r="D13" i="51"/>
  <c r="R11" i="42" l="1"/>
  <c r="S11" i="42" s="1"/>
  <c r="F30" i="42"/>
  <c r="R30" i="42" s="1"/>
  <c r="S30" i="42" s="1"/>
  <c r="H13" i="51"/>
  <c r="P13" i="51"/>
  <c r="M13" i="51"/>
  <c r="J13" i="51"/>
  <c r="G13" i="51"/>
  <c r="O13" i="51"/>
  <c r="L13" i="51"/>
  <c r="I13" i="51"/>
  <c r="Q13" i="51"/>
  <c r="N13" i="51"/>
  <c r="K13" i="51"/>
  <c r="F13" i="51"/>
  <c r="D10" i="51"/>
  <c r="C31" i="51"/>
  <c r="F29" i="45"/>
  <c r="R29" i="45" s="1"/>
  <c r="S29" i="45" s="1"/>
  <c r="R10" i="45"/>
  <c r="S10" i="45" s="1"/>
  <c r="R13" i="51" l="1"/>
  <c r="S13" i="51" s="1"/>
  <c r="G10" i="51"/>
  <c r="G31" i="51" s="1"/>
  <c r="O10" i="51"/>
  <c r="O31" i="51" s="1"/>
  <c r="L10" i="51"/>
  <c r="L31" i="51" s="1"/>
  <c r="I10" i="51"/>
  <c r="I31" i="51" s="1"/>
  <c r="Q10" i="51"/>
  <c r="Q31" i="51" s="1"/>
  <c r="N10" i="51"/>
  <c r="N31" i="51" s="1"/>
  <c r="K10" i="51"/>
  <c r="K31" i="51" s="1"/>
  <c r="H10" i="51"/>
  <c r="H31" i="51" s="1"/>
  <c r="P10" i="51"/>
  <c r="P31" i="51" s="1"/>
  <c r="F10" i="51"/>
  <c r="M10" i="51"/>
  <c r="M31" i="51" s="1"/>
  <c r="J10" i="51"/>
  <c r="J31" i="51" s="1"/>
  <c r="D31" i="51"/>
  <c r="R10" i="51" l="1"/>
  <c r="S10" i="51" s="1"/>
  <c r="F31" i="51"/>
  <c r="R31" i="51" s="1"/>
  <c r="S31" i="51" s="1"/>
  <c r="C42" i="15" l="1"/>
  <c r="D42" i="15" s="1"/>
  <c r="C39" i="15"/>
  <c r="C40" i="15"/>
  <c r="D40" i="15" s="1"/>
  <c r="N42" i="15" l="1"/>
  <c r="P42" i="15"/>
  <c r="O42" i="15"/>
  <c r="K42" i="15"/>
  <c r="I42" i="15"/>
  <c r="H42" i="15"/>
  <c r="J42" i="15"/>
  <c r="G42" i="15"/>
  <c r="Q42" i="15"/>
  <c r="F42" i="15"/>
  <c r="M42" i="15"/>
  <c r="L42" i="15"/>
  <c r="J40" i="15"/>
  <c r="K40" i="15"/>
  <c r="Q40" i="15"/>
  <c r="H40" i="15"/>
  <c r="I40" i="15"/>
  <c r="G40" i="15"/>
  <c r="F40" i="15"/>
  <c r="O40" i="15"/>
  <c r="M40" i="15"/>
  <c r="N40" i="15"/>
  <c r="L40" i="15"/>
  <c r="P40" i="15"/>
  <c r="D39" i="15"/>
  <c r="C63" i="15"/>
  <c r="I39" i="15" l="1"/>
  <c r="I63" i="15" s="1"/>
  <c r="L39" i="15"/>
  <c r="L63" i="15" s="1"/>
  <c r="K39" i="15"/>
  <c r="K63" i="15" s="1"/>
  <c r="F39" i="15"/>
  <c r="J39" i="15"/>
  <c r="J63" i="15" s="1"/>
  <c r="O39" i="15"/>
  <c r="O63" i="15" s="1"/>
  <c r="M39" i="15"/>
  <c r="M63" i="15" s="1"/>
  <c r="Q39" i="15"/>
  <c r="Q63" i="15" s="1"/>
  <c r="N39" i="15"/>
  <c r="N63" i="15" s="1"/>
  <c r="H39" i="15"/>
  <c r="H63" i="15" s="1"/>
  <c r="P39" i="15"/>
  <c r="P63" i="15" s="1"/>
  <c r="G39" i="15"/>
  <c r="G63" i="15" s="1"/>
  <c r="R40" i="15"/>
  <c r="S40" i="15" s="1"/>
  <c r="C64" i="15"/>
  <c r="S64" i="15" s="1"/>
  <c r="D63" i="15"/>
  <c r="R42" i="15"/>
  <c r="S42" i="15" s="1"/>
  <c r="R39" i="15" l="1"/>
  <c r="F63" i="15"/>
  <c r="R63" i="15" l="1"/>
  <c r="S63" i="15" s="1"/>
  <c r="S39" i="15"/>
  <c r="C13" i="50" l="1"/>
  <c r="D13" i="50" s="1"/>
  <c r="C11" i="50"/>
  <c r="D11" i="50" s="1"/>
  <c r="C10" i="50"/>
  <c r="F11" i="50" l="1"/>
  <c r="I11" i="50"/>
  <c r="M11" i="50"/>
  <c r="G11" i="50"/>
  <c r="L11" i="50"/>
  <c r="Q11" i="50"/>
  <c r="J11" i="50"/>
  <c r="H11" i="50"/>
  <c r="N11" i="50"/>
  <c r="K11" i="50"/>
  <c r="O11" i="50"/>
  <c r="P11" i="50"/>
  <c r="C31" i="50"/>
  <c r="D10" i="50"/>
  <c r="L13" i="50"/>
  <c r="H13" i="50"/>
  <c r="K13" i="50"/>
  <c r="M13" i="50"/>
  <c r="P13" i="50"/>
  <c r="J13" i="50"/>
  <c r="Q13" i="50"/>
  <c r="I13" i="50"/>
  <c r="F13" i="50"/>
  <c r="G13" i="50"/>
  <c r="N13" i="50"/>
  <c r="O13" i="50"/>
  <c r="R13" i="50" l="1"/>
  <c r="S13" i="50" s="1"/>
  <c r="I10" i="50"/>
  <c r="I31" i="50" s="1"/>
  <c r="L10" i="50"/>
  <c r="L31" i="50" s="1"/>
  <c r="K10" i="50"/>
  <c r="K31" i="50" s="1"/>
  <c r="O10" i="50"/>
  <c r="O31" i="50" s="1"/>
  <c r="H10" i="50"/>
  <c r="H31" i="50" s="1"/>
  <c r="D31" i="50"/>
  <c r="G10" i="50"/>
  <c r="G31" i="50" s="1"/>
  <c r="N10" i="50"/>
  <c r="N31" i="50" s="1"/>
  <c r="Q10" i="50"/>
  <c r="Q31" i="50" s="1"/>
  <c r="F10" i="50"/>
  <c r="P10" i="50"/>
  <c r="P31" i="50" s="1"/>
  <c r="M10" i="50"/>
  <c r="M31" i="50" s="1"/>
  <c r="J10" i="50"/>
  <c r="J31" i="50" s="1"/>
  <c r="R11" i="50"/>
  <c r="S11" i="50" s="1"/>
  <c r="F31" i="50" l="1"/>
  <c r="R31" i="50" s="1"/>
  <c r="S31" i="50" s="1"/>
  <c r="R10" i="50"/>
  <c r="S10" i="50" s="1"/>
  <c r="C38" i="17"/>
  <c r="C40" i="17"/>
  <c r="D40" i="17" s="1"/>
  <c r="C39" i="17"/>
  <c r="D39" i="17" s="1"/>
  <c r="G39" i="17" l="1"/>
  <c r="K39" i="17"/>
  <c r="H39" i="17"/>
  <c r="M39" i="17"/>
  <c r="N39" i="17"/>
  <c r="O39" i="17"/>
  <c r="Q39" i="17"/>
  <c r="L39" i="17"/>
  <c r="I39" i="17"/>
  <c r="J39" i="17"/>
  <c r="F39" i="17"/>
  <c r="P39" i="17"/>
  <c r="P40" i="17"/>
  <c r="Q40" i="17"/>
  <c r="M40" i="17"/>
  <c r="H40" i="17"/>
  <c r="O40" i="17"/>
  <c r="I40" i="17"/>
  <c r="N40" i="17"/>
  <c r="F40" i="17"/>
  <c r="G40" i="17"/>
  <c r="L40" i="17"/>
  <c r="K40" i="17"/>
  <c r="J40" i="17"/>
  <c r="D38" i="17"/>
  <c r="C63" i="17"/>
  <c r="C64" i="17" s="1"/>
  <c r="R40" i="17" l="1"/>
  <c r="S40" i="17" s="1"/>
  <c r="R39" i="17"/>
  <c r="S39" i="17" s="1"/>
  <c r="G38" i="17"/>
  <c r="G63" i="17" s="1"/>
  <c r="Q38" i="17"/>
  <c r="Q63" i="17" s="1"/>
  <c r="P38" i="17"/>
  <c r="P63" i="17" s="1"/>
  <c r="N38" i="17"/>
  <c r="N63" i="17" s="1"/>
  <c r="F38" i="17"/>
  <c r="D63" i="17"/>
  <c r="I38" i="17"/>
  <c r="I63" i="17" s="1"/>
  <c r="J38" i="17"/>
  <c r="J63" i="17" s="1"/>
  <c r="H38" i="17"/>
  <c r="H63" i="17" s="1"/>
  <c r="L38" i="17"/>
  <c r="L63" i="17" s="1"/>
  <c r="K38" i="17"/>
  <c r="K63" i="17" s="1"/>
  <c r="O38" i="17"/>
  <c r="O63" i="17" s="1"/>
  <c r="M38" i="17"/>
  <c r="M63" i="17" s="1"/>
  <c r="C21" i="4"/>
  <c r="D21" i="4" s="1"/>
  <c r="H21" i="4" l="1"/>
  <c r="Q21" i="4"/>
  <c r="J21" i="4"/>
  <c r="I21" i="4"/>
  <c r="M21" i="4"/>
  <c r="N21" i="4"/>
  <c r="O21" i="4"/>
  <c r="L21" i="4"/>
  <c r="G21" i="4"/>
  <c r="F21" i="4"/>
  <c r="P21" i="4"/>
  <c r="K21" i="4"/>
  <c r="F63" i="17"/>
  <c r="R63" i="17" s="1"/>
  <c r="S63" i="17" s="1"/>
  <c r="R38" i="17"/>
  <c r="S38" i="17" s="1"/>
  <c r="C20" i="4"/>
  <c r="C23" i="4"/>
  <c r="R21" i="4" l="1"/>
  <c r="S21" i="4" s="1"/>
  <c r="D20" i="4"/>
  <c r="C43" i="4"/>
  <c r="C44" i="4" s="1"/>
  <c r="C19" i="60"/>
  <c r="D23" i="4"/>
  <c r="C20" i="60"/>
  <c r="I20" i="60" l="1"/>
  <c r="J20" i="60" s="1"/>
  <c r="D43" i="4"/>
  <c r="H20" i="4"/>
  <c r="P20" i="4"/>
  <c r="K20" i="4"/>
  <c r="G20" i="4"/>
  <c r="M20" i="4"/>
  <c r="F20" i="4"/>
  <c r="O20" i="4"/>
  <c r="Q20" i="4"/>
  <c r="L20" i="4"/>
  <c r="N20" i="4"/>
  <c r="J20" i="4"/>
  <c r="I20" i="4"/>
  <c r="I19" i="60"/>
  <c r="J19" i="60" s="1"/>
  <c r="I23" i="4"/>
  <c r="N20" i="60" s="1"/>
  <c r="F23" i="4"/>
  <c r="J23" i="4"/>
  <c r="O20" i="60" s="1"/>
  <c r="Q23" i="4"/>
  <c r="V20" i="60" s="1"/>
  <c r="O23" i="4"/>
  <c r="T20" i="60" s="1"/>
  <c r="H23" i="4"/>
  <c r="M20" i="60" s="1"/>
  <c r="M23" i="4"/>
  <c r="R20" i="60" s="1"/>
  <c r="K23" i="4"/>
  <c r="P20" i="60" s="1"/>
  <c r="P23" i="4"/>
  <c r="U20" i="60" s="1"/>
  <c r="L23" i="4"/>
  <c r="Q20" i="60" s="1"/>
  <c r="G23" i="4"/>
  <c r="L20" i="60" s="1"/>
  <c r="N23" i="4"/>
  <c r="S20" i="60" s="1"/>
  <c r="O19" i="60" l="1"/>
  <c r="J43" i="4"/>
  <c r="T19" i="60"/>
  <c r="O43" i="4"/>
  <c r="K43" i="4"/>
  <c r="P19" i="60"/>
  <c r="Q19" i="60"/>
  <c r="L43" i="4"/>
  <c r="R19" i="60"/>
  <c r="M43" i="4"/>
  <c r="M19" i="60"/>
  <c r="H43" i="4"/>
  <c r="N19" i="60"/>
  <c r="I43" i="4"/>
  <c r="V19" i="60"/>
  <c r="Q43" i="4"/>
  <c r="L19" i="60"/>
  <c r="G43" i="4"/>
  <c r="K20" i="60"/>
  <c r="W20" i="60" s="1"/>
  <c r="X20" i="60" s="1"/>
  <c r="R23" i="4"/>
  <c r="S23" i="4" s="1"/>
  <c r="S19" i="60"/>
  <c r="N43" i="4"/>
  <c r="R20" i="4"/>
  <c r="S20" i="4" s="1"/>
  <c r="K19" i="60"/>
  <c r="F43" i="4"/>
  <c r="P43" i="4"/>
  <c r="U19" i="60"/>
  <c r="W19" i="60" l="1"/>
  <c r="X19" i="60" s="1"/>
  <c r="R43" i="4"/>
  <c r="S43" i="4" s="1"/>
  <c r="C869" i="62" l="1"/>
  <c r="C10" i="54" s="1"/>
  <c r="D10" i="54" s="1"/>
  <c r="C867" i="62"/>
  <c r="C8" i="54" s="1"/>
  <c r="D8" i="54" s="1"/>
  <c r="I8" i="54" l="1"/>
  <c r="M8" i="54"/>
  <c r="J8" i="54"/>
  <c r="Q8" i="54"/>
  <c r="P8" i="54"/>
  <c r="N8" i="54"/>
  <c r="O8" i="54"/>
  <c r="G8" i="54"/>
  <c r="F8" i="54"/>
  <c r="L8" i="54"/>
  <c r="K8" i="54"/>
  <c r="H8" i="54"/>
  <c r="J10" i="54"/>
  <c r="G10" i="54"/>
  <c r="I10" i="54"/>
  <c r="P10" i="54"/>
  <c r="O10" i="54"/>
  <c r="H10" i="54"/>
  <c r="F10" i="54"/>
  <c r="N10" i="54"/>
  <c r="L10" i="54"/>
  <c r="M10" i="54"/>
  <c r="Q10" i="54"/>
  <c r="K10" i="54"/>
  <c r="C20" i="43"/>
  <c r="C25" i="60" s="1"/>
  <c r="C878" i="62"/>
  <c r="C15" i="43"/>
  <c r="C876" i="62"/>
  <c r="C877" i="62"/>
  <c r="C16" i="43"/>
  <c r="C866" i="62"/>
  <c r="R10" i="54" l="1"/>
  <c r="S10" i="54" s="1"/>
  <c r="C7" i="54"/>
  <c r="C870" i="62"/>
  <c r="C34" i="43"/>
  <c r="D16" i="43"/>
  <c r="C879" i="62"/>
  <c r="D15" i="43"/>
  <c r="C33" i="43"/>
  <c r="C11" i="60"/>
  <c r="C21" i="43"/>
  <c r="D20" i="43"/>
  <c r="C38" i="43"/>
  <c r="R8" i="54"/>
  <c r="S8" i="54" s="1"/>
  <c r="I25" i="60" l="1"/>
  <c r="J25" i="60" s="1"/>
  <c r="C34" i="60"/>
  <c r="N16" i="43"/>
  <c r="J16" i="43"/>
  <c r="Q16" i="43"/>
  <c r="K16" i="43"/>
  <c r="F16" i="43"/>
  <c r="M16" i="43"/>
  <c r="G16" i="43"/>
  <c r="L16" i="43"/>
  <c r="I16" i="43"/>
  <c r="H16" i="43"/>
  <c r="O16" i="43"/>
  <c r="P16" i="43"/>
  <c r="J20" i="43"/>
  <c r="F20" i="43"/>
  <c r="L20" i="43"/>
  <c r="I20" i="43"/>
  <c r="O20" i="43"/>
  <c r="M20" i="43"/>
  <c r="Q20" i="43"/>
  <c r="K20" i="43"/>
  <c r="P20" i="43"/>
  <c r="H20" i="43"/>
  <c r="N20" i="43"/>
  <c r="G20" i="43"/>
  <c r="C35" i="43"/>
  <c r="N15" i="43"/>
  <c r="Q15" i="43"/>
  <c r="L15" i="43"/>
  <c r="D21" i="43"/>
  <c r="K15" i="43"/>
  <c r="M15" i="43"/>
  <c r="G15" i="43"/>
  <c r="O15" i="43"/>
  <c r="P15" i="43"/>
  <c r="F15" i="43"/>
  <c r="H15" i="43"/>
  <c r="I15" i="43"/>
  <c r="J15" i="43"/>
  <c r="D7" i="54"/>
  <c r="C11" i="54"/>
  <c r="C12" i="60" s="1"/>
  <c r="I21" i="43" l="1"/>
  <c r="N11" i="60"/>
  <c r="T11" i="60"/>
  <c r="O21" i="43"/>
  <c r="R16" i="43"/>
  <c r="S16" i="43" s="1"/>
  <c r="H21" i="43"/>
  <c r="M11" i="60"/>
  <c r="M7" i="54"/>
  <c r="M11" i="54" s="1"/>
  <c r="R12" i="60" s="1"/>
  <c r="Q7" i="54"/>
  <c r="Q11" i="54" s="1"/>
  <c r="V12" i="60" s="1"/>
  <c r="K7" i="54"/>
  <c r="K11" i="54" s="1"/>
  <c r="P12" i="60" s="1"/>
  <c r="O7" i="54"/>
  <c r="O11" i="54" s="1"/>
  <c r="T12" i="60" s="1"/>
  <c r="G7" i="54"/>
  <c r="G11" i="54" s="1"/>
  <c r="L12" i="60" s="1"/>
  <c r="I7" i="54"/>
  <c r="I11" i="54" s="1"/>
  <c r="N12" i="60" s="1"/>
  <c r="P7" i="54"/>
  <c r="P11" i="54" s="1"/>
  <c r="U12" i="60" s="1"/>
  <c r="H7" i="54"/>
  <c r="H11" i="54" s="1"/>
  <c r="M12" i="60" s="1"/>
  <c r="J7" i="54"/>
  <c r="J11" i="54" s="1"/>
  <c r="O12" i="60" s="1"/>
  <c r="N7" i="54"/>
  <c r="N11" i="54" s="1"/>
  <c r="S12" i="60" s="1"/>
  <c r="F7" i="54"/>
  <c r="L7" i="54"/>
  <c r="L11" i="54" s="1"/>
  <c r="Q12" i="60" s="1"/>
  <c r="D11" i="54"/>
  <c r="R15" i="43"/>
  <c r="S15" i="43" s="1"/>
  <c r="F21" i="43"/>
  <c r="K11" i="60"/>
  <c r="R11" i="60"/>
  <c r="M21" i="43"/>
  <c r="V11" i="60"/>
  <c r="Q21" i="43"/>
  <c r="J21" i="43"/>
  <c r="O11" i="60"/>
  <c r="U11" i="60"/>
  <c r="P21" i="43"/>
  <c r="K21" i="43"/>
  <c r="P11" i="60"/>
  <c r="N21" i="43"/>
  <c r="S11" i="60"/>
  <c r="R20" i="43"/>
  <c r="S20" i="43" s="1"/>
  <c r="I34" i="60"/>
  <c r="J34" i="60" s="1"/>
  <c r="I12" i="60"/>
  <c r="J12" i="60" s="1"/>
  <c r="G21" i="43"/>
  <c r="L11" i="60"/>
  <c r="Q11" i="60"/>
  <c r="L21" i="43"/>
  <c r="R21" i="43" l="1"/>
  <c r="S21" i="43" s="1"/>
  <c r="F11" i="54"/>
  <c r="R7" i="54"/>
  <c r="S7" i="54" s="1"/>
  <c r="W11" i="60"/>
  <c r="X11" i="60" s="1"/>
  <c r="K12" i="60" l="1"/>
  <c r="R11" i="54"/>
  <c r="S11" i="54" s="1"/>
  <c r="W12" i="60" l="1"/>
  <c r="X12" i="60" s="1"/>
  <c r="I87" i="61"/>
  <c r="C87" i="61" s="1"/>
  <c r="D87" i="61" s="1"/>
  <c r="J87" i="61" l="1"/>
  <c r="L87" i="61"/>
  <c r="M87" i="61"/>
  <c r="D104" i="61"/>
  <c r="D90" i="61"/>
  <c r="C2" i="34"/>
  <c r="C2" i="35"/>
  <c r="C83" i="58"/>
  <c r="D83" i="58" s="1"/>
  <c r="P83" i="58" s="1"/>
  <c r="G97" i="61"/>
  <c r="I104" i="61"/>
  <c r="I90" i="61"/>
  <c r="C90" i="61" s="1"/>
  <c r="D86" i="58" l="1"/>
  <c r="E83" i="58"/>
  <c r="I83" i="58"/>
  <c r="K83" i="58"/>
  <c r="H83" i="58"/>
  <c r="G83" i="58"/>
  <c r="M83" i="58"/>
  <c r="L83" i="58"/>
  <c r="J83" i="58"/>
  <c r="F83" i="58"/>
  <c r="O83" i="58"/>
  <c r="N83" i="58"/>
  <c r="C28" i="34"/>
  <c r="C33" i="34"/>
  <c r="C30" i="34"/>
  <c r="C29" i="34"/>
  <c r="C27" i="34"/>
  <c r="C31" i="34"/>
  <c r="C5" i="34"/>
  <c r="C32" i="34"/>
  <c r="C33" i="35"/>
  <c r="C29" i="35"/>
  <c r="C32" i="35"/>
  <c r="C30" i="35"/>
  <c r="C31" i="35"/>
  <c r="C28" i="35"/>
  <c r="C5" i="35"/>
  <c r="C27" i="35"/>
  <c r="L90" i="61"/>
  <c r="J90" i="61"/>
  <c r="M90" i="61"/>
  <c r="C34" i="35" l="1"/>
  <c r="C753" i="62"/>
  <c r="C754" i="62"/>
  <c r="C756" i="62"/>
  <c r="C755" i="62"/>
  <c r="D61" i="34"/>
  <c r="D49" i="34"/>
  <c r="D45" i="34"/>
  <c r="D56" i="34"/>
  <c r="D43" i="34"/>
  <c r="D51" i="34"/>
  <c r="D47" i="34"/>
  <c r="D54" i="34"/>
  <c r="D60" i="34"/>
  <c r="D57" i="34"/>
  <c r="D58" i="34"/>
  <c r="D53" i="34"/>
  <c r="D44" i="34"/>
  <c r="D50" i="34"/>
  <c r="D46" i="34"/>
  <c r="D52" i="34"/>
  <c r="D59" i="34"/>
  <c r="D55" i="34"/>
  <c r="D48" i="34"/>
  <c r="C727" i="62"/>
  <c r="C34" i="34"/>
  <c r="C730" i="62"/>
  <c r="C785" i="62" s="1"/>
  <c r="C728" i="62"/>
  <c r="C783" i="62" s="1"/>
  <c r="N86" i="58"/>
  <c r="O2" i="35"/>
  <c r="O2" i="34"/>
  <c r="F86" i="58"/>
  <c r="G2" i="35"/>
  <c r="G2" i="34"/>
  <c r="L86" i="58"/>
  <c r="M2" i="35"/>
  <c r="M2" i="34"/>
  <c r="G86" i="58"/>
  <c r="H2" i="35"/>
  <c r="H2" i="34"/>
  <c r="H86" i="58"/>
  <c r="I2" i="35"/>
  <c r="I2" i="34"/>
  <c r="I86" i="58"/>
  <c r="J2" i="35"/>
  <c r="J2" i="34"/>
  <c r="D62" i="35"/>
  <c r="D47" i="35"/>
  <c r="D56" i="35"/>
  <c r="D52" i="35"/>
  <c r="D48" i="35"/>
  <c r="D54" i="35"/>
  <c r="D46" i="35"/>
  <c r="D55" i="35"/>
  <c r="D45" i="35"/>
  <c r="D53" i="35"/>
  <c r="D58" i="35"/>
  <c r="D43" i="35"/>
  <c r="D60" i="35"/>
  <c r="D57" i="35"/>
  <c r="D51" i="35"/>
  <c r="D44" i="35"/>
  <c r="D49" i="35"/>
  <c r="D50" i="35"/>
  <c r="D61" i="35"/>
  <c r="D59" i="35"/>
  <c r="D42" i="35"/>
  <c r="C757" i="62"/>
  <c r="C758" i="62"/>
  <c r="C759" i="62"/>
  <c r="C732" i="62"/>
  <c r="C787" i="62" s="1"/>
  <c r="C731" i="62"/>
  <c r="C786" i="62" s="1"/>
  <c r="C729" i="62"/>
  <c r="C784" i="62" s="1"/>
  <c r="C733" i="62"/>
  <c r="P2" i="35"/>
  <c r="O86" i="58"/>
  <c r="P2" i="34"/>
  <c r="J86" i="58"/>
  <c r="K2" i="35"/>
  <c r="K2" i="34"/>
  <c r="M86" i="58"/>
  <c r="N2" i="35"/>
  <c r="N2" i="34"/>
  <c r="P86" i="58"/>
  <c r="Q2" i="35"/>
  <c r="Q2" i="34"/>
  <c r="K86" i="58"/>
  <c r="L2" i="35"/>
  <c r="L2" i="34"/>
  <c r="Q83" i="58"/>
  <c r="R83" i="58" s="1"/>
  <c r="E86" i="58"/>
  <c r="F2" i="35"/>
  <c r="F2" i="34"/>
  <c r="D100" i="58"/>
  <c r="F30" i="35" l="1"/>
  <c r="R2" i="35"/>
  <c r="S2" i="35" s="1"/>
  <c r="F31" i="35"/>
  <c r="F33" i="35"/>
  <c r="F29" i="35"/>
  <c r="F27" i="35"/>
  <c r="F28" i="35"/>
  <c r="F32" i="35"/>
  <c r="I814" i="62"/>
  <c r="D784" i="62"/>
  <c r="O843" i="62"/>
  <c r="I843" i="62"/>
  <c r="I817" i="62"/>
  <c r="D787" i="62"/>
  <c r="O846" i="62"/>
  <c r="I846" i="62"/>
  <c r="Q758" i="62"/>
  <c r="J758" i="62"/>
  <c r="J30" i="34"/>
  <c r="J32" i="34"/>
  <c r="J31" i="34"/>
  <c r="J29" i="34"/>
  <c r="J33" i="34"/>
  <c r="J28" i="34"/>
  <c r="J27" i="34"/>
  <c r="J5" i="35"/>
  <c r="J51" i="35" s="1"/>
  <c r="J5" i="34"/>
  <c r="I100" i="58"/>
  <c r="I32" i="35"/>
  <c r="I31" i="35"/>
  <c r="I29" i="35"/>
  <c r="I33" i="35"/>
  <c r="I28" i="35"/>
  <c r="I30" i="35"/>
  <c r="I27" i="35"/>
  <c r="H28" i="34"/>
  <c r="H29" i="34"/>
  <c r="H32" i="34"/>
  <c r="H30" i="34"/>
  <c r="H31" i="34"/>
  <c r="H33" i="34"/>
  <c r="H27" i="34"/>
  <c r="H34" i="34" s="1"/>
  <c r="H5" i="34"/>
  <c r="H5" i="35"/>
  <c r="H46" i="35" s="1"/>
  <c r="G100" i="58"/>
  <c r="M33" i="35"/>
  <c r="M32" i="35"/>
  <c r="M31" i="35"/>
  <c r="M28" i="35"/>
  <c r="M29" i="35"/>
  <c r="M30" i="35"/>
  <c r="M27" i="35"/>
  <c r="G28" i="34"/>
  <c r="G32" i="34"/>
  <c r="G30" i="34"/>
  <c r="G31" i="34"/>
  <c r="G29" i="34"/>
  <c r="G33" i="34"/>
  <c r="G27" i="34"/>
  <c r="F100" i="58"/>
  <c r="G5" i="34"/>
  <c r="G5" i="35"/>
  <c r="G42" i="35" s="1"/>
  <c r="O29" i="35"/>
  <c r="O28" i="35"/>
  <c r="O32" i="35"/>
  <c r="O33" i="35"/>
  <c r="O31" i="35"/>
  <c r="O30" i="35"/>
  <c r="O27" i="35"/>
  <c r="I813" i="62"/>
  <c r="D783" i="62"/>
  <c r="I842" i="62"/>
  <c r="D785" i="62"/>
  <c r="I844" i="62"/>
  <c r="C35" i="34"/>
  <c r="C4" i="60"/>
  <c r="H55" i="34"/>
  <c r="J55" i="34"/>
  <c r="G55" i="34"/>
  <c r="G52" i="34"/>
  <c r="H52" i="34"/>
  <c r="J52" i="34"/>
  <c r="J50" i="34"/>
  <c r="H50" i="34"/>
  <c r="M25" i="60" s="1"/>
  <c r="G50" i="34"/>
  <c r="H53" i="34"/>
  <c r="J53" i="34"/>
  <c r="G53" i="34"/>
  <c r="J57" i="34"/>
  <c r="G57" i="34"/>
  <c r="H57" i="34"/>
  <c r="J54" i="34"/>
  <c r="H54" i="34"/>
  <c r="G54" i="34"/>
  <c r="J51" i="34"/>
  <c r="G51" i="34"/>
  <c r="H51" i="34"/>
  <c r="H56" i="34"/>
  <c r="J56" i="34"/>
  <c r="G56" i="34"/>
  <c r="H49" i="34"/>
  <c r="J49" i="34"/>
  <c r="G49" i="34"/>
  <c r="C35" i="35"/>
  <c r="L29" i="35"/>
  <c r="L28" i="35"/>
  <c r="L31" i="35"/>
  <c r="L32" i="35"/>
  <c r="L30" i="35"/>
  <c r="L33" i="35"/>
  <c r="L27" i="35"/>
  <c r="Q30" i="34"/>
  <c r="Q29" i="34"/>
  <c r="Q33" i="34"/>
  <c r="Q31" i="34"/>
  <c r="Q28" i="34"/>
  <c r="Q32" i="34"/>
  <c r="Q27" i="34"/>
  <c r="Q5" i="35"/>
  <c r="Q42" i="35" s="1"/>
  <c r="P100" i="58"/>
  <c r="Q5" i="34"/>
  <c r="Q55" i="34" s="1"/>
  <c r="N31" i="35"/>
  <c r="N28" i="35"/>
  <c r="N29" i="35"/>
  <c r="N32" i="35"/>
  <c r="N30" i="35"/>
  <c r="N33" i="35"/>
  <c r="N27" i="35"/>
  <c r="K28" i="34"/>
  <c r="K31" i="34"/>
  <c r="K33" i="34"/>
  <c r="K30" i="34"/>
  <c r="K32" i="34"/>
  <c r="K29" i="34"/>
  <c r="K27" i="34"/>
  <c r="K5" i="34"/>
  <c r="K55" i="34" s="1"/>
  <c r="J100" i="58"/>
  <c r="K5" i="35"/>
  <c r="K61" i="35" s="1"/>
  <c r="P5" i="34"/>
  <c r="P52" i="34" s="1"/>
  <c r="O100" i="58"/>
  <c r="P5" i="35"/>
  <c r="P42" i="35" s="1"/>
  <c r="I816" i="62"/>
  <c r="D786" i="62"/>
  <c r="O845" i="62"/>
  <c r="I845" i="62"/>
  <c r="J759" i="62"/>
  <c r="Q759" i="62"/>
  <c r="R759" i="62" s="1"/>
  <c r="Q757" i="62"/>
  <c r="J757" i="62"/>
  <c r="G49" i="35"/>
  <c r="L21" i="60" s="1"/>
  <c r="P49" i="35"/>
  <c r="U21" i="60" s="1"/>
  <c r="J49" i="35"/>
  <c r="O21" i="60" s="1"/>
  <c r="Q49" i="35"/>
  <c r="V21" i="60" s="1"/>
  <c r="H49" i="35"/>
  <c r="M21" i="60" s="1"/>
  <c r="P60" i="35"/>
  <c r="G60" i="35"/>
  <c r="J60" i="35"/>
  <c r="H60" i="35"/>
  <c r="Q60" i="35"/>
  <c r="K60" i="35"/>
  <c r="R2" i="34"/>
  <c r="S2" i="34" s="1"/>
  <c r="F31" i="34"/>
  <c r="F30" i="34"/>
  <c r="F32" i="34"/>
  <c r="F29" i="34"/>
  <c r="F33" i="34"/>
  <c r="F27" i="34"/>
  <c r="F28" i="34"/>
  <c r="E100" i="58"/>
  <c r="Q86" i="58"/>
  <c r="F5" i="34"/>
  <c r="F59" i="34" s="1"/>
  <c r="F5" i="35"/>
  <c r="F42" i="35" s="1"/>
  <c r="L29" i="34"/>
  <c r="L31" i="34"/>
  <c r="L28" i="34"/>
  <c r="L33" i="34"/>
  <c r="L32" i="34"/>
  <c r="L30" i="34"/>
  <c r="L27" i="34"/>
  <c r="L5" i="35"/>
  <c r="L42" i="35" s="1"/>
  <c r="L5" i="34"/>
  <c r="L53" i="34" s="1"/>
  <c r="K100" i="58"/>
  <c r="Q33" i="35"/>
  <c r="Q30" i="35"/>
  <c r="Q28" i="35"/>
  <c r="Q31" i="35"/>
  <c r="Q29" i="35"/>
  <c r="Q32" i="35"/>
  <c r="Q27" i="35"/>
  <c r="N33" i="34"/>
  <c r="N29" i="34"/>
  <c r="N28" i="34"/>
  <c r="N32" i="34"/>
  <c r="N30" i="34"/>
  <c r="N31" i="34"/>
  <c r="N27" i="34"/>
  <c r="N5" i="35"/>
  <c r="N42" i="35" s="1"/>
  <c r="N5" i="34"/>
  <c r="N50" i="34" s="1"/>
  <c r="M100" i="58"/>
  <c r="K30" i="35"/>
  <c r="K28" i="35"/>
  <c r="K32" i="35"/>
  <c r="K29" i="35"/>
  <c r="K33" i="35"/>
  <c r="K31" i="35"/>
  <c r="K27" i="35"/>
  <c r="P30" i="34"/>
  <c r="P33" i="34"/>
  <c r="P31" i="34"/>
  <c r="P32" i="34"/>
  <c r="P29" i="34"/>
  <c r="P28" i="34"/>
  <c r="P27" i="34"/>
  <c r="P32" i="35"/>
  <c r="P28" i="35"/>
  <c r="P31" i="35"/>
  <c r="P30" i="35"/>
  <c r="P33" i="35"/>
  <c r="P29" i="35"/>
  <c r="P27" i="35"/>
  <c r="C788" i="62"/>
  <c r="L59" i="35"/>
  <c r="Q30" i="60" s="1"/>
  <c r="Q59" i="35"/>
  <c r="V30" i="60" s="1"/>
  <c r="P59" i="35"/>
  <c r="U30" i="60" s="1"/>
  <c r="G59" i="35"/>
  <c r="L30" i="60" s="1"/>
  <c r="J59" i="35"/>
  <c r="O30" i="60" s="1"/>
  <c r="K59" i="35"/>
  <c r="P30" i="60" s="1"/>
  <c r="H59" i="35"/>
  <c r="M30" i="60" s="1"/>
  <c r="G50" i="35"/>
  <c r="P50" i="35"/>
  <c r="K50" i="35"/>
  <c r="J50" i="35"/>
  <c r="Q50" i="35"/>
  <c r="H50" i="35"/>
  <c r="K44" i="35"/>
  <c r="J44" i="35"/>
  <c r="L44" i="35"/>
  <c r="P44" i="35"/>
  <c r="H44" i="35"/>
  <c r="Q44" i="35"/>
  <c r="G44" i="35"/>
  <c r="N57" i="35"/>
  <c r="H57" i="35"/>
  <c r="G57" i="35"/>
  <c r="J57" i="35"/>
  <c r="Q57" i="35"/>
  <c r="K57" i="35"/>
  <c r="P57" i="35"/>
  <c r="F57" i="35"/>
  <c r="G43" i="35"/>
  <c r="H43" i="35"/>
  <c r="Q43" i="35"/>
  <c r="N43" i="35"/>
  <c r="K43" i="35"/>
  <c r="J43" i="35"/>
  <c r="P43" i="35"/>
  <c r="L43" i="35"/>
  <c r="P53" i="35"/>
  <c r="G53" i="35"/>
  <c r="H53" i="35"/>
  <c r="J53" i="35"/>
  <c r="L53" i="35"/>
  <c r="K53" i="35"/>
  <c r="Q53" i="35"/>
  <c r="P55" i="35"/>
  <c r="N55" i="35"/>
  <c r="L55" i="35"/>
  <c r="K55" i="35"/>
  <c r="J55" i="35"/>
  <c r="H55" i="35"/>
  <c r="G55" i="35"/>
  <c r="Q55" i="35"/>
  <c r="F55" i="35"/>
  <c r="J54" i="35"/>
  <c r="Q54" i="35"/>
  <c r="G54" i="35"/>
  <c r="L54" i="35"/>
  <c r="K54" i="35"/>
  <c r="P54" i="35"/>
  <c r="H54" i="35"/>
  <c r="F54" i="35"/>
  <c r="G52" i="35"/>
  <c r="P52" i="35"/>
  <c r="H52" i="35"/>
  <c r="L52" i="35"/>
  <c r="J52" i="35"/>
  <c r="K52" i="35"/>
  <c r="Q52" i="35"/>
  <c r="N52" i="35"/>
  <c r="J47" i="35"/>
  <c r="G47" i="35"/>
  <c r="Q47" i="35"/>
  <c r="P47" i="35"/>
  <c r="K47" i="35"/>
  <c r="L47" i="35"/>
  <c r="H47" i="35"/>
  <c r="F47" i="35"/>
  <c r="J30" i="35"/>
  <c r="J33" i="35"/>
  <c r="J29" i="35"/>
  <c r="J27" i="35"/>
  <c r="J32" i="35"/>
  <c r="J28" i="35"/>
  <c r="J31" i="35"/>
  <c r="I33" i="34"/>
  <c r="I31" i="34"/>
  <c r="I30" i="34"/>
  <c r="I28" i="34"/>
  <c r="I29" i="34"/>
  <c r="I32" i="34"/>
  <c r="I27" i="34"/>
  <c r="H100" i="58"/>
  <c r="I5" i="34"/>
  <c r="I50" i="34" s="1"/>
  <c r="I5" i="35"/>
  <c r="I42" i="35" s="1"/>
  <c r="H31" i="35"/>
  <c r="H30" i="35"/>
  <c r="H28" i="35"/>
  <c r="H27" i="35"/>
  <c r="H32" i="35"/>
  <c r="H33" i="35"/>
  <c r="H29" i="35"/>
  <c r="M30" i="34"/>
  <c r="M29" i="34"/>
  <c r="M33" i="34"/>
  <c r="M31" i="34"/>
  <c r="M28" i="34"/>
  <c r="M32" i="34"/>
  <c r="M27" i="34"/>
  <c r="M5" i="34"/>
  <c r="M52" i="34" s="1"/>
  <c r="L100" i="58"/>
  <c r="M5" i="35"/>
  <c r="M61" i="35" s="1"/>
  <c r="G33" i="35"/>
  <c r="G28" i="35"/>
  <c r="G29" i="35"/>
  <c r="G31" i="35"/>
  <c r="G30" i="35"/>
  <c r="G32" i="35"/>
  <c r="G27" i="35"/>
  <c r="O31" i="34"/>
  <c r="O30" i="34"/>
  <c r="O28" i="34"/>
  <c r="O32" i="34"/>
  <c r="O29" i="34"/>
  <c r="O33" i="34"/>
  <c r="O27" i="34"/>
  <c r="N100" i="58"/>
  <c r="O5" i="34"/>
  <c r="O55" i="34" s="1"/>
  <c r="O5" i="35"/>
  <c r="O51" i="35" s="1"/>
  <c r="C734" i="62"/>
  <c r="C782" i="62"/>
  <c r="L841" i="62" s="1"/>
  <c r="L48" i="34"/>
  <c r="J48" i="34"/>
  <c r="O48" i="34"/>
  <c r="N48" i="34"/>
  <c r="H48" i="34"/>
  <c r="G48" i="34"/>
  <c r="K48" i="34"/>
  <c r="P48" i="34"/>
  <c r="F48" i="34"/>
  <c r="Q48" i="34"/>
  <c r="G59" i="34"/>
  <c r="Q59" i="34"/>
  <c r="O59" i="34"/>
  <c r="J59" i="34"/>
  <c r="H59" i="34"/>
  <c r="N59" i="34"/>
  <c r="P59" i="34"/>
  <c r="K59" i="34"/>
  <c r="K46" i="34"/>
  <c r="J46" i="34"/>
  <c r="O46" i="34"/>
  <c r="N46" i="34"/>
  <c r="G46" i="34"/>
  <c r="H46" i="34"/>
  <c r="P46" i="34"/>
  <c r="L46" i="34"/>
  <c r="Q46" i="34"/>
  <c r="F46" i="34"/>
  <c r="K44" i="34"/>
  <c r="G44" i="34"/>
  <c r="Q44" i="34"/>
  <c r="J44" i="34"/>
  <c r="N44" i="34"/>
  <c r="H44" i="34"/>
  <c r="L44" i="34"/>
  <c r="P44" i="34"/>
  <c r="F44" i="34"/>
  <c r="H58" i="34"/>
  <c r="M32" i="60" s="1"/>
  <c r="I58" i="34"/>
  <c r="N32" i="60" s="1"/>
  <c r="P58" i="34"/>
  <c r="U32" i="60" s="1"/>
  <c r="J58" i="34"/>
  <c r="O32" i="60" s="1"/>
  <c r="K58" i="34"/>
  <c r="P32" i="60" s="1"/>
  <c r="O58" i="34"/>
  <c r="T32" i="60" s="1"/>
  <c r="G58" i="34"/>
  <c r="L32" i="60" s="1"/>
  <c r="L58" i="34"/>
  <c r="Q32" i="60" s="1"/>
  <c r="Q58" i="34"/>
  <c r="V32" i="60" s="1"/>
  <c r="N58" i="34"/>
  <c r="S32" i="60" s="1"/>
  <c r="M60" i="34"/>
  <c r="H60" i="34"/>
  <c r="K60" i="34"/>
  <c r="Q60" i="34"/>
  <c r="I60" i="34"/>
  <c r="N60" i="34"/>
  <c r="J60" i="34"/>
  <c r="P60" i="34"/>
  <c r="G60" i="34"/>
  <c r="O60" i="34"/>
  <c r="P47" i="34"/>
  <c r="Q47" i="34"/>
  <c r="G47" i="34"/>
  <c r="H47" i="34"/>
  <c r="L47" i="34"/>
  <c r="N47" i="34"/>
  <c r="K47" i="34"/>
  <c r="O47" i="34"/>
  <c r="J47" i="34"/>
  <c r="N43" i="34"/>
  <c r="J43" i="34"/>
  <c r="P43" i="34"/>
  <c r="I43" i="34"/>
  <c r="K43" i="34"/>
  <c r="G43" i="34"/>
  <c r="H43" i="34"/>
  <c r="O43" i="34"/>
  <c r="M43" i="34"/>
  <c r="Q43" i="34"/>
  <c r="H45" i="34"/>
  <c r="L45" i="34"/>
  <c r="G45" i="34"/>
  <c r="N45" i="34"/>
  <c r="K45" i="34"/>
  <c r="I45" i="34"/>
  <c r="P45" i="34"/>
  <c r="Q45" i="34"/>
  <c r="J45" i="34"/>
  <c r="Q755" i="62"/>
  <c r="R755" i="62" s="1"/>
  <c r="J755" i="62"/>
  <c r="K755" i="62" s="1"/>
  <c r="Q756" i="62"/>
  <c r="R756" i="62" s="1"/>
  <c r="J756" i="62"/>
  <c r="Q754" i="62"/>
  <c r="J754" i="62"/>
  <c r="C760" i="62"/>
  <c r="C762" i="62" s="1"/>
  <c r="Q753" i="62"/>
  <c r="J753" i="62"/>
  <c r="P26" i="60" l="1"/>
  <c r="O26" i="60"/>
  <c r="M34" i="35"/>
  <c r="M35" i="35" s="1"/>
  <c r="U26" i="60"/>
  <c r="T26" i="60"/>
  <c r="F53" i="35"/>
  <c r="F43" i="35"/>
  <c r="L50" i="35"/>
  <c r="O25" i="60"/>
  <c r="S26" i="60"/>
  <c r="V26" i="60"/>
  <c r="M26" i="60"/>
  <c r="L26" i="60"/>
  <c r="F52" i="35"/>
  <c r="L57" i="35"/>
  <c r="F44" i="35"/>
  <c r="F50" i="35"/>
  <c r="F59" i="35"/>
  <c r="L25" i="60"/>
  <c r="F45" i="34"/>
  <c r="M45" i="34"/>
  <c r="O45" i="34"/>
  <c r="F43" i="34"/>
  <c r="R43" i="34" s="1"/>
  <c r="S43" i="34" s="1"/>
  <c r="L43" i="34"/>
  <c r="F47" i="34"/>
  <c r="I47" i="34"/>
  <c r="M47" i="34"/>
  <c r="R47" i="34" s="1"/>
  <c r="S47" i="34" s="1"/>
  <c r="F60" i="34"/>
  <c r="K26" i="60" s="1"/>
  <c r="L60" i="34"/>
  <c r="F58" i="34"/>
  <c r="O44" i="34"/>
  <c r="R44" i="34" s="1"/>
  <c r="S44" i="34" s="1"/>
  <c r="I46" i="34"/>
  <c r="L59" i="34"/>
  <c r="Q26" i="60" s="1"/>
  <c r="N47" i="35"/>
  <c r="N54" i="35"/>
  <c r="N53" i="35"/>
  <c r="N44" i="35"/>
  <c r="N50" i="35"/>
  <c r="N59" i="35"/>
  <c r="S30" i="60" s="1"/>
  <c r="P34" i="35"/>
  <c r="P35" i="35" s="1"/>
  <c r="K34" i="35"/>
  <c r="K35" i="35" s="1"/>
  <c r="N34" i="34"/>
  <c r="M58" i="34"/>
  <c r="R32" i="60" s="1"/>
  <c r="M44" i="34"/>
  <c r="I44" i="34"/>
  <c r="M46" i="34"/>
  <c r="M59" i="34"/>
  <c r="R26" i="60" s="1"/>
  <c r="I59" i="34"/>
  <c r="N26" i="60" s="1"/>
  <c r="M48" i="34"/>
  <c r="I48" i="34"/>
  <c r="O47" i="35"/>
  <c r="O34" i="34"/>
  <c r="I34" i="34"/>
  <c r="O52" i="35"/>
  <c r="I54" i="35"/>
  <c r="I55" i="35"/>
  <c r="K49" i="35"/>
  <c r="P21" i="60" s="1"/>
  <c r="K34" i="34"/>
  <c r="L34" i="35"/>
  <c r="L35" i="35" s="1"/>
  <c r="J760" i="62"/>
  <c r="J841" i="62"/>
  <c r="K753" i="62"/>
  <c r="L753" i="62" s="1"/>
  <c r="R754" i="62"/>
  <c r="S754" i="62" s="1"/>
  <c r="Q760" i="62"/>
  <c r="R753" i="62"/>
  <c r="J842" i="62"/>
  <c r="K754" i="62"/>
  <c r="L754" i="62" s="1"/>
  <c r="J844" i="62"/>
  <c r="C40" i="53" s="1"/>
  <c r="K756" i="62"/>
  <c r="L756" i="62" s="1"/>
  <c r="L755" i="62"/>
  <c r="J843" i="62"/>
  <c r="R45" i="34"/>
  <c r="S45" i="34" s="1"/>
  <c r="V23" i="60"/>
  <c r="K23" i="60"/>
  <c r="M23" i="60"/>
  <c r="H61" i="34"/>
  <c r="P23" i="60"/>
  <c r="Q23" i="60"/>
  <c r="O23" i="60"/>
  <c r="J61" i="34"/>
  <c r="R60" i="34"/>
  <c r="S60" i="34" s="1"/>
  <c r="K32" i="60"/>
  <c r="R46" i="34"/>
  <c r="S46" i="34" s="1"/>
  <c r="C789" i="62"/>
  <c r="A782" i="62" s="1"/>
  <c r="I812" i="62"/>
  <c r="I819" i="62" s="1"/>
  <c r="D782" i="62"/>
  <c r="O841" i="62"/>
  <c r="I841" i="62"/>
  <c r="O35" i="34"/>
  <c r="I35" i="34"/>
  <c r="J34" i="35"/>
  <c r="J35" i="35" s="1"/>
  <c r="M47" i="35"/>
  <c r="M52" i="35"/>
  <c r="O54" i="35"/>
  <c r="M55" i="35"/>
  <c r="O55" i="35"/>
  <c r="I53" i="35"/>
  <c r="O53" i="35"/>
  <c r="I43" i="35"/>
  <c r="I57" i="35"/>
  <c r="I44" i="35"/>
  <c r="M44" i="35"/>
  <c r="M50" i="35"/>
  <c r="K30" i="60"/>
  <c r="I847" i="62"/>
  <c r="D788" i="62"/>
  <c r="P34" i="34"/>
  <c r="Q34" i="35"/>
  <c r="Q35" i="35" s="1"/>
  <c r="L34" i="34"/>
  <c r="R5" i="34"/>
  <c r="S5" i="34" s="1"/>
  <c r="R27" i="34"/>
  <c r="S27" i="34" s="1"/>
  <c r="F34" i="34"/>
  <c r="R29" i="34"/>
  <c r="S29" i="34" s="1"/>
  <c r="R30" i="34"/>
  <c r="S30" i="34" s="1"/>
  <c r="O60" i="35"/>
  <c r="M60" i="35"/>
  <c r="L60" i="35"/>
  <c r="I60" i="35"/>
  <c r="O49" i="35"/>
  <c r="T21" i="60" s="1"/>
  <c r="L49" i="35"/>
  <c r="Q21" i="60" s="1"/>
  <c r="N49" i="35"/>
  <c r="S21" i="60" s="1"/>
  <c r="I49" i="35"/>
  <c r="N21" i="60" s="1"/>
  <c r="R757" i="62"/>
  <c r="S757" i="62" s="1"/>
  <c r="K35" i="34"/>
  <c r="P4" i="60"/>
  <c r="P5" i="60" s="1"/>
  <c r="L49" i="34"/>
  <c r="O49" i="34"/>
  <c r="P49" i="34"/>
  <c r="M49" i="34"/>
  <c r="M56" i="34"/>
  <c r="O56" i="34"/>
  <c r="I56" i="34"/>
  <c r="L56" i="34"/>
  <c r="N56" i="34"/>
  <c r="Q51" i="34"/>
  <c r="L51" i="34"/>
  <c r="K51" i="34"/>
  <c r="N51" i="34"/>
  <c r="S25" i="60" s="1"/>
  <c r="M51" i="34"/>
  <c r="I51" i="34"/>
  <c r="N25" i="60" s="1"/>
  <c r="L54" i="34"/>
  <c r="M54" i="34"/>
  <c r="K54" i="34"/>
  <c r="Q54" i="34"/>
  <c r="P54" i="34"/>
  <c r="M57" i="34"/>
  <c r="Q57" i="34"/>
  <c r="P57" i="34"/>
  <c r="O57" i="34"/>
  <c r="K53" i="34"/>
  <c r="P53" i="34"/>
  <c r="I53" i="34"/>
  <c r="Q53" i="34"/>
  <c r="O53" i="34"/>
  <c r="L50" i="34"/>
  <c r="Q25" i="60" s="1"/>
  <c r="M50" i="34"/>
  <c r="P50" i="34"/>
  <c r="O50" i="34"/>
  <c r="T25" i="60" s="1"/>
  <c r="L52" i="34"/>
  <c r="M29" i="60"/>
  <c r="O52" i="34"/>
  <c r="N52" i="34"/>
  <c r="I52" i="34"/>
  <c r="K52" i="34"/>
  <c r="M55" i="34"/>
  <c r="I55" i="34"/>
  <c r="L55" i="34"/>
  <c r="N55" i="34"/>
  <c r="P55" i="34"/>
  <c r="C62" i="34"/>
  <c r="D35" i="34"/>
  <c r="C844" i="62"/>
  <c r="C39" i="53"/>
  <c r="H35" i="34"/>
  <c r="F56" i="35"/>
  <c r="O56" i="35"/>
  <c r="L56" i="35"/>
  <c r="J56" i="35"/>
  <c r="H56" i="35"/>
  <c r="K56" i="35"/>
  <c r="F48" i="35"/>
  <c r="J48" i="35"/>
  <c r="O24" i="60" s="1"/>
  <c r="H48" i="35"/>
  <c r="M24" i="60" s="1"/>
  <c r="M48" i="35"/>
  <c r="P48" i="35"/>
  <c r="U24" i="60" s="1"/>
  <c r="L48" i="35"/>
  <c r="F46" i="35"/>
  <c r="Q46" i="35"/>
  <c r="L46" i="35"/>
  <c r="O46" i="35"/>
  <c r="I46" i="35"/>
  <c r="N46" i="35"/>
  <c r="F45" i="35"/>
  <c r="L45" i="35"/>
  <c r="O45" i="35"/>
  <c r="H45" i="35"/>
  <c r="M45" i="35"/>
  <c r="N45" i="35"/>
  <c r="F58" i="35"/>
  <c r="Q58" i="35"/>
  <c r="J58" i="35"/>
  <c r="M58" i="35"/>
  <c r="H58" i="35"/>
  <c r="N58" i="35"/>
  <c r="F51" i="35"/>
  <c r="H51" i="35"/>
  <c r="K51" i="35"/>
  <c r="G51" i="35"/>
  <c r="M51" i="35"/>
  <c r="P51" i="35"/>
  <c r="F61" i="35"/>
  <c r="L61" i="35"/>
  <c r="H61" i="35"/>
  <c r="J61" i="35"/>
  <c r="O61" i="35"/>
  <c r="N61" i="35"/>
  <c r="H42" i="35"/>
  <c r="O42" i="35"/>
  <c r="K42" i="35"/>
  <c r="M42" i="35"/>
  <c r="J42" i="35"/>
  <c r="J846" i="62"/>
  <c r="C846" i="62" s="1"/>
  <c r="R32" i="35"/>
  <c r="S32" i="35" s="1"/>
  <c r="R27" i="35"/>
  <c r="S27" i="35" s="1"/>
  <c r="F34" i="35"/>
  <c r="R33" i="35"/>
  <c r="S33" i="35" s="1"/>
  <c r="S756" i="62"/>
  <c r="S755" i="62"/>
  <c r="R23" i="60"/>
  <c r="T23" i="60"/>
  <c r="G61" i="34"/>
  <c r="L23" i="60"/>
  <c r="N23" i="60"/>
  <c r="U23" i="60"/>
  <c r="S23" i="60"/>
  <c r="R59" i="34"/>
  <c r="S59" i="34" s="1"/>
  <c r="R48" i="34"/>
  <c r="S48" i="34" s="1"/>
  <c r="Q24" i="60"/>
  <c r="G34" i="35"/>
  <c r="G35" i="35" s="1"/>
  <c r="M34" i="34"/>
  <c r="H34" i="35"/>
  <c r="H35" i="35" s="1"/>
  <c r="I47" i="35"/>
  <c r="I52" i="35"/>
  <c r="R52" i="35" s="1"/>
  <c r="S52" i="35" s="1"/>
  <c r="M54" i="35"/>
  <c r="M53" i="35"/>
  <c r="O43" i="35"/>
  <c r="M43" i="35"/>
  <c r="O57" i="35"/>
  <c r="M57" i="35"/>
  <c r="O44" i="35"/>
  <c r="I50" i="35"/>
  <c r="O50" i="35"/>
  <c r="O59" i="35"/>
  <c r="T30" i="60" s="1"/>
  <c r="M59" i="35"/>
  <c r="R30" i="60" s="1"/>
  <c r="I59" i="35"/>
  <c r="N30" i="60" s="1"/>
  <c r="N35" i="34"/>
  <c r="R5" i="35"/>
  <c r="S5" i="35" s="1"/>
  <c r="Q100" i="58"/>
  <c r="R86" i="58"/>
  <c r="R28" i="34"/>
  <c r="S28" i="34" s="1"/>
  <c r="R33" i="34"/>
  <c r="S33" i="34" s="1"/>
  <c r="R32" i="34"/>
  <c r="S32" i="34" s="1"/>
  <c r="R31" i="34"/>
  <c r="S31" i="34" s="1"/>
  <c r="F60" i="35"/>
  <c r="N60" i="35"/>
  <c r="F49" i="35"/>
  <c r="M49" i="35"/>
  <c r="R21" i="60" s="1"/>
  <c r="J845" i="62"/>
  <c r="K757" i="62"/>
  <c r="L757" i="62" s="1"/>
  <c r="S759" i="62"/>
  <c r="K759" i="62"/>
  <c r="L759" i="62" s="1"/>
  <c r="N34" i="35"/>
  <c r="N35" i="35" s="1"/>
  <c r="Q34" i="34"/>
  <c r="C63" i="35"/>
  <c r="D35" i="35"/>
  <c r="F49" i="34"/>
  <c r="Q49" i="34"/>
  <c r="N49" i="34"/>
  <c r="K49" i="34"/>
  <c r="I49" i="34"/>
  <c r="F56" i="34"/>
  <c r="Q56" i="34"/>
  <c r="K56" i="34"/>
  <c r="P56" i="34"/>
  <c r="F51" i="34"/>
  <c r="P51" i="34"/>
  <c r="O51" i="34"/>
  <c r="F54" i="34"/>
  <c r="N54" i="34"/>
  <c r="O54" i="34"/>
  <c r="I54" i="34"/>
  <c r="F57" i="34"/>
  <c r="N57" i="34"/>
  <c r="I57" i="34"/>
  <c r="K57" i="34"/>
  <c r="L57" i="34"/>
  <c r="F53" i="34"/>
  <c r="M53" i="34"/>
  <c r="N53" i="34"/>
  <c r="F50" i="34"/>
  <c r="K25" i="60" s="1"/>
  <c r="K50" i="34"/>
  <c r="P25" i="60" s="1"/>
  <c r="Q50" i="34"/>
  <c r="V25" i="60" s="1"/>
  <c r="O29" i="60"/>
  <c r="F52" i="34"/>
  <c r="L29" i="60"/>
  <c r="Q52" i="34"/>
  <c r="F55" i="34"/>
  <c r="I4" i="60"/>
  <c r="J4" i="60" s="1"/>
  <c r="C5" i="60"/>
  <c r="O842" i="62"/>
  <c r="C842" i="62"/>
  <c r="O34" i="35"/>
  <c r="O35" i="35" s="1"/>
  <c r="G34" i="34"/>
  <c r="I34" i="35"/>
  <c r="I35" i="35" s="1"/>
  <c r="J34" i="34"/>
  <c r="N56" i="35"/>
  <c r="G56" i="35"/>
  <c r="P56" i="35"/>
  <c r="M56" i="35"/>
  <c r="Q56" i="35"/>
  <c r="I56" i="35"/>
  <c r="I48" i="35"/>
  <c r="G48" i="35"/>
  <c r="L24" i="60" s="1"/>
  <c r="O48" i="35"/>
  <c r="T24" i="60" s="1"/>
  <c r="K48" i="35"/>
  <c r="Q48" i="35"/>
  <c r="V24" i="60" s="1"/>
  <c r="N48" i="35"/>
  <c r="J46" i="35"/>
  <c r="M46" i="35"/>
  <c r="K46" i="35"/>
  <c r="G46" i="35"/>
  <c r="P46" i="35"/>
  <c r="Q45" i="35"/>
  <c r="I45" i="35"/>
  <c r="K45" i="35"/>
  <c r="J45" i="35"/>
  <c r="G45" i="35"/>
  <c r="P45" i="35"/>
  <c r="L58" i="35"/>
  <c r="G58" i="35"/>
  <c r="O58" i="35"/>
  <c r="K58" i="35"/>
  <c r="I58" i="35"/>
  <c r="P58" i="35"/>
  <c r="N51" i="35"/>
  <c r="L51" i="35"/>
  <c r="I51" i="35"/>
  <c r="Q51" i="35"/>
  <c r="I61" i="35"/>
  <c r="P61" i="35"/>
  <c r="G61" i="35"/>
  <c r="Q61" i="35"/>
  <c r="K758" i="62"/>
  <c r="L758" i="62" s="1"/>
  <c r="R758" i="62"/>
  <c r="S758" i="62" s="1"/>
  <c r="C843" i="62"/>
  <c r="R28" i="35"/>
  <c r="S28" i="35" s="1"/>
  <c r="R29" i="35"/>
  <c r="S29" i="35" s="1"/>
  <c r="R31" i="35"/>
  <c r="S31" i="35" s="1"/>
  <c r="R30" i="35"/>
  <c r="S30" i="35" s="1"/>
  <c r="R25" i="60" l="1"/>
  <c r="R58" i="34"/>
  <c r="S58" i="34" s="1"/>
  <c r="S24" i="60"/>
  <c r="U25" i="60"/>
  <c r="A788" i="62"/>
  <c r="C51" i="60"/>
  <c r="D51" i="60" s="1"/>
  <c r="W32" i="60"/>
  <c r="X32" i="60" s="1"/>
  <c r="C791" i="62"/>
  <c r="Q62" i="35"/>
  <c r="P24" i="60"/>
  <c r="R55" i="34"/>
  <c r="S55" i="34" s="1"/>
  <c r="R29" i="60"/>
  <c r="P61" i="34"/>
  <c r="R54" i="35"/>
  <c r="S54" i="35" s="1"/>
  <c r="R47" i="35"/>
  <c r="R24" i="60"/>
  <c r="R55" i="35"/>
  <c r="S55" i="35" s="1"/>
  <c r="N24" i="60"/>
  <c r="O61" i="34"/>
  <c r="G62" i="35"/>
  <c r="L34" i="60"/>
  <c r="P62" i="35"/>
  <c r="K61" i="34"/>
  <c r="Q61" i="34"/>
  <c r="N62" i="35"/>
  <c r="L62" i="35"/>
  <c r="O34" i="60"/>
  <c r="L61" i="34"/>
  <c r="R44" i="35"/>
  <c r="S44" i="35" s="1"/>
  <c r="I848" i="62"/>
  <c r="R54" i="34"/>
  <c r="S54" i="34" s="1"/>
  <c r="I61" i="34"/>
  <c r="N61" i="34"/>
  <c r="R60" i="35"/>
  <c r="S60" i="35" s="1"/>
  <c r="S4" i="60"/>
  <c r="S5" i="60" s="1"/>
  <c r="R50" i="35"/>
  <c r="S50" i="35" s="1"/>
  <c r="R57" i="35"/>
  <c r="S57" i="35" s="1"/>
  <c r="R43" i="35"/>
  <c r="S43" i="35" s="1"/>
  <c r="M34" i="60"/>
  <c r="U29" i="60"/>
  <c r="I62" i="35"/>
  <c r="R53" i="35"/>
  <c r="S53" i="35" s="1"/>
  <c r="J35" i="34"/>
  <c r="O4" i="60"/>
  <c r="O5" i="60" s="1"/>
  <c r="G35" i="34"/>
  <c r="L4" i="60"/>
  <c r="L5" i="60" s="1"/>
  <c r="E842" i="62"/>
  <c r="D15" i="60"/>
  <c r="D11" i="60"/>
  <c r="D2" i="60"/>
  <c r="D12" i="60"/>
  <c r="D10" i="60"/>
  <c r="D5" i="60"/>
  <c r="C48" i="60"/>
  <c r="D48" i="60" s="1"/>
  <c r="D9" i="60"/>
  <c r="D3" i="60"/>
  <c r="I5" i="60"/>
  <c r="J5" i="60" s="1"/>
  <c r="R49" i="34"/>
  <c r="P845" i="62"/>
  <c r="Q845" i="62" s="1"/>
  <c r="C53" i="53"/>
  <c r="K24" i="60"/>
  <c r="E843" i="62"/>
  <c r="D4" i="60"/>
  <c r="V29" i="60"/>
  <c r="R52" i="34"/>
  <c r="S52" i="34" s="1"/>
  <c r="K29" i="60"/>
  <c r="R53" i="34"/>
  <c r="S53" i="34" s="1"/>
  <c r="R51" i="34"/>
  <c r="S51" i="34" s="1"/>
  <c r="R56" i="34"/>
  <c r="S56" i="34" s="1"/>
  <c r="C845" i="62"/>
  <c r="R49" i="35"/>
  <c r="S49" i="35" s="1"/>
  <c r="K21" i="60"/>
  <c r="M35" i="34"/>
  <c r="R4" i="60"/>
  <c r="R5" i="60" s="1"/>
  <c r="W26" i="60"/>
  <c r="X26" i="60" s="1"/>
  <c r="M61" i="34"/>
  <c r="E846" i="62"/>
  <c r="P846" i="62"/>
  <c r="Q846" i="62" s="1"/>
  <c r="C67" i="53"/>
  <c r="J62" i="35"/>
  <c r="K62" i="35"/>
  <c r="H62" i="35"/>
  <c r="R61" i="35"/>
  <c r="S61" i="35" s="1"/>
  <c r="R51" i="35"/>
  <c r="S51" i="35" s="1"/>
  <c r="R58" i="35"/>
  <c r="S58" i="35" s="1"/>
  <c r="R45" i="35"/>
  <c r="S45" i="35" s="1"/>
  <c r="R46" i="35"/>
  <c r="S46" i="35" s="1"/>
  <c r="R48" i="35"/>
  <c r="S48" i="35" s="1"/>
  <c r="R56" i="35"/>
  <c r="S56" i="35" s="1"/>
  <c r="N29" i="60"/>
  <c r="T29" i="60"/>
  <c r="Q29" i="60"/>
  <c r="R34" i="34"/>
  <c r="S34" i="34" s="1"/>
  <c r="K4" i="60"/>
  <c r="F35" i="34"/>
  <c r="R59" i="35"/>
  <c r="S59" i="35" s="1"/>
  <c r="O848" i="62"/>
  <c r="A787" i="62"/>
  <c r="A785" i="62"/>
  <c r="A784" i="62"/>
  <c r="A783" i="62"/>
  <c r="A786" i="62"/>
  <c r="W23" i="60"/>
  <c r="X23" i="60" s="1"/>
  <c r="C47" i="53"/>
  <c r="P843" i="62"/>
  <c r="Q843" i="62" s="1"/>
  <c r="P842" i="62"/>
  <c r="Q842" i="62" s="1"/>
  <c r="C25" i="53"/>
  <c r="R760" i="62"/>
  <c r="S753" i="62"/>
  <c r="P841" i="62"/>
  <c r="J848" i="62"/>
  <c r="C10" i="53"/>
  <c r="C841" i="62"/>
  <c r="F62" i="35"/>
  <c r="R50" i="34"/>
  <c r="S50" i="34" s="1"/>
  <c r="R57" i="34"/>
  <c r="S57" i="34" s="1"/>
  <c r="Q35" i="34"/>
  <c r="V4" i="60"/>
  <c r="V5" i="60" s="1"/>
  <c r="R34" i="35"/>
  <c r="S34" i="35" s="1"/>
  <c r="F35" i="35"/>
  <c r="R35" i="35" s="1"/>
  <c r="S35" i="35" s="1"/>
  <c r="M62" i="35"/>
  <c r="O62" i="35"/>
  <c r="M4" i="60"/>
  <c r="M5" i="60" s="1"/>
  <c r="C41" i="53"/>
  <c r="D39" i="53"/>
  <c r="P29" i="60"/>
  <c r="S29" i="60"/>
  <c r="S34" i="60" s="1"/>
  <c r="L35" i="34"/>
  <c r="Q4" i="60"/>
  <c r="Q5" i="60" s="1"/>
  <c r="P35" i="34"/>
  <c r="U4" i="60"/>
  <c r="U5" i="60" s="1"/>
  <c r="W30" i="60"/>
  <c r="X30" i="60" s="1"/>
  <c r="N4" i="60"/>
  <c r="N5" i="60" s="1"/>
  <c r="T4" i="60"/>
  <c r="T5" i="60" s="1"/>
  <c r="D791" i="62"/>
  <c r="E788" i="62" s="1"/>
  <c r="I778" i="62"/>
  <c r="E870" i="62"/>
  <c r="E876" i="62"/>
  <c r="E874" i="62"/>
  <c r="E864" i="62"/>
  <c r="E877" i="62"/>
  <c r="F61" i="34"/>
  <c r="D40" i="53"/>
  <c r="S760" i="62"/>
  <c r="K760" i="62"/>
  <c r="L760" i="62" s="1"/>
  <c r="R42" i="35"/>
  <c r="S42" i="35" s="1"/>
  <c r="C793" i="62"/>
  <c r="R61" i="34" l="1"/>
  <c r="S61" i="34" s="1"/>
  <c r="V34" i="60"/>
  <c r="U34" i="60"/>
  <c r="R34" i="60"/>
  <c r="Q34" i="60"/>
  <c r="T34" i="60"/>
  <c r="P34" i="60"/>
  <c r="N34" i="60"/>
  <c r="W24" i="60"/>
  <c r="X24" i="60" s="1"/>
  <c r="F782" i="62"/>
  <c r="E782" i="62"/>
  <c r="J40" i="53"/>
  <c r="I40" i="53"/>
  <c r="F40" i="53"/>
  <c r="L40" i="53"/>
  <c r="O40" i="53"/>
  <c r="M40" i="53"/>
  <c r="G40" i="53"/>
  <c r="N40" i="53"/>
  <c r="H40" i="53"/>
  <c r="P40" i="53"/>
  <c r="K40" i="53"/>
  <c r="E40" i="53"/>
  <c r="W25" i="60"/>
  <c r="X25" i="60" s="1"/>
  <c r="G782" i="62"/>
  <c r="H782" i="62" s="1"/>
  <c r="C848" i="62"/>
  <c r="C850" i="62" s="1"/>
  <c r="E841" i="62"/>
  <c r="C12" i="53"/>
  <c r="D25" i="53"/>
  <c r="W4" i="60"/>
  <c r="X4" i="60" s="1"/>
  <c r="K5" i="60"/>
  <c r="E845" i="62"/>
  <c r="C52" i="53"/>
  <c r="W29" i="60"/>
  <c r="X29" i="60" s="1"/>
  <c r="D53" i="53"/>
  <c r="I783" i="62"/>
  <c r="I787" i="62"/>
  <c r="I784" i="62"/>
  <c r="I786" i="62"/>
  <c r="I782" i="62"/>
  <c r="E783" i="62"/>
  <c r="F783" i="62"/>
  <c r="F787" i="62"/>
  <c r="E787" i="62"/>
  <c r="E785" i="62"/>
  <c r="F786" i="62"/>
  <c r="E786" i="62"/>
  <c r="F784" i="62"/>
  <c r="E784" i="62"/>
  <c r="G39" i="53"/>
  <c r="G41" i="53" s="1"/>
  <c r="D41" i="53"/>
  <c r="O39" i="53"/>
  <c r="O41" i="53" s="1"/>
  <c r="H39" i="53"/>
  <c r="H41" i="53" s="1"/>
  <c r="P39" i="53"/>
  <c r="L39" i="53"/>
  <c r="L41" i="53" s="1"/>
  <c r="J39" i="53"/>
  <c r="J41" i="53" s="1"/>
  <c r="M39" i="53"/>
  <c r="M41" i="53" s="1"/>
  <c r="F39" i="53"/>
  <c r="F41" i="53" s="1"/>
  <c r="I39" i="53"/>
  <c r="I41" i="53" s="1"/>
  <c r="K39" i="53"/>
  <c r="E39" i="53"/>
  <c r="N39" i="53"/>
  <c r="R62" i="35"/>
  <c r="S62" i="35" s="1"/>
  <c r="C73" i="53"/>
  <c r="C16" i="53"/>
  <c r="D10" i="53"/>
  <c r="P848" i="62"/>
  <c r="D47" i="53"/>
  <c r="Q841" i="62"/>
  <c r="Q848" i="62" s="1"/>
  <c r="F788" i="62"/>
  <c r="R35" i="34"/>
  <c r="S35" i="34" s="1"/>
  <c r="D67" i="53"/>
  <c r="C66" i="53"/>
  <c r="W21" i="60"/>
  <c r="X21" i="60" s="1"/>
  <c r="K34" i="60"/>
  <c r="C46" i="53"/>
  <c r="C27" i="53"/>
  <c r="K41" i="53" l="1"/>
  <c r="Q40" i="53"/>
  <c r="R40" i="53" s="1"/>
  <c r="W34" i="60"/>
  <c r="X34" i="60" s="1"/>
  <c r="N41" i="53"/>
  <c r="P41" i="53"/>
  <c r="F789" i="62"/>
  <c r="E791" i="62"/>
  <c r="D27" i="53"/>
  <c r="D29" i="53" s="1"/>
  <c r="D73" i="53"/>
  <c r="G10" i="53"/>
  <c r="P10" i="53"/>
  <c r="O10" i="53"/>
  <c r="I10" i="53"/>
  <c r="J10" i="53"/>
  <c r="K10" i="53"/>
  <c r="M10" i="53"/>
  <c r="E10" i="53"/>
  <c r="H10" i="53"/>
  <c r="F10" i="53"/>
  <c r="N10" i="53"/>
  <c r="L10" i="53"/>
  <c r="Q39" i="53"/>
  <c r="R39" i="53" s="1"/>
  <c r="E41" i="53"/>
  <c r="C56" i="53"/>
  <c r="D52" i="53"/>
  <c r="W5" i="60"/>
  <c r="X5" i="60" s="1"/>
  <c r="P25" i="53"/>
  <c r="I25" i="53"/>
  <c r="L25" i="53"/>
  <c r="N25" i="53"/>
  <c r="M25" i="53"/>
  <c r="E25" i="53"/>
  <c r="J25" i="53"/>
  <c r="F25" i="53"/>
  <c r="K25" i="53"/>
  <c r="G25" i="53"/>
  <c r="O25" i="53"/>
  <c r="H25" i="53"/>
  <c r="C29" i="53"/>
  <c r="D46" i="53"/>
  <c r="C48" i="53"/>
  <c r="C68" i="53"/>
  <c r="D66" i="53"/>
  <c r="K67" i="53"/>
  <c r="M67" i="53"/>
  <c r="I67" i="53"/>
  <c r="N67" i="53"/>
  <c r="G67" i="53"/>
  <c r="L67" i="53"/>
  <c r="F67" i="53"/>
  <c r="H67" i="53"/>
  <c r="J67" i="53"/>
  <c r="P67" i="53"/>
  <c r="O67" i="53"/>
  <c r="E67" i="53"/>
  <c r="F47" i="53"/>
  <c r="N47" i="53"/>
  <c r="M47" i="53"/>
  <c r="P47" i="53"/>
  <c r="L47" i="53"/>
  <c r="O47" i="53"/>
  <c r="J47" i="53"/>
  <c r="K47" i="53"/>
  <c r="G47" i="53"/>
  <c r="H47" i="53"/>
  <c r="I47" i="53"/>
  <c r="E47" i="53"/>
  <c r="I789" i="62"/>
  <c r="F53" i="53"/>
  <c r="K53" i="53"/>
  <c r="I53" i="53"/>
  <c r="M53" i="53"/>
  <c r="P53" i="53"/>
  <c r="O53" i="53"/>
  <c r="N53" i="53"/>
  <c r="L53" i="53"/>
  <c r="H53" i="53"/>
  <c r="J53" i="53"/>
  <c r="G53" i="53"/>
  <c r="E53" i="53"/>
  <c r="D12" i="53"/>
  <c r="C72" i="53"/>
  <c r="C851" i="62"/>
  <c r="D851" i="62"/>
  <c r="E851" i="62" s="1"/>
  <c r="C882" i="62"/>
  <c r="C77" i="53" l="1"/>
  <c r="C8" i="60"/>
  <c r="C13" i="60" s="1"/>
  <c r="Q41" i="53"/>
  <c r="R41" i="53" s="1"/>
  <c r="Q53" i="53"/>
  <c r="R53" i="53" s="1"/>
  <c r="O12" i="53"/>
  <c r="O16" i="53" s="1"/>
  <c r="K12" i="53"/>
  <c r="K16" i="53" s="1"/>
  <c r="I12" i="53"/>
  <c r="I16" i="53" s="1"/>
  <c r="N12" i="53"/>
  <c r="M12" i="53"/>
  <c r="M16" i="53" s="1"/>
  <c r="G12" i="53"/>
  <c r="G16" i="53" s="1"/>
  <c r="J12" i="53"/>
  <c r="J16" i="53" s="1"/>
  <c r="E12" i="53"/>
  <c r="D72" i="53"/>
  <c r="D75" i="53" s="1"/>
  <c r="L12" i="53"/>
  <c r="L16" i="53" s="1"/>
  <c r="H12" i="53"/>
  <c r="H16" i="53" s="1"/>
  <c r="P12" i="53"/>
  <c r="F12" i="53"/>
  <c r="Q25" i="53"/>
  <c r="R25" i="53" s="1"/>
  <c r="L73" i="53"/>
  <c r="F73" i="53"/>
  <c r="F16" i="53"/>
  <c r="E73" i="53"/>
  <c r="Q10" i="53"/>
  <c r="E16" i="53"/>
  <c r="K73" i="53"/>
  <c r="I73" i="53"/>
  <c r="P73" i="53"/>
  <c r="P16" i="53"/>
  <c r="C75" i="53"/>
  <c r="Q47" i="53"/>
  <c r="R47" i="53" s="1"/>
  <c r="Q67" i="53"/>
  <c r="R67" i="53" s="1"/>
  <c r="L66" i="53"/>
  <c r="L68" i="53" s="1"/>
  <c r="M66" i="53"/>
  <c r="M68" i="53" s="1"/>
  <c r="D68" i="53"/>
  <c r="N66" i="53"/>
  <c r="N68" i="53" s="1"/>
  <c r="E66" i="53"/>
  <c r="G66" i="53"/>
  <c r="G68" i="53" s="1"/>
  <c r="I66" i="53"/>
  <c r="I68" i="53" s="1"/>
  <c r="F66" i="53"/>
  <c r="F68" i="53" s="1"/>
  <c r="O66" i="53"/>
  <c r="O68" i="53" s="1"/>
  <c r="J66" i="53"/>
  <c r="J68" i="53" s="1"/>
  <c r="H66" i="53"/>
  <c r="H68" i="53" s="1"/>
  <c r="P66" i="53"/>
  <c r="P68" i="53" s="1"/>
  <c r="K66" i="53"/>
  <c r="K68" i="53" s="1"/>
  <c r="D48" i="53"/>
  <c r="G46" i="53"/>
  <c r="G48" i="53" s="1"/>
  <c r="H46" i="53"/>
  <c r="H48" i="53" s="1"/>
  <c r="P46" i="53"/>
  <c r="P48" i="53" s="1"/>
  <c r="L46" i="53"/>
  <c r="L48" i="53" s="1"/>
  <c r="K46" i="53"/>
  <c r="K48" i="53" s="1"/>
  <c r="M46" i="53"/>
  <c r="M48" i="53" s="1"/>
  <c r="O46" i="53"/>
  <c r="O48" i="53" s="1"/>
  <c r="J46" i="53"/>
  <c r="J48" i="53" s="1"/>
  <c r="F46" i="53"/>
  <c r="F48" i="53" s="1"/>
  <c r="N46" i="53"/>
  <c r="N48" i="53" s="1"/>
  <c r="I46" i="53"/>
  <c r="I48" i="53" s="1"/>
  <c r="E46" i="53"/>
  <c r="D56" i="53"/>
  <c r="M52" i="53"/>
  <c r="M56" i="53" s="1"/>
  <c r="N52" i="53"/>
  <c r="N56" i="53" s="1"/>
  <c r="L52" i="53"/>
  <c r="L56" i="53" s="1"/>
  <c r="K52" i="53"/>
  <c r="K56" i="53" s="1"/>
  <c r="F52" i="53"/>
  <c r="F56" i="53" s="1"/>
  <c r="E52" i="53"/>
  <c r="H52" i="53"/>
  <c r="H56" i="53" s="1"/>
  <c r="J52" i="53"/>
  <c r="J56" i="53" s="1"/>
  <c r="O52" i="53"/>
  <c r="O56" i="53" s="1"/>
  <c r="I52" i="53"/>
  <c r="I56" i="53" s="1"/>
  <c r="G52" i="53"/>
  <c r="G56" i="53" s="1"/>
  <c r="P52" i="53"/>
  <c r="P56" i="53" s="1"/>
  <c r="N73" i="53"/>
  <c r="N16" i="53"/>
  <c r="H73" i="53"/>
  <c r="M73" i="53"/>
  <c r="J73" i="53"/>
  <c r="O73" i="53"/>
  <c r="G73" i="53"/>
  <c r="D16" i="53"/>
  <c r="G27" i="53"/>
  <c r="G29" i="53" s="1"/>
  <c r="M27" i="53"/>
  <c r="M29" i="53" s="1"/>
  <c r="O27" i="53"/>
  <c r="O29" i="53" s="1"/>
  <c r="I27" i="53"/>
  <c r="I29" i="53" s="1"/>
  <c r="F27" i="53"/>
  <c r="F29" i="53" s="1"/>
  <c r="J27" i="53"/>
  <c r="J29" i="53" s="1"/>
  <c r="K27" i="53"/>
  <c r="K29" i="53" s="1"/>
  <c r="P27" i="53"/>
  <c r="P29" i="53" s="1"/>
  <c r="L27" i="53"/>
  <c r="L29" i="53" s="1"/>
  <c r="H27" i="53"/>
  <c r="H29" i="53" s="1"/>
  <c r="N27" i="53"/>
  <c r="N29" i="53" s="1"/>
  <c r="E27" i="53"/>
  <c r="I8" i="60" l="1"/>
  <c r="J8" i="60" s="1"/>
  <c r="D8" i="60"/>
  <c r="M8" i="60"/>
  <c r="M13" i="60" s="1"/>
  <c r="M17" i="60" s="1"/>
  <c r="M36" i="60" s="1"/>
  <c r="M45" i="60" s="1"/>
  <c r="S8" i="60"/>
  <c r="S13" i="60" s="1"/>
  <c r="S17" i="60" s="1"/>
  <c r="S36" i="60" s="1"/>
  <c r="S45" i="60" s="1"/>
  <c r="N8" i="60"/>
  <c r="N13" i="60" s="1"/>
  <c r="N17" i="60" s="1"/>
  <c r="N36" i="60" s="1"/>
  <c r="N45" i="60" s="1"/>
  <c r="T8" i="60"/>
  <c r="T13" i="60" s="1"/>
  <c r="T17" i="60" s="1"/>
  <c r="T36" i="60" s="1"/>
  <c r="T45" i="60" s="1"/>
  <c r="Q52" i="53"/>
  <c r="R52" i="53" s="1"/>
  <c r="E56" i="53"/>
  <c r="Q56" i="53" s="1"/>
  <c r="R56" i="53" s="1"/>
  <c r="E48" i="53"/>
  <c r="Q48" i="53" s="1"/>
  <c r="R48" i="53" s="1"/>
  <c r="Q46" i="53"/>
  <c r="R46" i="53" s="1"/>
  <c r="V8" i="60"/>
  <c r="V13" i="60" s="1"/>
  <c r="V17" i="60" s="1"/>
  <c r="V36" i="60" s="1"/>
  <c r="V45" i="60" s="1"/>
  <c r="O8" i="60"/>
  <c r="O13" i="60" s="1"/>
  <c r="O17" i="60" s="1"/>
  <c r="O36" i="60" s="1"/>
  <c r="O45" i="60" s="1"/>
  <c r="Q8" i="60"/>
  <c r="Q13" i="60" s="1"/>
  <c r="Q17" i="60" s="1"/>
  <c r="Q36" i="60" s="1"/>
  <c r="Q45" i="60" s="1"/>
  <c r="Q16" i="53"/>
  <c r="R16" i="53" s="1"/>
  <c r="P72" i="53"/>
  <c r="P75" i="53" s="1"/>
  <c r="L72" i="53"/>
  <c r="L75" i="53" s="1"/>
  <c r="E72" i="53"/>
  <c r="E75" i="53" s="1"/>
  <c r="Q12" i="53"/>
  <c r="G72" i="53"/>
  <c r="G75" i="53" s="1"/>
  <c r="N72" i="53"/>
  <c r="N75" i="53" s="1"/>
  <c r="K72" i="53"/>
  <c r="K75" i="53" s="1"/>
  <c r="U8" i="60"/>
  <c r="U13" i="60" s="1"/>
  <c r="U17" i="60" s="1"/>
  <c r="U36" i="60" s="1"/>
  <c r="U45" i="60" s="1"/>
  <c r="Q27" i="53"/>
  <c r="R27" i="53" s="1"/>
  <c r="P8" i="60"/>
  <c r="P13" i="60" s="1"/>
  <c r="P17" i="60" s="1"/>
  <c r="P36" i="60" s="1"/>
  <c r="P45" i="60" s="1"/>
  <c r="Q66" i="53"/>
  <c r="R66" i="53" s="1"/>
  <c r="E68" i="53"/>
  <c r="Q68" i="53" s="1"/>
  <c r="R68" i="53" s="1"/>
  <c r="Q73" i="53"/>
  <c r="R73" i="53" s="1"/>
  <c r="R10" i="53"/>
  <c r="L8" i="60"/>
  <c r="L13" i="60" s="1"/>
  <c r="L17" i="60" s="1"/>
  <c r="L36" i="60" s="1"/>
  <c r="L45" i="60" s="1"/>
  <c r="R8" i="60"/>
  <c r="R13" i="60" s="1"/>
  <c r="R17" i="60" s="1"/>
  <c r="R36" i="60" s="1"/>
  <c r="R45" i="60" s="1"/>
  <c r="E29" i="53"/>
  <c r="Q29" i="53" s="1"/>
  <c r="R29" i="53" s="1"/>
  <c r="D13" i="60"/>
  <c r="I13" i="60"/>
  <c r="J13" i="60" s="1"/>
  <c r="C17" i="60"/>
  <c r="F72" i="53"/>
  <c r="F75" i="53" s="1"/>
  <c r="H72" i="53"/>
  <c r="H75" i="53" s="1"/>
  <c r="J72" i="53"/>
  <c r="J75" i="53" s="1"/>
  <c r="M72" i="53"/>
  <c r="M75" i="53" s="1"/>
  <c r="I72" i="53"/>
  <c r="I75" i="53" s="1"/>
  <c r="O72" i="53"/>
  <c r="O75" i="53" s="1"/>
  <c r="Q72" i="53" l="1"/>
  <c r="R12" i="53"/>
  <c r="K8" i="60"/>
  <c r="D28" i="60"/>
  <c r="D43" i="60"/>
  <c r="D25" i="60"/>
  <c r="D30" i="60"/>
  <c r="D34" i="60"/>
  <c r="D21" i="60"/>
  <c r="D22" i="60"/>
  <c r="D23" i="60"/>
  <c r="D27" i="60"/>
  <c r="D19" i="60"/>
  <c r="D31" i="60"/>
  <c r="D24" i="60"/>
  <c r="D29" i="60"/>
  <c r="I17" i="60"/>
  <c r="J17" i="60" s="1"/>
  <c r="D20" i="60"/>
  <c r="D33" i="60"/>
  <c r="D17" i="60"/>
  <c r="D32" i="60"/>
  <c r="D26" i="60"/>
  <c r="C36" i="60"/>
  <c r="D36" i="60" l="1"/>
  <c r="I36" i="60"/>
  <c r="J36" i="60" s="1"/>
  <c r="C45" i="60"/>
  <c r="W8" i="60"/>
  <c r="X8" i="60" s="1"/>
  <c r="K13" i="60"/>
  <c r="Q75" i="53"/>
  <c r="R75" i="53" s="1"/>
  <c r="R72" i="53"/>
  <c r="W13" i="60" l="1"/>
  <c r="X13" i="60" s="1"/>
  <c r="K17" i="60"/>
  <c r="D45" i="60"/>
  <c r="I45" i="60"/>
  <c r="J45" i="60" s="1"/>
  <c r="W17" i="60" l="1"/>
  <c r="X17" i="60" s="1"/>
  <c r="K36" i="60"/>
  <c r="K45" i="60" l="1"/>
  <c r="W45" i="60" s="1"/>
  <c r="X45" i="60" s="1"/>
  <c r="W36" i="60"/>
  <c r="X36" i="60" s="1"/>
</calcChain>
</file>

<file path=xl/comments1.xml><?xml version="1.0" encoding="utf-8"?>
<comments xmlns="http://schemas.openxmlformats.org/spreadsheetml/2006/main">
  <authors>
    <author>Jennifer Cloud</author>
  </authors>
  <commentList>
    <comment ref="G84" authorId="0">
      <text>
        <r>
          <rPr>
            <b/>
            <sz val="9"/>
            <color indexed="81"/>
            <rFont val="Tahoma"/>
            <family val="2"/>
          </rPr>
          <t>Jennifer Cloud:</t>
        </r>
        <r>
          <rPr>
            <sz val="9"/>
            <color indexed="81"/>
            <rFont val="Tahoma"/>
            <family val="2"/>
          </rPr>
          <t xml:space="preserve">
10122456 deleted 1 MIP from revenue in April for February stay</t>
        </r>
      </text>
    </comment>
    <comment ref="L207" authorId="0">
      <text>
        <r>
          <rPr>
            <b/>
            <sz val="9"/>
            <color indexed="81"/>
            <rFont val="Tahoma"/>
            <family val="2"/>
          </rPr>
          <t>Jennifer Cloud:</t>
        </r>
        <r>
          <rPr>
            <sz val="9"/>
            <color indexed="81"/>
            <rFont val="Tahoma"/>
            <family val="2"/>
          </rPr>
          <t xml:space="preserve">
Auto Insurance primary. Will have to receive a denial before Medicare can be billed.</t>
        </r>
      </text>
    </comment>
    <comment ref="C258" authorId="0">
      <text>
        <r>
          <rPr>
            <b/>
            <sz val="9"/>
            <color indexed="81"/>
            <rFont val="Tahoma"/>
            <family val="2"/>
          </rPr>
          <t>Jennifer Cloud:</t>
        </r>
        <r>
          <rPr>
            <sz val="9"/>
            <color indexed="81"/>
            <rFont val="Tahoma"/>
            <family val="2"/>
          </rPr>
          <t xml:space="preserve">
41 hours to Nov AR. Patient 10115723 orginally MIP. Changed to OBS in November. MIP days deducted from stats.
</t>
        </r>
      </text>
    </comment>
    <comment ref="D258" authorId="0">
      <text>
        <r>
          <rPr>
            <b/>
            <sz val="9"/>
            <color indexed="81"/>
            <rFont val="Tahoma"/>
            <family val="2"/>
          </rPr>
          <t>Jennifer Cloud:</t>
        </r>
        <r>
          <rPr>
            <sz val="9"/>
            <color indexed="81"/>
            <rFont val="Tahoma"/>
            <family val="2"/>
          </rPr>
          <t xml:space="preserve">
1 hour of observation for 10117184 keyed to Dec 2016 AR</t>
        </r>
      </text>
    </comment>
    <comment ref="G258" authorId="0">
      <text>
        <r>
          <rPr>
            <b/>
            <sz val="9"/>
            <color indexed="81"/>
            <rFont val="Tahoma"/>
            <family val="2"/>
          </rPr>
          <t>Jennifer Cloud:</t>
        </r>
        <r>
          <rPr>
            <sz val="9"/>
            <color indexed="81"/>
            <rFont val="Tahoma"/>
            <family val="2"/>
          </rPr>
          <t xml:space="preserve">
1 hour charged to March 2017 AR
Plus 24 hours 10122456 AR corrected in April </t>
        </r>
      </text>
    </comment>
    <comment ref="H258" authorId="0">
      <text>
        <r>
          <rPr>
            <b/>
            <sz val="9"/>
            <color indexed="81"/>
            <rFont val="Tahoma"/>
            <family val="2"/>
          </rPr>
          <t>Jennifer Cloud:</t>
        </r>
        <r>
          <rPr>
            <sz val="9"/>
            <color indexed="81"/>
            <rFont val="Tahoma"/>
            <family val="2"/>
          </rPr>
          <t xml:space="preserve">
1 hour for 10123559 on april 2017 AR</t>
        </r>
      </text>
    </comment>
    <comment ref="I258" authorId="0">
      <text>
        <r>
          <rPr>
            <b/>
            <sz val="9"/>
            <color indexed="81"/>
            <rFont val="Tahoma"/>
            <family val="2"/>
          </rPr>
          <t>Jennifer Cloud:</t>
        </r>
        <r>
          <rPr>
            <sz val="9"/>
            <color indexed="81"/>
            <rFont val="Tahoma"/>
            <family val="2"/>
          </rPr>
          <t xml:space="preserve">
131 observation hours keyed to May 2017 AR
</t>
        </r>
      </text>
    </comment>
  </commentList>
</comments>
</file>

<file path=xl/sharedStrings.xml><?xml version="1.0" encoding="utf-8"?>
<sst xmlns="http://schemas.openxmlformats.org/spreadsheetml/2006/main" count="5283" uniqueCount="1153">
  <si>
    <t xml:space="preserve">                           ***  TOTAL</t>
  </si>
  <si>
    <t xml:space="preserve">          MAINT CONTRACTS</t>
  </si>
  <si>
    <t xml:space="preserve">          REPAIRS &amp; MAINT.</t>
  </si>
  <si>
    <t xml:space="preserve">          OTHER LEASES/RENTALS</t>
  </si>
  <si>
    <t xml:space="preserve">          OTHER OPERATING EXP</t>
  </si>
  <si>
    <t xml:space="preserve">          TRAVEL AUTO RENTAL</t>
  </si>
  <si>
    <t xml:space="preserve">          TRAVEL</t>
  </si>
  <si>
    <t xml:space="preserve">          MEALS &amp; ENTERTAIN</t>
  </si>
  <si>
    <t xml:space="preserve">          EDUCATION &amp; TRAINING</t>
  </si>
  <si>
    <t xml:space="preserve">          MSHIPS PROF DUES SUB</t>
  </si>
  <si>
    <t xml:space="preserve">          OTHER PURCHASE SERV.</t>
  </si>
  <si>
    <t xml:space="preserve">          CONSULTING SERVICES</t>
  </si>
  <si>
    <t xml:space="preserve">          RECRUITING FEES</t>
  </si>
  <si>
    <t xml:space="preserve">          CONTRACT LABOR</t>
  </si>
  <si>
    <t xml:space="preserve">          INVENTORY VARIANCE</t>
  </si>
  <si>
    <t xml:space="preserve">          FORMS</t>
  </si>
  <si>
    <t xml:space="preserve">          MINOR EQUIP. &lt; $1000</t>
  </si>
  <si>
    <t xml:space="preserve">          DEPART. SUPPLIES</t>
  </si>
  <si>
    <t xml:space="preserve">          STATE UNEMPLOY TAX</t>
  </si>
  <si>
    <t xml:space="preserve">          FICA</t>
  </si>
  <si>
    <t xml:space="preserve">          BONUSES</t>
  </si>
  <si>
    <t xml:space="preserve">          VACAT/HOLIDAY/SICK</t>
  </si>
  <si>
    <t xml:space="preserve">          SALARY &amp; WAGES</t>
  </si>
  <si>
    <t>MED-SW/DAYS</t>
  </si>
  <si>
    <t xml:space="preserve">       MED/SURG (UNIT/FLOOR 1)</t>
  </si>
  <si>
    <t>EXPENSES</t>
  </si>
  <si>
    <t xml:space="preserve">          ACUTE</t>
  </si>
  <si>
    <t xml:space="preserve">          I/P RR-ACUTE-PRIVATE</t>
  </si>
  <si>
    <t xml:space="preserve">          I/P RR-ACUTE-HMO/PPO</t>
  </si>
  <si>
    <t xml:space="preserve">          I/P RR-ACUTE-COMM</t>
  </si>
  <si>
    <t xml:space="preserve">          I/P RR-ACUTE-W/C</t>
  </si>
  <si>
    <t xml:space="preserve">          I/P RR-ACUTE-BC</t>
  </si>
  <si>
    <t xml:space="preserve">          I/P RR-ACUTE-MCAID</t>
  </si>
  <si>
    <t xml:space="preserve">          I/P RR-ACUTE-MCARE</t>
  </si>
  <si>
    <t>MED-SURG/DAYS</t>
  </si>
  <si>
    <t>REVENUE</t>
  </si>
  <si>
    <t>Med/Surg days</t>
  </si>
  <si>
    <t>TOTAL</t>
  </si>
  <si>
    <t>SEPT</t>
  </si>
  <si>
    <t>AUG</t>
  </si>
  <si>
    <t>JUL</t>
  </si>
  <si>
    <t>JUN</t>
  </si>
  <si>
    <t>MAY</t>
  </si>
  <si>
    <t>APR</t>
  </si>
  <si>
    <t>MAR</t>
  </si>
  <si>
    <t>FEB</t>
  </si>
  <si>
    <t>JAN</t>
  </si>
  <si>
    <t>DEC</t>
  </si>
  <si>
    <t>NOV</t>
  </si>
  <si>
    <t>OCT</t>
  </si>
  <si>
    <t>TOTAL SWING DAYS:</t>
  </si>
  <si>
    <t xml:space="preserve">       SWING BED UNIT</t>
  </si>
  <si>
    <t xml:space="preserve">          SWING BED UNIT</t>
  </si>
  <si>
    <t xml:space="preserve">          OTHER PURCHASE SERV</t>
  </si>
  <si>
    <t xml:space="preserve">          MSHIP PROF DUES SUBS</t>
  </si>
  <si>
    <t xml:space="preserve"> </t>
  </si>
  <si>
    <t>STATISTICAL TREND ANALYSIS</t>
  </si>
  <si>
    <t>STAT #</t>
  </si>
  <si>
    <t>Oct</t>
  </si>
  <si>
    <t>Nov</t>
  </si>
  <si>
    <t>Dec</t>
  </si>
  <si>
    <t>Jan</t>
  </si>
  <si>
    <t>Feb</t>
  </si>
  <si>
    <t>Mar</t>
  </si>
  <si>
    <t>Apr</t>
  </si>
  <si>
    <t>May</t>
  </si>
  <si>
    <t>June</t>
  </si>
  <si>
    <t>July</t>
  </si>
  <si>
    <t>August</t>
  </si>
  <si>
    <t>Sept</t>
  </si>
  <si>
    <t>TOTALS</t>
  </si>
  <si>
    <t>INPATIENT DAYS BY UNIT:</t>
  </si>
  <si>
    <t>PD001</t>
  </si>
  <si>
    <t>ICU days</t>
  </si>
  <si>
    <t>PD003</t>
  </si>
  <si>
    <t>TOTAL DAYS:</t>
  </si>
  <si>
    <t>PD002</t>
  </si>
  <si>
    <t>GRAND TOTAL</t>
  </si>
  <si>
    <t>MED/SURG DAYS BY PAYOR:</t>
  </si>
  <si>
    <t>Medicare days</t>
  </si>
  <si>
    <t>Medicaid days</t>
  </si>
  <si>
    <t>Medicare HMO days</t>
  </si>
  <si>
    <t>Medicaid HMO days</t>
  </si>
  <si>
    <t>Blue Cross Blue Shield days</t>
  </si>
  <si>
    <t>Self-Pay days</t>
  </si>
  <si>
    <t>Other Misc. Insurance days</t>
  </si>
  <si>
    <t>TOTAL MED/SURG DAYS:</t>
  </si>
  <si>
    <t>ICU DAYS BY PAYOR:</t>
  </si>
  <si>
    <t>TOTAL ICU DAYS:</t>
  </si>
  <si>
    <t>INPT DAYS BY PAYOR:</t>
  </si>
  <si>
    <t>TOTAL INPT DAYS:</t>
  </si>
  <si>
    <t>INPT DAYS FC PERCENTAGE:</t>
  </si>
  <si>
    <t>TOTAL ACUTE INPT DAYS:</t>
  </si>
  <si>
    <t>INPT OCCUPANCY PERCENTAGE:</t>
  </si>
  <si>
    <t>Grand Total Patient Days</t>
  </si>
  <si>
    <t>TOTAL OCCUPANCY PERCENTAGE</t>
  </si>
  <si>
    <t>INPT ADMITS BY PAYOR</t>
  </si>
  <si>
    <t xml:space="preserve">Medicare </t>
  </si>
  <si>
    <t xml:space="preserve">Medicaid </t>
  </si>
  <si>
    <t>Medicare HMO</t>
  </si>
  <si>
    <t xml:space="preserve">Medicaid HMO  </t>
  </si>
  <si>
    <t xml:space="preserve">Blue Cross Blue Shield </t>
  </si>
  <si>
    <t>Self-Pay</t>
  </si>
  <si>
    <t xml:space="preserve">Other Misc. Insurance   </t>
  </si>
  <si>
    <t>TOTAL ADMITS:</t>
  </si>
  <si>
    <t>TOTAL SWING ADMITS:</t>
  </si>
  <si>
    <t>INPT DISCHARGES BY PAYOR</t>
  </si>
  <si>
    <t>Medicare</t>
  </si>
  <si>
    <t>Medicaid</t>
  </si>
  <si>
    <t>Medicaid HMO</t>
  </si>
  <si>
    <t>Blue Cross Blue Shield</t>
  </si>
  <si>
    <t>Other Misc. Insurance</t>
  </si>
  <si>
    <t>TOTAL INPT DISCHARGES:</t>
  </si>
  <si>
    <t>TOTAL SWING DISC:</t>
  </si>
  <si>
    <t>DEATHS BY PAYOR</t>
  </si>
  <si>
    <t>TOTAL INPT DEATHS:</t>
  </si>
  <si>
    <t>Total Swing Deaths:</t>
  </si>
  <si>
    <t>Grand Total</t>
  </si>
  <si>
    <t>INPT DC DAYS BY PAYOR</t>
  </si>
  <si>
    <t>TOTAL INPT DC DAYS:</t>
  </si>
  <si>
    <t>TOTAL SWING DC DAYS:</t>
  </si>
  <si>
    <t>INPT AVG LOS  BY PAYOR</t>
  </si>
  <si>
    <t>TOTAL INPT AVG LOS:</t>
  </si>
  <si>
    <t>TOTAL SWING AVG LOS:</t>
  </si>
  <si>
    <t>ADC ACUTE</t>
  </si>
  <si>
    <t>ADC SWING</t>
  </si>
  <si>
    <t>ADC TOTAL</t>
  </si>
  <si>
    <t>SWING DAYS BY PAYOR</t>
  </si>
  <si>
    <t xml:space="preserve">Medicare days                </t>
  </si>
  <si>
    <t xml:space="preserve">Medicaid days                  </t>
  </si>
  <si>
    <t>SWING DAYS FC PERCENTAGE</t>
  </si>
  <si>
    <t xml:space="preserve">Medicare days                 </t>
  </si>
  <si>
    <t xml:space="preserve">Medicaid days                 </t>
  </si>
  <si>
    <t>SWING ADMITS BY PAY</t>
  </si>
  <si>
    <t>SWING DISCHARGES</t>
  </si>
  <si>
    <t>TOTAL DISCHARGES:</t>
  </si>
  <si>
    <t>SWING DC DAYS</t>
  </si>
  <si>
    <t>TOTAL DC DAYS:</t>
  </si>
  <si>
    <t>OBV ADMITS BY PAYOR</t>
  </si>
  <si>
    <t>---</t>
  </si>
  <si>
    <t>Other</t>
  </si>
  <si>
    <t>TOTAL OBV ADMITS:</t>
  </si>
  <si>
    <t>CHARGED OBV HOURS</t>
  </si>
  <si>
    <t>OBHR</t>
  </si>
  <si>
    <t>TOTAL OBV DAYS</t>
  </si>
  <si>
    <t>OBPD</t>
  </si>
  <si>
    <t>CHARGED MCARE OBV HOURS</t>
  </si>
  <si>
    <t>TOTAL MCARE OBV DAYS</t>
  </si>
  <si>
    <t>OBV TO INPT TRANSFERS</t>
  </si>
  <si>
    <t>Total Obv to Inpt transfers</t>
  </si>
  <si>
    <t>OUTPT VISITS BY TYPE</t>
  </si>
  <si>
    <t>Ancillary visits</t>
  </si>
  <si>
    <t>TOTAL HOSPITAL OUTPT VISITS</t>
  </si>
  <si>
    <t>ANCILLARY VISITS BY TYPE</t>
  </si>
  <si>
    <t>Medical Outpatient (MOP)</t>
  </si>
  <si>
    <t>Physical Therapy (PHY)</t>
  </si>
  <si>
    <t>Surgery Outpatient (SOP)</t>
  </si>
  <si>
    <t>Reference Lab (REF)</t>
  </si>
  <si>
    <t>Industrial Account (IND)</t>
  </si>
  <si>
    <t>Recurring Outpatient (ROC)</t>
  </si>
  <si>
    <t>TOTAL ANCILLARY VISITS:</t>
  </si>
  <si>
    <t>PATIENT REGISTRATION</t>
  </si>
  <si>
    <t>ER Registration Clerks</t>
  </si>
  <si>
    <t>PT341</t>
  </si>
  <si>
    <t>Business Office Employees</t>
  </si>
  <si>
    <t>PT343</t>
  </si>
  <si>
    <t>Front Office Registration</t>
  </si>
  <si>
    <t>PT345</t>
  </si>
  <si>
    <t>OUTPT REGISTR BY PAYOR</t>
  </si>
  <si>
    <t>TOTAL HOSPITAL OUTPT REGISTR:</t>
  </si>
  <si>
    <t>OUTPT REGISTR BY % PAYOR</t>
  </si>
  <si>
    <t>Medicare LMRP revenue write-off</t>
  </si>
  <si>
    <t>Inpatient 51062000</t>
  </si>
  <si>
    <t>Outpatient 51064000</t>
  </si>
  <si>
    <t>TOTAL HOSPITAL LMRP'S</t>
  </si>
  <si>
    <t>Reference Lab revenue</t>
  </si>
  <si>
    <t>ER - O/P VISITS</t>
  </si>
  <si>
    <t>OPVER</t>
  </si>
  <si>
    <t>ER - I/P ADMITS</t>
  </si>
  <si>
    <t>ADER</t>
  </si>
  <si>
    <t>ER TOTAL VISITS</t>
  </si>
  <si>
    <t># ER DOA's</t>
  </si>
  <si>
    <t># ER AMA's</t>
  </si>
  <si>
    <t># ER transfers</t>
  </si>
  <si>
    <t># ER EMS</t>
  </si>
  <si>
    <t>SS - # LOC applications</t>
  </si>
  <si>
    <t>SS - # ECF placements</t>
  </si>
  <si>
    <t>SS - # Home Health</t>
  </si>
  <si>
    <t>SS - # Other placements</t>
  </si>
  <si>
    <t>SS - # Tranfer to Another Facility</t>
  </si>
  <si>
    <t>SS - # Deaths</t>
  </si>
  <si>
    <t>SS - # Signed out AMA</t>
  </si>
  <si>
    <t># Patient meals</t>
  </si>
  <si>
    <t>PM</t>
  </si>
  <si>
    <t># Nonpatient meals</t>
  </si>
  <si>
    <t>NPM</t>
  </si>
  <si>
    <t># Total dietary meals served</t>
  </si>
  <si>
    <t>Café revenue-51804000</t>
  </si>
  <si>
    <t>#LBS OF LAUNDRY</t>
  </si>
  <si>
    <t>LBSL</t>
  </si>
  <si>
    <t>PT - I/P PROC</t>
  </si>
  <si>
    <t>IP082</t>
  </si>
  <si>
    <t>PT - O/P PROC</t>
  </si>
  <si>
    <t>OP082</t>
  </si>
  <si>
    <t>PT TOTAL</t>
  </si>
  <si>
    <t>SPEECH - I/P PROC</t>
  </si>
  <si>
    <t>IP087</t>
  </si>
  <si>
    <t>SPEECH -OutPatient</t>
  </si>
  <si>
    <t>OP087</t>
  </si>
  <si>
    <t xml:space="preserve">Total </t>
  </si>
  <si>
    <t>OCCP THERAPY</t>
  </si>
  <si>
    <t>IP086</t>
  </si>
  <si>
    <t>OP086</t>
  </si>
  <si>
    <t>OT Total</t>
  </si>
  <si>
    <t># inpt surgeries</t>
  </si>
  <si>
    <t>IPSUR</t>
  </si>
  <si>
    <t># outpt surgeries</t>
  </si>
  <si>
    <t>OPSUR</t>
  </si>
  <si>
    <t>Total Surgeries</t>
  </si>
  <si>
    <t># inpt procedures</t>
  </si>
  <si>
    <t>IPPRD</t>
  </si>
  <si>
    <t># outpt procedures</t>
  </si>
  <si>
    <t>OPPRD</t>
  </si>
  <si>
    <t>Total procedures</t>
  </si>
  <si>
    <t xml:space="preserve">ENDOSCOPIES - I/P </t>
  </si>
  <si>
    <t>IP016</t>
  </si>
  <si>
    <t>ENDOSCOPIES - O/P</t>
  </si>
  <si>
    <t>OP016</t>
  </si>
  <si>
    <t>ENDOSCOPIES TOTAL</t>
  </si>
  <si>
    <t>Total all inpt surgeries</t>
  </si>
  <si>
    <t>Total all outpt surgeries</t>
  </si>
  <si>
    <t>Total all surgeries</t>
  </si>
  <si>
    <t># surgery minutes</t>
  </si>
  <si>
    <t>SURMN</t>
  </si>
  <si>
    <t># Major surgeries</t>
  </si>
  <si>
    <t xml:space="preserve"> ---</t>
  </si>
  <si>
    <t># Minor surgeries</t>
  </si>
  <si>
    <t xml:space="preserve">RECOVERY - I/P </t>
  </si>
  <si>
    <t>IP012</t>
  </si>
  <si>
    <t>RECOVERY - O/P</t>
  </si>
  <si>
    <t>OP012</t>
  </si>
  <si>
    <t>RECOVERY TOTAL</t>
  </si>
  <si>
    <t># Recovery minutes</t>
  </si>
  <si>
    <t>MNREC</t>
  </si>
  <si>
    <t># Anesthesia cases</t>
  </si>
  <si>
    <t>IP013</t>
  </si>
  <si>
    <t># Anesthesia minutes</t>
  </si>
  <si>
    <t>OP013</t>
  </si>
  <si>
    <t>IV DOSES - I/P</t>
  </si>
  <si>
    <t>IP022</t>
  </si>
  <si>
    <t>IV DOSES - O/P</t>
  </si>
  <si>
    <t>IV022</t>
  </si>
  <si>
    <t>IV DOSES TOTAL</t>
  </si>
  <si>
    <t>PHARMACY DOSES - I/P</t>
  </si>
  <si>
    <t>IP021</t>
  </si>
  <si>
    <t>PHARMACY DOSES - O/P</t>
  </si>
  <si>
    <t>PS021</t>
  </si>
  <si>
    <t>PHARMACY DOSES TOTAL</t>
  </si>
  <si>
    <t>CENTRAL SUPPLY - I/P PROC</t>
  </si>
  <si>
    <t>IP041</t>
  </si>
  <si>
    <t>CENTRAL SUPPLY - 0/P PROC</t>
  </si>
  <si>
    <t>OP041</t>
  </si>
  <si>
    <t>CENTRAL SUPPLY - TOTAL</t>
  </si>
  <si>
    <t>LAB - I/P PROCEDURES</t>
  </si>
  <si>
    <t>IP031</t>
  </si>
  <si>
    <t>LAB - O/P PROCEDURES</t>
  </si>
  <si>
    <t>OP031</t>
  </si>
  <si>
    <t>TOTAL LAB</t>
  </si>
  <si>
    <t>PATH - I/P PROC</t>
  </si>
  <si>
    <t>IP032</t>
  </si>
  <si>
    <t>PATH - O/P PROC</t>
  </si>
  <si>
    <t>OP032</t>
  </si>
  <si>
    <t>TOTAL PATH</t>
  </si>
  <si>
    <t>BLOOD UNITS</t>
  </si>
  <si>
    <t>BB033</t>
  </si>
  <si>
    <t>ABG - I/P PROC</t>
  </si>
  <si>
    <t>IP073</t>
  </si>
  <si>
    <t>ABG - O/P PROC</t>
  </si>
  <si>
    <t>OP073</t>
  </si>
  <si>
    <t>ABG TOTAL</t>
  </si>
  <si>
    <t>EKG - I/P PROCEDURES</t>
  </si>
  <si>
    <t>IP051</t>
  </si>
  <si>
    <t>EKG -O/P PROCEDURES</t>
  </si>
  <si>
    <t>OP051</t>
  </si>
  <si>
    <t>EKG TOTAL</t>
  </si>
  <si>
    <t>EEG - I/P PROCEDURES</t>
  </si>
  <si>
    <t>IP052</t>
  </si>
  <si>
    <t>EEG - O/P PROCEDURES</t>
  </si>
  <si>
    <t>OP052</t>
  </si>
  <si>
    <t>EEG TOTAL</t>
  </si>
  <si>
    <t>RT - I/P PROC</t>
  </si>
  <si>
    <t>IP071</t>
  </si>
  <si>
    <t>RT - O/P PROC</t>
  </si>
  <si>
    <t>OP071</t>
  </si>
  <si>
    <t>RT TOTAL</t>
  </si>
  <si>
    <t>SLEEP LAB</t>
  </si>
  <si>
    <t>XRAY - I/P PROC</t>
  </si>
  <si>
    <t>IP061</t>
  </si>
  <si>
    <t>XRAY - O/P PROC</t>
  </si>
  <si>
    <t>OP061</t>
  </si>
  <si>
    <t>XRAY TOTAL</t>
  </si>
  <si>
    <t>ULTRASOUND - I/P PROC</t>
  </si>
  <si>
    <t>IP062</t>
  </si>
  <si>
    <t>ULTRASOUND - O/P PROC</t>
  </si>
  <si>
    <t>OP062</t>
  </si>
  <si>
    <t>ULTRASOUND TOTAL</t>
  </si>
  <si>
    <t>CT SCAN - I/P PROC</t>
  </si>
  <si>
    <t>IP063</t>
  </si>
  <si>
    <t>CT SCAN - O/P PROC</t>
  </si>
  <si>
    <t>OP063</t>
  </si>
  <si>
    <t>CT SCAN TOTAL</t>
  </si>
  <si>
    <t>MRI - I/P PROC</t>
  </si>
  <si>
    <t>IP064</t>
  </si>
  <si>
    <t>MRI - O/P PROC</t>
  </si>
  <si>
    <t>OP064</t>
  </si>
  <si>
    <t>MRI TOTAL</t>
  </si>
  <si>
    <t>Mamo- I/P PROC</t>
  </si>
  <si>
    <t>IP066</t>
  </si>
  <si>
    <t>Mamo- O/P PROC</t>
  </si>
  <si>
    <t>OP066</t>
  </si>
  <si>
    <t>Nuclear Medicine</t>
  </si>
  <si>
    <t>NM065</t>
  </si>
  <si>
    <t>Wound Care-I/P PROC</t>
  </si>
  <si>
    <t>IP089</t>
  </si>
  <si>
    <t>Wound Care-O/P PROC</t>
  </si>
  <si>
    <t>OP089</t>
  </si>
  <si>
    <t>Wound Care - TOTAL</t>
  </si>
  <si>
    <t>NM Stress-I/P PROC</t>
  </si>
  <si>
    <t>IPNM</t>
  </si>
  <si>
    <t>NM Stress-O/P PROC</t>
  </si>
  <si>
    <t>OPNM</t>
  </si>
  <si>
    <t>NM Stress - TOTAL</t>
  </si>
  <si>
    <t>MOB PHYSICIAN</t>
  </si>
  <si>
    <t>Mitchum</t>
  </si>
  <si>
    <t>MOB PHYSICIAN - TOTAL</t>
  </si>
  <si>
    <t>PT097</t>
  </si>
  <si>
    <t>Acute and Swing Bed</t>
  </si>
  <si>
    <t>Admission by Physician</t>
  </si>
  <si>
    <t>Phy #</t>
  </si>
  <si>
    <t>Bailey</t>
  </si>
  <si>
    <t>Ismail</t>
  </si>
  <si>
    <t>Yunus</t>
  </si>
  <si>
    <t>Welch</t>
  </si>
  <si>
    <t>Hawkins</t>
  </si>
  <si>
    <t>ICU DAYS</t>
  </si>
  <si>
    <t xml:space="preserve">       INTENSIVE/CORONARY CARE UNIT</t>
  </si>
  <si>
    <t>ICU/DAYS</t>
  </si>
  <si>
    <t xml:space="preserve">          ICU/CCU</t>
  </si>
  <si>
    <t>OBSERVATION</t>
  </si>
  <si>
    <t xml:space="preserve">       OPERATING ROOM</t>
  </si>
  <si>
    <t>OR/SUR</t>
  </si>
  <si>
    <t>OB/HRS</t>
  </si>
  <si>
    <t xml:space="preserve">          I/P AR-ACUTE-MCARE</t>
  </si>
  <si>
    <t xml:space="preserve">          I/P AR-ACUTE-MCAID</t>
  </si>
  <si>
    <t xml:space="preserve">          I/P AR-ACUTE-HMO/PPO</t>
  </si>
  <si>
    <t xml:space="preserve">          I/P AR-ACUTE-B/C</t>
  </si>
  <si>
    <t xml:space="preserve">          I/P AR-ACUTE-COMM</t>
  </si>
  <si>
    <t xml:space="preserve">          I/P AR-ACUTE-SP</t>
  </si>
  <si>
    <t xml:space="preserve">          O/P AR-ACUTE-MCARE</t>
  </si>
  <si>
    <t xml:space="preserve">          O/P AR-ACUTE-MCAID</t>
  </si>
  <si>
    <t xml:space="preserve">          O/P AR-ACUTE-HMO/PPO</t>
  </si>
  <si>
    <t xml:space="preserve">          O/P AR-ACUTE-COMM</t>
  </si>
  <si>
    <t xml:space="preserve">          O/P AR-ACUTE-SP</t>
  </si>
  <si>
    <t xml:space="preserve">          OTHER EMPLOYEE BEN</t>
  </si>
  <si>
    <t xml:space="preserve">          INSTRUMENTS</t>
  </si>
  <si>
    <t xml:space="preserve">          REBATES</t>
  </si>
  <si>
    <t xml:space="preserve">          BEEPERS/CELL PHONES</t>
  </si>
  <si>
    <t xml:space="preserve">          OTHER OPERATING EXP.</t>
  </si>
  <si>
    <t>ACUTE - OBSERVATION</t>
  </si>
  <si>
    <t>OP - OBSERVATION</t>
  </si>
  <si>
    <t xml:space="preserve">          I/P AR-ACUTE-W/C</t>
  </si>
  <si>
    <t xml:space="preserve">          I/P AR-ACUTE-PRIVATE</t>
  </si>
  <si>
    <t xml:space="preserve">          O/P AR-ACUTE-B/C</t>
  </si>
  <si>
    <t xml:space="preserve">          O/P AR-ACUTE-W/C</t>
  </si>
  <si>
    <t xml:space="preserve">          O/P AR-ACUTE-PRIVATE</t>
  </si>
  <si>
    <t xml:space="preserve">       OBSERVATION</t>
  </si>
  <si>
    <t>ACUTE - OPERATING ROOM</t>
  </si>
  <si>
    <t>SWING - OPERATING ROOM</t>
  </si>
  <si>
    <t>OP - OPERATING ROOM</t>
  </si>
  <si>
    <t>RECOVERY</t>
  </si>
  <si>
    <t>DAY SURGERY</t>
  </si>
  <si>
    <t>ENDOSCOPY</t>
  </si>
  <si>
    <t>REC/REC</t>
  </si>
  <si>
    <t>DAY/# SUR</t>
  </si>
  <si>
    <t>ENDO/#</t>
  </si>
  <si>
    <t xml:space="preserve">       RECOVERY</t>
  </si>
  <si>
    <t xml:space="preserve">          OXYGEN &amp; OTHER GASES</t>
  </si>
  <si>
    <t>ACUTE - RECOVERY</t>
  </si>
  <si>
    <t>SWING - RECOVERY</t>
  </si>
  <si>
    <t>OP - RECOVERY</t>
  </si>
  <si>
    <t xml:space="preserve">          O/P AR-ACUTE-BC</t>
  </si>
  <si>
    <t xml:space="preserve">       ANESTHESIA SERVICES</t>
  </si>
  <si>
    <t>ANEST/MIN</t>
  </si>
  <si>
    <t>`</t>
  </si>
  <si>
    <t xml:space="preserve">          CONTRACT LABOR-OTHER</t>
  </si>
  <si>
    <t>ACUTE - ANESTHESIA</t>
  </si>
  <si>
    <t>SWING - ANESTHESIA</t>
  </si>
  <si>
    <t>OP - ANESTHESIA</t>
  </si>
  <si>
    <t xml:space="preserve">          OTHER PURCHASE SERVICES</t>
  </si>
  <si>
    <t xml:space="preserve">          OTHER LEASES RENTRALS</t>
  </si>
  <si>
    <t xml:space="preserve">       SURGIDAY CENTER</t>
  </si>
  <si>
    <t>ACUTE - SURGIDAY CENTER</t>
  </si>
  <si>
    <t>SWING - SURGIDAY CENTER</t>
  </si>
  <si>
    <t>OP - SURGIDAY CENTER</t>
  </si>
  <si>
    <t xml:space="preserve">       ENDOSCOPY</t>
  </si>
  <si>
    <t>ACUTE - ENDOSCOPY</t>
  </si>
  <si>
    <t xml:space="preserve">SWING - ENDOSCOPY </t>
  </si>
  <si>
    <t xml:space="preserve">OP - ENDOSCOPY </t>
  </si>
  <si>
    <t xml:space="preserve">       STERILE SUPPLY</t>
  </si>
  <si>
    <t>STERILE SUPPLY</t>
  </si>
  <si>
    <t>STERILE/#</t>
  </si>
  <si>
    <t>ACUTE - STERILE SUPPLY</t>
  </si>
  <si>
    <t>SWING - STERILE SUPPLY</t>
  </si>
  <si>
    <t>OP - STERILE SUPPLY</t>
  </si>
  <si>
    <t>PHARMACY I/P</t>
  </si>
  <si>
    <t>PHARMACY O/P</t>
  </si>
  <si>
    <t xml:space="preserve">       PHARMACY SERVICES</t>
  </si>
  <si>
    <t>PHAR/#</t>
  </si>
  <si>
    <t xml:space="preserve">          COST OF DRUGS SOLD</t>
  </si>
  <si>
    <t xml:space="preserve">          MSHIPS/PROF DUES/SUB</t>
  </si>
  <si>
    <t xml:space="preserve">          LICENSES</t>
  </si>
  <si>
    <t>ACUTE - PHARMACY</t>
  </si>
  <si>
    <t>SWING - PHARMACY</t>
  </si>
  <si>
    <t>OP - PHARMACY</t>
  </si>
  <si>
    <t xml:space="preserve">          I/P AR-SWING-MCARE</t>
  </si>
  <si>
    <t xml:space="preserve">          I/P AR-SWING-MCAID</t>
  </si>
  <si>
    <t xml:space="preserve">          I/P AR-SWING-B/C</t>
  </si>
  <si>
    <t xml:space="preserve">          I/P AR-SWING-W/C</t>
  </si>
  <si>
    <t xml:space="preserve">          I/P AR-SWING-COMM</t>
  </si>
  <si>
    <t xml:space="preserve">          I/P AR-SWING-HMO/PPO</t>
  </si>
  <si>
    <t xml:space="preserve">          I/P AR-SWING-SP</t>
  </si>
  <si>
    <t xml:space="preserve">       IV THERAPY  SERVICES</t>
  </si>
  <si>
    <t>IV/#</t>
  </si>
  <si>
    <t xml:space="preserve">          COST OF IV SOLUTIONS</t>
  </si>
  <si>
    <t xml:space="preserve">       IV THERAPY</t>
  </si>
  <si>
    <t>ACUTE - IV THERAPY</t>
  </si>
  <si>
    <t>SWING - IV THERAPY</t>
  </si>
  <si>
    <t>OP - IV THERAPY</t>
  </si>
  <si>
    <t xml:space="preserve">       LABORATORY - CLINICAL</t>
  </si>
  <si>
    <t>LAB/TOT #</t>
  </si>
  <si>
    <t xml:space="preserve">          COST OF BLOOD SOLD</t>
  </si>
  <si>
    <t xml:space="preserve">          LAB REAGENTS</t>
  </si>
  <si>
    <t xml:space="preserve">          OUTSIDE LAB SERVICES</t>
  </si>
  <si>
    <t>ACUTE - LAB - CLINICAL</t>
  </si>
  <si>
    <t>SWING - LAB - CLINICAL</t>
  </si>
  <si>
    <t>OP - LAB - CLINICAL</t>
  </si>
  <si>
    <t>PATH/TOT #</t>
  </si>
  <si>
    <t xml:space="preserve">       PATHOLOGY</t>
  </si>
  <si>
    <t>ACUTE - PATHOLOGY</t>
  </si>
  <si>
    <t>OP - PATHOLOGY</t>
  </si>
  <si>
    <t xml:space="preserve">       LABORATORY - PATHOLOGY</t>
  </si>
  <si>
    <t>TOTAL PHARMACY</t>
  </si>
  <si>
    <t xml:space="preserve">       LABORATORY - BLOOD BANK</t>
  </si>
  <si>
    <t>ACUTE - BLOOD BANK</t>
  </si>
  <si>
    <t>SWING - BLOOD BANK</t>
  </si>
  <si>
    <t>OP - BLOOD BANK</t>
  </si>
  <si>
    <t xml:space="preserve">          DEPARTMENT SUPPLIES</t>
  </si>
  <si>
    <t xml:space="preserve">       CENTRAL SUPPLY</t>
  </si>
  <si>
    <t>SUP/#</t>
  </si>
  <si>
    <t xml:space="preserve">          COST OF SUPP SOLD</t>
  </si>
  <si>
    <t xml:space="preserve">          SHIP/DELIV/FREIGHT</t>
  </si>
  <si>
    <t>med/sur</t>
  </si>
  <si>
    <t>icu</t>
  </si>
  <si>
    <t>or</t>
  </si>
  <si>
    <t>rr</t>
  </si>
  <si>
    <t>endo</t>
  </si>
  <si>
    <t>anes</t>
  </si>
  <si>
    <t>rt</t>
  </si>
  <si>
    <t>oxygen</t>
  </si>
  <si>
    <t>pt</t>
  </si>
  <si>
    <t>er</t>
  </si>
  <si>
    <t>iv</t>
  </si>
  <si>
    <t>put with med supplies</t>
  </si>
  <si>
    <t>ACUTE - CENTRAL SUPPLY</t>
  </si>
  <si>
    <t>SWING - CENTRAL SUPPLY</t>
  </si>
  <si>
    <t>OP - CENTRAL SUPPLY</t>
  </si>
  <si>
    <t xml:space="preserve">          MSHIP PROF FEES DUES</t>
  </si>
  <si>
    <t xml:space="preserve">          MEALS &amp; ENTERTAINMENT</t>
  </si>
  <si>
    <t>EKG</t>
  </si>
  <si>
    <t>RESPIRATORY</t>
  </si>
  <si>
    <t>REV/RT</t>
  </si>
  <si>
    <t>REV/EKG</t>
  </si>
  <si>
    <t xml:space="preserve">       RESPIRATORY THERAPY</t>
  </si>
  <si>
    <t>ACUTE - EKG</t>
  </si>
  <si>
    <t>SWING - EKG</t>
  </si>
  <si>
    <t>OP - EKG</t>
  </si>
  <si>
    <t xml:space="preserve">       EKG</t>
  </si>
  <si>
    <t>ACUTE - RESPIRATORY</t>
  </si>
  <si>
    <t>SWING - RESPIRATORY</t>
  </si>
  <si>
    <t>OP - RESPIRATORY</t>
  </si>
  <si>
    <t xml:space="preserve">          STATE UNEMPLOYMENT TAX</t>
  </si>
  <si>
    <t xml:space="preserve">       RADIOLOGY - DIAGNOSTIC</t>
  </si>
  <si>
    <t>XRAY/PROC</t>
  </si>
  <si>
    <t xml:space="preserve">          COST OF FILM</t>
  </si>
  <si>
    <t xml:space="preserve">          MINOR EQUIP &lt;1000</t>
  </si>
  <si>
    <t xml:space="preserve">          SOFTWARE LICENSE FEE</t>
  </si>
  <si>
    <t>ACUTE - RADIOLOGY</t>
  </si>
  <si>
    <t>SWING - RADIOLOGY</t>
  </si>
  <si>
    <t>OP - RADIOLOGY</t>
  </si>
  <si>
    <t>US - I/P PROC</t>
  </si>
  <si>
    <t>US - O/P PROC</t>
  </si>
  <si>
    <t>US TOTAL</t>
  </si>
  <si>
    <t xml:space="preserve">       RADIOLOGY - ULTRASOUND</t>
  </si>
  <si>
    <t>ACUTE - ULTRASOUND</t>
  </si>
  <si>
    <t>SWING - ULTRASOUND</t>
  </si>
  <si>
    <t>OP - ULTRASOUND</t>
  </si>
  <si>
    <t>US/PROC</t>
  </si>
  <si>
    <t xml:space="preserve">       CT SCANNER</t>
  </si>
  <si>
    <t>CT/PROC</t>
  </si>
  <si>
    <t>ACUTE - CT SCANNER</t>
  </si>
  <si>
    <t>SWING - CT SCANNER</t>
  </si>
  <si>
    <t>OP - CT SCANNER</t>
  </si>
  <si>
    <t>CT/TOT #</t>
  </si>
  <si>
    <t xml:space="preserve">       MRI</t>
  </si>
  <si>
    <t>ACUTE - MRI</t>
  </si>
  <si>
    <t>SWING - MRI</t>
  </si>
  <si>
    <t>OP - MRI</t>
  </si>
  <si>
    <t>MRI/PROC</t>
  </si>
  <si>
    <t>MRI/TOT #</t>
  </si>
  <si>
    <t>NUCLEAR MEDICINE</t>
  </si>
  <si>
    <t xml:space="preserve">       NUCLEAR MEDICINE</t>
  </si>
  <si>
    <t>ACUTE - NUCLEAR MEDICINE</t>
  </si>
  <si>
    <t>SWING - NUCLEAR MEDICINE</t>
  </si>
  <si>
    <t>OP - NUCLEAR MEDICINE</t>
  </si>
  <si>
    <t>NM/TOT #</t>
  </si>
  <si>
    <t>NM/PROC</t>
  </si>
  <si>
    <t>MAMMOGRAPHY - I/P PROC</t>
  </si>
  <si>
    <t>MAMMOGRAPHY - O/P PROC</t>
  </si>
  <si>
    <t>MAMMOGRAPHY TOTAL</t>
  </si>
  <si>
    <t xml:space="preserve">       MAMMOGRAPHY</t>
  </si>
  <si>
    <t>ACUTE - MAMMOGRAPHY</t>
  </si>
  <si>
    <t>SWING - MAMMOGRAPHY</t>
  </si>
  <si>
    <t>OP - MAMMOGRAPHY</t>
  </si>
  <si>
    <t>MAMMO/PROC</t>
  </si>
  <si>
    <t>NM STRESS - I/P PROCEDURES</t>
  </si>
  <si>
    <t>NM STRESS - O/P PROCEDURES</t>
  </si>
  <si>
    <t>NM STRESS - TOTAL</t>
  </si>
  <si>
    <t>NO GL #</t>
  </si>
  <si>
    <t>REV/ABG</t>
  </si>
  <si>
    <t>PULMONARY LAB</t>
  </si>
  <si>
    <t>ACUTE - PULMONARY LAB</t>
  </si>
  <si>
    <t>SWING - PULMONARY LAB</t>
  </si>
  <si>
    <t>OP - PULMONARY LAB</t>
  </si>
  <si>
    <t xml:space="preserve">       PULMONARY LAB</t>
  </si>
  <si>
    <t>PHYSICAL THERAPY</t>
  </si>
  <si>
    <t>ACUTE - PHYSICAL THERAPY</t>
  </si>
  <si>
    <t>SWING - PHYSICAL THERAPY</t>
  </si>
  <si>
    <t>OP - PHYSICAL THERAPY</t>
  </si>
  <si>
    <t xml:space="preserve">       PHYSICAL THERAPY</t>
  </si>
  <si>
    <t>OT - I/P PROC</t>
  </si>
  <si>
    <t>OT - O/P PROC</t>
  </si>
  <si>
    <t>OT TOTAL</t>
  </si>
  <si>
    <t>OCCUPATIONAL THERAPY</t>
  </si>
  <si>
    <t>ACUTE - OCCUPATIONAL THERAPY</t>
  </si>
  <si>
    <t>SWING - OCCUPATIONAL THERAPY</t>
  </si>
  <si>
    <t>OP - OCCUPATIONAL THERAPY</t>
  </si>
  <si>
    <t xml:space="preserve">       OCCUPATIONAL THERAPY</t>
  </si>
  <si>
    <t>SPEECH - O/P PROC</t>
  </si>
  <si>
    <t>SPEECH TOTAL</t>
  </si>
  <si>
    <t>SPEECH THERAPY</t>
  </si>
  <si>
    <t>ACUTE - SPEECH THERAPY</t>
  </si>
  <si>
    <t>SWING - SPEECH THERAPY</t>
  </si>
  <si>
    <t>OP - SPEECH THERAPY</t>
  </si>
  <si>
    <t xml:space="preserve">       SPEECH THERAPY</t>
  </si>
  <si>
    <t>REV/ST</t>
  </si>
  <si>
    <t>REV/PT</t>
  </si>
  <si>
    <t>REV/OT</t>
  </si>
  <si>
    <t>WOUND CARE - I/P PROC</t>
  </si>
  <si>
    <t>WOUND CARE - O/P PROC</t>
  </si>
  <si>
    <t>WOUND CARE TOTAL</t>
  </si>
  <si>
    <t>WOUND CARE</t>
  </si>
  <si>
    <t>ACUTE - WOUND CARE</t>
  </si>
  <si>
    <t>SWING - WOUND CARE</t>
  </si>
  <si>
    <t>OP - WOUND CARE</t>
  </si>
  <si>
    <t xml:space="preserve">       WOUND CARE</t>
  </si>
  <si>
    <t>REV/WC</t>
  </si>
  <si>
    <t>ER/#</t>
  </si>
  <si>
    <t>EMERGENCY SERVICES</t>
  </si>
  <si>
    <t>ACUTE - EMERGENCY SERVICES</t>
  </si>
  <si>
    <t>SWING - EMERGENCY SERVICES</t>
  </si>
  <si>
    <t>OP - EMERGENCY SERVICES</t>
  </si>
  <si>
    <t xml:space="preserve">       EMERGENCY SERVICES</t>
  </si>
  <si>
    <t xml:space="preserve">          EMS SUPPLIES</t>
  </si>
  <si>
    <t xml:space="preserve">          PHY FEES-GEN ADMIN</t>
  </si>
  <si>
    <t xml:space="preserve">          CONSULTING SVCS</t>
  </si>
  <si>
    <t xml:space="preserve">          OTHER LEASES RENTALS</t>
  </si>
  <si>
    <t xml:space="preserve">          REPAIRS &amp; MAINT</t>
  </si>
  <si>
    <t>ER PROFEE</t>
  </si>
  <si>
    <t>ACUTE - ER PROFEE</t>
  </si>
  <si>
    <t>SWING - ER PROFEE</t>
  </si>
  <si>
    <t>OP - ER PROFEE</t>
  </si>
  <si>
    <t>TOTAL ADMITS</t>
  </si>
  <si>
    <t xml:space="preserve">       MOB</t>
  </si>
  <si>
    <t xml:space="preserve">          UTILITIES ELECTRIC</t>
  </si>
  <si>
    <t xml:space="preserve">          UTILITIES GAS OIL</t>
  </si>
  <si>
    <t xml:space="preserve">          UTILITIES WATER</t>
  </si>
  <si>
    <t>EXP/TOTAL</t>
  </si>
  <si>
    <t xml:space="preserve">       LAUNDRY &amp; LINEN</t>
  </si>
  <si>
    <t xml:space="preserve">          COST OF NEW LINEN</t>
  </si>
  <si>
    <t xml:space="preserve">          LAUNDRY SERVICES</t>
  </si>
  <si>
    <t xml:space="preserve">       HOUSEKEEPING</t>
  </si>
  <si>
    <t xml:space="preserve">       PLANT OPS &amp; MAINTENANCE</t>
  </si>
  <si>
    <t xml:space="preserve">          UTILITIES CABLE</t>
  </si>
  <si>
    <t xml:space="preserve">          CELL PHONES</t>
  </si>
  <si>
    <t xml:space="preserve">       SECURITY</t>
  </si>
  <si>
    <t xml:space="preserve">       ADMITTING</t>
  </si>
  <si>
    <t xml:space="preserve">       BUSINESS OFFICE</t>
  </si>
  <si>
    <t xml:space="preserve">       CREDIT &amp; COLLECTION</t>
  </si>
  <si>
    <t xml:space="preserve">          PROV BAD DEBT - PATIENT</t>
  </si>
  <si>
    <t xml:space="preserve">          RECOVERY BAD DEBT - PATIENT</t>
  </si>
  <si>
    <t xml:space="preserve">          COLLECTION FEES</t>
  </si>
  <si>
    <t xml:space="preserve">       COMMUNICATIONS</t>
  </si>
  <si>
    <t xml:space="preserve">          TELEPHONE</t>
  </si>
  <si>
    <t xml:space="preserve">          LONG DISTANCE</t>
  </si>
  <si>
    <t xml:space="preserve">       NURSING ADMIN</t>
  </si>
  <si>
    <t xml:space="preserve">       HOSPITAL ADMIN</t>
  </si>
  <si>
    <t xml:space="preserve">          WORKER'S COMP</t>
  </si>
  <si>
    <t xml:space="preserve">          OTHER EMP INS</t>
  </si>
  <si>
    <t xml:space="preserve">          EMP INS BLUE CROSS</t>
  </si>
  <si>
    <t xml:space="preserve">          OTHER EMPLOYEE</t>
  </si>
  <si>
    <t xml:space="preserve">          PHYSICIAN ADVISOR</t>
  </si>
  <si>
    <t xml:space="preserve">          LEGAL FEES</t>
  </si>
  <si>
    <t xml:space="preserve">          ACCTING AUDITING</t>
  </si>
  <si>
    <t xml:space="preserve">          BOND TRUSTEE FEE</t>
  </si>
  <si>
    <t xml:space="preserve">          NEWSPAPER ADVERTISING</t>
  </si>
  <si>
    <t xml:space="preserve">          PHONE DIRECTORY ADV</t>
  </si>
  <si>
    <t xml:space="preserve">          FUND RAISING EXP</t>
  </si>
  <si>
    <t xml:space="preserve">          COMMUNITY RELATIONS</t>
  </si>
  <si>
    <t xml:space="preserve">          OTHER ADVERTISING</t>
  </si>
  <si>
    <t xml:space="preserve">          SPECIAL EVENTS</t>
  </si>
  <si>
    <t xml:space="preserve">          OTHER MARKETING EXP</t>
  </si>
  <si>
    <t xml:space="preserve">          INTEREST - EQUIP NOTE</t>
  </si>
  <si>
    <t xml:space="preserve">          INTEREST EXP LEASES</t>
  </si>
  <si>
    <t xml:space="preserve">          INTEREST EXP BONDS</t>
  </si>
  <si>
    <t xml:space="preserve">          MEDICAL STAFF RELATIONS</t>
  </si>
  <si>
    <t xml:space="preserve">          LOBBYING EXPENSE</t>
  </si>
  <si>
    <t xml:space="preserve">          INTEREST LINE OF CREDIT</t>
  </si>
  <si>
    <t xml:space="preserve">          POSTAGE</t>
  </si>
  <si>
    <t xml:space="preserve">          BOARD RELATIONS</t>
  </si>
  <si>
    <t xml:space="preserve">          GENERAL LIABILITY INS</t>
  </si>
  <si>
    <t xml:space="preserve">          PROFESSIONAL LIAB</t>
  </si>
  <si>
    <t xml:space="preserve">          INSURANCE OTHER</t>
  </si>
  <si>
    <t xml:space="preserve">          PROPERTY INSURANCE</t>
  </si>
  <si>
    <t xml:space="preserve">          PROPERTY TAXES</t>
  </si>
  <si>
    <t xml:space="preserve">          OPERATING TAX AHCA</t>
  </si>
  <si>
    <t xml:space="preserve">          LICENSES &amp; JOINT CO</t>
  </si>
  <si>
    <t xml:space="preserve">       MARKETING</t>
  </si>
  <si>
    <t xml:space="preserve">          TELEVISION ADVERTISING</t>
  </si>
  <si>
    <t xml:space="preserve">          DIRECT MAIL ADVERTISING</t>
  </si>
  <si>
    <t xml:space="preserve">          EDUCATION &amp; AWARENESS</t>
  </si>
  <si>
    <t xml:space="preserve">       GENERAL ACCOUNTING</t>
  </si>
  <si>
    <t xml:space="preserve">          INTEREST</t>
  </si>
  <si>
    <t xml:space="preserve">       DATA PROCESSING</t>
  </si>
  <si>
    <t xml:space="preserve">          CONTRACT LABOR OTHER</t>
  </si>
  <si>
    <t xml:space="preserve">          SOFTWARE MAINT FEES</t>
  </si>
  <si>
    <t xml:space="preserve">       HEALTH INFO MGMT</t>
  </si>
  <si>
    <t xml:space="preserve">       CAFETERIA</t>
  </si>
  <si>
    <t xml:space="preserve">          RAW FOOD COST</t>
  </si>
  <si>
    <t xml:space="preserve">       OTHER INCOME</t>
  </si>
  <si>
    <t>OTHER/#</t>
  </si>
  <si>
    <t xml:space="preserve">          GRANT INCOME</t>
  </si>
  <si>
    <t xml:space="preserve">          CAFETERIA REVENUE</t>
  </si>
  <si>
    <t xml:space="preserve">          CPR</t>
  </si>
  <si>
    <t xml:space="preserve">          MED.RECORDS/ABSTRACT</t>
  </si>
  <si>
    <t xml:space="preserve">          INTEREST INC</t>
  </si>
  <si>
    <t xml:space="preserve">          RESTRICT DONATIONS</t>
  </si>
  <si>
    <t xml:space="preserve">          SALE OF SUPPLIES</t>
  </si>
  <si>
    <t xml:space="preserve">          E.H.R. MCR/MCD INCENTIVE PAYMENT</t>
  </si>
  <si>
    <t xml:space="preserve">          OTHER MISC REVENUE</t>
  </si>
  <si>
    <t xml:space="preserve">          TOTAL OTHER REVENUE</t>
  </si>
  <si>
    <t xml:space="preserve">          MEDICAL STAFF</t>
  </si>
  <si>
    <t>PATIENT DAYS:</t>
  </si>
  <si>
    <t>DEDUCTIONS FROM REVENUE</t>
  </si>
  <si>
    <t xml:space="preserve">       CONTRACT DEDUCT -</t>
  </si>
  <si>
    <t>MEDICARE</t>
  </si>
  <si>
    <t>MCR/#</t>
  </si>
  <si>
    <t>MEDICAID</t>
  </si>
  <si>
    <t>OTHER GOV</t>
  </si>
  <si>
    <t>WCOMP</t>
  </si>
  <si>
    <t>BCBS</t>
  </si>
  <si>
    <t>COMM</t>
  </si>
  <si>
    <t xml:space="preserve">          I/P CHARGES</t>
  </si>
  <si>
    <t xml:space="preserve">          I/P DENIALS</t>
  </si>
  <si>
    <t xml:space="preserve">          DSH FUNDS</t>
  </si>
  <si>
    <t xml:space="preserve">          UPL/SMP FUNDS</t>
  </si>
  <si>
    <t xml:space="preserve">          OTHER FUNDS AHCA</t>
  </si>
  <si>
    <t xml:space="preserve">          O/P CHARGES</t>
  </si>
  <si>
    <t xml:space="preserve">          O/P DENIALS</t>
  </si>
  <si>
    <t xml:space="preserve">          SWING BED CHARGES</t>
  </si>
  <si>
    <t xml:space="preserve">          OP DENIED LMRP</t>
  </si>
  <si>
    <t>OTHER DISCOUNTS</t>
  </si>
  <si>
    <t>DIS/#</t>
  </si>
  <si>
    <t xml:space="preserve">          HOSPICE CONT'L</t>
  </si>
  <si>
    <t xml:space="preserve">          HCCI CONT'L</t>
  </si>
  <si>
    <t xml:space="preserve">          HOLMES CO JAIL</t>
  </si>
  <si>
    <t xml:space="preserve">          COURTESY DISC. I/P</t>
  </si>
  <si>
    <t xml:space="preserve">          COURTESY DISC. O/P</t>
  </si>
  <si>
    <t>CHARITY WRITE-OFFS</t>
  </si>
  <si>
    <t>CH /#</t>
  </si>
  <si>
    <t xml:space="preserve">          CHARITY WRITEOFF I/P</t>
  </si>
  <si>
    <t xml:space="preserve">          CHARITY WRITEOFF O/P</t>
  </si>
  <si>
    <t xml:space="preserve">          CHARITY PF/COPAY IP</t>
  </si>
  <si>
    <t xml:space="preserve">          CHARITY PF/COPAY OP</t>
  </si>
  <si>
    <t xml:space="preserve">          EMPLOYEE DISC.O/P</t>
  </si>
  <si>
    <t>PRIOR YEAR ADJUSTMENTS</t>
  </si>
  <si>
    <t xml:space="preserve">          IP PRIOR PER ADJ</t>
  </si>
  <si>
    <t xml:space="preserve">          OP PRIOR PER ADJ</t>
  </si>
  <si>
    <t xml:space="preserve">          SB PRIOR PER ADJ</t>
  </si>
  <si>
    <t xml:space="preserve">          PROFEE</t>
  </si>
  <si>
    <t xml:space="preserve">          IP LATE CHARGE</t>
  </si>
  <si>
    <t xml:space="preserve">          OP LATE CHARGE</t>
  </si>
  <si>
    <t xml:space="preserve">          DENIALS</t>
  </si>
  <si>
    <t xml:space="preserve">          OP DENIED</t>
  </si>
  <si>
    <t>MCR HMO</t>
  </si>
  <si>
    <t>MCD HMO</t>
  </si>
  <si>
    <t>MCD#</t>
  </si>
  <si>
    <t>OG#</t>
  </si>
  <si>
    <t>WC#</t>
  </si>
  <si>
    <t>BCBS#</t>
  </si>
  <si>
    <t>COMM#</t>
  </si>
  <si>
    <t>MCRHMO#</t>
  </si>
  <si>
    <t>MCDHMO#</t>
  </si>
  <si>
    <t>% INCREASE/DECREASE</t>
  </si>
  <si>
    <t>SEP</t>
  </si>
  <si>
    <t>Med/Surg Days</t>
  </si>
  <si>
    <t>Total Swing Days</t>
  </si>
  <si>
    <t>ICU Days</t>
  </si>
  <si>
    <t>Total OBS Days</t>
  </si>
  <si>
    <t>Charged OBV Hours</t>
  </si>
  <si>
    <t>Total OBV Admits</t>
  </si>
  <si>
    <t># Inpatient Surgeries</t>
  </si>
  <si>
    <t># Outpatient Surgeries</t>
  </si>
  <si>
    <t># Inpatient Procedures</t>
  </si>
  <si>
    <t># Outpatient Procedures</t>
  </si>
  <si>
    <t>Total Procedures</t>
  </si>
  <si>
    <t>Endoscopies I/P</t>
  </si>
  <si>
    <t>Endoscopies O/P</t>
  </si>
  <si>
    <t>Endoscopies Total</t>
  </si>
  <si>
    <t>Total All Inpatient Surgeries</t>
  </si>
  <si>
    <t>Total All Outpatient Surgeries</t>
  </si>
  <si>
    <t>Total All Surgeries</t>
  </si>
  <si>
    <t>Recovery I/P</t>
  </si>
  <si>
    <t>Recovery O/P</t>
  </si>
  <si>
    <t>Recovery Total</t>
  </si>
  <si>
    <t># Recovery Minutes</t>
  </si>
  <si>
    <t># Anesthesia Cases</t>
  </si>
  <si>
    <t># Anesthesia Minutes</t>
  </si>
  <si>
    <t>Pharmacy I/P</t>
  </si>
  <si>
    <t>Pharmacy O/P</t>
  </si>
  <si>
    <t>Pharmacy Total</t>
  </si>
  <si>
    <t>IV Doses I/P</t>
  </si>
  <si>
    <t>IV Doses O/P</t>
  </si>
  <si>
    <t>IV Doses Total</t>
  </si>
  <si>
    <t>Lab I/P</t>
  </si>
  <si>
    <t>Lab O/P</t>
  </si>
  <si>
    <t>Lab Total</t>
  </si>
  <si>
    <t>Pathology I/P</t>
  </si>
  <si>
    <t>Pathology O/P</t>
  </si>
  <si>
    <t>Pathology Total</t>
  </si>
  <si>
    <t>Blood Units</t>
  </si>
  <si>
    <t>Central Supply I/P</t>
  </si>
  <si>
    <t>Central Supply O/P</t>
  </si>
  <si>
    <t>Central Supply Total</t>
  </si>
  <si>
    <t>EKG I/P</t>
  </si>
  <si>
    <t>EKG O/P</t>
  </si>
  <si>
    <t>EKG Total</t>
  </si>
  <si>
    <t>NM Stress I/P</t>
  </si>
  <si>
    <t>NM Stress O/P</t>
  </si>
  <si>
    <t>NM Stress Total</t>
  </si>
  <si>
    <t>X-Ray I/P</t>
  </si>
  <si>
    <t>X-Ray O/P</t>
  </si>
  <si>
    <t>X-Ray Total</t>
  </si>
  <si>
    <t>Ultrasound I/P</t>
  </si>
  <si>
    <t>Ultrasound O/P</t>
  </si>
  <si>
    <t>Ultrasound Total</t>
  </si>
  <si>
    <t>CT Scan I/P</t>
  </si>
  <si>
    <t>CT Scan O/P</t>
  </si>
  <si>
    <t>CT Scan Total</t>
  </si>
  <si>
    <t>MRI I/P</t>
  </si>
  <si>
    <t>MRI O/P</t>
  </si>
  <si>
    <t>MRI Total</t>
  </si>
  <si>
    <t>Mammography I/P</t>
  </si>
  <si>
    <t>Mammography O/P</t>
  </si>
  <si>
    <t>Mammography Total</t>
  </si>
  <si>
    <t>Respiratory Therapy I/P</t>
  </si>
  <si>
    <t>Respiratory Therapy O/P</t>
  </si>
  <si>
    <t>Respiratory Therapy Total</t>
  </si>
  <si>
    <t>ABG I/P</t>
  </si>
  <si>
    <t>ABG O/P</t>
  </si>
  <si>
    <t>ABG Total</t>
  </si>
  <si>
    <t>Physical Therapy I/P</t>
  </si>
  <si>
    <t>Physical Therapy O/P</t>
  </si>
  <si>
    <t>Physical Therapy Total</t>
  </si>
  <si>
    <t>Occupational Therapy I/P</t>
  </si>
  <si>
    <t>Occupational Therapy O/P</t>
  </si>
  <si>
    <t>Occupational Therapy Total</t>
  </si>
  <si>
    <t>Speech Therapy I/P</t>
  </si>
  <si>
    <t>Speech Therapy O/P</t>
  </si>
  <si>
    <t>Speech Therapy Total</t>
  </si>
  <si>
    <t>Wound Care I/P</t>
  </si>
  <si>
    <t>Wound Care O/P</t>
  </si>
  <si>
    <t>Wound Care Total</t>
  </si>
  <si>
    <t>ER O/P Visits</t>
  </si>
  <si>
    <t>ER I/P Visits</t>
  </si>
  <si>
    <t>ER Total Visits</t>
  </si>
  <si>
    <t>Total Admits</t>
  </si>
  <si>
    <t>Total Hospital Outpatient Visits</t>
  </si>
  <si>
    <t>Total Admits &amp; OP Visits</t>
  </si>
  <si>
    <t>Patient Days</t>
  </si>
  <si>
    <t>MOB Physician Total</t>
  </si>
  <si>
    <t># Pounds of Laundry</t>
  </si>
  <si>
    <t># Patient Meals</t>
  </si>
  <si>
    <t># NonPatient Meals</t>
  </si>
  <si>
    <t>Total Dietary Meals Served</t>
  </si>
  <si>
    <t xml:space="preserve">       BYRD AVENUE</t>
  </si>
  <si>
    <t xml:space="preserve">          OTHER PURCHASE SERVICE</t>
  </si>
  <si>
    <t xml:space="preserve">          UTILITIES - ELECTRIC</t>
  </si>
  <si>
    <t xml:space="preserve">          UTILITIES - GAS OIL</t>
  </si>
  <si>
    <t xml:space="preserve">          UTILITIES - WATER</t>
  </si>
  <si>
    <t xml:space="preserve">          UTILITIES - OTHER</t>
  </si>
  <si>
    <t xml:space="preserve">          REPAIRS &amp; MAINTENANCE</t>
  </si>
  <si>
    <t>2010  ACTUAL</t>
  </si>
  <si>
    <t>INPATIENT ROUTINE</t>
  </si>
  <si>
    <t>INPATIENT ANCILLARY</t>
  </si>
  <si>
    <t>OUTPATIENT</t>
  </si>
  <si>
    <t>TOTAL REVENUE</t>
  </si>
  <si>
    <t>CONTRACTUALS</t>
  </si>
  <si>
    <t>Provision for Bad Dbt</t>
  </si>
  <si>
    <t>TOTAL DEDUCTIONS FROM REVENUE</t>
  </si>
  <si>
    <t>OTHER OPERATING REVENUE</t>
  </si>
  <si>
    <t>NET REVENUE</t>
  </si>
  <si>
    <t>Salaries &amp; Wages</t>
  </si>
  <si>
    <t>Benefits</t>
  </si>
  <si>
    <t>Contract Labor</t>
  </si>
  <si>
    <t>Supplies</t>
  </si>
  <si>
    <t>Medical Spec Fees</t>
  </si>
  <si>
    <t>Purchased Services</t>
  </si>
  <si>
    <t>Repairs &amp; Maintenance</t>
  </si>
  <si>
    <t>Marketing</t>
  </si>
  <si>
    <t>Utilities</t>
  </si>
  <si>
    <t>Other Operating Exp</t>
  </si>
  <si>
    <t>Prop Taxes &amp; Ins</t>
  </si>
  <si>
    <t>Interest Expense</t>
  </si>
  <si>
    <t>Rent/Lease</t>
  </si>
  <si>
    <t>Depreciation/Amortization</t>
  </si>
  <si>
    <t>TOTAL OPERATING EXPENSES</t>
  </si>
  <si>
    <t>OPERATING MARGIN</t>
  </si>
  <si>
    <t>Non-Operating Revenue (Expense)</t>
  </si>
  <si>
    <t>Interest Income</t>
  </si>
  <si>
    <t>Grant Revenue</t>
  </si>
  <si>
    <t>Fundraising Income</t>
  </si>
  <si>
    <t>Other Income/(Expense)</t>
  </si>
  <si>
    <t>Total Non-Operating Revenue (Expense)</t>
  </si>
  <si>
    <t>Excess Revenue over Expenses</t>
  </si>
  <si>
    <t>PROVISION FOR BAD DEBTS</t>
  </si>
  <si>
    <t xml:space="preserve">          DEPR-LAND IMPRVMTS</t>
  </si>
  <si>
    <t xml:space="preserve">          DEPR-BUILDING-OWNED</t>
  </si>
  <si>
    <t xml:space="preserve">          DEPR-FIX EQUIP-OWN</t>
  </si>
  <si>
    <t xml:space="preserve">          DEPR-FURN &amp; FIXT-OWN</t>
  </si>
  <si>
    <t xml:space="preserve">          DEPR-MAJOR MOV EQUIP</t>
  </si>
  <si>
    <t xml:space="preserve">          DEPR-TELECOMMUNICATI</t>
  </si>
  <si>
    <t xml:space="preserve">          DEPR-BLDG SVCS EQPT</t>
  </si>
  <si>
    <t xml:space="preserve">          DEPR-COMPUTERS</t>
  </si>
  <si>
    <t xml:space="preserve">          DEPR-BLDG-MOB</t>
  </si>
  <si>
    <t xml:space="preserve">          DEPR-BLDG SVCS-MOB</t>
  </si>
  <si>
    <t xml:space="preserve">          DEPR-MME-MOB</t>
  </si>
  <si>
    <t xml:space="preserve">          DEPR-MME-GRANTS</t>
  </si>
  <si>
    <t xml:space="preserve">          AMORT-MAJ MOV EQP-CL</t>
  </si>
  <si>
    <t xml:space="preserve">          AMORT-DEF BOND ISSU</t>
  </si>
  <si>
    <t xml:space="preserve">          AMORT-PREMIUM 2006</t>
  </si>
  <si>
    <t xml:space="preserve">          LOSS ON IMPAIRMENT</t>
  </si>
  <si>
    <t>EXP/DAYS</t>
  </si>
  <si>
    <t>2012 ACTUAL</t>
  </si>
  <si>
    <t>2011 ACTUAL</t>
  </si>
  <si>
    <t>2010 ACTUAL</t>
  </si>
  <si>
    <t>DEPRECIATION</t>
  </si>
  <si>
    <t xml:space="preserve">          IV SOLUTIONS</t>
  </si>
  <si>
    <t xml:space="preserve">          MEDICAL SUPPLIES</t>
  </si>
  <si>
    <t xml:space="preserve">          REFUSE SERVICES</t>
  </si>
  <si>
    <t xml:space="preserve">          EMP RECRUIT ADVERTISING</t>
  </si>
  <si>
    <t xml:space="preserve">          GAIN/LOSS DISPOSAL</t>
  </si>
  <si>
    <t xml:space="preserve">          MCD PRIOR PER ADJ</t>
  </si>
  <si>
    <t xml:space="preserve">          IP DENIALS</t>
  </si>
  <si>
    <t xml:space="preserve">          IP DENIED</t>
  </si>
  <si>
    <t>InPatient Days</t>
  </si>
  <si>
    <t>EKG for NM Stress I/P</t>
  </si>
  <si>
    <t>EKG for NM Stress O/P</t>
  </si>
  <si>
    <t>EKG for NM Stress Total</t>
  </si>
  <si>
    <t>ACUTE - TOTAL</t>
  </si>
  <si>
    <t>SWING - TOTAL</t>
  </si>
  <si>
    <t>OP - TOTAL</t>
  </si>
  <si>
    <t>DOCTORS MEMORIAL HOSPITAL</t>
  </si>
  <si>
    <t>RECAP OF BUDGET REVENUE</t>
  </si>
  <si>
    <t>reimbursement</t>
  </si>
  <si>
    <t>Reimbursement</t>
  </si>
  <si>
    <t>ACUTE</t>
  </si>
  <si>
    <t>SWING</t>
  </si>
  <si>
    <t>OutPatient</t>
  </si>
  <si>
    <t xml:space="preserve">contractual </t>
  </si>
  <si>
    <t>adjustments</t>
  </si>
  <si>
    <t>Revenue</t>
  </si>
  <si>
    <t>Cont Adj %</t>
  </si>
  <si>
    <t>deductions</t>
  </si>
  <si>
    <t>cash</t>
  </si>
  <si>
    <t>percentage</t>
  </si>
  <si>
    <t>reimb</t>
  </si>
  <si>
    <t>diff in methods</t>
  </si>
  <si>
    <t>per-deim</t>
  </si>
  <si>
    <t>chrg - reimb</t>
  </si>
  <si>
    <t>bud. days</t>
  </si>
  <si>
    <t>pro fee C A</t>
  </si>
  <si>
    <t>hospital C A</t>
  </si>
  <si>
    <t>HOLMES CO JAIL</t>
  </si>
  <si>
    <t>EMPLOYEE DISC.</t>
  </si>
  <si>
    <t>COURTESY DISC I/P</t>
  </si>
  <si>
    <t>COURTESY DISC O/P</t>
  </si>
  <si>
    <t>PER DEIM</t>
  </si>
  <si>
    <t>CAH Tool</t>
  </si>
  <si>
    <t>CHARITY WRITE OFF I/P</t>
  </si>
  <si>
    <t>BAD DEBTS</t>
  </si>
  <si>
    <t>other deductions</t>
  </si>
  <si>
    <t xml:space="preserve"> DEDUCTIONS</t>
  </si>
  <si>
    <t>total other deductions</t>
  </si>
  <si>
    <t>total contr adju &amp; deductions</t>
  </si>
  <si>
    <t>Total Inpatient</t>
  </si>
  <si>
    <t>Total Outpatient</t>
  </si>
  <si>
    <t>Professional fee</t>
  </si>
  <si>
    <t>BAD DEBTS recoveries</t>
  </si>
  <si>
    <t xml:space="preserve">  COLLECTION FEES included in exp</t>
  </si>
  <si>
    <t>DSH /LIP</t>
  </si>
  <si>
    <t>SS - # Swing Bed</t>
  </si>
  <si>
    <t>SS - # Inmates</t>
  </si>
  <si>
    <t>ER - OBS ADMITS</t>
  </si>
  <si>
    <t>OBSER</t>
  </si>
  <si>
    <t>Dermatology</t>
  </si>
  <si>
    <t>Nemours</t>
  </si>
  <si>
    <t>% INCREASE/ DECREASE</t>
  </si>
  <si>
    <t>FTE hours</t>
  </si>
  <si>
    <t>MONTHS</t>
  </si>
  <si>
    <t>MAN HOURS</t>
  </si>
  <si>
    <t>FTES</t>
  </si>
  <si>
    <t>CHARITY WRITE OFF pro fee O/P</t>
  </si>
  <si>
    <t>CHARITY WRITE OFF pro fee I/P</t>
  </si>
  <si>
    <t>Pre pay Disc I/P</t>
  </si>
  <si>
    <t>Pre pay Disc O/P</t>
  </si>
  <si>
    <t xml:space="preserve">           MCD - LGT LIP</t>
  </si>
  <si>
    <t>added</t>
  </si>
  <si>
    <t>based on FY2014</t>
  </si>
  <si>
    <t xml:space="preserve">Need to calculate Revenue differently. </t>
  </si>
  <si>
    <t xml:space="preserve">          CONTRACT LABOR ARNP PF</t>
  </si>
  <si>
    <t>revenue * %</t>
  </si>
  <si>
    <t>LIP</t>
  </si>
  <si>
    <t xml:space="preserve">          PHYSICIAN RECRUITMENT</t>
  </si>
  <si>
    <t xml:space="preserve">          PHY FEES-ARNP over see</t>
  </si>
  <si>
    <t>for new machine</t>
  </si>
  <si>
    <t>% of net Rev</t>
  </si>
  <si>
    <t>% of Gross Rev</t>
  </si>
  <si>
    <t>RTI proposal for full time MRI at hospital</t>
  </si>
  <si>
    <t>IGT LIP</t>
  </si>
  <si>
    <t>PHY FEES-ACUTE HOSPITAL</t>
  </si>
  <si>
    <t>ER VISITS (OP, IP, OBS)</t>
  </si>
  <si>
    <t>EMSER</t>
  </si>
  <si>
    <t>SS - # New Vision</t>
  </si>
  <si>
    <t>BLOOD TRANSFUSIONS</t>
  </si>
  <si>
    <t>PAIN MANAGEMENT</t>
  </si>
  <si>
    <t>Davis</t>
  </si>
  <si>
    <t>Amin</t>
  </si>
  <si>
    <t>ER OBS Admits</t>
  </si>
  <si>
    <t>ER I/P Admits</t>
  </si>
  <si>
    <t>ER OBS Visits</t>
  </si>
  <si>
    <t>2016 BUDGET</t>
  </si>
  <si>
    <t xml:space="preserve">       IP PROFEE</t>
  </si>
  <si>
    <t>New Visions Patients</t>
  </si>
  <si>
    <t>New Vision</t>
  </si>
  <si>
    <t>NV PAT</t>
  </si>
  <si>
    <t>IP PROFEE</t>
  </si>
  <si>
    <t>ACUTE HOSPITAL PROFEE</t>
  </si>
  <si>
    <t>ER OBS ADMITS</t>
  </si>
  <si>
    <t>2013 ACTUAL</t>
  </si>
  <si>
    <t>2014 ACTUAL</t>
  </si>
  <si>
    <t xml:space="preserve">          DIETARY - MINOR EQUIP &lt; 1000</t>
  </si>
  <si>
    <t xml:space="preserve">         OTHER PAYROLL</t>
  </si>
  <si>
    <t xml:space="preserve">          EMP INS DEDUCT EXP</t>
  </si>
  <si>
    <t xml:space="preserve">          EMP INS DED ADM FEE</t>
  </si>
  <si>
    <t xml:space="preserve">         CONTRIBUTIONS</t>
  </si>
  <si>
    <t xml:space="preserve">         CONTRACT LABOR </t>
  </si>
  <si>
    <t xml:space="preserve">         STATE UNEMPLOY TAX</t>
  </si>
  <si>
    <t xml:space="preserve">          COST OF DRUGS SOLD - 340B</t>
  </si>
  <si>
    <t>06/29/15 - As Per Gary, DMH is still providing the Pathology service, however at this time DMH can not bill due to this service not being a part of our CLIA license</t>
  </si>
  <si>
    <t>DMH is paying for the service but can not generate any revenue at this time. Our AHCA/CLIA license for inspection came up May 2 and is open until Nov 2. Gary anticipates</t>
  </si>
  <si>
    <t>AHCA to do an inspection somewhere around the end of October and then attach this service to our license so DMH can begin billing for these services. Gary is going to get</t>
  </si>
  <si>
    <t>me the number of IP and OP pathology specimens sent out from Oct 1 through May 31 so that a projection can be made on revenue and expenses for Budget 2016</t>
  </si>
  <si>
    <t xml:space="preserve">         SALARY &amp; WAGES-MRI</t>
  </si>
  <si>
    <t xml:space="preserve">         DEPARTMENT SUPPLIES</t>
  </si>
  <si>
    <t xml:space="preserve">         FICA-MRI</t>
  </si>
  <si>
    <t xml:space="preserve">         BONUSES-MRI</t>
  </si>
  <si>
    <t xml:space="preserve">         VACAT HOLIDAY SICK-MRI</t>
  </si>
  <si>
    <t>FTE</t>
  </si>
  <si>
    <t>Hours</t>
  </si>
  <si>
    <t>6/29/15 - Budget is based on projection by Jim Sneed. Anticipates 30 procedures per week with new MRI machine and would require</t>
  </si>
  <si>
    <t>one additional FTE. Revenue is based on current charge/MRI at 5/31/15.</t>
  </si>
  <si>
    <t>6/30/15 - Need to check with Emily to see if the CT and MRI procedure projections made by Jim are feasible.</t>
  </si>
  <si>
    <t xml:space="preserve">         OXYGEN &amp; OTHER GASES</t>
  </si>
  <si>
    <t>2015 BUDGET</t>
  </si>
  <si>
    <t>♦</t>
  </si>
  <si>
    <t>♦ = Done</t>
  </si>
  <si>
    <t>(ALT 260)</t>
  </si>
  <si>
    <t>HOSPICE IP</t>
  </si>
  <si>
    <t>HOSPICE OP</t>
  </si>
  <si>
    <t>HOSPICE PF</t>
  </si>
  <si>
    <t xml:space="preserve">          HOSPICE OP</t>
  </si>
  <si>
    <t>chrg - CAH tool reimb.</t>
  </si>
  <si>
    <t>Pro Fee</t>
  </si>
  <si>
    <t>based on fy2015</t>
  </si>
  <si>
    <t>estimated</t>
  </si>
  <si>
    <t>^</t>
  </si>
  <si>
    <t>DSH</t>
  </si>
  <si>
    <t>Jun</t>
  </si>
  <si>
    <t>Jul</t>
  </si>
  <si>
    <t>Aug</t>
  </si>
  <si>
    <t>Sep</t>
  </si>
  <si>
    <t>Holter Monitor - I/P PROC</t>
  </si>
  <si>
    <t>Holter Monitor - O/P PROC</t>
  </si>
  <si>
    <t>Holter Monitor - TOTAL</t>
  </si>
  <si>
    <t>Contini, K</t>
  </si>
  <si>
    <t>Contini, R</t>
  </si>
  <si>
    <t>2017 BUDGETED</t>
  </si>
  <si>
    <t>based on 8month FY 2016 &amp; 4 months FY 2015 not used</t>
  </si>
  <si>
    <t>4mon/8mon</t>
  </si>
  <si>
    <t>F * bud day visit</t>
  </si>
  <si>
    <t>B * C + B</t>
  </si>
  <si>
    <t>stat / day or visit</t>
  </si>
  <si>
    <t xml:space="preserve">times </t>
  </si>
  <si>
    <t>bud day or visit</t>
  </si>
  <si>
    <t xml:space="preserve">budget </t>
  </si>
  <si>
    <t xml:space="preserve">  stats</t>
  </si>
  <si>
    <t>FINAL</t>
  </si>
  <si>
    <t>to be</t>
  </si>
  <si>
    <t>(i - B) / B</t>
  </si>
  <si>
    <t>x</t>
  </si>
  <si>
    <t>D-I</t>
  </si>
  <si>
    <t>C DED MCD - DSH FUNDS</t>
  </si>
  <si>
    <t>C DED MCD - UPL SMP FUNDS</t>
  </si>
  <si>
    <t>Cont. Deduct MCD-LGT LIP</t>
  </si>
  <si>
    <t>C DED MCD - OTHER FUNDS AHC</t>
  </si>
  <si>
    <t>51106000</t>
  </si>
  <si>
    <t>51108000</t>
  </si>
  <si>
    <t>51109000</t>
  </si>
  <si>
    <t>51110000</t>
  </si>
  <si>
    <t xml:space="preserve">          340 B</t>
  </si>
  <si>
    <t xml:space="preserve">          SALARY REIMBURSEMENT</t>
  </si>
  <si>
    <t xml:space="preserve">          PHARMACY SALES</t>
  </si>
  <si>
    <t xml:space="preserve">          RENTAL INCOME</t>
  </si>
  <si>
    <t>1 - H790 - H796</t>
  </si>
  <si>
    <t>1 - H817 - H823</t>
  </si>
  <si>
    <t>2015 ACTUAL</t>
  </si>
  <si>
    <t xml:space="preserve">  XX     PHY FEES-GEN ADMIN  XX</t>
  </si>
  <si>
    <t>FOR FISCAL YEAR ENDING 09/30/17</t>
  </si>
  <si>
    <t>rev * %</t>
  </si>
  <si>
    <t>State Appropriiation for MRI</t>
  </si>
  <si>
    <t>outpatient visist</t>
  </si>
  <si>
    <t>Contractia; adki</t>
  </si>
  <si>
    <t>other discounts</t>
  </si>
  <si>
    <t>FYE 09/30/17</t>
  </si>
  <si>
    <t>YTD 2017</t>
  </si>
  <si>
    <t>2016/2017 ACTUAL</t>
  </si>
  <si>
    <t>2018 BUDGET</t>
  </si>
  <si>
    <t>Imported stats June 2017 into budget. Need to work on revenue, FTE's and expenses</t>
  </si>
  <si>
    <t>Did 2016/2017 actual and budgeted amounts for 2018 from compare</t>
  </si>
  <si>
    <t>stats 2017, 2016, and 2015 spreadsheet</t>
  </si>
  <si>
    <t>No other part of the spreadsheet has been worked as of 073117</t>
  </si>
  <si>
    <t>2017/2016 ACTUAL</t>
  </si>
  <si>
    <t>2018 BUDGETED</t>
  </si>
  <si>
    <t>2018  BUDGETED</t>
  </si>
  <si>
    <t>Stats 2017, Stats and MO Stats info pulled</t>
  </si>
  <si>
    <t>Revenue @$350/patient</t>
  </si>
  <si>
    <t xml:space="preserve">          COST OF DRUGS SOLD - RETAIL 340B</t>
  </si>
  <si>
    <t xml:space="preserve">          OTHER PURCHASE SERV. 340B</t>
  </si>
  <si>
    <t>08/11/17 - Need to check with Tony on update of license???</t>
  </si>
  <si>
    <t xml:space="preserve">          MSHIPS PROF DUES SUB-CT</t>
  </si>
  <si>
    <t xml:space="preserve">          CT-LICENSES</t>
  </si>
  <si>
    <t>8/11/17 - Need to check with Emily on staffing this department, maintenance contract amount and other expenses</t>
  </si>
  <si>
    <t>Above expense numbers are based on last years budget</t>
  </si>
  <si>
    <t xml:space="preserve">          SOFTWARE LICENSE</t>
  </si>
  <si>
    <t xml:space="preserve">          CNSULTING SERVICES</t>
  </si>
  <si>
    <t xml:space="preserve">          OTHER PURCHASED SERVICES</t>
  </si>
  <si>
    <t>8/11/17 - Have not updated this. Charity Care policy is changing which will reduce bad debt expense</t>
  </si>
  <si>
    <t>8/11/17 - Need to look at income guarantee and expenses for Dr. Byrd if he accepts DMH contract proposal</t>
  </si>
  <si>
    <t>Commercial</t>
  </si>
  <si>
    <t>HMO/PPO</t>
  </si>
  <si>
    <t>Private Pay</t>
  </si>
  <si>
    <t>IP</t>
  </si>
  <si>
    <t>OP</t>
  </si>
  <si>
    <t>Swing</t>
  </si>
  <si>
    <t>Compare</t>
  </si>
  <si>
    <t>Increase
(Decrease)</t>
  </si>
  <si>
    <t>Budget to</t>
  </si>
  <si>
    <t xml:space="preserve">Compare </t>
  </si>
  <si>
    <t>Actual to</t>
  </si>
  <si>
    <t>Budget</t>
  </si>
  <si>
    <t>2018
Budgeted</t>
  </si>
  <si>
    <t>8/18/17 - Spoke with Emily. Contract mainteannce starts in January and will be $8000 per month which includes the oxygen &amp; other gases expense</t>
  </si>
  <si>
    <t xml:space="preserve">          MAINT CONTRACT</t>
  </si>
  <si>
    <t>Unless procedures increase to more than 25/month this department will not be staffed</t>
  </si>
  <si>
    <t>2017 Apr 15th</t>
  </si>
  <si>
    <t>provision for bad debt</t>
  </si>
  <si>
    <t>in expense</t>
  </si>
  <si>
    <t>this amount is for Dr. Byrd</t>
  </si>
  <si>
    <t xml:space="preserve">          ER Physician Advisor</t>
  </si>
  <si>
    <t>based on fy2017 ytd 6/30/17</t>
  </si>
  <si>
    <t>based on FY</t>
  </si>
  <si>
    <t>LIP DSH</t>
  </si>
  <si>
    <t>1 = gross rev</t>
  </si>
  <si>
    <t>reimb op Pro FEE</t>
  </si>
  <si>
    <t>reimb op Hosp</t>
  </si>
  <si>
    <t>hosp &amp; pro fee</t>
  </si>
  <si>
    <t>CAH tool for BFY 2017</t>
  </si>
  <si>
    <t>other contractuals</t>
  </si>
  <si>
    <t>total charity</t>
  </si>
  <si>
    <t>♦  +</t>
  </si>
  <si>
    <t>OTHER CONTRACUAL ADJ</t>
  </si>
  <si>
    <t>would break even if deduct were</t>
  </si>
  <si>
    <t xml:space="preserve">noted cost increases in budget </t>
  </si>
  <si>
    <t>SUPPLIES</t>
  </si>
  <si>
    <t>PURCHASED SERVICES</t>
  </si>
  <si>
    <t xml:space="preserve">  CT Maintenance Contract</t>
  </si>
  <si>
    <t xml:space="preserve">  MRI Maintenance Contract</t>
  </si>
  <si>
    <t>MEDICAL SPE FEES</t>
  </si>
  <si>
    <t xml:space="preserve">  ER Physician Director</t>
  </si>
  <si>
    <t xml:space="preserve">  Swing Bed Physician Director</t>
  </si>
  <si>
    <t xml:space="preserve">  Legal fees</t>
  </si>
  <si>
    <t xml:space="preserve">  Collection Fees</t>
  </si>
  <si>
    <t xml:space="preserve">  Software fees</t>
  </si>
  <si>
    <t xml:space="preserve">  Consultant Fees for Business Office</t>
  </si>
  <si>
    <t>Pharmacy cost of drugs</t>
  </si>
  <si>
    <t xml:space="preserve">  Consultant Fees for Administration</t>
  </si>
  <si>
    <t>UTILITIES</t>
  </si>
  <si>
    <t>OTHER OPERATING EXPENSE</t>
  </si>
  <si>
    <t xml:space="preserve">  Physician Recruitment</t>
  </si>
  <si>
    <t>EMPLOYEE BENEFITS</t>
  </si>
  <si>
    <t xml:space="preserve">  from prior budget </t>
  </si>
  <si>
    <t xml:space="preserve">  Worker's Compensation</t>
  </si>
  <si>
    <t xml:space="preserve">  Blue Cross</t>
  </si>
  <si>
    <t xml:space="preserve">  electric</t>
  </si>
  <si>
    <t xml:space="preserve">  Plant Operation Repairs and Maint.</t>
  </si>
  <si>
    <t>Need to look at increasing OP services as this seems to be the trend</t>
  </si>
  <si>
    <t>Recovery cases to match surgery cases</t>
  </si>
  <si>
    <t>Annualized</t>
  </si>
  <si>
    <t>Operating Margin break even if deductions were</t>
  </si>
  <si>
    <t>Keyed budget to general ledger. MRI repairs and maintenance of $10,000 was not pulling to original budget causing this one to be short.</t>
  </si>
  <si>
    <t>;</t>
  </si>
  <si>
    <t>proposed</t>
  </si>
  <si>
    <t>current Oct 2015 -June 2016 + New State FY 1st Qtr</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</si>
</sst>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_)"/>
    <numFmt numFmtId="166" formatCode="0.00_)"/>
    <numFmt numFmtId="167" formatCode="0.0"/>
    <numFmt numFmtId="168" formatCode="&quot;$&quot;#,##0"/>
    <numFmt numFmtId="169" formatCode="0.000_);\(0.000\)"/>
    <numFmt numFmtId="170" formatCode="0.00_);\(0.00\)"/>
    <numFmt numFmtId="171" formatCode="0.0000"/>
    <numFmt numFmtId="172" formatCode="0.000%"/>
  </numFmts>
  <fonts count="59"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Arial"/>
      <family val="2"/>
    </font>
    <font>
      <sz val="10"/>
      <name val="Arial"/>
      <family val="2"/>
    </font>
    <font>
      <sz val="8"/>
      <name val="Arial"/>
      <family val="2"/>
    </font>
    <font>
      <b/>
      <sz val="10"/>
      <name val="Arial"/>
      <family val="2"/>
    </font>
    <font>
      <b/>
      <sz val="8"/>
      <name val="Arial"/>
      <family val="2"/>
    </font>
    <font>
      <sz val="10"/>
      <name val="MS Sans Serif"/>
      <family val="2"/>
    </font>
    <font>
      <b/>
      <sz val="8"/>
      <name val="Tahoma"/>
      <family val="2"/>
    </font>
    <font>
      <sz val="8"/>
      <name val="Tahoma"/>
      <family val="2"/>
    </font>
    <font>
      <sz val="12"/>
      <name val="Arial"/>
      <family val="2"/>
    </font>
    <font>
      <b/>
      <sz val="8"/>
      <color indexed="8"/>
      <name val="Arial"/>
      <family val="2"/>
    </font>
    <font>
      <sz val="10"/>
      <name val="Arial"/>
      <family val="2"/>
    </font>
    <font>
      <sz val="8"/>
      <color theme="1"/>
      <name val="Tahoma"/>
      <family val="2"/>
    </font>
    <font>
      <b/>
      <sz val="12"/>
      <name val="Arial"/>
      <family val="2"/>
    </font>
    <font>
      <b/>
      <sz val="10"/>
      <color indexed="8"/>
      <name val="Arial"/>
      <family val="2"/>
    </font>
    <font>
      <sz val="10"/>
      <color indexed="8"/>
      <name val="Arial"/>
      <family val="2"/>
    </font>
    <font>
      <sz val="12"/>
      <color indexed="8"/>
      <name val="Arial"/>
      <family val="2"/>
    </font>
    <font>
      <b/>
      <sz val="9"/>
      <color indexed="81"/>
      <name val="Tahoma"/>
      <family val="2"/>
    </font>
    <font>
      <sz val="9"/>
      <color indexed="81"/>
      <name val="Tahoma"/>
      <family val="2"/>
    </font>
    <font>
      <sz val="8"/>
      <name val="MS Sans Serif"/>
      <family val="2"/>
    </font>
    <font>
      <b/>
      <sz val="8"/>
      <name val="MS Sans Serif"/>
      <family val="2"/>
    </font>
    <font>
      <b/>
      <sz val="10"/>
      <name val="MS Sans Serif"/>
      <family val="2"/>
    </font>
    <font>
      <sz val="10"/>
      <name val="Tahoma"/>
      <family val="2"/>
    </font>
    <font>
      <b/>
      <sz val="10"/>
      <name val="Tahoma"/>
      <family val="2"/>
    </font>
    <font>
      <sz val="10"/>
      <name val="Arial"/>
      <family val="2"/>
    </font>
    <font>
      <sz val="8"/>
      <color indexed="8"/>
      <name val="Arial"/>
      <family val="2"/>
    </font>
    <font>
      <sz val="8"/>
      <color rgb="FFFF0000"/>
      <name val="Arial"/>
      <family val="2"/>
    </font>
    <font>
      <sz val="8"/>
      <color theme="1"/>
      <name val="Arial"/>
      <family val="2"/>
    </font>
    <font>
      <b/>
      <sz val="8"/>
      <color theme="1"/>
      <name val="Arial"/>
      <family val="2"/>
    </font>
    <font>
      <sz val="12"/>
      <name val="Arial"/>
      <family val="2"/>
    </font>
    <font>
      <b/>
      <i/>
      <sz val="10"/>
      <color theme="1"/>
      <name val="Arial"/>
      <family val="2"/>
    </font>
    <font>
      <sz val="10"/>
      <color rgb="FFFF0000"/>
      <name val="Arial"/>
      <family val="2"/>
    </font>
    <font>
      <sz val="11"/>
      <name val="Arial"/>
      <family val="2"/>
    </font>
    <font>
      <sz val="12"/>
      <name val="Arial"/>
      <family val="2"/>
    </font>
    <font>
      <b/>
      <sz val="12"/>
      <color rgb="FFFF0000"/>
      <name val="Arial"/>
      <family val="2"/>
    </font>
    <font>
      <b/>
      <i/>
      <sz val="12"/>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theme="3"/>
      <name val="Arial"/>
      <family val="2"/>
    </font>
  </fonts>
  <fills count="5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92D050"/>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2" tint="-9.9978637043366805E-2"/>
        <bgColor indexed="64"/>
      </patternFill>
    </fill>
  </fills>
  <borders count="2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43">
    <xf numFmtId="0" fontId="0" fillId="0" borderId="0"/>
    <xf numFmtId="0" fontId="7" fillId="0" borderId="0"/>
    <xf numFmtId="0" fontId="11" fillId="0" borderId="0"/>
    <xf numFmtId="165" fontId="14"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165" fontId="14" fillId="0" borderId="0"/>
    <xf numFmtId="0" fontId="29" fillId="0" borderId="0"/>
    <xf numFmtId="9" fontId="7" fillId="0" borderId="0" applyFont="0" applyFill="0" applyBorder="0" applyAlignment="0" applyProtection="0"/>
    <xf numFmtId="43" fontId="7" fillId="0" borderId="0" applyFont="0" applyFill="0" applyBorder="0" applyAlignment="0" applyProtection="0"/>
    <xf numFmtId="165" fontId="14" fillId="0" borderId="0"/>
    <xf numFmtId="165" fontId="34" fillId="0" borderId="0"/>
    <xf numFmtId="165" fontId="38" fillId="0" borderId="0"/>
    <xf numFmtId="0" fontId="41" fillId="0" borderId="0" applyNumberFormat="0" applyFill="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22" borderId="0" applyNumberFormat="0" applyBorder="0" applyAlignment="0" applyProtection="0"/>
    <xf numFmtId="0" fontId="46" fillId="23" borderId="0" applyNumberFormat="0" applyBorder="0" applyAlignment="0" applyProtection="0"/>
    <xf numFmtId="0" fontId="47" fillId="24" borderId="0" applyNumberFormat="0" applyBorder="0" applyAlignment="0" applyProtection="0"/>
    <xf numFmtId="0" fontId="48" fillId="25" borderId="21" applyNumberFormat="0" applyAlignment="0" applyProtection="0"/>
    <xf numFmtId="0" fontId="49" fillId="26" borderId="22" applyNumberFormat="0" applyAlignment="0" applyProtection="0"/>
    <xf numFmtId="0" fontId="50" fillId="26" borderId="21" applyNumberFormat="0" applyAlignment="0" applyProtection="0"/>
    <xf numFmtId="0" fontId="51" fillId="0" borderId="23" applyNumberFormat="0" applyFill="0" applyAlignment="0" applyProtection="0"/>
    <xf numFmtId="0" fontId="52" fillId="27" borderId="24"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26" applyNumberFormat="0" applyFill="0" applyAlignment="0" applyProtection="0"/>
    <xf numFmtId="0" fontId="5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6" fillId="52" borderId="0" applyNumberFormat="0" applyBorder="0" applyAlignment="0" applyProtection="0"/>
    <xf numFmtId="0" fontId="5" fillId="0" borderId="0"/>
    <xf numFmtId="0" fontId="5" fillId="28" borderId="25" applyNumberFormat="0" applyFont="0" applyAlignment="0" applyProtection="0"/>
    <xf numFmtId="44" fontId="5" fillId="0" borderId="0" applyFont="0" applyFill="0" applyBorder="0" applyAlignment="0" applyProtection="0"/>
    <xf numFmtId="0" fontId="4" fillId="0" borderId="0"/>
    <xf numFmtId="0" fontId="4" fillId="28" borderId="25"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44" fontId="4" fillId="0" borderId="0" applyFont="0" applyFill="0" applyBorder="0" applyAlignment="0" applyProtection="0"/>
    <xf numFmtId="0" fontId="3" fillId="0" borderId="0"/>
    <xf numFmtId="0" fontId="3" fillId="28" borderId="25"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44" fontId="3" fillId="0" borderId="0" applyFont="0" applyFill="0" applyBorder="0" applyAlignment="0" applyProtection="0"/>
    <xf numFmtId="0" fontId="2" fillId="0" borderId="0"/>
    <xf numFmtId="0" fontId="2" fillId="28" borderId="25"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44" fontId="2" fillId="0" borderId="0" applyFont="0" applyFill="0" applyBorder="0" applyAlignment="0" applyProtection="0"/>
    <xf numFmtId="0" fontId="5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165" fontId="14" fillId="0" borderId="0"/>
    <xf numFmtId="165" fontId="14" fillId="0" borderId="0"/>
    <xf numFmtId="0" fontId="2" fillId="0" borderId="0"/>
    <xf numFmtId="0" fontId="2" fillId="28" borderId="25" applyNumberFormat="0" applyFont="0" applyAlignment="0" applyProtection="0"/>
    <xf numFmtId="44" fontId="2" fillId="0" borderId="0" applyFont="0" applyFill="0" applyBorder="0" applyAlignment="0" applyProtection="0"/>
    <xf numFmtId="0" fontId="2" fillId="0" borderId="0"/>
    <xf numFmtId="0" fontId="2" fillId="28" borderId="25"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44" fontId="2" fillId="0" borderId="0" applyFont="0" applyFill="0" applyBorder="0" applyAlignment="0" applyProtection="0"/>
    <xf numFmtId="0" fontId="2" fillId="0" borderId="0"/>
    <xf numFmtId="0" fontId="2" fillId="28" borderId="25"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44" fontId="2" fillId="0" borderId="0" applyFont="0" applyFill="0" applyBorder="0" applyAlignment="0" applyProtection="0"/>
    <xf numFmtId="0" fontId="1" fillId="0" borderId="0"/>
  </cellStyleXfs>
  <cellXfs count="720">
    <xf numFmtId="0" fontId="0" fillId="0" borderId="0" xfId="0"/>
    <xf numFmtId="0" fontId="7" fillId="0" borderId="0" xfId="1"/>
    <xf numFmtId="0" fontId="8" fillId="0" borderId="0" xfId="1" applyFont="1"/>
    <xf numFmtId="43" fontId="8" fillId="0" borderId="0" xfId="1" applyNumberFormat="1" applyFont="1"/>
    <xf numFmtId="0" fontId="8" fillId="0" borderId="0" xfId="1" applyFont="1" applyFill="1"/>
    <xf numFmtId="0" fontId="9" fillId="0" borderId="0" xfId="1" applyFont="1"/>
    <xf numFmtId="0" fontId="10" fillId="0" borderId="0" xfId="1" applyFont="1"/>
    <xf numFmtId="43" fontId="8" fillId="0" borderId="0" xfId="1" applyNumberFormat="1" applyFont="1" applyFill="1"/>
    <xf numFmtId="43" fontId="12" fillId="0" borderId="0" xfId="2" quotePrefix="1" applyNumberFormat="1" applyFont="1" applyAlignment="1">
      <alignment horizontal="right" vertical="top"/>
    </xf>
    <xf numFmtId="43" fontId="10" fillId="2" borderId="0" xfId="1" applyNumberFormat="1" applyFont="1" applyFill="1"/>
    <xf numFmtId="0" fontId="12" fillId="0" borderId="0" xfId="2" quotePrefix="1" applyFont="1" applyAlignment="1">
      <alignment vertical="top"/>
    </xf>
    <xf numFmtId="164" fontId="12" fillId="0" borderId="0" xfId="2" applyNumberFormat="1" applyFont="1" applyAlignment="1">
      <alignment horizontal="right" vertical="top"/>
    </xf>
    <xf numFmtId="0" fontId="7" fillId="0" borderId="0" xfId="1" applyFill="1"/>
    <xf numFmtId="43" fontId="8" fillId="3" borderId="0" xfId="1" applyNumberFormat="1" applyFont="1" applyFill="1"/>
    <xf numFmtId="43" fontId="13" fillId="3" borderId="0" xfId="2" quotePrefix="1" applyNumberFormat="1" applyFont="1" applyFill="1" applyAlignment="1">
      <alignment horizontal="right" vertical="top"/>
    </xf>
    <xf numFmtId="0" fontId="13" fillId="0" borderId="0" xfId="2" quotePrefix="1" applyFont="1" applyFill="1" applyAlignment="1">
      <alignment vertical="top"/>
    </xf>
    <xf numFmtId="164" fontId="13" fillId="0" borderId="0" xfId="2" quotePrefix="1" applyNumberFormat="1" applyFont="1" applyFill="1" applyAlignment="1">
      <alignment horizontal="right" vertical="top"/>
    </xf>
    <xf numFmtId="43" fontId="8" fillId="3" borderId="0" xfId="1" applyNumberFormat="1" applyFont="1" applyFill="1" applyAlignment="1">
      <alignment horizontal="right"/>
    </xf>
    <xf numFmtId="43" fontId="13" fillId="3" borderId="0" xfId="2" applyNumberFormat="1" applyFont="1" applyFill="1" applyAlignment="1">
      <alignment horizontal="right" vertical="top"/>
    </xf>
    <xf numFmtId="0" fontId="10" fillId="3" borderId="0" xfId="1" applyFont="1" applyFill="1"/>
    <xf numFmtId="43" fontId="13" fillId="0" borderId="0" xfId="2" applyNumberFormat="1" applyFont="1" applyAlignment="1">
      <alignment horizontal="right" vertical="top"/>
    </xf>
    <xf numFmtId="164" fontId="13" fillId="0" borderId="0" xfId="2" applyNumberFormat="1" applyFont="1" applyAlignment="1">
      <alignment horizontal="right" vertical="top"/>
    </xf>
    <xf numFmtId="0" fontId="10" fillId="0" borderId="0" xfId="1" applyFont="1" applyAlignment="1">
      <alignment horizontal="center"/>
    </xf>
    <xf numFmtId="0" fontId="10" fillId="0" borderId="0" xfId="1" applyFont="1" applyAlignment="1">
      <alignment horizontal="center"/>
    </xf>
    <xf numFmtId="43" fontId="13" fillId="0" borderId="0" xfId="1" quotePrefix="1" applyNumberFormat="1" applyFont="1" applyAlignment="1">
      <alignment horizontal="right" vertical="top"/>
    </xf>
    <xf numFmtId="0" fontId="13" fillId="0" borderId="0" xfId="1" quotePrefix="1" applyFont="1" applyAlignment="1">
      <alignment vertical="top"/>
    </xf>
    <xf numFmtId="164" fontId="13" fillId="0" borderId="0" xfId="1" applyNumberFormat="1" applyFont="1" applyAlignment="1">
      <alignment horizontal="right" vertical="top"/>
    </xf>
    <xf numFmtId="43" fontId="10" fillId="3" borderId="0" xfId="1" applyNumberFormat="1" applyFont="1" applyFill="1"/>
    <xf numFmtId="43" fontId="13" fillId="0" borderId="0" xfId="2" quotePrefix="1" applyNumberFormat="1" applyFont="1" applyFill="1" applyAlignment="1">
      <alignment horizontal="right" vertical="top"/>
    </xf>
    <xf numFmtId="0" fontId="13" fillId="0" borderId="0" xfId="2" quotePrefix="1" applyFont="1" applyAlignment="1">
      <alignment vertical="top"/>
    </xf>
    <xf numFmtId="0" fontId="12" fillId="0" borderId="0" xfId="1" quotePrefix="1" applyFont="1" applyAlignment="1">
      <alignment vertical="top"/>
    </xf>
    <xf numFmtId="164" fontId="13" fillId="0" borderId="0" xfId="2" applyNumberFormat="1" applyFont="1" applyFill="1" applyAlignment="1">
      <alignment horizontal="right" vertical="top"/>
    </xf>
    <xf numFmtId="164" fontId="13" fillId="0" borderId="0" xfId="1" quotePrefix="1" applyNumberFormat="1" applyFont="1" applyFill="1" applyAlignment="1">
      <alignment horizontal="right" vertical="top"/>
    </xf>
    <xf numFmtId="43" fontId="13" fillId="0" borderId="0" xfId="1" applyNumberFormat="1" applyFont="1" applyAlignment="1">
      <alignment horizontal="right" vertical="top"/>
    </xf>
    <xf numFmtId="41" fontId="8" fillId="0" borderId="0" xfId="1" applyNumberFormat="1" applyFont="1"/>
    <xf numFmtId="165" fontId="15" fillId="0" borderId="0" xfId="3" applyNumberFormat="1" applyFont="1" applyAlignment="1" applyProtection="1">
      <alignment horizontal="right"/>
    </xf>
    <xf numFmtId="0" fontId="8" fillId="0" borderId="0" xfId="1" applyFont="1" applyAlignment="1">
      <alignment horizontal="right"/>
    </xf>
    <xf numFmtId="0" fontId="10" fillId="0" borderId="0" xfId="1" applyFont="1" applyFill="1" applyAlignment="1">
      <alignment horizontal="center"/>
    </xf>
    <xf numFmtId="0" fontId="10" fillId="0" borderId="0" xfId="1" applyFont="1" applyAlignment="1">
      <alignment horizontal="right"/>
    </xf>
    <xf numFmtId="43" fontId="10" fillId="0" borderId="0" xfId="1" applyNumberFormat="1" applyFont="1" applyAlignment="1">
      <alignment horizontal="center"/>
    </xf>
    <xf numFmtId="0" fontId="8" fillId="0" borderId="0" xfId="6" applyFont="1"/>
    <xf numFmtId="0" fontId="10" fillId="0" borderId="0" xfId="6" applyFont="1" applyAlignment="1">
      <alignment horizontal="center"/>
    </xf>
    <xf numFmtId="0" fontId="10" fillId="0" borderId="0" xfId="6" applyFont="1" applyFill="1" applyAlignment="1">
      <alignment horizontal="center"/>
    </xf>
    <xf numFmtId="43" fontId="10" fillId="0" borderId="0" xfId="6" applyNumberFormat="1" applyFont="1" applyAlignment="1">
      <alignment horizontal="center"/>
    </xf>
    <xf numFmtId="0" fontId="10" fillId="0" borderId="0" xfId="6" applyFont="1" applyAlignment="1">
      <alignment horizontal="right"/>
    </xf>
    <xf numFmtId="0" fontId="8" fillId="0" borderId="0" xfId="6" applyFont="1" applyAlignment="1">
      <alignment horizontal="right"/>
    </xf>
    <xf numFmtId="41" fontId="8" fillId="0" borderId="0" xfId="6" applyNumberFormat="1" applyFont="1"/>
    <xf numFmtId="0" fontId="8" fillId="0" borderId="0" xfId="6" applyFont="1" applyFill="1"/>
    <xf numFmtId="43" fontId="8" fillId="0" borderId="0" xfId="6" applyNumberFormat="1" applyFont="1"/>
    <xf numFmtId="0" fontId="10" fillId="0" borderId="0" xfId="6" applyFont="1"/>
    <xf numFmtId="43" fontId="8" fillId="0" borderId="0" xfId="6" applyNumberFormat="1" applyFont="1" applyFill="1"/>
    <xf numFmtId="164" fontId="13" fillId="0" borderId="0" xfId="6" applyNumberFormat="1" applyFont="1" applyAlignment="1">
      <alignment horizontal="right" vertical="top"/>
    </xf>
    <xf numFmtId="43" fontId="13" fillId="0" borderId="0" xfId="6" applyNumberFormat="1" applyFont="1" applyAlignment="1">
      <alignment horizontal="right" vertical="top"/>
    </xf>
    <xf numFmtId="0" fontId="10" fillId="3" borderId="0" xfId="6" applyFont="1" applyFill="1"/>
    <xf numFmtId="164" fontId="13" fillId="0" borderId="0" xfId="6" quotePrefix="1" applyNumberFormat="1" applyFont="1" applyFill="1" applyAlignment="1">
      <alignment horizontal="right" vertical="top"/>
    </xf>
    <xf numFmtId="0" fontId="13" fillId="0" borderId="0" xfId="6" quotePrefix="1" applyFont="1" applyAlignment="1">
      <alignment vertical="top"/>
    </xf>
    <xf numFmtId="43" fontId="13" fillId="0" borderId="0" xfId="6" quotePrefix="1" applyNumberFormat="1" applyFont="1" applyAlignment="1">
      <alignment horizontal="right" vertical="top"/>
    </xf>
    <xf numFmtId="43" fontId="8" fillId="3" borderId="0" xfId="6" applyNumberFormat="1" applyFont="1" applyFill="1"/>
    <xf numFmtId="43" fontId="10" fillId="3" borderId="0" xfId="6" applyNumberFormat="1" applyFont="1" applyFill="1"/>
    <xf numFmtId="43" fontId="10" fillId="0" borderId="0" xfId="6" applyNumberFormat="1" applyFont="1"/>
    <xf numFmtId="0" fontId="9" fillId="0" borderId="0" xfId="6" applyFont="1"/>
    <xf numFmtId="0" fontId="16" fillId="0" borderId="0" xfId="6"/>
    <xf numFmtId="0" fontId="16" fillId="0" borderId="0" xfId="6" applyFill="1"/>
    <xf numFmtId="43" fontId="8" fillId="3" borderId="0" xfId="6" applyNumberFormat="1" applyFont="1" applyFill="1" applyAlignment="1">
      <alignment horizontal="right"/>
    </xf>
    <xf numFmtId="43" fontId="10" fillId="2" borderId="0" xfId="6" applyNumberFormat="1" applyFont="1" applyFill="1"/>
    <xf numFmtId="165" fontId="14" fillId="0" borderId="0" xfId="7"/>
    <xf numFmtId="165" fontId="19" fillId="0" borderId="0" xfId="7" applyNumberFormat="1" applyFont="1" applyAlignment="1" applyProtection="1">
      <alignment horizontal="center"/>
    </xf>
    <xf numFmtId="165" fontId="19" fillId="0" borderId="0" xfId="7" applyNumberFormat="1" applyFont="1" applyFill="1" applyAlignment="1" applyProtection="1">
      <alignment horizontal="center"/>
    </xf>
    <xf numFmtId="165" fontId="15" fillId="0" borderId="0" xfId="7" applyNumberFormat="1" applyFont="1" applyProtection="1"/>
    <xf numFmtId="165" fontId="15" fillId="0" borderId="0" xfId="7" applyNumberFormat="1" applyFont="1" applyAlignment="1" applyProtection="1">
      <alignment horizontal="center"/>
    </xf>
    <xf numFmtId="165" fontId="15" fillId="0" borderId="0" xfId="7" applyNumberFormat="1" applyFont="1" applyAlignment="1" applyProtection="1">
      <alignment horizontal="right"/>
    </xf>
    <xf numFmtId="165" fontId="15" fillId="0" borderId="0" xfId="7" applyNumberFormat="1" applyFont="1" applyAlignment="1" applyProtection="1">
      <alignment horizontal="left"/>
    </xf>
    <xf numFmtId="165" fontId="15" fillId="0" borderId="0" xfId="3" applyNumberFormat="1" applyFont="1" applyProtection="1"/>
    <xf numFmtId="165" fontId="15" fillId="0" borderId="0" xfId="3" applyNumberFormat="1" applyFont="1" applyAlignment="1" applyProtection="1">
      <alignment horizontal="center"/>
    </xf>
    <xf numFmtId="0" fontId="10" fillId="3" borderId="0" xfId="6" applyFont="1" applyFill="1" applyAlignment="1">
      <alignment horizontal="center"/>
    </xf>
    <xf numFmtId="43" fontId="13" fillId="0" borderId="0" xfId="2" quotePrefix="1" applyNumberFormat="1" applyFont="1" applyAlignment="1">
      <alignment horizontal="right" vertical="top"/>
    </xf>
    <xf numFmtId="0" fontId="8" fillId="3" borderId="0" xfId="6" applyFont="1" applyFill="1"/>
    <xf numFmtId="0" fontId="12" fillId="0" borderId="0" xfId="2" quotePrefix="1" applyFont="1" applyFill="1" applyAlignment="1">
      <alignment vertical="top"/>
    </xf>
    <xf numFmtId="43" fontId="13" fillId="0" borderId="0" xfId="2" applyNumberFormat="1" applyFont="1" applyFill="1" applyAlignment="1">
      <alignment horizontal="right" vertical="top"/>
    </xf>
    <xf numFmtId="165" fontId="15" fillId="0" borderId="1" xfId="3" applyNumberFormat="1" applyFont="1" applyBorder="1" applyAlignment="1" applyProtection="1">
      <alignment horizontal="right"/>
    </xf>
    <xf numFmtId="165" fontId="15" fillId="0" borderId="3" xfId="3" applyNumberFormat="1" applyFont="1" applyBorder="1" applyAlignment="1" applyProtection="1">
      <alignment horizontal="right"/>
    </xf>
    <xf numFmtId="165" fontId="15" fillId="0" borderId="5" xfId="3" applyNumberFormat="1" applyFont="1" applyBorder="1" applyAlignment="1" applyProtection="1">
      <alignment horizontal="right"/>
    </xf>
    <xf numFmtId="41" fontId="8" fillId="0" borderId="0" xfId="6" applyNumberFormat="1" applyFont="1" applyFill="1"/>
    <xf numFmtId="41" fontId="10" fillId="0" borderId="0" xfId="6" applyNumberFormat="1" applyFont="1"/>
    <xf numFmtId="165" fontId="10" fillId="0" borderId="0" xfId="3" applyNumberFormat="1" applyFont="1" applyAlignment="1" applyProtection="1">
      <alignment horizontal="right"/>
    </xf>
    <xf numFmtId="0" fontId="12" fillId="3" borderId="0" xfId="6" applyFont="1" applyFill="1" applyAlignment="1">
      <alignment horizontal="center"/>
    </xf>
    <xf numFmtId="0" fontId="12" fillId="0" borderId="0" xfId="6" applyFont="1" applyFill="1" applyAlignment="1">
      <alignment horizontal="center"/>
    </xf>
    <xf numFmtId="164" fontId="12" fillId="0" borderId="0" xfId="2" quotePrefix="1" applyNumberFormat="1" applyFont="1" applyFill="1" applyAlignment="1">
      <alignment horizontal="right" vertical="top"/>
    </xf>
    <xf numFmtId="43" fontId="12" fillId="0" borderId="0" xfId="2" quotePrefix="1" applyNumberFormat="1" applyFont="1" applyFill="1" applyAlignment="1">
      <alignment horizontal="right" vertical="top"/>
    </xf>
    <xf numFmtId="43" fontId="10" fillId="0" borderId="0" xfId="6" applyNumberFormat="1" applyFont="1" applyFill="1"/>
    <xf numFmtId="164" fontId="12" fillId="0" borderId="0" xfId="2" quotePrefix="1" applyNumberFormat="1" applyFont="1" applyAlignment="1">
      <alignment horizontal="right" vertical="top"/>
    </xf>
    <xf numFmtId="0" fontId="24" fillId="0" borderId="0" xfId="2" applyFont="1" applyFill="1"/>
    <xf numFmtId="0" fontId="11" fillId="0" borderId="0" xfId="2" applyFill="1"/>
    <xf numFmtId="0" fontId="10" fillId="0" borderId="0" xfId="1" applyFont="1" applyAlignment="1">
      <alignment horizontal="center"/>
    </xf>
    <xf numFmtId="0" fontId="10" fillId="0" borderId="0" xfId="6" applyFont="1" applyAlignment="1">
      <alignment horizontal="center"/>
    </xf>
    <xf numFmtId="0" fontId="8" fillId="0" borderId="0" xfId="6" applyNumberFormat="1" applyFont="1" applyFill="1"/>
    <xf numFmtId="43" fontId="10" fillId="0" borderId="0" xfId="1" applyNumberFormat="1" applyFont="1"/>
    <xf numFmtId="0" fontId="10" fillId="0" borderId="2" xfId="1" applyFont="1" applyBorder="1"/>
    <xf numFmtId="0" fontId="10" fillId="0" borderId="6" xfId="1" applyFont="1" applyBorder="1"/>
    <xf numFmtId="165" fontId="8" fillId="0" borderId="0" xfId="1" applyNumberFormat="1" applyFont="1" applyFill="1"/>
    <xf numFmtId="41" fontId="8" fillId="0" borderId="0" xfId="1" applyNumberFormat="1" applyFont="1" applyFill="1"/>
    <xf numFmtId="41" fontId="10" fillId="0" borderId="0" xfId="1" applyNumberFormat="1" applyFont="1"/>
    <xf numFmtId="0" fontId="12" fillId="3" borderId="0" xfId="1" applyFont="1" applyFill="1" applyAlignment="1">
      <alignment horizontal="center"/>
    </xf>
    <xf numFmtId="0" fontId="12" fillId="0" borderId="0" xfId="1" applyFont="1" applyFill="1" applyAlignment="1">
      <alignment horizontal="center"/>
    </xf>
    <xf numFmtId="43" fontId="10" fillId="0" borderId="0" xfId="1" applyNumberFormat="1" applyFont="1" applyFill="1"/>
    <xf numFmtId="165" fontId="15" fillId="0" borderId="0" xfId="3" applyNumberFormat="1" applyFont="1" applyBorder="1" applyAlignment="1" applyProtection="1">
      <alignment horizontal="right"/>
    </xf>
    <xf numFmtId="0" fontId="10" fillId="0" borderId="0" xfId="1" applyFont="1" applyBorder="1"/>
    <xf numFmtId="0" fontId="12" fillId="0" borderId="0" xfId="2" applyFont="1" applyFill="1" applyAlignment="1">
      <alignment horizontal="center" vertical="top"/>
    </xf>
    <xf numFmtId="43" fontId="7" fillId="0" borderId="0" xfId="1" applyNumberFormat="1"/>
    <xf numFmtId="43" fontId="9" fillId="0" borderId="0" xfId="1" applyNumberFormat="1" applyFont="1"/>
    <xf numFmtId="0" fontId="10" fillId="0" borderId="0" xfId="6" applyFont="1" applyFill="1"/>
    <xf numFmtId="0" fontId="10" fillId="0" borderId="0" xfId="1" applyFont="1" applyFill="1"/>
    <xf numFmtId="41" fontId="10" fillId="0" borderId="0" xfId="1" applyNumberFormat="1" applyFont="1" applyAlignment="1">
      <alignment horizontal="center"/>
    </xf>
    <xf numFmtId="43" fontId="12" fillId="0" borderId="0" xfId="2" quotePrefix="1" applyNumberFormat="1" applyFont="1" applyAlignment="1">
      <alignment vertical="top"/>
    </xf>
    <xf numFmtId="43" fontId="12" fillId="3" borderId="0" xfId="1" applyNumberFormat="1" applyFont="1" applyFill="1"/>
    <xf numFmtId="169" fontId="13" fillId="0" borderId="0" xfId="2" quotePrefix="1" applyNumberFormat="1" applyFont="1" applyFill="1" applyAlignment="1">
      <alignment horizontal="right" vertical="top"/>
    </xf>
    <xf numFmtId="43" fontId="13" fillId="0" borderId="0" xfId="2" quotePrefix="1" applyNumberFormat="1" applyFont="1" applyAlignment="1">
      <alignment vertical="top"/>
    </xf>
    <xf numFmtId="169" fontId="12" fillId="0" borderId="0" xfId="2" quotePrefix="1" applyNumberFormat="1" applyFont="1" applyFill="1" applyAlignment="1">
      <alignment horizontal="right" vertical="top"/>
    </xf>
    <xf numFmtId="43" fontId="12" fillId="0" borderId="0" xfId="2" applyNumberFormat="1" applyFont="1" applyAlignment="1">
      <alignment horizontal="right" vertical="top"/>
    </xf>
    <xf numFmtId="43" fontId="10" fillId="0" borderId="0" xfId="1" applyNumberFormat="1" applyFont="1" applyAlignment="1">
      <alignment horizontal="center"/>
    </xf>
    <xf numFmtId="43" fontId="13" fillId="0" borderId="0" xfId="2" applyNumberFormat="1" applyFont="1" applyFill="1" applyAlignment="1">
      <alignment vertical="top"/>
    </xf>
    <xf numFmtId="43" fontId="24" fillId="0" borderId="0" xfId="2" applyNumberFormat="1" applyFont="1"/>
    <xf numFmtId="43" fontId="11" fillId="0" borderId="0" xfId="2" applyNumberFormat="1"/>
    <xf numFmtId="43" fontId="13" fillId="0" borderId="0" xfId="2" quotePrefix="1" applyNumberFormat="1" applyFont="1" applyFill="1" applyAlignment="1">
      <alignment vertical="top"/>
    </xf>
    <xf numFmtId="43" fontId="24" fillId="0" borderId="0" xfId="2" applyNumberFormat="1" applyFont="1" applyFill="1"/>
    <xf numFmtId="43" fontId="11" fillId="0" borderId="0" xfId="2" applyNumberFormat="1" applyFill="1"/>
    <xf numFmtId="43" fontId="12" fillId="0" borderId="0" xfId="2" applyNumberFormat="1" applyFont="1" applyFill="1" applyAlignment="1">
      <alignment horizontal="right" vertical="top"/>
    </xf>
    <xf numFmtId="43" fontId="12" fillId="0" borderId="0" xfId="2" quotePrefix="1" applyNumberFormat="1" applyFont="1" applyFill="1" applyAlignment="1">
      <alignment vertical="top"/>
    </xf>
    <xf numFmtId="43" fontId="12" fillId="0" borderId="0" xfId="2" applyNumberFormat="1" applyFont="1" applyFill="1" applyAlignment="1">
      <alignment vertical="top"/>
    </xf>
    <xf numFmtId="43" fontId="25" fillId="0" borderId="0" xfId="2" applyNumberFormat="1" applyFont="1" applyFill="1"/>
    <xf numFmtId="43" fontId="26" fillId="0" borderId="0" xfId="2" applyNumberFormat="1" applyFont="1" applyFill="1"/>
    <xf numFmtId="0" fontId="8" fillId="0" borderId="0" xfId="1" applyNumberFormat="1" applyFont="1" applyFill="1"/>
    <xf numFmtId="164" fontId="12" fillId="0" borderId="0" xfId="2" applyNumberFormat="1" applyFont="1" applyFill="1" applyAlignment="1">
      <alignment horizontal="right" vertical="top"/>
    </xf>
    <xf numFmtId="0" fontId="13" fillId="0" borderId="0" xfId="1" applyFont="1"/>
    <xf numFmtId="0" fontId="13" fillId="0" borderId="0" xfId="1" applyFont="1" applyFill="1"/>
    <xf numFmtId="0" fontId="27" fillId="0" borderId="0" xfId="1" applyFont="1"/>
    <xf numFmtId="165" fontId="12" fillId="0" borderId="0" xfId="3" applyNumberFormat="1" applyFont="1" applyAlignment="1" applyProtection="1">
      <alignment horizontal="right"/>
    </xf>
    <xf numFmtId="41" fontId="12" fillId="0" borderId="0" xfId="1" applyNumberFormat="1" applyFont="1"/>
    <xf numFmtId="43" fontId="13" fillId="0" borderId="0" xfId="1" applyNumberFormat="1" applyFont="1"/>
    <xf numFmtId="165" fontId="15" fillId="0" borderId="0" xfId="3" applyNumberFormat="1" applyFont="1" applyFill="1" applyAlignment="1" applyProtection="1">
      <alignment horizontal="right"/>
    </xf>
    <xf numFmtId="0" fontId="12" fillId="0" borderId="0" xfId="1" applyFont="1" applyFill="1"/>
    <xf numFmtId="41" fontId="12" fillId="0" borderId="0" xfId="1" applyNumberFormat="1" applyFont="1" applyFill="1"/>
    <xf numFmtId="43" fontId="13" fillId="0" borderId="0" xfId="1" applyNumberFormat="1" applyFont="1" applyFill="1"/>
    <xf numFmtId="43" fontId="13" fillId="3" borderId="0" xfId="1" applyNumberFormat="1" applyFont="1" applyFill="1"/>
    <xf numFmtId="43" fontId="27" fillId="0" borderId="0" xfId="1" applyNumberFormat="1" applyFont="1"/>
    <xf numFmtId="43" fontId="12" fillId="0" borderId="0" xfId="1" applyNumberFormat="1" applyFont="1" applyFill="1"/>
    <xf numFmtId="0" fontId="12" fillId="0" borderId="0" xfId="1" applyFont="1"/>
    <xf numFmtId="0" fontId="28" fillId="0" borderId="0" xfId="1" applyFont="1"/>
    <xf numFmtId="0" fontId="13" fillId="0" borderId="0" xfId="2" applyFont="1" applyFill="1" applyAlignment="1">
      <alignment vertical="top"/>
    </xf>
    <xf numFmtId="0" fontId="13" fillId="0" borderId="0" xfId="2" applyFont="1"/>
    <xf numFmtId="0" fontId="27" fillId="0" borderId="0" xfId="2" applyFont="1"/>
    <xf numFmtId="0" fontId="11" fillId="0" borderId="0" xfId="2"/>
    <xf numFmtId="0" fontId="13" fillId="0" borderId="0" xfId="2" applyFont="1" applyFill="1"/>
    <xf numFmtId="43" fontId="8" fillId="0" borderId="0" xfId="2" applyNumberFormat="1" applyFont="1" applyFill="1"/>
    <xf numFmtId="43" fontId="10" fillId="0" borderId="0" xfId="2" applyNumberFormat="1" applyFont="1" applyFill="1"/>
    <xf numFmtId="0" fontId="27" fillId="0" borderId="0" xfId="2" applyFont="1" applyFill="1"/>
    <xf numFmtId="0" fontId="12" fillId="0" borderId="0" xfId="2" applyFont="1"/>
    <xf numFmtId="43" fontId="10" fillId="0" borderId="0" xfId="2" applyNumberFormat="1" applyFont="1"/>
    <xf numFmtId="0" fontId="28" fillId="0" borderId="0" xfId="2" applyFont="1"/>
    <xf numFmtId="0" fontId="26" fillId="0" borderId="0" xfId="2" applyFont="1"/>
    <xf numFmtId="0" fontId="7" fillId="0" borderId="0" xfId="1" applyFont="1"/>
    <xf numFmtId="0" fontId="12" fillId="0" borderId="0" xfId="2" applyFont="1" applyAlignment="1">
      <alignment horizontal="right" vertical="top"/>
    </xf>
    <xf numFmtId="165" fontId="10" fillId="0" borderId="0" xfId="3" applyNumberFormat="1" applyFont="1" applyFill="1" applyAlignment="1" applyProtection="1">
      <alignment horizontal="right"/>
    </xf>
    <xf numFmtId="164" fontId="13" fillId="0" borderId="0" xfId="2" quotePrefix="1" applyNumberFormat="1" applyFont="1" applyAlignment="1">
      <alignment horizontal="right" vertical="top"/>
    </xf>
    <xf numFmtId="0" fontId="24" fillId="0" borderId="0" xfId="2" applyFont="1"/>
    <xf numFmtId="0" fontId="12" fillId="0" borderId="0" xfId="2" applyFont="1" applyFill="1" applyAlignment="1">
      <alignment vertical="top"/>
    </xf>
    <xf numFmtId="0" fontId="25" fillId="0" borderId="0" xfId="2" applyFont="1"/>
    <xf numFmtId="43" fontId="12" fillId="0" borderId="0" xfId="1" applyNumberFormat="1" applyFont="1" applyAlignment="1">
      <alignment vertical="top"/>
    </xf>
    <xf numFmtId="0" fontId="12" fillId="3" borderId="0" xfId="1" applyFont="1" applyFill="1"/>
    <xf numFmtId="0" fontId="25" fillId="0" borderId="0" xfId="2" applyFont="1" applyFill="1"/>
    <xf numFmtId="0" fontId="26" fillId="0" borderId="0" xfId="2" applyFont="1" applyFill="1"/>
    <xf numFmtId="0" fontId="8" fillId="0" borderId="0" xfId="1" applyFont="1" applyFill="1" applyAlignment="1">
      <alignment horizontal="right"/>
    </xf>
    <xf numFmtId="0" fontId="12" fillId="0" borderId="0" xfId="2" quotePrefix="1" applyFont="1" applyAlignment="1">
      <alignment horizontal="right" vertical="top"/>
    </xf>
    <xf numFmtId="0" fontId="10" fillId="0" borderId="0" xfId="1" applyFont="1" applyAlignment="1">
      <alignment horizontal="center"/>
    </xf>
    <xf numFmtId="43" fontId="10" fillId="0" borderId="0" xfId="1" applyNumberFormat="1" applyFont="1" applyAlignment="1">
      <alignment horizontal="center"/>
    </xf>
    <xf numFmtId="0" fontId="12" fillId="0" borderId="0" xfId="6" quotePrefix="1" applyFont="1" applyAlignment="1">
      <alignment horizontal="right" vertical="top"/>
    </xf>
    <xf numFmtId="0" fontId="10" fillId="0" borderId="0" xfId="1" applyFont="1" applyAlignment="1">
      <alignment horizontal="center"/>
    </xf>
    <xf numFmtId="43" fontId="10" fillId="0" borderId="0" xfId="1" applyNumberFormat="1" applyFont="1" applyAlignment="1">
      <alignment horizontal="center"/>
    </xf>
    <xf numFmtId="0" fontId="8" fillId="5" borderId="0" xfId="1" applyFont="1" applyFill="1"/>
    <xf numFmtId="43" fontId="8" fillId="5" borderId="0" xfId="1" applyNumberFormat="1" applyFont="1" applyFill="1"/>
    <xf numFmtId="43" fontId="12" fillId="3" borderId="0" xfId="2" applyNumberFormat="1" applyFont="1" applyFill="1" applyAlignment="1">
      <alignment horizontal="right" vertical="top"/>
    </xf>
    <xf numFmtId="43" fontId="12" fillId="0" borderId="0" xfId="2" applyNumberFormat="1" applyFont="1" applyFill="1" applyAlignment="1">
      <alignment horizontal="center" vertical="top"/>
    </xf>
    <xf numFmtId="43" fontId="12" fillId="3" borderId="0" xfId="2" applyNumberFormat="1" applyFont="1" applyFill="1" applyAlignment="1">
      <alignment horizontal="center" vertical="top"/>
    </xf>
    <xf numFmtId="4" fontId="10" fillId="0" borderId="0" xfId="1" applyNumberFormat="1" applyFont="1" applyFill="1"/>
    <xf numFmtId="0" fontId="9" fillId="0" borderId="0" xfId="1" applyFont="1" applyFill="1"/>
    <xf numFmtId="0" fontId="10" fillId="0" borderId="0" xfId="1" applyFont="1" applyAlignment="1">
      <alignment horizontal="center"/>
    </xf>
    <xf numFmtId="43" fontId="10" fillId="0" borderId="0" xfId="1" applyNumberFormat="1" applyFont="1" applyAlignment="1">
      <alignment horizontal="center"/>
    </xf>
    <xf numFmtId="0" fontId="8" fillId="0" borderId="0" xfId="2" applyNumberFormat="1" applyFont="1" applyFill="1"/>
    <xf numFmtId="43" fontId="12" fillId="0" borderId="0" xfId="2" applyNumberFormat="1" applyFont="1" applyAlignment="1">
      <alignment horizontal="center" vertical="top"/>
    </xf>
    <xf numFmtId="0" fontId="10" fillId="0" borderId="0" xfId="1" applyFont="1" applyFill="1" applyAlignment="1">
      <alignment horizontal="right"/>
    </xf>
    <xf numFmtId="165" fontId="15" fillId="0" borderId="0" xfId="3" applyNumberFormat="1" applyFont="1" applyFill="1" applyBorder="1" applyAlignment="1" applyProtection="1">
      <alignment horizontal="right"/>
    </xf>
    <xf numFmtId="0" fontId="10" fillId="0" borderId="0" xfId="1" applyFont="1" applyFill="1" applyBorder="1" applyAlignment="1">
      <alignment horizontal="right"/>
    </xf>
    <xf numFmtId="0" fontId="10" fillId="0" borderId="0" xfId="1" applyFont="1" applyAlignment="1"/>
    <xf numFmtId="0" fontId="10" fillId="0" borderId="0" xfId="1" applyFont="1" applyFill="1" applyAlignment="1"/>
    <xf numFmtId="164" fontId="10" fillId="0" borderId="0" xfId="2" applyNumberFormat="1" applyFont="1" applyFill="1" applyAlignment="1">
      <alignment horizontal="center" vertical="top"/>
    </xf>
    <xf numFmtId="0" fontId="10" fillId="0" borderId="0" xfId="1" applyFont="1" applyFill="1" applyAlignment="1">
      <alignment horizontal="center"/>
    </xf>
    <xf numFmtId="0" fontId="8" fillId="0" borderId="0" xfId="1" applyFont="1" applyFill="1" applyAlignment="1">
      <alignment horizontal="left"/>
    </xf>
    <xf numFmtId="0" fontId="10" fillId="0" borderId="0" xfId="1" applyFont="1" applyAlignment="1">
      <alignment horizontal="center"/>
    </xf>
    <xf numFmtId="43" fontId="10" fillId="0" borderId="0" xfId="1" applyNumberFormat="1" applyFont="1" applyAlignment="1">
      <alignment horizontal="center"/>
    </xf>
    <xf numFmtId="0" fontId="10" fillId="0" borderId="0" xfId="1" applyFont="1" applyFill="1" applyAlignment="1">
      <alignment horizontal="center"/>
    </xf>
    <xf numFmtId="0" fontId="12" fillId="0" borderId="0" xfId="2" quotePrefix="1" applyFont="1" applyFill="1" applyAlignment="1">
      <alignment horizontal="left" vertical="top"/>
    </xf>
    <xf numFmtId="0" fontId="8" fillId="0" borderId="0" xfId="2" quotePrefix="1" applyFont="1" applyFill="1" applyAlignment="1">
      <alignment vertical="top"/>
    </xf>
    <xf numFmtId="164" fontId="10" fillId="0" borderId="0" xfId="2" applyNumberFormat="1" applyFont="1" applyFill="1" applyAlignment="1">
      <alignment horizontal="right" vertical="top"/>
    </xf>
    <xf numFmtId="0" fontId="10" fillId="0" borderId="0" xfId="2" quotePrefix="1" applyFont="1" applyFill="1" applyAlignment="1">
      <alignment vertical="top"/>
    </xf>
    <xf numFmtId="164" fontId="10" fillId="0" borderId="0" xfId="2" quotePrefix="1" applyNumberFormat="1" applyFont="1" applyFill="1" applyAlignment="1">
      <alignment horizontal="right" vertical="top"/>
    </xf>
    <xf numFmtId="0" fontId="10" fillId="0" borderId="0" xfId="1" applyFont="1" applyAlignment="1">
      <alignment horizontal="center"/>
    </xf>
    <xf numFmtId="43" fontId="10" fillId="0" borderId="0" xfId="1" applyNumberFormat="1" applyFont="1" applyAlignment="1">
      <alignment horizontal="center"/>
    </xf>
    <xf numFmtId="0" fontId="10" fillId="0" borderId="0" xfId="1" applyFont="1" applyFill="1" applyAlignment="1">
      <alignment horizontal="center"/>
    </xf>
    <xf numFmtId="165" fontId="15" fillId="0" borderId="0" xfId="0" applyNumberFormat="1" applyFont="1" applyAlignment="1" applyProtection="1">
      <alignment horizontal="center"/>
    </xf>
    <xf numFmtId="165" fontId="15" fillId="0" borderId="0" xfId="0" applyNumberFormat="1" applyFont="1" applyProtection="1"/>
    <xf numFmtId="43" fontId="10" fillId="0" borderId="0" xfId="1" applyNumberFormat="1" applyFont="1" applyAlignment="1">
      <alignment horizontal="center"/>
    </xf>
    <xf numFmtId="165" fontId="15" fillId="0" borderId="0" xfId="0" applyNumberFormat="1" applyFont="1" applyAlignment="1" applyProtection="1">
      <alignment horizontal="left"/>
    </xf>
    <xf numFmtId="0" fontId="10" fillId="0" borderId="0" xfId="1" applyFont="1" applyAlignment="1">
      <alignment horizontal="center"/>
    </xf>
    <xf numFmtId="0" fontId="8" fillId="0" borderId="0" xfId="2" applyFont="1" applyAlignment="1">
      <alignment horizontal="right" vertical="top"/>
    </xf>
    <xf numFmtId="0" fontId="8" fillId="0" borderId="0" xfId="2" applyFont="1" applyAlignment="1">
      <alignment vertical="top"/>
    </xf>
    <xf numFmtId="0" fontId="8" fillId="0" borderId="0" xfId="2" applyFont="1" applyFill="1" applyAlignment="1">
      <alignment horizontal="right" vertical="top"/>
    </xf>
    <xf numFmtId="0" fontId="8" fillId="0" borderId="0" xfId="2" applyFont="1" applyFill="1" applyAlignment="1">
      <alignment vertical="top"/>
    </xf>
    <xf numFmtId="43" fontId="10" fillId="0" borderId="0" xfId="8" applyNumberFormat="1" applyFont="1" applyAlignment="1">
      <alignment horizontal="center"/>
    </xf>
    <xf numFmtId="0" fontId="8" fillId="0" borderId="0" xfId="2" applyFont="1"/>
    <xf numFmtId="0" fontId="10" fillId="0" borderId="0" xfId="2" applyFont="1" applyFill="1" applyAlignment="1">
      <alignment horizontal="right"/>
    </xf>
    <xf numFmtId="0" fontId="10" fillId="0" borderId="0" xfId="2" applyFont="1"/>
    <xf numFmtId="43" fontId="8" fillId="0" borderId="0" xfId="2" applyNumberFormat="1" applyFont="1"/>
    <xf numFmtId="0" fontId="10" fillId="0" borderId="0" xfId="2" applyFont="1" applyFill="1" applyAlignment="1">
      <alignment vertical="top"/>
    </xf>
    <xf numFmtId="164" fontId="8" fillId="0" borderId="0" xfId="2" applyNumberFormat="1" applyFont="1" applyAlignment="1">
      <alignment horizontal="right" vertical="top"/>
    </xf>
    <xf numFmtId="0" fontId="10" fillId="0" borderId="0" xfId="2" quotePrefix="1" applyFont="1" applyAlignment="1">
      <alignment vertical="top"/>
    </xf>
    <xf numFmtId="43" fontId="8" fillId="0" borderId="0" xfId="2" applyNumberFormat="1" applyFont="1" applyFill="1" applyAlignment="1">
      <alignment horizontal="right" vertical="top"/>
    </xf>
    <xf numFmtId="0" fontId="10" fillId="0" borderId="0" xfId="2" applyFont="1" applyFill="1" applyAlignment="1"/>
    <xf numFmtId="164" fontId="8" fillId="0" borderId="0" xfId="2" quotePrefix="1" applyNumberFormat="1" applyFont="1" applyAlignment="1">
      <alignment horizontal="right" vertical="top"/>
    </xf>
    <xf numFmtId="0" fontId="8" fillId="0" borderId="0" xfId="2" quotePrefix="1" applyFont="1" applyAlignment="1">
      <alignment vertical="top"/>
    </xf>
    <xf numFmtId="43" fontId="8" fillId="0" borderId="0" xfId="2" quotePrefix="1" applyNumberFormat="1" applyFont="1" applyFill="1" applyAlignment="1">
      <alignment horizontal="right" vertical="top"/>
    </xf>
    <xf numFmtId="43" fontId="8" fillId="0" borderId="0" xfId="2" applyNumberFormat="1" applyFont="1" applyFill="1" applyAlignment="1"/>
    <xf numFmtId="164" fontId="10" fillId="0" borderId="0" xfId="2" applyNumberFormat="1" applyFont="1" applyAlignment="1">
      <alignment horizontal="right" vertical="top"/>
    </xf>
    <xf numFmtId="43" fontId="10" fillId="0" borderId="0" xfId="2" quotePrefix="1" applyNumberFormat="1" applyFont="1" applyFill="1" applyAlignment="1">
      <alignment horizontal="right" vertical="top"/>
    </xf>
    <xf numFmtId="43" fontId="10" fillId="0" borderId="0" xfId="2" applyNumberFormat="1" applyFont="1" applyFill="1" applyAlignment="1"/>
    <xf numFmtId="164" fontId="10" fillId="0" borderId="0" xfId="2" quotePrefix="1" applyNumberFormat="1" applyFont="1" applyAlignment="1">
      <alignment horizontal="right" vertical="top"/>
    </xf>
    <xf numFmtId="0" fontId="8" fillId="0" borderId="0" xfId="2" applyNumberFormat="1" applyFont="1" applyFill="1" applyAlignment="1"/>
    <xf numFmtId="43" fontId="10" fillId="6" borderId="0" xfId="2" applyNumberFormat="1" applyFont="1" applyFill="1" applyAlignment="1"/>
    <xf numFmtId="0" fontId="8" fillId="0" borderId="0" xfId="2" applyFont="1" applyFill="1"/>
    <xf numFmtId="0" fontId="10" fillId="0" borderId="0" xfId="2" applyFont="1" applyFill="1"/>
    <xf numFmtId="41" fontId="10" fillId="0" borderId="0" xfId="2" applyNumberFormat="1" applyFont="1"/>
    <xf numFmtId="43" fontId="10" fillId="0" borderId="0" xfId="2" applyNumberFormat="1" applyFont="1" applyFill="1" applyAlignment="1">
      <alignment horizontal="right" vertical="top"/>
    </xf>
    <xf numFmtId="43" fontId="10" fillId="0" borderId="0" xfId="2" applyNumberFormat="1" applyFont="1" applyFill="1" applyAlignment="1">
      <alignment horizontal="center" vertical="top"/>
    </xf>
    <xf numFmtId="0" fontId="10" fillId="0" borderId="0" xfId="2" applyFont="1" applyAlignment="1">
      <alignment vertical="top"/>
    </xf>
    <xf numFmtId="164" fontId="8" fillId="0" borderId="0" xfId="2" quotePrefix="1" applyNumberFormat="1" applyFont="1" applyFill="1" applyAlignment="1">
      <alignment horizontal="right" vertical="top"/>
    </xf>
    <xf numFmtId="164" fontId="8" fillId="0" borderId="0" xfId="2" applyNumberFormat="1" applyFont="1" applyFill="1" applyAlignment="1">
      <alignment horizontal="right" vertical="top"/>
    </xf>
    <xf numFmtId="0" fontId="10" fillId="0" borderId="0" xfId="2" applyFont="1" applyAlignment="1"/>
    <xf numFmtId="0" fontId="10" fillId="0" borderId="0" xfId="2" applyFont="1" applyFill="1" applyAlignment="1">
      <alignment horizontal="right" vertical="top"/>
    </xf>
    <xf numFmtId="41" fontId="10" fillId="0" borderId="0" xfId="2" applyNumberFormat="1" applyFont="1" applyFill="1"/>
    <xf numFmtId="0" fontId="11" fillId="0" borderId="0" xfId="2" applyFont="1" applyFill="1"/>
    <xf numFmtId="43" fontId="8" fillId="3" borderId="0" xfId="2" applyNumberFormat="1" applyFont="1" applyFill="1" applyAlignment="1">
      <alignment horizontal="right" vertical="top"/>
    </xf>
    <xf numFmtId="43" fontId="10" fillId="7" borderId="0" xfId="2" quotePrefix="1" applyNumberFormat="1" applyFont="1" applyFill="1" applyAlignment="1">
      <alignment horizontal="right" vertical="top"/>
    </xf>
    <xf numFmtId="0" fontId="10" fillId="0" borderId="0" xfId="1" applyFont="1" applyAlignment="1">
      <alignment horizontal="center"/>
    </xf>
    <xf numFmtId="43" fontId="10" fillId="0" borderId="0" xfId="1" applyNumberFormat="1" applyFont="1" applyAlignment="1">
      <alignment horizontal="center"/>
    </xf>
    <xf numFmtId="0" fontId="10" fillId="0" borderId="0" xfId="1" applyFont="1" applyFill="1" applyAlignment="1">
      <alignment horizontal="center"/>
    </xf>
    <xf numFmtId="0" fontId="10" fillId="0" borderId="0" xfId="2" applyFont="1" applyAlignment="1">
      <alignment horizontal="center"/>
    </xf>
    <xf numFmtId="10" fontId="10" fillId="0" borderId="0" xfId="1" applyNumberFormat="1" applyFont="1" applyFill="1" applyAlignment="1">
      <alignment horizontal="center" wrapText="1"/>
    </xf>
    <xf numFmtId="165" fontId="30" fillId="0" borderId="0" xfId="3" applyNumberFormat="1" applyFont="1" applyAlignment="1" applyProtection="1">
      <alignment horizontal="right"/>
    </xf>
    <xf numFmtId="10" fontId="8" fillId="2" borderId="0" xfId="1" applyNumberFormat="1" applyFont="1" applyFill="1" applyAlignment="1">
      <alignment horizontal="right"/>
    </xf>
    <xf numFmtId="41" fontId="8" fillId="0" borderId="0" xfId="1" applyNumberFormat="1" applyFont="1" applyAlignment="1">
      <alignment horizontal="right"/>
    </xf>
    <xf numFmtId="41" fontId="10" fillId="0" borderId="0" xfId="1" applyNumberFormat="1" applyFont="1" applyAlignment="1">
      <alignment horizontal="right"/>
    </xf>
    <xf numFmtId="165" fontId="13" fillId="0" borderId="0" xfId="3" applyNumberFormat="1" applyFont="1" applyAlignment="1" applyProtection="1">
      <alignment horizontal="right"/>
    </xf>
    <xf numFmtId="10" fontId="8" fillId="0" borderId="0" xfId="1" applyNumberFormat="1" applyFont="1" applyFill="1"/>
    <xf numFmtId="165" fontId="8" fillId="0" borderId="0" xfId="3" applyNumberFormat="1" applyFont="1" applyAlignment="1" applyProtection="1">
      <alignment horizontal="right"/>
    </xf>
    <xf numFmtId="165" fontId="30" fillId="0" borderId="0" xfId="3" applyNumberFormat="1" applyFont="1" applyFill="1" applyAlignment="1" applyProtection="1">
      <alignment horizontal="right"/>
    </xf>
    <xf numFmtId="0" fontId="8" fillId="0" borderId="0" xfId="1" applyFont="1" applyAlignment="1">
      <alignment horizontal="left"/>
    </xf>
    <xf numFmtId="165" fontId="30" fillId="0" borderId="0" xfId="11" applyNumberFormat="1" applyFont="1" applyAlignment="1" applyProtection="1">
      <alignment horizontal="right"/>
    </xf>
    <xf numFmtId="165" fontId="30" fillId="0" borderId="0" xfId="3" applyNumberFormat="1" applyFont="1" applyBorder="1" applyAlignment="1" applyProtection="1">
      <alignment horizontal="right"/>
    </xf>
    <xf numFmtId="0" fontId="10" fillId="0" borderId="7" xfId="1" applyFont="1" applyFill="1" applyBorder="1" applyAlignment="1">
      <alignment horizontal="center" wrapText="1"/>
    </xf>
    <xf numFmtId="0" fontId="8" fillId="0" borderId="0" xfId="1" applyFont="1" applyFill="1" applyBorder="1"/>
    <xf numFmtId="0" fontId="8" fillId="7" borderId="8" xfId="1" applyFont="1" applyFill="1" applyBorder="1"/>
    <xf numFmtId="0" fontId="10" fillId="7" borderId="8" xfId="1" applyFont="1" applyFill="1" applyBorder="1"/>
    <xf numFmtId="10" fontId="8" fillId="0" borderId="0" xfId="1" applyNumberFormat="1" applyFont="1" applyFill="1" applyAlignment="1">
      <alignment horizontal="right"/>
    </xf>
    <xf numFmtId="10" fontId="8" fillId="0" borderId="0" xfId="7" applyNumberFormat="1" applyFont="1" applyAlignment="1">
      <alignment horizontal="center"/>
    </xf>
    <xf numFmtId="0" fontId="10" fillId="0" borderId="0" xfId="1" applyFont="1" applyFill="1" applyBorder="1"/>
    <xf numFmtId="0" fontId="8" fillId="0" borderId="7" xfId="2" applyFont="1" applyBorder="1"/>
    <xf numFmtId="0" fontId="8" fillId="0" borderId="8" xfId="2" applyFont="1" applyBorder="1"/>
    <xf numFmtId="10" fontId="8" fillId="0" borderId="0" xfId="2" applyNumberFormat="1" applyFont="1"/>
    <xf numFmtId="0" fontId="11" fillId="0" borderId="0" xfId="2" applyFont="1"/>
    <xf numFmtId="0" fontId="10" fillId="0" borderId="0" xfId="2" applyFont="1" applyAlignment="1">
      <alignment horizontal="right" vertical="top"/>
    </xf>
    <xf numFmtId="0" fontId="10" fillId="0" borderId="8" xfId="2" applyFont="1" applyBorder="1"/>
    <xf numFmtId="10" fontId="10" fillId="0" borderId="0" xfId="2" applyNumberFormat="1" applyFont="1"/>
    <xf numFmtId="0" fontId="10" fillId="0" borderId="0" xfId="2" applyFont="1" applyAlignment="1">
      <alignment horizontal="right"/>
    </xf>
    <xf numFmtId="165" fontId="31" fillId="0" borderId="0" xfId="3" applyNumberFormat="1" applyFont="1" applyAlignment="1" applyProtection="1">
      <alignment horizontal="right"/>
    </xf>
    <xf numFmtId="0" fontId="32" fillId="0" borderId="0" xfId="0" applyFont="1"/>
    <xf numFmtId="43" fontId="33" fillId="0" borderId="0" xfId="0" applyNumberFormat="1" applyFont="1"/>
    <xf numFmtId="43" fontId="32" fillId="0" borderId="0" xfId="0" applyNumberFormat="1" applyFont="1"/>
    <xf numFmtId="43" fontId="0" fillId="0" borderId="0" xfId="0" applyNumberFormat="1"/>
    <xf numFmtId="165" fontId="30" fillId="0" borderId="0" xfId="3" applyNumberFormat="1" applyFont="1" applyFill="1" applyAlignment="1" applyProtection="1">
      <alignment horizontal="left"/>
    </xf>
    <xf numFmtId="0" fontId="8" fillId="0" borderId="8" xfId="2" applyFont="1" applyFill="1" applyBorder="1"/>
    <xf numFmtId="10" fontId="8" fillId="0" borderId="0" xfId="2" applyNumberFormat="1" applyFont="1" applyFill="1"/>
    <xf numFmtId="43" fontId="13" fillId="8" borderId="0" xfId="2" quotePrefix="1" applyNumberFormat="1" applyFont="1" applyFill="1" applyAlignment="1">
      <alignment horizontal="right" vertical="top"/>
    </xf>
    <xf numFmtId="43" fontId="8" fillId="8" borderId="0" xfId="1" applyNumberFormat="1" applyFont="1" applyFill="1"/>
    <xf numFmtId="43" fontId="10" fillId="8" borderId="0" xfId="1" applyNumberFormat="1" applyFont="1" applyFill="1"/>
    <xf numFmtId="43" fontId="12" fillId="8" borderId="0" xfId="2" quotePrefix="1" applyNumberFormat="1" applyFont="1" applyFill="1" applyAlignment="1">
      <alignment horizontal="right" vertical="top"/>
    </xf>
    <xf numFmtId="43" fontId="8" fillId="8" borderId="0" xfId="6" applyNumberFormat="1" applyFont="1" applyFill="1"/>
    <xf numFmtId="43" fontId="10" fillId="8" borderId="0" xfId="6" applyNumberFormat="1" applyFont="1" applyFill="1"/>
    <xf numFmtId="0" fontId="10" fillId="8" borderId="0" xfId="6" applyFont="1" applyFill="1"/>
    <xf numFmtId="0" fontId="8" fillId="8" borderId="0" xfId="1" applyFont="1" applyFill="1"/>
    <xf numFmtId="0" fontId="10" fillId="8" borderId="0" xfId="1" applyFont="1" applyFill="1"/>
    <xf numFmtId="0" fontId="10" fillId="8" borderId="0" xfId="1" applyNumberFormat="1" applyFont="1" applyFill="1"/>
    <xf numFmtId="43" fontId="13" fillId="8" borderId="0" xfId="1" applyNumberFormat="1" applyFont="1" applyFill="1"/>
    <xf numFmtId="0" fontId="13" fillId="8" borderId="0" xfId="1" applyFont="1" applyFill="1"/>
    <xf numFmtId="43" fontId="12" fillId="8" borderId="0" xfId="1" applyNumberFormat="1" applyFont="1" applyFill="1"/>
    <xf numFmtId="165" fontId="15" fillId="0" borderId="0" xfId="0" applyNumberFormat="1" applyFont="1" applyAlignment="1" applyProtection="1">
      <alignment horizontal="right"/>
    </xf>
    <xf numFmtId="0" fontId="8" fillId="0" borderId="0" xfId="6" applyNumberFormat="1" applyFont="1"/>
    <xf numFmtId="0" fontId="13" fillId="0" borderId="0" xfId="1" applyNumberFormat="1" applyFont="1" applyFill="1"/>
    <xf numFmtId="0" fontId="8" fillId="0" borderId="0" xfId="1" applyNumberFormat="1" applyFont="1"/>
    <xf numFmtId="0" fontId="8" fillId="0" borderId="0" xfId="2" applyNumberFormat="1" applyFont="1" applyFill="1" applyAlignment="1">
      <alignment vertical="top"/>
    </xf>
    <xf numFmtId="0" fontId="10" fillId="0" borderId="0" xfId="1" applyNumberFormat="1" applyFont="1"/>
    <xf numFmtId="0" fontId="8" fillId="0" borderId="0" xfId="1" applyNumberFormat="1" applyFont="1" applyAlignment="1">
      <alignment horizontal="right"/>
    </xf>
    <xf numFmtId="1" fontId="8" fillId="0" borderId="0" xfId="1" applyNumberFormat="1" applyFont="1"/>
    <xf numFmtId="1" fontId="10" fillId="0" borderId="0" xfId="1" applyNumberFormat="1" applyFont="1" applyAlignment="1">
      <alignment horizontal="center" wrapText="1"/>
    </xf>
    <xf numFmtId="1" fontId="10" fillId="0" borderId="0" xfId="1" applyNumberFormat="1" applyFont="1"/>
    <xf numFmtId="1" fontId="8" fillId="0" borderId="0" xfId="1" applyNumberFormat="1" applyFont="1" applyAlignment="1">
      <alignment horizontal="right"/>
    </xf>
    <xf numFmtId="37" fontId="10" fillId="0" borderId="0" xfId="1" applyNumberFormat="1" applyFont="1"/>
    <xf numFmtId="165" fontId="19" fillId="10" borderId="0" xfId="7" applyNumberFormat="1" applyFont="1" applyFill="1" applyAlignment="1" applyProtection="1">
      <alignment horizontal="center"/>
    </xf>
    <xf numFmtId="43" fontId="6" fillId="0" borderId="9" xfId="0" applyNumberFormat="1" applyFont="1" applyBorder="1"/>
    <xf numFmtId="0" fontId="10" fillId="0" borderId="0" xfId="1" applyFont="1" applyAlignment="1">
      <alignment horizontal="center"/>
    </xf>
    <xf numFmtId="43" fontId="10" fillId="0" borderId="0" xfId="1" applyNumberFormat="1" applyFont="1" applyAlignment="1">
      <alignment horizontal="center"/>
    </xf>
    <xf numFmtId="0" fontId="10" fillId="0" borderId="0" xfId="1" applyFont="1" applyFill="1" applyAlignment="1">
      <alignment horizontal="center"/>
    </xf>
    <xf numFmtId="44" fontId="8" fillId="0" borderId="0" xfId="1" applyNumberFormat="1" applyFont="1"/>
    <xf numFmtId="44" fontId="8" fillId="0" borderId="0" xfId="1" applyNumberFormat="1" applyFont="1" applyFill="1"/>
    <xf numFmtId="44" fontId="0" fillId="0" borderId="0" xfId="0" applyNumberFormat="1"/>
    <xf numFmtId="43" fontId="6" fillId="0" borderId="0" xfId="0" applyNumberFormat="1" applyFont="1"/>
    <xf numFmtId="44" fontId="7" fillId="0" borderId="0" xfId="1" applyNumberFormat="1"/>
    <xf numFmtId="44" fontId="6" fillId="0" borderId="0" xfId="0" applyNumberFormat="1" applyFont="1"/>
    <xf numFmtId="0" fontId="0" fillId="0" borderId="0" xfId="0" applyAlignment="1">
      <alignment horizontal="center"/>
    </xf>
    <xf numFmtId="10" fontId="0" fillId="0" borderId="0" xfId="0" applyNumberFormat="1"/>
    <xf numFmtId="164" fontId="32" fillId="0" borderId="0" xfId="0" applyNumberFormat="1" applyFont="1"/>
    <xf numFmtId="43" fontId="13" fillId="3" borderId="0" xfId="2" applyNumberFormat="1" applyFont="1" applyFill="1" applyAlignment="1">
      <alignment vertical="top"/>
    </xf>
    <xf numFmtId="43" fontId="8" fillId="3" borderId="0" xfId="2" applyNumberFormat="1" applyFont="1" applyFill="1" applyAlignment="1">
      <alignment vertical="top"/>
    </xf>
    <xf numFmtId="43" fontId="8" fillId="3" borderId="0" xfId="2" applyNumberFormat="1" applyFont="1" applyFill="1" applyAlignment="1"/>
    <xf numFmtId="0" fontId="6" fillId="0" borderId="0" xfId="0" applyFont="1"/>
    <xf numFmtId="43" fontId="8" fillId="3" borderId="0" xfId="2" quotePrefix="1" applyNumberFormat="1" applyFont="1" applyFill="1" applyAlignment="1">
      <alignment horizontal="right" vertical="top"/>
    </xf>
    <xf numFmtId="0" fontId="10" fillId="0" borderId="0" xfId="2" applyNumberFormat="1" applyFont="1" applyFill="1"/>
    <xf numFmtId="164" fontId="13" fillId="11" borderId="0" xfId="2" applyNumberFormat="1" applyFont="1" applyFill="1" applyAlignment="1">
      <alignment horizontal="right" vertical="top"/>
    </xf>
    <xf numFmtId="0" fontId="13" fillId="11" borderId="0" xfId="2" quotePrefix="1" applyFont="1" applyFill="1" applyAlignment="1">
      <alignment vertical="top"/>
    </xf>
    <xf numFmtId="43" fontId="0" fillId="11" borderId="0" xfId="0" applyNumberFormat="1" applyFill="1"/>
    <xf numFmtId="164" fontId="12" fillId="11" borderId="0" xfId="2" applyNumberFormat="1" applyFont="1" applyFill="1" applyAlignment="1">
      <alignment horizontal="right" vertical="top"/>
    </xf>
    <xf numFmtId="164" fontId="13" fillId="11" borderId="0" xfId="2" quotePrefix="1" applyNumberFormat="1" applyFont="1" applyFill="1" applyAlignment="1">
      <alignment horizontal="right" vertical="top"/>
    </xf>
    <xf numFmtId="0" fontId="0" fillId="11" borderId="0" xfId="0" applyFill="1"/>
    <xf numFmtId="0" fontId="12" fillId="11" borderId="0" xfId="2" applyFont="1" applyFill="1" applyAlignment="1">
      <alignment horizontal="right" vertical="top"/>
    </xf>
    <xf numFmtId="43" fontId="6" fillId="11" borderId="0" xfId="0" applyNumberFormat="1" applyFont="1" applyFill="1"/>
    <xf numFmtId="164" fontId="12" fillId="11" borderId="0" xfId="2" quotePrefix="1" applyNumberFormat="1" applyFont="1" applyFill="1" applyAlignment="1">
      <alignment horizontal="right" vertical="top"/>
    </xf>
    <xf numFmtId="0" fontId="0" fillId="12" borderId="0" xfId="0" applyFill="1"/>
    <xf numFmtId="164" fontId="32" fillId="12" borderId="0" xfId="0" applyNumberFormat="1" applyFont="1" applyFill="1"/>
    <xf numFmtId="43" fontId="0" fillId="12" borderId="0" xfId="0" applyNumberFormat="1" applyFill="1"/>
    <xf numFmtId="43" fontId="6" fillId="12" borderId="0" xfId="0" applyNumberFormat="1" applyFont="1" applyFill="1"/>
    <xf numFmtId="164" fontId="32" fillId="13" borderId="0" xfId="0" applyNumberFormat="1" applyFont="1" applyFill="1"/>
    <xf numFmtId="0" fontId="0" fillId="13" borderId="0" xfId="0" applyFill="1"/>
    <xf numFmtId="43" fontId="6" fillId="13" borderId="0" xfId="0" applyNumberFormat="1" applyFont="1" applyFill="1"/>
    <xf numFmtId="164" fontId="10" fillId="14" borderId="0" xfId="2" quotePrefix="1" applyNumberFormat="1" applyFont="1" applyFill="1" applyAlignment="1">
      <alignment horizontal="right" vertical="top"/>
    </xf>
    <xf numFmtId="0" fontId="8" fillId="14" borderId="0" xfId="2" quotePrefix="1" applyFont="1" applyFill="1" applyAlignment="1">
      <alignment vertical="top"/>
    </xf>
    <xf numFmtId="43" fontId="8" fillId="14" borderId="0" xfId="2" quotePrefix="1" applyNumberFormat="1" applyFont="1" applyFill="1" applyAlignment="1">
      <alignment horizontal="right" vertical="top"/>
    </xf>
    <xf numFmtId="43" fontId="8" fillId="14" borderId="0" xfId="2" applyNumberFormat="1" applyFont="1" applyFill="1"/>
    <xf numFmtId="164" fontId="10" fillId="12" borderId="0" xfId="2" quotePrefix="1" applyNumberFormat="1" applyFont="1" applyFill="1" applyAlignment="1">
      <alignment horizontal="right" vertical="top"/>
    </xf>
    <xf numFmtId="0" fontId="8" fillId="12" borderId="0" xfId="2" quotePrefix="1" applyFont="1" applyFill="1" applyAlignment="1">
      <alignment vertical="top"/>
    </xf>
    <xf numFmtId="43" fontId="8" fillId="12" borderId="0" xfId="2" quotePrefix="1" applyNumberFormat="1" applyFont="1" applyFill="1" applyAlignment="1">
      <alignment horizontal="right" vertical="top"/>
    </xf>
    <xf numFmtId="43" fontId="8" fillId="12" borderId="0" xfId="2" applyNumberFormat="1" applyFont="1" applyFill="1"/>
    <xf numFmtId="44" fontId="0" fillId="10" borderId="0" xfId="0" applyNumberFormat="1" applyFill="1"/>
    <xf numFmtId="43" fontId="0" fillId="15" borderId="0" xfId="0" applyNumberFormat="1" applyFill="1"/>
    <xf numFmtId="43" fontId="0" fillId="5" borderId="0" xfId="0" applyNumberFormat="1" applyFill="1"/>
    <xf numFmtId="0" fontId="0" fillId="5" borderId="0" xfId="0" applyFill="1"/>
    <xf numFmtId="0" fontId="8" fillId="12" borderId="0" xfId="2" applyFont="1" applyFill="1"/>
    <xf numFmtId="0" fontId="11" fillId="12" borderId="0" xfId="2" applyFill="1"/>
    <xf numFmtId="43" fontId="0" fillId="0" borderId="0" xfId="0" applyNumberFormat="1" applyFill="1"/>
    <xf numFmtId="10" fontId="0" fillId="16" borderId="0" xfId="0" applyNumberFormat="1" applyFill="1"/>
    <xf numFmtId="0" fontId="0" fillId="16" borderId="0" xfId="0" applyFill="1"/>
    <xf numFmtId="41" fontId="0" fillId="0" borderId="0" xfId="0" applyNumberFormat="1"/>
    <xf numFmtId="43" fontId="9" fillId="8" borderId="0" xfId="1" applyNumberFormat="1" applyFont="1" applyFill="1"/>
    <xf numFmtId="43" fontId="28" fillId="8" borderId="0" xfId="2" quotePrefix="1" applyNumberFormat="1" applyFont="1" applyFill="1" applyAlignment="1">
      <alignment horizontal="right" vertical="top"/>
    </xf>
    <xf numFmtId="43" fontId="27" fillId="8" borderId="0" xfId="2" quotePrefix="1" applyNumberFormat="1" applyFont="1" applyFill="1" applyAlignment="1">
      <alignment horizontal="right" vertical="top"/>
    </xf>
    <xf numFmtId="43" fontId="7" fillId="8" borderId="0" xfId="1" applyNumberFormat="1" applyFont="1" applyFill="1"/>
    <xf numFmtId="43" fontId="7" fillId="0" borderId="0" xfId="2" applyNumberFormat="1" applyFont="1" applyFill="1"/>
    <xf numFmtId="43" fontId="9" fillId="0" borderId="0" xfId="2" applyNumberFormat="1" applyFont="1" applyFill="1"/>
    <xf numFmtId="43" fontId="7" fillId="0" borderId="0" xfId="1" applyNumberFormat="1" applyFont="1" applyFill="1"/>
    <xf numFmtId="43" fontId="7" fillId="0" borderId="0" xfId="1" applyNumberFormat="1" applyFont="1"/>
    <xf numFmtId="43" fontId="11" fillId="0" borderId="0" xfId="2" applyNumberFormat="1" applyFont="1" applyFill="1"/>
    <xf numFmtId="43" fontId="11" fillId="0" borderId="0" xfId="2" applyNumberFormat="1" applyFont="1"/>
    <xf numFmtId="43" fontId="9" fillId="0" borderId="0" xfId="1" applyNumberFormat="1" applyFont="1" applyFill="1"/>
    <xf numFmtId="43" fontId="7" fillId="0" borderId="0" xfId="2" applyNumberFormat="1" applyFont="1" applyFill="1" applyAlignment="1">
      <alignment vertical="top"/>
    </xf>
    <xf numFmtId="43" fontId="9" fillId="0" borderId="0" xfId="2" applyNumberFormat="1" applyFont="1"/>
    <xf numFmtId="43" fontId="9" fillId="0" borderId="0" xfId="2" applyNumberFormat="1" applyFont="1" applyFill="1" applyAlignment="1">
      <alignment vertical="top"/>
    </xf>
    <xf numFmtId="43" fontId="7" fillId="14" borderId="0" xfId="2" applyNumberFormat="1" applyFont="1" applyFill="1"/>
    <xf numFmtId="43" fontId="9" fillId="14" borderId="0" xfId="2" applyNumberFormat="1" applyFont="1" applyFill="1"/>
    <xf numFmtId="43" fontId="7" fillId="12" borderId="0" xfId="2" applyNumberFormat="1" applyFont="1" applyFill="1"/>
    <xf numFmtId="43" fontId="9" fillId="12" borderId="0" xfId="2" applyNumberFormat="1" applyFont="1" applyFill="1"/>
    <xf numFmtId="0" fontId="9" fillId="0" borderId="0" xfId="2" applyFont="1" applyFill="1"/>
    <xf numFmtId="0" fontId="9" fillId="0" borderId="0" xfId="2" applyFont="1"/>
    <xf numFmtId="0" fontId="7" fillId="0" borderId="0" xfId="2" applyFont="1" applyFill="1"/>
    <xf numFmtId="0" fontId="7" fillId="0" borderId="0" xfId="2" applyFont="1"/>
    <xf numFmtId="43" fontId="7" fillId="0" borderId="0" xfId="2" applyNumberFormat="1" applyFont="1"/>
    <xf numFmtId="43" fontId="7" fillId="0" borderId="0" xfId="2" applyNumberFormat="1" applyFont="1" applyFill="1" applyAlignment="1">
      <alignment horizontal="right" vertical="top"/>
    </xf>
    <xf numFmtId="43" fontId="9" fillId="0" borderId="0" xfId="2" applyNumberFormat="1" applyFont="1" applyFill="1" applyAlignment="1">
      <alignment horizontal="right" vertical="top"/>
    </xf>
    <xf numFmtId="43" fontId="28" fillId="0" borderId="0" xfId="2" quotePrefix="1" applyNumberFormat="1" applyFont="1" applyAlignment="1"/>
    <xf numFmtId="43" fontId="28" fillId="0" borderId="0" xfId="2" quotePrefix="1" applyNumberFormat="1" applyFont="1" applyAlignment="1">
      <alignment vertical="top"/>
    </xf>
    <xf numFmtId="0" fontId="0" fillId="0" borderId="0" xfId="0" applyAlignment="1">
      <alignment horizontal="right"/>
    </xf>
    <xf numFmtId="43" fontId="28" fillId="0" borderId="0" xfId="2" quotePrefix="1" applyNumberFormat="1" applyFont="1" applyAlignment="1">
      <alignment horizontal="right" vertical="top"/>
    </xf>
    <xf numFmtId="43" fontId="7" fillId="0" borderId="0" xfId="6" applyNumberFormat="1" applyFont="1"/>
    <xf numFmtId="43" fontId="9" fillId="8" borderId="0" xfId="6" applyNumberFormat="1" applyFont="1" applyFill="1"/>
    <xf numFmtId="0" fontId="7" fillId="0" borderId="0" xfId="6" applyFont="1"/>
    <xf numFmtId="43" fontId="7" fillId="0" borderId="0" xfId="6" applyNumberFormat="1" applyFont="1" applyFill="1"/>
    <xf numFmtId="0" fontId="7" fillId="0" borderId="0" xfId="6" applyFont="1" applyFill="1"/>
    <xf numFmtId="43" fontId="9" fillId="0" borderId="0" xfId="6" applyNumberFormat="1" applyFont="1"/>
    <xf numFmtId="43" fontId="9" fillId="0" borderId="0" xfId="6" applyNumberFormat="1" applyFont="1" applyFill="1"/>
    <xf numFmtId="43" fontId="9" fillId="0" borderId="0" xfId="1" applyNumberFormat="1" applyFont="1" applyAlignment="1">
      <alignment horizontal="center"/>
    </xf>
    <xf numFmtId="43" fontId="27" fillId="0" borderId="0" xfId="2" applyNumberFormat="1" applyFont="1" applyFill="1" applyAlignment="1">
      <alignment vertical="top"/>
    </xf>
    <xf numFmtId="43" fontId="28" fillId="0" borderId="0" xfId="2" applyNumberFormat="1" applyFont="1" applyFill="1" applyAlignment="1">
      <alignment vertical="top"/>
    </xf>
    <xf numFmtId="43" fontId="27" fillId="0" borderId="0" xfId="1" applyNumberFormat="1" applyFont="1" applyFill="1"/>
    <xf numFmtId="43" fontId="28" fillId="0" borderId="0" xfId="1" applyNumberFormat="1" applyFont="1"/>
    <xf numFmtId="43" fontId="28" fillId="8" borderId="0" xfId="1" applyNumberFormat="1" applyFont="1" applyFill="1"/>
    <xf numFmtId="43" fontId="28" fillId="0" borderId="0" xfId="1" applyNumberFormat="1" applyFont="1" applyFill="1"/>
    <xf numFmtId="43" fontId="27" fillId="0" borderId="0" xfId="2" applyNumberFormat="1" applyFont="1" applyFill="1"/>
    <xf numFmtId="43" fontId="27" fillId="0" borderId="0" xfId="2" applyNumberFormat="1" applyFont="1"/>
    <xf numFmtId="0" fontId="7" fillId="0" borderId="0" xfId="1" applyFont="1" applyFill="1"/>
    <xf numFmtId="0" fontId="27" fillId="0" borderId="0" xfId="2" applyFont="1" applyFill="1" applyAlignment="1">
      <alignment vertical="top"/>
    </xf>
    <xf numFmtId="43" fontId="28" fillId="0" borderId="0" xfId="1" applyNumberFormat="1" applyFont="1" applyAlignment="1">
      <alignment vertical="top"/>
    </xf>
    <xf numFmtId="0" fontId="27" fillId="0" borderId="0" xfId="2" applyFont="1" applyAlignment="1">
      <alignment vertical="top"/>
    </xf>
    <xf numFmtId="10" fontId="8" fillId="10" borderId="0" xfId="7" applyNumberFormat="1" applyFont="1" applyFill="1" applyAlignment="1">
      <alignment horizontal="center"/>
    </xf>
    <xf numFmtId="10" fontId="8" fillId="10" borderId="0" xfId="1" applyNumberFormat="1" applyFont="1" applyFill="1"/>
    <xf numFmtId="0" fontId="10" fillId="0" borderId="0" xfId="1" applyFont="1" applyFill="1" applyAlignment="1">
      <alignment horizontal="center"/>
    </xf>
    <xf numFmtId="2" fontId="8" fillId="0" borderId="0" xfId="1" applyNumberFormat="1" applyFont="1"/>
    <xf numFmtId="43" fontId="13" fillId="3" borderId="0" xfId="1" quotePrefix="1" applyNumberFormat="1" applyFont="1" applyFill="1" applyAlignment="1">
      <alignment horizontal="right" vertical="top"/>
    </xf>
    <xf numFmtId="0" fontId="8" fillId="14" borderId="0" xfId="2" applyFont="1" applyFill="1" applyAlignment="1">
      <alignment vertical="top"/>
    </xf>
    <xf numFmtId="43" fontId="8" fillId="0" borderId="0" xfId="2" applyNumberFormat="1" applyFont="1" applyFill="1" applyAlignment="1">
      <alignment vertical="top"/>
    </xf>
    <xf numFmtId="0" fontId="10" fillId="0" borderId="0" xfId="1" applyFont="1" applyFill="1" applyAlignment="1">
      <alignment horizontal="center"/>
    </xf>
    <xf numFmtId="2" fontId="8" fillId="0" borderId="0" xfId="1" applyNumberFormat="1" applyFont="1" applyFill="1"/>
    <xf numFmtId="170" fontId="13" fillId="0" borderId="0" xfId="1" applyNumberFormat="1" applyFont="1" applyFill="1"/>
    <xf numFmtId="43" fontId="13" fillId="18" borderId="0" xfId="2" quotePrefix="1" applyNumberFormat="1" applyFont="1" applyFill="1" applyAlignment="1">
      <alignment horizontal="right" vertical="top"/>
    </xf>
    <xf numFmtId="43" fontId="8" fillId="18" borderId="0" xfId="1" applyNumberFormat="1" applyFont="1" applyFill="1"/>
    <xf numFmtId="43" fontId="13" fillId="18" borderId="0" xfId="2" applyNumberFormat="1" applyFont="1" applyFill="1" applyAlignment="1">
      <alignment horizontal="right" vertical="top"/>
    </xf>
    <xf numFmtId="43" fontId="8" fillId="18" borderId="0" xfId="1" applyNumberFormat="1" applyFont="1" applyFill="1" applyAlignment="1">
      <alignment horizontal="right"/>
    </xf>
    <xf numFmtId="43" fontId="13" fillId="18" borderId="0" xfId="1" applyNumberFormat="1" applyFont="1" applyFill="1"/>
    <xf numFmtId="43" fontId="13" fillId="18" borderId="0" xfId="2" applyNumberFormat="1" applyFont="1" applyFill="1" applyAlignment="1">
      <alignment vertical="top"/>
    </xf>
    <xf numFmtId="43" fontId="8" fillId="18" borderId="0" xfId="2" applyNumberFormat="1" applyFont="1" applyFill="1" applyAlignment="1">
      <alignment vertical="top"/>
    </xf>
    <xf numFmtId="0" fontId="8" fillId="15" borderId="0" xfId="6" applyFont="1" applyFill="1"/>
    <xf numFmtId="41" fontId="6" fillId="0" borderId="0" xfId="0" applyNumberFormat="1" applyFont="1"/>
    <xf numFmtId="43" fontId="10" fillId="0" borderId="0" xfId="1" applyNumberFormat="1" applyFont="1" applyAlignment="1">
      <alignment horizontal="center"/>
    </xf>
    <xf numFmtId="0" fontId="10" fillId="0" borderId="0" xfId="1" applyFont="1" applyFill="1" applyAlignment="1">
      <alignment horizontal="center"/>
    </xf>
    <xf numFmtId="0" fontId="8" fillId="0" borderId="0" xfId="2" applyFont="1" applyAlignment="1">
      <alignment horizontal="center"/>
    </xf>
    <xf numFmtId="44" fontId="8" fillId="0" borderId="0" xfId="2" applyNumberFormat="1" applyFont="1" applyFill="1"/>
    <xf numFmtId="44" fontId="10" fillId="0" borderId="0" xfId="2" applyNumberFormat="1" applyFont="1"/>
    <xf numFmtId="0" fontId="0" fillId="0" borderId="10" xfId="0" applyBorder="1"/>
    <xf numFmtId="165" fontId="15" fillId="0" borderId="11" xfId="3" applyNumberFormat="1" applyFont="1" applyFill="1" applyBorder="1" applyAlignment="1" applyProtection="1">
      <alignment horizontal="right"/>
    </xf>
    <xf numFmtId="0" fontId="0" fillId="0" borderId="11" xfId="0" applyBorder="1"/>
    <xf numFmtId="0" fontId="10" fillId="0" borderId="11" xfId="1" applyFont="1" applyBorder="1" applyAlignment="1">
      <alignment horizontal="center"/>
    </xf>
    <xf numFmtId="43" fontId="10" fillId="0" borderId="12" xfId="1" applyNumberFormat="1" applyFont="1" applyBorder="1" applyAlignment="1">
      <alignment horizontal="center"/>
    </xf>
    <xf numFmtId="0" fontId="0" fillId="0" borderId="13" xfId="0" applyBorder="1"/>
    <xf numFmtId="0" fontId="32" fillId="0" borderId="0" xfId="0" applyFont="1" applyBorder="1"/>
    <xf numFmtId="0" fontId="0" fillId="0" borderId="0" xfId="0" applyBorder="1"/>
    <xf numFmtId="0" fontId="33" fillId="0" borderId="14" xfId="0" applyFont="1" applyBorder="1"/>
    <xf numFmtId="0" fontId="33" fillId="0" borderId="0" xfId="0" applyFont="1" applyBorder="1"/>
    <xf numFmtId="0" fontId="6" fillId="0" borderId="14" xfId="0" applyFont="1" applyBorder="1"/>
    <xf numFmtId="0" fontId="12" fillId="0" borderId="0" xfId="2" applyFont="1" applyBorder="1" applyAlignment="1">
      <alignment horizontal="center" vertical="top"/>
    </xf>
    <xf numFmtId="0" fontId="10" fillId="3" borderId="0" xfId="1" applyFont="1" applyFill="1" applyBorder="1"/>
    <xf numFmtId="164" fontId="12" fillId="0" borderId="13" xfId="2" quotePrefix="1" applyNumberFormat="1" applyFont="1" applyFill="1" applyBorder="1" applyAlignment="1">
      <alignment horizontal="right" vertical="top"/>
    </xf>
    <xf numFmtId="0" fontId="8" fillId="0" borderId="0" xfId="2" quotePrefix="1" applyFont="1" applyFill="1" applyBorder="1" applyAlignment="1">
      <alignment vertical="top"/>
    </xf>
    <xf numFmtId="43" fontId="17" fillId="3" borderId="0" xfId="0" applyNumberFormat="1" applyFont="1" applyFill="1" applyBorder="1"/>
    <xf numFmtId="43" fontId="32" fillId="3" borderId="0" xfId="0" applyNumberFormat="1" applyFont="1" applyFill="1" applyBorder="1"/>
    <xf numFmtId="43" fontId="0" fillId="0" borderId="0" xfId="0" applyNumberFormat="1" applyFont="1" applyBorder="1"/>
    <xf numFmtId="43" fontId="6" fillId="0" borderId="14" xfId="0" applyNumberFormat="1" applyFont="1" applyBorder="1"/>
    <xf numFmtId="0" fontId="0" fillId="0" borderId="15" xfId="0" applyBorder="1"/>
    <xf numFmtId="0" fontId="0" fillId="0" borderId="16" xfId="0" applyFill="1" applyBorder="1"/>
    <xf numFmtId="43" fontId="12" fillId="0" borderId="16" xfId="2" quotePrefix="1" applyNumberFormat="1" applyFont="1" applyBorder="1" applyAlignment="1">
      <alignment horizontal="right" vertical="top"/>
    </xf>
    <xf numFmtId="43" fontId="10" fillId="2" borderId="16" xfId="1" applyNumberFormat="1" applyFont="1" applyFill="1" applyBorder="1"/>
    <xf numFmtId="0" fontId="0" fillId="0" borderId="16" xfId="0" applyBorder="1"/>
    <xf numFmtId="43" fontId="6" fillId="0" borderId="16" xfId="0" applyNumberFormat="1" applyFont="1" applyBorder="1"/>
    <xf numFmtId="43" fontId="6" fillId="0" borderId="17" xfId="0" applyNumberFormat="1" applyFont="1" applyBorder="1"/>
    <xf numFmtId="0" fontId="8" fillId="17" borderId="0" xfId="1" applyNumberFormat="1" applyFont="1" applyFill="1"/>
    <xf numFmtId="165" fontId="18" fillId="0" borderId="0" xfId="7" applyFont="1" applyAlignment="1">
      <alignment horizontal="center"/>
    </xf>
    <xf numFmtId="165" fontId="9" fillId="0" borderId="0" xfId="12" applyFont="1" applyAlignment="1">
      <alignment horizontal="center"/>
    </xf>
    <xf numFmtId="165" fontId="9" fillId="10" borderId="0" xfId="12" applyFont="1" applyFill="1" applyAlignment="1">
      <alignment horizontal="center"/>
    </xf>
    <xf numFmtId="0" fontId="0" fillId="10" borderId="0" xfId="0" applyFill="1"/>
    <xf numFmtId="14" fontId="35" fillId="0" borderId="0" xfId="0" applyNumberFormat="1" applyFont="1"/>
    <xf numFmtId="1" fontId="8" fillId="0" borderId="0" xfId="1" applyNumberFormat="1" applyFont="1" applyFill="1"/>
    <xf numFmtId="0" fontId="0" fillId="0" borderId="0" xfId="0" applyFill="1"/>
    <xf numFmtId="0" fontId="10" fillId="0" borderId="0" xfId="1" applyFont="1" applyFill="1" applyAlignment="1">
      <alignment horizontal="center"/>
    </xf>
    <xf numFmtId="10" fontId="10" fillId="0" borderId="0" xfId="1" applyNumberFormat="1" applyFont="1" applyFill="1"/>
    <xf numFmtId="0" fontId="0" fillId="19" borderId="0" xfId="0" applyFill="1"/>
    <xf numFmtId="2" fontId="10" fillId="0" borderId="0" xfId="1" applyNumberFormat="1" applyFont="1" applyAlignment="1">
      <alignment horizontal="right"/>
    </xf>
    <xf numFmtId="2" fontId="10" fillId="0" borderId="0" xfId="1" applyNumberFormat="1" applyFont="1" applyBorder="1"/>
    <xf numFmtId="2" fontId="12" fillId="0" borderId="0" xfId="1" applyNumberFormat="1" applyFont="1" applyFill="1"/>
    <xf numFmtId="2" fontId="10" fillId="0" borderId="0" xfId="1" applyNumberFormat="1" applyFont="1" applyFill="1"/>
    <xf numFmtId="2" fontId="10" fillId="0" borderId="0" xfId="1" applyNumberFormat="1" applyFont="1" applyFill="1" applyBorder="1" applyAlignment="1">
      <alignment horizontal="right"/>
    </xf>
    <xf numFmtId="0" fontId="10" fillId="0" borderId="0" xfId="6" applyFont="1" applyAlignment="1">
      <alignment horizontal="center"/>
    </xf>
    <xf numFmtId="0" fontId="10" fillId="0" borderId="0" xfId="1" applyFont="1" applyFill="1" applyAlignment="1">
      <alignment horizontal="center"/>
    </xf>
    <xf numFmtId="43" fontId="0" fillId="0" borderId="0" xfId="0" applyNumberFormat="1" applyFont="1"/>
    <xf numFmtId="0" fontId="0" fillId="8" borderId="0" xfId="0" applyFill="1"/>
    <xf numFmtId="0" fontId="8" fillId="10" borderId="0" xfId="1" applyFont="1" applyFill="1"/>
    <xf numFmtId="43" fontId="8" fillId="10" borderId="0" xfId="1" applyNumberFormat="1" applyFont="1" applyFill="1"/>
    <xf numFmtId="164" fontId="12" fillId="15" borderId="0" xfId="2" quotePrefix="1" applyNumberFormat="1" applyFont="1" applyFill="1" applyAlignment="1">
      <alignment horizontal="right" vertical="top"/>
    </xf>
    <xf numFmtId="0" fontId="13" fillId="15" borderId="0" xfId="2" quotePrefix="1" applyFont="1" applyFill="1" applyAlignment="1">
      <alignment vertical="top"/>
    </xf>
    <xf numFmtId="43" fontId="13" fillId="15" borderId="0" xfId="2" quotePrefix="1" applyNumberFormat="1" applyFont="1" applyFill="1" applyAlignment="1">
      <alignment horizontal="right" vertical="top"/>
    </xf>
    <xf numFmtId="164" fontId="12" fillId="10" borderId="0" xfId="2" quotePrefix="1" applyNumberFormat="1" applyFont="1" applyFill="1" applyAlignment="1">
      <alignment horizontal="right" vertical="top"/>
    </xf>
    <xf numFmtId="0" fontId="13" fillId="10" borderId="0" xfId="2" quotePrefix="1" applyFont="1" applyFill="1" applyAlignment="1">
      <alignment vertical="top"/>
    </xf>
    <xf numFmtId="43" fontId="9" fillId="10" borderId="0" xfId="1" applyNumberFormat="1" applyFont="1" applyFill="1"/>
    <xf numFmtId="43" fontId="7" fillId="10" borderId="0" xfId="2" applyNumberFormat="1" applyFont="1" applyFill="1"/>
    <xf numFmtId="43" fontId="13" fillId="10" borderId="0" xfId="2" applyNumberFormat="1" applyFont="1" applyFill="1" applyAlignment="1">
      <alignment vertical="top"/>
    </xf>
    <xf numFmtId="43" fontId="37" fillId="0" borderId="0" xfId="1" applyNumberFormat="1" applyFont="1" applyFill="1"/>
    <xf numFmtId="0" fontId="14" fillId="0" borderId="0" xfId="1" applyFont="1" applyFill="1"/>
    <xf numFmtId="43" fontId="18" fillId="0" borderId="0" xfId="1" applyNumberFormat="1" applyFont="1" applyFill="1"/>
    <xf numFmtId="43" fontId="13" fillId="10" borderId="0" xfId="2" applyNumberFormat="1" applyFont="1" applyFill="1" applyAlignment="1">
      <alignment horizontal="right" vertical="top"/>
    </xf>
    <xf numFmtId="43" fontId="12" fillId="10" borderId="0" xfId="2" applyNumberFormat="1" applyFont="1" applyFill="1" applyAlignment="1">
      <alignment horizontal="center" vertical="top"/>
    </xf>
    <xf numFmtId="43" fontId="8" fillId="15" borderId="0" xfId="1" applyNumberFormat="1" applyFont="1" applyFill="1"/>
    <xf numFmtId="43" fontId="7" fillId="15" borderId="0" xfId="1" applyNumberFormat="1" applyFont="1" applyFill="1"/>
    <xf numFmtId="43" fontId="9" fillId="15" borderId="0" xfId="1" applyNumberFormat="1" applyFont="1" applyFill="1"/>
    <xf numFmtId="164" fontId="13" fillId="20" borderId="0" xfId="2" applyNumberFormat="1" applyFont="1" applyFill="1" applyAlignment="1">
      <alignment horizontal="right" vertical="top"/>
    </xf>
    <xf numFmtId="43" fontId="12" fillId="20" borderId="0" xfId="2" applyNumberFormat="1" applyFont="1" applyFill="1" applyAlignment="1">
      <alignment horizontal="center" vertical="top"/>
    </xf>
    <xf numFmtId="43" fontId="6" fillId="20" borderId="0" xfId="0" applyNumberFormat="1" applyFont="1" applyFill="1"/>
    <xf numFmtId="0" fontId="0" fillId="20" borderId="0" xfId="0" applyFill="1"/>
    <xf numFmtId="0" fontId="0" fillId="0" borderId="0" xfId="0" applyNumberFormat="1"/>
    <xf numFmtId="0" fontId="31" fillId="0" borderId="0" xfId="2" applyFont="1" applyAlignment="1">
      <alignment vertical="top"/>
    </xf>
    <xf numFmtId="0" fontId="31" fillId="0" borderId="0" xfId="2" applyFont="1" applyFill="1" applyAlignment="1">
      <alignment horizontal="right" vertical="top"/>
    </xf>
    <xf numFmtId="14" fontId="6" fillId="0" borderId="0" xfId="0" applyNumberFormat="1" applyFont="1" applyFill="1"/>
    <xf numFmtId="44" fontId="0" fillId="9" borderId="0" xfId="0" applyNumberFormat="1" applyFill="1"/>
    <xf numFmtId="43" fontId="0" fillId="9" borderId="0" xfId="0" applyNumberFormat="1" applyFill="1"/>
    <xf numFmtId="0" fontId="36" fillId="0" borderId="0" xfId="0" applyFont="1"/>
    <xf numFmtId="10" fontId="36" fillId="0" borderId="0" xfId="0" applyNumberFormat="1" applyFont="1"/>
    <xf numFmtId="10" fontId="7" fillId="0" borderId="0" xfId="0" applyNumberFormat="1" applyFont="1"/>
    <xf numFmtId="1" fontId="10" fillId="0" borderId="0" xfId="1" applyNumberFormat="1" applyFont="1" applyFill="1" applyAlignment="1">
      <alignment horizontal="center" wrapText="1"/>
    </xf>
    <xf numFmtId="1" fontId="10" fillId="0" borderId="0" xfId="1" applyNumberFormat="1" applyFont="1" applyFill="1"/>
    <xf numFmtId="165" fontId="13" fillId="0" borderId="0" xfId="3" applyNumberFormat="1" applyFont="1" applyFill="1" applyAlignment="1" applyProtection="1">
      <alignment horizontal="right"/>
    </xf>
    <xf numFmtId="165" fontId="30" fillId="0" borderId="0" xfId="11" applyNumberFormat="1" applyFont="1" applyFill="1" applyAlignment="1" applyProtection="1">
      <alignment horizontal="right"/>
    </xf>
    <xf numFmtId="165" fontId="30" fillId="0" borderId="0" xfId="3" applyNumberFormat="1" applyFont="1" applyFill="1" applyBorder="1" applyAlignment="1" applyProtection="1">
      <alignment horizontal="right"/>
    </xf>
    <xf numFmtId="165" fontId="8" fillId="0" borderId="0" xfId="3" applyNumberFormat="1" applyFont="1" applyFill="1" applyAlignment="1" applyProtection="1">
      <alignment horizontal="right"/>
    </xf>
    <xf numFmtId="165" fontId="18" fillId="0" borderId="0" xfId="12" applyFont="1" applyAlignment="1">
      <alignment horizontal="center"/>
    </xf>
    <xf numFmtId="165" fontId="38" fillId="0" borderId="0" xfId="13"/>
    <xf numFmtId="165" fontId="38" fillId="0" borderId="0" xfId="13" applyFill="1" applyAlignment="1">
      <alignment horizontal="center"/>
    </xf>
    <xf numFmtId="165" fontId="18" fillId="0" borderId="0" xfId="13" applyFont="1" applyAlignment="1">
      <alignment horizontal="center"/>
    </xf>
    <xf numFmtId="165" fontId="19" fillId="0" borderId="0" xfId="13" applyNumberFormat="1" applyFont="1" applyAlignment="1" applyProtection="1">
      <alignment horizontal="center"/>
    </xf>
    <xf numFmtId="165" fontId="19" fillId="0" borderId="0" xfId="13" applyNumberFormat="1" applyFont="1" applyFill="1" applyAlignment="1" applyProtection="1">
      <alignment horizontal="center"/>
    </xf>
    <xf numFmtId="165" fontId="20" fillId="0" borderId="0" xfId="13" applyNumberFormat="1" applyFont="1" applyProtection="1"/>
    <xf numFmtId="165" fontId="21" fillId="0" borderId="0" xfId="13" applyNumberFormat="1" applyFont="1" applyProtection="1"/>
    <xf numFmtId="165" fontId="15" fillId="0" borderId="0" xfId="13" applyNumberFormat="1" applyFont="1" applyProtection="1"/>
    <xf numFmtId="165" fontId="15" fillId="0" borderId="0" xfId="13" applyNumberFormat="1" applyFont="1" applyAlignment="1" applyProtection="1">
      <alignment horizontal="center"/>
    </xf>
    <xf numFmtId="165" fontId="15" fillId="0" borderId="0" xfId="13" applyNumberFormat="1" applyFont="1" applyFill="1" applyAlignment="1" applyProtection="1">
      <alignment horizontal="center"/>
    </xf>
    <xf numFmtId="165" fontId="20" fillId="0" borderId="0" xfId="13" applyNumberFormat="1" applyFont="1" applyAlignment="1" applyProtection="1">
      <alignment horizontal="right"/>
    </xf>
    <xf numFmtId="165" fontId="15" fillId="0" borderId="0" xfId="13" applyNumberFormat="1" applyFont="1" applyAlignment="1" applyProtection="1">
      <alignment horizontal="right"/>
    </xf>
    <xf numFmtId="165" fontId="15" fillId="0" borderId="0" xfId="13" applyNumberFormat="1" applyFont="1" applyAlignment="1" applyProtection="1">
      <alignment horizontal="left"/>
    </xf>
    <xf numFmtId="165" fontId="21" fillId="0" borderId="0" xfId="13" applyNumberFormat="1" applyFont="1" applyAlignment="1" applyProtection="1">
      <alignment horizontal="center"/>
    </xf>
    <xf numFmtId="10" fontId="15" fillId="0" borderId="0" xfId="13" applyNumberFormat="1" applyFont="1" applyAlignment="1" applyProtection="1">
      <alignment horizontal="center"/>
    </xf>
    <xf numFmtId="10" fontId="19" fillId="0" borderId="0" xfId="13" applyNumberFormat="1" applyFont="1" applyFill="1" applyAlignment="1" applyProtection="1">
      <alignment horizontal="center"/>
    </xf>
    <xf numFmtId="10" fontId="20" fillId="0" borderId="0" xfId="13" applyNumberFormat="1" applyFont="1" applyAlignment="1" applyProtection="1">
      <alignment horizontal="right"/>
    </xf>
    <xf numFmtId="10" fontId="15" fillId="0" borderId="0" xfId="13" applyNumberFormat="1" applyFont="1" applyFill="1" applyAlignment="1" applyProtection="1">
      <alignment horizontal="center"/>
    </xf>
    <xf numFmtId="10" fontId="20" fillId="0" borderId="0" xfId="13" applyNumberFormat="1" applyFont="1" applyFill="1" applyAlignment="1" applyProtection="1">
      <alignment horizontal="right"/>
    </xf>
    <xf numFmtId="166" fontId="15" fillId="0" borderId="0" xfId="13" applyNumberFormat="1" applyFont="1" applyAlignment="1" applyProtection="1">
      <alignment horizontal="center"/>
    </xf>
    <xf numFmtId="166" fontId="19" fillId="0" borderId="0" xfId="13" applyNumberFormat="1" applyFont="1" applyFill="1" applyAlignment="1" applyProtection="1">
      <alignment horizontal="center"/>
    </xf>
    <xf numFmtId="167" fontId="15" fillId="0" borderId="0" xfId="13" applyNumberFormat="1" applyFont="1" applyAlignment="1" applyProtection="1">
      <alignment horizontal="center"/>
    </xf>
    <xf numFmtId="167" fontId="19" fillId="0" borderId="0" xfId="13" applyNumberFormat="1" applyFont="1" applyFill="1" applyAlignment="1" applyProtection="1">
      <alignment horizontal="center"/>
    </xf>
    <xf numFmtId="165" fontId="20" fillId="0" borderId="0" xfId="13" applyNumberFormat="1" applyFont="1" applyFill="1" applyAlignment="1" applyProtection="1">
      <alignment horizontal="center"/>
    </xf>
    <xf numFmtId="10" fontId="20" fillId="0" borderId="0" xfId="13" applyNumberFormat="1" applyFont="1" applyProtection="1"/>
    <xf numFmtId="39" fontId="15" fillId="0" borderId="0" xfId="13" applyNumberFormat="1" applyFont="1" applyAlignment="1" applyProtection="1">
      <alignment horizontal="center"/>
    </xf>
    <xf numFmtId="1" fontId="19" fillId="0" borderId="0" xfId="13" applyNumberFormat="1" applyFont="1" applyFill="1" applyAlignment="1" applyProtection="1">
      <alignment horizontal="center"/>
    </xf>
    <xf numFmtId="165" fontId="20" fillId="0" borderId="0" xfId="13" applyNumberFormat="1" applyFont="1" applyFill="1" applyProtection="1"/>
    <xf numFmtId="3" fontId="19" fillId="0" borderId="0" xfId="13" applyNumberFormat="1" applyFont="1" applyFill="1" applyAlignment="1" applyProtection="1">
      <alignment horizontal="center"/>
    </xf>
    <xf numFmtId="168" fontId="19" fillId="0" borderId="0" xfId="13" applyNumberFormat="1" applyFont="1" applyFill="1" applyAlignment="1" applyProtection="1">
      <alignment horizontal="center"/>
    </xf>
    <xf numFmtId="165" fontId="20" fillId="0" borderId="0" xfId="13" applyNumberFormat="1" applyFont="1" applyAlignment="1" applyProtection="1">
      <alignment horizontal="center"/>
    </xf>
    <xf numFmtId="165" fontId="19" fillId="0" borderId="0" xfId="13" applyNumberFormat="1" applyFont="1" applyProtection="1"/>
    <xf numFmtId="165" fontId="10" fillId="0" borderId="0" xfId="13" applyNumberFormat="1" applyFont="1" applyAlignment="1" applyProtection="1">
      <alignment horizontal="center"/>
    </xf>
    <xf numFmtId="165" fontId="38" fillId="0" borderId="0" xfId="13" applyAlignment="1">
      <alignment horizontal="center"/>
    </xf>
    <xf numFmtId="165" fontId="19" fillId="10" borderId="0" xfId="13" applyNumberFormat="1" applyFont="1" applyFill="1" applyAlignment="1" applyProtection="1">
      <alignment horizontal="center"/>
    </xf>
    <xf numFmtId="165" fontId="15" fillId="10" borderId="0" xfId="13" applyNumberFormat="1" applyFont="1" applyFill="1" applyAlignment="1" applyProtection="1">
      <alignment horizontal="center"/>
    </xf>
    <xf numFmtId="165" fontId="15" fillId="10" borderId="0" xfId="0" applyNumberFormat="1" applyFont="1" applyFill="1" applyAlignment="1" applyProtection="1">
      <alignment horizontal="center"/>
    </xf>
    <xf numFmtId="165" fontId="21" fillId="10" borderId="0" xfId="0" applyNumberFormat="1" applyFont="1" applyFill="1" applyAlignment="1" applyProtection="1">
      <alignment horizontal="center"/>
    </xf>
    <xf numFmtId="10" fontId="15" fillId="10" borderId="0" xfId="0" applyNumberFormat="1" applyFont="1" applyFill="1" applyAlignment="1" applyProtection="1">
      <alignment horizontal="center"/>
    </xf>
    <xf numFmtId="166" fontId="15" fillId="10" borderId="0" xfId="0" applyNumberFormat="1" applyFont="1" applyFill="1" applyAlignment="1" applyProtection="1">
      <alignment horizontal="center"/>
    </xf>
    <xf numFmtId="167" fontId="15" fillId="10" borderId="0" xfId="0" applyNumberFormat="1" applyFont="1" applyFill="1" applyAlignment="1" applyProtection="1">
      <alignment horizontal="center"/>
    </xf>
    <xf numFmtId="1" fontId="15" fillId="10" borderId="0" xfId="0" applyNumberFormat="1" applyFont="1" applyFill="1" applyAlignment="1" applyProtection="1">
      <alignment horizontal="center"/>
    </xf>
    <xf numFmtId="10" fontId="15" fillId="10" borderId="0" xfId="0" applyNumberFormat="1" applyFont="1" applyFill="1" applyAlignment="1" applyProtection="1"/>
    <xf numFmtId="165" fontId="19" fillId="10" borderId="0" xfId="0" applyNumberFormat="1" applyFont="1" applyFill="1" applyAlignment="1" applyProtection="1">
      <alignment horizontal="center"/>
    </xf>
    <xf numFmtId="10" fontId="10" fillId="10" borderId="0" xfId="1" applyNumberFormat="1" applyFont="1" applyFill="1" applyAlignment="1">
      <alignment horizontal="center" wrapText="1"/>
    </xf>
    <xf numFmtId="0" fontId="10" fillId="10" borderId="7" xfId="1" applyFont="1" applyFill="1" applyBorder="1" applyAlignment="1">
      <alignment horizontal="center" wrapText="1"/>
    </xf>
    <xf numFmtId="0" fontId="10" fillId="10" borderId="0" xfId="1" applyFont="1" applyFill="1" applyAlignment="1">
      <alignment horizontal="center" wrapText="1"/>
    </xf>
    <xf numFmtId="0" fontId="10" fillId="10" borderId="0" xfId="1" applyFont="1" applyFill="1" applyAlignment="1">
      <alignment horizontal="center"/>
    </xf>
    <xf numFmtId="0" fontId="8" fillId="10" borderId="8" xfId="1" applyFont="1" applyFill="1" applyBorder="1"/>
    <xf numFmtId="10" fontId="8" fillId="10" borderId="0" xfId="1" applyNumberFormat="1" applyFont="1" applyFill="1" applyAlignment="1">
      <alignment horizontal="right"/>
    </xf>
    <xf numFmtId="0" fontId="8" fillId="10" borderId="0" xfId="1" applyFont="1" applyFill="1" applyAlignment="1">
      <alignment horizontal="right"/>
    </xf>
    <xf numFmtId="1" fontId="8" fillId="10" borderId="8" xfId="1" applyNumberFormat="1" applyFont="1" applyFill="1" applyBorder="1"/>
    <xf numFmtId="1" fontId="8" fillId="10" borderId="0" xfId="1" applyNumberFormat="1" applyFont="1" applyFill="1" applyAlignment="1">
      <alignment horizontal="right"/>
    </xf>
    <xf numFmtId="0" fontId="8" fillId="10" borderId="0" xfId="1" applyFont="1" applyFill="1" applyAlignment="1">
      <alignment horizontal="left"/>
    </xf>
    <xf numFmtId="0" fontId="9" fillId="10" borderId="0" xfId="1" applyFont="1" applyFill="1"/>
    <xf numFmtId="0" fontId="10" fillId="10" borderId="8" xfId="1" applyFont="1" applyFill="1" applyBorder="1"/>
    <xf numFmtId="1" fontId="10" fillId="10" borderId="8" xfId="1" applyNumberFormat="1" applyFont="1" applyFill="1" applyBorder="1"/>
    <xf numFmtId="1" fontId="8" fillId="10" borderId="0" xfId="1" applyNumberFormat="1" applyFont="1" applyFill="1" applyAlignment="1">
      <alignment horizontal="left"/>
    </xf>
    <xf numFmtId="41" fontId="8" fillId="10" borderId="8" xfId="1" applyNumberFormat="1" applyFont="1" applyFill="1" applyBorder="1"/>
    <xf numFmtId="0" fontId="8" fillId="10" borderId="0" xfId="1" applyFont="1" applyFill="1" applyBorder="1"/>
    <xf numFmtId="0" fontId="31" fillId="10" borderId="0" xfId="1" applyFont="1" applyFill="1" applyAlignment="1">
      <alignment horizontal="left"/>
    </xf>
    <xf numFmtId="10" fontId="39" fillId="10" borderId="0" xfId="1" applyNumberFormat="1" applyFont="1" applyFill="1"/>
    <xf numFmtId="0" fontId="39" fillId="10" borderId="0" xfId="1" applyFont="1" applyFill="1" applyBorder="1"/>
    <xf numFmtId="0" fontId="39" fillId="10" borderId="0" xfId="0" applyFont="1" applyFill="1"/>
    <xf numFmtId="0" fontId="40" fillId="10" borderId="0" xfId="1" applyFont="1" applyFill="1" applyAlignment="1">
      <alignment horizontal="left"/>
    </xf>
    <xf numFmtId="0" fontId="39" fillId="10" borderId="0" xfId="1" applyFont="1" applyFill="1" applyAlignment="1">
      <alignment horizontal="left"/>
    </xf>
    <xf numFmtId="14" fontId="40" fillId="10" borderId="0" xfId="1" applyNumberFormat="1" applyFont="1" applyFill="1" applyAlignment="1">
      <alignment horizontal="center"/>
    </xf>
    <xf numFmtId="0" fontId="8" fillId="0" borderId="8" xfId="1" applyFont="1" applyFill="1" applyBorder="1"/>
    <xf numFmtId="0" fontId="10" fillId="0" borderId="8" xfId="1" applyFont="1" applyFill="1" applyBorder="1"/>
    <xf numFmtId="1" fontId="10" fillId="10" borderId="0" xfId="1" applyNumberFormat="1" applyFont="1" applyFill="1" applyBorder="1"/>
    <xf numFmtId="1" fontId="10" fillId="10" borderId="0" xfId="1" applyNumberFormat="1" applyFont="1" applyFill="1" applyAlignment="1">
      <alignment horizontal="right"/>
    </xf>
    <xf numFmtId="0" fontId="8" fillId="10" borderId="0" xfId="1" applyFont="1" applyFill="1" applyAlignment="1">
      <alignment horizontal="center"/>
    </xf>
    <xf numFmtId="165" fontId="30" fillId="16" borderId="0" xfId="3" applyNumberFormat="1" applyFont="1" applyFill="1" applyAlignment="1" applyProtection="1">
      <alignment horizontal="right"/>
    </xf>
    <xf numFmtId="0" fontId="8" fillId="3" borderId="0" xfId="1" applyFont="1" applyFill="1" applyAlignment="1">
      <alignment horizontal="right"/>
    </xf>
    <xf numFmtId="1" fontId="8" fillId="16" borderId="8" xfId="1" applyNumberFormat="1" applyFont="1" applyFill="1" applyBorder="1"/>
    <xf numFmtId="1" fontId="8" fillId="9" borderId="8" xfId="1" applyNumberFormat="1" applyFont="1" applyFill="1" applyBorder="1"/>
    <xf numFmtId="0" fontId="8" fillId="9" borderId="8" xfId="1" applyFont="1" applyFill="1" applyBorder="1"/>
    <xf numFmtId="0" fontId="8" fillId="16" borderId="8" xfId="1" applyFont="1" applyFill="1" applyBorder="1"/>
    <xf numFmtId="0" fontId="8" fillId="8" borderId="0" xfId="1" applyFont="1" applyFill="1" applyBorder="1"/>
    <xf numFmtId="0" fontId="8" fillId="15" borderId="0" xfId="1" applyFont="1" applyFill="1" applyAlignment="1">
      <alignment horizontal="right"/>
    </xf>
    <xf numFmtId="0" fontId="0" fillId="10" borderId="0" xfId="0" applyFill="1" applyAlignment="1">
      <alignment horizontal="right"/>
    </xf>
    <xf numFmtId="1" fontId="8" fillId="10" borderId="0" xfId="1" applyNumberFormat="1" applyFont="1" applyFill="1" applyBorder="1"/>
    <xf numFmtId="0" fontId="31" fillId="0" borderId="0" xfId="1" applyFont="1" applyFill="1" applyBorder="1" applyAlignment="1">
      <alignment horizontal="center"/>
    </xf>
    <xf numFmtId="0" fontId="8" fillId="15" borderId="0" xfId="1" applyFont="1" applyFill="1" applyAlignment="1">
      <alignment horizontal="left"/>
    </xf>
    <xf numFmtId="0" fontId="8" fillId="15" borderId="0" xfId="1" applyFont="1" applyFill="1" applyAlignment="1">
      <alignment horizontal="center"/>
    </xf>
    <xf numFmtId="0" fontId="10" fillId="15" borderId="0" xfId="1" applyFont="1" applyFill="1" applyAlignment="1">
      <alignment horizontal="center" wrapText="1"/>
    </xf>
    <xf numFmtId="0" fontId="10" fillId="15" borderId="0" xfId="1" applyFont="1" applyFill="1" applyAlignment="1">
      <alignment horizontal="center"/>
    </xf>
    <xf numFmtId="1" fontId="8" fillId="15" borderId="0" xfId="1" applyNumberFormat="1" applyFont="1" applyFill="1" applyAlignment="1">
      <alignment horizontal="right"/>
    </xf>
    <xf numFmtId="0" fontId="10" fillId="15" borderId="0" xfId="1" applyFont="1" applyFill="1" applyBorder="1"/>
    <xf numFmtId="1" fontId="10" fillId="15" borderId="0" xfId="1" applyNumberFormat="1" applyFont="1" applyFill="1" applyBorder="1"/>
    <xf numFmtId="0" fontId="10" fillId="15" borderId="0" xfId="1" applyFont="1" applyFill="1" applyAlignment="1">
      <alignment horizontal="right"/>
    </xf>
    <xf numFmtId="1" fontId="10" fillId="15" borderId="0" xfId="1" applyNumberFormat="1" applyFont="1" applyFill="1" applyAlignment="1">
      <alignment horizontal="right"/>
    </xf>
    <xf numFmtId="1" fontId="8" fillId="15" borderId="0" xfId="1" applyNumberFormat="1" applyFont="1" applyFill="1" applyAlignment="1">
      <alignment horizontal="left"/>
    </xf>
    <xf numFmtId="43" fontId="8" fillId="21" borderId="0" xfId="2" quotePrefix="1" applyNumberFormat="1" applyFont="1" applyFill="1" applyAlignment="1">
      <alignment horizontal="right" vertical="top"/>
    </xf>
    <xf numFmtId="1" fontId="10" fillId="3" borderId="0" xfId="6" applyNumberFormat="1" applyFont="1" applyFill="1"/>
    <xf numFmtId="49" fontId="0" fillId="0" borderId="0" xfId="0" applyNumberFormat="1" applyAlignment="1">
      <alignment horizontal="left"/>
    </xf>
    <xf numFmtId="40" fontId="0" fillId="0" borderId="0" xfId="0" applyNumberFormat="1" applyAlignment="1">
      <alignment horizontal="right"/>
    </xf>
    <xf numFmtId="40" fontId="0" fillId="0" borderId="0" xfId="0" applyNumberFormat="1"/>
    <xf numFmtId="10" fontId="10" fillId="10" borderId="0" xfId="1" applyNumberFormat="1" applyFont="1" applyFill="1" applyAlignment="1">
      <alignment horizontal="right"/>
    </xf>
    <xf numFmtId="43" fontId="5" fillId="18" borderId="0" xfId="54" applyNumberFormat="1" applyFill="1"/>
    <xf numFmtId="43" fontId="4" fillId="3" borderId="0" xfId="57" applyNumberFormat="1" applyFill="1"/>
    <xf numFmtId="0" fontId="13" fillId="14" borderId="0" xfId="2" quotePrefix="1" applyFont="1" applyFill="1" applyAlignment="1">
      <alignment vertical="top"/>
    </xf>
    <xf numFmtId="0" fontId="12" fillId="14" borderId="0" xfId="2" applyFont="1" applyFill="1" applyAlignment="1">
      <alignment horizontal="right" vertical="top"/>
    </xf>
    <xf numFmtId="37" fontId="0" fillId="0" borderId="0" xfId="0" applyNumberFormat="1"/>
    <xf numFmtId="10" fontId="0" fillId="10" borderId="0" xfId="0" applyNumberFormat="1" applyFill="1"/>
    <xf numFmtId="0" fontId="0" fillId="10" borderId="0" xfId="0" applyFill="1" applyAlignment="1">
      <alignment horizontal="center"/>
    </xf>
    <xf numFmtId="43" fontId="0" fillId="16" borderId="0" xfId="0" applyNumberFormat="1" applyFill="1"/>
    <xf numFmtId="43" fontId="6" fillId="16" borderId="0" xfId="0" applyNumberFormat="1" applyFont="1" applyFill="1"/>
    <xf numFmtId="44" fontId="0" fillId="16" borderId="0" xfId="0" applyNumberFormat="1" applyFill="1"/>
    <xf numFmtId="43" fontId="2" fillId="3" borderId="0" xfId="127" applyNumberFormat="1" applyFill="1"/>
    <xf numFmtId="44" fontId="8" fillId="0" borderId="0" xfId="2" applyNumberFormat="1" applyFont="1" applyFill="1" applyAlignment="1">
      <alignment wrapText="1"/>
    </xf>
    <xf numFmtId="43" fontId="8" fillId="0" borderId="0" xfId="2" applyNumberFormat="1" applyFont="1" applyFill="1" applyAlignment="1">
      <alignment wrapText="1"/>
    </xf>
    <xf numFmtId="43" fontId="8" fillId="0" borderId="0" xfId="2" applyNumberFormat="1" applyFont="1" applyAlignment="1">
      <alignment wrapText="1"/>
    </xf>
    <xf numFmtId="43" fontId="10" fillId="0" borderId="0" xfId="2" applyNumberFormat="1" applyFont="1" applyFill="1" applyAlignment="1">
      <alignment wrapText="1"/>
    </xf>
    <xf numFmtId="44" fontId="10" fillId="0" borderId="0" xfId="2" applyNumberFormat="1" applyFont="1" applyAlignment="1">
      <alignment wrapText="1"/>
    </xf>
    <xf numFmtId="43" fontId="8" fillId="0" borderId="0" xfId="2" applyNumberFormat="1" applyFont="1" applyFill="1"/>
    <xf numFmtId="43" fontId="10" fillId="0" borderId="0" xfId="2" applyNumberFormat="1" applyFont="1" applyFill="1"/>
    <xf numFmtId="43" fontId="10" fillId="0" borderId="0" xfId="2" applyNumberFormat="1" applyFont="1"/>
    <xf numFmtId="0" fontId="8" fillId="0" borderId="0" xfId="2" applyFont="1"/>
    <xf numFmtId="43" fontId="8" fillId="0" borderId="0" xfId="2" applyNumberFormat="1" applyFont="1"/>
    <xf numFmtId="44" fontId="8" fillId="0" borderId="0" xfId="2" applyNumberFormat="1" applyFont="1" applyFill="1"/>
    <xf numFmtId="44" fontId="10" fillId="0" borderId="0" xfId="2" applyNumberFormat="1" applyFont="1"/>
    <xf numFmtId="10" fontId="6" fillId="0" borderId="0" xfId="0" applyNumberFormat="1" applyFont="1"/>
    <xf numFmtId="43" fontId="7" fillId="15" borderId="0" xfId="2" applyNumberFormat="1" applyFont="1" applyFill="1"/>
    <xf numFmtId="43" fontId="9" fillId="15" borderId="0" xfId="2" applyNumberFormat="1" applyFont="1" applyFill="1"/>
    <xf numFmtId="43" fontId="7" fillId="9" borderId="0" xfId="2" applyNumberFormat="1" applyFont="1" applyFill="1"/>
    <xf numFmtId="43" fontId="9" fillId="9" borderId="0" xfId="2" applyNumberFormat="1" applyFont="1" applyFill="1"/>
    <xf numFmtId="0" fontId="8" fillId="15" borderId="0" xfId="2" applyFont="1" applyFill="1"/>
    <xf numFmtId="0" fontId="8" fillId="9" borderId="0" xfId="2" applyFont="1" applyFill="1"/>
    <xf numFmtId="165" fontId="9" fillId="0" borderId="0" xfId="12" applyFont="1" applyFill="1" applyAlignment="1">
      <alignment horizontal="center"/>
    </xf>
    <xf numFmtId="10" fontId="8" fillId="0" borderId="0" xfId="7" applyNumberFormat="1" applyFont="1" applyFill="1" applyAlignment="1">
      <alignment horizontal="center"/>
    </xf>
    <xf numFmtId="165" fontId="18" fillId="0" borderId="0" xfId="13" applyFont="1" applyFill="1" applyAlignment="1">
      <alignment horizontal="center"/>
    </xf>
    <xf numFmtId="165" fontId="15" fillId="0" borderId="0" xfId="0" applyNumberFormat="1" applyFont="1" applyFill="1" applyAlignment="1" applyProtection="1">
      <alignment horizontal="center"/>
    </xf>
    <xf numFmtId="165" fontId="21" fillId="0" borderId="0" xfId="0" applyNumberFormat="1" applyFont="1" applyFill="1" applyAlignment="1" applyProtection="1">
      <alignment horizontal="center"/>
    </xf>
    <xf numFmtId="10" fontId="15" fillId="0" borderId="0" xfId="0" applyNumberFormat="1" applyFont="1" applyFill="1" applyAlignment="1" applyProtection="1">
      <alignment horizontal="center"/>
    </xf>
    <xf numFmtId="166" fontId="15" fillId="0" borderId="0" xfId="0" applyNumberFormat="1" applyFont="1" applyFill="1" applyAlignment="1" applyProtection="1">
      <alignment horizontal="center"/>
    </xf>
    <xf numFmtId="167" fontId="15" fillId="0" borderId="0" xfId="0" applyNumberFormat="1" applyFont="1" applyFill="1" applyAlignment="1" applyProtection="1">
      <alignment horizontal="center"/>
    </xf>
    <xf numFmtId="10" fontId="15" fillId="0" borderId="0" xfId="0" applyNumberFormat="1" applyFont="1" applyFill="1" applyAlignment="1" applyProtection="1"/>
    <xf numFmtId="165" fontId="19" fillId="0" borderId="0" xfId="0" applyNumberFormat="1" applyFont="1" applyFill="1" applyAlignment="1" applyProtection="1">
      <alignment horizontal="center"/>
    </xf>
    <xf numFmtId="165" fontId="10" fillId="0" borderId="0" xfId="13" applyNumberFormat="1" applyFont="1" applyFill="1" applyAlignment="1" applyProtection="1">
      <alignment horizontal="center"/>
    </xf>
    <xf numFmtId="165" fontId="15" fillId="4" borderId="0" xfId="0" applyNumberFormat="1" applyFont="1" applyFill="1" applyAlignment="1" applyProtection="1">
      <alignment horizontal="center"/>
    </xf>
    <xf numFmtId="1" fontId="15" fillId="4" borderId="0" xfId="0" applyNumberFormat="1" applyFont="1" applyFill="1" applyAlignment="1" applyProtection="1">
      <alignment horizontal="center"/>
    </xf>
    <xf numFmtId="1" fontId="15" fillId="0" borderId="0" xfId="0" applyNumberFormat="1" applyFont="1" applyAlignment="1" applyProtection="1">
      <alignment horizontal="center"/>
    </xf>
    <xf numFmtId="165" fontId="18" fillId="10" borderId="0" xfId="13" applyFont="1" applyFill="1" applyAlignment="1">
      <alignment horizontal="center"/>
    </xf>
    <xf numFmtId="0" fontId="8" fillId="3" borderId="8" xfId="1" applyFont="1" applyFill="1" applyBorder="1"/>
    <xf numFmtId="0" fontId="10" fillId="3" borderId="8" xfId="1" applyFont="1" applyFill="1" applyBorder="1"/>
    <xf numFmtId="1" fontId="10" fillId="3" borderId="8" xfId="1" applyNumberFormat="1" applyFont="1" applyFill="1" applyBorder="1"/>
    <xf numFmtId="0" fontId="10" fillId="53" borderId="0" xfId="1" applyFont="1" applyFill="1" applyAlignment="1">
      <alignment horizontal="right"/>
    </xf>
    <xf numFmtId="0" fontId="10" fillId="0" borderId="4" xfId="1" applyFont="1" applyFill="1" applyBorder="1"/>
    <xf numFmtId="14" fontId="8" fillId="0" borderId="0" xfId="1" applyNumberFormat="1" applyFont="1" applyFill="1" applyAlignment="1">
      <alignment horizontal="left"/>
    </xf>
    <xf numFmtId="0" fontId="3" fillId="0" borderId="0" xfId="72" applyFill="1"/>
    <xf numFmtId="0" fontId="37" fillId="0" borderId="0" xfId="1" applyFont="1" applyFill="1"/>
    <xf numFmtId="0" fontId="31" fillId="0" borderId="0" xfId="1" applyFont="1" applyFill="1"/>
    <xf numFmtId="0" fontId="31" fillId="0" borderId="0" xfId="1" applyFont="1"/>
    <xf numFmtId="1" fontId="10" fillId="0" borderId="0" xfId="6" applyNumberFormat="1" applyFont="1" applyAlignment="1">
      <alignment horizontal="right"/>
    </xf>
    <xf numFmtId="171" fontId="0" fillId="10" borderId="0" xfId="0" applyNumberFormat="1" applyFill="1"/>
    <xf numFmtId="14" fontId="8" fillId="0" borderId="0" xfId="1" applyNumberFormat="1" applyFont="1" applyFill="1"/>
    <xf numFmtId="10" fontId="0" fillId="18" borderId="0" xfId="0" applyNumberFormat="1" applyFill="1"/>
    <xf numFmtId="0" fontId="0" fillId="18" borderId="0" xfId="0" applyFill="1"/>
    <xf numFmtId="43" fontId="6" fillId="0" borderId="0" xfId="0" applyNumberFormat="1" applyFont="1" applyFill="1"/>
    <xf numFmtId="0" fontId="12" fillId="0" borderId="0" xfId="2" applyFont="1" applyFill="1" applyAlignment="1">
      <alignment horizontal="right" vertical="top"/>
    </xf>
    <xf numFmtId="0" fontId="6" fillId="0" borderId="0" xfId="0" applyFont="1" applyFill="1"/>
    <xf numFmtId="44" fontId="0" fillId="0" borderId="0" xfId="0" applyNumberFormat="1" applyFill="1"/>
    <xf numFmtId="0" fontId="0" fillId="0" borderId="0" xfId="0" applyFill="1" applyAlignment="1">
      <alignment horizontal="center"/>
    </xf>
    <xf numFmtId="43" fontId="58" fillId="0" borderId="0" xfId="0" applyNumberFormat="1" applyFont="1"/>
    <xf numFmtId="10" fontId="58" fillId="0" borderId="0" xfId="0" applyNumberFormat="1" applyFont="1"/>
    <xf numFmtId="0" fontId="0" fillId="54" borderId="0" xfId="0" applyFill="1"/>
    <xf numFmtId="42" fontId="0" fillId="0" borderId="0" xfId="0" applyNumberFormat="1"/>
    <xf numFmtId="10" fontId="0" fillId="0" borderId="0" xfId="0" applyNumberFormat="1" applyFill="1" applyAlignment="1">
      <alignment horizontal="center"/>
    </xf>
    <xf numFmtId="172" fontId="13" fillId="0" borderId="0" xfId="2" applyNumberFormat="1" applyFont="1" applyFill="1" applyAlignment="1">
      <alignment horizontal="right" vertical="top"/>
    </xf>
    <xf numFmtId="172" fontId="13" fillId="0" borderId="0" xfId="2" quotePrefix="1" applyNumberFormat="1" applyFont="1" applyFill="1" applyAlignment="1">
      <alignment horizontal="right" vertical="top"/>
    </xf>
    <xf numFmtId="43" fontId="6" fillId="0" borderId="0" xfId="0" applyNumberFormat="1" applyFont="1" applyBorder="1"/>
    <xf numFmtId="10" fontId="0" fillId="0" borderId="0" xfId="0" applyNumberFormat="1" applyFill="1"/>
    <xf numFmtId="0" fontId="10" fillId="0" borderId="0" xfId="1" applyFont="1" applyAlignment="1">
      <alignment horizontal="center"/>
    </xf>
    <xf numFmtId="0" fontId="7" fillId="3" borderId="0" xfId="1" applyFill="1"/>
    <xf numFmtId="1" fontId="8" fillId="3" borderId="8" xfId="1" applyNumberFormat="1" applyFont="1" applyFill="1" applyBorder="1"/>
    <xf numFmtId="1" fontId="7" fillId="0" borderId="0" xfId="1" applyNumberFormat="1"/>
    <xf numFmtId="10" fontId="7" fillId="0" borderId="0" xfId="1" applyNumberFormat="1"/>
    <xf numFmtId="10" fontId="8" fillId="3" borderId="0" xfId="7" applyNumberFormat="1" applyFont="1" applyFill="1" applyAlignment="1">
      <alignment horizontal="center"/>
    </xf>
    <xf numFmtId="14" fontId="8" fillId="0" borderId="0" xfId="2" applyNumberFormat="1" applyFont="1" applyAlignment="1">
      <alignment horizontal="right" vertical="top"/>
    </xf>
    <xf numFmtId="0" fontId="8" fillId="0" borderId="0" xfId="2" applyFont="1" applyAlignment="1">
      <alignment horizontal="left" vertical="top"/>
    </xf>
    <xf numFmtId="0" fontId="10" fillId="0" borderId="0" xfId="2" applyFont="1" applyAlignment="1">
      <alignment horizontal="center"/>
    </xf>
    <xf numFmtId="0" fontId="10" fillId="0" borderId="4" xfId="2" applyFont="1" applyBorder="1" applyAlignment="1">
      <alignment horizontal="center"/>
    </xf>
    <xf numFmtId="43" fontId="10" fillId="0" borderId="0" xfId="2" applyNumberFormat="1" applyFont="1" applyAlignment="1">
      <alignment horizontal="center"/>
    </xf>
    <xf numFmtId="165" fontId="18" fillId="0" borderId="0" xfId="13" applyFont="1" applyAlignment="1">
      <alignment horizontal="center"/>
    </xf>
    <xf numFmtId="0" fontId="10" fillId="0" borderId="0" xfId="1" applyFont="1" applyAlignment="1">
      <alignment horizontal="center"/>
    </xf>
    <xf numFmtId="0" fontId="10" fillId="0" borderId="0" xfId="6" applyFont="1" applyAlignment="1">
      <alignment horizontal="center"/>
    </xf>
    <xf numFmtId="43" fontId="10" fillId="0" borderId="0" xfId="1" applyNumberFormat="1" applyFont="1" applyAlignment="1">
      <alignment horizontal="center"/>
    </xf>
    <xf numFmtId="0" fontId="12" fillId="0" borderId="0" xfId="1" applyFont="1" applyAlignment="1">
      <alignment horizontal="center"/>
    </xf>
    <xf numFmtId="164" fontId="10" fillId="0" borderId="0" xfId="2" applyNumberFormat="1" applyFont="1" applyAlignment="1">
      <alignment horizontal="center" vertical="top"/>
    </xf>
    <xf numFmtId="0" fontId="10" fillId="0" borderId="0" xfId="1" applyFont="1" applyFill="1" applyAlignment="1">
      <alignment horizontal="center"/>
    </xf>
    <xf numFmtId="0" fontId="10" fillId="0" borderId="0" xfId="1" applyFont="1" applyBorder="1" applyAlignment="1">
      <alignment horizontal="center"/>
    </xf>
    <xf numFmtId="0" fontId="0" fillId="3" borderId="0" xfId="0" applyFill="1"/>
    <xf numFmtId="41" fontId="6" fillId="3" borderId="0" xfId="0" applyNumberFormat="1" applyFont="1" applyFill="1"/>
  </cellXfs>
  <cellStyles count="143">
    <cellStyle name="20% - Accent1" xfId="31" builtinId="30" customBuiltin="1"/>
    <cellStyle name="20% - Accent1 2" xfId="59"/>
    <cellStyle name="20% - Accent1 2 2" xfId="114"/>
    <cellStyle name="20% - Accent1 3" xfId="74"/>
    <cellStyle name="20% - Accent1 3 2" xfId="129"/>
    <cellStyle name="20% - Accent1 4" xfId="89"/>
    <cellStyle name="20% - Accent2" xfId="35" builtinId="34" customBuiltin="1"/>
    <cellStyle name="20% - Accent2 2" xfId="61"/>
    <cellStyle name="20% - Accent2 2 2" xfId="116"/>
    <cellStyle name="20% - Accent2 3" xfId="76"/>
    <cellStyle name="20% - Accent2 3 2" xfId="131"/>
    <cellStyle name="20% - Accent2 4" xfId="91"/>
    <cellStyle name="20% - Accent3" xfId="39" builtinId="38" customBuiltin="1"/>
    <cellStyle name="20% - Accent3 2" xfId="63"/>
    <cellStyle name="20% - Accent3 2 2" xfId="118"/>
    <cellStyle name="20% - Accent3 3" xfId="78"/>
    <cellStyle name="20% - Accent3 3 2" xfId="133"/>
    <cellStyle name="20% - Accent3 4" xfId="93"/>
    <cellStyle name="20% - Accent4" xfId="43" builtinId="42" customBuiltin="1"/>
    <cellStyle name="20% - Accent4 2" xfId="65"/>
    <cellStyle name="20% - Accent4 2 2" xfId="120"/>
    <cellStyle name="20% - Accent4 3" xfId="80"/>
    <cellStyle name="20% - Accent4 3 2" xfId="135"/>
    <cellStyle name="20% - Accent4 4" xfId="95"/>
    <cellStyle name="20% - Accent5" xfId="47" builtinId="46" customBuiltin="1"/>
    <cellStyle name="20% - Accent5 2" xfId="67"/>
    <cellStyle name="20% - Accent5 2 2" xfId="122"/>
    <cellStyle name="20% - Accent5 3" xfId="82"/>
    <cellStyle name="20% - Accent5 3 2" xfId="137"/>
    <cellStyle name="20% - Accent5 4" xfId="97"/>
    <cellStyle name="20% - Accent6" xfId="51" builtinId="50" customBuiltin="1"/>
    <cellStyle name="20% - Accent6 2" xfId="69"/>
    <cellStyle name="20% - Accent6 2 2" xfId="124"/>
    <cellStyle name="20% - Accent6 3" xfId="84"/>
    <cellStyle name="20% - Accent6 3 2" xfId="139"/>
    <cellStyle name="20% - Accent6 4" xfId="99"/>
    <cellStyle name="40% - Accent1" xfId="32" builtinId="31" customBuiltin="1"/>
    <cellStyle name="40% - Accent1 2" xfId="60"/>
    <cellStyle name="40% - Accent1 2 2" xfId="115"/>
    <cellStyle name="40% - Accent1 3" xfId="75"/>
    <cellStyle name="40% - Accent1 3 2" xfId="130"/>
    <cellStyle name="40% - Accent1 4" xfId="90"/>
    <cellStyle name="40% - Accent2" xfId="36" builtinId="35" customBuiltin="1"/>
    <cellStyle name="40% - Accent2 2" xfId="62"/>
    <cellStyle name="40% - Accent2 2 2" xfId="117"/>
    <cellStyle name="40% - Accent2 3" xfId="77"/>
    <cellStyle name="40% - Accent2 3 2" xfId="132"/>
    <cellStyle name="40% - Accent2 4" xfId="92"/>
    <cellStyle name="40% - Accent3" xfId="40" builtinId="39" customBuiltin="1"/>
    <cellStyle name="40% - Accent3 2" xfId="64"/>
    <cellStyle name="40% - Accent3 2 2" xfId="119"/>
    <cellStyle name="40% - Accent3 3" xfId="79"/>
    <cellStyle name="40% - Accent3 3 2" xfId="134"/>
    <cellStyle name="40% - Accent3 4" xfId="94"/>
    <cellStyle name="40% - Accent4" xfId="44" builtinId="43" customBuiltin="1"/>
    <cellStyle name="40% - Accent4 2" xfId="66"/>
    <cellStyle name="40% - Accent4 2 2" xfId="121"/>
    <cellStyle name="40% - Accent4 3" xfId="81"/>
    <cellStyle name="40% - Accent4 3 2" xfId="136"/>
    <cellStyle name="40% - Accent4 4" xfId="96"/>
    <cellStyle name="40% - Accent5" xfId="48" builtinId="47" customBuiltin="1"/>
    <cellStyle name="40% - Accent5 2" xfId="68"/>
    <cellStyle name="40% - Accent5 2 2" xfId="123"/>
    <cellStyle name="40% - Accent5 3" xfId="83"/>
    <cellStyle name="40% - Accent5 3 2" xfId="138"/>
    <cellStyle name="40% - Accent5 4" xfId="98"/>
    <cellStyle name="40% - Accent6" xfId="52" builtinId="51" customBuiltin="1"/>
    <cellStyle name="40% - Accent6 2" xfId="70"/>
    <cellStyle name="40% - Accent6 2 2" xfId="125"/>
    <cellStyle name="40% - Accent6 3" xfId="85"/>
    <cellStyle name="40% - Accent6 3 2" xfId="140"/>
    <cellStyle name="40% - Accent6 4" xfId="100"/>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20" builtinId="27" customBuiltin="1"/>
    <cellStyle name="Calculation" xfId="24" builtinId="22" customBuiltin="1"/>
    <cellStyle name="Check Cell" xfId="26" builtinId="23" customBuiltin="1"/>
    <cellStyle name="Comma 2" xfId="4"/>
    <cellStyle name="Comma 2 2" xfId="103"/>
    <cellStyle name="Comma 3" xfId="10"/>
    <cellStyle name="Currency 2" xfId="56"/>
    <cellStyle name="Currency 2 2" xfId="111"/>
    <cellStyle name="Currency 3" xfId="71"/>
    <cellStyle name="Currency 3 2" xfId="126"/>
    <cellStyle name="Currency 4" xfId="86"/>
    <cellStyle name="Currency 4 2" xfId="141"/>
    <cellStyle name="Currency 5" xfId="101"/>
    <cellStyle name="Explanatory Text" xfId="28" builtinId="53" customBuiltin="1"/>
    <cellStyle name="Good" xfId="19" builtinId="26" customBuiltin="1"/>
    <cellStyle name="Heading 1" xfId="15" builtinId="16" customBuiltin="1"/>
    <cellStyle name="Heading 2" xfId="16" builtinId="17" customBuiltin="1"/>
    <cellStyle name="Heading 3" xfId="17" builtinId="18" customBuiltin="1"/>
    <cellStyle name="Heading 4" xfId="18" builtinId="19" customBuiltin="1"/>
    <cellStyle name="Input" xfId="22" builtinId="20" customBuiltin="1"/>
    <cellStyle name="Linked Cell" xfId="25" builtinId="24" customBuiltin="1"/>
    <cellStyle name="Neutral" xfId="21" builtinId="28" customBuiltin="1"/>
    <cellStyle name="Normal" xfId="0" builtinId="0"/>
    <cellStyle name="Normal 10" xfId="72"/>
    <cellStyle name="Normal 10 2" xfId="127"/>
    <cellStyle name="Normal 11" xfId="102"/>
    <cellStyle name="Normal 12" xfId="87"/>
    <cellStyle name="Normal 13" xfId="142"/>
    <cellStyle name="Normal 2" xfId="1"/>
    <cellStyle name="Normal 2 2" xfId="11"/>
    <cellStyle name="Normal 3" xfId="6"/>
    <cellStyle name="Normal 3 2" xfId="105"/>
    <cellStyle name="Normal 4" xfId="7"/>
    <cellStyle name="Normal 5" xfId="8"/>
    <cellStyle name="Normal 5 2" xfId="106"/>
    <cellStyle name="Normal 6" xfId="12"/>
    <cellStyle name="Normal 6 2" xfId="107"/>
    <cellStyle name="Normal 7" xfId="13"/>
    <cellStyle name="Normal 7 2" xfId="108"/>
    <cellStyle name="Normal 8" xfId="54"/>
    <cellStyle name="Normal 8 2" xfId="109"/>
    <cellStyle name="Normal 9" xfId="57"/>
    <cellStyle name="Normal 9 2" xfId="112"/>
    <cellStyle name="Normal_GL Trial Balance  93010" xfId="2"/>
    <cellStyle name="Normal_Stats 093010" xfId="3"/>
    <cellStyle name="Note 2" xfId="55"/>
    <cellStyle name="Note 2 2" xfId="110"/>
    <cellStyle name="Note 3" xfId="58"/>
    <cellStyle name="Note 3 2" xfId="113"/>
    <cellStyle name="Note 4" xfId="73"/>
    <cellStyle name="Note 4 2" xfId="128"/>
    <cellStyle name="Note 5" xfId="88"/>
    <cellStyle name="Output" xfId="23" builtinId="21" customBuiltin="1"/>
    <cellStyle name="Percent 2" xfId="5"/>
    <cellStyle name="Percent 2 2" xfId="104"/>
    <cellStyle name="Percent 3" xfId="9"/>
    <cellStyle name="Title" xfId="14" builtinId="15" customBuiltin="1"/>
    <cellStyle name="Total" xfId="29" builtinId="25" customBuiltin="1"/>
    <cellStyle name="Warning Text" xfId="27" builtinId="11" customBuiltin="1"/>
  </cellStyles>
  <dxfs count="0"/>
  <tableStyles count="0" defaultTableStyle="TableStyleMedium9" defaultPivotStyle="PivotStyleLight16"/>
  <colors>
    <mruColors>
      <color rgb="FF00FFFF"/>
      <color rgb="FF3333FF"/>
      <color rgb="FFCC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drawing1.xml><?xml version="1.0" encoding="utf-8"?>
<xdr:wsDr xmlns:xdr="http://schemas.openxmlformats.org/drawingml/2006/spreadsheetDrawing" xmlns:a="http://schemas.openxmlformats.org/drawingml/2006/main">
  <xdr:oneCellAnchor>
    <xdr:from>
      <xdr:col>3</xdr:col>
      <xdr:colOff>476250</xdr:colOff>
      <xdr:row>4</xdr:row>
      <xdr:rowOff>104775</xdr:rowOff>
    </xdr:from>
    <xdr:ext cx="142875" cy="264560"/>
    <xdr:sp macro="" textlink="">
      <xdr:nvSpPr>
        <xdr:cNvPr id="2" name="TextBox 1"/>
        <xdr:cNvSpPr txBox="1"/>
      </xdr:nvSpPr>
      <xdr:spPr>
        <a:xfrm>
          <a:off x="2305050" y="752475"/>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5</xdr:col>
      <xdr:colOff>0</xdr:colOff>
      <xdr:row>5</xdr:row>
      <xdr:rowOff>0</xdr:rowOff>
    </xdr:from>
    <xdr:ext cx="184731" cy="264560"/>
    <xdr:sp macro="" textlink="">
      <xdr:nvSpPr>
        <xdr:cNvPr id="2" name="TextBox 1"/>
        <xdr:cNvSpPr txBox="1"/>
      </xdr:nvSpPr>
      <xdr:spPr>
        <a:xfrm>
          <a:off x="41529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xdr:col>
      <xdr:colOff>104775</xdr:colOff>
      <xdr:row>4</xdr:row>
      <xdr:rowOff>104775</xdr:rowOff>
    </xdr:from>
    <xdr:ext cx="184731" cy="264560"/>
    <xdr:sp macro="" textlink="">
      <xdr:nvSpPr>
        <xdr:cNvPr id="2" name="TextBox 1"/>
        <xdr:cNvSpPr txBox="1"/>
      </xdr:nvSpPr>
      <xdr:spPr>
        <a:xfrm>
          <a:off x="363855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752475"/>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xdr:col>
      <xdr:colOff>476250</xdr:colOff>
      <xdr:row>3</xdr:row>
      <xdr:rowOff>0</xdr:rowOff>
    </xdr:from>
    <xdr:ext cx="142875" cy="264560"/>
    <xdr:sp macro="" textlink="">
      <xdr:nvSpPr>
        <xdr:cNvPr id="2" name="TextBox 1"/>
        <xdr:cNvSpPr txBox="1"/>
      </xdr:nvSpPr>
      <xdr:spPr>
        <a:xfrm>
          <a:off x="4171950" y="752475"/>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752475"/>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xdr:col>
      <xdr:colOff>476250</xdr:colOff>
      <xdr:row>1</xdr:row>
      <xdr:rowOff>0</xdr:rowOff>
    </xdr:from>
    <xdr:ext cx="142875" cy="264560"/>
    <xdr:sp macro="" textlink="">
      <xdr:nvSpPr>
        <xdr:cNvPr id="2" name="TextBox 1"/>
        <xdr:cNvSpPr txBox="1"/>
      </xdr:nvSpPr>
      <xdr:spPr>
        <a:xfrm>
          <a:off x="4171950" y="752475"/>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476250</xdr:colOff>
      <xdr:row>4</xdr:row>
      <xdr:rowOff>104775</xdr:rowOff>
    </xdr:from>
    <xdr:ext cx="142875" cy="264560"/>
    <xdr:sp macro="" textlink="">
      <xdr:nvSpPr>
        <xdr:cNvPr id="2" name="TextBox 1"/>
        <xdr:cNvSpPr txBox="1"/>
      </xdr:nvSpPr>
      <xdr:spPr>
        <a:xfrm>
          <a:off x="4171950" y="752475"/>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3</xdr:col>
      <xdr:colOff>476250</xdr:colOff>
      <xdr:row>2</xdr:row>
      <xdr:rowOff>0</xdr:rowOff>
    </xdr:from>
    <xdr:ext cx="142875" cy="264560"/>
    <xdr:sp macro="" textlink="">
      <xdr:nvSpPr>
        <xdr:cNvPr id="2" name="TextBox 1"/>
        <xdr:cNvSpPr txBox="1"/>
      </xdr:nvSpPr>
      <xdr:spPr>
        <a:xfrm>
          <a:off x="4171950" y="323850"/>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2</xdr:col>
      <xdr:colOff>114300</xdr:colOff>
      <xdr:row>25</xdr:row>
      <xdr:rowOff>123825</xdr:rowOff>
    </xdr:from>
    <xdr:ext cx="184731" cy="264560"/>
    <xdr:sp macro="" textlink="">
      <xdr:nvSpPr>
        <xdr:cNvPr id="2" name="TextBox 1"/>
        <xdr:cNvSpPr txBox="1"/>
      </xdr:nvSpPr>
      <xdr:spPr>
        <a:xfrm>
          <a:off x="3028950" y="44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114300</xdr:colOff>
      <xdr:row>4</xdr:row>
      <xdr:rowOff>123825</xdr:rowOff>
    </xdr:from>
    <xdr:ext cx="184731" cy="264560"/>
    <xdr:sp macro="" textlink="">
      <xdr:nvSpPr>
        <xdr:cNvPr id="3" name="TextBox 2"/>
        <xdr:cNvSpPr txBox="1"/>
      </xdr:nvSpPr>
      <xdr:spPr>
        <a:xfrm>
          <a:off x="2552700" y="417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476250</xdr:colOff>
      <xdr:row>4</xdr:row>
      <xdr:rowOff>104775</xdr:rowOff>
    </xdr:from>
    <xdr:ext cx="142875" cy="264560"/>
    <xdr:sp macro="" textlink="">
      <xdr:nvSpPr>
        <xdr:cNvPr id="3" name="TextBox 2"/>
        <xdr:cNvSpPr txBox="1"/>
      </xdr:nvSpPr>
      <xdr:spPr>
        <a:xfrm>
          <a:off x="4171950" y="752475"/>
          <a:ext cx="142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114300</xdr:colOff>
      <xdr:row>2</xdr:row>
      <xdr:rowOff>123825</xdr:rowOff>
    </xdr:from>
    <xdr:ext cx="184731" cy="264560"/>
    <xdr:sp macro="" textlink="">
      <xdr:nvSpPr>
        <xdr:cNvPr id="2" name="TextBox 1"/>
        <xdr:cNvSpPr txBox="1"/>
      </xdr:nvSpPr>
      <xdr:spPr>
        <a:xfrm>
          <a:off x="3028950" y="44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0</xdr:colOff>
      <xdr:row>6</xdr:row>
      <xdr:rowOff>0</xdr:rowOff>
    </xdr:from>
    <xdr:ext cx="184731" cy="264560"/>
    <xdr:sp macro="" textlink="">
      <xdr:nvSpPr>
        <xdr:cNvPr id="2" name="TextBox 1"/>
        <xdr:cNvSpPr txBox="1"/>
      </xdr:nvSpPr>
      <xdr:spPr>
        <a:xfrm>
          <a:off x="675322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0</xdr:colOff>
      <xdr:row>17</xdr:row>
      <xdr:rowOff>0</xdr:rowOff>
    </xdr:from>
    <xdr:ext cx="184731" cy="264560"/>
    <xdr:sp macro="" textlink="">
      <xdr:nvSpPr>
        <xdr:cNvPr id="2" name="TextBox 1"/>
        <xdr:cNvSpPr txBox="1"/>
      </xdr:nvSpPr>
      <xdr:spPr>
        <a:xfrm>
          <a:off x="675322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0</xdr:colOff>
      <xdr:row>1</xdr:row>
      <xdr:rowOff>133350</xdr:rowOff>
    </xdr:from>
    <xdr:ext cx="184731" cy="264560"/>
    <xdr:sp macro="" textlink="">
      <xdr:nvSpPr>
        <xdr:cNvPr id="2" name="TextBox 1"/>
        <xdr:cNvSpPr txBox="1"/>
      </xdr:nvSpPr>
      <xdr:spPr>
        <a:xfrm>
          <a:off x="675322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xdr:row>
      <xdr:rowOff>133350</xdr:rowOff>
    </xdr:from>
    <xdr:ext cx="184731" cy="264560"/>
    <xdr:sp macro="" textlink="">
      <xdr:nvSpPr>
        <xdr:cNvPr id="3" name="TextBox 2"/>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xdr:row>
      <xdr:rowOff>133350</xdr:rowOff>
    </xdr:from>
    <xdr:ext cx="184731" cy="264560"/>
    <xdr:sp macro="" textlink="">
      <xdr:nvSpPr>
        <xdr:cNvPr id="4" name="TextBox 3"/>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xdr:row>
      <xdr:rowOff>133350</xdr:rowOff>
    </xdr:from>
    <xdr:ext cx="184731" cy="264560"/>
    <xdr:sp macro="" textlink="">
      <xdr:nvSpPr>
        <xdr:cNvPr id="5" name="TextBox 4"/>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xdr:row>
      <xdr:rowOff>133350</xdr:rowOff>
    </xdr:from>
    <xdr:ext cx="184731" cy="264560"/>
    <xdr:sp macro="" textlink="">
      <xdr:nvSpPr>
        <xdr:cNvPr id="6" name="TextBox 5"/>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0</xdr:colOff>
      <xdr:row>1</xdr:row>
      <xdr:rowOff>133350</xdr:rowOff>
    </xdr:from>
    <xdr:ext cx="184731" cy="264560"/>
    <xdr:sp macro="" textlink="">
      <xdr:nvSpPr>
        <xdr:cNvPr id="7" name="TextBox 6"/>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0</xdr:colOff>
      <xdr:row>1</xdr:row>
      <xdr:rowOff>133350</xdr:rowOff>
    </xdr:from>
    <xdr:ext cx="184731" cy="264560"/>
    <xdr:sp macro="" textlink="">
      <xdr:nvSpPr>
        <xdr:cNvPr id="8" name="TextBox 7"/>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0</xdr:colOff>
      <xdr:row>1</xdr:row>
      <xdr:rowOff>133350</xdr:rowOff>
    </xdr:from>
    <xdr:ext cx="184731" cy="264560"/>
    <xdr:sp macro="" textlink="">
      <xdr:nvSpPr>
        <xdr:cNvPr id="9" name="TextBox 8"/>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0</xdr:colOff>
      <xdr:row>1</xdr:row>
      <xdr:rowOff>133350</xdr:rowOff>
    </xdr:from>
    <xdr:ext cx="184731" cy="264560"/>
    <xdr:sp macro="" textlink="">
      <xdr:nvSpPr>
        <xdr:cNvPr id="10" name="TextBox 9"/>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0</xdr:colOff>
      <xdr:row>1</xdr:row>
      <xdr:rowOff>133350</xdr:rowOff>
    </xdr:from>
    <xdr:ext cx="184731" cy="264560"/>
    <xdr:sp macro="" textlink="">
      <xdr:nvSpPr>
        <xdr:cNvPr id="11" name="TextBox 10"/>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0</xdr:colOff>
      <xdr:row>1</xdr:row>
      <xdr:rowOff>133350</xdr:rowOff>
    </xdr:from>
    <xdr:ext cx="184731" cy="264560"/>
    <xdr:sp macro="" textlink="">
      <xdr:nvSpPr>
        <xdr:cNvPr id="12" name="TextBox 11"/>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16</xdr:col>
      <xdr:colOff>0</xdr:colOff>
      <xdr:row>1</xdr:row>
      <xdr:rowOff>133350</xdr:rowOff>
    </xdr:from>
    <xdr:ext cx="184731" cy="264560"/>
    <xdr:sp macro="" textlink="">
      <xdr:nvSpPr>
        <xdr:cNvPr id="13" name="TextBox 12"/>
        <xdr:cNvSpPr txBox="1"/>
      </xdr:nvSpPr>
      <xdr:spPr>
        <a:xfrm>
          <a:off x="4762500" y="29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0</xdr:colOff>
      <xdr:row>5</xdr:row>
      <xdr:rowOff>0</xdr:rowOff>
    </xdr:from>
    <xdr:ext cx="184731" cy="264560"/>
    <xdr:sp macro="" textlink="">
      <xdr:nvSpPr>
        <xdr:cNvPr id="2" name="TextBox 1"/>
        <xdr:cNvSpPr txBox="1"/>
      </xdr:nvSpPr>
      <xdr:spPr>
        <a:xfrm>
          <a:off x="675322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5</xdr:col>
      <xdr:colOff>0</xdr:colOff>
      <xdr:row>5</xdr:row>
      <xdr:rowOff>0</xdr:rowOff>
    </xdr:from>
    <xdr:ext cx="184731" cy="264560"/>
    <xdr:sp macro="" textlink="">
      <xdr:nvSpPr>
        <xdr:cNvPr id="2" name="TextBox 1"/>
        <xdr:cNvSpPr txBox="1"/>
      </xdr:nvSpPr>
      <xdr:spPr>
        <a:xfrm>
          <a:off x="675322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DMINISTRATION/ACCOUNTING/Jennifer/Budget%202012/FYE%20STATS%20201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orksheets/Copy%20of%20DMH%20Tool%20to%20be%20used%20during%20FY%202016%20and%20Budget%20for%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oleObject" Target="file:///\\192.168.77.9\DEPARTMENTS\ADMINISTRATION\ACCOUNTING\BUDGETS\Budget%202017\Worksheets\GLTB%20053116.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orksheets/GLTB%20053116.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orksheets/Copy%20of%20GLTB%20053116%20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DMINISTRATION/ACCOUNTING/BUDGETS/Budget%202015/Budget/Revised%20for%20IGT%20LIP%20funds%20swing%20bed%20other%20income/GL%20Trial%20Balance%20Ending%2000630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DMINISTRATION/ACCOUNTING/BUDGETS/Budget%202014/Budget%202014%20-%20FINAL/Revenue%20Six%20Month%20Ended%20033113%20F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ork%20Papers/Insurance%20AdHoc%20100114%20-%20063015%20used%20for%20contr%20adj%20budget%202016.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ADMINISTRATION/ACCOUNTING/BUDGETS/Budget%202015/Budget/Revised%20for%20IGT%20LIP%20funds%20swing%20bed%20other%20income/REVENUE%20YTD%20JUNE%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ADMINISTRATION\ACCOUNTING\Jennifer\Budget%202012\FYE%20STATS%20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ork%20Sheets/Compare%20Stats%202017%202016%202015%20with%20Budget%20Stat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TE's/FTE%20Ending%200805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YTD%20Revenue%20by%20Financial%20Class%20as%20of%20063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ork%20Sheets/GLTB%20063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ork%20Papers/GLTB%200531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orksheets/REVENUE/YTD%20Revenue%20by%20Financial%20Class%200531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ork%20Papers/YTD%20Revenue%20by%20Financial%20Class%200531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OF WORKSHEETS"/>
      <sheetName val="ASSUMPTIONS"/>
      <sheetName val="STATS 2011"/>
      <sheetName val="MO STATS"/>
      <sheetName val="STATS"/>
      <sheetName val="BUDGET"/>
      <sheetName val="MED SURG"/>
      <sheetName val="ICU"/>
      <sheetName val="OR"/>
      <sheetName val="ANESTHESIA"/>
      <sheetName val="RESPIRATORY"/>
      <sheetName val="PHARMACY"/>
      <sheetName val="IV THERAPY"/>
      <sheetName val="LAB"/>
      <sheetName val="CENTRAL SUPPLY"/>
      <sheetName val="XRAY"/>
      <sheetName val="ULTRA"/>
      <sheetName val="CT"/>
      <sheetName val="PHYSICAL THERAPY"/>
      <sheetName val="OCCUPATIONAL THERAPY"/>
      <sheetName val="SPEECH THERAPY"/>
      <sheetName val="EMERGENCY SERVICES"/>
      <sheetName val="DEDUCTIONS FROM REVENUE"/>
      <sheetName val="OTHER REVENUE"/>
      <sheetName val="OVERHEAD EXPENSES"/>
      <sheetName val="income"/>
      <sheetName val="INCOME 2011"/>
      <sheetName val="ACCOUNTING"/>
      <sheetName val="ADMINISTRATION"/>
      <sheetName val="BUSINESS OFFICE-ADMIT"/>
      <sheetName val="CAFETERIA"/>
      <sheetName val="DATA PROC"/>
      <sheetName val="HEALTH MGMT"/>
      <sheetName val="HOUSEKEEPING"/>
      <sheetName val="MAINT-SECURITY"/>
      <sheetName val="NURSE ADMIN"/>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ment"/>
      <sheetName val="Summary Comparison"/>
      <sheetName val="Inpatient Costs Comparison"/>
      <sheetName val="PY Comparison"/>
      <sheetName val="Medicare Util Comparison"/>
      <sheetName val="CCR Comparison"/>
      <sheetName val="CY Input"/>
      <sheetName val="Patient Statistics"/>
      <sheetName val="Input Rates &amp; LSAs"/>
      <sheetName val="Sequestration"/>
      <sheetName val="PY Input (1)"/>
      <sheetName val="PY Input (2)"/>
      <sheetName val="PY Input (3)"/>
      <sheetName val="PY Input (4)"/>
      <sheetName val="PY Input (5)"/>
      <sheetName val="Trial Balance"/>
      <sheetName val="WS A &amp; B"/>
      <sheetName val="WS B-1"/>
      <sheetName val="WS C"/>
      <sheetName val="WS D-1"/>
      <sheetName val="Inpatient &amp; Swing Bed"/>
      <sheetName val="Medicare IP - Rev Code"/>
      <sheetName val="Medicare SWB - Rev Code"/>
      <sheetName val="Outpatient"/>
      <sheetName val="Medicare OP Rev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MacroEnabled.12">
    <oleItems>
      <mc:AlternateContent xmlns:mc="http://schemas.openxmlformats.org/markup-compatibility/2006">
        <mc:Choice Requires="x14">
          <x14:oleItem name="!Hospital Admin!R48C10" advise="1">
            <x14:values>
              <value>
                <val>0</val>
              </value>
            </x14:values>
          </x14:oleItem>
        </mc:Choice>
        <mc:Fallback>
          <oleItem name="!Hospital Admin!R48C10" advise="1"/>
        </mc:Fallback>
      </mc:AlternateContent>
      <mc:AlternateContent xmlns:mc="http://schemas.openxmlformats.org/markup-compatibility/2006">
        <mc:Choice Requires="x14">
          <x14:oleItem name="!Occupational Therapy!R14C9" advise="1">
            <x14:values>
              <value t="nil">
                <val>1</val>
              </value>
            </x14:values>
          </x14:oleItem>
        </mc:Choice>
        <mc:Fallback>
          <oleItem name="!Occupational Therapy!R14C9" advise="1"/>
        </mc:Fallback>
      </mc:AlternateContent>
    </oleItems>
  </oleLin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GLTB"/>
      <sheetName val="Expenses"/>
      <sheetName val="Sheet3"/>
      <sheetName val="MedSurg"/>
      <sheetName val="Swing"/>
      <sheetName val="IP Profee"/>
      <sheetName val="OR"/>
      <sheetName val="Recovery"/>
      <sheetName val="Anesthesia"/>
      <sheetName val="Endoscopy"/>
      <sheetName val="Sterile Supply"/>
      <sheetName val="Pharmacy"/>
      <sheetName val="IV Therapy"/>
      <sheetName val="Lab Clinical"/>
      <sheetName val="Pathology"/>
      <sheetName val="Blood Bank"/>
      <sheetName val="Central Supply"/>
      <sheetName val="EKG"/>
      <sheetName val="Radiology"/>
      <sheetName val="Ultrasound"/>
      <sheetName val="CT"/>
      <sheetName val="MRI"/>
      <sheetName val="Nuclear Medicine"/>
      <sheetName val="Mamography"/>
      <sheetName val="Respiratory Therapy"/>
      <sheetName val="Pulmonary"/>
      <sheetName val="Physical Therapy"/>
      <sheetName val="Occupational Therapy"/>
      <sheetName val="Speech Therapy"/>
      <sheetName val="Wound Care"/>
      <sheetName val="Emergency Services"/>
      <sheetName val="Profee"/>
      <sheetName val="MOB"/>
      <sheetName val="Laundry"/>
      <sheetName val="Housekeeping"/>
      <sheetName val="Maintenance"/>
      <sheetName val="Admitting"/>
      <sheetName val="Business Office"/>
      <sheetName val="Credit &amp; Collection"/>
      <sheetName val="Communications"/>
      <sheetName val="Nursing Admin"/>
      <sheetName val="Hospital Admin"/>
      <sheetName val="Accounting"/>
      <sheetName val="IT"/>
      <sheetName val="HIM"/>
      <sheetName val="Dietary"/>
      <sheetName val="Other Income"/>
      <sheetName val="Byrd Avenue"/>
      <sheetName val="Depreciation"/>
      <sheetName val="Charity Write-Offs"/>
      <sheetName val="Other Discounts"/>
      <sheetName val="Contractuals"/>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7">
          <cell r="K17">
            <v>417000</v>
          </cell>
        </row>
      </sheetData>
      <sheetData sheetId="47"/>
      <sheetData sheetId="48"/>
      <sheetData sheetId="49"/>
      <sheetData sheetId="50"/>
      <sheetData sheetId="51"/>
      <sheetData sheetId="52"/>
      <sheetData sheetId="5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GLTB"/>
      <sheetName val="Expenses"/>
      <sheetName val="Sheet3"/>
      <sheetName val="MedSurg"/>
      <sheetName val="Swing"/>
      <sheetName val="IP Profee"/>
      <sheetName val="OR"/>
      <sheetName val="Recovery"/>
      <sheetName val="Anesthesia"/>
      <sheetName val="Endoscopy"/>
      <sheetName val="Sterile Supply"/>
      <sheetName val="Pharmacy"/>
      <sheetName val="IV Therapy"/>
      <sheetName val="Lab Clinical"/>
      <sheetName val="Pathology"/>
      <sheetName val="Blood Bank"/>
      <sheetName val="Central Supply"/>
      <sheetName val="EKG"/>
      <sheetName val="Radiology"/>
      <sheetName val="Ultrasound"/>
      <sheetName val="CT"/>
      <sheetName val="MRI"/>
      <sheetName val="Nuclear Medicine"/>
      <sheetName val="Mamography"/>
      <sheetName val="Respiratory Therapy"/>
      <sheetName val="Pulmonary"/>
      <sheetName val="Physical Therapy"/>
      <sheetName val="Occupational Therapy"/>
      <sheetName val="Speech Therapy"/>
      <sheetName val="Wound Care"/>
      <sheetName val="Emergency Services"/>
      <sheetName val="Profee"/>
      <sheetName val="MOB"/>
      <sheetName val="Laundry"/>
      <sheetName val="Housekeeping"/>
      <sheetName val="Maintenance"/>
      <sheetName val="Admitting"/>
      <sheetName val="Business Office"/>
      <sheetName val="Credit &amp; Collection"/>
      <sheetName val="Communications"/>
      <sheetName val="Nursing Admin"/>
      <sheetName val="Hospital Admin"/>
      <sheetName val="Accounting"/>
      <sheetName val="IT"/>
      <sheetName val="HIM"/>
      <sheetName val="Dietary"/>
      <sheetName val="Other Income"/>
      <sheetName val="Byrd Avenue"/>
      <sheetName val="Depreciation"/>
      <sheetName val="Charity Write-Offs"/>
      <sheetName val="Other Discounts"/>
      <sheetName val="Contractuals"/>
      <sheetName val="Sheet1"/>
      <sheetName val="Sheet2"/>
    </sheetNames>
    <sheetDataSet>
      <sheetData sheetId="0" refreshError="1"/>
      <sheetData sheetId="1" refreshError="1"/>
      <sheetData sheetId="2" refreshError="1"/>
      <sheetData sheetId="3">
        <row r="15">
          <cell r="J15">
            <v>700027.26143488579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5">
          <cell r="J15">
            <v>563089.95900000003</v>
          </cell>
        </row>
      </sheetData>
      <sheetData sheetId="31">
        <row r="16">
          <cell r="J16">
            <v>347610</v>
          </cell>
        </row>
      </sheetData>
      <sheetData sheetId="32" refreshError="1"/>
      <sheetData sheetId="33" refreshError="1"/>
      <sheetData sheetId="34" refreshError="1"/>
      <sheetData sheetId="35" refreshError="1"/>
      <sheetData sheetId="36" refreshError="1"/>
      <sheetData sheetId="37">
        <row r="15">
          <cell r="J15">
            <v>210876.59003727548</v>
          </cell>
        </row>
      </sheetData>
      <sheetData sheetId="38">
        <row r="15">
          <cell r="I15">
            <v>1530000</v>
          </cell>
        </row>
      </sheetData>
      <sheetData sheetId="39" refreshError="1"/>
      <sheetData sheetId="40">
        <row r="15">
          <cell r="J15">
            <v>244831.96044891645</v>
          </cell>
        </row>
      </sheetData>
      <sheetData sheetId="41" refreshError="1"/>
      <sheetData sheetId="42" refreshError="1"/>
      <sheetData sheetId="43" refreshError="1"/>
      <sheetData sheetId="44">
        <row r="15">
          <cell r="J15">
            <v>173623.04602581522</v>
          </cell>
        </row>
      </sheetData>
      <sheetData sheetId="45">
        <row r="15">
          <cell r="J15">
            <v>166771.00922792172</v>
          </cell>
        </row>
      </sheetData>
      <sheetData sheetId="46">
        <row r="16">
          <cell r="K16">
            <v>15000</v>
          </cell>
        </row>
        <row r="28">
          <cell r="K28">
            <v>0</v>
          </cell>
        </row>
      </sheetData>
      <sheetData sheetId="47" refreshError="1"/>
      <sheetData sheetId="48" refreshError="1"/>
      <sheetData sheetId="49">
        <row r="12">
          <cell r="I12">
            <v>64362</v>
          </cell>
        </row>
      </sheetData>
      <sheetData sheetId="50">
        <row r="12">
          <cell r="I12">
            <v>101000</v>
          </cell>
        </row>
      </sheetData>
      <sheetData sheetId="51" refreshError="1"/>
      <sheetData sheetId="52" refreshError="1"/>
      <sheetData sheetId="5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 2013"/>
      <sheetName val="STATS 2014"/>
      <sheetName val="GL Trial Balance 063014"/>
      <sheetName val="Totals"/>
      <sheetName val="Med-Surg"/>
      <sheetName val="Swing"/>
      <sheetName val="ICU"/>
      <sheetName val="Observation"/>
      <sheetName val="OR"/>
      <sheetName val="Recovery"/>
      <sheetName val="Anesthesia"/>
      <sheetName val="Surgiday"/>
      <sheetName val="Endoscopy"/>
      <sheetName val="Sterile Supply"/>
      <sheetName val="Pharmacy"/>
      <sheetName val="IV Therapy"/>
      <sheetName val="Lab - Clinical"/>
      <sheetName val="Pathology"/>
      <sheetName val="Blood Bank"/>
      <sheetName val="Central Supply"/>
      <sheetName val="EKG"/>
      <sheetName val="Radiology"/>
      <sheetName val="Ultrasound"/>
      <sheetName val="CT Scanner"/>
      <sheetName val="MRI"/>
      <sheetName val="Nuclear Medicine"/>
      <sheetName val="Mammography"/>
      <sheetName val="Respiratory Therapy"/>
      <sheetName val="Pulmonary Lab"/>
      <sheetName val="Physical Therapy"/>
      <sheetName val="Occupational Therapy"/>
      <sheetName val="Speech Therapy"/>
      <sheetName val="Wound Care"/>
      <sheetName val="Emergency Services"/>
      <sheetName val="Other Income"/>
      <sheetName val="Deductions from Revenue"/>
      <sheetName val="Other Discounts"/>
      <sheetName val="Prior YR Adj"/>
      <sheetName val="Charity Write-Offs"/>
      <sheetName val="MOB"/>
      <sheetName val="Laundry &amp; Linen"/>
      <sheetName val="Housekeeping"/>
      <sheetName val="Plant Ops &amp; Maintenance"/>
      <sheetName val="Security"/>
      <sheetName val="Admitting"/>
      <sheetName val="Business Office"/>
      <sheetName val="Credit &amp; Collection"/>
      <sheetName val="Communications"/>
      <sheetName val="Nursing Admin"/>
      <sheetName val="Hospital Admin"/>
      <sheetName val="Marketing"/>
      <sheetName val="General Accounting"/>
      <sheetName val="Data Processing"/>
      <sheetName val="Health Info Mgmt"/>
      <sheetName val="Cafeteria"/>
      <sheetName val="Byrd Avenue"/>
      <sheetName val="Deprec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16">
          <cell r="U16">
            <v>166982.98499999999</v>
          </cell>
        </row>
        <row r="37">
          <cell r="U37">
            <v>0</v>
          </cell>
        </row>
        <row r="63">
          <cell r="U63">
            <v>0</v>
          </cell>
        </row>
      </sheetData>
      <sheetData sheetId="50" refreshError="1"/>
      <sheetData sheetId="51" refreshError="1"/>
      <sheetData sheetId="52" refreshError="1"/>
      <sheetData sheetId="53" refreshError="1"/>
      <sheetData sheetId="54" refreshError="1"/>
      <sheetData sheetId="55" refreshError="1"/>
      <sheetData sheetId="56" refreshError="1">
        <row r="16">
          <cell r="U16">
            <v>132970.54</v>
          </cell>
        </row>
        <row r="29">
          <cell r="U29">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TS"/>
      <sheetName val="MED-SURG 001"/>
      <sheetName val="SWING 002"/>
      <sheetName val="ICU 003"/>
      <sheetName val="OBS 008"/>
      <sheetName val="OR 011"/>
      <sheetName val="RECOVERY 012"/>
      <sheetName val="ANESTHESIA 013"/>
      <sheetName val="SURGIDAY 014"/>
      <sheetName val="ENDOSCOPY 016"/>
      <sheetName val="PHARMACY 021"/>
      <sheetName val="IV THERAPY 022"/>
      <sheetName val="LAB 031"/>
      <sheetName val="PATHOLOGY 032"/>
      <sheetName val="BLOOD BANK 033"/>
      <sheetName val="CENTRAL SUPPLY 041"/>
      <sheetName val="EKG 051"/>
      <sheetName val="RADIOLOGY 061"/>
      <sheetName val="ULTRASOUND 062"/>
      <sheetName val="CT SCANNER 063"/>
      <sheetName val="MRI 064"/>
      <sheetName val="NUCLEAR MEDICINE 065"/>
      <sheetName val="MAMMOGRAPHY 066"/>
      <sheetName val="RT 071"/>
      <sheetName val="PULMONARY 073"/>
      <sheetName val="PT 082"/>
      <sheetName val="OT 086"/>
      <sheetName val="ST 087"/>
      <sheetName val="WOUND CARE 089"/>
      <sheetName val="EMERGENCY SERVICES 091"/>
      <sheetName val="PROFEE 092"/>
      <sheetName val="RECAP"/>
      <sheetName val="Sheet2"/>
    </sheetNames>
    <sheetDataSet>
      <sheetData sheetId="0" refreshError="1"/>
      <sheetData sheetId="1" refreshError="1"/>
      <sheetData sheetId="2" refreshError="1"/>
      <sheetData sheetId="3" refreshError="1">
        <row r="11">
          <cell r="N11">
            <v>515</v>
          </cell>
        </row>
        <row r="12">
          <cell r="N12">
            <v>0</v>
          </cell>
        </row>
        <row r="13">
          <cell r="N13">
            <v>0</v>
          </cell>
        </row>
        <row r="14">
          <cell r="N14">
            <v>0</v>
          </cell>
        </row>
        <row r="15">
          <cell r="N15">
            <v>0</v>
          </cell>
        </row>
        <row r="16">
          <cell r="N16">
            <v>0</v>
          </cell>
        </row>
        <row r="17">
          <cell r="N17">
            <v>0</v>
          </cell>
        </row>
      </sheetData>
      <sheetData sheetId="4" refreshError="1"/>
      <sheetData sheetId="5" refreshError="1">
        <row r="11">
          <cell r="N11">
            <v>13.884297520661157</v>
          </cell>
        </row>
        <row r="12">
          <cell r="N12">
            <v>11.504132231404959</v>
          </cell>
        </row>
        <row r="13">
          <cell r="N13">
            <v>0</v>
          </cell>
        </row>
        <row r="14">
          <cell r="N14">
            <v>0</v>
          </cell>
        </row>
        <row r="15">
          <cell r="N15">
            <v>0</v>
          </cell>
        </row>
        <row r="16">
          <cell r="N16">
            <v>5.9504132231404956</v>
          </cell>
        </row>
        <row r="17">
          <cell r="N17">
            <v>0</v>
          </cell>
        </row>
        <row r="18">
          <cell r="N18">
            <v>320.1322314049587</v>
          </cell>
        </row>
        <row r="19">
          <cell r="N19">
            <v>115.83471074380165</v>
          </cell>
        </row>
        <row r="20">
          <cell r="N20">
            <v>52.561983471074377</v>
          </cell>
        </row>
        <row r="21">
          <cell r="N21">
            <v>0</v>
          </cell>
        </row>
        <row r="22">
          <cell r="N22">
            <v>29.553719008264462</v>
          </cell>
        </row>
        <row r="23">
          <cell r="N23">
            <v>0</v>
          </cell>
        </row>
        <row r="24">
          <cell r="N24">
            <v>75.173553719008268</v>
          </cell>
        </row>
      </sheetData>
      <sheetData sheetId="6" refreshError="1">
        <row r="11">
          <cell r="N11">
            <v>569.05555555555554</v>
          </cell>
        </row>
        <row r="12">
          <cell r="N12">
            <v>10.962962962962964</v>
          </cell>
        </row>
        <row r="13">
          <cell r="N13">
            <v>0</v>
          </cell>
        </row>
        <row r="14">
          <cell r="N14">
            <v>0</v>
          </cell>
        </row>
        <row r="15">
          <cell r="N15">
            <v>0</v>
          </cell>
        </row>
        <row r="16">
          <cell r="N16">
            <v>0</v>
          </cell>
        </row>
        <row r="17">
          <cell r="N17">
            <v>6.8518518518518521</v>
          </cell>
        </row>
        <row r="18">
          <cell r="N18">
            <v>232.25099601593627</v>
          </cell>
        </row>
        <row r="19">
          <cell r="N19">
            <v>317.74900398406373</v>
          </cell>
        </row>
        <row r="20">
          <cell r="N20">
            <v>130.4980079681275</v>
          </cell>
        </row>
        <row r="21">
          <cell r="N21">
            <v>0.29482071713147412</v>
          </cell>
        </row>
        <row r="22">
          <cell r="N22">
            <v>113.00398406374502</v>
          </cell>
        </row>
        <row r="23">
          <cell r="N23">
            <v>0</v>
          </cell>
        </row>
        <row r="24">
          <cell r="N24">
            <v>37.577689243027891</v>
          </cell>
        </row>
      </sheetData>
      <sheetData sheetId="7" refreshError="1">
        <row r="11">
          <cell r="N11">
            <v>230.33333333333334</v>
          </cell>
        </row>
        <row r="12">
          <cell r="N12">
            <v>218.91666666666666</v>
          </cell>
        </row>
        <row r="13">
          <cell r="N13">
            <v>0</v>
          </cell>
        </row>
        <row r="14">
          <cell r="N14">
            <v>0</v>
          </cell>
        </row>
        <row r="15">
          <cell r="N15">
            <v>37.625</v>
          </cell>
        </row>
        <row r="16">
          <cell r="N16">
            <v>25.083333333333332</v>
          </cell>
        </row>
        <row r="17">
          <cell r="N17">
            <v>75.25</v>
          </cell>
        </row>
        <row r="18">
          <cell r="N18">
            <v>243.87793427230048</v>
          </cell>
        </row>
        <row r="19">
          <cell r="N19">
            <v>211.75586854460093</v>
          </cell>
        </row>
        <row r="20">
          <cell r="N20">
            <v>141.61032863849766</v>
          </cell>
        </row>
        <row r="21">
          <cell r="N21">
            <v>4.112676056338028</v>
          </cell>
        </row>
        <row r="22">
          <cell r="N22">
            <v>67.070422535211264</v>
          </cell>
        </row>
        <row r="23">
          <cell r="N23">
            <v>0</v>
          </cell>
        </row>
        <row r="24">
          <cell r="N24">
            <v>21.070422535211268</v>
          </cell>
        </row>
      </sheetData>
      <sheetData sheetId="8" refreshError="1">
        <row r="11">
          <cell r="N11">
            <v>3.0462781794980858</v>
          </cell>
        </row>
        <row r="12">
          <cell r="N12">
            <v>2.8200765631646108</v>
          </cell>
        </row>
        <row r="13">
          <cell r="N13">
            <v>0</v>
          </cell>
        </row>
        <row r="14">
          <cell r="N14">
            <v>0</v>
          </cell>
        </row>
        <row r="15">
          <cell r="N15">
            <v>0.62832837090599747</v>
          </cell>
        </row>
        <row r="16">
          <cell r="N16">
            <v>0.24806465333900468</v>
          </cell>
        </row>
        <row r="17">
          <cell r="N17">
            <v>0.49612930667800936</v>
          </cell>
        </row>
        <row r="18">
          <cell r="N18">
            <v>11.459889408762228</v>
          </cell>
        </row>
        <row r="19">
          <cell r="N19">
            <v>9.6267971076137808</v>
          </cell>
        </row>
        <row r="20">
          <cell r="N20">
            <v>7.4546150574223731</v>
          </cell>
        </row>
        <row r="21">
          <cell r="N21">
            <v>0.12403232666950234</v>
          </cell>
        </row>
        <row r="22">
          <cell r="N22">
            <v>3.0834538494257764</v>
          </cell>
        </row>
        <row r="23">
          <cell r="N23">
            <v>0</v>
          </cell>
        </row>
        <row r="24">
          <cell r="N24">
            <v>1.2070608251807742</v>
          </cell>
        </row>
      </sheetData>
      <sheetData sheetId="9" refreshError="1">
        <row r="11">
          <cell r="N11">
            <v>635.77777777777783</v>
          </cell>
        </row>
        <row r="12">
          <cell r="N12">
            <v>835.77777777777783</v>
          </cell>
        </row>
        <row r="13">
          <cell r="N13">
            <v>0</v>
          </cell>
        </row>
        <row r="14">
          <cell r="N14">
            <v>0</v>
          </cell>
        </row>
        <row r="15">
          <cell r="N15">
            <v>0</v>
          </cell>
        </row>
        <row r="16">
          <cell r="N16">
            <v>0</v>
          </cell>
        </row>
        <row r="17">
          <cell r="N17">
            <v>500</v>
          </cell>
        </row>
        <row r="18">
          <cell r="N18">
            <v>308.8</v>
          </cell>
        </row>
        <row r="19">
          <cell r="N19">
            <v>411.6</v>
          </cell>
        </row>
        <row r="20">
          <cell r="N20">
            <v>151.1</v>
          </cell>
        </row>
        <row r="21">
          <cell r="N21">
            <v>45</v>
          </cell>
        </row>
        <row r="22">
          <cell r="N22">
            <v>225</v>
          </cell>
        </row>
        <row r="23">
          <cell r="N23">
            <v>0</v>
          </cell>
        </row>
        <row r="24">
          <cell r="N24">
            <v>45</v>
          </cell>
        </row>
      </sheetData>
      <sheetData sheetId="10" refreshError="1">
        <row r="11">
          <cell r="N11">
            <v>239.11111111111111</v>
          </cell>
        </row>
        <row r="12">
          <cell r="N12">
            <v>112.22222222222223</v>
          </cell>
        </row>
        <row r="13">
          <cell r="N13">
            <v>0</v>
          </cell>
        </row>
        <row r="14">
          <cell r="N14">
            <v>0</v>
          </cell>
        </row>
        <row r="15">
          <cell r="N15">
            <v>112.22222222222223</v>
          </cell>
        </row>
        <row r="16">
          <cell r="N16">
            <v>229.33333333333334</v>
          </cell>
        </row>
        <row r="17">
          <cell r="N17">
            <v>112.22222222222223</v>
          </cell>
        </row>
        <row r="18">
          <cell r="N18">
            <v>421.46762589928056</v>
          </cell>
        </row>
        <row r="19">
          <cell r="N19">
            <v>275.33812949640287</v>
          </cell>
        </row>
        <row r="20">
          <cell r="N20">
            <v>261.61151079136692</v>
          </cell>
        </row>
        <row r="21">
          <cell r="N21">
            <v>0</v>
          </cell>
        </row>
        <row r="22">
          <cell r="N22">
            <v>67.294964028776974</v>
          </cell>
        </row>
        <row r="23">
          <cell r="N23">
            <v>0</v>
          </cell>
        </row>
        <row r="24">
          <cell r="N24">
            <v>29.697841726618705</v>
          </cell>
        </row>
      </sheetData>
      <sheetData sheetId="11" refreshError="1">
        <row r="18">
          <cell r="N18">
            <v>6.317671110409929</v>
          </cell>
        </row>
        <row r="19">
          <cell r="N19">
            <v>2.5772974678551708</v>
          </cell>
        </row>
        <row r="20">
          <cell r="N20">
            <v>0.22624306486813389</v>
          </cell>
        </row>
        <row r="21">
          <cell r="N21">
            <v>4.6843364623596541E-2</v>
          </cell>
        </row>
        <row r="22">
          <cell r="N22">
            <v>0.3970129631090426</v>
          </cell>
        </row>
        <row r="23">
          <cell r="N23">
            <v>0.50699166469459134</v>
          </cell>
        </row>
        <row r="24">
          <cell r="N24">
            <v>0.78216744234966218</v>
          </cell>
        </row>
        <row r="25">
          <cell r="N25">
            <v>1.0319147537535169</v>
          </cell>
        </row>
        <row r="26">
          <cell r="N26">
            <v>0</v>
          </cell>
        </row>
        <row r="27">
          <cell r="N27">
            <v>0</v>
          </cell>
        </row>
        <row r="28">
          <cell r="N28">
            <v>0</v>
          </cell>
        </row>
        <row r="29">
          <cell r="N29">
            <v>0</v>
          </cell>
        </row>
        <row r="30">
          <cell r="N30">
            <v>0</v>
          </cell>
        </row>
        <row r="31">
          <cell r="N31">
            <v>0</v>
          </cell>
        </row>
        <row r="32">
          <cell r="N32">
            <v>9.5190107652022125</v>
          </cell>
        </row>
        <row r="33">
          <cell r="N33">
            <v>4.3276869362816415</v>
          </cell>
        </row>
        <row r="34">
          <cell r="N34">
            <v>3.8172010474250802</v>
          </cell>
        </row>
        <row r="35">
          <cell r="N35">
            <v>0.12416060517893511</v>
          </cell>
        </row>
        <row r="36">
          <cell r="N36">
            <v>5.5977480360779754</v>
          </cell>
        </row>
        <row r="37">
          <cell r="N37">
            <v>4.2298516147803313E-2</v>
          </cell>
        </row>
        <row r="38">
          <cell r="N38">
            <v>2.1780331684608671</v>
          </cell>
        </row>
      </sheetData>
      <sheetData sheetId="12" refreshError="1">
        <row r="18">
          <cell r="N18">
            <v>16.732959761321911</v>
          </cell>
        </row>
        <row r="19">
          <cell r="N19">
            <v>7.0241355569155441</v>
          </cell>
        </row>
        <row r="20">
          <cell r="N20">
            <v>0.8198821909424725</v>
          </cell>
        </row>
        <row r="21">
          <cell r="N21">
            <v>0.11717156262749898</v>
          </cell>
        </row>
        <row r="22">
          <cell r="N22">
            <v>1.1662204202366382</v>
          </cell>
        </row>
        <row r="23">
          <cell r="N23">
            <v>1.3544726642186862</v>
          </cell>
        </row>
        <row r="24">
          <cell r="N24">
            <v>2.2539142186862509</v>
          </cell>
        </row>
        <row r="25">
          <cell r="N25">
            <v>0.74319155446756424</v>
          </cell>
        </row>
        <row r="26">
          <cell r="N26">
            <v>0</v>
          </cell>
        </row>
        <row r="27">
          <cell r="N27">
            <v>0</v>
          </cell>
        </row>
        <row r="28">
          <cell r="N28">
            <v>0</v>
          </cell>
        </row>
        <row r="29">
          <cell r="N29">
            <v>0</v>
          </cell>
        </row>
        <row r="30">
          <cell r="N30">
            <v>0</v>
          </cell>
        </row>
        <row r="31">
          <cell r="N31">
            <v>0</v>
          </cell>
        </row>
        <row r="32">
          <cell r="N32">
            <v>14.173618275607957</v>
          </cell>
        </row>
        <row r="33">
          <cell r="N33">
            <v>5.8667649226234335</v>
          </cell>
        </row>
        <row r="34">
          <cell r="N34">
            <v>3.5281503316138538</v>
          </cell>
        </row>
        <row r="35">
          <cell r="N35">
            <v>1.3633014001473839E-2</v>
          </cell>
        </row>
        <row r="36">
          <cell r="N36">
            <v>2.117538688282977</v>
          </cell>
        </row>
        <row r="37">
          <cell r="N37">
            <v>0.1414885777450258</v>
          </cell>
        </row>
        <row r="38">
          <cell r="N38">
            <v>4.7897383935151066</v>
          </cell>
        </row>
      </sheetData>
      <sheetData sheetId="13" refreshError="1">
        <row r="18">
          <cell r="N18">
            <v>27.487677619893429</v>
          </cell>
        </row>
        <row r="19">
          <cell r="N19">
            <v>8.9661412078152747</v>
          </cell>
        </row>
        <row r="20">
          <cell r="N20">
            <v>0.94993339253996445</v>
          </cell>
        </row>
        <row r="21">
          <cell r="N21">
            <v>0.23234902309058614</v>
          </cell>
        </row>
        <row r="22">
          <cell r="N22">
            <v>1.969360568383659</v>
          </cell>
        </row>
        <row r="23">
          <cell r="N23">
            <v>1.8838809946714032</v>
          </cell>
        </row>
        <row r="24">
          <cell r="N24">
            <v>2.9856793960923622</v>
          </cell>
        </row>
        <row r="25">
          <cell r="N25">
            <v>1.3717806394316163</v>
          </cell>
        </row>
        <row r="26">
          <cell r="N26">
            <v>0</v>
          </cell>
        </row>
        <row r="27">
          <cell r="N27">
            <v>0</v>
          </cell>
        </row>
        <row r="28">
          <cell r="N28">
            <v>0</v>
          </cell>
        </row>
        <row r="29">
          <cell r="N29">
            <v>0</v>
          </cell>
        </row>
        <row r="30">
          <cell r="N30">
            <v>0</v>
          </cell>
        </row>
        <row r="31">
          <cell r="N31">
            <v>0</v>
          </cell>
        </row>
        <row r="32">
          <cell r="N32">
            <v>25.025624827259445</v>
          </cell>
        </row>
        <row r="33">
          <cell r="N33">
            <v>15.406048880641213</v>
          </cell>
        </row>
        <row r="34">
          <cell r="N34">
            <v>7.5198799699924983</v>
          </cell>
        </row>
        <row r="35">
          <cell r="N35">
            <v>0.11051447072294389</v>
          </cell>
        </row>
        <row r="36">
          <cell r="N36">
            <v>6.0675168792198049</v>
          </cell>
        </row>
        <row r="37">
          <cell r="N37">
            <v>0.35649701899158998</v>
          </cell>
        </row>
        <row r="38">
          <cell r="N38">
            <v>6.7351048288387885</v>
          </cell>
        </row>
      </sheetData>
      <sheetData sheetId="14" refreshError="1">
        <row r="11">
          <cell r="N11">
            <v>61.711864406779661</v>
          </cell>
        </row>
        <row r="12">
          <cell r="N12">
            <v>63.559322033898304</v>
          </cell>
        </row>
        <row r="13">
          <cell r="N13">
            <v>0</v>
          </cell>
        </row>
        <row r="14">
          <cell r="N14">
            <v>0</v>
          </cell>
        </row>
        <row r="15">
          <cell r="N15">
            <v>22.033898305084747</v>
          </cell>
        </row>
        <row r="16">
          <cell r="N16">
            <v>30.508474576271187</v>
          </cell>
        </row>
        <row r="17">
          <cell r="N17">
            <v>20.338983050847457</v>
          </cell>
        </row>
        <row r="18">
          <cell r="N18">
            <v>147.25728155339806</v>
          </cell>
        </row>
        <row r="19">
          <cell r="N19">
            <v>147.20873786407768</v>
          </cell>
        </row>
        <row r="20">
          <cell r="N20">
            <v>82.815533980582529</v>
          </cell>
        </row>
        <row r="21">
          <cell r="N21">
            <v>0</v>
          </cell>
        </row>
        <row r="22">
          <cell r="N22">
            <v>43.567961165048544</v>
          </cell>
        </row>
        <row r="23">
          <cell r="N23">
            <v>0</v>
          </cell>
        </row>
        <row r="24">
          <cell r="N24">
            <v>8.1553398058252426</v>
          </cell>
        </row>
      </sheetData>
      <sheetData sheetId="15" refreshError="1">
        <row r="11">
          <cell r="N11">
            <v>36.889344262295083</v>
          </cell>
        </row>
        <row r="12">
          <cell r="N12">
            <v>3.9610655737704916</v>
          </cell>
        </row>
        <row r="13">
          <cell r="N13">
            <v>1.0040983606557377</v>
          </cell>
        </row>
        <row r="14">
          <cell r="N14">
            <v>3.3647540983606556</v>
          </cell>
        </row>
        <row r="15">
          <cell r="N15">
            <v>0</v>
          </cell>
        </row>
        <row r="16">
          <cell r="N16">
            <v>19.297131147540984</v>
          </cell>
        </row>
        <row r="17">
          <cell r="N17">
            <v>7.4979508196721314</v>
          </cell>
        </row>
        <row r="18">
          <cell r="N18">
            <v>43.780737704918032</v>
          </cell>
        </row>
        <row r="19">
          <cell r="N19">
            <v>16.348360655737704</v>
          </cell>
        </row>
        <row r="20">
          <cell r="N20">
            <v>7.7745901639344259</v>
          </cell>
        </row>
        <row r="21">
          <cell r="N21">
            <v>0</v>
          </cell>
        </row>
        <row r="22">
          <cell r="N22">
            <v>12.409836065573771</v>
          </cell>
        </row>
        <row r="23">
          <cell r="N23">
            <v>0</v>
          </cell>
        </row>
        <row r="24">
          <cell r="N24">
            <v>4.5389344262295079</v>
          </cell>
        </row>
      </sheetData>
      <sheetData sheetId="16" refreshError="1">
        <row r="18">
          <cell r="N18">
            <v>30.877043424427345</v>
          </cell>
        </row>
        <row r="19">
          <cell r="N19">
            <v>7.646502166799328</v>
          </cell>
        </row>
        <row r="20">
          <cell r="N20">
            <v>0.80118510657115061</v>
          </cell>
        </row>
        <row r="21">
          <cell r="N21">
            <v>0.35898116211196601</v>
          </cell>
        </row>
        <row r="22">
          <cell r="N22">
            <v>1.6706465021667993</v>
          </cell>
        </row>
        <row r="23">
          <cell r="N23">
            <v>2.0562483417352082</v>
          </cell>
        </row>
        <row r="24">
          <cell r="N24">
            <v>2.1208101176262493</v>
          </cell>
        </row>
        <row r="25">
          <cell r="N25">
            <v>2.1811267356504822</v>
          </cell>
        </row>
        <row r="26">
          <cell r="N26">
            <v>0</v>
          </cell>
        </row>
        <row r="27">
          <cell r="N27">
            <v>0</v>
          </cell>
        </row>
        <row r="28">
          <cell r="N28">
            <v>0</v>
          </cell>
        </row>
        <row r="29">
          <cell r="N29">
            <v>0</v>
          </cell>
        </row>
        <row r="30">
          <cell r="N30">
            <v>0</v>
          </cell>
        </row>
        <row r="31">
          <cell r="N31">
            <v>0</v>
          </cell>
        </row>
        <row r="32">
          <cell r="N32">
            <v>15.127526724264168</v>
          </cell>
        </row>
        <row r="33">
          <cell r="N33">
            <v>11.222942597744913</v>
          </cell>
        </row>
        <row r="34">
          <cell r="N34">
            <v>5.6843490994289061</v>
          </cell>
        </row>
        <row r="35">
          <cell r="N35">
            <v>9.9648557621906581E-2</v>
          </cell>
        </row>
        <row r="36">
          <cell r="N36">
            <v>5.0769256113633032</v>
          </cell>
        </row>
        <row r="37">
          <cell r="N37">
            <v>0.39361546346463611</v>
          </cell>
        </row>
        <row r="38">
          <cell r="N38">
            <v>3.7904327134280278</v>
          </cell>
        </row>
      </sheetData>
      <sheetData sheetId="17" refreshError="1">
        <row r="11">
          <cell r="N11">
            <v>139.08151093439363</v>
          </cell>
        </row>
        <row r="12">
          <cell r="N12">
            <v>39.662027833001986</v>
          </cell>
        </row>
        <row r="13">
          <cell r="N13">
            <v>3.7017892644135189</v>
          </cell>
        </row>
        <row r="14">
          <cell r="N14">
            <v>2.1153081510934393</v>
          </cell>
        </row>
        <row r="15">
          <cell r="N15">
            <v>8.9900596421471182</v>
          </cell>
        </row>
        <row r="16">
          <cell r="N16">
            <v>10.576540755467196</v>
          </cell>
        </row>
        <row r="17">
          <cell r="N17">
            <v>12.691848906560637</v>
          </cell>
        </row>
        <row r="18">
          <cell r="N18">
            <v>3.1729622266401591</v>
          </cell>
        </row>
        <row r="19">
          <cell r="N19">
            <v>0</v>
          </cell>
        </row>
        <row r="20">
          <cell r="N20">
            <v>0</v>
          </cell>
        </row>
        <row r="21">
          <cell r="N21">
            <v>0</v>
          </cell>
        </row>
        <row r="22">
          <cell r="N22">
            <v>0</v>
          </cell>
        </row>
        <row r="23">
          <cell r="N23">
            <v>0</v>
          </cell>
        </row>
        <row r="24">
          <cell r="N24">
            <v>0</v>
          </cell>
        </row>
        <row r="25">
          <cell r="N25">
            <v>140.2433371958285</v>
          </cell>
        </row>
        <row r="26">
          <cell r="N26">
            <v>68.426419466975673</v>
          </cell>
        </row>
        <row r="27">
          <cell r="N27">
            <v>49.008111239860952</v>
          </cell>
        </row>
        <row r="28">
          <cell r="N28">
            <v>0</v>
          </cell>
        </row>
        <row r="29">
          <cell r="N29">
            <v>42.84356894553882</v>
          </cell>
        </row>
        <row r="30">
          <cell r="N30">
            <v>3.082271147161066</v>
          </cell>
        </row>
        <row r="31">
          <cell r="N31">
            <v>33.904982618771726</v>
          </cell>
        </row>
      </sheetData>
      <sheetData sheetId="18" refreshError="1">
        <row r="18">
          <cell r="N18">
            <v>71.59533607681756</v>
          </cell>
        </row>
        <row r="19">
          <cell r="N19">
            <v>14.633744855967079</v>
          </cell>
        </row>
        <row r="20">
          <cell r="N20">
            <v>2.5322359396433471</v>
          </cell>
        </row>
        <row r="21">
          <cell r="N21">
            <v>0.15912208504801098</v>
          </cell>
        </row>
        <row r="22">
          <cell r="N22">
            <v>4.2043895747599453</v>
          </cell>
        </row>
        <row r="23">
          <cell r="N23">
            <v>3.6460905349794239</v>
          </cell>
        </row>
        <row r="24">
          <cell r="N24">
            <v>5.8971193415637861</v>
          </cell>
        </row>
        <row r="25">
          <cell r="N25">
            <v>1.5020576131687242</v>
          </cell>
        </row>
        <row r="26">
          <cell r="N26">
            <v>0</v>
          </cell>
        </row>
        <row r="27">
          <cell r="N27">
            <v>0</v>
          </cell>
        </row>
        <row r="28">
          <cell r="N28">
            <v>0</v>
          </cell>
        </row>
        <row r="29">
          <cell r="N29">
            <v>0</v>
          </cell>
        </row>
        <row r="30">
          <cell r="N30">
            <v>0</v>
          </cell>
        </row>
        <row r="31">
          <cell r="N31">
            <v>0</v>
          </cell>
        </row>
        <row r="32">
          <cell r="N32">
            <v>52.620233463035021</v>
          </cell>
        </row>
        <row r="33">
          <cell r="N33">
            <v>46.556031128404669</v>
          </cell>
        </row>
        <row r="34">
          <cell r="N34">
            <v>21.98793774319066</v>
          </cell>
        </row>
        <row r="35">
          <cell r="N35">
            <v>3.3451361867704281</v>
          </cell>
        </row>
        <row r="36">
          <cell r="N36">
            <v>24.880544747081711</v>
          </cell>
        </row>
        <row r="37">
          <cell r="N37">
            <v>0.53774319066147858</v>
          </cell>
        </row>
        <row r="38">
          <cell r="N38">
            <v>24.224513618677044</v>
          </cell>
        </row>
      </sheetData>
      <sheetData sheetId="19" refreshError="1">
        <row r="11">
          <cell r="N11">
            <v>416.76923076923077</v>
          </cell>
        </row>
        <row r="12">
          <cell r="N12">
            <v>119.79120879120879</v>
          </cell>
        </row>
        <row r="13">
          <cell r="N13">
            <v>59.92307692307692</v>
          </cell>
        </row>
        <row r="14">
          <cell r="N14">
            <v>13.901098901098901</v>
          </cell>
        </row>
        <row r="15">
          <cell r="N15">
            <v>17.978021978021978</v>
          </cell>
        </row>
        <row r="16">
          <cell r="N16">
            <v>50.021978021978022</v>
          </cell>
        </row>
        <row r="17">
          <cell r="N17">
            <v>100.52747252747253</v>
          </cell>
        </row>
        <row r="18">
          <cell r="N18">
            <v>13.901098901098901</v>
          </cell>
        </row>
        <row r="19">
          <cell r="N19">
            <v>0</v>
          </cell>
        </row>
        <row r="20">
          <cell r="N20">
            <v>0</v>
          </cell>
        </row>
        <row r="21">
          <cell r="N21">
            <v>0</v>
          </cell>
        </row>
        <row r="22">
          <cell r="N22">
            <v>0</v>
          </cell>
        </row>
        <row r="23">
          <cell r="N23">
            <v>0</v>
          </cell>
        </row>
        <row r="24">
          <cell r="N24">
            <v>0</v>
          </cell>
        </row>
        <row r="25">
          <cell r="N25">
            <v>170.54603854389723</v>
          </cell>
        </row>
        <row r="26">
          <cell r="N26">
            <v>157.01284796573876</v>
          </cell>
        </row>
        <row r="27">
          <cell r="N27">
            <v>74.483940042826546</v>
          </cell>
        </row>
        <row r="28">
          <cell r="N28">
            <v>1.2141327623126339</v>
          </cell>
        </row>
        <row r="29">
          <cell r="N29">
            <v>64.417558886509639</v>
          </cell>
        </row>
        <row r="30">
          <cell r="N30">
            <v>0</v>
          </cell>
        </row>
        <row r="31">
          <cell r="N31">
            <v>42.569593147751604</v>
          </cell>
        </row>
      </sheetData>
      <sheetData sheetId="20" refreshError="1">
        <row r="11">
          <cell r="N11">
            <v>665.42399999999998</v>
          </cell>
        </row>
        <row r="12">
          <cell r="N12">
            <v>250.96799999999999</v>
          </cell>
        </row>
        <row r="13">
          <cell r="N13">
            <v>9.9440000000000008</v>
          </cell>
        </row>
        <row r="14">
          <cell r="N14">
            <v>21.431999999999999</v>
          </cell>
        </row>
        <row r="15">
          <cell r="N15">
            <v>0</v>
          </cell>
        </row>
        <row r="16">
          <cell r="N16">
            <v>30.655999999999999</v>
          </cell>
        </row>
        <row r="17">
          <cell r="N17">
            <v>97.951999999999998</v>
          </cell>
        </row>
        <row r="18">
          <cell r="N18">
            <v>11.616</v>
          </cell>
        </row>
        <row r="19">
          <cell r="N19">
            <v>0</v>
          </cell>
        </row>
        <row r="20">
          <cell r="N20">
            <v>0</v>
          </cell>
        </row>
        <row r="21">
          <cell r="N21">
            <v>0</v>
          </cell>
        </row>
        <row r="22">
          <cell r="N22">
            <v>0</v>
          </cell>
        </row>
        <row r="23">
          <cell r="N23">
            <v>0</v>
          </cell>
        </row>
        <row r="24">
          <cell r="N24">
            <v>0</v>
          </cell>
        </row>
        <row r="25">
          <cell r="N25">
            <v>693.29863481228665</v>
          </cell>
        </row>
        <row r="26">
          <cell r="N26">
            <v>314.49658703071674</v>
          </cell>
        </row>
        <row r="27">
          <cell r="N27">
            <v>216.63822525597269</v>
          </cell>
        </row>
        <row r="28">
          <cell r="N28">
            <v>10.397610921501707</v>
          </cell>
        </row>
        <row r="29">
          <cell r="N29">
            <v>193.41467576791808</v>
          </cell>
        </row>
        <row r="30">
          <cell r="N30">
            <v>14.525597269624573</v>
          </cell>
        </row>
        <row r="31">
          <cell r="N31">
            <v>285.13310580204779</v>
          </cell>
        </row>
      </sheetData>
      <sheetData sheetId="21" refreshError="1">
        <row r="11">
          <cell r="N11">
            <v>566.31304347826085</v>
          </cell>
        </row>
        <row r="12">
          <cell r="N12">
            <v>569.89565217391305</v>
          </cell>
        </row>
        <row r="13">
          <cell r="N13">
            <v>192.2608695652174</v>
          </cell>
        </row>
        <row r="14">
          <cell r="N14">
            <v>0</v>
          </cell>
        </row>
        <row r="15">
          <cell r="N15">
            <v>115.35652173913043</v>
          </cell>
        </row>
        <row r="16">
          <cell r="N16">
            <v>0</v>
          </cell>
        </row>
        <row r="17">
          <cell r="N17">
            <v>38.452173913043481</v>
          </cell>
        </row>
      </sheetData>
      <sheetData sheetId="22" refreshError="1">
        <row r="11">
          <cell r="N11">
            <v>129.88704318936877</v>
          </cell>
        </row>
        <row r="12">
          <cell r="N12">
            <v>141.21926910299004</v>
          </cell>
        </row>
        <row r="13">
          <cell r="N13">
            <v>104.47508305647841</v>
          </cell>
        </row>
        <row r="14">
          <cell r="N14">
            <v>0</v>
          </cell>
        </row>
        <row r="15">
          <cell r="N15">
            <v>54.289036544850497</v>
          </cell>
        </row>
        <row r="16">
          <cell r="N16">
            <v>0</v>
          </cell>
        </row>
        <row r="17">
          <cell r="N17">
            <v>5.8471760797342194</v>
          </cell>
        </row>
      </sheetData>
      <sheetData sheetId="23" refreshError="1">
        <row r="11">
          <cell r="N11">
            <v>19.037769784172664</v>
          </cell>
        </row>
        <row r="12">
          <cell r="N12">
            <v>8.8039568345323733</v>
          </cell>
        </row>
        <row r="13">
          <cell r="N13">
            <v>16.429856115107913</v>
          </cell>
        </row>
        <row r="14">
          <cell r="N14">
            <v>0</v>
          </cell>
        </row>
        <row r="15">
          <cell r="N15">
            <v>25.755395683453237</v>
          </cell>
        </row>
        <row r="16">
          <cell r="N16">
            <v>0</v>
          </cell>
        </row>
        <row r="17">
          <cell r="N17">
            <v>3.6510791366906474</v>
          </cell>
        </row>
      </sheetData>
      <sheetData sheetId="24" refreshError="1">
        <row r="18">
          <cell r="N18">
            <v>19.869367166004281</v>
          </cell>
        </row>
        <row r="19">
          <cell r="N19">
            <v>4.5132681137266895</v>
          </cell>
        </row>
        <row r="20">
          <cell r="N20">
            <v>0.67129318251299297</v>
          </cell>
        </row>
        <row r="21">
          <cell r="N21">
            <v>0.1301436869458881</v>
          </cell>
        </row>
        <row r="22">
          <cell r="N22">
            <v>1.0760317945582392</v>
          </cell>
        </row>
        <row r="23">
          <cell r="N23">
            <v>1.4186181595842251</v>
          </cell>
        </row>
        <row r="24">
          <cell r="N24">
            <v>1.0813512687251605</v>
          </cell>
        </row>
        <row r="25">
          <cell r="N25">
            <v>1.7978905533476002</v>
          </cell>
        </row>
        <row r="26">
          <cell r="N26">
            <v>0</v>
          </cell>
        </row>
        <row r="27">
          <cell r="N27">
            <v>0</v>
          </cell>
        </row>
        <row r="28">
          <cell r="N28">
            <v>0</v>
          </cell>
        </row>
        <row r="29">
          <cell r="N29">
            <v>0</v>
          </cell>
        </row>
        <row r="30">
          <cell r="N30">
            <v>0</v>
          </cell>
        </row>
        <row r="31">
          <cell r="N31">
            <v>0</v>
          </cell>
        </row>
        <row r="32">
          <cell r="N32">
            <v>21.279813130071307</v>
          </cell>
        </row>
        <row r="33">
          <cell r="N33">
            <v>17.890828620604868</v>
          </cell>
        </row>
        <row r="34">
          <cell r="N34">
            <v>5.3528399311531842</v>
          </cell>
        </row>
        <row r="35">
          <cell r="N35">
            <v>0.22940742562085076</v>
          </cell>
        </row>
        <row r="36">
          <cell r="N36">
            <v>5.2601426112613723</v>
          </cell>
        </row>
        <row r="37">
          <cell r="N37">
            <v>0.63707892795672483</v>
          </cell>
        </row>
        <row r="38">
          <cell r="N38">
            <v>7.6833046471600692</v>
          </cell>
        </row>
      </sheetData>
      <sheetData sheetId="25" refreshError="1">
        <row r="18">
          <cell r="N18">
            <v>186.22831050228311</v>
          </cell>
        </row>
        <row r="19">
          <cell r="N19">
            <v>41.881278538812786</v>
          </cell>
        </row>
        <row r="20">
          <cell r="N20">
            <v>2.8858447488584473</v>
          </cell>
        </row>
        <row r="21">
          <cell r="N21">
            <v>0</v>
          </cell>
        </row>
        <row r="22">
          <cell r="N22">
            <v>10.100456621004566</v>
          </cell>
        </row>
        <row r="23">
          <cell r="N23">
            <v>5.7716894977168947</v>
          </cell>
        </row>
        <row r="24">
          <cell r="N24">
            <v>8.6575342465753433</v>
          </cell>
        </row>
        <row r="25">
          <cell r="N25">
            <v>218.26548672566372</v>
          </cell>
        </row>
        <row r="26">
          <cell r="N26">
            <v>86.83185840707965</v>
          </cell>
        </row>
        <row r="27">
          <cell r="N27">
            <v>16.814159292035399</v>
          </cell>
        </row>
        <row r="28">
          <cell r="N28">
            <v>0</v>
          </cell>
        </row>
        <row r="29">
          <cell r="N29">
            <v>50.336283185840706</v>
          </cell>
        </row>
        <row r="30">
          <cell r="N30">
            <v>8.389380530973451</v>
          </cell>
        </row>
        <row r="31">
          <cell r="N31">
            <v>41.946902654867259</v>
          </cell>
        </row>
      </sheetData>
      <sheetData sheetId="26" refreshError="1">
        <row r="11">
          <cell r="N11">
            <v>19.559068219633943</v>
          </cell>
        </row>
        <row r="12">
          <cell r="N12">
            <v>2.317803660565724</v>
          </cell>
        </row>
        <row r="13">
          <cell r="N13">
            <v>0</v>
          </cell>
        </row>
        <row r="14">
          <cell r="N14">
            <v>1.6722129783693844</v>
          </cell>
        </row>
        <row r="15">
          <cell r="N15">
            <v>0</v>
          </cell>
        </row>
        <row r="16">
          <cell r="N16">
            <v>0.61231281198003329</v>
          </cell>
        </row>
        <row r="17">
          <cell r="N17">
            <v>0</v>
          </cell>
        </row>
        <row r="18">
          <cell r="N18">
            <v>87.555740432612311</v>
          </cell>
        </row>
        <row r="19">
          <cell r="N19">
            <v>0</v>
          </cell>
        </row>
        <row r="20">
          <cell r="N20">
            <v>0</v>
          </cell>
        </row>
        <row r="21">
          <cell r="N21">
            <v>0</v>
          </cell>
        </row>
        <row r="22">
          <cell r="N22">
            <v>0</v>
          </cell>
        </row>
        <row r="23">
          <cell r="N23">
            <v>0</v>
          </cell>
        </row>
        <row r="24">
          <cell r="N24">
            <v>0</v>
          </cell>
        </row>
        <row r="25">
          <cell r="N25">
            <v>43.246208988144474</v>
          </cell>
        </row>
        <row r="26">
          <cell r="N26">
            <v>10.269368624207335</v>
          </cell>
        </row>
        <row r="27">
          <cell r="N27">
            <v>23.071684587813621</v>
          </cell>
        </row>
        <row r="28">
          <cell r="N28">
            <v>0.52826027019575406</v>
          </cell>
        </row>
        <row r="29">
          <cell r="N29">
            <v>24.312655086848636</v>
          </cell>
        </row>
        <row r="30">
          <cell r="N30">
            <v>0</v>
          </cell>
        </row>
        <row r="31">
          <cell r="N31">
            <v>1.022332506203474</v>
          </cell>
        </row>
      </sheetData>
      <sheetData sheetId="27" refreshError="1">
        <row r="11">
          <cell r="N11">
            <v>9.587301587301587</v>
          </cell>
        </row>
        <row r="12">
          <cell r="N12">
            <v>0</v>
          </cell>
        </row>
        <row r="13">
          <cell r="N13">
            <v>0</v>
          </cell>
        </row>
        <row r="14">
          <cell r="N14">
            <v>0</v>
          </cell>
        </row>
        <row r="15">
          <cell r="N15">
            <v>0</v>
          </cell>
        </row>
        <row r="16">
          <cell r="N16">
            <v>0</v>
          </cell>
        </row>
        <row r="17">
          <cell r="N17">
            <v>0</v>
          </cell>
        </row>
        <row r="18">
          <cell r="N18">
            <v>100.33333333333333</v>
          </cell>
        </row>
        <row r="19">
          <cell r="N19">
            <v>0</v>
          </cell>
        </row>
        <row r="20">
          <cell r="N20">
            <v>0</v>
          </cell>
        </row>
        <row r="21">
          <cell r="N21">
            <v>0</v>
          </cell>
        </row>
        <row r="22">
          <cell r="N22">
            <v>0</v>
          </cell>
        </row>
        <row r="23">
          <cell r="N23">
            <v>0</v>
          </cell>
        </row>
        <row r="24">
          <cell r="N24">
            <v>0</v>
          </cell>
        </row>
        <row r="25">
          <cell r="N25">
            <v>40.083333333333336</v>
          </cell>
        </row>
        <row r="26">
          <cell r="N26">
            <v>25.942307692307693</v>
          </cell>
        </row>
        <row r="27">
          <cell r="N27">
            <v>0</v>
          </cell>
        </row>
        <row r="28">
          <cell r="N28">
            <v>0</v>
          </cell>
        </row>
        <row r="29">
          <cell r="N29">
            <v>4.5961538461538458</v>
          </cell>
        </row>
        <row r="30">
          <cell r="N30">
            <v>0</v>
          </cell>
        </row>
        <row r="31">
          <cell r="N31">
            <v>15.384615384615385</v>
          </cell>
        </row>
      </sheetData>
      <sheetData sheetId="28" refreshError="1">
        <row r="11">
          <cell r="N11">
            <v>58.88</v>
          </cell>
        </row>
        <row r="12">
          <cell r="N12">
            <v>14.24</v>
          </cell>
        </row>
        <row r="13">
          <cell r="N13">
            <v>0</v>
          </cell>
        </row>
        <row r="14">
          <cell r="N14">
            <v>0</v>
          </cell>
        </row>
        <row r="15">
          <cell r="N15">
            <v>0</v>
          </cell>
        </row>
        <row r="16">
          <cell r="N16">
            <v>0</v>
          </cell>
        </row>
        <row r="17">
          <cell r="N17">
            <v>0</v>
          </cell>
        </row>
        <row r="18">
          <cell r="N18">
            <v>127.32</v>
          </cell>
        </row>
        <row r="19">
          <cell r="N19">
            <v>0</v>
          </cell>
        </row>
        <row r="20">
          <cell r="N20">
            <v>0</v>
          </cell>
        </row>
        <row r="21">
          <cell r="N21">
            <v>0</v>
          </cell>
        </row>
        <row r="22">
          <cell r="N22">
            <v>0</v>
          </cell>
        </row>
        <row r="23">
          <cell r="N23">
            <v>0</v>
          </cell>
        </row>
        <row r="24">
          <cell r="N24">
            <v>0</v>
          </cell>
        </row>
        <row r="25">
          <cell r="N25">
            <v>45</v>
          </cell>
        </row>
        <row r="26">
          <cell r="N26">
            <v>7.6470588235294121</v>
          </cell>
        </row>
        <row r="27">
          <cell r="N27">
            <v>0</v>
          </cell>
        </row>
        <row r="28">
          <cell r="N28">
            <v>0</v>
          </cell>
        </row>
        <row r="29">
          <cell r="N29">
            <v>111.05882352941177</v>
          </cell>
        </row>
        <row r="30">
          <cell r="N30">
            <v>0</v>
          </cell>
        </row>
        <row r="31">
          <cell r="N31">
            <v>-13.235294117647058</v>
          </cell>
        </row>
      </sheetData>
      <sheetData sheetId="29" refreshError="1">
        <row r="18">
          <cell r="N18">
            <v>644.29108910891091</v>
          </cell>
        </row>
        <row r="19">
          <cell r="N19">
            <v>53.893069306930691</v>
          </cell>
        </row>
        <row r="20">
          <cell r="N20">
            <v>77.500990099009897</v>
          </cell>
        </row>
        <row r="21">
          <cell r="N21">
            <v>0</v>
          </cell>
        </row>
        <row r="22">
          <cell r="N22">
            <v>8.9821782178217831</v>
          </cell>
        </row>
        <row r="23">
          <cell r="N23">
            <v>0</v>
          </cell>
        </row>
        <row r="24">
          <cell r="N24">
            <v>10.596039603960396</v>
          </cell>
        </row>
      </sheetData>
      <sheetData sheetId="30" refreshError="1">
        <row r="11">
          <cell r="N11">
            <v>14.20945945945946</v>
          </cell>
        </row>
        <row r="12">
          <cell r="N12">
            <v>50.731981981981981</v>
          </cell>
        </row>
        <row r="13">
          <cell r="N13">
            <v>10.952702702702704</v>
          </cell>
        </row>
        <row r="14">
          <cell r="N14">
            <v>0.69144144144144148</v>
          </cell>
        </row>
        <row r="15">
          <cell r="N15">
            <v>12.38963963963964</v>
          </cell>
        </row>
        <row r="16">
          <cell r="N16">
            <v>11.063063063063064</v>
          </cell>
        </row>
        <row r="17">
          <cell r="N17">
            <v>25.382882882882882</v>
          </cell>
        </row>
        <row r="18">
          <cell r="N18">
            <v>86.602516150969052</v>
          </cell>
        </row>
        <row r="19">
          <cell r="N19">
            <v>76.113226793607623</v>
          </cell>
        </row>
        <row r="20">
          <cell r="N20">
            <v>22.335600136008161</v>
          </cell>
        </row>
        <row r="21">
          <cell r="N21">
            <v>2.8745324719483167</v>
          </cell>
        </row>
        <row r="22">
          <cell r="N22">
            <v>23.830329819789188</v>
          </cell>
        </row>
        <row r="23">
          <cell r="N23">
            <v>0.27779666780006801</v>
          </cell>
        </row>
        <row r="24">
          <cell r="N24">
            <v>55.912954777286636</v>
          </cell>
        </row>
      </sheetData>
      <sheetData sheetId="31" refreshError="1">
        <row r="11">
          <cell r="N11">
            <v>65.689561373682423</v>
          </cell>
        </row>
        <row r="12">
          <cell r="N12">
            <v>91.299557973478414</v>
          </cell>
        </row>
        <row r="13">
          <cell r="N13">
            <v>23.502890173410403</v>
          </cell>
        </row>
        <row r="14">
          <cell r="N14">
            <v>3.4416865011900715</v>
          </cell>
        </row>
        <row r="15">
          <cell r="N15">
            <v>27.357021421285278</v>
          </cell>
        </row>
        <row r="16">
          <cell r="N16">
            <v>0.84665079904794283</v>
          </cell>
        </row>
        <row r="17">
          <cell r="N17">
            <v>53.620877252635161</v>
          </cell>
        </row>
      </sheetData>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Ins Payments 100114 - 063015"/>
      <sheetName val="sort and pro fee removed"/>
      <sheetName val="Sheet3"/>
      <sheetName val="medicare all"/>
      <sheetName val="mcr pro fee sort"/>
      <sheetName val="medicaid all"/>
      <sheetName val="mcd pro fee sort"/>
    </sheetNames>
    <sheetDataSet>
      <sheetData sheetId="0" refreshError="1"/>
      <sheetData sheetId="1" refreshError="1"/>
      <sheetData sheetId="2" refreshError="1"/>
      <sheetData sheetId="3" refreshError="1"/>
      <sheetData sheetId="4" refreshError="1"/>
      <sheetData sheetId="5" refreshError="1">
        <row r="961">
          <cell r="W961">
            <v>0.73844914775205717</v>
          </cell>
        </row>
      </sheetData>
      <sheetData sheetId="6" refreshError="1"/>
      <sheetData sheetId="7" refreshError="1">
        <row r="164">
          <cell r="S164">
            <v>0.82918870658868626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REV DEPT"/>
      <sheetName val="STATS"/>
      <sheetName val="MED SURG 001"/>
      <sheetName val="SWING BED 002"/>
      <sheetName val="ICU 003"/>
      <sheetName val="OBSERVATION 008"/>
      <sheetName val="OR 011"/>
      <sheetName val="RECOVERY 012"/>
      <sheetName val="ANESTH 013"/>
      <sheetName val="SURG DAY 014"/>
      <sheetName val="ENDO 015"/>
      <sheetName val="PHARMACY 021"/>
      <sheetName val="IV 022"/>
      <sheetName val="LAB 031"/>
      <sheetName val="PATH 032"/>
      <sheetName val="BLOOD BANK 033"/>
      <sheetName val="CENTRAL SUPPLY 041"/>
      <sheetName val="EKG 051"/>
      <sheetName val="RADIOLOGY 061"/>
      <sheetName val="ULTRASOUND 062"/>
      <sheetName val="CT SCANNER 063"/>
      <sheetName val="MRI 064"/>
      <sheetName val="NUCLEAR MED 065"/>
      <sheetName val="MAMMO 066"/>
      <sheetName val="RT 071"/>
      <sheetName val="PUL 073"/>
      <sheetName val="PT 082"/>
      <sheetName val="OT 086"/>
      <sheetName val="SPEECH 087"/>
      <sheetName val="WOUND CARE 089"/>
      <sheetName val="EMERGENCY 091"/>
      <sheetName val="ER PRO FEE 092"/>
      <sheetName val="RECAP"/>
    </sheetNames>
    <sheetDataSet>
      <sheetData sheetId="0" refreshError="1"/>
      <sheetData sheetId="1" refreshError="1">
        <row r="932">
          <cell r="M932">
            <v>0.41195101935202966</v>
          </cell>
        </row>
        <row r="966">
          <cell r="Q966">
            <v>0.68778356991352585</v>
          </cell>
        </row>
        <row r="967">
          <cell r="Q967">
            <v>0.36913516227610749</v>
          </cell>
        </row>
        <row r="968">
          <cell r="Q968">
            <v>0.38293899863187963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OF WORKSHEETS"/>
      <sheetName val="ASSUMPTIONS"/>
      <sheetName val="STATS 2011"/>
      <sheetName val="MO STATS"/>
      <sheetName val="STATS"/>
      <sheetName val="BUDGET"/>
      <sheetName val="MED SURG"/>
      <sheetName val="ICU"/>
      <sheetName val="OR"/>
      <sheetName val="ANESTHESIA"/>
      <sheetName val="RESPIRATORY"/>
      <sheetName val="PHARMACY"/>
      <sheetName val="IV THERAPY"/>
      <sheetName val="LAB"/>
      <sheetName val="CENTRAL SUPPLY"/>
      <sheetName val="XRAY"/>
      <sheetName val="ULTRA"/>
      <sheetName val="CT"/>
      <sheetName val="PHYSICAL THERAPY"/>
      <sheetName val="OCCUPATIONAL THERAPY"/>
      <sheetName val="SPEECH THERAPY"/>
      <sheetName val="EMERGENCY SERVICES"/>
      <sheetName val="DEDUCTIONS FROM REVENUE"/>
      <sheetName val="OTHER REVENUE"/>
      <sheetName val="OVERHEAD EXPENSES"/>
      <sheetName val="income"/>
      <sheetName val="INCOME 2011"/>
      <sheetName val="ACCOUNTING"/>
      <sheetName val="ADMINISTRATION"/>
      <sheetName val="BUSINESS OFFICE-ADMIT"/>
      <sheetName val="CAFETERIA"/>
      <sheetName val="DATA PROC"/>
      <sheetName val="HEALTH MGMT"/>
      <sheetName val="HOUSEKEEPING"/>
      <sheetName val="MAINT-SECURITY"/>
      <sheetName val="NURSE ADMIN"/>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s 2017 as of 063017"/>
      <sheetName val="Stats 2016"/>
      <sheetName val="Stats 2015"/>
      <sheetName val="Compare for Budget Stats"/>
    </sheetNames>
    <sheetDataSet>
      <sheetData sheetId="0"/>
      <sheetData sheetId="1"/>
      <sheetData sheetId="2"/>
      <sheetData sheetId="3">
        <row r="8">
          <cell r="G8">
            <v>2126.5555555555557</v>
          </cell>
        </row>
        <row r="70">
          <cell r="G70">
            <v>663.44444444444446</v>
          </cell>
        </row>
        <row r="180">
          <cell r="G180">
            <v>167.88888888888889</v>
          </cell>
        </row>
        <row r="182">
          <cell r="G182">
            <v>4780.5555555555557</v>
          </cell>
        </row>
        <row r="183">
          <cell r="G183">
            <v>199.18981481481481</v>
          </cell>
        </row>
        <row r="194">
          <cell r="G194">
            <v>29.666666666666668</v>
          </cell>
        </row>
        <row r="211">
          <cell r="G211">
            <v>8425.3333333333339</v>
          </cell>
        </row>
        <row r="212">
          <cell r="G212">
            <v>13348</v>
          </cell>
        </row>
        <row r="213">
          <cell r="G213">
            <v>12056.888888888891</v>
          </cell>
        </row>
        <row r="242">
          <cell r="G242">
            <v>6905.5555555555547</v>
          </cell>
        </row>
        <row r="243">
          <cell r="G243">
            <v>298.11111111111109</v>
          </cell>
        </row>
        <row r="244">
          <cell r="G244">
            <v>129</v>
          </cell>
        </row>
        <row r="261">
          <cell r="G261">
            <v>101</v>
          </cell>
        </row>
        <row r="275">
          <cell r="G275">
            <v>24.666666666666668</v>
          </cell>
        </row>
        <row r="276">
          <cell r="G276">
            <v>17.888888888888889</v>
          </cell>
        </row>
        <row r="283">
          <cell r="G283">
            <v>59.55555555555555</v>
          </cell>
        </row>
        <row r="287">
          <cell r="G287">
            <v>5.4444444444444455</v>
          </cell>
        </row>
        <row r="288">
          <cell r="G288">
            <v>10.666666666666666</v>
          </cell>
        </row>
        <row r="291">
          <cell r="G291">
            <v>25.111111111111114</v>
          </cell>
        </row>
        <row r="292">
          <cell r="G292">
            <v>275.22222222222223</v>
          </cell>
        </row>
        <row r="312">
          <cell r="G312">
            <v>28767.666666666668</v>
          </cell>
        </row>
        <row r="317">
          <cell r="G317">
            <v>7102.2777777777783</v>
          </cell>
        </row>
        <row r="318">
          <cell r="G318">
            <v>5834.7777777777774</v>
          </cell>
        </row>
        <row r="321">
          <cell r="G321">
            <v>68989.688888888879</v>
          </cell>
        </row>
        <row r="325">
          <cell r="G325">
            <v>21935.555555555558</v>
          </cell>
        </row>
        <row r="326">
          <cell r="G326">
            <v>38566.555555555555</v>
          </cell>
        </row>
        <row r="329">
          <cell r="G329">
            <v>14220.666666666666</v>
          </cell>
        </row>
        <row r="330">
          <cell r="G330">
            <v>57299</v>
          </cell>
        </row>
        <row r="337">
          <cell r="G337">
            <v>908.55555555555566</v>
          </cell>
        </row>
        <row r="339">
          <cell r="G339">
            <v>128.33333333333334</v>
          </cell>
        </row>
        <row r="340">
          <cell r="G340">
            <v>160.88888888888889</v>
          </cell>
        </row>
        <row r="343">
          <cell r="G343">
            <v>480.5555555555556</v>
          </cell>
        </row>
        <row r="344">
          <cell r="G344">
            <v>1878.3333333333333</v>
          </cell>
        </row>
        <row r="351">
          <cell r="G351">
            <v>45570.722222222219</v>
          </cell>
        </row>
        <row r="352">
          <cell r="G352">
            <v>5689.2222222222217</v>
          </cell>
        </row>
        <row r="357">
          <cell r="G357">
            <v>705.44444444444434</v>
          </cell>
        </row>
        <row r="358">
          <cell r="G358">
            <v>5278</v>
          </cell>
        </row>
        <row r="361">
          <cell r="G361">
            <v>122.22222222222223</v>
          </cell>
        </row>
        <row r="362">
          <cell r="G362">
            <v>1019.7333333333332</v>
          </cell>
        </row>
        <row r="365">
          <cell r="G365">
            <v>199.55555555555557</v>
          </cell>
        </row>
        <row r="369">
          <cell r="G369">
            <v>0</v>
          </cell>
        </row>
        <row r="373">
          <cell r="G373">
            <v>0</v>
          </cell>
        </row>
        <row r="374">
          <cell r="G374">
            <v>1284.8888888888889</v>
          </cell>
        </row>
        <row r="377">
          <cell r="G377">
            <v>390.88888888888891</v>
          </cell>
        </row>
        <row r="383">
          <cell r="G383">
            <v>0</v>
          </cell>
        </row>
        <row r="384">
          <cell r="G384">
            <v>15.222222222222223</v>
          </cell>
        </row>
        <row r="404">
          <cell r="G404">
            <v>5987.1111111111104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 FTEs"/>
      <sheetName val="Lab"/>
      <sheetName val="Radiology"/>
      <sheetName val="CS ESR Dietary"/>
      <sheetName val="Respiratory"/>
      <sheetName val="HIM"/>
      <sheetName val="Business Office"/>
      <sheetName val="MedSurg"/>
    </sheetNames>
    <sheetDataSet>
      <sheetData sheetId="0">
        <row r="11">
          <cell r="AS11">
            <v>19.5</v>
          </cell>
        </row>
        <row r="13">
          <cell r="AS13">
            <v>5</v>
          </cell>
        </row>
        <row r="14">
          <cell r="AS14">
            <v>10</v>
          </cell>
        </row>
        <row r="15">
          <cell r="AS15">
            <v>3.5</v>
          </cell>
        </row>
        <row r="19">
          <cell r="AS19">
            <v>2.5</v>
          </cell>
        </row>
        <row r="20">
          <cell r="AS20">
            <v>9.4499999999999993</v>
          </cell>
        </row>
        <row r="22">
          <cell r="AS22">
            <v>7</v>
          </cell>
        </row>
        <row r="23">
          <cell r="AS23">
            <v>1</v>
          </cell>
        </row>
        <row r="25">
          <cell r="AS25">
            <v>0.5</v>
          </cell>
        </row>
        <row r="28">
          <cell r="AS28">
            <v>5.2</v>
          </cell>
        </row>
        <row r="29">
          <cell r="AS29">
            <v>2</v>
          </cell>
        </row>
        <row r="31">
          <cell r="AS31">
            <v>2.25</v>
          </cell>
        </row>
        <row r="33">
          <cell r="AS33">
            <v>3</v>
          </cell>
        </row>
        <row r="38">
          <cell r="AS38">
            <v>0.9</v>
          </cell>
        </row>
        <row r="39">
          <cell r="AS39">
            <v>4.75</v>
          </cell>
        </row>
        <row r="40">
          <cell r="AS40">
            <v>6.68</v>
          </cell>
        </row>
        <row r="41">
          <cell r="AS41">
            <v>3</v>
          </cell>
        </row>
        <row r="44">
          <cell r="AS44">
            <v>3</v>
          </cell>
        </row>
        <row r="46">
          <cell r="AS46">
            <v>3</v>
          </cell>
        </row>
        <row r="47">
          <cell r="AS47">
            <v>2</v>
          </cell>
        </row>
        <row r="48">
          <cell r="AS48">
            <v>4.25</v>
          </cell>
        </row>
        <row r="50">
          <cell r="AS50">
            <v>7.85</v>
          </cell>
        </row>
        <row r="51">
          <cell r="AS51">
            <v>1.5</v>
          </cell>
        </row>
        <row r="52">
          <cell r="AS52">
            <v>5.75</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ompare for Budget Stats"/>
      <sheetName val="Med Surg"/>
      <sheetName val="Swing"/>
      <sheetName val="Hospital Profee"/>
      <sheetName val="Observation"/>
      <sheetName val="OR"/>
      <sheetName val="Recovery"/>
      <sheetName val="Anesthesia"/>
      <sheetName val="Surgiday"/>
      <sheetName val="Endoscopy"/>
      <sheetName val="Pharmacy"/>
      <sheetName val="IV"/>
      <sheetName val="Lab"/>
      <sheetName val="Pathology"/>
      <sheetName val="Blood Bank"/>
      <sheetName val="Central Supply"/>
      <sheetName val="EKG"/>
      <sheetName val="Radiology"/>
      <sheetName val="Ultrasound"/>
      <sheetName val="CT"/>
      <sheetName val="MRI"/>
      <sheetName val="Nuclear Medicine"/>
      <sheetName val="Mammography"/>
      <sheetName val="Respiratroy"/>
      <sheetName val="Pulmonary"/>
      <sheetName val="Physical Therapy"/>
      <sheetName val="Occupational Therapy"/>
      <sheetName val="Speech Therapy"/>
      <sheetName val="Wound Care"/>
      <sheetName val="Energency Services"/>
      <sheetName val="ProFee"/>
      <sheetName val="RECAP"/>
      <sheetName val="RECAP Revenue Per Budget"/>
      <sheetName val="TOTALS"/>
    </sheetNames>
    <sheetDataSet>
      <sheetData sheetId="0"/>
      <sheetData sheetId="1"/>
      <sheetData sheetId="2">
        <row r="10">
          <cell r="J10">
            <v>320.67539627842865</v>
          </cell>
        </row>
        <row r="11">
          <cell r="J11">
            <v>2.2742935906271535</v>
          </cell>
        </row>
        <row r="12">
          <cell r="J12">
            <v>30.323914541695384</v>
          </cell>
        </row>
        <row r="13">
          <cell r="J13">
            <v>2.6533425223983458</v>
          </cell>
        </row>
        <row r="14">
          <cell r="J14">
            <v>47.002067539627845</v>
          </cell>
        </row>
        <row r="15">
          <cell r="J15">
            <v>126.22329427980704</v>
          </cell>
        </row>
        <row r="16">
          <cell r="J16">
            <v>21.226740179186766</v>
          </cell>
        </row>
      </sheetData>
      <sheetData sheetId="3">
        <row r="10">
          <cell r="J10">
            <v>550</v>
          </cell>
        </row>
      </sheetData>
      <sheetData sheetId="4"/>
      <sheetData sheetId="5">
        <row r="16">
          <cell r="J16">
            <v>23</v>
          </cell>
        </row>
        <row r="17">
          <cell r="J17">
            <v>24</v>
          </cell>
        </row>
        <row r="18">
          <cell r="J18">
            <v>36</v>
          </cell>
        </row>
        <row r="21">
          <cell r="J21">
            <v>125</v>
          </cell>
        </row>
      </sheetData>
      <sheetData sheetId="6">
        <row r="12">
          <cell r="J12">
            <v>368.6521739130435</v>
          </cell>
        </row>
        <row r="14">
          <cell r="J14">
            <v>355.06521739130437</v>
          </cell>
        </row>
        <row r="15">
          <cell r="J15">
            <v>71.021739130434781</v>
          </cell>
        </row>
        <row r="16">
          <cell r="J16">
            <v>74.304347826086953</v>
          </cell>
        </row>
        <row r="17">
          <cell r="J17">
            <v>109.78260869565217</v>
          </cell>
        </row>
        <row r="18">
          <cell r="J18">
            <v>111.45652173913044</v>
          </cell>
        </row>
        <row r="31">
          <cell r="J31">
            <v>251.44680851063831</v>
          </cell>
        </row>
        <row r="32">
          <cell r="J32">
            <v>15.805851063829786</v>
          </cell>
        </row>
        <row r="33">
          <cell r="J33">
            <v>206.44414893617022</v>
          </cell>
        </row>
        <row r="35">
          <cell r="J35">
            <v>43.856382978723403</v>
          </cell>
        </row>
        <row r="36">
          <cell r="J36">
            <v>352.63829787234044</v>
          </cell>
        </row>
        <row r="37">
          <cell r="J37">
            <v>34.380319148936174</v>
          </cell>
        </row>
      </sheetData>
      <sheetData sheetId="7">
        <row r="10">
          <cell r="J10">
            <v>258</v>
          </cell>
        </row>
        <row r="11">
          <cell r="J11">
            <v>14.333333333333334</v>
          </cell>
        </row>
        <row r="12">
          <cell r="J12">
            <v>100.33333333333333</v>
          </cell>
        </row>
        <row r="13">
          <cell r="J13">
            <v>14.333333333333334</v>
          </cell>
        </row>
        <row r="14">
          <cell r="J14">
            <v>28.666666666666668</v>
          </cell>
        </row>
        <row r="15">
          <cell r="J15">
            <v>57.333333333333336</v>
          </cell>
        </row>
        <row r="16">
          <cell r="J16">
            <v>43</v>
          </cell>
        </row>
        <row r="30">
          <cell r="J30">
            <v>248.30320699708454</v>
          </cell>
        </row>
        <row r="31">
          <cell r="J31">
            <v>22.816326530612244</v>
          </cell>
        </row>
        <row r="32">
          <cell r="J32">
            <v>121.42857142857143</v>
          </cell>
        </row>
        <row r="34">
          <cell r="J34">
            <v>27.125364431486879</v>
          </cell>
        </row>
        <row r="35">
          <cell r="J35">
            <v>204.24489795918367</v>
          </cell>
        </row>
        <row r="36">
          <cell r="J36">
            <v>20.903790087463555</v>
          </cell>
        </row>
      </sheetData>
      <sheetData sheetId="8">
        <row r="10">
          <cell r="J10">
            <v>2.1137724550898205</v>
          </cell>
        </row>
        <row r="11">
          <cell r="J11">
            <v>0.14600586061918716</v>
          </cell>
        </row>
        <row r="12">
          <cell r="J12">
            <v>0.93400433176200792</v>
          </cell>
        </row>
        <row r="13">
          <cell r="J13">
            <v>0.16027519429226653</v>
          </cell>
        </row>
        <row r="14">
          <cell r="J14">
            <v>0.18575614727990827</v>
          </cell>
        </row>
        <row r="15">
          <cell r="J15">
            <v>0.51751815517900368</v>
          </cell>
        </row>
        <row r="16">
          <cell r="J16">
            <v>0.2786342209198624</v>
          </cell>
        </row>
        <row r="29">
          <cell r="J29">
            <v>14.303860364377627</v>
          </cell>
        </row>
        <row r="30">
          <cell r="J30">
            <v>1.2851318639317111</v>
          </cell>
        </row>
        <row r="31">
          <cell r="J31">
            <v>8.2576124347050577</v>
          </cell>
        </row>
        <row r="33">
          <cell r="J33">
            <v>1.7468467320677794</v>
          </cell>
        </row>
        <row r="34">
          <cell r="J34">
            <v>12.686265766339661</v>
          </cell>
        </row>
        <row r="35">
          <cell r="J35">
            <v>1.1525035036310358</v>
          </cell>
        </row>
      </sheetData>
      <sheetData sheetId="9">
        <row r="12">
          <cell r="J12">
            <v>900</v>
          </cell>
        </row>
        <row r="17">
          <cell r="J17">
            <v>1800</v>
          </cell>
        </row>
        <row r="31">
          <cell r="J31">
            <v>300</v>
          </cell>
        </row>
        <row r="33">
          <cell r="J33">
            <v>100</v>
          </cell>
        </row>
        <row r="35">
          <cell r="J35">
            <v>135.77777777777777</v>
          </cell>
        </row>
        <row r="36">
          <cell r="J36">
            <v>743.11111111111109</v>
          </cell>
        </row>
      </sheetData>
      <sheetData sheetId="10">
        <row r="11">
          <cell r="J11">
            <v>654.10526315789468</v>
          </cell>
        </row>
        <row r="13">
          <cell r="J13">
            <v>108.63157894736842</v>
          </cell>
        </row>
        <row r="16">
          <cell r="J16">
            <v>108.63157894736842</v>
          </cell>
        </row>
        <row r="30">
          <cell r="J30">
            <v>523.82524271844659</v>
          </cell>
        </row>
        <row r="31">
          <cell r="J31">
            <v>55.213592233009706</v>
          </cell>
        </row>
        <row r="32">
          <cell r="J32">
            <v>196.25242718446603</v>
          </cell>
        </row>
        <row r="34">
          <cell r="J34">
            <v>36.349514563106794</v>
          </cell>
        </row>
        <row r="35">
          <cell r="J35">
            <v>250.18446601941747</v>
          </cell>
        </row>
        <row r="36">
          <cell r="J36">
            <v>19.825242718446603</v>
          </cell>
        </row>
      </sheetData>
      <sheetData sheetId="11">
        <row r="11">
          <cell r="J11">
            <v>2.902082044898195</v>
          </cell>
        </row>
        <row r="12">
          <cell r="J12">
            <v>2.1236460245271652E-2</v>
          </cell>
        </row>
        <row r="13">
          <cell r="J13">
            <v>0.26694241664363227</v>
          </cell>
        </row>
        <row r="14">
          <cell r="J14">
            <v>5.7106096792219077E-2</v>
          </cell>
        </row>
        <row r="15">
          <cell r="J15">
            <v>0.44577794305100116</v>
          </cell>
        </row>
        <row r="16">
          <cell r="J16">
            <v>1.2090645513461702</v>
          </cell>
        </row>
        <row r="17">
          <cell r="J17">
            <v>0.17400864237548</v>
          </cell>
        </row>
        <row r="21">
          <cell r="J21">
            <v>2.8424456769231079</v>
          </cell>
        </row>
        <row r="31">
          <cell r="J31">
            <v>7.8124443902736296</v>
          </cell>
        </row>
        <row r="32">
          <cell r="J32">
            <v>0.36859040770308976</v>
          </cell>
        </row>
        <row r="33">
          <cell r="J33">
            <v>5.6524194039856175</v>
          </cell>
        </row>
        <row r="34">
          <cell r="J34">
            <v>0.10283076360533853</v>
          </cell>
        </row>
        <row r="35">
          <cell r="J35">
            <v>0.937467243585837</v>
          </cell>
        </row>
        <row r="36">
          <cell r="J36">
            <v>4.5520933633981358</v>
          </cell>
        </row>
        <row r="37">
          <cell r="J37">
            <v>3.1583825949174233</v>
          </cell>
        </row>
      </sheetData>
      <sheetData sheetId="12">
        <row r="11">
          <cell r="J11">
            <v>16.102644175974472</v>
          </cell>
        </row>
        <row r="12">
          <cell r="J12">
            <v>9.2774105311146576E-2</v>
          </cell>
        </row>
        <row r="13">
          <cell r="J13">
            <v>0.94483701846364254</v>
          </cell>
        </row>
        <row r="14">
          <cell r="J14">
            <v>0.13813540004558925</v>
          </cell>
        </row>
        <row r="15">
          <cell r="J15">
            <v>2.4481422384317302</v>
          </cell>
        </row>
        <row r="16">
          <cell r="J16">
            <v>3.8958855710052429</v>
          </cell>
        </row>
        <row r="17">
          <cell r="J17">
            <v>0.81127193982220203</v>
          </cell>
        </row>
        <row r="21">
          <cell r="J21">
            <v>4.1828128561659446</v>
          </cell>
        </row>
        <row r="31">
          <cell r="J31">
            <v>11.501826535186016</v>
          </cell>
        </row>
        <row r="32">
          <cell r="J32">
            <v>0.69946212460779922</v>
          </cell>
        </row>
        <row r="33">
          <cell r="J33">
            <v>3.7209323173464814</v>
          </cell>
        </row>
        <row r="34">
          <cell r="J34">
            <v>8.090542357687136E-2</v>
          </cell>
        </row>
        <row r="35">
          <cell r="J35">
            <v>3.3197445091887046</v>
          </cell>
        </row>
        <row r="36">
          <cell r="J36">
            <v>7.3692402510085167</v>
          </cell>
        </row>
        <row r="37">
          <cell r="J37">
            <v>2.5737561631555357</v>
          </cell>
        </row>
      </sheetData>
      <sheetData sheetId="13">
        <row r="11">
          <cell r="J11">
            <v>21.357554099662497</v>
          </cell>
        </row>
        <row r="12">
          <cell r="J12">
            <v>0.13926940639269406</v>
          </cell>
        </row>
        <row r="13">
          <cell r="J13">
            <v>2.9536430414929522</v>
          </cell>
        </row>
        <row r="14">
          <cell r="J14">
            <v>0.20200516180266032</v>
          </cell>
        </row>
        <row r="15">
          <cell r="J15">
            <v>2.7208655945999602</v>
          </cell>
        </row>
        <row r="16">
          <cell r="J16">
            <v>10.474190986698432</v>
          </cell>
        </row>
        <row r="17">
          <cell r="J17">
            <v>1.5941036331149494</v>
          </cell>
        </row>
        <row r="21">
          <cell r="J21">
            <v>8.3696644828270799</v>
          </cell>
        </row>
        <row r="31">
          <cell r="J31">
            <v>35.106632665108265</v>
          </cell>
        </row>
        <row r="32">
          <cell r="J32">
            <v>1.768694954074284</v>
          </cell>
        </row>
        <row r="33">
          <cell r="J33">
            <v>8.1349672971122295</v>
          </cell>
        </row>
        <row r="34">
          <cell r="J34">
            <v>0.27352364761162662</v>
          </cell>
        </row>
        <row r="35">
          <cell r="J35">
            <v>2.5438596491228069</v>
          </cell>
        </row>
        <row r="36">
          <cell r="J36">
            <v>18.843167811858045</v>
          </cell>
        </row>
        <row r="37">
          <cell r="J37">
            <v>6.7402894854903073</v>
          </cell>
        </row>
      </sheetData>
      <sheetData sheetId="14"/>
      <sheetData sheetId="15">
        <row r="10">
          <cell r="J10">
            <v>34.442164179104481</v>
          </cell>
        </row>
        <row r="12">
          <cell r="J12">
            <v>5.9757462686567164</v>
          </cell>
        </row>
        <row r="14">
          <cell r="J14">
            <v>4.330223880597015</v>
          </cell>
        </row>
        <row r="15">
          <cell r="J15">
            <v>9.5988805970149258</v>
          </cell>
        </row>
        <row r="28">
          <cell r="J28">
            <v>36.412313432835823</v>
          </cell>
        </row>
        <row r="30">
          <cell r="J30">
            <v>12.755597014925373</v>
          </cell>
        </row>
        <row r="32">
          <cell r="J32">
            <v>14.238805970149254</v>
          </cell>
        </row>
        <row r="33">
          <cell r="J33">
            <v>29.90858208955224</v>
          </cell>
        </row>
        <row r="34">
          <cell r="J34">
            <v>11.625</v>
          </cell>
        </row>
      </sheetData>
      <sheetData sheetId="16">
        <row r="11">
          <cell r="J11">
            <v>18.549590902589042</v>
          </cell>
        </row>
        <row r="12">
          <cell r="J12">
            <v>8.0389071663567443E-2</v>
          </cell>
        </row>
        <row r="13">
          <cell r="J13">
            <v>1.9394864826205123</v>
          </cell>
        </row>
        <row r="14">
          <cell r="J14">
            <v>0.15097983121155772</v>
          </cell>
        </row>
        <row r="15">
          <cell r="J15">
            <v>1.8742669146044915</v>
          </cell>
        </row>
        <row r="16">
          <cell r="J16">
            <v>4.9158847089114568</v>
          </cell>
        </row>
        <row r="17">
          <cell r="J17">
            <v>1.0256043484480046</v>
          </cell>
        </row>
        <row r="21">
          <cell r="J21">
            <v>12.287440995565728</v>
          </cell>
        </row>
        <row r="23">
          <cell r="J23">
            <v>3.8621084251180089E-3</v>
          </cell>
        </row>
        <row r="25">
          <cell r="J25">
            <v>7.1520526391074233E-4</v>
          </cell>
        </row>
        <row r="26">
          <cell r="J26">
            <v>7.795737376627092E-3</v>
          </cell>
        </row>
        <row r="27">
          <cell r="J27">
            <v>4.2912315834644542E-3</v>
          </cell>
        </row>
        <row r="31">
          <cell r="J31">
            <v>14.723210382973001</v>
          </cell>
        </row>
        <row r="32">
          <cell r="J32">
            <v>1.0325779227329277</v>
          </cell>
        </row>
        <row r="33">
          <cell r="J33">
            <v>5.8966026697152074</v>
          </cell>
        </row>
        <row r="34">
          <cell r="J34">
            <v>0.10541004001210451</v>
          </cell>
        </row>
        <row r="35">
          <cell r="J35">
            <v>2.9941696647725364</v>
          </cell>
        </row>
        <row r="36">
          <cell r="J36">
            <v>11.586861907804041</v>
          </cell>
        </row>
        <row r="37">
          <cell r="J37">
            <v>2.5230792508658078</v>
          </cell>
        </row>
      </sheetData>
      <sheetData sheetId="17">
        <row r="13">
          <cell r="J13">
            <v>138.59102244389027</v>
          </cell>
        </row>
        <row r="15">
          <cell r="J15">
            <v>8.528678304239401</v>
          </cell>
        </row>
        <row r="17">
          <cell r="J17">
            <v>9.2394014962593509</v>
          </cell>
        </row>
        <row r="18">
          <cell r="J18">
            <v>33.403990024937656</v>
          </cell>
        </row>
        <row r="19">
          <cell r="J19">
            <v>4.2643391521197005</v>
          </cell>
        </row>
        <row r="23">
          <cell r="J23">
            <v>64.67581047381546</v>
          </cell>
        </row>
        <row r="33">
          <cell r="J33">
            <v>138.02184996358341</v>
          </cell>
        </row>
        <row r="34">
          <cell r="J34">
            <v>7.6802621995630007</v>
          </cell>
        </row>
        <row r="35">
          <cell r="J35">
            <v>35.287691187181352</v>
          </cell>
        </row>
        <row r="36">
          <cell r="J36">
            <v>1.4530225782957029</v>
          </cell>
        </row>
        <row r="37">
          <cell r="J37">
            <v>22.415877640203934</v>
          </cell>
        </row>
        <row r="38">
          <cell r="J38">
            <v>74.720320466132563</v>
          </cell>
        </row>
        <row r="39">
          <cell r="J39">
            <v>29.060451565914057</v>
          </cell>
        </row>
      </sheetData>
      <sheetData sheetId="18">
        <row r="11">
          <cell r="J11">
            <v>73.36009174311927</v>
          </cell>
        </row>
        <row r="12">
          <cell r="J12">
            <v>0.34633027522935778</v>
          </cell>
        </row>
        <row r="13">
          <cell r="J13">
            <v>1.4770642201834863</v>
          </cell>
        </row>
        <row r="15">
          <cell r="J15">
            <v>5.1582568807339451</v>
          </cell>
        </row>
        <row r="16">
          <cell r="J16">
            <v>19.165137614678898</v>
          </cell>
        </row>
        <row r="17">
          <cell r="J17">
            <v>1.6009174311926606</v>
          </cell>
        </row>
        <row r="21">
          <cell r="J21">
            <v>26.378440366972477</v>
          </cell>
        </row>
        <row r="31">
          <cell r="J31">
            <v>60.576523031203564</v>
          </cell>
        </row>
        <row r="32">
          <cell r="J32">
            <v>4.4876176324913324</v>
          </cell>
        </row>
        <row r="33">
          <cell r="J33">
            <v>28.683754333828627</v>
          </cell>
        </row>
        <row r="34">
          <cell r="J34">
            <v>3.1178801386825161</v>
          </cell>
        </row>
        <row r="35">
          <cell r="J35">
            <v>19.276622090143636</v>
          </cell>
        </row>
        <row r="36">
          <cell r="J36">
            <v>51.676572560673598</v>
          </cell>
        </row>
        <row r="37">
          <cell r="J37">
            <v>16.262506191183753</v>
          </cell>
        </row>
      </sheetData>
      <sheetData sheetId="19">
        <row r="11">
          <cell r="J11">
            <v>517.16250000000002</v>
          </cell>
        </row>
        <row r="13">
          <cell r="J13">
            <v>4.1749999999999998</v>
          </cell>
        </row>
        <row r="15">
          <cell r="J15">
            <v>13.3125</v>
          </cell>
        </row>
        <row r="16">
          <cell r="J16">
            <v>166.1</v>
          </cell>
        </row>
        <row r="17">
          <cell r="J17">
            <v>33.85</v>
          </cell>
        </row>
        <row r="21">
          <cell r="J21">
            <v>35.6875</v>
          </cell>
        </row>
        <row r="31">
          <cell r="J31">
            <v>251.0013888888889</v>
          </cell>
        </row>
        <row r="32">
          <cell r="J32">
            <v>6.9361111111111109</v>
          </cell>
        </row>
        <row r="33">
          <cell r="J33">
            <v>105.21527777777777</v>
          </cell>
        </row>
        <row r="35">
          <cell r="J35">
            <v>46.43472222222222</v>
          </cell>
        </row>
        <row r="36">
          <cell r="J36">
            <v>136.50555555555556</v>
          </cell>
        </row>
        <row r="37">
          <cell r="J37">
            <v>22.555555555555557</v>
          </cell>
        </row>
      </sheetData>
      <sheetData sheetId="20">
        <row r="11">
          <cell r="J11">
            <v>640.11184210526312</v>
          </cell>
        </row>
        <row r="13">
          <cell r="J13">
            <v>64.565789473684205</v>
          </cell>
        </row>
        <row r="15">
          <cell r="J15">
            <v>59.703947368421055</v>
          </cell>
        </row>
        <row r="16">
          <cell r="J16">
            <v>241.73684210526315</v>
          </cell>
        </row>
        <row r="17">
          <cell r="J17">
            <v>19.901315789473685</v>
          </cell>
        </row>
        <row r="21">
          <cell r="J21">
            <v>277.76315789473682</v>
          </cell>
        </row>
        <row r="31">
          <cell r="J31">
            <v>678.75870494807577</v>
          </cell>
        </row>
        <row r="32">
          <cell r="J32">
            <v>57.041539401343918</v>
          </cell>
        </row>
        <row r="33">
          <cell r="J33">
            <v>207.43372021991448</v>
          </cell>
        </row>
        <row r="34">
          <cell r="J34">
            <v>20.511301160659745</v>
          </cell>
        </row>
        <row r="35">
          <cell r="J35">
            <v>235.33353695784973</v>
          </cell>
        </row>
        <row r="36">
          <cell r="J36">
            <v>391.93646915088578</v>
          </cell>
        </row>
        <row r="37">
          <cell r="J37">
            <v>216.22968845448992</v>
          </cell>
        </row>
      </sheetData>
      <sheetData sheetId="21">
        <row r="28">
          <cell r="J28">
            <v>829.63440860215053</v>
          </cell>
        </row>
        <row r="29">
          <cell r="J29">
            <v>33.913978494623656</v>
          </cell>
        </row>
        <row r="30">
          <cell r="J30">
            <v>160.46236559139786</v>
          </cell>
        </row>
        <row r="31">
          <cell r="J31">
            <v>16.956989247311828</v>
          </cell>
        </row>
        <row r="32">
          <cell r="J32">
            <v>118.6989247311828</v>
          </cell>
        </row>
        <row r="33">
          <cell r="J33">
            <v>371.7956989247312</v>
          </cell>
        </row>
        <row r="34">
          <cell r="J34">
            <v>87.892473118279568</v>
          </cell>
        </row>
      </sheetData>
      <sheetData sheetId="22">
        <row r="28">
          <cell r="J28">
            <v>217.52892561983472</v>
          </cell>
        </row>
        <row r="30">
          <cell r="J30">
            <v>100.46280991735537</v>
          </cell>
        </row>
        <row r="32">
          <cell r="J32">
            <v>33.582644628099175</v>
          </cell>
        </row>
        <row r="33">
          <cell r="J33">
            <v>134.38842975206612</v>
          </cell>
        </row>
      </sheetData>
      <sheetData sheetId="23">
        <row r="28">
          <cell r="J28">
            <v>64.105793450881606</v>
          </cell>
        </row>
        <row r="29">
          <cell r="J29">
            <v>4.2821158690176322</v>
          </cell>
        </row>
        <row r="30">
          <cell r="J30">
            <v>39.735516372795971</v>
          </cell>
        </row>
        <row r="32">
          <cell r="J32">
            <v>47.607052896725442</v>
          </cell>
        </row>
        <row r="33">
          <cell r="J33">
            <v>42.31738035264484</v>
          </cell>
        </row>
        <row r="34">
          <cell r="J34">
            <v>2.0151133501259446</v>
          </cell>
        </row>
      </sheetData>
      <sheetData sheetId="24">
        <row r="11">
          <cell r="J11">
            <v>14.926655323462333</v>
          </cell>
        </row>
        <row r="12">
          <cell r="J12">
            <v>0.10592622090287079</v>
          </cell>
        </row>
        <row r="13">
          <cell r="J13">
            <v>0.5248524780074576</v>
          </cell>
        </row>
        <row r="14">
          <cell r="J14">
            <v>7.0919161568258338E-2</v>
          </cell>
        </row>
        <row r="15">
          <cell r="J15">
            <v>1.5155848387213553</v>
          </cell>
        </row>
        <row r="16">
          <cell r="J16">
            <v>4.8573290373963722</v>
          </cell>
        </row>
        <row r="17">
          <cell r="J17">
            <v>0.51706910907577019</v>
          </cell>
        </row>
        <row r="21">
          <cell r="J21">
            <v>14.371393404047351</v>
          </cell>
        </row>
        <row r="31">
          <cell r="J31">
            <v>54.807344332091539</v>
          </cell>
        </row>
        <row r="32">
          <cell r="J32">
            <v>2.7426822778073445</v>
          </cell>
        </row>
        <row r="33">
          <cell r="J33">
            <v>8.4845662586482167</v>
          </cell>
        </row>
        <row r="34">
          <cell r="J34">
            <v>0.23496540713145289</v>
          </cell>
        </row>
        <row r="35">
          <cell r="J35">
            <v>8.0643959552953692</v>
          </cell>
        </row>
        <row r="36">
          <cell r="J36">
            <v>31.555082490686534</v>
          </cell>
        </row>
        <row r="37">
          <cell r="J37">
            <v>9.9526343799893553</v>
          </cell>
        </row>
      </sheetData>
      <sheetData sheetId="25">
        <row r="11">
          <cell r="J11">
            <v>169.33333333333334</v>
          </cell>
        </row>
        <row r="13">
          <cell r="J13">
            <v>3.9506172839506171</v>
          </cell>
        </row>
        <row r="15">
          <cell r="J15">
            <v>7.9012345679012341</v>
          </cell>
        </row>
        <row r="16">
          <cell r="J16">
            <v>77.925925925925924</v>
          </cell>
        </row>
        <row r="17">
          <cell r="J17">
            <v>19.209876543209877</v>
          </cell>
        </row>
        <row r="21">
          <cell r="J21">
            <v>12.962962962962964</v>
          </cell>
        </row>
        <row r="31">
          <cell r="J31">
            <v>315.61818181818182</v>
          </cell>
        </row>
        <row r="32">
          <cell r="J32">
            <v>12.454545454545455</v>
          </cell>
        </row>
        <row r="33">
          <cell r="J33">
            <v>94.727272727272734</v>
          </cell>
        </row>
        <row r="35">
          <cell r="J35">
            <v>42.872727272727275</v>
          </cell>
        </row>
        <row r="36">
          <cell r="J36">
            <v>233.56363636363636</v>
          </cell>
        </row>
        <row r="37">
          <cell r="J37">
            <v>20.363636363636363</v>
          </cell>
        </row>
      </sheetData>
      <sheetData sheetId="26">
        <row r="11">
          <cell r="J11">
            <v>3.597817407505989</v>
          </cell>
        </row>
        <row r="13">
          <cell r="J13">
            <v>7.3729039126963006E-2</v>
          </cell>
        </row>
        <row r="15">
          <cell r="J15">
            <v>0.388607931860527</v>
          </cell>
        </row>
        <row r="16">
          <cell r="J16">
            <v>0.71732765504391804</v>
          </cell>
        </row>
        <row r="17">
          <cell r="J17">
            <v>0.70055895661431988</v>
          </cell>
        </row>
        <row r="21">
          <cell r="J21">
            <v>95.238488155443179</v>
          </cell>
        </row>
        <row r="31">
          <cell r="J31">
            <v>58.739569093610704</v>
          </cell>
        </row>
        <row r="32">
          <cell r="J32">
            <v>0.67121437255166827</v>
          </cell>
        </row>
        <row r="33">
          <cell r="J33">
            <v>18.055127650952315</v>
          </cell>
        </row>
        <row r="34">
          <cell r="J34">
            <v>2.2989328650547076</v>
          </cell>
        </row>
        <row r="35">
          <cell r="J35">
            <v>9.5256139402944751</v>
          </cell>
        </row>
        <row r="36">
          <cell r="J36">
            <v>15.40276644603539</v>
          </cell>
        </row>
        <row r="37">
          <cell r="J37">
            <v>7.0376874240172901E-2</v>
          </cell>
        </row>
      </sheetData>
      <sheetData sheetId="27"/>
      <sheetData sheetId="28">
        <row r="16">
          <cell r="J16">
            <v>28.888888888888889</v>
          </cell>
        </row>
        <row r="21">
          <cell r="J21">
            <v>177.44444444444446</v>
          </cell>
        </row>
        <row r="31">
          <cell r="J31">
            <v>238.10090909090911</v>
          </cell>
        </row>
        <row r="35">
          <cell r="J35">
            <v>13.636363636363637</v>
          </cell>
        </row>
      </sheetData>
      <sheetData sheetId="29"/>
      <sheetData sheetId="30">
        <row r="13">
          <cell r="P13">
            <v>15.131516587677726</v>
          </cell>
        </row>
        <row r="14">
          <cell r="P14">
            <v>9.4585308056872037</v>
          </cell>
        </row>
        <row r="15">
          <cell r="P15">
            <v>51.195497630331751</v>
          </cell>
        </row>
        <row r="16">
          <cell r="P16">
            <v>22.372037914691944</v>
          </cell>
        </row>
        <row r="17">
          <cell r="P17">
            <v>65.068720379146924</v>
          </cell>
        </row>
        <row r="18">
          <cell r="P18">
            <v>333.49052132701422</v>
          </cell>
        </row>
        <row r="19">
          <cell r="P19">
            <v>98.537914691943143</v>
          </cell>
        </row>
        <row r="33">
          <cell r="P33">
            <v>217.66882441882439</v>
          </cell>
        </row>
        <row r="34">
          <cell r="P34">
            <v>20.838263088263091</v>
          </cell>
        </row>
        <row r="35">
          <cell r="P35">
            <v>80.858108108108098</v>
          </cell>
        </row>
        <row r="36">
          <cell r="P36">
            <v>6.0232470232470234</v>
          </cell>
        </row>
        <row r="37">
          <cell r="P37">
            <v>82.331884331884339</v>
          </cell>
        </row>
        <row r="38">
          <cell r="P38">
            <v>205.08736533736533</v>
          </cell>
        </row>
        <row r="39">
          <cell r="P39">
            <v>94.795265545265536</v>
          </cell>
        </row>
      </sheetData>
      <sheetData sheetId="31">
        <row r="28">
          <cell r="J28">
            <v>71.3424582293067</v>
          </cell>
        </row>
        <row r="29">
          <cell r="J29">
            <v>9.9571730362972914</v>
          </cell>
        </row>
        <row r="30">
          <cell r="J30">
            <v>29.925388899558286</v>
          </cell>
        </row>
        <row r="31">
          <cell r="J31">
            <v>3.5360092183599003</v>
          </cell>
        </row>
        <row r="32">
          <cell r="J32">
            <v>28.444125216055308</v>
          </cell>
        </row>
        <row r="33">
          <cell r="J33">
            <v>96.796554637987313</v>
          </cell>
        </row>
        <row r="34">
          <cell r="J34">
            <v>41.970620318801615</v>
          </cell>
        </row>
      </sheetData>
      <sheetData sheetId="32"/>
      <sheetData sheetId="33"/>
      <sheetData sheetId="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TB 063017 ran 072417"/>
      <sheetName val="Expenses"/>
      <sheetName val="Exp Recap"/>
      <sheetName val="Med Surg"/>
      <sheetName val="Swing"/>
      <sheetName val="IP Profee"/>
      <sheetName val="OR"/>
      <sheetName val="Recovery"/>
      <sheetName val="Anesthesia"/>
      <sheetName val="Endoscopy"/>
      <sheetName val="Sterile Supply"/>
      <sheetName val="Pharmacy"/>
      <sheetName val="IV Therapy"/>
      <sheetName val="Lab"/>
      <sheetName val="Pathology"/>
      <sheetName val="Blood Bank"/>
      <sheetName val="Central Supply"/>
      <sheetName val="EKG"/>
      <sheetName val="Radiology"/>
      <sheetName val="Ultrasound"/>
      <sheetName val="CT Scan"/>
      <sheetName val="MRI"/>
      <sheetName val="Nuclear Medicine"/>
      <sheetName val="Mammography"/>
      <sheetName val="Respiratory"/>
      <sheetName val="Pulmonary"/>
      <sheetName val="Physical Therapy"/>
      <sheetName val="Speech Therapy"/>
      <sheetName val="Emergency Services"/>
      <sheetName val="ProFee"/>
      <sheetName val="MOB"/>
      <sheetName val="Laundry"/>
      <sheetName val="Housekeeping"/>
      <sheetName val="Maintenance"/>
      <sheetName val="Admitting"/>
      <sheetName val="Business Office"/>
      <sheetName val="Credit &amp; Collection"/>
      <sheetName val="Communications"/>
      <sheetName val="Nursing Admin"/>
      <sheetName val="Hospital Admin"/>
      <sheetName val="Accounting"/>
      <sheetName val="IT"/>
      <sheetName val="HIM"/>
      <sheetName val="Dietary"/>
      <sheetName val="Other Income"/>
      <sheetName val="Byrd Avenue"/>
      <sheetName val="Depreciation"/>
      <sheetName val="Charity Write-Offs"/>
      <sheetName val="Other Discounts"/>
      <sheetName val="Contractuals"/>
      <sheetName val="Sheet1"/>
    </sheetNames>
    <sheetDataSet>
      <sheetData sheetId="0"/>
      <sheetData sheetId="1"/>
      <sheetData sheetId="2"/>
      <sheetData sheetId="3">
        <row r="14">
          <cell r="J14">
            <v>762335.01261598815</v>
          </cell>
        </row>
        <row r="15">
          <cell r="J15">
            <v>84703.890290665353</v>
          </cell>
        </row>
        <row r="16">
          <cell r="J16">
            <v>2375</v>
          </cell>
        </row>
        <row r="17">
          <cell r="J17">
            <v>64980.163572358986</v>
          </cell>
        </row>
        <row r="18">
          <cell r="J18">
            <v>31550</v>
          </cell>
        </row>
        <row r="19">
          <cell r="J19">
            <v>500</v>
          </cell>
        </row>
        <row r="20">
          <cell r="J20">
            <v>280</v>
          </cell>
        </row>
        <row r="22">
          <cell r="J22">
            <v>228500</v>
          </cell>
        </row>
        <row r="23">
          <cell r="J23">
            <v>500</v>
          </cell>
        </row>
        <row r="24">
          <cell r="J24">
            <v>1500</v>
          </cell>
        </row>
        <row r="25">
          <cell r="J25">
            <v>350</v>
          </cell>
        </row>
        <row r="26">
          <cell r="J26">
            <v>7300</v>
          </cell>
        </row>
      </sheetData>
      <sheetData sheetId="4">
        <row r="15">
          <cell r="I15">
            <v>48000</v>
          </cell>
        </row>
        <row r="16">
          <cell r="I16">
            <v>165</v>
          </cell>
        </row>
      </sheetData>
      <sheetData sheetId="5">
        <row r="14">
          <cell r="I14">
            <v>28000</v>
          </cell>
        </row>
      </sheetData>
      <sheetData sheetId="6">
        <row r="15">
          <cell r="J15">
            <v>235350</v>
          </cell>
        </row>
        <row r="16">
          <cell r="J16">
            <v>26150</v>
          </cell>
        </row>
        <row r="17">
          <cell r="J17">
            <v>1050</v>
          </cell>
        </row>
        <row r="18">
          <cell r="J18">
            <v>20085.075000000001</v>
          </cell>
        </row>
        <row r="19">
          <cell r="J19">
            <v>6400</v>
          </cell>
        </row>
        <row r="20">
          <cell r="J20">
            <v>2200</v>
          </cell>
        </row>
        <row r="21">
          <cell r="J21">
            <v>600</v>
          </cell>
        </row>
        <row r="22">
          <cell r="J22">
            <v>650</v>
          </cell>
        </row>
        <row r="23">
          <cell r="J23">
            <v>50</v>
          </cell>
        </row>
        <row r="24">
          <cell r="J24">
            <v>100</v>
          </cell>
        </row>
        <row r="25">
          <cell r="J25">
            <v>5350</v>
          </cell>
        </row>
        <row r="26">
          <cell r="J26">
            <v>2350</v>
          </cell>
        </row>
        <row r="27">
          <cell r="J27">
            <v>7631</v>
          </cell>
        </row>
      </sheetData>
      <sheetData sheetId="7">
        <row r="15">
          <cell r="I15">
            <v>1600</v>
          </cell>
        </row>
        <row r="16">
          <cell r="I16">
            <v>350</v>
          </cell>
        </row>
      </sheetData>
      <sheetData sheetId="8">
        <row r="15">
          <cell r="I15">
            <v>700</v>
          </cell>
        </row>
        <row r="16">
          <cell r="I16">
            <v>166400</v>
          </cell>
        </row>
        <row r="17">
          <cell r="I17">
            <v>1900</v>
          </cell>
        </row>
        <row r="18">
          <cell r="I18">
            <v>445</v>
          </cell>
        </row>
      </sheetData>
      <sheetData sheetId="9">
        <row r="15">
          <cell r="I15">
            <v>8400</v>
          </cell>
        </row>
      </sheetData>
      <sheetData sheetId="10">
        <row r="15">
          <cell r="I15">
            <v>13200</v>
          </cell>
        </row>
      </sheetData>
      <sheetData sheetId="11">
        <row r="15">
          <cell r="J15">
            <v>130050.20439372328</v>
          </cell>
        </row>
        <row r="16">
          <cell r="J16">
            <v>14450.022710413699</v>
          </cell>
        </row>
        <row r="17">
          <cell r="J17">
            <v>600</v>
          </cell>
        </row>
        <row r="18">
          <cell r="J18">
            <v>11100.167373466478</v>
          </cell>
        </row>
        <row r="19">
          <cell r="J19">
            <v>80000</v>
          </cell>
        </row>
        <row r="20">
          <cell r="J20">
            <v>86500</v>
          </cell>
        </row>
        <row r="21">
          <cell r="J21">
            <v>163200</v>
          </cell>
        </row>
        <row r="22">
          <cell r="J22">
            <v>1475</v>
          </cell>
        </row>
        <row r="23">
          <cell r="J23">
            <v>32000</v>
          </cell>
        </row>
        <row r="24">
          <cell r="J24">
            <v>-3600</v>
          </cell>
        </row>
        <row r="25">
          <cell r="J25">
            <v>11120</v>
          </cell>
        </row>
        <row r="26">
          <cell r="J26">
            <v>300</v>
          </cell>
        </row>
        <row r="27">
          <cell r="J27">
            <v>26040</v>
          </cell>
        </row>
        <row r="28">
          <cell r="J28">
            <v>340</v>
          </cell>
        </row>
        <row r="29">
          <cell r="J29">
            <v>175</v>
          </cell>
        </row>
        <row r="30">
          <cell r="J30">
            <v>19800</v>
          </cell>
        </row>
        <row r="31">
          <cell r="J31">
            <v>8100</v>
          </cell>
        </row>
      </sheetData>
      <sheetData sheetId="12">
        <row r="15">
          <cell r="I15">
            <v>9500</v>
          </cell>
        </row>
      </sheetData>
      <sheetData sheetId="13">
        <row r="15">
          <cell r="J15">
            <v>418436.34083147068</v>
          </cell>
        </row>
        <row r="16">
          <cell r="J16">
            <v>46492.926759052294</v>
          </cell>
        </row>
        <row r="17">
          <cell r="J17">
            <v>1275</v>
          </cell>
        </row>
        <row r="18">
          <cell r="J18">
            <v>35664.626470675001</v>
          </cell>
        </row>
        <row r="19">
          <cell r="J19">
            <v>250000</v>
          </cell>
        </row>
        <row r="20">
          <cell r="J20">
            <v>46600</v>
          </cell>
        </row>
        <row r="21">
          <cell r="J21">
            <v>590</v>
          </cell>
        </row>
        <row r="22">
          <cell r="J22">
            <v>111111</v>
          </cell>
        </row>
        <row r="23">
          <cell r="J23">
            <v>8400</v>
          </cell>
        </row>
        <row r="24">
          <cell r="J24">
            <v>1090</v>
          </cell>
        </row>
        <row r="25">
          <cell r="J25">
            <v>11.45</v>
          </cell>
        </row>
        <row r="26">
          <cell r="J26">
            <v>5030</v>
          </cell>
        </row>
        <row r="27">
          <cell r="J27">
            <v>41950</v>
          </cell>
        </row>
        <row r="28">
          <cell r="J28">
            <v>1950</v>
          </cell>
        </row>
        <row r="29">
          <cell r="J29">
            <v>2985</v>
          </cell>
        </row>
        <row r="30">
          <cell r="J30">
            <v>26600</v>
          </cell>
        </row>
      </sheetData>
      <sheetData sheetId="14">
        <row r="15">
          <cell r="I15">
            <v>10485</v>
          </cell>
        </row>
        <row r="16">
          <cell r="I16">
            <v>21334</v>
          </cell>
        </row>
      </sheetData>
      <sheetData sheetId="15">
        <row r="15">
          <cell r="I15">
            <v>23368</v>
          </cell>
        </row>
      </sheetData>
      <sheetData sheetId="16">
        <row r="15">
          <cell r="J15">
            <v>45738.530999999995</v>
          </cell>
        </row>
        <row r="16">
          <cell r="J16">
            <v>5082.0590000000002</v>
          </cell>
        </row>
        <row r="17">
          <cell r="J17">
            <v>100</v>
          </cell>
        </row>
        <row r="18">
          <cell r="J18">
            <v>3895.4251349999995</v>
          </cell>
        </row>
        <row r="19">
          <cell r="J19">
            <v>161045</v>
          </cell>
        </row>
        <row r="20">
          <cell r="J20">
            <v>375</v>
          </cell>
        </row>
        <row r="21">
          <cell r="J21">
            <v>400</v>
          </cell>
        </row>
        <row r="22">
          <cell r="J22">
            <v>11350</v>
          </cell>
        </row>
        <row r="23">
          <cell r="J23">
            <v>283</v>
          </cell>
        </row>
        <row r="24">
          <cell r="J24">
            <v>27000</v>
          </cell>
        </row>
      </sheetData>
      <sheetData sheetId="17">
        <row r="15">
          <cell r="I15">
            <v>2280</v>
          </cell>
        </row>
        <row r="16">
          <cell r="I16">
            <v>177</v>
          </cell>
        </row>
      </sheetData>
      <sheetData sheetId="18">
        <row r="15">
          <cell r="J15">
            <v>322090.2</v>
          </cell>
        </row>
        <row r="16">
          <cell r="J16">
            <v>35787.800000000003</v>
          </cell>
        </row>
        <row r="17">
          <cell r="J17">
            <v>675</v>
          </cell>
        </row>
        <row r="18">
          <cell r="J18">
            <v>27429.304499999998</v>
          </cell>
        </row>
        <row r="19">
          <cell r="J19">
            <v>3171</v>
          </cell>
        </row>
        <row r="20">
          <cell r="J20">
            <v>2950</v>
          </cell>
        </row>
        <row r="21">
          <cell r="J21">
            <v>295</v>
          </cell>
        </row>
        <row r="22">
          <cell r="J22">
            <v>655</v>
          </cell>
        </row>
        <row r="23">
          <cell r="J23">
            <v>6000</v>
          </cell>
        </row>
        <row r="24">
          <cell r="J24">
            <v>28625</v>
          </cell>
        </row>
      </sheetData>
      <sheetData sheetId="19">
        <row r="15">
          <cell r="J15">
            <v>52318.8</v>
          </cell>
        </row>
        <row r="16">
          <cell r="J16">
            <v>5813.2000000000007</v>
          </cell>
        </row>
        <row r="17">
          <cell r="J17">
            <v>150</v>
          </cell>
        </row>
        <row r="18">
          <cell r="J18">
            <v>4458.5730000000003</v>
          </cell>
        </row>
        <row r="19">
          <cell r="J19">
            <v>176</v>
          </cell>
        </row>
        <row r="20">
          <cell r="J20">
            <v>8725</v>
          </cell>
        </row>
      </sheetData>
      <sheetData sheetId="20">
        <row r="15">
          <cell r="I15">
            <v>10850</v>
          </cell>
        </row>
        <row r="16">
          <cell r="I16">
            <v>200</v>
          </cell>
        </row>
        <row r="17">
          <cell r="I17">
            <v>150</v>
          </cell>
        </row>
        <row r="18">
          <cell r="I18">
            <v>650</v>
          </cell>
        </row>
        <row r="19">
          <cell r="I19">
            <v>57000</v>
          </cell>
        </row>
      </sheetData>
      <sheetData sheetId="21">
        <row r="15">
          <cell r="I15">
            <v>840</v>
          </cell>
        </row>
        <row r="16">
          <cell r="I16">
            <v>72000</v>
          </cell>
        </row>
        <row r="17">
          <cell r="I17">
            <v>10000</v>
          </cell>
        </row>
      </sheetData>
      <sheetData sheetId="22">
        <row r="15">
          <cell r="I15">
            <v>40</v>
          </cell>
        </row>
        <row r="16">
          <cell r="I16">
            <v>30300</v>
          </cell>
        </row>
      </sheetData>
      <sheetData sheetId="23">
        <row r="15">
          <cell r="J15">
            <v>33408</v>
          </cell>
        </row>
        <row r="16">
          <cell r="J16">
            <v>3712</v>
          </cell>
        </row>
        <row r="17">
          <cell r="J17">
            <v>500</v>
          </cell>
        </row>
        <row r="18">
          <cell r="J18">
            <v>2877.93</v>
          </cell>
        </row>
        <row r="19">
          <cell r="J19">
            <v>20</v>
          </cell>
        </row>
        <row r="20">
          <cell r="J20">
            <v>2740</v>
          </cell>
        </row>
        <row r="21">
          <cell r="J21">
            <v>650</v>
          </cell>
        </row>
        <row r="22">
          <cell r="J22">
            <v>36000</v>
          </cell>
        </row>
      </sheetData>
      <sheetData sheetId="24">
        <row r="15">
          <cell r="J15">
            <v>228600</v>
          </cell>
        </row>
        <row r="16">
          <cell r="J16">
            <v>25400</v>
          </cell>
        </row>
        <row r="17">
          <cell r="J17">
            <v>1075</v>
          </cell>
        </row>
        <row r="18">
          <cell r="J18">
            <v>19513.237499999999</v>
          </cell>
        </row>
        <row r="19">
          <cell r="J19">
            <v>9950</v>
          </cell>
        </row>
        <row r="20">
          <cell r="J20">
            <v>8800</v>
          </cell>
        </row>
        <row r="21">
          <cell r="J21">
            <v>565</v>
          </cell>
        </row>
        <row r="22">
          <cell r="J22">
            <v>150</v>
          </cell>
        </row>
        <row r="23">
          <cell r="J23">
            <v>482</v>
          </cell>
        </row>
        <row r="24">
          <cell r="J24">
            <v>100</v>
          </cell>
        </row>
        <row r="25">
          <cell r="J25">
            <v>66</v>
          </cell>
        </row>
        <row r="26">
          <cell r="J26">
            <v>650</v>
          </cell>
        </row>
        <row r="27">
          <cell r="J27">
            <v>25690</v>
          </cell>
        </row>
        <row r="28">
          <cell r="J28">
            <v>2590</v>
          </cell>
        </row>
        <row r="29">
          <cell r="J29">
            <v>725</v>
          </cell>
        </row>
      </sheetData>
      <sheetData sheetId="25">
        <row r="15">
          <cell r="I15">
            <v>120</v>
          </cell>
        </row>
      </sheetData>
      <sheetData sheetId="26">
        <row r="15">
          <cell r="J15">
            <v>40050</v>
          </cell>
        </row>
        <row r="16">
          <cell r="J16">
            <v>4450</v>
          </cell>
        </row>
        <row r="17">
          <cell r="J17">
            <v>200</v>
          </cell>
        </row>
        <row r="18">
          <cell r="J18">
            <v>3419.5499999999997</v>
          </cell>
        </row>
        <row r="19">
          <cell r="J19">
            <v>2300</v>
          </cell>
        </row>
        <row r="20">
          <cell r="J20">
            <v>255</v>
          </cell>
        </row>
        <row r="21">
          <cell r="J21">
            <v>231125</v>
          </cell>
        </row>
        <row r="22">
          <cell r="J22">
            <v>1000</v>
          </cell>
        </row>
        <row r="23">
          <cell r="J23">
            <v>175</v>
          </cell>
        </row>
        <row r="24">
          <cell r="J24">
            <v>1510</v>
          </cell>
        </row>
      </sheetData>
      <sheetData sheetId="27">
        <row r="15">
          <cell r="I15">
            <v>1750</v>
          </cell>
        </row>
      </sheetData>
      <sheetData sheetId="28">
        <row r="15">
          <cell r="J15">
            <v>520810.641</v>
          </cell>
        </row>
        <row r="16">
          <cell r="J16">
            <v>57867.849000000002</v>
          </cell>
        </row>
        <row r="17">
          <cell r="J17">
            <v>1050</v>
          </cell>
        </row>
        <row r="18">
          <cell r="J18">
            <v>44349.229484999996</v>
          </cell>
        </row>
        <row r="19">
          <cell r="J19">
            <v>6890</v>
          </cell>
        </row>
        <row r="20">
          <cell r="J20">
            <v>15800</v>
          </cell>
        </row>
        <row r="21">
          <cell r="J21">
            <v>255</v>
          </cell>
        </row>
        <row r="22">
          <cell r="J22">
            <v>275</v>
          </cell>
        </row>
        <row r="23">
          <cell r="J23">
            <v>39000</v>
          </cell>
        </row>
        <row r="24">
          <cell r="J24">
            <v>2645</v>
          </cell>
        </row>
        <row r="25">
          <cell r="J25">
            <v>560</v>
          </cell>
        </row>
        <row r="26">
          <cell r="J26">
            <v>2250</v>
          </cell>
        </row>
        <row r="27">
          <cell r="J27">
            <v>17</v>
          </cell>
        </row>
        <row r="28">
          <cell r="J28">
            <v>1400</v>
          </cell>
        </row>
        <row r="29">
          <cell r="J29">
            <v>275</v>
          </cell>
        </row>
        <row r="30">
          <cell r="J30">
            <v>415</v>
          </cell>
        </row>
        <row r="31">
          <cell r="J31">
            <v>2390</v>
          </cell>
        </row>
      </sheetData>
      <sheetData sheetId="29">
        <row r="16">
          <cell r="J16">
            <v>323700</v>
          </cell>
        </row>
        <row r="17">
          <cell r="J17">
            <v>275823.15299999999</v>
          </cell>
        </row>
        <row r="18">
          <cell r="J18">
            <v>30647.017</v>
          </cell>
        </row>
        <row r="19">
          <cell r="J19">
            <v>250</v>
          </cell>
        </row>
        <row r="20">
          <cell r="J20">
            <v>23464.093004999999</v>
          </cell>
        </row>
        <row r="21">
          <cell r="J21">
            <v>49430</v>
          </cell>
        </row>
        <row r="22">
          <cell r="J22">
            <v>66020</v>
          </cell>
        </row>
        <row r="23">
          <cell r="J23">
            <v>750</v>
          </cell>
        </row>
      </sheetData>
      <sheetData sheetId="30">
        <row r="15">
          <cell r="J15">
            <v>15368.949000000001</v>
          </cell>
        </row>
        <row r="16">
          <cell r="J16">
            <v>1707.6610000000001</v>
          </cell>
        </row>
        <row r="17">
          <cell r="J17">
            <v>100</v>
          </cell>
        </row>
        <row r="18">
          <cell r="J18">
            <v>1314.010665</v>
          </cell>
        </row>
        <row r="19">
          <cell r="J19">
            <v>1500</v>
          </cell>
        </row>
        <row r="20">
          <cell r="J20">
            <v>300</v>
          </cell>
        </row>
        <row r="21">
          <cell r="J21">
            <v>1150</v>
          </cell>
        </row>
        <row r="22">
          <cell r="J22">
            <v>7300</v>
          </cell>
        </row>
        <row r="23">
          <cell r="J23">
            <v>725</v>
          </cell>
        </row>
        <row r="24">
          <cell r="J24">
            <v>900</v>
          </cell>
        </row>
        <row r="25">
          <cell r="J25">
            <v>800</v>
          </cell>
        </row>
      </sheetData>
      <sheetData sheetId="31">
        <row r="15">
          <cell r="I15">
            <v>80700</v>
          </cell>
        </row>
      </sheetData>
      <sheetData sheetId="32">
        <row r="15">
          <cell r="J15">
            <v>100800</v>
          </cell>
        </row>
        <row r="16">
          <cell r="J16">
            <v>11200</v>
          </cell>
        </row>
        <row r="17">
          <cell r="J17">
            <v>600</v>
          </cell>
        </row>
        <row r="18">
          <cell r="J18">
            <v>8613.9</v>
          </cell>
        </row>
        <row r="19">
          <cell r="J19">
            <v>10000</v>
          </cell>
        </row>
        <row r="20">
          <cell r="J20">
            <v>670</v>
          </cell>
        </row>
      </sheetData>
      <sheetData sheetId="33">
        <row r="15">
          <cell r="J15">
            <v>95969.619000000006</v>
          </cell>
        </row>
        <row r="16">
          <cell r="J16">
            <v>10663.291000000001</v>
          </cell>
        </row>
        <row r="17">
          <cell r="J17">
            <v>600</v>
          </cell>
        </row>
        <row r="18">
          <cell r="J18">
            <v>8203.3176149999999</v>
          </cell>
        </row>
        <row r="19">
          <cell r="J19">
            <v>12650</v>
          </cell>
        </row>
        <row r="20">
          <cell r="J20">
            <v>12700</v>
          </cell>
        </row>
        <row r="21">
          <cell r="J21">
            <v>278500</v>
          </cell>
        </row>
        <row r="22">
          <cell r="J22">
            <v>2900</v>
          </cell>
        </row>
        <row r="23">
          <cell r="J23">
            <v>12350</v>
          </cell>
        </row>
        <row r="24">
          <cell r="J24">
            <v>12950</v>
          </cell>
        </row>
        <row r="25">
          <cell r="J25">
            <v>180</v>
          </cell>
        </row>
        <row r="26">
          <cell r="J26">
            <v>350</v>
          </cell>
        </row>
        <row r="27">
          <cell r="J27">
            <v>1950</v>
          </cell>
        </row>
        <row r="28">
          <cell r="J28">
            <v>100</v>
          </cell>
        </row>
        <row r="29">
          <cell r="J29">
            <v>36500</v>
          </cell>
        </row>
        <row r="30">
          <cell r="J30">
            <v>23100</v>
          </cell>
        </row>
      </sheetData>
      <sheetData sheetId="34">
        <row r="15">
          <cell r="J15">
            <v>87896.088000000003</v>
          </cell>
        </row>
        <row r="16">
          <cell r="J16">
            <v>9766.2320000000018</v>
          </cell>
        </row>
        <row r="17">
          <cell r="J17">
            <v>500</v>
          </cell>
        </row>
        <row r="18">
          <cell r="J18">
            <v>7509.4174800000001</v>
          </cell>
        </row>
        <row r="19">
          <cell r="J19">
            <v>5600</v>
          </cell>
        </row>
        <row r="20">
          <cell r="J20">
            <v>485</v>
          </cell>
        </row>
        <row r="21">
          <cell r="J21">
            <v>1625</v>
          </cell>
        </row>
      </sheetData>
      <sheetData sheetId="35">
        <row r="15">
          <cell r="J15">
            <v>181412.75700000001</v>
          </cell>
        </row>
        <row r="16">
          <cell r="J16">
            <v>20156.973000000002</v>
          </cell>
        </row>
        <row r="17">
          <cell r="J17">
            <v>1100</v>
          </cell>
        </row>
        <row r="18">
          <cell r="J18">
            <v>15504.234345000001</v>
          </cell>
        </row>
        <row r="19">
          <cell r="J19">
            <v>4000</v>
          </cell>
        </row>
        <row r="20">
          <cell r="J20">
            <v>400</v>
          </cell>
        </row>
        <row r="23">
          <cell r="J23">
            <v>70000</v>
          </cell>
        </row>
        <row r="24">
          <cell r="J24">
            <v>750</v>
          </cell>
        </row>
        <row r="25">
          <cell r="J25">
            <v>500</v>
          </cell>
        </row>
        <row r="26">
          <cell r="J26">
            <v>342</v>
          </cell>
        </row>
        <row r="27">
          <cell r="J27">
            <v>220</v>
          </cell>
        </row>
        <row r="28">
          <cell r="J28">
            <v>1000</v>
          </cell>
        </row>
        <row r="29">
          <cell r="J29">
            <v>35</v>
          </cell>
        </row>
        <row r="30">
          <cell r="J30">
            <v>7800</v>
          </cell>
        </row>
      </sheetData>
      <sheetData sheetId="36">
        <row r="15">
          <cell r="I15">
            <v>1152960.7989712004</v>
          </cell>
        </row>
        <row r="16">
          <cell r="I16">
            <v>-75433.788772786851</v>
          </cell>
        </row>
        <row r="17">
          <cell r="I17">
            <v>60994.490432570179</v>
          </cell>
        </row>
      </sheetData>
      <sheetData sheetId="37">
        <row r="15">
          <cell r="J15">
            <v>64172.807999999997</v>
          </cell>
        </row>
        <row r="16">
          <cell r="J16">
            <v>7130.3119999999999</v>
          </cell>
        </row>
        <row r="17">
          <cell r="J17">
            <v>300</v>
          </cell>
        </row>
        <row r="18">
          <cell r="J18">
            <v>5477.6386799999991</v>
          </cell>
        </row>
        <row r="19">
          <cell r="J19">
            <v>8185</v>
          </cell>
        </row>
        <row r="20">
          <cell r="J20">
            <v>12000</v>
          </cell>
        </row>
        <row r="21">
          <cell r="J21">
            <v>4275</v>
          </cell>
        </row>
      </sheetData>
      <sheetData sheetId="38">
        <row r="15">
          <cell r="J15">
            <v>234000</v>
          </cell>
        </row>
        <row r="16">
          <cell r="J16">
            <v>26000</v>
          </cell>
        </row>
        <row r="17">
          <cell r="J17">
            <v>1500</v>
          </cell>
        </row>
        <row r="18">
          <cell r="J18">
            <v>20004.75</v>
          </cell>
        </row>
        <row r="19">
          <cell r="J19">
            <v>350</v>
          </cell>
        </row>
        <row r="20">
          <cell r="J20">
            <v>2100</v>
          </cell>
        </row>
        <row r="21">
          <cell r="J21">
            <v>350</v>
          </cell>
        </row>
        <row r="22">
          <cell r="J22">
            <v>4700</v>
          </cell>
        </row>
        <row r="23">
          <cell r="J23">
            <v>1000</v>
          </cell>
        </row>
        <row r="24">
          <cell r="J24">
            <v>12</v>
          </cell>
        </row>
        <row r="25">
          <cell r="J25">
            <v>1000</v>
          </cell>
        </row>
      </sheetData>
      <sheetData sheetId="39">
        <row r="15">
          <cell r="J15">
            <v>211500</v>
          </cell>
        </row>
        <row r="16">
          <cell r="J16">
            <v>23500</v>
          </cell>
        </row>
        <row r="17">
          <cell r="J17">
            <v>1100</v>
          </cell>
        </row>
        <row r="18">
          <cell r="J18">
            <v>18061.650000000001</v>
          </cell>
        </row>
        <row r="19">
          <cell r="J19">
            <v>800</v>
          </cell>
        </row>
        <row r="20">
          <cell r="J20">
            <v>110100</v>
          </cell>
        </row>
        <row r="21">
          <cell r="J21">
            <v>7015</v>
          </cell>
        </row>
        <row r="22">
          <cell r="J22">
            <v>492000</v>
          </cell>
        </row>
        <row r="23">
          <cell r="J23">
            <v>10700</v>
          </cell>
        </row>
        <row r="24">
          <cell r="J24">
            <v>10055</v>
          </cell>
        </row>
        <row r="25">
          <cell r="J25">
            <v>10400</v>
          </cell>
        </row>
        <row r="26">
          <cell r="J26">
            <v>3475</v>
          </cell>
        </row>
        <row r="27">
          <cell r="J27">
            <v>440</v>
          </cell>
        </row>
        <row r="29">
          <cell r="J29">
            <v>55800</v>
          </cell>
        </row>
        <row r="30">
          <cell r="J30">
            <v>3900</v>
          </cell>
        </row>
        <row r="31">
          <cell r="J31">
            <v>80400</v>
          </cell>
        </row>
        <row r="32">
          <cell r="J32">
            <v>28400</v>
          </cell>
        </row>
        <row r="33">
          <cell r="J33">
            <v>1000</v>
          </cell>
        </row>
        <row r="34">
          <cell r="J34">
            <v>8750</v>
          </cell>
        </row>
        <row r="35">
          <cell r="J35">
            <v>1370</v>
          </cell>
        </row>
        <row r="36">
          <cell r="J36">
            <v>3600</v>
          </cell>
        </row>
        <row r="37">
          <cell r="J37">
            <v>5000</v>
          </cell>
        </row>
        <row r="38">
          <cell r="J38">
            <v>5000</v>
          </cell>
        </row>
        <row r="40">
          <cell r="J40">
            <v>875</v>
          </cell>
        </row>
        <row r="41">
          <cell r="J41">
            <v>5850</v>
          </cell>
        </row>
        <row r="42">
          <cell r="J42">
            <v>7990</v>
          </cell>
        </row>
        <row r="43">
          <cell r="J43">
            <v>982</v>
          </cell>
        </row>
        <row r="44">
          <cell r="J44">
            <v>1000</v>
          </cell>
        </row>
        <row r="45">
          <cell r="J45">
            <v>863628</v>
          </cell>
        </row>
        <row r="46">
          <cell r="J46">
            <v>3000</v>
          </cell>
        </row>
        <row r="47">
          <cell r="J47">
            <v>18000</v>
          </cell>
        </row>
        <row r="48">
          <cell r="J48">
            <v>10100</v>
          </cell>
        </row>
        <row r="49">
          <cell r="J49">
            <v>495</v>
          </cell>
        </row>
        <row r="50">
          <cell r="J50">
            <v>220</v>
          </cell>
        </row>
        <row r="51">
          <cell r="J51">
            <v>1500</v>
          </cell>
        </row>
        <row r="52">
          <cell r="J52">
            <v>435</v>
          </cell>
        </row>
        <row r="53">
          <cell r="J53">
            <v>1750</v>
          </cell>
        </row>
        <row r="54">
          <cell r="J54">
            <v>4475</v>
          </cell>
        </row>
        <row r="55">
          <cell r="J55">
            <v>87432</v>
          </cell>
        </row>
        <row r="56">
          <cell r="J56">
            <v>43000</v>
          </cell>
        </row>
        <row r="57">
          <cell r="J57">
            <v>8675</v>
          </cell>
        </row>
        <row r="58">
          <cell r="J58">
            <v>135000</v>
          </cell>
        </row>
        <row r="59">
          <cell r="J59">
            <v>10650</v>
          </cell>
        </row>
      </sheetData>
      <sheetData sheetId="40">
        <row r="15">
          <cell r="J15">
            <v>161991</v>
          </cell>
        </row>
        <row r="16">
          <cell r="J16">
            <v>17999</v>
          </cell>
        </row>
        <row r="17">
          <cell r="J17">
            <v>700</v>
          </cell>
        </row>
        <row r="18">
          <cell r="J18">
            <v>13822.785</v>
          </cell>
        </row>
        <row r="19">
          <cell r="J19">
            <v>2200</v>
          </cell>
        </row>
        <row r="20">
          <cell r="J20">
            <v>660</v>
          </cell>
        </row>
        <row r="21">
          <cell r="J21">
            <v>9500</v>
          </cell>
        </row>
        <row r="22">
          <cell r="J22">
            <v>500</v>
          </cell>
        </row>
        <row r="23">
          <cell r="J23">
            <v>12</v>
          </cell>
        </row>
        <row r="24">
          <cell r="J24">
            <v>110</v>
          </cell>
        </row>
        <row r="25">
          <cell r="J25">
            <v>5950</v>
          </cell>
        </row>
        <row r="26">
          <cell r="J26">
            <v>280</v>
          </cell>
        </row>
        <row r="27">
          <cell r="J27">
            <v>640</v>
          </cell>
        </row>
      </sheetData>
      <sheetData sheetId="41">
        <row r="15">
          <cell r="J15">
            <v>104863.932</v>
          </cell>
        </row>
        <row r="16">
          <cell r="J16">
            <v>11651.548000000001</v>
          </cell>
        </row>
        <row r="17">
          <cell r="J17">
            <v>600</v>
          </cell>
        </row>
        <row r="18">
          <cell r="J18">
            <v>8959.3342199999988</v>
          </cell>
        </row>
        <row r="19">
          <cell r="J19">
            <v>1000</v>
          </cell>
        </row>
        <row r="20">
          <cell r="J20">
            <v>1250</v>
          </cell>
        </row>
        <row r="21">
          <cell r="J21">
            <v>184500</v>
          </cell>
        </row>
        <row r="22">
          <cell r="J22">
            <v>950</v>
          </cell>
        </row>
        <row r="23">
          <cell r="J23">
            <v>13000</v>
          </cell>
        </row>
        <row r="24">
          <cell r="J24">
            <v>500</v>
          </cell>
        </row>
        <row r="25">
          <cell r="J25">
            <v>925</v>
          </cell>
        </row>
        <row r="26">
          <cell r="J26">
            <v>485</v>
          </cell>
        </row>
        <row r="27">
          <cell r="J27">
            <v>1650</v>
          </cell>
        </row>
      </sheetData>
      <sheetData sheetId="42">
        <row r="15">
          <cell r="J15">
            <v>143995.74211956526</v>
          </cell>
        </row>
        <row r="16">
          <cell r="J16">
            <v>15999.526902173917</v>
          </cell>
        </row>
        <row r="17">
          <cell r="J17">
            <v>950</v>
          </cell>
        </row>
        <row r="18">
          <cell r="J18">
            <v>12312.313080163045</v>
          </cell>
        </row>
        <row r="19">
          <cell r="J19">
            <v>4375</v>
          </cell>
        </row>
        <row r="20">
          <cell r="J20">
            <v>100</v>
          </cell>
        </row>
        <row r="21">
          <cell r="J21">
            <v>900</v>
          </cell>
        </row>
        <row r="22">
          <cell r="J22">
            <v>13110</v>
          </cell>
        </row>
        <row r="23">
          <cell r="J23">
            <v>200</v>
          </cell>
        </row>
        <row r="24">
          <cell r="J24">
            <v>500</v>
          </cell>
        </row>
        <row r="25">
          <cell r="J25">
            <v>515</v>
          </cell>
        </row>
        <row r="26">
          <cell r="J26">
            <v>110</v>
          </cell>
        </row>
        <row r="27">
          <cell r="J27">
            <v>550</v>
          </cell>
        </row>
        <row r="28">
          <cell r="J28">
            <v>21180</v>
          </cell>
        </row>
        <row r="29">
          <cell r="J29">
            <v>975</v>
          </cell>
        </row>
      </sheetData>
      <sheetData sheetId="43">
        <row r="15">
          <cell r="J15">
            <v>157515.76799999998</v>
          </cell>
        </row>
        <row r="16">
          <cell r="J16">
            <v>17501.752</v>
          </cell>
        </row>
        <row r="17">
          <cell r="J17">
            <v>1300</v>
          </cell>
        </row>
        <row r="18">
          <cell r="J18">
            <v>13488.290279999999</v>
          </cell>
        </row>
        <row r="19">
          <cell r="J19">
            <v>98000</v>
          </cell>
        </row>
        <row r="20">
          <cell r="J20">
            <v>18650</v>
          </cell>
        </row>
        <row r="21">
          <cell r="J21">
            <v>-645</v>
          </cell>
        </row>
        <row r="22">
          <cell r="J22">
            <v>4760</v>
          </cell>
        </row>
        <row r="23">
          <cell r="J23">
            <v>279</v>
          </cell>
        </row>
        <row r="24">
          <cell r="J24">
            <v>4145</v>
          </cell>
        </row>
      </sheetData>
      <sheetData sheetId="44">
        <row r="16">
          <cell r="J16">
            <v>15000</v>
          </cell>
        </row>
        <row r="17">
          <cell r="J17">
            <v>41250</v>
          </cell>
        </row>
        <row r="18">
          <cell r="J18">
            <v>2388</v>
          </cell>
        </row>
        <row r="19">
          <cell r="J19">
            <v>100</v>
          </cell>
        </row>
        <row r="20">
          <cell r="J20">
            <v>441625.0033333333</v>
          </cell>
        </row>
        <row r="21">
          <cell r="J21">
            <v>75</v>
          </cell>
        </row>
        <row r="22">
          <cell r="J22">
            <v>12000</v>
          </cell>
        </row>
        <row r="23">
          <cell r="J23">
            <v>20000</v>
          </cell>
        </row>
        <row r="24">
          <cell r="J24">
            <v>250</v>
          </cell>
        </row>
        <row r="25">
          <cell r="J25">
            <v>1300</v>
          </cell>
        </row>
        <row r="26">
          <cell r="J26">
            <v>1150</v>
          </cell>
        </row>
        <row r="27">
          <cell r="J27">
            <v>10800</v>
          </cell>
        </row>
        <row r="28">
          <cell r="J28">
            <v>100</v>
          </cell>
        </row>
      </sheetData>
      <sheetData sheetId="45">
        <row r="14">
          <cell r="I14">
            <v>3300</v>
          </cell>
        </row>
        <row r="15">
          <cell r="I15">
            <v>9500</v>
          </cell>
        </row>
        <row r="16">
          <cell r="I16">
            <v>1500</v>
          </cell>
        </row>
        <row r="17">
          <cell r="I17">
            <v>2925</v>
          </cell>
        </row>
      </sheetData>
      <sheetData sheetId="46">
        <row r="15">
          <cell r="I15">
            <v>70363.91</v>
          </cell>
        </row>
        <row r="16">
          <cell r="I16">
            <v>253304.67</v>
          </cell>
        </row>
        <row r="17">
          <cell r="I17">
            <v>19161.560000000001</v>
          </cell>
        </row>
        <row r="18">
          <cell r="I18">
            <v>11374.4</v>
          </cell>
        </row>
        <row r="19">
          <cell r="I19">
            <v>124712.04</v>
          </cell>
        </row>
        <row r="20">
          <cell r="I20">
            <v>18160.59</v>
          </cell>
        </row>
        <row r="21">
          <cell r="I21">
            <v>253404.36</v>
          </cell>
        </row>
        <row r="22">
          <cell r="I22">
            <v>55948.79</v>
          </cell>
        </row>
        <row r="23">
          <cell r="I23">
            <v>9240.44</v>
          </cell>
        </row>
        <row r="24">
          <cell r="I24">
            <v>2440.15</v>
          </cell>
        </row>
        <row r="25">
          <cell r="I25">
            <v>1152.3900000000001</v>
          </cell>
        </row>
        <row r="26">
          <cell r="I26">
            <v>89126.27</v>
          </cell>
        </row>
        <row r="27">
          <cell r="I27">
            <v>2595.7399999999998</v>
          </cell>
        </row>
        <row r="28">
          <cell r="I28">
            <v>-22962.51</v>
          </cell>
        </row>
      </sheetData>
      <sheetData sheetId="47">
        <row r="12">
          <cell r="I12">
            <v>242297.83019845453</v>
          </cell>
        </row>
        <row r="13">
          <cell r="I13">
            <v>841843.26858623873</v>
          </cell>
        </row>
        <row r="15">
          <cell r="I15">
            <v>37522.091065306893</v>
          </cell>
        </row>
      </sheetData>
      <sheetData sheetId="48">
        <row r="12">
          <cell r="I12">
            <v>75000</v>
          </cell>
        </row>
        <row r="13">
          <cell r="I13">
            <v>45000</v>
          </cell>
        </row>
        <row r="14">
          <cell r="I14">
            <v>55000</v>
          </cell>
        </row>
        <row r="15">
          <cell r="I15">
            <v>1800</v>
          </cell>
        </row>
        <row r="16">
          <cell r="I16">
            <v>66500</v>
          </cell>
        </row>
        <row r="17">
          <cell r="I17">
            <v>12000</v>
          </cell>
        </row>
        <row r="18">
          <cell r="I18">
            <v>360000</v>
          </cell>
        </row>
        <row r="19">
          <cell r="I19">
            <v>10000</v>
          </cell>
        </row>
        <row r="20">
          <cell r="I20">
            <v>165000</v>
          </cell>
        </row>
      </sheetData>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GLTB"/>
      <sheetName val="2015 FTEs"/>
      <sheetName val="Expenses "/>
      <sheetName val="MedSurg"/>
      <sheetName val="Swing"/>
      <sheetName val="IP Profee"/>
      <sheetName val="OR"/>
      <sheetName val="Recovery"/>
      <sheetName val="Anesthesia"/>
      <sheetName val="Endoscopy"/>
      <sheetName val="Sterile Supply"/>
      <sheetName val="Pharmacy"/>
      <sheetName val="IV Therapy"/>
      <sheetName val="Lab - Clinical"/>
      <sheetName val="Blood Bank"/>
      <sheetName val="Central Supply"/>
      <sheetName val="EKG"/>
      <sheetName val="Radiology"/>
      <sheetName val="Ultrasound"/>
      <sheetName val="CT"/>
      <sheetName val="MRI"/>
      <sheetName val="Nuclear Med"/>
      <sheetName val="Mammography"/>
      <sheetName val="Respiratory Therapy"/>
      <sheetName val="Pulmonary"/>
      <sheetName val="Physical Therapy"/>
      <sheetName val="Occupational Therapy"/>
      <sheetName val="Speech Therapy"/>
      <sheetName val="Wound Care"/>
      <sheetName val="Emergency Services"/>
      <sheetName val="Profee"/>
      <sheetName val="MOB"/>
      <sheetName val="Laundry"/>
      <sheetName val="Housekeeping"/>
      <sheetName val="Maintenance"/>
      <sheetName val="Admitting"/>
      <sheetName val="Business Office"/>
      <sheetName val="Credit &amp; Collection"/>
      <sheetName val="Communications"/>
      <sheetName val="Nursing Admin"/>
      <sheetName val="Hospital Admin"/>
      <sheetName val="Accounting"/>
      <sheetName val="IT"/>
      <sheetName val="HIM"/>
      <sheetName val="Dietary"/>
      <sheetName val="Pathology"/>
      <sheetName val="Security"/>
      <sheetName val="Marketing"/>
      <sheetName val="Recap of Expenses"/>
      <sheetName val="Other Income"/>
      <sheetName val="Byrd Avenue"/>
      <sheetName val="Depreciation"/>
      <sheetName val="Charity Write-Offs"/>
      <sheetName val="Contractuals"/>
      <sheetName val="Other Discounts"/>
    </sheetNames>
    <sheetDataSet>
      <sheetData sheetId="0" refreshError="1"/>
      <sheetData sheetId="1" refreshError="1"/>
      <sheetData sheetId="2" refreshError="1"/>
      <sheetData sheetId="3">
        <row r="15">
          <cell r="J15">
            <v>654587.20618199999</v>
          </cell>
        </row>
      </sheetData>
      <sheetData sheetId="4">
        <row r="15">
          <cell r="I15">
            <v>0</v>
          </cell>
        </row>
      </sheetData>
      <sheetData sheetId="5">
        <row r="15">
          <cell r="I15">
            <v>25680</v>
          </cell>
        </row>
      </sheetData>
      <sheetData sheetId="6">
        <row r="15">
          <cell r="J15">
            <v>229390.86989260002</v>
          </cell>
        </row>
      </sheetData>
      <sheetData sheetId="7">
        <row r="15">
          <cell r="I15">
            <v>2050</v>
          </cell>
        </row>
      </sheetData>
      <sheetData sheetId="8">
        <row r="15">
          <cell r="I15">
            <v>950</v>
          </cell>
        </row>
      </sheetData>
      <sheetData sheetId="9">
        <row r="15">
          <cell r="I15">
            <v>5250</v>
          </cell>
        </row>
      </sheetData>
      <sheetData sheetId="10">
        <row r="15">
          <cell r="I15">
            <v>8000</v>
          </cell>
        </row>
      </sheetData>
      <sheetData sheetId="11">
        <row r="15">
          <cell r="J15">
            <v>129948.72945000001</v>
          </cell>
        </row>
      </sheetData>
      <sheetData sheetId="12">
        <row r="15">
          <cell r="I15">
            <v>12250</v>
          </cell>
        </row>
      </sheetData>
      <sheetData sheetId="13">
        <row r="15">
          <cell r="J15">
            <v>384235.38180000003</v>
          </cell>
        </row>
      </sheetData>
      <sheetData sheetId="14">
        <row r="15">
          <cell r="I15">
            <v>25000</v>
          </cell>
        </row>
      </sheetData>
      <sheetData sheetId="15">
        <row r="15">
          <cell r="J15">
            <v>50102.789550000001</v>
          </cell>
        </row>
      </sheetData>
      <sheetData sheetId="16">
        <row r="15">
          <cell r="I15">
            <v>200</v>
          </cell>
        </row>
      </sheetData>
      <sheetData sheetId="17">
        <row r="15">
          <cell r="J15">
            <v>298368.97859999997</v>
          </cell>
        </row>
      </sheetData>
      <sheetData sheetId="18">
        <row r="15">
          <cell r="J15">
            <v>47401.063499999997</v>
          </cell>
        </row>
      </sheetData>
      <sheetData sheetId="19">
        <row r="15">
          <cell r="I15">
            <v>57195</v>
          </cell>
        </row>
      </sheetData>
      <sheetData sheetId="20">
        <row r="15">
          <cell r="I15">
            <v>47800</v>
          </cell>
        </row>
      </sheetData>
      <sheetData sheetId="21">
        <row r="16">
          <cell r="I16">
            <v>33000</v>
          </cell>
        </row>
      </sheetData>
      <sheetData sheetId="22">
        <row r="15">
          <cell r="J15">
            <v>28494.589500000002</v>
          </cell>
        </row>
      </sheetData>
      <sheetData sheetId="23">
        <row r="15">
          <cell r="J15">
            <v>245512.24200000003</v>
          </cell>
        </row>
      </sheetData>
      <sheetData sheetId="24">
        <row r="15">
          <cell r="I15">
            <v>300</v>
          </cell>
        </row>
      </sheetData>
      <sheetData sheetId="25">
        <row r="15">
          <cell r="J15">
            <v>37587.733350000002</v>
          </cell>
        </row>
      </sheetData>
      <sheetData sheetId="26">
        <row r="15">
          <cell r="I15">
            <v>10950</v>
          </cell>
        </row>
      </sheetData>
      <sheetData sheetId="27">
        <row r="15">
          <cell r="I15">
            <v>1665</v>
          </cell>
        </row>
      </sheetData>
      <sheetData sheetId="28">
        <row r="15">
          <cell r="I15">
            <v>264000</v>
          </cell>
        </row>
      </sheetData>
      <sheetData sheetId="29">
        <row r="15">
          <cell r="J15">
            <v>570536.23329299991</v>
          </cell>
        </row>
      </sheetData>
      <sheetData sheetId="30">
        <row r="15">
          <cell r="J15">
            <v>402390</v>
          </cell>
        </row>
      </sheetData>
      <sheetData sheetId="31">
        <row r="15">
          <cell r="J15">
            <v>19442.3727</v>
          </cell>
        </row>
      </sheetData>
      <sheetData sheetId="32">
        <row r="15">
          <cell r="I15">
            <v>100000</v>
          </cell>
        </row>
      </sheetData>
      <sheetData sheetId="33">
        <row r="15">
          <cell r="J15">
            <v>96601.526700000002</v>
          </cell>
        </row>
      </sheetData>
      <sheetData sheetId="34">
        <row r="15">
          <cell r="J15">
            <v>91870.953000000009</v>
          </cell>
        </row>
      </sheetData>
      <sheetData sheetId="35">
        <row r="15">
          <cell r="J15">
            <v>86139.651899999997</v>
          </cell>
        </row>
      </sheetData>
      <sheetData sheetId="36">
        <row r="15">
          <cell r="J15">
            <v>166519.97639999999</v>
          </cell>
        </row>
      </sheetData>
      <sheetData sheetId="37">
        <row r="15">
          <cell r="I15">
            <v>1400973.9951633196</v>
          </cell>
        </row>
      </sheetData>
      <sheetData sheetId="38">
        <row r="15">
          <cell r="J15">
            <v>54428.758649999996</v>
          </cell>
        </row>
      </sheetData>
      <sheetData sheetId="39">
        <row r="15">
          <cell r="J15">
            <v>209783.2518</v>
          </cell>
        </row>
      </sheetData>
      <sheetData sheetId="40">
        <row r="15">
          <cell r="J15">
            <v>207045.8659</v>
          </cell>
        </row>
      </sheetData>
      <sheetData sheetId="41">
        <row r="15">
          <cell r="J15">
            <v>149065.10715</v>
          </cell>
        </row>
      </sheetData>
      <sheetData sheetId="42">
        <row r="15">
          <cell r="J15">
            <v>109936.90065000003</v>
          </cell>
        </row>
      </sheetData>
      <sheetData sheetId="43">
        <row r="15">
          <cell r="J15">
            <v>143925.23204999999</v>
          </cell>
        </row>
      </sheetData>
      <sheetData sheetId="44">
        <row r="15">
          <cell r="J15">
            <v>130587.27794999999</v>
          </cell>
        </row>
      </sheetData>
      <sheetData sheetId="45">
        <row r="15">
          <cell r="I15">
            <v>6250</v>
          </cell>
        </row>
      </sheetData>
      <sheetData sheetId="46" refreshError="1"/>
      <sheetData sheetId="47" refreshError="1"/>
      <sheetData sheetId="48" refreshError="1"/>
      <sheetData sheetId="49">
        <row r="17">
          <cell r="J17">
            <v>20000</v>
          </cell>
        </row>
      </sheetData>
      <sheetData sheetId="50">
        <row r="14">
          <cell r="I14">
            <v>4500</v>
          </cell>
        </row>
      </sheetData>
      <sheetData sheetId="51">
        <row r="15">
          <cell r="I15">
            <v>106374.92</v>
          </cell>
        </row>
      </sheetData>
      <sheetData sheetId="52">
        <row r="12">
          <cell r="I12">
            <v>73625</v>
          </cell>
        </row>
      </sheetData>
      <sheetData sheetId="53" refreshError="1"/>
      <sheetData sheetId="54">
        <row r="12">
          <cell r="I12">
            <v>24200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Revenue"/>
      <sheetName val="Stats"/>
      <sheetName val="Med Surg"/>
      <sheetName val="Swing"/>
      <sheetName val="IP Profee"/>
      <sheetName val="OBS"/>
      <sheetName val="OR"/>
      <sheetName val="Recovery"/>
      <sheetName val="Anesthesia"/>
      <sheetName val="Surgiday"/>
      <sheetName val="Endoscopy"/>
      <sheetName val="Pharmacy"/>
      <sheetName val="IV Therapy"/>
      <sheetName val="Lab"/>
      <sheetName val="Pathology"/>
      <sheetName val="Blood Bank"/>
      <sheetName val="Central Supply"/>
      <sheetName val="EKG"/>
      <sheetName val="Radiology"/>
      <sheetName val="Ultrasound"/>
      <sheetName val="CT Scanner"/>
      <sheetName val="Nuclear Medicine"/>
      <sheetName val="Mammograhy"/>
      <sheetName val="Respiratory Therapy"/>
      <sheetName val="Pulmonary"/>
      <sheetName val="Physical Therapy"/>
      <sheetName val="Occupational Therapy"/>
      <sheetName val="Speech Therapy"/>
      <sheetName val="Wound Care"/>
      <sheetName val="Emergency Services"/>
      <sheetName val="Profee"/>
      <sheetName val="RECAP"/>
      <sheetName val="RECAP BUDGET REVENUE 2016"/>
      <sheetName val="TOTALS"/>
    </sheetNames>
    <sheetDataSet>
      <sheetData sheetId="0"/>
      <sheetData sheetId="1"/>
      <sheetData sheetId="2"/>
      <sheetData sheetId="3">
        <row r="10">
          <cell r="J10">
            <v>1619</v>
          </cell>
        </row>
      </sheetData>
      <sheetData sheetId="4">
        <row r="8">
          <cell r="M8">
            <v>1967</v>
          </cell>
        </row>
      </sheetData>
      <sheetData sheetId="5">
        <row r="10">
          <cell r="K10">
            <v>43.18181818181818</v>
          </cell>
        </row>
      </sheetData>
      <sheetData sheetId="6">
        <row r="14">
          <cell r="K14">
            <v>54.4</v>
          </cell>
        </row>
        <row r="17">
          <cell r="K17">
            <v>0</v>
          </cell>
        </row>
        <row r="24">
          <cell r="K24">
            <v>322.66666666666669</v>
          </cell>
        </row>
        <row r="25">
          <cell r="K25">
            <v>2.9090909090909092</v>
          </cell>
        </row>
        <row r="26">
          <cell r="K26">
            <v>63.030303030303031</v>
          </cell>
        </row>
        <row r="28">
          <cell r="K28">
            <v>40.969696969696969</v>
          </cell>
        </row>
        <row r="29">
          <cell r="K29">
            <v>219.39393939393941</v>
          </cell>
        </row>
        <row r="30">
          <cell r="K30">
            <v>57.939393939393938</v>
          </cell>
        </row>
      </sheetData>
      <sheetData sheetId="7">
        <row r="13">
          <cell r="K13">
            <v>440.07692307692309</v>
          </cell>
        </row>
        <row r="14">
          <cell r="K14">
            <v>0</v>
          </cell>
        </row>
      </sheetData>
      <sheetData sheetId="8">
        <row r="12">
          <cell r="K12">
            <v>376.85714285714283</v>
          </cell>
        </row>
      </sheetData>
      <sheetData sheetId="9">
        <row r="12">
          <cell r="K12">
            <v>2.2350404312668464</v>
          </cell>
        </row>
      </sheetData>
      <sheetData sheetId="10">
        <row r="12">
          <cell r="K12">
            <v>600</v>
          </cell>
        </row>
      </sheetData>
      <sheetData sheetId="11">
        <row r="12">
          <cell r="K12">
            <v>745.29411764705878</v>
          </cell>
        </row>
      </sheetData>
      <sheetData sheetId="12">
        <row r="12">
          <cell r="K12">
            <v>3.9550258640959322</v>
          </cell>
        </row>
      </sheetData>
      <sheetData sheetId="13">
        <row r="12">
          <cell r="K12">
            <v>16.960764566848219</v>
          </cell>
        </row>
      </sheetData>
      <sheetData sheetId="14">
        <row r="12">
          <cell r="K12">
            <v>24.883834048640917</v>
          </cell>
        </row>
      </sheetData>
      <sheetData sheetId="15"/>
      <sheetData sheetId="16">
        <row r="12">
          <cell r="K12">
            <v>43.249061326658321</v>
          </cell>
        </row>
      </sheetData>
      <sheetData sheetId="17">
        <row r="12">
          <cell r="K12">
            <v>19.580819148242355</v>
          </cell>
        </row>
      </sheetData>
      <sheetData sheetId="18">
        <row r="13">
          <cell r="K13">
            <v>128.95081967213116</v>
          </cell>
        </row>
      </sheetData>
      <sheetData sheetId="19">
        <row r="12">
          <cell r="K12">
            <v>78.303538175046555</v>
          </cell>
        </row>
      </sheetData>
      <sheetData sheetId="20">
        <row r="12">
          <cell r="K12">
            <v>555.96103896103898</v>
          </cell>
        </row>
      </sheetData>
      <sheetData sheetId="21">
        <row r="12">
          <cell r="K12">
            <v>619.57600000000002</v>
          </cell>
        </row>
      </sheetData>
      <sheetData sheetId="22">
        <row r="12">
          <cell r="K12">
            <v>266.82310469314081</v>
          </cell>
        </row>
      </sheetData>
      <sheetData sheetId="23">
        <row r="12">
          <cell r="K12">
            <v>33.333333333333336</v>
          </cell>
        </row>
      </sheetData>
      <sheetData sheetId="24">
        <row r="12">
          <cell r="K12">
            <v>16.529144654834688</v>
          </cell>
        </row>
      </sheetData>
      <sheetData sheetId="25">
        <row r="12">
          <cell r="K12">
            <v>209.15315315315314</v>
          </cell>
        </row>
      </sheetData>
      <sheetData sheetId="26">
        <row r="12">
          <cell r="K12">
            <v>4.377830049985298</v>
          </cell>
        </row>
      </sheetData>
      <sheetData sheetId="27"/>
      <sheetData sheetId="28">
        <row r="22">
          <cell r="K22">
            <v>186.33333333333334</v>
          </cell>
        </row>
      </sheetData>
      <sheetData sheetId="29">
        <row r="12">
          <cell r="K12">
            <v>950</v>
          </cell>
        </row>
      </sheetData>
      <sheetData sheetId="30">
        <row r="13">
          <cell r="K13">
            <v>0.84427860696517409</v>
          </cell>
        </row>
      </sheetData>
      <sheetData sheetId="31">
        <row r="13">
          <cell r="K13">
            <v>65.066101541251143</v>
          </cell>
        </row>
      </sheetData>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Revenue"/>
      <sheetName val="Stats"/>
      <sheetName val="MED SURG"/>
      <sheetName val="SWING"/>
      <sheetName val="IP PROFEE"/>
      <sheetName val="OBS"/>
      <sheetName val="OR"/>
      <sheetName val="RECOVERY"/>
      <sheetName val="ANESTHESIA"/>
      <sheetName val="SURGIDAY"/>
      <sheetName val="ENDO"/>
      <sheetName val="PHARMACY"/>
      <sheetName val="IV THERAPY"/>
      <sheetName val="LAB"/>
      <sheetName val="PATHOLOGY"/>
      <sheetName val="BLOOD BANK"/>
      <sheetName val="CENTRAL SUPPLY"/>
      <sheetName val="EKG"/>
      <sheetName val="RADIOLOGY"/>
      <sheetName val="ULTRASOUND"/>
      <sheetName val="CT"/>
      <sheetName val="MRI"/>
      <sheetName val="NUCLEAR MED"/>
      <sheetName val="MAMMO"/>
      <sheetName val="RT"/>
      <sheetName val="PULMONARY"/>
      <sheetName val="PHYSICAL THERAPY"/>
      <sheetName val="OCCUPATIONAL THERAPY"/>
      <sheetName val="SPEECH THERAPY"/>
      <sheetName val="WOUND CARE"/>
      <sheetName val="EMERGENCY SERVICES"/>
      <sheetName val="PROFEE"/>
      <sheetName val="RECAP"/>
      <sheetName val="RECAP BUDGET REVENUE 2016"/>
      <sheetName val="TOTALS"/>
    </sheetNames>
    <sheetDataSet>
      <sheetData sheetId="0" refreshError="1"/>
      <sheetData sheetId="1" refreshError="1"/>
      <sheetData sheetId="2" refreshError="1"/>
      <sheetData sheetId="3" refreshError="1"/>
      <sheetData sheetId="4" refreshError="1"/>
      <sheetData sheetId="5" refreshError="1">
        <row r="11">
          <cell r="M11">
            <v>0</v>
          </cell>
        </row>
        <row r="12">
          <cell r="M12">
            <v>0</v>
          </cell>
        </row>
        <row r="13">
          <cell r="M13">
            <v>54.599999999999994</v>
          </cell>
        </row>
        <row r="14">
          <cell r="M14">
            <v>85.4</v>
          </cell>
        </row>
        <row r="15">
          <cell r="M15">
            <v>210</v>
          </cell>
        </row>
      </sheetData>
      <sheetData sheetId="6" refreshError="1"/>
      <sheetData sheetId="7" refreshError="1"/>
      <sheetData sheetId="8" refreshError="1">
        <row r="11">
          <cell r="M11">
            <v>270.27160493827159</v>
          </cell>
        </row>
        <row r="22">
          <cell r="M22">
            <v>0</v>
          </cell>
        </row>
        <row r="23">
          <cell r="M23">
            <v>0</v>
          </cell>
        </row>
        <row r="24">
          <cell r="M24">
            <v>0</v>
          </cell>
        </row>
        <row r="25">
          <cell r="M25">
            <v>0</v>
          </cell>
        </row>
        <row r="26">
          <cell r="M26">
            <v>0</v>
          </cell>
        </row>
      </sheetData>
      <sheetData sheetId="9" refreshError="1"/>
      <sheetData sheetId="10" refreshError="1">
        <row r="11">
          <cell r="M11">
            <v>600</v>
          </cell>
        </row>
        <row r="12">
          <cell r="M12">
            <v>0</v>
          </cell>
        </row>
        <row r="13">
          <cell r="M13">
            <v>0</v>
          </cell>
        </row>
        <row r="32">
          <cell r="M32">
            <v>0</v>
          </cell>
        </row>
        <row r="36">
          <cell r="M36">
            <v>0</v>
          </cell>
        </row>
      </sheetData>
      <sheetData sheetId="11" refreshError="1"/>
      <sheetData sheetId="12" refreshError="1">
        <row r="11">
          <cell r="M11">
            <v>4.4206532737102044</v>
          </cell>
        </row>
        <row r="26">
          <cell r="M26">
            <v>0</v>
          </cell>
        </row>
      </sheetData>
      <sheetData sheetId="13" refreshError="1">
        <row r="11">
          <cell r="M11">
            <v>16.65717901984609</v>
          </cell>
        </row>
        <row r="26">
          <cell r="M26">
            <v>0</v>
          </cell>
        </row>
      </sheetData>
      <sheetData sheetId="14" refreshError="1">
        <row r="11">
          <cell r="M11">
            <v>25.622788393489031</v>
          </cell>
        </row>
        <row r="26">
          <cell r="M26">
            <v>0</v>
          </cell>
        </row>
      </sheetData>
      <sheetData sheetId="15" refreshError="1"/>
      <sheetData sheetId="16" refreshError="1"/>
      <sheetData sheetId="17" refreshError="1"/>
      <sheetData sheetId="18" refreshError="1"/>
      <sheetData sheetId="19" refreshError="1"/>
      <sheetData sheetId="20" refreshError="1">
        <row r="11">
          <cell r="M11">
            <v>506.95876288659792</v>
          </cell>
        </row>
        <row r="22">
          <cell r="M22">
            <v>0</v>
          </cell>
        </row>
        <row r="26">
          <cell r="M26">
            <v>0</v>
          </cell>
        </row>
      </sheetData>
      <sheetData sheetId="21" refreshError="1"/>
      <sheetData sheetId="22" refreshError="1"/>
      <sheetData sheetId="23" refreshError="1"/>
      <sheetData sheetId="24" refreshError="1"/>
      <sheetData sheetId="25" refreshError="1">
        <row r="11">
          <cell r="M11">
            <v>16.924549647550258</v>
          </cell>
        </row>
        <row r="22">
          <cell r="M22">
            <v>0</v>
          </cell>
        </row>
        <row r="23">
          <cell r="M23">
            <v>0</v>
          </cell>
        </row>
        <row r="24">
          <cell r="M24">
            <v>0</v>
          </cell>
        </row>
        <row r="26">
          <cell r="M26">
            <v>0</v>
          </cell>
        </row>
      </sheetData>
      <sheetData sheetId="26" refreshError="1">
        <row r="11">
          <cell r="M11">
            <v>222.31818181818181</v>
          </cell>
        </row>
        <row r="21">
          <cell r="M21">
            <v>3.1363636363636362</v>
          </cell>
        </row>
        <row r="22">
          <cell r="M22">
            <v>0</v>
          </cell>
        </row>
        <row r="23">
          <cell r="M23">
            <v>0</v>
          </cell>
        </row>
        <row r="24">
          <cell r="M24">
            <v>0</v>
          </cell>
        </row>
        <row r="25">
          <cell r="M25">
            <v>0</v>
          </cell>
        </row>
        <row r="26">
          <cell r="M26">
            <v>0</v>
          </cell>
        </row>
      </sheetData>
      <sheetData sheetId="27" refreshError="1">
        <row r="11">
          <cell r="M11">
            <v>10.762812328013208</v>
          </cell>
        </row>
        <row r="23">
          <cell r="M23">
            <v>0</v>
          </cell>
        </row>
        <row r="24">
          <cell r="M24">
            <v>0</v>
          </cell>
        </row>
        <row r="26">
          <cell r="M26">
            <v>0</v>
          </cell>
        </row>
      </sheetData>
      <sheetData sheetId="28" refreshError="1">
        <row r="21">
          <cell r="M21">
            <v>239</v>
          </cell>
        </row>
        <row r="22">
          <cell r="M22">
            <v>0</v>
          </cell>
        </row>
        <row r="23">
          <cell r="M23">
            <v>0</v>
          </cell>
        </row>
        <row r="24">
          <cell r="M24">
            <v>0</v>
          </cell>
        </row>
        <row r="26">
          <cell r="M26">
            <v>0</v>
          </cell>
        </row>
        <row r="32">
          <cell r="M32">
            <v>0</v>
          </cell>
        </row>
        <row r="33">
          <cell r="M33">
            <v>0</v>
          </cell>
        </row>
        <row r="36">
          <cell r="M36">
            <v>0</v>
          </cell>
        </row>
      </sheetData>
      <sheetData sheetId="29" refreshError="1">
        <row r="11">
          <cell r="M11">
            <v>199.7</v>
          </cell>
        </row>
        <row r="12">
          <cell r="M12">
            <v>0</v>
          </cell>
        </row>
        <row r="13">
          <cell r="M13">
            <v>0</v>
          </cell>
        </row>
        <row r="14">
          <cell r="M14">
            <v>0</v>
          </cell>
        </row>
        <row r="16">
          <cell r="M16">
            <v>0</v>
          </cell>
        </row>
        <row r="22">
          <cell r="M22">
            <v>0</v>
          </cell>
        </row>
        <row r="23">
          <cell r="M23">
            <v>0</v>
          </cell>
        </row>
        <row r="24">
          <cell r="M24">
            <v>0</v>
          </cell>
        </row>
        <row r="25">
          <cell r="M25">
            <v>0</v>
          </cell>
        </row>
        <row r="26">
          <cell r="M26">
            <v>0</v>
          </cell>
        </row>
        <row r="32">
          <cell r="M32">
            <v>0</v>
          </cell>
        </row>
        <row r="33">
          <cell r="M33">
            <v>0</v>
          </cell>
        </row>
        <row r="35">
          <cell r="M35">
            <v>0</v>
          </cell>
        </row>
        <row r="36">
          <cell r="M36">
            <v>0</v>
          </cell>
        </row>
      </sheetData>
      <sheetData sheetId="30" refreshError="1">
        <row r="31">
          <cell r="M31">
            <v>527.33869115958669</v>
          </cell>
        </row>
        <row r="34">
          <cell r="M34">
            <v>0</v>
          </cell>
        </row>
      </sheetData>
      <sheetData sheetId="31" refreshError="1">
        <row r="11">
          <cell r="M11">
            <v>36.22429906542056</v>
          </cell>
        </row>
        <row r="24">
          <cell r="M24">
            <v>0</v>
          </cell>
        </row>
        <row r="25">
          <cell r="M25">
            <v>0</v>
          </cell>
        </row>
        <row r="26">
          <cell r="M26">
            <v>0</v>
          </cell>
        </row>
      </sheetData>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3"/>
  <sheetViews>
    <sheetView workbookViewId="0">
      <selection activeCell="A4" sqref="A4"/>
    </sheetView>
  </sheetViews>
  <sheetFormatPr defaultRowHeight="12.75" x14ac:dyDescent="0.2"/>
  <cols>
    <col min="1" max="1" width="9.7109375" bestFit="1" customWidth="1"/>
  </cols>
  <sheetData>
    <row r="1" spans="1:1" x14ac:dyDescent="0.2">
      <c r="A1" s="473">
        <v>42947</v>
      </c>
    </row>
    <row r="2" spans="1:1" x14ac:dyDescent="0.2">
      <c r="A2" t="s">
        <v>1067</v>
      </c>
    </row>
    <row r="3" spans="1:1" x14ac:dyDescent="0.2">
      <c r="A3" t="s">
        <v>1074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BG43"/>
  <sheetViews>
    <sheetView zoomScaleNormal="100" workbookViewId="0">
      <selection activeCell="M3" sqref="M3"/>
    </sheetView>
  </sheetViews>
  <sheetFormatPr defaultRowHeight="12.75" x14ac:dyDescent="0.2"/>
  <cols>
    <col min="1" max="1" width="9.42578125" style="40" bestFit="1" customWidth="1"/>
    <col min="2" max="2" width="34.28515625" style="40" bestFit="1" customWidth="1"/>
    <col min="3" max="3" width="16.85546875" style="40" customWidth="1"/>
    <col min="4" max="5" width="11" style="47" customWidth="1"/>
    <col min="6" max="17" width="11.85546875" style="40" bestFit="1" customWidth="1"/>
    <col min="18" max="18" width="13.140625" style="40" bestFit="1" customWidth="1"/>
    <col min="19" max="19" width="9.5703125" style="40" bestFit="1" customWidth="1"/>
    <col min="20" max="59" width="9.140625" style="40"/>
    <col min="60" max="257" width="9.140625" style="61"/>
    <col min="258" max="258" width="9.42578125" style="61" bestFit="1" customWidth="1"/>
    <col min="259" max="259" width="34.28515625" style="61" bestFit="1" customWidth="1"/>
    <col min="260" max="260" width="16.85546875" style="61" customWidth="1"/>
    <col min="261" max="261" width="11" style="61" customWidth="1"/>
    <col min="262" max="262" width="11.28515625" style="61" bestFit="1" customWidth="1"/>
    <col min="263" max="273" width="11.28515625" style="61" customWidth="1"/>
    <col min="274" max="274" width="12.7109375" style="61" bestFit="1" customWidth="1"/>
    <col min="275" max="275" width="9.5703125" style="61" bestFit="1" customWidth="1"/>
    <col min="276" max="513" width="9.140625" style="61"/>
    <col min="514" max="514" width="9.42578125" style="61" bestFit="1" customWidth="1"/>
    <col min="515" max="515" width="34.28515625" style="61" bestFit="1" customWidth="1"/>
    <col min="516" max="516" width="16.85546875" style="61" customWidth="1"/>
    <col min="517" max="517" width="11" style="61" customWidth="1"/>
    <col min="518" max="518" width="11.28515625" style="61" bestFit="1" customWidth="1"/>
    <col min="519" max="529" width="11.28515625" style="61" customWidth="1"/>
    <col min="530" max="530" width="12.7109375" style="61" bestFit="1" customWidth="1"/>
    <col min="531" max="531" width="9.5703125" style="61" bestFit="1" customWidth="1"/>
    <col min="532" max="769" width="9.140625" style="61"/>
    <col min="770" max="770" width="9.42578125" style="61" bestFit="1" customWidth="1"/>
    <col min="771" max="771" width="34.28515625" style="61" bestFit="1" customWidth="1"/>
    <col min="772" max="772" width="16.85546875" style="61" customWidth="1"/>
    <col min="773" max="773" width="11" style="61" customWidth="1"/>
    <col min="774" max="774" width="11.28515625" style="61" bestFit="1" customWidth="1"/>
    <col min="775" max="785" width="11.28515625" style="61" customWidth="1"/>
    <col min="786" max="786" width="12.7109375" style="61" bestFit="1" customWidth="1"/>
    <col min="787" max="787" width="9.5703125" style="61" bestFit="1" customWidth="1"/>
    <col min="788" max="1025" width="9.140625" style="61"/>
    <col min="1026" max="1026" width="9.42578125" style="61" bestFit="1" customWidth="1"/>
    <col min="1027" max="1027" width="34.28515625" style="61" bestFit="1" customWidth="1"/>
    <col min="1028" max="1028" width="16.85546875" style="61" customWidth="1"/>
    <col min="1029" max="1029" width="11" style="61" customWidth="1"/>
    <col min="1030" max="1030" width="11.28515625" style="61" bestFit="1" customWidth="1"/>
    <col min="1031" max="1041" width="11.28515625" style="61" customWidth="1"/>
    <col min="1042" max="1042" width="12.7109375" style="61" bestFit="1" customWidth="1"/>
    <col min="1043" max="1043" width="9.5703125" style="61" bestFit="1" customWidth="1"/>
    <col min="1044" max="1281" width="9.140625" style="61"/>
    <col min="1282" max="1282" width="9.42578125" style="61" bestFit="1" customWidth="1"/>
    <col min="1283" max="1283" width="34.28515625" style="61" bestFit="1" customWidth="1"/>
    <col min="1284" max="1284" width="16.85546875" style="61" customWidth="1"/>
    <col min="1285" max="1285" width="11" style="61" customWidth="1"/>
    <col min="1286" max="1286" width="11.28515625" style="61" bestFit="1" customWidth="1"/>
    <col min="1287" max="1297" width="11.28515625" style="61" customWidth="1"/>
    <col min="1298" max="1298" width="12.7109375" style="61" bestFit="1" customWidth="1"/>
    <col min="1299" max="1299" width="9.5703125" style="61" bestFit="1" customWidth="1"/>
    <col min="1300" max="1537" width="9.140625" style="61"/>
    <col min="1538" max="1538" width="9.42578125" style="61" bestFit="1" customWidth="1"/>
    <col min="1539" max="1539" width="34.28515625" style="61" bestFit="1" customWidth="1"/>
    <col min="1540" max="1540" width="16.85546875" style="61" customWidth="1"/>
    <col min="1541" max="1541" width="11" style="61" customWidth="1"/>
    <col min="1542" max="1542" width="11.28515625" style="61" bestFit="1" customWidth="1"/>
    <col min="1543" max="1553" width="11.28515625" style="61" customWidth="1"/>
    <col min="1554" max="1554" width="12.7109375" style="61" bestFit="1" customWidth="1"/>
    <col min="1555" max="1555" width="9.5703125" style="61" bestFit="1" customWidth="1"/>
    <col min="1556" max="1793" width="9.140625" style="61"/>
    <col min="1794" max="1794" width="9.42578125" style="61" bestFit="1" customWidth="1"/>
    <col min="1795" max="1795" width="34.28515625" style="61" bestFit="1" customWidth="1"/>
    <col min="1796" max="1796" width="16.85546875" style="61" customWidth="1"/>
    <col min="1797" max="1797" width="11" style="61" customWidth="1"/>
    <col min="1798" max="1798" width="11.28515625" style="61" bestFit="1" customWidth="1"/>
    <col min="1799" max="1809" width="11.28515625" style="61" customWidth="1"/>
    <col min="1810" max="1810" width="12.7109375" style="61" bestFit="1" customWidth="1"/>
    <col min="1811" max="1811" width="9.5703125" style="61" bestFit="1" customWidth="1"/>
    <col min="1812" max="2049" width="9.140625" style="61"/>
    <col min="2050" max="2050" width="9.42578125" style="61" bestFit="1" customWidth="1"/>
    <col min="2051" max="2051" width="34.28515625" style="61" bestFit="1" customWidth="1"/>
    <col min="2052" max="2052" width="16.85546875" style="61" customWidth="1"/>
    <col min="2053" max="2053" width="11" style="61" customWidth="1"/>
    <col min="2054" max="2054" width="11.28515625" style="61" bestFit="1" customWidth="1"/>
    <col min="2055" max="2065" width="11.28515625" style="61" customWidth="1"/>
    <col min="2066" max="2066" width="12.7109375" style="61" bestFit="1" customWidth="1"/>
    <col min="2067" max="2067" width="9.5703125" style="61" bestFit="1" customWidth="1"/>
    <col min="2068" max="2305" width="9.140625" style="61"/>
    <col min="2306" max="2306" width="9.42578125" style="61" bestFit="1" customWidth="1"/>
    <col min="2307" max="2307" width="34.28515625" style="61" bestFit="1" customWidth="1"/>
    <col min="2308" max="2308" width="16.85546875" style="61" customWidth="1"/>
    <col min="2309" max="2309" width="11" style="61" customWidth="1"/>
    <col min="2310" max="2310" width="11.28515625" style="61" bestFit="1" customWidth="1"/>
    <col min="2311" max="2321" width="11.28515625" style="61" customWidth="1"/>
    <col min="2322" max="2322" width="12.7109375" style="61" bestFit="1" customWidth="1"/>
    <col min="2323" max="2323" width="9.5703125" style="61" bestFit="1" customWidth="1"/>
    <col min="2324" max="2561" width="9.140625" style="61"/>
    <col min="2562" max="2562" width="9.42578125" style="61" bestFit="1" customWidth="1"/>
    <col min="2563" max="2563" width="34.28515625" style="61" bestFit="1" customWidth="1"/>
    <col min="2564" max="2564" width="16.85546875" style="61" customWidth="1"/>
    <col min="2565" max="2565" width="11" style="61" customWidth="1"/>
    <col min="2566" max="2566" width="11.28515625" style="61" bestFit="1" customWidth="1"/>
    <col min="2567" max="2577" width="11.28515625" style="61" customWidth="1"/>
    <col min="2578" max="2578" width="12.7109375" style="61" bestFit="1" customWidth="1"/>
    <col min="2579" max="2579" width="9.5703125" style="61" bestFit="1" customWidth="1"/>
    <col min="2580" max="2817" width="9.140625" style="61"/>
    <col min="2818" max="2818" width="9.42578125" style="61" bestFit="1" customWidth="1"/>
    <col min="2819" max="2819" width="34.28515625" style="61" bestFit="1" customWidth="1"/>
    <col min="2820" max="2820" width="16.85546875" style="61" customWidth="1"/>
    <col min="2821" max="2821" width="11" style="61" customWidth="1"/>
    <col min="2822" max="2822" width="11.28515625" style="61" bestFit="1" customWidth="1"/>
    <col min="2823" max="2833" width="11.28515625" style="61" customWidth="1"/>
    <col min="2834" max="2834" width="12.7109375" style="61" bestFit="1" customWidth="1"/>
    <col min="2835" max="2835" width="9.5703125" style="61" bestFit="1" customWidth="1"/>
    <col min="2836" max="3073" width="9.140625" style="61"/>
    <col min="3074" max="3074" width="9.42578125" style="61" bestFit="1" customWidth="1"/>
    <col min="3075" max="3075" width="34.28515625" style="61" bestFit="1" customWidth="1"/>
    <col min="3076" max="3076" width="16.85546875" style="61" customWidth="1"/>
    <col min="3077" max="3077" width="11" style="61" customWidth="1"/>
    <col min="3078" max="3078" width="11.28515625" style="61" bestFit="1" customWidth="1"/>
    <col min="3079" max="3089" width="11.28515625" style="61" customWidth="1"/>
    <col min="3090" max="3090" width="12.7109375" style="61" bestFit="1" customWidth="1"/>
    <col min="3091" max="3091" width="9.5703125" style="61" bestFit="1" customWidth="1"/>
    <col min="3092" max="3329" width="9.140625" style="61"/>
    <col min="3330" max="3330" width="9.42578125" style="61" bestFit="1" customWidth="1"/>
    <col min="3331" max="3331" width="34.28515625" style="61" bestFit="1" customWidth="1"/>
    <col min="3332" max="3332" width="16.85546875" style="61" customWidth="1"/>
    <col min="3333" max="3333" width="11" style="61" customWidth="1"/>
    <col min="3334" max="3334" width="11.28515625" style="61" bestFit="1" customWidth="1"/>
    <col min="3335" max="3345" width="11.28515625" style="61" customWidth="1"/>
    <col min="3346" max="3346" width="12.7109375" style="61" bestFit="1" customWidth="1"/>
    <col min="3347" max="3347" width="9.5703125" style="61" bestFit="1" customWidth="1"/>
    <col min="3348" max="3585" width="9.140625" style="61"/>
    <col min="3586" max="3586" width="9.42578125" style="61" bestFit="1" customWidth="1"/>
    <col min="3587" max="3587" width="34.28515625" style="61" bestFit="1" customWidth="1"/>
    <col min="3588" max="3588" width="16.85546875" style="61" customWidth="1"/>
    <col min="3589" max="3589" width="11" style="61" customWidth="1"/>
    <col min="3590" max="3590" width="11.28515625" style="61" bestFit="1" customWidth="1"/>
    <col min="3591" max="3601" width="11.28515625" style="61" customWidth="1"/>
    <col min="3602" max="3602" width="12.7109375" style="61" bestFit="1" customWidth="1"/>
    <col min="3603" max="3603" width="9.5703125" style="61" bestFit="1" customWidth="1"/>
    <col min="3604" max="3841" width="9.140625" style="61"/>
    <col min="3842" max="3842" width="9.42578125" style="61" bestFit="1" customWidth="1"/>
    <col min="3843" max="3843" width="34.28515625" style="61" bestFit="1" customWidth="1"/>
    <col min="3844" max="3844" width="16.85546875" style="61" customWidth="1"/>
    <col min="3845" max="3845" width="11" style="61" customWidth="1"/>
    <col min="3846" max="3846" width="11.28515625" style="61" bestFit="1" customWidth="1"/>
    <col min="3847" max="3857" width="11.28515625" style="61" customWidth="1"/>
    <col min="3858" max="3858" width="12.7109375" style="61" bestFit="1" customWidth="1"/>
    <col min="3859" max="3859" width="9.5703125" style="61" bestFit="1" customWidth="1"/>
    <col min="3860" max="4097" width="9.140625" style="61"/>
    <col min="4098" max="4098" width="9.42578125" style="61" bestFit="1" customWidth="1"/>
    <col min="4099" max="4099" width="34.28515625" style="61" bestFit="1" customWidth="1"/>
    <col min="4100" max="4100" width="16.85546875" style="61" customWidth="1"/>
    <col min="4101" max="4101" width="11" style="61" customWidth="1"/>
    <col min="4102" max="4102" width="11.28515625" style="61" bestFit="1" customWidth="1"/>
    <col min="4103" max="4113" width="11.28515625" style="61" customWidth="1"/>
    <col min="4114" max="4114" width="12.7109375" style="61" bestFit="1" customWidth="1"/>
    <col min="4115" max="4115" width="9.5703125" style="61" bestFit="1" customWidth="1"/>
    <col min="4116" max="4353" width="9.140625" style="61"/>
    <col min="4354" max="4354" width="9.42578125" style="61" bestFit="1" customWidth="1"/>
    <col min="4355" max="4355" width="34.28515625" style="61" bestFit="1" customWidth="1"/>
    <col min="4356" max="4356" width="16.85546875" style="61" customWidth="1"/>
    <col min="4357" max="4357" width="11" style="61" customWidth="1"/>
    <col min="4358" max="4358" width="11.28515625" style="61" bestFit="1" customWidth="1"/>
    <col min="4359" max="4369" width="11.28515625" style="61" customWidth="1"/>
    <col min="4370" max="4370" width="12.7109375" style="61" bestFit="1" customWidth="1"/>
    <col min="4371" max="4371" width="9.5703125" style="61" bestFit="1" customWidth="1"/>
    <col min="4372" max="4609" width="9.140625" style="61"/>
    <col min="4610" max="4610" width="9.42578125" style="61" bestFit="1" customWidth="1"/>
    <col min="4611" max="4611" width="34.28515625" style="61" bestFit="1" customWidth="1"/>
    <col min="4612" max="4612" width="16.85546875" style="61" customWidth="1"/>
    <col min="4613" max="4613" width="11" style="61" customWidth="1"/>
    <col min="4614" max="4614" width="11.28515625" style="61" bestFit="1" customWidth="1"/>
    <col min="4615" max="4625" width="11.28515625" style="61" customWidth="1"/>
    <col min="4626" max="4626" width="12.7109375" style="61" bestFit="1" customWidth="1"/>
    <col min="4627" max="4627" width="9.5703125" style="61" bestFit="1" customWidth="1"/>
    <col min="4628" max="4865" width="9.140625" style="61"/>
    <col min="4866" max="4866" width="9.42578125" style="61" bestFit="1" customWidth="1"/>
    <col min="4867" max="4867" width="34.28515625" style="61" bestFit="1" customWidth="1"/>
    <col min="4868" max="4868" width="16.85546875" style="61" customWidth="1"/>
    <col min="4869" max="4869" width="11" style="61" customWidth="1"/>
    <col min="4870" max="4870" width="11.28515625" style="61" bestFit="1" customWidth="1"/>
    <col min="4871" max="4881" width="11.28515625" style="61" customWidth="1"/>
    <col min="4882" max="4882" width="12.7109375" style="61" bestFit="1" customWidth="1"/>
    <col min="4883" max="4883" width="9.5703125" style="61" bestFit="1" customWidth="1"/>
    <col min="4884" max="5121" width="9.140625" style="61"/>
    <col min="5122" max="5122" width="9.42578125" style="61" bestFit="1" customWidth="1"/>
    <col min="5123" max="5123" width="34.28515625" style="61" bestFit="1" customWidth="1"/>
    <col min="5124" max="5124" width="16.85546875" style="61" customWidth="1"/>
    <col min="5125" max="5125" width="11" style="61" customWidth="1"/>
    <col min="5126" max="5126" width="11.28515625" style="61" bestFit="1" customWidth="1"/>
    <col min="5127" max="5137" width="11.28515625" style="61" customWidth="1"/>
    <col min="5138" max="5138" width="12.7109375" style="61" bestFit="1" customWidth="1"/>
    <col min="5139" max="5139" width="9.5703125" style="61" bestFit="1" customWidth="1"/>
    <col min="5140" max="5377" width="9.140625" style="61"/>
    <col min="5378" max="5378" width="9.42578125" style="61" bestFit="1" customWidth="1"/>
    <col min="5379" max="5379" width="34.28515625" style="61" bestFit="1" customWidth="1"/>
    <col min="5380" max="5380" width="16.85546875" style="61" customWidth="1"/>
    <col min="5381" max="5381" width="11" style="61" customWidth="1"/>
    <col min="5382" max="5382" width="11.28515625" style="61" bestFit="1" customWidth="1"/>
    <col min="5383" max="5393" width="11.28515625" style="61" customWidth="1"/>
    <col min="5394" max="5394" width="12.7109375" style="61" bestFit="1" customWidth="1"/>
    <col min="5395" max="5395" width="9.5703125" style="61" bestFit="1" customWidth="1"/>
    <col min="5396" max="5633" width="9.140625" style="61"/>
    <col min="5634" max="5634" width="9.42578125" style="61" bestFit="1" customWidth="1"/>
    <col min="5635" max="5635" width="34.28515625" style="61" bestFit="1" customWidth="1"/>
    <col min="5636" max="5636" width="16.85546875" style="61" customWidth="1"/>
    <col min="5637" max="5637" width="11" style="61" customWidth="1"/>
    <col min="5638" max="5638" width="11.28515625" style="61" bestFit="1" customWidth="1"/>
    <col min="5639" max="5649" width="11.28515625" style="61" customWidth="1"/>
    <col min="5650" max="5650" width="12.7109375" style="61" bestFit="1" customWidth="1"/>
    <col min="5651" max="5651" width="9.5703125" style="61" bestFit="1" customWidth="1"/>
    <col min="5652" max="5889" width="9.140625" style="61"/>
    <col min="5890" max="5890" width="9.42578125" style="61" bestFit="1" customWidth="1"/>
    <col min="5891" max="5891" width="34.28515625" style="61" bestFit="1" customWidth="1"/>
    <col min="5892" max="5892" width="16.85546875" style="61" customWidth="1"/>
    <col min="5893" max="5893" width="11" style="61" customWidth="1"/>
    <col min="5894" max="5894" width="11.28515625" style="61" bestFit="1" customWidth="1"/>
    <col min="5895" max="5905" width="11.28515625" style="61" customWidth="1"/>
    <col min="5906" max="5906" width="12.7109375" style="61" bestFit="1" customWidth="1"/>
    <col min="5907" max="5907" width="9.5703125" style="61" bestFit="1" customWidth="1"/>
    <col min="5908" max="6145" width="9.140625" style="61"/>
    <col min="6146" max="6146" width="9.42578125" style="61" bestFit="1" customWidth="1"/>
    <col min="6147" max="6147" width="34.28515625" style="61" bestFit="1" customWidth="1"/>
    <col min="6148" max="6148" width="16.85546875" style="61" customWidth="1"/>
    <col min="6149" max="6149" width="11" style="61" customWidth="1"/>
    <col min="6150" max="6150" width="11.28515625" style="61" bestFit="1" customWidth="1"/>
    <col min="6151" max="6161" width="11.28515625" style="61" customWidth="1"/>
    <col min="6162" max="6162" width="12.7109375" style="61" bestFit="1" customWidth="1"/>
    <col min="6163" max="6163" width="9.5703125" style="61" bestFit="1" customWidth="1"/>
    <col min="6164" max="6401" width="9.140625" style="61"/>
    <col min="6402" max="6402" width="9.42578125" style="61" bestFit="1" customWidth="1"/>
    <col min="6403" max="6403" width="34.28515625" style="61" bestFit="1" customWidth="1"/>
    <col min="6404" max="6404" width="16.85546875" style="61" customWidth="1"/>
    <col min="6405" max="6405" width="11" style="61" customWidth="1"/>
    <col min="6406" max="6406" width="11.28515625" style="61" bestFit="1" customWidth="1"/>
    <col min="6407" max="6417" width="11.28515625" style="61" customWidth="1"/>
    <col min="6418" max="6418" width="12.7109375" style="61" bestFit="1" customWidth="1"/>
    <col min="6419" max="6419" width="9.5703125" style="61" bestFit="1" customWidth="1"/>
    <col min="6420" max="6657" width="9.140625" style="61"/>
    <col min="6658" max="6658" width="9.42578125" style="61" bestFit="1" customWidth="1"/>
    <col min="6659" max="6659" width="34.28515625" style="61" bestFit="1" customWidth="1"/>
    <col min="6660" max="6660" width="16.85546875" style="61" customWidth="1"/>
    <col min="6661" max="6661" width="11" style="61" customWidth="1"/>
    <col min="6662" max="6662" width="11.28515625" style="61" bestFit="1" customWidth="1"/>
    <col min="6663" max="6673" width="11.28515625" style="61" customWidth="1"/>
    <col min="6674" max="6674" width="12.7109375" style="61" bestFit="1" customWidth="1"/>
    <col min="6675" max="6675" width="9.5703125" style="61" bestFit="1" customWidth="1"/>
    <col min="6676" max="6913" width="9.140625" style="61"/>
    <col min="6914" max="6914" width="9.42578125" style="61" bestFit="1" customWidth="1"/>
    <col min="6915" max="6915" width="34.28515625" style="61" bestFit="1" customWidth="1"/>
    <col min="6916" max="6916" width="16.85546875" style="61" customWidth="1"/>
    <col min="6917" max="6917" width="11" style="61" customWidth="1"/>
    <col min="6918" max="6918" width="11.28515625" style="61" bestFit="1" customWidth="1"/>
    <col min="6919" max="6929" width="11.28515625" style="61" customWidth="1"/>
    <col min="6930" max="6930" width="12.7109375" style="61" bestFit="1" customWidth="1"/>
    <col min="6931" max="6931" width="9.5703125" style="61" bestFit="1" customWidth="1"/>
    <col min="6932" max="7169" width="9.140625" style="61"/>
    <col min="7170" max="7170" width="9.42578125" style="61" bestFit="1" customWidth="1"/>
    <col min="7171" max="7171" width="34.28515625" style="61" bestFit="1" customWidth="1"/>
    <col min="7172" max="7172" width="16.85546875" style="61" customWidth="1"/>
    <col min="7173" max="7173" width="11" style="61" customWidth="1"/>
    <col min="7174" max="7174" width="11.28515625" style="61" bestFit="1" customWidth="1"/>
    <col min="7175" max="7185" width="11.28515625" style="61" customWidth="1"/>
    <col min="7186" max="7186" width="12.7109375" style="61" bestFit="1" customWidth="1"/>
    <col min="7187" max="7187" width="9.5703125" style="61" bestFit="1" customWidth="1"/>
    <col min="7188" max="7425" width="9.140625" style="61"/>
    <col min="7426" max="7426" width="9.42578125" style="61" bestFit="1" customWidth="1"/>
    <col min="7427" max="7427" width="34.28515625" style="61" bestFit="1" customWidth="1"/>
    <col min="7428" max="7428" width="16.85546875" style="61" customWidth="1"/>
    <col min="7429" max="7429" width="11" style="61" customWidth="1"/>
    <col min="7430" max="7430" width="11.28515625" style="61" bestFit="1" customWidth="1"/>
    <col min="7431" max="7441" width="11.28515625" style="61" customWidth="1"/>
    <col min="7442" max="7442" width="12.7109375" style="61" bestFit="1" customWidth="1"/>
    <col min="7443" max="7443" width="9.5703125" style="61" bestFit="1" customWidth="1"/>
    <col min="7444" max="7681" width="9.140625" style="61"/>
    <col min="7682" max="7682" width="9.42578125" style="61" bestFit="1" customWidth="1"/>
    <col min="7683" max="7683" width="34.28515625" style="61" bestFit="1" customWidth="1"/>
    <col min="7684" max="7684" width="16.85546875" style="61" customWidth="1"/>
    <col min="7685" max="7685" width="11" style="61" customWidth="1"/>
    <col min="7686" max="7686" width="11.28515625" style="61" bestFit="1" customWidth="1"/>
    <col min="7687" max="7697" width="11.28515625" style="61" customWidth="1"/>
    <col min="7698" max="7698" width="12.7109375" style="61" bestFit="1" customWidth="1"/>
    <col min="7699" max="7699" width="9.5703125" style="61" bestFit="1" customWidth="1"/>
    <col min="7700" max="7937" width="9.140625" style="61"/>
    <col min="7938" max="7938" width="9.42578125" style="61" bestFit="1" customWidth="1"/>
    <col min="7939" max="7939" width="34.28515625" style="61" bestFit="1" customWidth="1"/>
    <col min="7940" max="7940" width="16.85546875" style="61" customWidth="1"/>
    <col min="7941" max="7941" width="11" style="61" customWidth="1"/>
    <col min="7942" max="7942" width="11.28515625" style="61" bestFit="1" customWidth="1"/>
    <col min="7943" max="7953" width="11.28515625" style="61" customWidth="1"/>
    <col min="7954" max="7954" width="12.7109375" style="61" bestFit="1" customWidth="1"/>
    <col min="7955" max="7955" width="9.5703125" style="61" bestFit="1" customWidth="1"/>
    <col min="7956" max="8193" width="9.140625" style="61"/>
    <col min="8194" max="8194" width="9.42578125" style="61" bestFit="1" customWidth="1"/>
    <col min="8195" max="8195" width="34.28515625" style="61" bestFit="1" customWidth="1"/>
    <col min="8196" max="8196" width="16.85546875" style="61" customWidth="1"/>
    <col min="8197" max="8197" width="11" style="61" customWidth="1"/>
    <col min="8198" max="8198" width="11.28515625" style="61" bestFit="1" customWidth="1"/>
    <col min="8199" max="8209" width="11.28515625" style="61" customWidth="1"/>
    <col min="8210" max="8210" width="12.7109375" style="61" bestFit="1" customWidth="1"/>
    <col min="8211" max="8211" width="9.5703125" style="61" bestFit="1" customWidth="1"/>
    <col min="8212" max="8449" width="9.140625" style="61"/>
    <col min="8450" max="8450" width="9.42578125" style="61" bestFit="1" customWidth="1"/>
    <col min="8451" max="8451" width="34.28515625" style="61" bestFit="1" customWidth="1"/>
    <col min="8452" max="8452" width="16.85546875" style="61" customWidth="1"/>
    <col min="8453" max="8453" width="11" style="61" customWidth="1"/>
    <col min="8454" max="8454" width="11.28515625" style="61" bestFit="1" customWidth="1"/>
    <col min="8455" max="8465" width="11.28515625" style="61" customWidth="1"/>
    <col min="8466" max="8466" width="12.7109375" style="61" bestFit="1" customWidth="1"/>
    <col min="8467" max="8467" width="9.5703125" style="61" bestFit="1" customWidth="1"/>
    <col min="8468" max="8705" width="9.140625" style="61"/>
    <col min="8706" max="8706" width="9.42578125" style="61" bestFit="1" customWidth="1"/>
    <col min="8707" max="8707" width="34.28515625" style="61" bestFit="1" customWidth="1"/>
    <col min="8708" max="8708" width="16.85546875" style="61" customWidth="1"/>
    <col min="8709" max="8709" width="11" style="61" customWidth="1"/>
    <col min="8710" max="8710" width="11.28515625" style="61" bestFit="1" customWidth="1"/>
    <col min="8711" max="8721" width="11.28515625" style="61" customWidth="1"/>
    <col min="8722" max="8722" width="12.7109375" style="61" bestFit="1" customWidth="1"/>
    <col min="8723" max="8723" width="9.5703125" style="61" bestFit="1" customWidth="1"/>
    <col min="8724" max="8961" width="9.140625" style="61"/>
    <col min="8962" max="8962" width="9.42578125" style="61" bestFit="1" customWidth="1"/>
    <col min="8963" max="8963" width="34.28515625" style="61" bestFit="1" customWidth="1"/>
    <col min="8964" max="8964" width="16.85546875" style="61" customWidth="1"/>
    <col min="8965" max="8965" width="11" style="61" customWidth="1"/>
    <col min="8966" max="8966" width="11.28515625" style="61" bestFit="1" customWidth="1"/>
    <col min="8967" max="8977" width="11.28515625" style="61" customWidth="1"/>
    <col min="8978" max="8978" width="12.7109375" style="61" bestFit="1" customWidth="1"/>
    <col min="8979" max="8979" width="9.5703125" style="61" bestFit="1" customWidth="1"/>
    <col min="8980" max="9217" width="9.140625" style="61"/>
    <col min="9218" max="9218" width="9.42578125" style="61" bestFit="1" customWidth="1"/>
    <col min="9219" max="9219" width="34.28515625" style="61" bestFit="1" customWidth="1"/>
    <col min="9220" max="9220" width="16.85546875" style="61" customWidth="1"/>
    <col min="9221" max="9221" width="11" style="61" customWidth="1"/>
    <col min="9222" max="9222" width="11.28515625" style="61" bestFit="1" customWidth="1"/>
    <col min="9223" max="9233" width="11.28515625" style="61" customWidth="1"/>
    <col min="9234" max="9234" width="12.7109375" style="61" bestFit="1" customWidth="1"/>
    <col min="9235" max="9235" width="9.5703125" style="61" bestFit="1" customWidth="1"/>
    <col min="9236" max="9473" width="9.140625" style="61"/>
    <col min="9474" max="9474" width="9.42578125" style="61" bestFit="1" customWidth="1"/>
    <col min="9475" max="9475" width="34.28515625" style="61" bestFit="1" customWidth="1"/>
    <col min="9476" max="9476" width="16.85546875" style="61" customWidth="1"/>
    <col min="9477" max="9477" width="11" style="61" customWidth="1"/>
    <col min="9478" max="9478" width="11.28515625" style="61" bestFit="1" customWidth="1"/>
    <col min="9479" max="9489" width="11.28515625" style="61" customWidth="1"/>
    <col min="9490" max="9490" width="12.7109375" style="61" bestFit="1" customWidth="1"/>
    <col min="9491" max="9491" width="9.5703125" style="61" bestFit="1" customWidth="1"/>
    <col min="9492" max="9729" width="9.140625" style="61"/>
    <col min="9730" max="9730" width="9.42578125" style="61" bestFit="1" customWidth="1"/>
    <col min="9731" max="9731" width="34.28515625" style="61" bestFit="1" customWidth="1"/>
    <col min="9732" max="9732" width="16.85546875" style="61" customWidth="1"/>
    <col min="9733" max="9733" width="11" style="61" customWidth="1"/>
    <col min="9734" max="9734" width="11.28515625" style="61" bestFit="1" customWidth="1"/>
    <col min="9735" max="9745" width="11.28515625" style="61" customWidth="1"/>
    <col min="9746" max="9746" width="12.7109375" style="61" bestFit="1" customWidth="1"/>
    <col min="9747" max="9747" width="9.5703125" style="61" bestFit="1" customWidth="1"/>
    <col min="9748" max="9985" width="9.140625" style="61"/>
    <col min="9986" max="9986" width="9.42578125" style="61" bestFit="1" customWidth="1"/>
    <col min="9987" max="9987" width="34.28515625" style="61" bestFit="1" customWidth="1"/>
    <col min="9988" max="9988" width="16.85546875" style="61" customWidth="1"/>
    <col min="9989" max="9989" width="11" style="61" customWidth="1"/>
    <col min="9990" max="9990" width="11.28515625" style="61" bestFit="1" customWidth="1"/>
    <col min="9991" max="10001" width="11.28515625" style="61" customWidth="1"/>
    <col min="10002" max="10002" width="12.7109375" style="61" bestFit="1" customWidth="1"/>
    <col min="10003" max="10003" width="9.5703125" style="61" bestFit="1" customWidth="1"/>
    <col min="10004" max="10241" width="9.140625" style="61"/>
    <col min="10242" max="10242" width="9.42578125" style="61" bestFit="1" customWidth="1"/>
    <col min="10243" max="10243" width="34.28515625" style="61" bestFit="1" customWidth="1"/>
    <col min="10244" max="10244" width="16.85546875" style="61" customWidth="1"/>
    <col min="10245" max="10245" width="11" style="61" customWidth="1"/>
    <col min="10246" max="10246" width="11.28515625" style="61" bestFit="1" customWidth="1"/>
    <col min="10247" max="10257" width="11.28515625" style="61" customWidth="1"/>
    <col min="10258" max="10258" width="12.7109375" style="61" bestFit="1" customWidth="1"/>
    <col min="10259" max="10259" width="9.5703125" style="61" bestFit="1" customWidth="1"/>
    <col min="10260" max="10497" width="9.140625" style="61"/>
    <col min="10498" max="10498" width="9.42578125" style="61" bestFit="1" customWidth="1"/>
    <col min="10499" max="10499" width="34.28515625" style="61" bestFit="1" customWidth="1"/>
    <col min="10500" max="10500" width="16.85546875" style="61" customWidth="1"/>
    <col min="10501" max="10501" width="11" style="61" customWidth="1"/>
    <col min="10502" max="10502" width="11.28515625" style="61" bestFit="1" customWidth="1"/>
    <col min="10503" max="10513" width="11.28515625" style="61" customWidth="1"/>
    <col min="10514" max="10514" width="12.7109375" style="61" bestFit="1" customWidth="1"/>
    <col min="10515" max="10515" width="9.5703125" style="61" bestFit="1" customWidth="1"/>
    <col min="10516" max="10753" width="9.140625" style="61"/>
    <col min="10754" max="10754" width="9.42578125" style="61" bestFit="1" customWidth="1"/>
    <col min="10755" max="10755" width="34.28515625" style="61" bestFit="1" customWidth="1"/>
    <col min="10756" max="10756" width="16.85546875" style="61" customWidth="1"/>
    <col min="10757" max="10757" width="11" style="61" customWidth="1"/>
    <col min="10758" max="10758" width="11.28515625" style="61" bestFit="1" customWidth="1"/>
    <col min="10759" max="10769" width="11.28515625" style="61" customWidth="1"/>
    <col min="10770" max="10770" width="12.7109375" style="61" bestFit="1" customWidth="1"/>
    <col min="10771" max="10771" width="9.5703125" style="61" bestFit="1" customWidth="1"/>
    <col min="10772" max="11009" width="9.140625" style="61"/>
    <col min="11010" max="11010" width="9.42578125" style="61" bestFit="1" customWidth="1"/>
    <col min="11011" max="11011" width="34.28515625" style="61" bestFit="1" customWidth="1"/>
    <col min="11012" max="11012" width="16.85546875" style="61" customWidth="1"/>
    <col min="11013" max="11013" width="11" style="61" customWidth="1"/>
    <col min="11014" max="11014" width="11.28515625" style="61" bestFit="1" customWidth="1"/>
    <col min="11015" max="11025" width="11.28515625" style="61" customWidth="1"/>
    <col min="11026" max="11026" width="12.7109375" style="61" bestFit="1" customWidth="1"/>
    <col min="11027" max="11027" width="9.5703125" style="61" bestFit="1" customWidth="1"/>
    <col min="11028" max="11265" width="9.140625" style="61"/>
    <col min="11266" max="11266" width="9.42578125" style="61" bestFit="1" customWidth="1"/>
    <col min="11267" max="11267" width="34.28515625" style="61" bestFit="1" customWidth="1"/>
    <col min="11268" max="11268" width="16.85546875" style="61" customWidth="1"/>
    <col min="11269" max="11269" width="11" style="61" customWidth="1"/>
    <col min="11270" max="11270" width="11.28515625" style="61" bestFit="1" customWidth="1"/>
    <col min="11271" max="11281" width="11.28515625" style="61" customWidth="1"/>
    <col min="11282" max="11282" width="12.7109375" style="61" bestFit="1" customWidth="1"/>
    <col min="11283" max="11283" width="9.5703125" style="61" bestFit="1" customWidth="1"/>
    <col min="11284" max="11521" width="9.140625" style="61"/>
    <col min="11522" max="11522" width="9.42578125" style="61" bestFit="1" customWidth="1"/>
    <col min="11523" max="11523" width="34.28515625" style="61" bestFit="1" customWidth="1"/>
    <col min="11524" max="11524" width="16.85546875" style="61" customWidth="1"/>
    <col min="11525" max="11525" width="11" style="61" customWidth="1"/>
    <col min="11526" max="11526" width="11.28515625" style="61" bestFit="1" customWidth="1"/>
    <col min="11527" max="11537" width="11.28515625" style="61" customWidth="1"/>
    <col min="11538" max="11538" width="12.7109375" style="61" bestFit="1" customWidth="1"/>
    <col min="11539" max="11539" width="9.5703125" style="61" bestFit="1" customWidth="1"/>
    <col min="11540" max="11777" width="9.140625" style="61"/>
    <col min="11778" max="11778" width="9.42578125" style="61" bestFit="1" customWidth="1"/>
    <col min="11779" max="11779" width="34.28515625" style="61" bestFit="1" customWidth="1"/>
    <col min="11780" max="11780" width="16.85546875" style="61" customWidth="1"/>
    <col min="11781" max="11781" width="11" style="61" customWidth="1"/>
    <col min="11782" max="11782" width="11.28515625" style="61" bestFit="1" customWidth="1"/>
    <col min="11783" max="11793" width="11.28515625" style="61" customWidth="1"/>
    <col min="11794" max="11794" width="12.7109375" style="61" bestFit="1" customWidth="1"/>
    <col min="11795" max="11795" width="9.5703125" style="61" bestFit="1" customWidth="1"/>
    <col min="11796" max="12033" width="9.140625" style="61"/>
    <col min="12034" max="12034" width="9.42578125" style="61" bestFit="1" customWidth="1"/>
    <col min="12035" max="12035" width="34.28515625" style="61" bestFit="1" customWidth="1"/>
    <col min="12036" max="12036" width="16.85546875" style="61" customWidth="1"/>
    <col min="12037" max="12037" width="11" style="61" customWidth="1"/>
    <col min="12038" max="12038" width="11.28515625" style="61" bestFit="1" customWidth="1"/>
    <col min="12039" max="12049" width="11.28515625" style="61" customWidth="1"/>
    <col min="12050" max="12050" width="12.7109375" style="61" bestFit="1" customWidth="1"/>
    <col min="12051" max="12051" width="9.5703125" style="61" bestFit="1" customWidth="1"/>
    <col min="12052" max="12289" width="9.140625" style="61"/>
    <col min="12290" max="12290" width="9.42578125" style="61" bestFit="1" customWidth="1"/>
    <col min="12291" max="12291" width="34.28515625" style="61" bestFit="1" customWidth="1"/>
    <col min="12292" max="12292" width="16.85546875" style="61" customWidth="1"/>
    <col min="12293" max="12293" width="11" style="61" customWidth="1"/>
    <col min="12294" max="12294" width="11.28515625" style="61" bestFit="1" customWidth="1"/>
    <col min="12295" max="12305" width="11.28515625" style="61" customWidth="1"/>
    <col min="12306" max="12306" width="12.7109375" style="61" bestFit="1" customWidth="1"/>
    <col min="12307" max="12307" width="9.5703125" style="61" bestFit="1" customWidth="1"/>
    <col min="12308" max="12545" width="9.140625" style="61"/>
    <col min="12546" max="12546" width="9.42578125" style="61" bestFit="1" customWidth="1"/>
    <col min="12547" max="12547" width="34.28515625" style="61" bestFit="1" customWidth="1"/>
    <col min="12548" max="12548" width="16.85546875" style="61" customWidth="1"/>
    <col min="12549" max="12549" width="11" style="61" customWidth="1"/>
    <col min="12550" max="12550" width="11.28515625" style="61" bestFit="1" customWidth="1"/>
    <col min="12551" max="12561" width="11.28515625" style="61" customWidth="1"/>
    <col min="12562" max="12562" width="12.7109375" style="61" bestFit="1" customWidth="1"/>
    <col min="12563" max="12563" width="9.5703125" style="61" bestFit="1" customWidth="1"/>
    <col min="12564" max="12801" width="9.140625" style="61"/>
    <col min="12802" max="12802" width="9.42578125" style="61" bestFit="1" customWidth="1"/>
    <col min="12803" max="12803" width="34.28515625" style="61" bestFit="1" customWidth="1"/>
    <col min="12804" max="12804" width="16.85546875" style="61" customWidth="1"/>
    <col min="12805" max="12805" width="11" style="61" customWidth="1"/>
    <col min="12806" max="12806" width="11.28515625" style="61" bestFit="1" customWidth="1"/>
    <col min="12807" max="12817" width="11.28515625" style="61" customWidth="1"/>
    <col min="12818" max="12818" width="12.7109375" style="61" bestFit="1" customWidth="1"/>
    <col min="12819" max="12819" width="9.5703125" style="61" bestFit="1" customWidth="1"/>
    <col min="12820" max="13057" width="9.140625" style="61"/>
    <col min="13058" max="13058" width="9.42578125" style="61" bestFit="1" customWidth="1"/>
    <col min="13059" max="13059" width="34.28515625" style="61" bestFit="1" customWidth="1"/>
    <col min="13060" max="13060" width="16.85546875" style="61" customWidth="1"/>
    <col min="13061" max="13061" width="11" style="61" customWidth="1"/>
    <col min="13062" max="13062" width="11.28515625" style="61" bestFit="1" customWidth="1"/>
    <col min="13063" max="13073" width="11.28515625" style="61" customWidth="1"/>
    <col min="13074" max="13074" width="12.7109375" style="61" bestFit="1" customWidth="1"/>
    <col min="13075" max="13075" width="9.5703125" style="61" bestFit="1" customWidth="1"/>
    <col min="13076" max="13313" width="9.140625" style="61"/>
    <col min="13314" max="13314" width="9.42578125" style="61" bestFit="1" customWidth="1"/>
    <col min="13315" max="13315" width="34.28515625" style="61" bestFit="1" customWidth="1"/>
    <col min="13316" max="13316" width="16.85546875" style="61" customWidth="1"/>
    <col min="13317" max="13317" width="11" style="61" customWidth="1"/>
    <col min="13318" max="13318" width="11.28515625" style="61" bestFit="1" customWidth="1"/>
    <col min="13319" max="13329" width="11.28515625" style="61" customWidth="1"/>
    <col min="13330" max="13330" width="12.7109375" style="61" bestFit="1" customWidth="1"/>
    <col min="13331" max="13331" width="9.5703125" style="61" bestFit="1" customWidth="1"/>
    <col min="13332" max="13569" width="9.140625" style="61"/>
    <col min="13570" max="13570" width="9.42578125" style="61" bestFit="1" customWidth="1"/>
    <col min="13571" max="13571" width="34.28515625" style="61" bestFit="1" customWidth="1"/>
    <col min="13572" max="13572" width="16.85546875" style="61" customWidth="1"/>
    <col min="13573" max="13573" width="11" style="61" customWidth="1"/>
    <col min="13574" max="13574" width="11.28515625" style="61" bestFit="1" customWidth="1"/>
    <col min="13575" max="13585" width="11.28515625" style="61" customWidth="1"/>
    <col min="13586" max="13586" width="12.7109375" style="61" bestFit="1" customWidth="1"/>
    <col min="13587" max="13587" width="9.5703125" style="61" bestFit="1" customWidth="1"/>
    <col min="13588" max="13825" width="9.140625" style="61"/>
    <col min="13826" max="13826" width="9.42578125" style="61" bestFit="1" customWidth="1"/>
    <col min="13827" max="13827" width="34.28515625" style="61" bestFit="1" customWidth="1"/>
    <col min="13828" max="13828" width="16.85546875" style="61" customWidth="1"/>
    <col min="13829" max="13829" width="11" style="61" customWidth="1"/>
    <col min="13830" max="13830" width="11.28515625" style="61" bestFit="1" customWidth="1"/>
    <col min="13831" max="13841" width="11.28515625" style="61" customWidth="1"/>
    <col min="13842" max="13842" width="12.7109375" style="61" bestFit="1" customWidth="1"/>
    <col min="13843" max="13843" width="9.5703125" style="61" bestFit="1" customWidth="1"/>
    <col min="13844" max="14081" width="9.140625" style="61"/>
    <col min="14082" max="14082" width="9.42578125" style="61" bestFit="1" customWidth="1"/>
    <col min="14083" max="14083" width="34.28515625" style="61" bestFit="1" customWidth="1"/>
    <col min="14084" max="14084" width="16.85546875" style="61" customWidth="1"/>
    <col min="14085" max="14085" width="11" style="61" customWidth="1"/>
    <col min="14086" max="14086" width="11.28515625" style="61" bestFit="1" customWidth="1"/>
    <col min="14087" max="14097" width="11.28515625" style="61" customWidth="1"/>
    <col min="14098" max="14098" width="12.7109375" style="61" bestFit="1" customWidth="1"/>
    <col min="14099" max="14099" width="9.5703125" style="61" bestFit="1" customWidth="1"/>
    <col min="14100" max="14337" width="9.140625" style="61"/>
    <col min="14338" max="14338" width="9.42578125" style="61" bestFit="1" customWidth="1"/>
    <col min="14339" max="14339" width="34.28515625" style="61" bestFit="1" customWidth="1"/>
    <col min="14340" max="14340" width="16.85546875" style="61" customWidth="1"/>
    <col min="14341" max="14341" width="11" style="61" customWidth="1"/>
    <col min="14342" max="14342" width="11.28515625" style="61" bestFit="1" customWidth="1"/>
    <col min="14343" max="14353" width="11.28515625" style="61" customWidth="1"/>
    <col min="14354" max="14354" width="12.7109375" style="61" bestFit="1" customWidth="1"/>
    <col min="14355" max="14355" width="9.5703125" style="61" bestFit="1" customWidth="1"/>
    <col min="14356" max="14593" width="9.140625" style="61"/>
    <col min="14594" max="14594" width="9.42578125" style="61" bestFit="1" customWidth="1"/>
    <col min="14595" max="14595" width="34.28515625" style="61" bestFit="1" customWidth="1"/>
    <col min="14596" max="14596" width="16.85546875" style="61" customWidth="1"/>
    <col min="14597" max="14597" width="11" style="61" customWidth="1"/>
    <col min="14598" max="14598" width="11.28515625" style="61" bestFit="1" customWidth="1"/>
    <col min="14599" max="14609" width="11.28515625" style="61" customWidth="1"/>
    <col min="14610" max="14610" width="12.7109375" style="61" bestFit="1" customWidth="1"/>
    <col min="14611" max="14611" width="9.5703125" style="61" bestFit="1" customWidth="1"/>
    <col min="14612" max="14849" width="9.140625" style="61"/>
    <col min="14850" max="14850" width="9.42578125" style="61" bestFit="1" customWidth="1"/>
    <col min="14851" max="14851" width="34.28515625" style="61" bestFit="1" customWidth="1"/>
    <col min="14852" max="14852" width="16.85546875" style="61" customWidth="1"/>
    <col min="14853" max="14853" width="11" style="61" customWidth="1"/>
    <col min="14854" max="14854" width="11.28515625" style="61" bestFit="1" customWidth="1"/>
    <col min="14855" max="14865" width="11.28515625" style="61" customWidth="1"/>
    <col min="14866" max="14866" width="12.7109375" style="61" bestFit="1" customWidth="1"/>
    <col min="14867" max="14867" width="9.5703125" style="61" bestFit="1" customWidth="1"/>
    <col min="14868" max="15105" width="9.140625" style="61"/>
    <col min="15106" max="15106" width="9.42578125" style="61" bestFit="1" customWidth="1"/>
    <col min="15107" max="15107" width="34.28515625" style="61" bestFit="1" customWidth="1"/>
    <col min="15108" max="15108" width="16.85546875" style="61" customWidth="1"/>
    <col min="15109" max="15109" width="11" style="61" customWidth="1"/>
    <col min="15110" max="15110" width="11.28515625" style="61" bestFit="1" customWidth="1"/>
    <col min="15111" max="15121" width="11.28515625" style="61" customWidth="1"/>
    <col min="15122" max="15122" width="12.7109375" style="61" bestFit="1" customWidth="1"/>
    <col min="15123" max="15123" width="9.5703125" style="61" bestFit="1" customWidth="1"/>
    <col min="15124" max="15361" width="9.140625" style="61"/>
    <col min="15362" max="15362" width="9.42578125" style="61" bestFit="1" customWidth="1"/>
    <col min="15363" max="15363" width="34.28515625" style="61" bestFit="1" customWidth="1"/>
    <col min="15364" max="15364" width="16.85546875" style="61" customWidth="1"/>
    <col min="15365" max="15365" width="11" style="61" customWidth="1"/>
    <col min="15366" max="15366" width="11.28515625" style="61" bestFit="1" customWidth="1"/>
    <col min="15367" max="15377" width="11.28515625" style="61" customWidth="1"/>
    <col min="15378" max="15378" width="12.7109375" style="61" bestFit="1" customWidth="1"/>
    <col min="15379" max="15379" width="9.5703125" style="61" bestFit="1" customWidth="1"/>
    <col min="15380" max="15617" width="9.140625" style="61"/>
    <col min="15618" max="15618" width="9.42578125" style="61" bestFit="1" customWidth="1"/>
    <col min="15619" max="15619" width="34.28515625" style="61" bestFit="1" customWidth="1"/>
    <col min="15620" max="15620" width="16.85546875" style="61" customWidth="1"/>
    <col min="15621" max="15621" width="11" style="61" customWidth="1"/>
    <col min="15622" max="15622" width="11.28515625" style="61" bestFit="1" customWidth="1"/>
    <col min="15623" max="15633" width="11.28515625" style="61" customWidth="1"/>
    <col min="15634" max="15634" width="12.7109375" style="61" bestFit="1" customWidth="1"/>
    <col min="15635" max="15635" width="9.5703125" style="61" bestFit="1" customWidth="1"/>
    <col min="15636" max="15873" width="9.140625" style="61"/>
    <col min="15874" max="15874" width="9.42578125" style="61" bestFit="1" customWidth="1"/>
    <col min="15875" max="15875" width="34.28515625" style="61" bestFit="1" customWidth="1"/>
    <col min="15876" max="15876" width="16.85546875" style="61" customWidth="1"/>
    <col min="15877" max="15877" width="11" style="61" customWidth="1"/>
    <col min="15878" max="15878" width="11.28515625" style="61" bestFit="1" customWidth="1"/>
    <col min="15879" max="15889" width="11.28515625" style="61" customWidth="1"/>
    <col min="15890" max="15890" width="12.7109375" style="61" bestFit="1" customWidth="1"/>
    <col min="15891" max="15891" width="9.5703125" style="61" bestFit="1" customWidth="1"/>
    <col min="15892" max="16129" width="9.140625" style="61"/>
    <col min="16130" max="16130" width="9.42578125" style="61" bestFit="1" customWidth="1"/>
    <col min="16131" max="16131" width="34.28515625" style="61" bestFit="1" customWidth="1"/>
    <col min="16132" max="16132" width="16.85546875" style="61" customWidth="1"/>
    <col min="16133" max="16133" width="11" style="61" customWidth="1"/>
    <col min="16134" max="16134" width="11.28515625" style="61" bestFit="1" customWidth="1"/>
    <col min="16135" max="16145" width="11.28515625" style="61" customWidth="1"/>
    <col min="16146" max="16146" width="12.7109375" style="61" bestFit="1" customWidth="1"/>
    <col min="16147" max="16147" width="9.5703125" style="61" bestFit="1" customWidth="1"/>
    <col min="16148" max="16384" width="9.140625" style="61"/>
  </cols>
  <sheetData>
    <row r="1" spans="1:59" x14ac:dyDescent="0.2">
      <c r="C1" s="41"/>
      <c r="D1" s="42"/>
      <c r="E1" s="42"/>
      <c r="F1" s="41" t="s">
        <v>49</v>
      </c>
      <c r="G1" s="41" t="s">
        <v>48</v>
      </c>
      <c r="H1" s="41" t="s">
        <v>47</v>
      </c>
      <c r="I1" s="41" t="s">
        <v>46</v>
      </c>
      <c r="J1" s="41" t="s">
        <v>45</v>
      </c>
      <c r="K1" s="41" t="s">
        <v>44</v>
      </c>
      <c r="L1" s="41" t="s">
        <v>43</v>
      </c>
      <c r="M1" s="41" t="s">
        <v>42</v>
      </c>
      <c r="N1" s="41" t="s">
        <v>41</v>
      </c>
      <c r="O1" s="41" t="s">
        <v>40</v>
      </c>
      <c r="P1" s="41" t="s">
        <v>39</v>
      </c>
      <c r="Q1" s="41" t="s">
        <v>38</v>
      </c>
      <c r="R1" s="41" t="s">
        <v>37</v>
      </c>
    </row>
    <row r="2" spans="1:59" x14ac:dyDescent="0.2">
      <c r="B2" s="35" t="s">
        <v>344</v>
      </c>
      <c r="F2" s="304">
        <f>'MO STATS'!E4</f>
        <v>0</v>
      </c>
      <c r="G2" s="304">
        <f>'MO STATS'!F4</f>
        <v>0</v>
      </c>
      <c r="H2" s="304">
        <f>'MO STATS'!G4</f>
        <v>0</v>
      </c>
      <c r="I2" s="304">
        <f>'MO STATS'!H4</f>
        <v>0</v>
      </c>
      <c r="J2" s="304">
        <f>'MO STATS'!I4</f>
        <v>0</v>
      </c>
      <c r="K2" s="304">
        <f>'MO STATS'!J4</f>
        <v>0</v>
      </c>
      <c r="L2" s="304">
        <f>'MO STATS'!K4</f>
        <v>0</v>
      </c>
      <c r="M2" s="304">
        <f>'MO STATS'!L4</f>
        <v>0</v>
      </c>
      <c r="N2" s="304">
        <f>'MO STATS'!M4</f>
        <v>0</v>
      </c>
      <c r="O2" s="304">
        <f>'MO STATS'!N4</f>
        <v>0</v>
      </c>
      <c r="P2" s="304">
        <f>'MO STATS'!O4</f>
        <v>0</v>
      </c>
      <c r="Q2" s="304">
        <f>'MO STATS'!P4</f>
        <v>0</v>
      </c>
      <c r="R2" s="59">
        <f>SUM(F2:Q2)</f>
        <v>0</v>
      </c>
      <c r="S2" s="48">
        <f>C2-R2</f>
        <v>0</v>
      </c>
    </row>
    <row r="3" spans="1:59" x14ac:dyDescent="0.2">
      <c r="B3" s="72"/>
      <c r="C3" s="73"/>
    </row>
    <row r="4" spans="1:59" x14ac:dyDescent="0.2">
      <c r="A4" s="712" t="s">
        <v>35</v>
      </c>
      <c r="B4" s="712"/>
      <c r="C4" s="712"/>
    </row>
    <row r="5" spans="1:59" x14ac:dyDescent="0.2">
      <c r="A5" s="21"/>
      <c r="B5" s="10" t="s">
        <v>345</v>
      </c>
      <c r="C5" s="20"/>
      <c r="D5" s="74" t="s">
        <v>346</v>
      </c>
      <c r="E5" s="42"/>
    </row>
    <row r="6" spans="1:59" x14ac:dyDescent="0.2">
      <c r="A6" s="16"/>
      <c r="B6" s="55" t="s">
        <v>33</v>
      </c>
      <c r="C6" s="75">
        <f>D6*C$2</f>
        <v>0</v>
      </c>
      <c r="D6" s="57"/>
      <c r="E6" s="50"/>
      <c r="F6" s="398">
        <f t="shared" ref="F6:Q12" si="0">$D6*F$2</f>
        <v>0</v>
      </c>
      <c r="G6" s="398">
        <f t="shared" si="0"/>
        <v>0</v>
      </c>
      <c r="H6" s="398">
        <f t="shared" si="0"/>
        <v>0</v>
      </c>
      <c r="I6" s="398">
        <f t="shared" si="0"/>
        <v>0</v>
      </c>
      <c r="J6" s="398">
        <f t="shared" si="0"/>
        <v>0</v>
      </c>
      <c r="K6" s="398">
        <f t="shared" si="0"/>
        <v>0</v>
      </c>
      <c r="L6" s="398">
        <f t="shared" si="0"/>
        <v>0</v>
      </c>
      <c r="M6" s="398">
        <f t="shared" si="0"/>
        <v>0</v>
      </c>
      <c r="N6" s="398">
        <f t="shared" si="0"/>
        <v>0</v>
      </c>
      <c r="O6" s="398">
        <f t="shared" si="0"/>
        <v>0</v>
      </c>
      <c r="P6" s="398">
        <f t="shared" si="0"/>
        <v>0</v>
      </c>
      <c r="Q6" s="398">
        <f t="shared" si="0"/>
        <v>0</v>
      </c>
      <c r="R6" s="398">
        <f>SUM(F6:Q6)</f>
        <v>0</v>
      </c>
      <c r="S6" s="48">
        <f>C6-R6</f>
        <v>0</v>
      </c>
    </row>
    <row r="7" spans="1:59" x14ac:dyDescent="0.2">
      <c r="A7" s="16"/>
      <c r="B7" s="55" t="s">
        <v>32</v>
      </c>
      <c r="C7" s="75">
        <f t="shared" ref="C7:C12" si="1">D7*C$2</f>
        <v>0</v>
      </c>
      <c r="D7" s="57"/>
      <c r="E7" s="50"/>
      <c r="F7" s="398">
        <f t="shared" si="0"/>
        <v>0</v>
      </c>
      <c r="G7" s="398">
        <f t="shared" si="0"/>
        <v>0</v>
      </c>
      <c r="H7" s="398">
        <f t="shared" si="0"/>
        <v>0</v>
      </c>
      <c r="I7" s="398">
        <f t="shared" si="0"/>
        <v>0</v>
      </c>
      <c r="J7" s="398">
        <f t="shared" si="0"/>
        <v>0</v>
      </c>
      <c r="K7" s="398">
        <f t="shared" si="0"/>
        <v>0</v>
      </c>
      <c r="L7" s="398">
        <f t="shared" si="0"/>
        <v>0</v>
      </c>
      <c r="M7" s="398">
        <f t="shared" si="0"/>
        <v>0</v>
      </c>
      <c r="N7" s="398">
        <f t="shared" si="0"/>
        <v>0</v>
      </c>
      <c r="O7" s="398">
        <f t="shared" si="0"/>
        <v>0</v>
      </c>
      <c r="P7" s="398">
        <f t="shared" si="0"/>
        <v>0</v>
      </c>
      <c r="Q7" s="398">
        <f t="shared" si="0"/>
        <v>0</v>
      </c>
      <c r="R7" s="398">
        <f t="shared" ref="R7:R12" si="2">SUM(F7:Q7)</f>
        <v>0</v>
      </c>
      <c r="S7" s="48">
        <f t="shared" ref="S7:S40" si="3">C7-R7</f>
        <v>0</v>
      </c>
    </row>
    <row r="8" spans="1:59" x14ac:dyDescent="0.2">
      <c r="A8" s="16"/>
      <c r="B8" s="55" t="s">
        <v>31</v>
      </c>
      <c r="C8" s="75">
        <f t="shared" si="1"/>
        <v>0</v>
      </c>
      <c r="D8" s="57"/>
      <c r="E8" s="50"/>
      <c r="F8" s="398">
        <f t="shared" si="0"/>
        <v>0</v>
      </c>
      <c r="G8" s="398">
        <f t="shared" si="0"/>
        <v>0</v>
      </c>
      <c r="H8" s="398">
        <f t="shared" si="0"/>
        <v>0</v>
      </c>
      <c r="I8" s="398">
        <f t="shared" si="0"/>
        <v>0</v>
      </c>
      <c r="J8" s="398">
        <f t="shared" si="0"/>
        <v>0</v>
      </c>
      <c r="K8" s="398">
        <f t="shared" si="0"/>
        <v>0</v>
      </c>
      <c r="L8" s="398">
        <f t="shared" si="0"/>
        <v>0</v>
      </c>
      <c r="M8" s="398">
        <f t="shared" si="0"/>
        <v>0</v>
      </c>
      <c r="N8" s="398">
        <f t="shared" si="0"/>
        <v>0</v>
      </c>
      <c r="O8" s="398">
        <f t="shared" si="0"/>
        <v>0</v>
      </c>
      <c r="P8" s="398">
        <f t="shared" si="0"/>
        <v>0</v>
      </c>
      <c r="Q8" s="398">
        <f t="shared" si="0"/>
        <v>0</v>
      </c>
      <c r="R8" s="398">
        <f t="shared" si="2"/>
        <v>0</v>
      </c>
      <c r="S8" s="48">
        <f t="shared" si="3"/>
        <v>0</v>
      </c>
    </row>
    <row r="9" spans="1:59" x14ac:dyDescent="0.2">
      <c r="A9" s="16"/>
      <c r="B9" s="55" t="s">
        <v>30</v>
      </c>
      <c r="C9" s="75">
        <f t="shared" si="1"/>
        <v>0</v>
      </c>
      <c r="D9" s="57"/>
      <c r="E9" s="50"/>
      <c r="F9" s="398">
        <f t="shared" si="0"/>
        <v>0</v>
      </c>
      <c r="G9" s="398">
        <f t="shared" si="0"/>
        <v>0</v>
      </c>
      <c r="H9" s="398">
        <f t="shared" si="0"/>
        <v>0</v>
      </c>
      <c r="I9" s="398">
        <f t="shared" si="0"/>
        <v>0</v>
      </c>
      <c r="J9" s="398">
        <f t="shared" si="0"/>
        <v>0</v>
      </c>
      <c r="K9" s="398">
        <f t="shared" si="0"/>
        <v>0</v>
      </c>
      <c r="L9" s="398">
        <f t="shared" si="0"/>
        <v>0</v>
      </c>
      <c r="M9" s="398">
        <f t="shared" si="0"/>
        <v>0</v>
      </c>
      <c r="N9" s="398">
        <f t="shared" si="0"/>
        <v>0</v>
      </c>
      <c r="O9" s="398">
        <f t="shared" si="0"/>
        <v>0</v>
      </c>
      <c r="P9" s="398">
        <f t="shared" si="0"/>
        <v>0</v>
      </c>
      <c r="Q9" s="398">
        <f t="shared" si="0"/>
        <v>0</v>
      </c>
      <c r="R9" s="398">
        <f t="shared" si="2"/>
        <v>0</v>
      </c>
      <c r="S9" s="48">
        <f t="shared" si="3"/>
        <v>0</v>
      </c>
    </row>
    <row r="10" spans="1:59" x14ac:dyDescent="0.2">
      <c r="A10" s="16"/>
      <c r="B10" s="55" t="s">
        <v>29</v>
      </c>
      <c r="C10" s="75">
        <f t="shared" si="1"/>
        <v>0</v>
      </c>
      <c r="D10" s="57"/>
      <c r="E10" s="50"/>
      <c r="F10" s="398">
        <f t="shared" si="0"/>
        <v>0</v>
      </c>
      <c r="G10" s="398">
        <f t="shared" si="0"/>
        <v>0</v>
      </c>
      <c r="H10" s="398">
        <f t="shared" si="0"/>
        <v>0</v>
      </c>
      <c r="I10" s="398">
        <f t="shared" si="0"/>
        <v>0</v>
      </c>
      <c r="J10" s="398">
        <f t="shared" si="0"/>
        <v>0</v>
      </c>
      <c r="K10" s="398">
        <f t="shared" si="0"/>
        <v>0</v>
      </c>
      <c r="L10" s="398">
        <f t="shared" si="0"/>
        <v>0</v>
      </c>
      <c r="M10" s="398">
        <f t="shared" si="0"/>
        <v>0</v>
      </c>
      <c r="N10" s="398">
        <f t="shared" si="0"/>
        <v>0</v>
      </c>
      <c r="O10" s="398">
        <f t="shared" si="0"/>
        <v>0</v>
      </c>
      <c r="P10" s="398">
        <f t="shared" si="0"/>
        <v>0</v>
      </c>
      <c r="Q10" s="398">
        <f t="shared" si="0"/>
        <v>0</v>
      </c>
      <c r="R10" s="398">
        <f t="shared" si="2"/>
        <v>0</v>
      </c>
      <c r="S10" s="48">
        <f t="shared" si="3"/>
        <v>0</v>
      </c>
    </row>
    <row r="11" spans="1:59" x14ac:dyDescent="0.2">
      <c r="A11" s="16"/>
      <c r="B11" s="55" t="s">
        <v>28</v>
      </c>
      <c r="C11" s="75">
        <f t="shared" si="1"/>
        <v>0</v>
      </c>
      <c r="D11" s="57"/>
      <c r="E11" s="50"/>
      <c r="F11" s="398">
        <f t="shared" si="0"/>
        <v>0</v>
      </c>
      <c r="G11" s="398">
        <f t="shared" si="0"/>
        <v>0</v>
      </c>
      <c r="H11" s="398">
        <f t="shared" si="0"/>
        <v>0</v>
      </c>
      <c r="I11" s="398">
        <f t="shared" si="0"/>
        <v>0</v>
      </c>
      <c r="J11" s="398">
        <f t="shared" si="0"/>
        <v>0</v>
      </c>
      <c r="K11" s="398">
        <f t="shared" si="0"/>
        <v>0</v>
      </c>
      <c r="L11" s="398">
        <f t="shared" si="0"/>
        <v>0</v>
      </c>
      <c r="M11" s="398">
        <f t="shared" si="0"/>
        <v>0</v>
      </c>
      <c r="N11" s="398">
        <f t="shared" si="0"/>
        <v>0</v>
      </c>
      <c r="O11" s="398">
        <f t="shared" si="0"/>
        <v>0</v>
      </c>
      <c r="P11" s="398">
        <f t="shared" si="0"/>
        <v>0</v>
      </c>
      <c r="Q11" s="398">
        <f t="shared" si="0"/>
        <v>0</v>
      </c>
      <c r="R11" s="398">
        <f t="shared" si="2"/>
        <v>0</v>
      </c>
      <c r="S11" s="48">
        <f t="shared" si="3"/>
        <v>0</v>
      </c>
    </row>
    <row r="12" spans="1:59" x14ac:dyDescent="0.2">
      <c r="A12" s="16"/>
      <c r="B12" s="55" t="s">
        <v>27</v>
      </c>
      <c r="C12" s="75">
        <f t="shared" si="1"/>
        <v>0</v>
      </c>
      <c r="D12" s="57"/>
      <c r="E12" s="50"/>
      <c r="F12" s="398">
        <f t="shared" si="0"/>
        <v>0</v>
      </c>
      <c r="G12" s="398">
        <f t="shared" si="0"/>
        <v>0</v>
      </c>
      <c r="H12" s="398">
        <f t="shared" si="0"/>
        <v>0</v>
      </c>
      <c r="I12" s="398">
        <f t="shared" si="0"/>
        <v>0</v>
      </c>
      <c r="J12" s="398">
        <f t="shared" si="0"/>
        <v>0</v>
      </c>
      <c r="K12" s="398">
        <f t="shared" si="0"/>
        <v>0</v>
      </c>
      <c r="L12" s="398">
        <f t="shared" si="0"/>
        <v>0</v>
      </c>
      <c r="M12" s="398">
        <f t="shared" si="0"/>
        <v>0</v>
      </c>
      <c r="N12" s="398">
        <f t="shared" si="0"/>
        <v>0</v>
      </c>
      <c r="O12" s="398">
        <f t="shared" si="0"/>
        <v>0</v>
      </c>
      <c r="P12" s="398">
        <f t="shared" si="0"/>
        <v>0</v>
      </c>
      <c r="Q12" s="398">
        <f t="shared" si="0"/>
        <v>0</v>
      </c>
      <c r="R12" s="398">
        <f t="shared" si="2"/>
        <v>0</v>
      </c>
      <c r="S12" s="48">
        <f t="shared" si="3"/>
        <v>0</v>
      </c>
    </row>
    <row r="13" spans="1:59" x14ac:dyDescent="0.2">
      <c r="A13" s="87">
        <v>31110.003000000001</v>
      </c>
      <c r="B13" s="175" t="s">
        <v>347</v>
      </c>
      <c r="C13" s="293">
        <f>SUM(C6:C12)</f>
        <v>0</v>
      </c>
      <c r="D13" s="295"/>
      <c r="E13" s="295"/>
      <c r="F13" s="399">
        <f>SUM(F6:F12)</f>
        <v>0</v>
      </c>
      <c r="G13" s="399">
        <f t="shared" ref="G13:R13" si="4">SUM(G6:G12)</f>
        <v>0</v>
      </c>
      <c r="H13" s="399">
        <f t="shared" si="4"/>
        <v>0</v>
      </c>
      <c r="I13" s="399">
        <f t="shared" si="4"/>
        <v>0</v>
      </c>
      <c r="J13" s="399">
        <f t="shared" si="4"/>
        <v>0</v>
      </c>
      <c r="K13" s="399">
        <f t="shared" si="4"/>
        <v>0</v>
      </c>
      <c r="L13" s="399">
        <f t="shared" si="4"/>
        <v>0</v>
      </c>
      <c r="M13" s="399">
        <f t="shared" si="4"/>
        <v>0</v>
      </c>
      <c r="N13" s="399">
        <f t="shared" si="4"/>
        <v>0</v>
      </c>
      <c r="O13" s="399">
        <f t="shared" si="4"/>
        <v>0</v>
      </c>
      <c r="P13" s="399">
        <f t="shared" si="4"/>
        <v>0</v>
      </c>
      <c r="Q13" s="399">
        <f t="shared" si="4"/>
        <v>0</v>
      </c>
      <c r="R13" s="399">
        <f t="shared" si="4"/>
        <v>0</v>
      </c>
      <c r="S13" s="294">
        <f t="shared" si="3"/>
        <v>0</v>
      </c>
    </row>
    <row r="14" spans="1:59" s="60" customFormat="1" x14ac:dyDescent="0.2">
      <c r="A14" s="16"/>
      <c r="B14" s="10" t="s">
        <v>0</v>
      </c>
      <c r="C14" s="293">
        <f>SUM(C6:C12)</f>
        <v>0</v>
      </c>
      <c r="D14" s="295" t="e">
        <f>(C14/C$2)</f>
        <v>#DIV/0!</v>
      </c>
      <c r="E14" s="295"/>
      <c r="F14" s="370">
        <f t="shared" ref="F14:R14" si="5">SUM(F6:F12)</f>
        <v>0</v>
      </c>
      <c r="G14" s="370">
        <f t="shared" si="5"/>
        <v>0</v>
      </c>
      <c r="H14" s="370">
        <f t="shared" si="5"/>
        <v>0</v>
      </c>
      <c r="I14" s="370">
        <f t="shared" si="5"/>
        <v>0</v>
      </c>
      <c r="J14" s="370">
        <f t="shared" si="5"/>
        <v>0</v>
      </c>
      <c r="K14" s="370">
        <f t="shared" si="5"/>
        <v>0</v>
      </c>
      <c r="L14" s="370">
        <f t="shared" si="5"/>
        <v>0</v>
      </c>
      <c r="M14" s="370">
        <f t="shared" si="5"/>
        <v>0</v>
      </c>
      <c r="N14" s="370">
        <f t="shared" si="5"/>
        <v>0</v>
      </c>
      <c r="O14" s="370">
        <f t="shared" si="5"/>
        <v>0</v>
      </c>
      <c r="P14" s="370">
        <f t="shared" si="5"/>
        <v>0</v>
      </c>
      <c r="Q14" s="370">
        <f t="shared" si="5"/>
        <v>0</v>
      </c>
      <c r="R14" s="370">
        <f t="shared" si="5"/>
        <v>0</v>
      </c>
      <c r="S14" s="294">
        <f t="shared" si="3"/>
        <v>0</v>
      </c>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row>
    <row r="15" spans="1:59" s="60" customFormat="1" x14ac:dyDescent="0.2">
      <c r="A15" s="16"/>
      <c r="B15" s="10"/>
      <c r="C15" s="8"/>
      <c r="D15" s="58"/>
      <c r="E15" s="89"/>
      <c r="F15" s="397"/>
      <c r="G15" s="397"/>
      <c r="H15" s="397"/>
      <c r="I15" s="397"/>
      <c r="J15" s="397"/>
      <c r="K15" s="397"/>
      <c r="L15" s="397"/>
      <c r="M15" s="397"/>
      <c r="N15" s="397"/>
      <c r="O15" s="397"/>
      <c r="P15" s="397"/>
      <c r="Q15" s="397"/>
      <c r="R15" s="397"/>
      <c r="S15" s="48"/>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row>
    <row r="16" spans="1:59" s="60" customFormat="1" x14ac:dyDescent="0.2">
      <c r="A16" s="16"/>
      <c r="B16" s="10"/>
      <c r="C16" s="8"/>
      <c r="D16" s="58"/>
      <c r="E16" s="89"/>
      <c r="F16" s="397"/>
      <c r="G16" s="397"/>
      <c r="H16" s="397"/>
      <c r="I16" s="397"/>
      <c r="J16" s="397"/>
      <c r="K16" s="397"/>
      <c r="L16" s="397"/>
      <c r="M16" s="397"/>
      <c r="N16" s="397"/>
      <c r="O16" s="397"/>
      <c r="P16" s="397"/>
      <c r="Q16" s="397"/>
      <c r="R16" s="397"/>
      <c r="S16" s="48"/>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row>
    <row r="17" spans="1:59" x14ac:dyDescent="0.2">
      <c r="A17" s="712" t="s">
        <v>25</v>
      </c>
      <c r="B17" s="712"/>
      <c r="C17" s="712"/>
      <c r="D17" s="76"/>
      <c r="F17" s="400"/>
      <c r="G17" s="400"/>
      <c r="H17" s="400"/>
      <c r="I17" s="400"/>
      <c r="J17" s="400"/>
      <c r="K17" s="400"/>
      <c r="L17" s="400"/>
      <c r="M17" s="400"/>
      <c r="N17" s="400"/>
      <c r="O17" s="400"/>
      <c r="P17" s="400"/>
      <c r="Q17" s="400"/>
      <c r="R17" s="400"/>
      <c r="S17" s="48"/>
    </row>
    <row r="18" spans="1:59" s="62" customFormat="1" x14ac:dyDescent="0.2">
      <c r="A18" s="31"/>
      <c r="B18" s="77" t="s">
        <v>345</v>
      </c>
      <c r="C18" s="78"/>
      <c r="D18" s="74" t="s">
        <v>346</v>
      </c>
      <c r="E18" s="42"/>
      <c r="F18" s="402"/>
      <c r="G18" s="402"/>
      <c r="H18" s="402"/>
      <c r="I18" s="402"/>
      <c r="J18" s="402"/>
      <c r="K18" s="402"/>
      <c r="L18" s="402"/>
      <c r="M18" s="402"/>
      <c r="N18" s="402"/>
      <c r="O18" s="402"/>
      <c r="P18" s="402"/>
      <c r="Q18" s="402"/>
      <c r="R18" s="402"/>
      <c r="S18" s="48"/>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row>
    <row r="19" spans="1:59" s="62" customFormat="1" x14ac:dyDescent="0.2">
      <c r="A19" s="87">
        <v>41101.002999999997</v>
      </c>
      <c r="B19" s="15" t="s">
        <v>22</v>
      </c>
      <c r="C19" s="18"/>
      <c r="D19" s="57">
        <v>0</v>
      </c>
      <c r="E19" s="50"/>
      <c r="F19" s="398">
        <f t="shared" ref="F19:Q38" si="6">$D19*F$2</f>
        <v>0</v>
      </c>
      <c r="G19" s="398">
        <f t="shared" si="6"/>
        <v>0</v>
      </c>
      <c r="H19" s="398">
        <f t="shared" si="6"/>
        <v>0</v>
      </c>
      <c r="I19" s="398">
        <f t="shared" si="6"/>
        <v>0</v>
      </c>
      <c r="J19" s="398">
        <f t="shared" si="6"/>
        <v>0</v>
      </c>
      <c r="K19" s="398">
        <f t="shared" si="6"/>
        <v>0</v>
      </c>
      <c r="L19" s="398">
        <f t="shared" si="6"/>
        <v>0</v>
      </c>
      <c r="M19" s="398">
        <f t="shared" si="6"/>
        <v>0</v>
      </c>
      <c r="N19" s="398">
        <f t="shared" si="6"/>
        <v>0</v>
      </c>
      <c r="O19" s="398">
        <f t="shared" si="6"/>
        <v>0</v>
      </c>
      <c r="P19" s="398">
        <f t="shared" si="6"/>
        <v>0</v>
      </c>
      <c r="Q19" s="398">
        <f t="shared" si="6"/>
        <v>0</v>
      </c>
      <c r="R19" s="398">
        <f t="shared" ref="R19:R39" si="7">SUM(F19:Q19)</f>
        <v>0</v>
      </c>
      <c r="S19" s="48">
        <f t="shared" si="3"/>
        <v>0</v>
      </c>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row>
    <row r="20" spans="1:59" s="62" customFormat="1" x14ac:dyDescent="0.2">
      <c r="A20" s="87">
        <v>41110.002999999997</v>
      </c>
      <c r="B20" s="15" t="s">
        <v>21</v>
      </c>
      <c r="C20" s="14"/>
      <c r="D20" s="57">
        <v>0</v>
      </c>
      <c r="E20" s="50"/>
      <c r="F20" s="398">
        <f t="shared" si="6"/>
        <v>0</v>
      </c>
      <c r="G20" s="398">
        <f t="shared" si="6"/>
        <v>0</v>
      </c>
      <c r="H20" s="398">
        <f t="shared" si="6"/>
        <v>0</v>
      </c>
      <c r="I20" s="398">
        <f t="shared" si="6"/>
        <v>0</v>
      </c>
      <c r="J20" s="398">
        <f t="shared" si="6"/>
        <v>0</v>
      </c>
      <c r="K20" s="398">
        <f t="shared" si="6"/>
        <v>0</v>
      </c>
      <c r="L20" s="398">
        <f t="shared" si="6"/>
        <v>0</v>
      </c>
      <c r="M20" s="398">
        <f t="shared" si="6"/>
        <v>0</v>
      </c>
      <c r="N20" s="398">
        <f t="shared" si="6"/>
        <v>0</v>
      </c>
      <c r="O20" s="398">
        <f t="shared" si="6"/>
        <v>0</v>
      </c>
      <c r="P20" s="398">
        <f t="shared" si="6"/>
        <v>0</v>
      </c>
      <c r="Q20" s="398">
        <f t="shared" si="6"/>
        <v>0</v>
      </c>
      <c r="R20" s="398">
        <f t="shared" si="7"/>
        <v>0</v>
      </c>
      <c r="S20" s="48">
        <f t="shared" si="3"/>
        <v>0</v>
      </c>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row>
    <row r="21" spans="1:59" s="62" customFormat="1" x14ac:dyDescent="0.2">
      <c r="A21" s="87">
        <v>41115.002999999997</v>
      </c>
      <c r="B21" s="15" t="s">
        <v>20</v>
      </c>
      <c r="C21" s="14"/>
      <c r="D21" s="57">
        <v>0</v>
      </c>
      <c r="E21" s="50"/>
      <c r="F21" s="398">
        <f t="shared" si="6"/>
        <v>0</v>
      </c>
      <c r="G21" s="398">
        <f t="shared" si="6"/>
        <v>0</v>
      </c>
      <c r="H21" s="398">
        <f t="shared" si="6"/>
        <v>0</v>
      </c>
      <c r="I21" s="398">
        <f t="shared" si="6"/>
        <v>0</v>
      </c>
      <c r="J21" s="398">
        <f t="shared" si="6"/>
        <v>0</v>
      </c>
      <c r="K21" s="398">
        <f t="shared" si="6"/>
        <v>0</v>
      </c>
      <c r="L21" s="398">
        <f t="shared" si="6"/>
        <v>0</v>
      </c>
      <c r="M21" s="398">
        <f t="shared" si="6"/>
        <v>0</v>
      </c>
      <c r="N21" s="398">
        <f t="shared" si="6"/>
        <v>0</v>
      </c>
      <c r="O21" s="398">
        <f t="shared" si="6"/>
        <v>0</v>
      </c>
      <c r="P21" s="398">
        <f t="shared" si="6"/>
        <v>0</v>
      </c>
      <c r="Q21" s="398">
        <f t="shared" si="6"/>
        <v>0</v>
      </c>
      <c r="R21" s="398">
        <f t="shared" si="7"/>
        <v>0</v>
      </c>
      <c r="S21" s="48">
        <f t="shared" si="3"/>
        <v>0</v>
      </c>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row>
    <row r="22" spans="1:59" s="62" customFormat="1" x14ac:dyDescent="0.2">
      <c r="A22" s="87">
        <v>41150.002999999997</v>
      </c>
      <c r="B22" s="15" t="s">
        <v>19</v>
      </c>
      <c r="C22" s="14"/>
      <c r="D22" s="57">
        <v>0</v>
      </c>
      <c r="E22" s="50"/>
      <c r="F22" s="398">
        <f t="shared" si="6"/>
        <v>0</v>
      </c>
      <c r="G22" s="398">
        <f t="shared" si="6"/>
        <v>0</v>
      </c>
      <c r="H22" s="398">
        <f t="shared" si="6"/>
        <v>0</v>
      </c>
      <c r="I22" s="398">
        <f t="shared" si="6"/>
        <v>0</v>
      </c>
      <c r="J22" s="398">
        <f t="shared" si="6"/>
        <v>0</v>
      </c>
      <c r="K22" s="398">
        <f t="shared" si="6"/>
        <v>0</v>
      </c>
      <c r="L22" s="398">
        <f t="shared" si="6"/>
        <v>0</v>
      </c>
      <c r="M22" s="398">
        <f t="shared" si="6"/>
        <v>0</v>
      </c>
      <c r="N22" s="398">
        <f t="shared" si="6"/>
        <v>0</v>
      </c>
      <c r="O22" s="398">
        <f t="shared" si="6"/>
        <v>0</v>
      </c>
      <c r="P22" s="398">
        <f t="shared" si="6"/>
        <v>0</v>
      </c>
      <c r="Q22" s="398">
        <f t="shared" si="6"/>
        <v>0</v>
      </c>
      <c r="R22" s="398">
        <f t="shared" si="7"/>
        <v>0</v>
      </c>
      <c r="S22" s="48">
        <f t="shared" si="3"/>
        <v>0</v>
      </c>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row>
    <row r="23" spans="1:59" s="62" customFormat="1" x14ac:dyDescent="0.2">
      <c r="A23" s="87">
        <v>41152.002999999997</v>
      </c>
      <c r="B23" s="15" t="s">
        <v>18</v>
      </c>
      <c r="C23" s="14"/>
      <c r="D23" s="57">
        <v>0</v>
      </c>
      <c r="E23" s="50"/>
      <c r="F23" s="398">
        <f t="shared" si="6"/>
        <v>0</v>
      </c>
      <c r="G23" s="398">
        <f t="shared" si="6"/>
        <v>0</v>
      </c>
      <c r="H23" s="398">
        <f t="shared" si="6"/>
        <v>0</v>
      </c>
      <c r="I23" s="398">
        <f t="shared" si="6"/>
        <v>0</v>
      </c>
      <c r="J23" s="398">
        <f t="shared" si="6"/>
        <v>0</v>
      </c>
      <c r="K23" s="398">
        <f t="shared" si="6"/>
        <v>0</v>
      </c>
      <c r="L23" s="398">
        <f t="shared" si="6"/>
        <v>0</v>
      </c>
      <c r="M23" s="398">
        <f t="shared" si="6"/>
        <v>0</v>
      </c>
      <c r="N23" s="398">
        <f t="shared" si="6"/>
        <v>0</v>
      </c>
      <c r="O23" s="398">
        <f t="shared" si="6"/>
        <v>0</v>
      </c>
      <c r="P23" s="398">
        <f t="shared" si="6"/>
        <v>0</v>
      </c>
      <c r="Q23" s="398">
        <f t="shared" si="6"/>
        <v>0</v>
      </c>
      <c r="R23" s="398">
        <f t="shared" si="7"/>
        <v>0</v>
      </c>
      <c r="S23" s="48">
        <f t="shared" si="3"/>
        <v>0</v>
      </c>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row>
    <row r="24" spans="1:59" s="62" customFormat="1" x14ac:dyDescent="0.2">
      <c r="A24" s="87">
        <v>41210.002999999997</v>
      </c>
      <c r="B24" s="15" t="s">
        <v>876</v>
      </c>
      <c r="C24" s="14"/>
      <c r="D24" s="57">
        <v>0</v>
      </c>
      <c r="E24" s="50"/>
      <c r="F24" s="398">
        <f t="shared" si="6"/>
        <v>0</v>
      </c>
      <c r="G24" s="398">
        <f t="shared" si="6"/>
        <v>0</v>
      </c>
      <c r="H24" s="398">
        <f t="shared" si="6"/>
        <v>0</v>
      </c>
      <c r="I24" s="398">
        <f t="shared" si="6"/>
        <v>0</v>
      </c>
      <c r="J24" s="398">
        <f t="shared" si="6"/>
        <v>0</v>
      </c>
      <c r="K24" s="398">
        <f t="shared" si="6"/>
        <v>0</v>
      </c>
      <c r="L24" s="398">
        <f t="shared" si="6"/>
        <v>0</v>
      </c>
      <c r="M24" s="398">
        <f t="shared" si="6"/>
        <v>0</v>
      </c>
      <c r="N24" s="398">
        <f t="shared" si="6"/>
        <v>0</v>
      </c>
      <c r="O24" s="398">
        <f t="shared" si="6"/>
        <v>0</v>
      </c>
      <c r="P24" s="398">
        <f t="shared" si="6"/>
        <v>0</v>
      </c>
      <c r="Q24" s="398">
        <f t="shared" si="6"/>
        <v>0</v>
      </c>
      <c r="R24" s="398">
        <f t="shared" ref="R24" si="8">SUM(F24:Q24)</f>
        <v>0</v>
      </c>
      <c r="S24" s="48">
        <f t="shared" ref="S24" si="9">C24-R24</f>
        <v>0</v>
      </c>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row>
    <row r="25" spans="1:59" s="62" customFormat="1" x14ac:dyDescent="0.2">
      <c r="A25" s="87">
        <v>41237.002999999997</v>
      </c>
      <c r="B25" s="15" t="s">
        <v>17</v>
      </c>
      <c r="C25" s="14"/>
      <c r="D25" s="57">
        <v>0</v>
      </c>
      <c r="E25" s="50"/>
      <c r="F25" s="398">
        <f t="shared" si="6"/>
        <v>0</v>
      </c>
      <c r="G25" s="398">
        <f t="shared" si="6"/>
        <v>0</v>
      </c>
      <c r="H25" s="398">
        <f t="shared" si="6"/>
        <v>0</v>
      </c>
      <c r="I25" s="398">
        <f t="shared" si="6"/>
        <v>0</v>
      </c>
      <c r="J25" s="398">
        <f t="shared" si="6"/>
        <v>0</v>
      </c>
      <c r="K25" s="398">
        <f t="shared" si="6"/>
        <v>0</v>
      </c>
      <c r="L25" s="398">
        <f t="shared" si="6"/>
        <v>0</v>
      </c>
      <c r="M25" s="398">
        <f t="shared" si="6"/>
        <v>0</v>
      </c>
      <c r="N25" s="398">
        <f t="shared" si="6"/>
        <v>0</v>
      </c>
      <c r="O25" s="398">
        <f t="shared" si="6"/>
        <v>0</v>
      </c>
      <c r="P25" s="398">
        <f t="shared" si="6"/>
        <v>0</v>
      </c>
      <c r="Q25" s="398">
        <f t="shared" si="6"/>
        <v>0</v>
      </c>
      <c r="R25" s="398">
        <f t="shared" si="7"/>
        <v>0</v>
      </c>
      <c r="S25" s="48">
        <f t="shared" si="3"/>
        <v>0</v>
      </c>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row>
    <row r="26" spans="1:59" s="62" customFormat="1" x14ac:dyDescent="0.2">
      <c r="A26" s="87">
        <v>41246.002999999997</v>
      </c>
      <c r="B26" s="15" t="s">
        <v>16</v>
      </c>
      <c r="C26" s="14"/>
      <c r="D26" s="57">
        <v>0</v>
      </c>
      <c r="E26" s="50"/>
      <c r="F26" s="398">
        <f t="shared" si="6"/>
        <v>0</v>
      </c>
      <c r="G26" s="398">
        <f t="shared" si="6"/>
        <v>0</v>
      </c>
      <c r="H26" s="398">
        <f t="shared" si="6"/>
        <v>0</v>
      </c>
      <c r="I26" s="398">
        <f t="shared" si="6"/>
        <v>0</v>
      </c>
      <c r="J26" s="398">
        <f t="shared" si="6"/>
        <v>0</v>
      </c>
      <c r="K26" s="398">
        <f t="shared" si="6"/>
        <v>0</v>
      </c>
      <c r="L26" s="398">
        <f t="shared" si="6"/>
        <v>0</v>
      </c>
      <c r="M26" s="398">
        <f t="shared" si="6"/>
        <v>0</v>
      </c>
      <c r="N26" s="398">
        <f t="shared" si="6"/>
        <v>0</v>
      </c>
      <c r="O26" s="398">
        <f t="shared" si="6"/>
        <v>0</v>
      </c>
      <c r="P26" s="398">
        <f t="shared" si="6"/>
        <v>0</v>
      </c>
      <c r="Q26" s="398">
        <f t="shared" si="6"/>
        <v>0</v>
      </c>
      <c r="R26" s="398">
        <f t="shared" si="7"/>
        <v>0</v>
      </c>
      <c r="S26" s="48">
        <f t="shared" si="3"/>
        <v>0</v>
      </c>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row>
    <row r="27" spans="1:59" s="62" customFormat="1" x14ac:dyDescent="0.2">
      <c r="A27" s="87">
        <v>41250.002999999997</v>
      </c>
      <c r="B27" s="15" t="s">
        <v>15</v>
      </c>
      <c r="C27" s="14"/>
      <c r="D27" s="57">
        <v>0</v>
      </c>
      <c r="E27" s="50"/>
      <c r="F27" s="398">
        <f t="shared" si="6"/>
        <v>0</v>
      </c>
      <c r="G27" s="398">
        <f t="shared" si="6"/>
        <v>0</v>
      </c>
      <c r="H27" s="398">
        <f t="shared" si="6"/>
        <v>0</v>
      </c>
      <c r="I27" s="398">
        <f t="shared" si="6"/>
        <v>0</v>
      </c>
      <c r="J27" s="398">
        <f t="shared" si="6"/>
        <v>0</v>
      </c>
      <c r="K27" s="398">
        <f t="shared" si="6"/>
        <v>0</v>
      </c>
      <c r="L27" s="398">
        <f t="shared" si="6"/>
        <v>0</v>
      </c>
      <c r="M27" s="398">
        <f t="shared" si="6"/>
        <v>0</v>
      </c>
      <c r="N27" s="398">
        <f t="shared" si="6"/>
        <v>0</v>
      </c>
      <c r="O27" s="398">
        <f t="shared" si="6"/>
        <v>0</v>
      </c>
      <c r="P27" s="398">
        <f t="shared" si="6"/>
        <v>0</v>
      </c>
      <c r="Q27" s="398">
        <f t="shared" si="6"/>
        <v>0</v>
      </c>
      <c r="R27" s="398">
        <f t="shared" si="7"/>
        <v>0</v>
      </c>
      <c r="S27" s="48">
        <f t="shared" si="3"/>
        <v>0</v>
      </c>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row>
    <row r="28" spans="1:59" s="62" customFormat="1" x14ac:dyDescent="0.2">
      <c r="A28" s="87">
        <v>41260.002999999997</v>
      </c>
      <c r="B28" s="15" t="s">
        <v>14</v>
      </c>
      <c r="C28" s="14"/>
      <c r="D28" s="57">
        <v>0</v>
      </c>
      <c r="E28" s="50"/>
      <c r="F28" s="398">
        <f t="shared" si="6"/>
        <v>0</v>
      </c>
      <c r="G28" s="398">
        <f t="shared" si="6"/>
        <v>0</v>
      </c>
      <c r="H28" s="398">
        <f t="shared" si="6"/>
        <v>0</v>
      </c>
      <c r="I28" s="398">
        <f t="shared" si="6"/>
        <v>0</v>
      </c>
      <c r="J28" s="398">
        <f t="shared" si="6"/>
        <v>0</v>
      </c>
      <c r="K28" s="398">
        <f t="shared" si="6"/>
        <v>0</v>
      </c>
      <c r="L28" s="398">
        <f t="shared" si="6"/>
        <v>0</v>
      </c>
      <c r="M28" s="398">
        <f t="shared" si="6"/>
        <v>0</v>
      </c>
      <c r="N28" s="398">
        <f t="shared" si="6"/>
        <v>0</v>
      </c>
      <c r="O28" s="398">
        <f t="shared" si="6"/>
        <v>0</v>
      </c>
      <c r="P28" s="398">
        <f t="shared" si="6"/>
        <v>0</v>
      </c>
      <c r="Q28" s="398">
        <f t="shared" si="6"/>
        <v>0</v>
      </c>
      <c r="R28" s="398">
        <f t="shared" si="7"/>
        <v>0</v>
      </c>
      <c r="S28" s="48">
        <f t="shared" si="3"/>
        <v>0</v>
      </c>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row>
    <row r="29" spans="1:59" s="62" customFormat="1" x14ac:dyDescent="0.2">
      <c r="A29" s="87">
        <v>41313.002999999997</v>
      </c>
      <c r="B29" s="15" t="s">
        <v>13</v>
      </c>
      <c r="C29" s="14"/>
      <c r="D29" s="57">
        <v>0</v>
      </c>
      <c r="E29" s="50"/>
      <c r="F29" s="398">
        <f t="shared" si="6"/>
        <v>0</v>
      </c>
      <c r="G29" s="398">
        <f t="shared" si="6"/>
        <v>0</v>
      </c>
      <c r="H29" s="398">
        <f t="shared" si="6"/>
        <v>0</v>
      </c>
      <c r="I29" s="398">
        <f t="shared" si="6"/>
        <v>0</v>
      </c>
      <c r="J29" s="398">
        <f t="shared" si="6"/>
        <v>0</v>
      </c>
      <c r="K29" s="398">
        <f t="shared" si="6"/>
        <v>0</v>
      </c>
      <c r="L29" s="398">
        <f t="shared" si="6"/>
        <v>0</v>
      </c>
      <c r="M29" s="398">
        <f t="shared" si="6"/>
        <v>0</v>
      </c>
      <c r="N29" s="398">
        <f t="shared" si="6"/>
        <v>0</v>
      </c>
      <c r="O29" s="398">
        <f t="shared" si="6"/>
        <v>0</v>
      </c>
      <c r="P29" s="398">
        <f t="shared" si="6"/>
        <v>0</v>
      </c>
      <c r="Q29" s="398">
        <f t="shared" si="6"/>
        <v>0</v>
      </c>
      <c r="R29" s="398">
        <f t="shared" si="7"/>
        <v>0</v>
      </c>
      <c r="S29" s="48">
        <f t="shared" si="3"/>
        <v>0</v>
      </c>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row>
    <row r="30" spans="1:59" s="62" customFormat="1" x14ac:dyDescent="0.2">
      <c r="A30" s="87">
        <v>41329.002999999997</v>
      </c>
      <c r="B30" s="15" t="s">
        <v>12</v>
      </c>
      <c r="C30" s="14"/>
      <c r="D30" s="57">
        <v>0</v>
      </c>
      <c r="E30" s="50"/>
      <c r="F30" s="398">
        <f t="shared" si="6"/>
        <v>0</v>
      </c>
      <c r="G30" s="398">
        <f t="shared" si="6"/>
        <v>0</v>
      </c>
      <c r="H30" s="398">
        <f t="shared" si="6"/>
        <v>0</v>
      </c>
      <c r="I30" s="398">
        <f t="shared" si="6"/>
        <v>0</v>
      </c>
      <c r="J30" s="398">
        <f t="shared" si="6"/>
        <v>0</v>
      </c>
      <c r="K30" s="398">
        <f t="shared" si="6"/>
        <v>0</v>
      </c>
      <c r="L30" s="398">
        <f t="shared" si="6"/>
        <v>0</v>
      </c>
      <c r="M30" s="398">
        <f t="shared" si="6"/>
        <v>0</v>
      </c>
      <c r="N30" s="398">
        <f t="shared" si="6"/>
        <v>0</v>
      </c>
      <c r="O30" s="398">
        <f t="shared" si="6"/>
        <v>0</v>
      </c>
      <c r="P30" s="398">
        <f t="shared" si="6"/>
        <v>0</v>
      </c>
      <c r="Q30" s="398">
        <f t="shared" si="6"/>
        <v>0</v>
      </c>
      <c r="R30" s="398">
        <f t="shared" si="7"/>
        <v>0</v>
      </c>
      <c r="S30" s="48">
        <f t="shared" si="3"/>
        <v>0</v>
      </c>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row>
    <row r="31" spans="1:59" s="62" customFormat="1" x14ac:dyDescent="0.2">
      <c r="A31" s="87">
        <v>41365.002999999997</v>
      </c>
      <c r="B31" s="15" t="s">
        <v>10</v>
      </c>
      <c r="C31" s="14"/>
      <c r="D31" s="57">
        <v>0</v>
      </c>
      <c r="E31" s="50"/>
      <c r="F31" s="398">
        <f t="shared" si="6"/>
        <v>0</v>
      </c>
      <c r="G31" s="398">
        <f t="shared" si="6"/>
        <v>0</v>
      </c>
      <c r="H31" s="398">
        <f t="shared" si="6"/>
        <v>0</v>
      </c>
      <c r="I31" s="398">
        <f t="shared" si="6"/>
        <v>0</v>
      </c>
      <c r="J31" s="398">
        <f t="shared" si="6"/>
        <v>0</v>
      </c>
      <c r="K31" s="398">
        <f t="shared" si="6"/>
        <v>0</v>
      </c>
      <c r="L31" s="398">
        <f t="shared" si="6"/>
        <v>0</v>
      </c>
      <c r="M31" s="398">
        <f t="shared" si="6"/>
        <v>0</v>
      </c>
      <c r="N31" s="398">
        <f t="shared" si="6"/>
        <v>0</v>
      </c>
      <c r="O31" s="398">
        <f t="shared" si="6"/>
        <v>0</v>
      </c>
      <c r="P31" s="398">
        <f t="shared" si="6"/>
        <v>0</v>
      </c>
      <c r="Q31" s="398">
        <f t="shared" si="6"/>
        <v>0</v>
      </c>
      <c r="R31" s="398">
        <f t="shared" si="7"/>
        <v>0</v>
      </c>
      <c r="S31" s="48">
        <f t="shared" si="3"/>
        <v>0</v>
      </c>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row>
    <row r="32" spans="1:59" s="62" customFormat="1" x14ac:dyDescent="0.2">
      <c r="A32" s="87">
        <v>41423.002999999997</v>
      </c>
      <c r="B32" s="15" t="s">
        <v>9</v>
      </c>
      <c r="C32" s="14"/>
      <c r="D32" s="57">
        <v>0</v>
      </c>
      <c r="E32" s="50"/>
      <c r="F32" s="398">
        <f t="shared" si="6"/>
        <v>0</v>
      </c>
      <c r="G32" s="398">
        <f t="shared" si="6"/>
        <v>0</v>
      </c>
      <c r="H32" s="398">
        <f t="shared" si="6"/>
        <v>0</v>
      </c>
      <c r="I32" s="398">
        <f t="shared" si="6"/>
        <v>0</v>
      </c>
      <c r="J32" s="398">
        <f t="shared" si="6"/>
        <v>0</v>
      </c>
      <c r="K32" s="398">
        <f t="shared" si="6"/>
        <v>0</v>
      </c>
      <c r="L32" s="398">
        <f t="shared" si="6"/>
        <v>0</v>
      </c>
      <c r="M32" s="398">
        <f t="shared" si="6"/>
        <v>0</v>
      </c>
      <c r="N32" s="398">
        <f t="shared" si="6"/>
        <v>0</v>
      </c>
      <c r="O32" s="398">
        <f t="shared" si="6"/>
        <v>0</v>
      </c>
      <c r="P32" s="398">
        <f t="shared" si="6"/>
        <v>0</v>
      </c>
      <c r="Q32" s="398">
        <f t="shared" si="6"/>
        <v>0</v>
      </c>
      <c r="R32" s="398">
        <f t="shared" si="7"/>
        <v>0</v>
      </c>
      <c r="S32" s="48">
        <f t="shared" si="3"/>
        <v>0</v>
      </c>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row>
    <row r="33" spans="1:59" s="62" customFormat="1" x14ac:dyDescent="0.2">
      <c r="A33" s="87">
        <v>41426.002999999997</v>
      </c>
      <c r="B33" s="15" t="s">
        <v>8</v>
      </c>
      <c r="C33" s="14"/>
      <c r="D33" s="57">
        <v>0</v>
      </c>
      <c r="E33" s="50"/>
      <c r="F33" s="398">
        <f t="shared" si="6"/>
        <v>0</v>
      </c>
      <c r="G33" s="398">
        <f t="shared" si="6"/>
        <v>0</v>
      </c>
      <c r="H33" s="398">
        <f t="shared" si="6"/>
        <v>0</v>
      </c>
      <c r="I33" s="398">
        <f t="shared" si="6"/>
        <v>0</v>
      </c>
      <c r="J33" s="398">
        <f t="shared" si="6"/>
        <v>0</v>
      </c>
      <c r="K33" s="398">
        <f t="shared" si="6"/>
        <v>0</v>
      </c>
      <c r="L33" s="398">
        <f t="shared" si="6"/>
        <v>0</v>
      </c>
      <c r="M33" s="398">
        <f t="shared" si="6"/>
        <v>0</v>
      </c>
      <c r="N33" s="398">
        <f t="shared" si="6"/>
        <v>0</v>
      </c>
      <c r="O33" s="398">
        <f t="shared" si="6"/>
        <v>0</v>
      </c>
      <c r="P33" s="398">
        <f t="shared" si="6"/>
        <v>0</v>
      </c>
      <c r="Q33" s="398">
        <f t="shared" si="6"/>
        <v>0</v>
      </c>
      <c r="R33" s="398">
        <f t="shared" si="7"/>
        <v>0</v>
      </c>
      <c r="S33" s="48">
        <f t="shared" si="3"/>
        <v>0</v>
      </c>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row>
    <row r="34" spans="1:59" s="62" customFormat="1" x14ac:dyDescent="0.2">
      <c r="A34" s="87">
        <v>41460.002999999997</v>
      </c>
      <c r="B34" s="15" t="s">
        <v>6</v>
      </c>
      <c r="C34" s="14"/>
      <c r="D34" s="57">
        <v>0</v>
      </c>
      <c r="E34" s="50"/>
      <c r="F34" s="398">
        <f t="shared" si="6"/>
        <v>0</v>
      </c>
      <c r="G34" s="398">
        <f t="shared" si="6"/>
        <v>0</v>
      </c>
      <c r="H34" s="398">
        <f t="shared" si="6"/>
        <v>0</v>
      </c>
      <c r="I34" s="398">
        <f t="shared" si="6"/>
        <v>0</v>
      </c>
      <c r="J34" s="398">
        <f t="shared" si="6"/>
        <v>0</v>
      </c>
      <c r="K34" s="398">
        <f t="shared" si="6"/>
        <v>0</v>
      </c>
      <c r="L34" s="398">
        <f t="shared" si="6"/>
        <v>0</v>
      </c>
      <c r="M34" s="398">
        <f t="shared" si="6"/>
        <v>0</v>
      </c>
      <c r="N34" s="398">
        <f t="shared" si="6"/>
        <v>0</v>
      </c>
      <c r="O34" s="398">
        <f t="shared" si="6"/>
        <v>0</v>
      </c>
      <c r="P34" s="398">
        <f t="shared" si="6"/>
        <v>0</v>
      </c>
      <c r="Q34" s="398">
        <f t="shared" si="6"/>
        <v>0</v>
      </c>
      <c r="R34" s="398">
        <f t="shared" si="7"/>
        <v>0</v>
      </c>
      <c r="S34" s="48">
        <f t="shared" si="3"/>
        <v>0</v>
      </c>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row>
    <row r="35" spans="1:59" s="62" customFormat="1" x14ac:dyDescent="0.2">
      <c r="A35" s="87">
        <v>41461.002999999997</v>
      </c>
      <c r="B35" s="15" t="s">
        <v>5</v>
      </c>
      <c r="C35" s="14"/>
      <c r="D35" s="57">
        <v>0</v>
      </c>
      <c r="E35" s="50"/>
      <c r="F35" s="398">
        <f t="shared" si="6"/>
        <v>0</v>
      </c>
      <c r="G35" s="398">
        <f t="shared" si="6"/>
        <v>0</v>
      </c>
      <c r="H35" s="398">
        <f t="shared" si="6"/>
        <v>0</v>
      </c>
      <c r="I35" s="398">
        <f t="shared" si="6"/>
        <v>0</v>
      </c>
      <c r="J35" s="398">
        <f t="shared" si="6"/>
        <v>0</v>
      </c>
      <c r="K35" s="398">
        <f t="shared" si="6"/>
        <v>0</v>
      </c>
      <c r="L35" s="398">
        <f t="shared" si="6"/>
        <v>0</v>
      </c>
      <c r="M35" s="398">
        <f t="shared" si="6"/>
        <v>0</v>
      </c>
      <c r="N35" s="398">
        <f t="shared" si="6"/>
        <v>0</v>
      </c>
      <c r="O35" s="398">
        <f t="shared" si="6"/>
        <v>0</v>
      </c>
      <c r="P35" s="398">
        <f t="shared" si="6"/>
        <v>0</v>
      </c>
      <c r="Q35" s="398">
        <f t="shared" si="6"/>
        <v>0</v>
      </c>
      <c r="R35" s="398">
        <f t="shared" si="7"/>
        <v>0</v>
      </c>
      <c r="S35" s="48">
        <f t="shared" si="3"/>
        <v>0</v>
      </c>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row>
    <row r="36" spans="1:59" s="62" customFormat="1" x14ac:dyDescent="0.2">
      <c r="A36" s="87">
        <v>41490.002999999997</v>
      </c>
      <c r="B36" s="15" t="s">
        <v>4</v>
      </c>
      <c r="C36" s="14"/>
      <c r="D36" s="57">
        <v>0</v>
      </c>
      <c r="E36" s="50"/>
      <c r="F36" s="398">
        <f t="shared" si="6"/>
        <v>0</v>
      </c>
      <c r="G36" s="398">
        <f t="shared" si="6"/>
        <v>0</v>
      </c>
      <c r="H36" s="398">
        <f t="shared" si="6"/>
        <v>0</v>
      </c>
      <c r="I36" s="398">
        <f t="shared" si="6"/>
        <v>0</v>
      </c>
      <c r="J36" s="398">
        <f t="shared" si="6"/>
        <v>0</v>
      </c>
      <c r="K36" s="398">
        <f t="shared" si="6"/>
        <v>0</v>
      </c>
      <c r="L36" s="398">
        <f t="shared" si="6"/>
        <v>0</v>
      </c>
      <c r="M36" s="398">
        <f t="shared" si="6"/>
        <v>0</v>
      </c>
      <c r="N36" s="398">
        <f t="shared" si="6"/>
        <v>0</v>
      </c>
      <c r="O36" s="398">
        <f t="shared" si="6"/>
        <v>0</v>
      </c>
      <c r="P36" s="398">
        <f t="shared" si="6"/>
        <v>0</v>
      </c>
      <c r="Q36" s="398">
        <f t="shared" si="6"/>
        <v>0</v>
      </c>
      <c r="R36" s="398">
        <f t="shared" si="7"/>
        <v>0</v>
      </c>
      <c r="S36" s="48">
        <f t="shared" si="3"/>
        <v>0</v>
      </c>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row>
    <row r="37" spans="1:59" s="62" customFormat="1" x14ac:dyDescent="0.2">
      <c r="A37" s="132">
        <v>41509.002999999997</v>
      </c>
      <c r="B37" s="15" t="s">
        <v>3</v>
      </c>
      <c r="C37" s="14"/>
      <c r="D37" s="57">
        <v>0</v>
      </c>
      <c r="E37" s="50"/>
      <c r="F37" s="398">
        <f t="shared" si="6"/>
        <v>0</v>
      </c>
      <c r="G37" s="398">
        <f t="shared" si="6"/>
        <v>0</v>
      </c>
      <c r="H37" s="398">
        <f t="shared" si="6"/>
        <v>0</v>
      </c>
      <c r="I37" s="398">
        <f t="shared" si="6"/>
        <v>0</v>
      </c>
      <c r="J37" s="398">
        <f t="shared" si="6"/>
        <v>0</v>
      </c>
      <c r="K37" s="398">
        <f t="shared" si="6"/>
        <v>0</v>
      </c>
      <c r="L37" s="398">
        <f t="shared" si="6"/>
        <v>0</v>
      </c>
      <c r="M37" s="398">
        <f t="shared" si="6"/>
        <v>0</v>
      </c>
      <c r="N37" s="398">
        <f t="shared" si="6"/>
        <v>0</v>
      </c>
      <c r="O37" s="398">
        <f t="shared" si="6"/>
        <v>0</v>
      </c>
      <c r="P37" s="398">
        <f t="shared" si="6"/>
        <v>0</v>
      </c>
      <c r="Q37" s="398">
        <f t="shared" si="6"/>
        <v>0</v>
      </c>
      <c r="R37" s="398">
        <f t="shared" si="7"/>
        <v>0</v>
      </c>
      <c r="S37" s="48">
        <f t="shared" si="3"/>
        <v>0</v>
      </c>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row>
    <row r="38" spans="1:59" s="62" customFormat="1" x14ac:dyDescent="0.2">
      <c r="A38" s="87">
        <v>41570.002999999997</v>
      </c>
      <c r="B38" s="15" t="s">
        <v>2</v>
      </c>
      <c r="C38" s="14"/>
      <c r="D38" s="57">
        <v>0</v>
      </c>
      <c r="E38" s="50"/>
      <c r="F38" s="398">
        <f t="shared" si="6"/>
        <v>0</v>
      </c>
      <c r="G38" s="398">
        <f t="shared" si="6"/>
        <v>0</v>
      </c>
      <c r="H38" s="398">
        <f t="shared" si="6"/>
        <v>0</v>
      </c>
      <c r="I38" s="398">
        <f t="shared" si="6"/>
        <v>0</v>
      </c>
      <c r="J38" s="398">
        <f t="shared" si="6"/>
        <v>0</v>
      </c>
      <c r="K38" s="398">
        <f t="shared" si="6"/>
        <v>0</v>
      </c>
      <c r="L38" s="398">
        <f t="shared" si="6"/>
        <v>0</v>
      </c>
      <c r="M38" s="398">
        <f t="shared" si="6"/>
        <v>0</v>
      </c>
      <c r="N38" s="398">
        <f t="shared" si="6"/>
        <v>0</v>
      </c>
      <c r="O38" s="398">
        <f t="shared" si="6"/>
        <v>0</v>
      </c>
      <c r="P38" s="398">
        <f t="shared" si="6"/>
        <v>0</v>
      </c>
      <c r="Q38" s="398">
        <f t="shared" si="6"/>
        <v>0</v>
      </c>
      <c r="R38" s="398">
        <f t="shared" si="7"/>
        <v>0</v>
      </c>
      <c r="S38" s="48">
        <f t="shared" si="3"/>
        <v>0</v>
      </c>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row>
    <row r="39" spans="1:59" s="62" customFormat="1" x14ac:dyDescent="0.2">
      <c r="A39" s="87">
        <v>41571.002999999997</v>
      </c>
      <c r="B39" s="15" t="s">
        <v>1</v>
      </c>
      <c r="C39" s="14"/>
      <c r="D39" s="57">
        <v>0</v>
      </c>
      <c r="E39" s="50"/>
      <c r="F39" s="398">
        <f t="shared" ref="F39:Q39" si="10">$D39*F$2</f>
        <v>0</v>
      </c>
      <c r="G39" s="398">
        <f t="shared" si="10"/>
        <v>0</v>
      </c>
      <c r="H39" s="398">
        <f t="shared" si="10"/>
        <v>0</v>
      </c>
      <c r="I39" s="398">
        <f t="shared" si="10"/>
        <v>0</v>
      </c>
      <c r="J39" s="398">
        <f t="shared" si="10"/>
        <v>0</v>
      </c>
      <c r="K39" s="398">
        <f t="shared" si="10"/>
        <v>0</v>
      </c>
      <c r="L39" s="398">
        <f t="shared" si="10"/>
        <v>0</v>
      </c>
      <c r="M39" s="398">
        <f t="shared" si="10"/>
        <v>0</v>
      </c>
      <c r="N39" s="398">
        <f t="shared" si="10"/>
        <v>0</v>
      </c>
      <c r="O39" s="398">
        <f t="shared" si="10"/>
        <v>0</v>
      </c>
      <c r="P39" s="398">
        <f t="shared" si="10"/>
        <v>0</v>
      </c>
      <c r="Q39" s="398">
        <f t="shared" si="10"/>
        <v>0</v>
      </c>
      <c r="R39" s="398">
        <f t="shared" si="7"/>
        <v>0</v>
      </c>
      <c r="S39" s="48">
        <f t="shared" si="3"/>
        <v>0</v>
      </c>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row>
    <row r="40" spans="1:59" s="60" customFormat="1" x14ac:dyDescent="0.2">
      <c r="A40" s="11"/>
      <c r="B40" s="10" t="s">
        <v>0</v>
      </c>
      <c r="C40" s="8">
        <f>SUM(C19:C39)</f>
        <v>0</v>
      </c>
      <c r="D40" s="64">
        <v>0</v>
      </c>
      <c r="E40" s="89"/>
      <c r="F40" s="397">
        <f>SUM(F19:F39)</f>
        <v>0</v>
      </c>
      <c r="G40" s="397">
        <f t="shared" ref="G40:R40" si="11">SUM(G19:G39)</f>
        <v>0</v>
      </c>
      <c r="H40" s="397">
        <f t="shared" si="11"/>
        <v>0</v>
      </c>
      <c r="I40" s="397">
        <f t="shared" si="11"/>
        <v>0</v>
      </c>
      <c r="J40" s="397">
        <f t="shared" si="11"/>
        <v>0</v>
      </c>
      <c r="K40" s="397">
        <f t="shared" si="11"/>
        <v>0</v>
      </c>
      <c r="L40" s="397">
        <f t="shared" si="11"/>
        <v>0</v>
      </c>
      <c r="M40" s="397">
        <f t="shared" si="11"/>
        <v>0</v>
      </c>
      <c r="N40" s="397">
        <f t="shared" si="11"/>
        <v>0</v>
      </c>
      <c r="O40" s="397">
        <f t="shared" si="11"/>
        <v>0</v>
      </c>
      <c r="P40" s="397">
        <f t="shared" si="11"/>
        <v>0</v>
      </c>
      <c r="Q40" s="397">
        <f t="shared" si="11"/>
        <v>0</v>
      </c>
      <c r="R40" s="397">
        <f t="shared" si="11"/>
        <v>0</v>
      </c>
      <c r="S40" s="48">
        <f t="shared" si="3"/>
        <v>0</v>
      </c>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row>
    <row r="42" spans="1:59" x14ac:dyDescent="0.2">
      <c r="A42" s="47"/>
    </row>
    <row r="43" spans="1:59" x14ac:dyDescent="0.2">
      <c r="A43" s="47"/>
    </row>
  </sheetData>
  <mergeCells count="2">
    <mergeCell ref="A4:C4"/>
    <mergeCell ref="A17:C17"/>
  </mergeCells>
  <printOptions gridLines="1"/>
  <pageMargins left="0.75" right="0.75" top="1.66" bottom="0.3" header="0.53" footer="0.25"/>
  <pageSetup scale="52" orientation="landscape" horizontalDpi="4294967293" r:id="rId1"/>
  <headerFooter alignWithMargins="0">
    <oddHeader xml:space="preserve">&amp;C&amp;"Arial,Bold"&amp;14DOCTORS MEMORIAL HOSPITAL
FY 2017 BUDGET
</oddHeader>
    <oddFooter xml:space="preserve">&amp;R&amp;A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50"/>
  <sheetViews>
    <sheetView zoomScale="80" zoomScaleNormal="80" workbookViewId="0">
      <pane xSplit="2" ySplit="5" topLeftCell="C6" activePane="bottomRight" state="frozen"/>
      <selection pane="topRight" activeCell="C1" sqref="C1"/>
      <selection pane="bottomLeft" activeCell="A6" sqref="A6"/>
      <selection pane="bottomRight" activeCell="C36" sqref="C36"/>
    </sheetView>
  </sheetViews>
  <sheetFormatPr defaultRowHeight="12.75" x14ac:dyDescent="0.2"/>
  <cols>
    <col min="1" max="1" width="11" style="40" bestFit="1" customWidth="1"/>
    <col min="2" max="2" width="24.5703125" style="40" customWidth="1"/>
    <col min="3" max="3" width="14" style="40" bestFit="1" customWidth="1"/>
    <col min="4" max="4" width="9.140625" style="47"/>
    <col min="5" max="5" width="2.140625" style="47" customWidth="1"/>
    <col min="6" max="6" width="14" style="50" bestFit="1" customWidth="1"/>
    <col min="7" max="7" width="13.42578125" style="50" bestFit="1" customWidth="1"/>
    <col min="8" max="9" width="13.7109375" style="50" bestFit="1" customWidth="1"/>
    <col min="10" max="10" width="14.140625" style="50" bestFit="1" customWidth="1"/>
    <col min="11" max="11" width="13.7109375" style="50" bestFit="1" customWidth="1"/>
    <col min="12" max="12" width="14.140625" style="50" bestFit="1" customWidth="1"/>
    <col min="13" max="13" width="14.42578125" style="50" bestFit="1" customWidth="1"/>
    <col min="14" max="14" width="13.7109375" style="48" bestFit="1" customWidth="1"/>
    <col min="15" max="15" width="13.42578125" style="48" bestFit="1" customWidth="1"/>
    <col min="16" max="16" width="14" style="48" bestFit="1" customWidth="1"/>
    <col min="17" max="17" width="13" style="48" bestFit="1" customWidth="1"/>
    <col min="18" max="18" width="15.85546875" style="59" bestFit="1" customWidth="1"/>
    <col min="19" max="19" width="1.7109375" style="40" customWidth="1"/>
    <col min="20" max="20" width="9.85546875" style="40" bestFit="1" customWidth="1"/>
    <col min="21" max="22" width="9.140625" style="40"/>
    <col min="23" max="145" width="9.140625" style="61"/>
    <col min="146" max="146" width="11" style="61" bestFit="1" customWidth="1"/>
    <col min="147" max="147" width="28.140625" style="61" bestFit="1" customWidth="1"/>
    <col min="148" max="148" width="14" style="61" bestFit="1" customWidth="1"/>
    <col min="149" max="149" width="9.140625" style="61"/>
    <col min="150" max="150" width="13.85546875" style="61" bestFit="1" customWidth="1"/>
    <col min="151" max="151" width="9.140625" style="61"/>
    <col min="152" max="152" width="14" style="61" customWidth="1"/>
    <col min="153" max="153" width="9.140625" style="61"/>
    <col min="154" max="154" width="12.85546875" style="61" bestFit="1" customWidth="1"/>
    <col min="155" max="155" width="10" style="61" customWidth="1"/>
    <col min="156" max="156" width="14" style="61" bestFit="1" customWidth="1"/>
    <col min="157" max="157" width="9.85546875" style="61" bestFit="1" customWidth="1"/>
    <col min="158" max="158" width="13.5703125" style="61" bestFit="1" customWidth="1"/>
    <col min="159" max="159" width="9.85546875" style="61" bestFit="1" customWidth="1"/>
    <col min="160" max="160" width="12.85546875" style="61" bestFit="1" customWidth="1"/>
    <col min="161" max="172" width="10.5703125" style="61" customWidth="1"/>
    <col min="173" max="173" width="11.140625" style="61" bestFit="1" customWidth="1"/>
    <col min="174" max="174" width="2.7109375" style="61" customWidth="1"/>
    <col min="175" max="175" width="9.85546875" style="61" bestFit="1" customWidth="1"/>
    <col min="176" max="177" width="9.140625" style="61"/>
    <col min="178" max="178" width="24" style="61" customWidth="1"/>
    <col min="179" max="181" width="9.140625" style="61"/>
    <col min="182" max="182" width="9" style="61" bestFit="1" customWidth="1"/>
    <col min="183" max="192" width="9.28515625" style="61" bestFit="1" customWidth="1"/>
    <col min="193" max="193" width="10.28515625" style="61" bestFit="1" customWidth="1"/>
    <col min="194" max="194" width="11.28515625" style="61" bestFit="1" customWidth="1"/>
    <col min="195" max="195" width="11.7109375" style="61" customWidth="1"/>
    <col min="196" max="196" width="9.140625" style="61"/>
    <col min="197" max="197" width="22.28515625" style="61" customWidth="1"/>
    <col min="198" max="198" width="9.140625" style="61"/>
    <col min="199" max="199" width="9.28515625" style="61" bestFit="1" customWidth="1"/>
    <col min="200" max="200" width="9.42578125" style="61" bestFit="1" customWidth="1"/>
    <col min="201" max="201" width="9.28515625" style="61" bestFit="1" customWidth="1"/>
    <col min="202" max="202" width="10.28515625" style="61" bestFit="1" customWidth="1"/>
    <col min="203" max="204" width="9.28515625" style="61" bestFit="1" customWidth="1"/>
    <col min="205" max="206" width="10.28515625" style="61" bestFit="1" customWidth="1"/>
    <col min="207" max="211" width="9.28515625" style="61" bestFit="1" customWidth="1"/>
    <col min="212" max="212" width="10.42578125" style="61" bestFit="1" customWidth="1"/>
    <col min="213" max="213" width="9.140625" style="61"/>
    <col min="214" max="214" width="24.85546875" style="61" customWidth="1"/>
    <col min="215" max="215" width="9.140625" style="61"/>
    <col min="216" max="228" width="9.28515625" style="61" bestFit="1" customWidth="1"/>
    <col min="229" max="229" width="10.28515625" style="61" bestFit="1" customWidth="1"/>
    <col min="230" max="230" width="9.5703125" style="61" bestFit="1" customWidth="1"/>
    <col min="231" max="231" width="18.5703125" style="61" customWidth="1"/>
    <col min="232" max="233" width="9.140625" style="61"/>
    <col min="234" max="236" width="12.140625" style="61" bestFit="1" customWidth="1"/>
    <col min="237" max="245" width="10.28515625" style="61" bestFit="1" customWidth="1"/>
    <col min="246" max="246" width="11.28515625" style="61" bestFit="1" customWidth="1"/>
    <col min="247" max="247" width="9.140625" style="61"/>
    <col min="248" max="248" width="19" style="61" customWidth="1"/>
    <col min="249" max="265" width="9.140625" style="61"/>
    <col min="266" max="276" width="11.28515625" style="61" bestFit="1" customWidth="1"/>
    <col min="277" max="277" width="10.28515625" style="61" bestFit="1" customWidth="1"/>
    <col min="278" max="278" width="12.85546875" style="61" bestFit="1" customWidth="1"/>
    <col min="279" max="401" width="9.140625" style="61"/>
    <col min="402" max="402" width="11" style="61" bestFit="1" customWidth="1"/>
    <col min="403" max="403" width="28.140625" style="61" bestFit="1" customWidth="1"/>
    <col min="404" max="404" width="14" style="61" bestFit="1" customWidth="1"/>
    <col min="405" max="405" width="9.140625" style="61"/>
    <col min="406" max="406" width="13.85546875" style="61" bestFit="1" customWidth="1"/>
    <col min="407" max="407" width="9.140625" style="61"/>
    <col min="408" max="408" width="14" style="61" customWidth="1"/>
    <col min="409" max="409" width="9.140625" style="61"/>
    <col min="410" max="410" width="12.85546875" style="61" bestFit="1" customWidth="1"/>
    <col min="411" max="411" width="10" style="61" customWidth="1"/>
    <col min="412" max="412" width="14" style="61" bestFit="1" customWidth="1"/>
    <col min="413" max="413" width="9.85546875" style="61" bestFit="1" customWidth="1"/>
    <col min="414" max="414" width="13.5703125" style="61" bestFit="1" customWidth="1"/>
    <col min="415" max="415" width="9.85546875" style="61" bestFit="1" customWidth="1"/>
    <col min="416" max="416" width="12.85546875" style="61" bestFit="1" customWidth="1"/>
    <col min="417" max="428" width="10.5703125" style="61" customWidth="1"/>
    <col min="429" max="429" width="11.140625" style="61" bestFit="1" customWidth="1"/>
    <col min="430" max="430" width="2.7109375" style="61" customWidth="1"/>
    <col min="431" max="431" width="9.85546875" style="61" bestFit="1" customWidth="1"/>
    <col min="432" max="433" width="9.140625" style="61"/>
    <col min="434" max="434" width="24" style="61" customWidth="1"/>
    <col min="435" max="437" width="9.140625" style="61"/>
    <col min="438" max="438" width="9" style="61" bestFit="1" customWidth="1"/>
    <col min="439" max="448" width="9.28515625" style="61" bestFit="1" customWidth="1"/>
    <col min="449" max="449" width="10.28515625" style="61" bestFit="1" customWidth="1"/>
    <col min="450" max="450" width="11.28515625" style="61" bestFit="1" customWidth="1"/>
    <col min="451" max="451" width="11.7109375" style="61" customWidth="1"/>
    <col min="452" max="452" width="9.140625" style="61"/>
    <col min="453" max="453" width="22.28515625" style="61" customWidth="1"/>
    <col min="454" max="454" width="9.140625" style="61"/>
    <col min="455" max="455" width="9.28515625" style="61" bestFit="1" customWidth="1"/>
    <col min="456" max="456" width="9.42578125" style="61" bestFit="1" customWidth="1"/>
    <col min="457" max="457" width="9.28515625" style="61" bestFit="1" customWidth="1"/>
    <col min="458" max="458" width="10.28515625" style="61" bestFit="1" customWidth="1"/>
    <col min="459" max="460" width="9.28515625" style="61" bestFit="1" customWidth="1"/>
    <col min="461" max="462" width="10.28515625" style="61" bestFit="1" customWidth="1"/>
    <col min="463" max="467" width="9.28515625" style="61" bestFit="1" customWidth="1"/>
    <col min="468" max="468" width="10.42578125" style="61" bestFit="1" customWidth="1"/>
    <col min="469" max="469" width="9.140625" style="61"/>
    <col min="470" max="470" width="24.85546875" style="61" customWidth="1"/>
    <col min="471" max="471" width="9.140625" style="61"/>
    <col min="472" max="484" width="9.28515625" style="61" bestFit="1" customWidth="1"/>
    <col min="485" max="485" width="10.28515625" style="61" bestFit="1" customWidth="1"/>
    <col min="486" max="486" width="9.5703125" style="61" bestFit="1" customWidth="1"/>
    <col min="487" max="487" width="18.5703125" style="61" customWidth="1"/>
    <col min="488" max="489" width="9.140625" style="61"/>
    <col min="490" max="492" width="12.140625" style="61" bestFit="1" customWidth="1"/>
    <col min="493" max="501" width="10.28515625" style="61" bestFit="1" customWidth="1"/>
    <col min="502" max="502" width="11.28515625" style="61" bestFit="1" customWidth="1"/>
    <col min="503" max="503" width="9.140625" style="61"/>
    <col min="504" max="504" width="19" style="61" customWidth="1"/>
    <col min="505" max="521" width="9.140625" style="61"/>
    <col min="522" max="532" width="11.28515625" style="61" bestFit="1" customWidth="1"/>
    <col min="533" max="533" width="10.28515625" style="61" bestFit="1" customWidth="1"/>
    <col min="534" max="534" width="12.85546875" style="61" bestFit="1" customWidth="1"/>
    <col min="535" max="657" width="9.140625" style="61"/>
    <col min="658" max="658" width="11" style="61" bestFit="1" customWidth="1"/>
    <col min="659" max="659" width="28.140625" style="61" bestFit="1" customWidth="1"/>
    <col min="660" max="660" width="14" style="61" bestFit="1" customWidth="1"/>
    <col min="661" max="661" width="9.140625" style="61"/>
    <col min="662" max="662" width="13.85546875" style="61" bestFit="1" customWidth="1"/>
    <col min="663" max="663" width="9.140625" style="61"/>
    <col min="664" max="664" width="14" style="61" customWidth="1"/>
    <col min="665" max="665" width="9.140625" style="61"/>
    <col min="666" max="666" width="12.85546875" style="61" bestFit="1" customWidth="1"/>
    <col min="667" max="667" width="10" style="61" customWidth="1"/>
    <col min="668" max="668" width="14" style="61" bestFit="1" customWidth="1"/>
    <col min="669" max="669" width="9.85546875" style="61" bestFit="1" customWidth="1"/>
    <col min="670" max="670" width="13.5703125" style="61" bestFit="1" customWidth="1"/>
    <col min="671" max="671" width="9.85546875" style="61" bestFit="1" customWidth="1"/>
    <col min="672" max="672" width="12.85546875" style="61" bestFit="1" customWidth="1"/>
    <col min="673" max="684" width="10.5703125" style="61" customWidth="1"/>
    <col min="685" max="685" width="11.140625" style="61" bestFit="1" customWidth="1"/>
    <col min="686" max="686" width="2.7109375" style="61" customWidth="1"/>
    <col min="687" max="687" width="9.85546875" style="61" bestFit="1" customWidth="1"/>
    <col min="688" max="689" width="9.140625" style="61"/>
    <col min="690" max="690" width="24" style="61" customWidth="1"/>
    <col min="691" max="693" width="9.140625" style="61"/>
    <col min="694" max="694" width="9" style="61" bestFit="1" customWidth="1"/>
    <col min="695" max="704" width="9.28515625" style="61" bestFit="1" customWidth="1"/>
    <col min="705" max="705" width="10.28515625" style="61" bestFit="1" customWidth="1"/>
    <col min="706" max="706" width="11.28515625" style="61" bestFit="1" customWidth="1"/>
    <col min="707" max="707" width="11.7109375" style="61" customWidth="1"/>
    <col min="708" max="708" width="9.140625" style="61"/>
    <col min="709" max="709" width="22.28515625" style="61" customWidth="1"/>
    <col min="710" max="710" width="9.140625" style="61"/>
    <col min="711" max="711" width="9.28515625" style="61" bestFit="1" customWidth="1"/>
    <col min="712" max="712" width="9.42578125" style="61" bestFit="1" customWidth="1"/>
    <col min="713" max="713" width="9.28515625" style="61" bestFit="1" customWidth="1"/>
    <col min="714" max="714" width="10.28515625" style="61" bestFit="1" customWidth="1"/>
    <col min="715" max="716" width="9.28515625" style="61" bestFit="1" customWidth="1"/>
    <col min="717" max="718" width="10.28515625" style="61" bestFit="1" customWidth="1"/>
    <col min="719" max="723" width="9.28515625" style="61" bestFit="1" customWidth="1"/>
    <col min="724" max="724" width="10.42578125" style="61" bestFit="1" customWidth="1"/>
    <col min="725" max="725" width="9.140625" style="61"/>
    <col min="726" max="726" width="24.85546875" style="61" customWidth="1"/>
    <col min="727" max="727" width="9.140625" style="61"/>
    <col min="728" max="740" width="9.28515625" style="61" bestFit="1" customWidth="1"/>
    <col min="741" max="741" width="10.28515625" style="61" bestFit="1" customWidth="1"/>
    <col min="742" max="742" width="9.5703125" style="61" bestFit="1" customWidth="1"/>
    <col min="743" max="743" width="18.5703125" style="61" customWidth="1"/>
    <col min="744" max="745" width="9.140625" style="61"/>
    <col min="746" max="748" width="12.140625" style="61" bestFit="1" customWidth="1"/>
    <col min="749" max="757" width="10.28515625" style="61" bestFit="1" customWidth="1"/>
    <col min="758" max="758" width="11.28515625" style="61" bestFit="1" customWidth="1"/>
    <col min="759" max="759" width="9.140625" style="61"/>
    <col min="760" max="760" width="19" style="61" customWidth="1"/>
    <col min="761" max="777" width="9.140625" style="61"/>
    <col min="778" max="788" width="11.28515625" style="61" bestFit="1" customWidth="1"/>
    <col min="789" max="789" width="10.28515625" style="61" bestFit="1" customWidth="1"/>
    <col min="790" max="790" width="12.85546875" style="61" bestFit="1" customWidth="1"/>
    <col min="791" max="913" width="9.140625" style="61"/>
    <col min="914" max="914" width="11" style="61" bestFit="1" customWidth="1"/>
    <col min="915" max="915" width="28.140625" style="61" bestFit="1" customWidth="1"/>
    <col min="916" max="916" width="14" style="61" bestFit="1" customWidth="1"/>
    <col min="917" max="917" width="9.140625" style="61"/>
    <col min="918" max="918" width="13.85546875" style="61" bestFit="1" customWidth="1"/>
    <col min="919" max="919" width="9.140625" style="61"/>
    <col min="920" max="920" width="14" style="61" customWidth="1"/>
    <col min="921" max="921" width="9.140625" style="61"/>
    <col min="922" max="922" width="12.85546875" style="61" bestFit="1" customWidth="1"/>
    <col min="923" max="923" width="10" style="61" customWidth="1"/>
    <col min="924" max="924" width="14" style="61" bestFit="1" customWidth="1"/>
    <col min="925" max="925" width="9.85546875" style="61" bestFit="1" customWidth="1"/>
    <col min="926" max="926" width="13.5703125" style="61" bestFit="1" customWidth="1"/>
    <col min="927" max="927" width="9.85546875" style="61" bestFit="1" customWidth="1"/>
    <col min="928" max="928" width="12.85546875" style="61" bestFit="1" customWidth="1"/>
    <col min="929" max="940" width="10.5703125" style="61" customWidth="1"/>
    <col min="941" max="941" width="11.140625" style="61" bestFit="1" customWidth="1"/>
    <col min="942" max="942" width="2.7109375" style="61" customWidth="1"/>
    <col min="943" max="943" width="9.85546875" style="61" bestFit="1" customWidth="1"/>
    <col min="944" max="945" width="9.140625" style="61"/>
    <col min="946" max="946" width="24" style="61" customWidth="1"/>
    <col min="947" max="949" width="9.140625" style="61"/>
    <col min="950" max="950" width="9" style="61" bestFit="1" customWidth="1"/>
    <col min="951" max="960" width="9.28515625" style="61" bestFit="1" customWidth="1"/>
    <col min="961" max="961" width="10.28515625" style="61" bestFit="1" customWidth="1"/>
    <col min="962" max="962" width="11.28515625" style="61" bestFit="1" customWidth="1"/>
    <col min="963" max="963" width="11.7109375" style="61" customWidth="1"/>
    <col min="964" max="964" width="9.140625" style="61"/>
    <col min="965" max="965" width="22.28515625" style="61" customWidth="1"/>
    <col min="966" max="966" width="9.140625" style="61"/>
    <col min="967" max="967" width="9.28515625" style="61" bestFit="1" customWidth="1"/>
    <col min="968" max="968" width="9.42578125" style="61" bestFit="1" customWidth="1"/>
    <col min="969" max="969" width="9.28515625" style="61" bestFit="1" customWidth="1"/>
    <col min="970" max="970" width="10.28515625" style="61" bestFit="1" customWidth="1"/>
    <col min="971" max="972" width="9.28515625" style="61" bestFit="1" customWidth="1"/>
    <col min="973" max="974" width="10.28515625" style="61" bestFit="1" customWidth="1"/>
    <col min="975" max="979" width="9.28515625" style="61" bestFit="1" customWidth="1"/>
    <col min="980" max="980" width="10.42578125" style="61" bestFit="1" customWidth="1"/>
    <col min="981" max="981" width="9.140625" style="61"/>
    <col min="982" max="982" width="24.85546875" style="61" customWidth="1"/>
    <col min="983" max="983" width="9.140625" style="61"/>
    <col min="984" max="996" width="9.28515625" style="61" bestFit="1" customWidth="1"/>
    <col min="997" max="997" width="10.28515625" style="61" bestFit="1" customWidth="1"/>
    <col min="998" max="998" width="9.5703125" style="61" bestFit="1" customWidth="1"/>
    <col min="999" max="999" width="18.5703125" style="61" customWidth="1"/>
    <col min="1000" max="1001" width="9.140625" style="61"/>
    <col min="1002" max="1004" width="12.140625" style="61" bestFit="1" customWidth="1"/>
    <col min="1005" max="1013" width="10.28515625" style="61" bestFit="1" customWidth="1"/>
    <col min="1014" max="1014" width="11.28515625" style="61" bestFit="1" customWidth="1"/>
    <col min="1015" max="1015" width="9.140625" style="61"/>
    <col min="1016" max="1016" width="19" style="61" customWidth="1"/>
    <col min="1017" max="1033" width="9.140625" style="61"/>
    <col min="1034" max="1044" width="11.28515625" style="61" bestFit="1" customWidth="1"/>
    <col min="1045" max="1045" width="10.28515625" style="61" bestFit="1" customWidth="1"/>
    <col min="1046" max="1046" width="12.85546875" style="61" bestFit="1" customWidth="1"/>
    <col min="1047" max="1169" width="9.140625" style="61"/>
    <col min="1170" max="1170" width="11" style="61" bestFit="1" customWidth="1"/>
    <col min="1171" max="1171" width="28.140625" style="61" bestFit="1" customWidth="1"/>
    <col min="1172" max="1172" width="14" style="61" bestFit="1" customWidth="1"/>
    <col min="1173" max="1173" width="9.140625" style="61"/>
    <col min="1174" max="1174" width="13.85546875" style="61" bestFit="1" customWidth="1"/>
    <col min="1175" max="1175" width="9.140625" style="61"/>
    <col min="1176" max="1176" width="14" style="61" customWidth="1"/>
    <col min="1177" max="1177" width="9.140625" style="61"/>
    <col min="1178" max="1178" width="12.85546875" style="61" bestFit="1" customWidth="1"/>
    <col min="1179" max="1179" width="10" style="61" customWidth="1"/>
    <col min="1180" max="1180" width="14" style="61" bestFit="1" customWidth="1"/>
    <col min="1181" max="1181" width="9.85546875" style="61" bestFit="1" customWidth="1"/>
    <col min="1182" max="1182" width="13.5703125" style="61" bestFit="1" customWidth="1"/>
    <col min="1183" max="1183" width="9.85546875" style="61" bestFit="1" customWidth="1"/>
    <col min="1184" max="1184" width="12.85546875" style="61" bestFit="1" customWidth="1"/>
    <col min="1185" max="1196" width="10.5703125" style="61" customWidth="1"/>
    <col min="1197" max="1197" width="11.140625" style="61" bestFit="1" customWidth="1"/>
    <col min="1198" max="1198" width="2.7109375" style="61" customWidth="1"/>
    <col min="1199" max="1199" width="9.85546875" style="61" bestFit="1" customWidth="1"/>
    <col min="1200" max="1201" width="9.140625" style="61"/>
    <col min="1202" max="1202" width="24" style="61" customWidth="1"/>
    <col min="1203" max="1205" width="9.140625" style="61"/>
    <col min="1206" max="1206" width="9" style="61" bestFit="1" customWidth="1"/>
    <col min="1207" max="1216" width="9.28515625" style="61" bestFit="1" customWidth="1"/>
    <col min="1217" max="1217" width="10.28515625" style="61" bestFit="1" customWidth="1"/>
    <col min="1218" max="1218" width="11.28515625" style="61" bestFit="1" customWidth="1"/>
    <col min="1219" max="1219" width="11.7109375" style="61" customWidth="1"/>
    <col min="1220" max="1220" width="9.140625" style="61"/>
    <col min="1221" max="1221" width="22.28515625" style="61" customWidth="1"/>
    <col min="1222" max="1222" width="9.140625" style="61"/>
    <col min="1223" max="1223" width="9.28515625" style="61" bestFit="1" customWidth="1"/>
    <col min="1224" max="1224" width="9.42578125" style="61" bestFit="1" customWidth="1"/>
    <col min="1225" max="1225" width="9.28515625" style="61" bestFit="1" customWidth="1"/>
    <col min="1226" max="1226" width="10.28515625" style="61" bestFit="1" customWidth="1"/>
    <col min="1227" max="1228" width="9.28515625" style="61" bestFit="1" customWidth="1"/>
    <col min="1229" max="1230" width="10.28515625" style="61" bestFit="1" customWidth="1"/>
    <col min="1231" max="1235" width="9.28515625" style="61" bestFit="1" customWidth="1"/>
    <col min="1236" max="1236" width="10.42578125" style="61" bestFit="1" customWidth="1"/>
    <col min="1237" max="1237" width="9.140625" style="61"/>
    <col min="1238" max="1238" width="24.85546875" style="61" customWidth="1"/>
    <col min="1239" max="1239" width="9.140625" style="61"/>
    <col min="1240" max="1252" width="9.28515625" style="61" bestFit="1" customWidth="1"/>
    <col min="1253" max="1253" width="10.28515625" style="61" bestFit="1" customWidth="1"/>
    <col min="1254" max="1254" width="9.5703125" style="61" bestFit="1" customWidth="1"/>
    <col min="1255" max="1255" width="18.5703125" style="61" customWidth="1"/>
    <col min="1256" max="1257" width="9.140625" style="61"/>
    <col min="1258" max="1260" width="12.140625" style="61" bestFit="1" customWidth="1"/>
    <col min="1261" max="1269" width="10.28515625" style="61" bestFit="1" customWidth="1"/>
    <col min="1270" max="1270" width="11.28515625" style="61" bestFit="1" customWidth="1"/>
    <col min="1271" max="1271" width="9.140625" style="61"/>
    <col min="1272" max="1272" width="19" style="61" customWidth="1"/>
    <col min="1273" max="1289" width="9.140625" style="61"/>
    <col min="1290" max="1300" width="11.28515625" style="61" bestFit="1" customWidth="1"/>
    <col min="1301" max="1301" width="10.28515625" style="61" bestFit="1" customWidth="1"/>
    <col min="1302" max="1302" width="12.85546875" style="61" bestFit="1" customWidth="1"/>
    <col min="1303" max="1425" width="9.140625" style="61"/>
    <col min="1426" max="1426" width="11" style="61" bestFit="1" customWidth="1"/>
    <col min="1427" max="1427" width="28.140625" style="61" bestFit="1" customWidth="1"/>
    <col min="1428" max="1428" width="14" style="61" bestFit="1" customWidth="1"/>
    <col min="1429" max="1429" width="9.140625" style="61"/>
    <col min="1430" max="1430" width="13.85546875" style="61" bestFit="1" customWidth="1"/>
    <col min="1431" max="1431" width="9.140625" style="61"/>
    <col min="1432" max="1432" width="14" style="61" customWidth="1"/>
    <col min="1433" max="1433" width="9.140625" style="61"/>
    <col min="1434" max="1434" width="12.85546875" style="61" bestFit="1" customWidth="1"/>
    <col min="1435" max="1435" width="10" style="61" customWidth="1"/>
    <col min="1436" max="1436" width="14" style="61" bestFit="1" customWidth="1"/>
    <col min="1437" max="1437" width="9.85546875" style="61" bestFit="1" customWidth="1"/>
    <col min="1438" max="1438" width="13.5703125" style="61" bestFit="1" customWidth="1"/>
    <col min="1439" max="1439" width="9.85546875" style="61" bestFit="1" customWidth="1"/>
    <col min="1440" max="1440" width="12.85546875" style="61" bestFit="1" customWidth="1"/>
    <col min="1441" max="1452" width="10.5703125" style="61" customWidth="1"/>
    <col min="1453" max="1453" width="11.140625" style="61" bestFit="1" customWidth="1"/>
    <col min="1454" max="1454" width="2.7109375" style="61" customWidth="1"/>
    <col min="1455" max="1455" width="9.85546875" style="61" bestFit="1" customWidth="1"/>
    <col min="1456" max="1457" width="9.140625" style="61"/>
    <col min="1458" max="1458" width="24" style="61" customWidth="1"/>
    <col min="1459" max="1461" width="9.140625" style="61"/>
    <col min="1462" max="1462" width="9" style="61" bestFit="1" customWidth="1"/>
    <col min="1463" max="1472" width="9.28515625" style="61" bestFit="1" customWidth="1"/>
    <col min="1473" max="1473" width="10.28515625" style="61" bestFit="1" customWidth="1"/>
    <col min="1474" max="1474" width="11.28515625" style="61" bestFit="1" customWidth="1"/>
    <col min="1475" max="1475" width="11.7109375" style="61" customWidth="1"/>
    <col min="1476" max="1476" width="9.140625" style="61"/>
    <col min="1477" max="1477" width="22.28515625" style="61" customWidth="1"/>
    <col min="1478" max="1478" width="9.140625" style="61"/>
    <col min="1479" max="1479" width="9.28515625" style="61" bestFit="1" customWidth="1"/>
    <col min="1480" max="1480" width="9.42578125" style="61" bestFit="1" customWidth="1"/>
    <col min="1481" max="1481" width="9.28515625" style="61" bestFit="1" customWidth="1"/>
    <col min="1482" max="1482" width="10.28515625" style="61" bestFit="1" customWidth="1"/>
    <col min="1483" max="1484" width="9.28515625" style="61" bestFit="1" customWidth="1"/>
    <col min="1485" max="1486" width="10.28515625" style="61" bestFit="1" customWidth="1"/>
    <col min="1487" max="1491" width="9.28515625" style="61" bestFit="1" customWidth="1"/>
    <col min="1492" max="1492" width="10.42578125" style="61" bestFit="1" customWidth="1"/>
    <col min="1493" max="1493" width="9.140625" style="61"/>
    <col min="1494" max="1494" width="24.85546875" style="61" customWidth="1"/>
    <col min="1495" max="1495" width="9.140625" style="61"/>
    <col min="1496" max="1508" width="9.28515625" style="61" bestFit="1" customWidth="1"/>
    <col min="1509" max="1509" width="10.28515625" style="61" bestFit="1" customWidth="1"/>
    <col min="1510" max="1510" width="9.5703125" style="61" bestFit="1" customWidth="1"/>
    <col min="1511" max="1511" width="18.5703125" style="61" customWidth="1"/>
    <col min="1512" max="1513" width="9.140625" style="61"/>
    <col min="1514" max="1516" width="12.140625" style="61" bestFit="1" customWidth="1"/>
    <col min="1517" max="1525" width="10.28515625" style="61" bestFit="1" customWidth="1"/>
    <col min="1526" max="1526" width="11.28515625" style="61" bestFit="1" customWidth="1"/>
    <col min="1527" max="1527" width="9.140625" style="61"/>
    <col min="1528" max="1528" width="19" style="61" customWidth="1"/>
    <col min="1529" max="1545" width="9.140625" style="61"/>
    <col min="1546" max="1556" width="11.28515625" style="61" bestFit="1" customWidth="1"/>
    <col min="1557" max="1557" width="10.28515625" style="61" bestFit="1" customWidth="1"/>
    <col min="1558" max="1558" width="12.85546875" style="61" bestFit="1" customWidth="1"/>
    <col min="1559" max="1681" width="9.140625" style="61"/>
    <col min="1682" max="1682" width="11" style="61" bestFit="1" customWidth="1"/>
    <col min="1683" max="1683" width="28.140625" style="61" bestFit="1" customWidth="1"/>
    <col min="1684" max="1684" width="14" style="61" bestFit="1" customWidth="1"/>
    <col min="1685" max="1685" width="9.140625" style="61"/>
    <col min="1686" max="1686" width="13.85546875" style="61" bestFit="1" customWidth="1"/>
    <col min="1687" max="1687" width="9.140625" style="61"/>
    <col min="1688" max="1688" width="14" style="61" customWidth="1"/>
    <col min="1689" max="1689" width="9.140625" style="61"/>
    <col min="1690" max="1690" width="12.85546875" style="61" bestFit="1" customWidth="1"/>
    <col min="1691" max="1691" width="10" style="61" customWidth="1"/>
    <col min="1692" max="1692" width="14" style="61" bestFit="1" customWidth="1"/>
    <col min="1693" max="1693" width="9.85546875" style="61" bestFit="1" customWidth="1"/>
    <col min="1694" max="1694" width="13.5703125" style="61" bestFit="1" customWidth="1"/>
    <col min="1695" max="1695" width="9.85546875" style="61" bestFit="1" customWidth="1"/>
    <col min="1696" max="1696" width="12.85546875" style="61" bestFit="1" customWidth="1"/>
    <col min="1697" max="1708" width="10.5703125" style="61" customWidth="1"/>
    <col min="1709" max="1709" width="11.140625" style="61" bestFit="1" customWidth="1"/>
    <col min="1710" max="1710" width="2.7109375" style="61" customWidth="1"/>
    <col min="1711" max="1711" width="9.85546875" style="61" bestFit="1" customWidth="1"/>
    <col min="1712" max="1713" width="9.140625" style="61"/>
    <col min="1714" max="1714" width="24" style="61" customWidth="1"/>
    <col min="1715" max="1717" width="9.140625" style="61"/>
    <col min="1718" max="1718" width="9" style="61" bestFit="1" customWidth="1"/>
    <col min="1719" max="1728" width="9.28515625" style="61" bestFit="1" customWidth="1"/>
    <col min="1729" max="1729" width="10.28515625" style="61" bestFit="1" customWidth="1"/>
    <col min="1730" max="1730" width="11.28515625" style="61" bestFit="1" customWidth="1"/>
    <col min="1731" max="1731" width="11.7109375" style="61" customWidth="1"/>
    <col min="1732" max="1732" width="9.140625" style="61"/>
    <col min="1733" max="1733" width="22.28515625" style="61" customWidth="1"/>
    <col min="1734" max="1734" width="9.140625" style="61"/>
    <col min="1735" max="1735" width="9.28515625" style="61" bestFit="1" customWidth="1"/>
    <col min="1736" max="1736" width="9.42578125" style="61" bestFit="1" customWidth="1"/>
    <col min="1737" max="1737" width="9.28515625" style="61" bestFit="1" customWidth="1"/>
    <col min="1738" max="1738" width="10.28515625" style="61" bestFit="1" customWidth="1"/>
    <col min="1739" max="1740" width="9.28515625" style="61" bestFit="1" customWidth="1"/>
    <col min="1741" max="1742" width="10.28515625" style="61" bestFit="1" customWidth="1"/>
    <col min="1743" max="1747" width="9.28515625" style="61" bestFit="1" customWidth="1"/>
    <col min="1748" max="1748" width="10.42578125" style="61" bestFit="1" customWidth="1"/>
    <col min="1749" max="1749" width="9.140625" style="61"/>
    <col min="1750" max="1750" width="24.85546875" style="61" customWidth="1"/>
    <col min="1751" max="1751" width="9.140625" style="61"/>
    <col min="1752" max="1764" width="9.28515625" style="61" bestFit="1" customWidth="1"/>
    <col min="1765" max="1765" width="10.28515625" style="61" bestFit="1" customWidth="1"/>
    <col min="1766" max="1766" width="9.5703125" style="61" bestFit="1" customWidth="1"/>
    <col min="1767" max="1767" width="18.5703125" style="61" customWidth="1"/>
    <col min="1768" max="1769" width="9.140625" style="61"/>
    <col min="1770" max="1772" width="12.140625" style="61" bestFit="1" customWidth="1"/>
    <col min="1773" max="1781" width="10.28515625" style="61" bestFit="1" customWidth="1"/>
    <col min="1782" max="1782" width="11.28515625" style="61" bestFit="1" customWidth="1"/>
    <col min="1783" max="1783" width="9.140625" style="61"/>
    <col min="1784" max="1784" width="19" style="61" customWidth="1"/>
    <col min="1785" max="1801" width="9.140625" style="61"/>
    <col min="1802" max="1812" width="11.28515625" style="61" bestFit="1" customWidth="1"/>
    <col min="1813" max="1813" width="10.28515625" style="61" bestFit="1" customWidth="1"/>
    <col min="1814" max="1814" width="12.85546875" style="61" bestFit="1" customWidth="1"/>
    <col min="1815" max="1937" width="9.140625" style="61"/>
    <col min="1938" max="1938" width="11" style="61" bestFit="1" customWidth="1"/>
    <col min="1939" max="1939" width="28.140625" style="61" bestFit="1" customWidth="1"/>
    <col min="1940" max="1940" width="14" style="61" bestFit="1" customWidth="1"/>
    <col min="1941" max="1941" width="9.140625" style="61"/>
    <col min="1942" max="1942" width="13.85546875" style="61" bestFit="1" customWidth="1"/>
    <col min="1943" max="1943" width="9.140625" style="61"/>
    <col min="1944" max="1944" width="14" style="61" customWidth="1"/>
    <col min="1945" max="1945" width="9.140625" style="61"/>
    <col min="1946" max="1946" width="12.85546875" style="61" bestFit="1" customWidth="1"/>
    <col min="1947" max="1947" width="10" style="61" customWidth="1"/>
    <col min="1948" max="1948" width="14" style="61" bestFit="1" customWidth="1"/>
    <col min="1949" max="1949" width="9.85546875" style="61" bestFit="1" customWidth="1"/>
    <col min="1950" max="1950" width="13.5703125" style="61" bestFit="1" customWidth="1"/>
    <col min="1951" max="1951" width="9.85546875" style="61" bestFit="1" customWidth="1"/>
    <col min="1952" max="1952" width="12.85546875" style="61" bestFit="1" customWidth="1"/>
    <col min="1953" max="1964" width="10.5703125" style="61" customWidth="1"/>
    <col min="1965" max="1965" width="11.140625" style="61" bestFit="1" customWidth="1"/>
    <col min="1966" max="1966" width="2.7109375" style="61" customWidth="1"/>
    <col min="1967" max="1967" width="9.85546875" style="61" bestFit="1" customWidth="1"/>
    <col min="1968" max="1969" width="9.140625" style="61"/>
    <col min="1970" max="1970" width="24" style="61" customWidth="1"/>
    <col min="1971" max="1973" width="9.140625" style="61"/>
    <col min="1974" max="1974" width="9" style="61" bestFit="1" customWidth="1"/>
    <col min="1975" max="1984" width="9.28515625" style="61" bestFit="1" customWidth="1"/>
    <col min="1985" max="1985" width="10.28515625" style="61" bestFit="1" customWidth="1"/>
    <col min="1986" max="1986" width="11.28515625" style="61" bestFit="1" customWidth="1"/>
    <col min="1987" max="1987" width="11.7109375" style="61" customWidth="1"/>
    <col min="1988" max="1988" width="9.140625" style="61"/>
    <col min="1989" max="1989" width="22.28515625" style="61" customWidth="1"/>
    <col min="1990" max="1990" width="9.140625" style="61"/>
    <col min="1991" max="1991" width="9.28515625" style="61" bestFit="1" customWidth="1"/>
    <col min="1992" max="1992" width="9.42578125" style="61" bestFit="1" customWidth="1"/>
    <col min="1993" max="1993" width="9.28515625" style="61" bestFit="1" customWidth="1"/>
    <col min="1994" max="1994" width="10.28515625" style="61" bestFit="1" customWidth="1"/>
    <col min="1995" max="1996" width="9.28515625" style="61" bestFit="1" customWidth="1"/>
    <col min="1997" max="1998" width="10.28515625" style="61" bestFit="1" customWidth="1"/>
    <col min="1999" max="2003" width="9.28515625" style="61" bestFit="1" customWidth="1"/>
    <col min="2004" max="2004" width="10.42578125" style="61" bestFit="1" customWidth="1"/>
    <col min="2005" max="2005" width="9.140625" style="61"/>
    <col min="2006" max="2006" width="24.85546875" style="61" customWidth="1"/>
    <col min="2007" max="2007" width="9.140625" style="61"/>
    <col min="2008" max="2020" width="9.28515625" style="61" bestFit="1" customWidth="1"/>
    <col min="2021" max="2021" width="10.28515625" style="61" bestFit="1" customWidth="1"/>
    <col min="2022" max="2022" width="9.5703125" style="61" bestFit="1" customWidth="1"/>
    <col min="2023" max="2023" width="18.5703125" style="61" customWidth="1"/>
    <col min="2024" max="2025" width="9.140625" style="61"/>
    <col min="2026" max="2028" width="12.140625" style="61" bestFit="1" customWidth="1"/>
    <col min="2029" max="2037" width="10.28515625" style="61" bestFit="1" customWidth="1"/>
    <col min="2038" max="2038" width="11.28515625" style="61" bestFit="1" customWidth="1"/>
    <col min="2039" max="2039" width="9.140625" style="61"/>
    <col min="2040" max="2040" width="19" style="61" customWidth="1"/>
    <col min="2041" max="2057" width="9.140625" style="61"/>
    <col min="2058" max="2068" width="11.28515625" style="61" bestFit="1" customWidth="1"/>
    <col min="2069" max="2069" width="10.28515625" style="61" bestFit="1" customWidth="1"/>
    <col min="2070" max="2070" width="12.85546875" style="61" bestFit="1" customWidth="1"/>
    <col min="2071" max="2193" width="9.140625" style="61"/>
    <col min="2194" max="2194" width="11" style="61" bestFit="1" customWidth="1"/>
    <col min="2195" max="2195" width="28.140625" style="61" bestFit="1" customWidth="1"/>
    <col min="2196" max="2196" width="14" style="61" bestFit="1" customWidth="1"/>
    <col min="2197" max="2197" width="9.140625" style="61"/>
    <col min="2198" max="2198" width="13.85546875" style="61" bestFit="1" customWidth="1"/>
    <col min="2199" max="2199" width="9.140625" style="61"/>
    <col min="2200" max="2200" width="14" style="61" customWidth="1"/>
    <col min="2201" max="2201" width="9.140625" style="61"/>
    <col min="2202" max="2202" width="12.85546875" style="61" bestFit="1" customWidth="1"/>
    <col min="2203" max="2203" width="10" style="61" customWidth="1"/>
    <col min="2204" max="2204" width="14" style="61" bestFit="1" customWidth="1"/>
    <col min="2205" max="2205" width="9.85546875" style="61" bestFit="1" customWidth="1"/>
    <col min="2206" max="2206" width="13.5703125" style="61" bestFit="1" customWidth="1"/>
    <col min="2207" max="2207" width="9.85546875" style="61" bestFit="1" customWidth="1"/>
    <col min="2208" max="2208" width="12.85546875" style="61" bestFit="1" customWidth="1"/>
    <col min="2209" max="2220" width="10.5703125" style="61" customWidth="1"/>
    <col min="2221" max="2221" width="11.140625" style="61" bestFit="1" customWidth="1"/>
    <col min="2222" max="2222" width="2.7109375" style="61" customWidth="1"/>
    <col min="2223" max="2223" width="9.85546875" style="61" bestFit="1" customWidth="1"/>
    <col min="2224" max="2225" width="9.140625" style="61"/>
    <col min="2226" max="2226" width="24" style="61" customWidth="1"/>
    <col min="2227" max="2229" width="9.140625" style="61"/>
    <col min="2230" max="2230" width="9" style="61" bestFit="1" customWidth="1"/>
    <col min="2231" max="2240" width="9.28515625" style="61" bestFit="1" customWidth="1"/>
    <col min="2241" max="2241" width="10.28515625" style="61" bestFit="1" customWidth="1"/>
    <col min="2242" max="2242" width="11.28515625" style="61" bestFit="1" customWidth="1"/>
    <col min="2243" max="2243" width="11.7109375" style="61" customWidth="1"/>
    <col min="2244" max="2244" width="9.140625" style="61"/>
    <col min="2245" max="2245" width="22.28515625" style="61" customWidth="1"/>
    <col min="2246" max="2246" width="9.140625" style="61"/>
    <col min="2247" max="2247" width="9.28515625" style="61" bestFit="1" customWidth="1"/>
    <col min="2248" max="2248" width="9.42578125" style="61" bestFit="1" customWidth="1"/>
    <col min="2249" max="2249" width="9.28515625" style="61" bestFit="1" customWidth="1"/>
    <col min="2250" max="2250" width="10.28515625" style="61" bestFit="1" customWidth="1"/>
    <col min="2251" max="2252" width="9.28515625" style="61" bestFit="1" customWidth="1"/>
    <col min="2253" max="2254" width="10.28515625" style="61" bestFit="1" customWidth="1"/>
    <col min="2255" max="2259" width="9.28515625" style="61" bestFit="1" customWidth="1"/>
    <col min="2260" max="2260" width="10.42578125" style="61" bestFit="1" customWidth="1"/>
    <col min="2261" max="2261" width="9.140625" style="61"/>
    <col min="2262" max="2262" width="24.85546875" style="61" customWidth="1"/>
    <col min="2263" max="2263" width="9.140625" style="61"/>
    <col min="2264" max="2276" width="9.28515625" style="61" bestFit="1" customWidth="1"/>
    <col min="2277" max="2277" width="10.28515625" style="61" bestFit="1" customWidth="1"/>
    <col min="2278" max="2278" width="9.5703125" style="61" bestFit="1" customWidth="1"/>
    <col min="2279" max="2279" width="18.5703125" style="61" customWidth="1"/>
    <col min="2280" max="2281" width="9.140625" style="61"/>
    <col min="2282" max="2284" width="12.140625" style="61" bestFit="1" customWidth="1"/>
    <col min="2285" max="2293" width="10.28515625" style="61" bestFit="1" customWidth="1"/>
    <col min="2294" max="2294" width="11.28515625" style="61" bestFit="1" customWidth="1"/>
    <col min="2295" max="2295" width="9.140625" style="61"/>
    <col min="2296" max="2296" width="19" style="61" customWidth="1"/>
    <col min="2297" max="2313" width="9.140625" style="61"/>
    <col min="2314" max="2324" width="11.28515625" style="61" bestFit="1" customWidth="1"/>
    <col min="2325" max="2325" width="10.28515625" style="61" bestFit="1" customWidth="1"/>
    <col min="2326" max="2326" width="12.85546875" style="61" bestFit="1" customWidth="1"/>
    <col min="2327" max="2449" width="9.140625" style="61"/>
    <col min="2450" max="2450" width="11" style="61" bestFit="1" customWidth="1"/>
    <col min="2451" max="2451" width="28.140625" style="61" bestFit="1" customWidth="1"/>
    <col min="2452" max="2452" width="14" style="61" bestFit="1" customWidth="1"/>
    <col min="2453" max="2453" width="9.140625" style="61"/>
    <col min="2454" max="2454" width="13.85546875" style="61" bestFit="1" customWidth="1"/>
    <col min="2455" max="2455" width="9.140625" style="61"/>
    <col min="2456" max="2456" width="14" style="61" customWidth="1"/>
    <col min="2457" max="2457" width="9.140625" style="61"/>
    <col min="2458" max="2458" width="12.85546875" style="61" bestFit="1" customWidth="1"/>
    <col min="2459" max="2459" width="10" style="61" customWidth="1"/>
    <col min="2460" max="2460" width="14" style="61" bestFit="1" customWidth="1"/>
    <col min="2461" max="2461" width="9.85546875" style="61" bestFit="1" customWidth="1"/>
    <col min="2462" max="2462" width="13.5703125" style="61" bestFit="1" customWidth="1"/>
    <col min="2463" max="2463" width="9.85546875" style="61" bestFit="1" customWidth="1"/>
    <col min="2464" max="2464" width="12.85546875" style="61" bestFit="1" customWidth="1"/>
    <col min="2465" max="2476" width="10.5703125" style="61" customWidth="1"/>
    <col min="2477" max="2477" width="11.140625" style="61" bestFit="1" customWidth="1"/>
    <col min="2478" max="2478" width="2.7109375" style="61" customWidth="1"/>
    <col min="2479" max="2479" width="9.85546875" style="61" bestFit="1" customWidth="1"/>
    <col min="2480" max="2481" width="9.140625" style="61"/>
    <col min="2482" max="2482" width="24" style="61" customWidth="1"/>
    <col min="2483" max="2485" width="9.140625" style="61"/>
    <col min="2486" max="2486" width="9" style="61" bestFit="1" customWidth="1"/>
    <col min="2487" max="2496" width="9.28515625" style="61" bestFit="1" customWidth="1"/>
    <col min="2497" max="2497" width="10.28515625" style="61" bestFit="1" customWidth="1"/>
    <col min="2498" max="2498" width="11.28515625" style="61" bestFit="1" customWidth="1"/>
    <col min="2499" max="2499" width="11.7109375" style="61" customWidth="1"/>
    <col min="2500" max="2500" width="9.140625" style="61"/>
    <col min="2501" max="2501" width="22.28515625" style="61" customWidth="1"/>
    <col min="2502" max="2502" width="9.140625" style="61"/>
    <col min="2503" max="2503" width="9.28515625" style="61" bestFit="1" customWidth="1"/>
    <col min="2504" max="2504" width="9.42578125" style="61" bestFit="1" customWidth="1"/>
    <col min="2505" max="2505" width="9.28515625" style="61" bestFit="1" customWidth="1"/>
    <col min="2506" max="2506" width="10.28515625" style="61" bestFit="1" customWidth="1"/>
    <col min="2507" max="2508" width="9.28515625" style="61" bestFit="1" customWidth="1"/>
    <col min="2509" max="2510" width="10.28515625" style="61" bestFit="1" customWidth="1"/>
    <col min="2511" max="2515" width="9.28515625" style="61" bestFit="1" customWidth="1"/>
    <col min="2516" max="2516" width="10.42578125" style="61" bestFit="1" customWidth="1"/>
    <col min="2517" max="2517" width="9.140625" style="61"/>
    <col min="2518" max="2518" width="24.85546875" style="61" customWidth="1"/>
    <col min="2519" max="2519" width="9.140625" style="61"/>
    <col min="2520" max="2532" width="9.28515625" style="61" bestFit="1" customWidth="1"/>
    <col min="2533" max="2533" width="10.28515625" style="61" bestFit="1" customWidth="1"/>
    <col min="2534" max="2534" width="9.5703125" style="61" bestFit="1" customWidth="1"/>
    <col min="2535" max="2535" width="18.5703125" style="61" customWidth="1"/>
    <col min="2536" max="2537" width="9.140625" style="61"/>
    <col min="2538" max="2540" width="12.140625" style="61" bestFit="1" customWidth="1"/>
    <col min="2541" max="2549" width="10.28515625" style="61" bestFit="1" customWidth="1"/>
    <col min="2550" max="2550" width="11.28515625" style="61" bestFit="1" customWidth="1"/>
    <col min="2551" max="2551" width="9.140625" style="61"/>
    <col min="2552" max="2552" width="19" style="61" customWidth="1"/>
    <col min="2553" max="2569" width="9.140625" style="61"/>
    <col min="2570" max="2580" width="11.28515625" style="61" bestFit="1" customWidth="1"/>
    <col min="2581" max="2581" width="10.28515625" style="61" bestFit="1" customWidth="1"/>
    <col min="2582" max="2582" width="12.85546875" style="61" bestFit="1" customWidth="1"/>
    <col min="2583" max="2705" width="9.140625" style="61"/>
    <col min="2706" max="2706" width="11" style="61" bestFit="1" customWidth="1"/>
    <col min="2707" max="2707" width="28.140625" style="61" bestFit="1" customWidth="1"/>
    <col min="2708" max="2708" width="14" style="61" bestFit="1" customWidth="1"/>
    <col min="2709" max="2709" width="9.140625" style="61"/>
    <col min="2710" max="2710" width="13.85546875" style="61" bestFit="1" customWidth="1"/>
    <col min="2711" max="2711" width="9.140625" style="61"/>
    <col min="2712" max="2712" width="14" style="61" customWidth="1"/>
    <col min="2713" max="2713" width="9.140625" style="61"/>
    <col min="2714" max="2714" width="12.85546875" style="61" bestFit="1" customWidth="1"/>
    <col min="2715" max="2715" width="10" style="61" customWidth="1"/>
    <col min="2716" max="2716" width="14" style="61" bestFit="1" customWidth="1"/>
    <col min="2717" max="2717" width="9.85546875" style="61" bestFit="1" customWidth="1"/>
    <col min="2718" max="2718" width="13.5703125" style="61" bestFit="1" customWidth="1"/>
    <col min="2719" max="2719" width="9.85546875" style="61" bestFit="1" customWidth="1"/>
    <col min="2720" max="2720" width="12.85546875" style="61" bestFit="1" customWidth="1"/>
    <col min="2721" max="2732" width="10.5703125" style="61" customWidth="1"/>
    <col min="2733" max="2733" width="11.140625" style="61" bestFit="1" customWidth="1"/>
    <col min="2734" max="2734" width="2.7109375" style="61" customWidth="1"/>
    <col min="2735" max="2735" width="9.85546875" style="61" bestFit="1" customWidth="1"/>
    <col min="2736" max="2737" width="9.140625" style="61"/>
    <col min="2738" max="2738" width="24" style="61" customWidth="1"/>
    <col min="2739" max="2741" width="9.140625" style="61"/>
    <col min="2742" max="2742" width="9" style="61" bestFit="1" customWidth="1"/>
    <col min="2743" max="2752" width="9.28515625" style="61" bestFit="1" customWidth="1"/>
    <col min="2753" max="2753" width="10.28515625" style="61" bestFit="1" customWidth="1"/>
    <col min="2754" max="2754" width="11.28515625" style="61" bestFit="1" customWidth="1"/>
    <col min="2755" max="2755" width="11.7109375" style="61" customWidth="1"/>
    <col min="2756" max="2756" width="9.140625" style="61"/>
    <col min="2757" max="2757" width="22.28515625" style="61" customWidth="1"/>
    <col min="2758" max="2758" width="9.140625" style="61"/>
    <col min="2759" max="2759" width="9.28515625" style="61" bestFit="1" customWidth="1"/>
    <col min="2760" max="2760" width="9.42578125" style="61" bestFit="1" customWidth="1"/>
    <col min="2761" max="2761" width="9.28515625" style="61" bestFit="1" customWidth="1"/>
    <col min="2762" max="2762" width="10.28515625" style="61" bestFit="1" customWidth="1"/>
    <col min="2763" max="2764" width="9.28515625" style="61" bestFit="1" customWidth="1"/>
    <col min="2765" max="2766" width="10.28515625" style="61" bestFit="1" customWidth="1"/>
    <col min="2767" max="2771" width="9.28515625" style="61" bestFit="1" customWidth="1"/>
    <col min="2772" max="2772" width="10.42578125" style="61" bestFit="1" customWidth="1"/>
    <col min="2773" max="2773" width="9.140625" style="61"/>
    <col min="2774" max="2774" width="24.85546875" style="61" customWidth="1"/>
    <col min="2775" max="2775" width="9.140625" style="61"/>
    <col min="2776" max="2788" width="9.28515625" style="61" bestFit="1" customWidth="1"/>
    <col min="2789" max="2789" width="10.28515625" style="61" bestFit="1" customWidth="1"/>
    <col min="2790" max="2790" width="9.5703125" style="61" bestFit="1" customWidth="1"/>
    <col min="2791" max="2791" width="18.5703125" style="61" customWidth="1"/>
    <col min="2792" max="2793" width="9.140625" style="61"/>
    <col min="2794" max="2796" width="12.140625" style="61" bestFit="1" customWidth="1"/>
    <col min="2797" max="2805" width="10.28515625" style="61" bestFit="1" customWidth="1"/>
    <col min="2806" max="2806" width="11.28515625" style="61" bestFit="1" customWidth="1"/>
    <col min="2807" max="2807" width="9.140625" style="61"/>
    <col min="2808" max="2808" width="19" style="61" customWidth="1"/>
    <col min="2809" max="2825" width="9.140625" style="61"/>
    <col min="2826" max="2836" width="11.28515625" style="61" bestFit="1" customWidth="1"/>
    <col min="2837" max="2837" width="10.28515625" style="61" bestFit="1" customWidth="1"/>
    <col min="2838" max="2838" width="12.85546875" style="61" bestFit="1" customWidth="1"/>
    <col min="2839" max="2961" width="9.140625" style="61"/>
    <col min="2962" max="2962" width="11" style="61" bestFit="1" customWidth="1"/>
    <col min="2963" max="2963" width="28.140625" style="61" bestFit="1" customWidth="1"/>
    <col min="2964" max="2964" width="14" style="61" bestFit="1" customWidth="1"/>
    <col min="2965" max="2965" width="9.140625" style="61"/>
    <col min="2966" max="2966" width="13.85546875" style="61" bestFit="1" customWidth="1"/>
    <col min="2967" max="2967" width="9.140625" style="61"/>
    <col min="2968" max="2968" width="14" style="61" customWidth="1"/>
    <col min="2969" max="2969" width="9.140625" style="61"/>
    <col min="2970" max="2970" width="12.85546875" style="61" bestFit="1" customWidth="1"/>
    <col min="2971" max="2971" width="10" style="61" customWidth="1"/>
    <col min="2972" max="2972" width="14" style="61" bestFit="1" customWidth="1"/>
    <col min="2973" max="2973" width="9.85546875" style="61" bestFit="1" customWidth="1"/>
    <col min="2974" max="2974" width="13.5703125" style="61" bestFit="1" customWidth="1"/>
    <col min="2975" max="2975" width="9.85546875" style="61" bestFit="1" customWidth="1"/>
    <col min="2976" max="2976" width="12.85546875" style="61" bestFit="1" customWidth="1"/>
    <col min="2977" max="2988" width="10.5703125" style="61" customWidth="1"/>
    <col min="2989" max="2989" width="11.140625" style="61" bestFit="1" customWidth="1"/>
    <col min="2990" max="2990" width="2.7109375" style="61" customWidth="1"/>
    <col min="2991" max="2991" width="9.85546875" style="61" bestFit="1" customWidth="1"/>
    <col min="2992" max="2993" width="9.140625" style="61"/>
    <col min="2994" max="2994" width="24" style="61" customWidth="1"/>
    <col min="2995" max="2997" width="9.140625" style="61"/>
    <col min="2998" max="2998" width="9" style="61" bestFit="1" customWidth="1"/>
    <col min="2999" max="3008" width="9.28515625" style="61" bestFit="1" customWidth="1"/>
    <col min="3009" max="3009" width="10.28515625" style="61" bestFit="1" customWidth="1"/>
    <col min="3010" max="3010" width="11.28515625" style="61" bestFit="1" customWidth="1"/>
    <col min="3011" max="3011" width="11.7109375" style="61" customWidth="1"/>
    <col min="3012" max="3012" width="9.140625" style="61"/>
    <col min="3013" max="3013" width="22.28515625" style="61" customWidth="1"/>
    <col min="3014" max="3014" width="9.140625" style="61"/>
    <col min="3015" max="3015" width="9.28515625" style="61" bestFit="1" customWidth="1"/>
    <col min="3016" max="3016" width="9.42578125" style="61" bestFit="1" customWidth="1"/>
    <col min="3017" max="3017" width="9.28515625" style="61" bestFit="1" customWidth="1"/>
    <col min="3018" max="3018" width="10.28515625" style="61" bestFit="1" customWidth="1"/>
    <col min="3019" max="3020" width="9.28515625" style="61" bestFit="1" customWidth="1"/>
    <col min="3021" max="3022" width="10.28515625" style="61" bestFit="1" customWidth="1"/>
    <col min="3023" max="3027" width="9.28515625" style="61" bestFit="1" customWidth="1"/>
    <col min="3028" max="3028" width="10.42578125" style="61" bestFit="1" customWidth="1"/>
    <col min="3029" max="3029" width="9.140625" style="61"/>
    <col min="3030" max="3030" width="24.85546875" style="61" customWidth="1"/>
    <col min="3031" max="3031" width="9.140625" style="61"/>
    <col min="3032" max="3044" width="9.28515625" style="61" bestFit="1" customWidth="1"/>
    <col min="3045" max="3045" width="10.28515625" style="61" bestFit="1" customWidth="1"/>
    <col min="3046" max="3046" width="9.5703125" style="61" bestFit="1" customWidth="1"/>
    <col min="3047" max="3047" width="18.5703125" style="61" customWidth="1"/>
    <col min="3048" max="3049" width="9.140625" style="61"/>
    <col min="3050" max="3052" width="12.140625" style="61" bestFit="1" customWidth="1"/>
    <col min="3053" max="3061" width="10.28515625" style="61" bestFit="1" customWidth="1"/>
    <col min="3062" max="3062" width="11.28515625" style="61" bestFit="1" customWidth="1"/>
    <col min="3063" max="3063" width="9.140625" style="61"/>
    <col min="3064" max="3064" width="19" style="61" customWidth="1"/>
    <col min="3065" max="3081" width="9.140625" style="61"/>
    <col min="3082" max="3092" width="11.28515625" style="61" bestFit="1" customWidth="1"/>
    <col min="3093" max="3093" width="10.28515625" style="61" bestFit="1" customWidth="1"/>
    <col min="3094" max="3094" width="12.85546875" style="61" bestFit="1" customWidth="1"/>
    <col min="3095" max="3217" width="9.140625" style="61"/>
    <col min="3218" max="3218" width="11" style="61" bestFit="1" customWidth="1"/>
    <col min="3219" max="3219" width="28.140625" style="61" bestFit="1" customWidth="1"/>
    <col min="3220" max="3220" width="14" style="61" bestFit="1" customWidth="1"/>
    <col min="3221" max="3221" width="9.140625" style="61"/>
    <col min="3222" max="3222" width="13.85546875" style="61" bestFit="1" customWidth="1"/>
    <col min="3223" max="3223" width="9.140625" style="61"/>
    <col min="3224" max="3224" width="14" style="61" customWidth="1"/>
    <col min="3225" max="3225" width="9.140625" style="61"/>
    <col min="3226" max="3226" width="12.85546875" style="61" bestFit="1" customWidth="1"/>
    <col min="3227" max="3227" width="10" style="61" customWidth="1"/>
    <col min="3228" max="3228" width="14" style="61" bestFit="1" customWidth="1"/>
    <col min="3229" max="3229" width="9.85546875" style="61" bestFit="1" customWidth="1"/>
    <col min="3230" max="3230" width="13.5703125" style="61" bestFit="1" customWidth="1"/>
    <col min="3231" max="3231" width="9.85546875" style="61" bestFit="1" customWidth="1"/>
    <col min="3232" max="3232" width="12.85546875" style="61" bestFit="1" customWidth="1"/>
    <col min="3233" max="3244" width="10.5703125" style="61" customWidth="1"/>
    <col min="3245" max="3245" width="11.140625" style="61" bestFit="1" customWidth="1"/>
    <col min="3246" max="3246" width="2.7109375" style="61" customWidth="1"/>
    <col min="3247" max="3247" width="9.85546875" style="61" bestFit="1" customWidth="1"/>
    <col min="3248" max="3249" width="9.140625" style="61"/>
    <col min="3250" max="3250" width="24" style="61" customWidth="1"/>
    <col min="3251" max="3253" width="9.140625" style="61"/>
    <col min="3254" max="3254" width="9" style="61" bestFit="1" customWidth="1"/>
    <col min="3255" max="3264" width="9.28515625" style="61" bestFit="1" customWidth="1"/>
    <col min="3265" max="3265" width="10.28515625" style="61" bestFit="1" customWidth="1"/>
    <col min="3266" max="3266" width="11.28515625" style="61" bestFit="1" customWidth="1"/>
    <col min="3267" max="3267" width="11.7109375" style="61" customWidth="1"/>
    <col min="3268" max="3268" width="9.140625" style="61"/>
    <col min="3269" max="3269" width="22.28515625" style="61" customWidth="1"/>
    <col min="3270" max="3270" width="9.140625" style="61"/>
    <col min="3271" max="3271" width="9.28515625" style="61" bestFit="1" customWidth="1"/>
    <col min="3272" max="3272" width="9.42578125" style="61" bestFit="1" customWidth="1"/>
    <col min="3273" max="3273" width="9.28515625" style="61" bestFit="1" customWidth="1"/>
    <col min="3274" max="3274" width="10.28515625" style="61" bestFit="1" customWidth="1"/>
    <col min="3275" max="3276" width="9.28515625" style="61" bestFit="1" customWidth="1"/>
    <col min="3277" max="3278" width="10.28515625" style="61" bestFit="1" customWidth="1"/>
    <col min="3279" max="3283" width="9.28515625" style="61" bestFit="1" customWidth="1"/>
    <col min="3284" max="3284" width="10.42578125" style="61" bestFit="1" customWidth="1"/>
    <col min="3285" max="3285" width="9.140625" style="61"/>
    <col min="3286" max="3286" width="24.85546875" style="61" customWidth="1"/>
    <col min="3287" max="3287" width="9.140625" style="61"/>
    <col min="3288" max="3300" width="9.28515625" style="61" bestFit="1" customWidth="1"/>
    <col min="3301" max="3301" width="10.28515625" style="61" bestFit="1" customWidth="1"/>
    <col min="3302" max="3302" width="9.5703125" style="61" bestFit="1" customWidth="1"/>
    <col min="3303" max="3303" width="18.5703125" style="61" customWidth="1"/>
    <col min="3304" max="3305" width="9.140625" style="61"/>
    <col min="3306" max="3308" width="12.140625" style="61" bestFit="1" customWidth="1"/>
    <col min="3309" max="3317" width="10.28515625" style="61" bestFit="1" customWidth="1"/>
    <col min="3318" max="3318" width="11.28515625" style="61" bestFit="1" customWidth="1"/>
    <col min="3319" max="3319" width="9.140625" style="61"/>
    <col min="3320" max="3320" width="19" style="61" customWidth="1"/>
    <col min="3321" max="3337" width="9.140625" style="61"/>
    <col min="3338" max="3348" width="11.28515625" style="61" bestFit="1" customWidth="1"/>
    <col min="3349" max="3349" width="10.28515625" style="61" bestFit="1" customWidth="1"/>
    <col min="3350" max="3350" width="12.85546875" style="61" bestFit="1" customWidth="1"/>
    <col min="3351" max="3473" width="9.140625" style="61"/>
    <col min="3474" max="3474" width="11" style="61" bestFit="1" customWidth="1"/>
    <col min="3475" max="3475" width="28.140625" style="61" bestFit="1" customWidth="1"/>
    <col min="3476" max="3476" width="14" style="61" bestFit="1" customWidth="1"/>
    <col min="3477" max="3477" width="9.140625" style="61"/>
    <col min="3478" max="3478" width="13.85546875" style="61" bestFit="1" customWidth="1"/>
    <col min="3479" max="3479" width="9.140625" style="61"/>
    <col min="3480" max="3480" width="14" style="61" customWidth="1"/>
    <col min="3481" max="3481" width="9.140625" style="61"/>
    <col min="3482" max="3482" width="12.85546875" style="61" bestFit="1" customWidth="1"/>
    <col min="3483" max="3483" width="10" style="61" customWidth="1"/>
    <col min="3484" max="3484" width="14" style="61" bestFit="1" customWidth="1"/>
    <col min="3485" max="3485" width="9.85546875" style="61" bestFit="1" customWidth="1"/>
    <col min="3486" max="3486" width="13.5703125" style="61" bestFit="1" customWidth="1"/>
    <col min="3487" max="3487" width="9.85546875" style="61" bestFit="1" customWidth="1"/>
    <col min="3488" max="3488" width="12.85546875" style="61" bestFit="1" customWidth="1"/>
    <col min="3489" max="3500" width="10.5703125" style="61" customWidth="1"/>
    <col min="3501" max="3501" width="11.140625" style="61" bestFit="1" customWidth="1"/>
    <col min="3502" max="3502" width="2.7109375" style="61" customWidth="1"/>
    <col min="3503" max="3503" width="9.85546875" style="61" bestFit="1" customWidth="1"/>
    <col min="3504" max="3505" width="9.140625" style="61"/>
    <col min="3506" max="3506" width="24" style="61" customWidth="1"/>
    <col min="3507" max="3509" width="9.140625" style="61"/>
    <col min="3510" max="3510" width="9" style="61" bestFit="1" customWidth="1"/>
    <col min="3511" max="3520" width="9.28515625" style="61" bestFit="1" customWidth="1"/>
    <col min="3521" max="3521" width="10.28515625" style="61" bestFit="1" customWidth="1"/>
    <col min="3522" max="3522" width="11.28515625" style="61" bestFit="1" customWidth="1"/>
    <col min="3523" max="3523" width="11.7109375" style="61" customWidth="1"/>
    <col min="3524" max="3524" width="9.140625" style="61"/>
    <col min="3525" max="3525" width="22.28515625" style="61" customWidth="1"/>
    <col min="3526" max="3526" width="9.140625" style="61"/>
    <col min="3527" max="3527" width="9.28515625" style="61" bestFit="1" customWidth="1"/>
    <col min="3528" max="3528" width="9.42578125" style="61" bestFit="1" customWidth="1"/>
    <col min="3529" max="3529" width="9.28515625" style="61" bestFit="1" customWidth="1"/>
    <col min="3530" max="3530" width="10.28515625" style="61" bestFit="1" customWidth="1"/>
    <col min="3531" max="3532" width="9.28515625" style="61" bestFit="1" customWidth="1"/>
    <col min="3533" max="3534" width="10.28515625" style="61" bestFit="1" customWidth="1"/>
    <col min="3535" max="3539" width="9.28515625" style="61" bestFit="1" customWidth="1"/>
    <col min="3540" max="3540" width="10.42578125" style="61" bestFit="1" customWidth="1"/>
    <col min="3541" max="3541" width="9.140625" style="61"/>
    <col min="3542" max="3542" width="24.85546875" style="61" customWidth="1"/>
    <col min="3543" max="3543" width="9.140625" style="61"/>
    <col min="3544" max="3556" width="9.28515625" style="61" bestFit="1" customWidth="1"/>
    <col min="3557" max="3557" width="10.28515625" style="61" bestFit="1" customWidth="1"/>
    <col min="3558" max="3558" width="9.5703125" style="61" bestFit="1" customWidth="1"/>
    <col min="3559" max="3559" width="18.5703125" style="61" customWidth="1"/>
    <col min="3560" max="3561" width="9.140625" style="61"/>
    <col min="3562" max="3564" width="12.140625" style="61" bestFit="1" customWidth="1"/>
    <col min="3565" max="3573" width="10.28515625" style="61" bestFit="1" customWidth="1"/>
    <col min="3574" max="3574" width="11.28515625" style="61" bestFit="1" customWidth="1"/>
    <col min="3575" max="3575" width="9.140625" style="61"/>
    <col min="3576" max="3576" width="19" style="61" customWidth="1"/>
    <col min="3577" max="3593" width="9.140625" style="61"/>
    <col min="3594" max="3604" width="11.28515625" style="61" bestFit="1" customWidth="1"/>
    <col min="3605" max="3605" width="10.28515625" style="61" bestFit="1" customWidth="1"/>
    <col min="3606" max="3606" width="12.85546875" style="61" bestFit="1" customWidth="1"/>
    <col min="3607" max="3729" width="9.140625" style="61"/>
    <col min="3730" max="3730" width="11" style="61" bestFit="1" customWidth="1"/>
    <col min="3731" max="3731" width="28.140625" style="61" bestFit="1" customWidth="1"/>
    <col min="3732" max="3732" width="14" style="61" bestFit="1" customWidth="1"/>
    <col min="3733" max="3733" width="9.140625" style="61"/>
    <col min="3734" max="3734" width="13.85546875" style="61" bestFit="1" customWidth="1"/>
    <col min="3735" max="3735" width="9.140625" style="61"/>
    <col min="3736" max="3736" width="14" style="61" customWidth="1"/>
    <col min="3737" max="3737" width="9.140625" style="61"/>
    <col min="3738" max="3738" width="12.85546875" style="61" bestFit="1" customWidth="1"/>
    <col min="3739" max="3739" width="10" style="61" customWidth="1"/>
    <col min="3740" max="3740" width="14" style="61" bestFit="1" customWidth="1"/>
    <col min="3741" max="3741" width="9.85546875" style="61" bestFit="1" customWidth="1"/>
    <col min="3742" max="3742" width="13.5703125" style="61" bestFit="1" customWidth="1"/>
    <col min="3743" max="3743" width="9.85546875" style="61" bestFit="1" customWidth="1"/>
    <col min="3744" max="3744" width="12.85546875" style="61" bestFit="1" customWidth="1"/>
    <col min="3745" max="3756" width="10.5703125" style="61" customWidth="1"/>
    <col min="3757" max="3757" width="11.140625" style="61" bestFit="1" customWidth="1"/>
    <col min="3758" max="3758" width="2.7109375" style="61" customWidth="1"/>
    <col min="3759" max="3759" width="9.85546875" style="61" bestFit="1" customWidth="1"/>
    <col min="3760" max="3761" width="9.140625" style="61"/>
    <col min="3762" max="3762" width="24" style="61" customWidth="1"/>
    <col min="3763" max="3765" width="9.140625" style="61"/>
    <col min="3766" max="3766" width="9" style="61" bestFit="1" customWidth="1"/>
    <col min="3767" max="3776" width="9.28515625" style="61" bestFit="1" customWidth="1"/>
    <col min="3777" max="3777" width="10.28515625" style="61" bestFit="1" customWidth="1"/>
    <col min="3778" max="3778" width="11.28515625" style="61" bestFit="1" customWidth="1"/>
    <col min="3779" max="3779" width="11.7109375" style="61" customWidth="1"/>
    <col min="3780" max="3780" width="9.140625" style="61"/>
    <col min="3781" max="3781" width="22.28515625" style="61" customWidth="1"/>
    <col min="3782" max="3782" width="9.140625" style="61"/>
    <col min="3783" max="3783" width="9.28515625" style="61" bestFit="1" customWidth="1"/>
    <col min="3784" max="3784" width="9.42578125" style="61" bestFit="1" customWidth="1"/>
    <col min="3785" max="3785" width="9.28515625" style="61" bestFit="1" customWidth="1"/>
    <col min="3786" max="3786" width="10.28515625" style="61" bestFit="1" customWidth="1"/>
    <col min="3787" max="3788" width="9.28515625" style="61" bestFit="1" customWidth="1"/>
    <col min="3789" max="3790" width="10.28515625" style="61" bestFit="1" customWidth="1"/>
    <col min="3791" max="3795" width="9.28515625" style="61" bestFit="1" customWidth="1"/>
    <col min="3796" max="3796" width="10.42578125" style="61" bestFit="1" customWidth="1"/>
    <col min="3797" max="3797" width="9.140625" style="61"/>
    <col min="3798" max="3798" width="24.85546875" style="61" customWidth="1"/>
    <col min="3799" max="3799" width="9.140625" style="61"/>
    <col min="3800" max="3812" width="9.28515625" style="61" bestFit="1" customWidth="1"/>
    <col min="3813" max="3813" width="10.28515625" style="61" bestFit="1" customWidth="1"/>
    <col min="3814" max="3814" width="9.5703125" style="61" bestFit="1" customWidth="1"/>
    <col min="3815" max="3815" width="18.5703125" style="61" customWidth="1"/>
    <col min="3816" max="3817" width="9.140625" style="61"/>
    <col min="3818" max="3820" width="12.140625" style="61" bestFit="1" customWidth="1"/>
    <col min="3821" max="3829" width="10.28515625" style="61" bestFit="1" customWidth="1"/>
    <col min="3830" max="3830" width="11.28515625" style="61" bestFit="1" customWidth="1"/>
    <col min="3831" max="3831" width="9.140625" style="61"/>
    <col min="3832" max="3832" width="19" style="61" customWidth="1"/>
    <col min="3833" max="3849" width="9.140625" style="61"/>
    <col min="3850" max="3860" width="11.28515625" style="61" bestFit="1" customWidth="1"/>
    <col min="3861" max="3861" width="10.28515625" style="61" bestFit="1" customWidth="1"/>
    <col min="3862" max="3862" width="12.85546875" style="61" bestFit="1" customWidth="1"/>
    <col min="3863" max="3985" width="9.140625" style="61"/>
    <col min="3986" max="3986" width="11" style="61" bestFit="1" customWidth="1"/>
    <col min="3987" max="3987" width="28.140625" style="61" bestFit="1" customWidth="1"/>
    <col min="3988" max="3988" width="14" style="61" bestFit="1" customWidth="1"/>
    <col min="3989" max="3989" width="9.140625" style="61"/>
    <col min="3990" max="3990" width="13.85546875" style="61" bestFit="1" customWidth="1"/>
    <col min="3991" max="3991" width="9.140625" style="61"/>
    <col min="3992" max="3992" width="14" style="61" customWidth="1"/>
    <col min="3993" max="3993" width="9.140625" style="61"/>
    <col min="3994" max="3994" width="12.85546875" style="61" bestFit="1" customWidth="1"/>
    <col min="3995" max="3995" width="10" style="61" customWidth="1"/>
    <col min="3996" max="3996" width="14" style="61" bestFit="1" customWidth="1"/>
    <col min="3997" max="3997" width="9.85546875" style="61" bestFit="1" customWidth="1"/>
    <col min="3998" max="3998" width="13.5703125" style="61" bestFit="1" customWidth="1"/>
    <col min="3999" max="3999" width="9.85546875" style="61" bestFit="1" customWidth="1"/>
    <col min="4000" max="4000" width="12.85546875" style="61" bestFit="1" customWidth="1"/>
    <col min="4001" max="4012" width="10.5703125" style="61" customWidth="1"/>
    <col min="4013" max="4013" width="11.140625" style="61" bestFit="1" customWidth="1"/>
    <col min="4014" max="4014" width="2.7109375" style="61" customWidth="1"/>
    <col min="4015" max="4015" width="9.85546875" style="61" bestFit="1" customWidth="1"/>
    <col min="4016" max="4017" width="9.140625" style="61"/>
    <col min="4018" max="4018" width="24" style="61" customWidth="1"/>
    <col min="4019" max="4021" width="9.140625" style="61"/>
    <col min="4022" max="4022" width="9" style="61" bestFit="1" customWidth="1"/>
    <col min="4023" max="4032" width="9.28515625" style="61" bestFit="1" customWidth="1"/>
    <col min="4033" max="4033" width="10.28515625" style="61" bestFit="1" customWidth="1"/>
    <col min="4034" max="4034" width="11.28515625" style="61" bestFit="1" customWidth="1"/>
    <col min="4035" max="4035" width="11.7109375" style="61" customWidth="1"/>
    <col min="4036" max="4036" width="9.140625" style="61"/>
    <col min="4037" max="4037" width="22.28515625" style="61" customWidth="1"/>
    <col min="4038" max="4038" width="9.140625" style="61"/>
    <col min="4039" max="4039" width="9.28515625" style="61" bestFit="1" customWidth="1"/>
    <col min="4040" max="4040" width="9.42578125" style="61" bestFit="1" customWidth="1"/>
    <col min="4041" max="4041" width="9.28515625" style="61" bestFit="1" customWidth="1"/>
    <col min="4042" max="4042" width="10.28515625" style="61" bestFit="1" customWidth="1"/>
    <col min="4043" max="4044" width="9.28515625" style="61" bestFit="1" customWidth="1"/>
    <col min="4045" max="4046" width="10.28515625" style="61" bestFit="1" customWidth="1"/>
    <col min="4047" max="4051" width="9.28515625" style="61" bestFit="1" customWidth="1"/>
    <col min="4052" max="4052" width="10.42578125" style="61" bestFit="1" customWidth="1"/>
    <col min="4053" max="4053" width="9.140625" style="61"/>
    <col min="4054" max="4054" width="24.85546875" style="61" customWidth="1"/>
    <col min="4055" max="4055" width="9.140625" style="61"/>
    <col min="4056" max="4068" width="9.28515625" style="61" bestFit="1" customWidth="1"/>
    <col min="4069" max="4069" width="10.28515625" style="61" bestFit="1" customWidth="1"/>
    <col min="4070" max="4070" width="9.5703125" style="61" bestFit="1" customWidth="1"/>
    <col min="4071" max="4071" width="18.5703125" style="61" customWidth="1"/>
    <col min="4072" max="4073" width="9.140625" style="61"/>
    <col min="4074" max="4076" width="12.140625" style="61" bestFit="1" customWidth="1"/>
    <col min="4077" max="4085" width="10.28515625" style="61" bestFit="1" customWidth="1"/>
    <col min="4086" max="4086" width="11.28515625" style="61" bestFit="1" customWidth="1"/>
    <col min="4087" max="4087" width="9.140625" style="61"/>
    <col min="4088" max="4088" width="19" style="61" customWidth="1"/>
    <col min="4089" max="4105" width="9.140625" style="61"/>
    <col min="4106" max="4116" width="11.28515625" style="61" bestFit="1" customWidth="1"/>
    <col min="4117" max="4117" width="10.28515625" style="61" bestFit="1" customWidth="1"/>
    <col min="4118" max="4118" width="12.85546875" style="61" bestFit="1" customWidth="1"/>
    <col min="4119" max="4241" width="9.140625" style="61"/>
    <col min="4242" max="4242" width="11" style="61" bestFit="1" customWidth="1"/>
    <col min="4243" max="4243" width="28.140625" style="61" bestFit="1" customWidth="1"/>
    <col min="4244" max="4244" width="14" style="61" bestFit="1" customWidth="1"/>
    <col min="4245" max="4245" width="9.140625" style="61"/>
    <col min="4246" max="4246" width="13.85546875" style="61" bestFit="1" customWidth="1"/>
    <col min="4247" max="4247" width="9.140625" style="61"/>
    <col min="4248" max="4248" width="14" style="61" customWidth="1"/>
    <col min="4249" max="4249" width="9.140625" style="61"/>
    <col min="4250" max="4250" width="12.85546875" style="61" bestFit="1" customWidth="1"/>
    <col min="4251" max="4251" width="10" style="61" customWidth="1"/>
    <col min="4252" max="4252" width="14" style="61" bestFit="1" customWidth="1"/>
    <col min="4253" max="4253" width="9.85546875" style="61" bestFit="1" customWidth="1"/>
    <col min="4254" max="4254" width="13.5703125" style="61" bestFit="1" customWidth="1"/>
    <col min="4255" max="4255" width="9.85546875" style="61" bestFit="1" customWidth="1"/>
    <col min="4256" max="4256" width="12.85546875" style="61" bestFit="1" customWidth="1"/>
    <col min="4257" max="4268" width="10.5703125" style="61" customWidth="1"/>
    <col min="4269" max="4269" width="11.140625" style="61" bestFit="1" customWidth="1"/>
    <col min="4270" max="4270" width="2.7109375" style="61" customWidth="1"/>
    <col min="4271" max="4271" width="9.85546875" style="61" bestFit="1" customWidth="1"/>
    <col min="4272" max="4273" width="9.140625" style="61"/>
    <col min="4274" max="4274" width="24" style="61" customWidth="1"/>
    <col min="4275" max="4277" width="9.140625" style="61"/>
    <col min="4278" max="4278" width="9" style="61" bestFit="1" customWidth="1"/>
    <col min="4279" max="4288" width="9.28515625" style="61" bestFit="1" customWidth="1"/>
    <col min="4289" max="4289" width="10.28515625" style="61" bestFit="1" customWidth="1"/>
    <col min="4290" max="4290" width="11.28515625" style="61" bestFit="1" customWidth="1"/>
    <col min="4291" max="4291" width="11.7109375" style="61" customWidth="1"/>
    <col min="4292" max="4292" width="9.140625" style="61"/>
    <col min="4293" max="4293" width="22.28515625" style="61" customWidth="1"/>
    <col min="4294" max="4294" width="9.140625" style="61"/>
    <col min="4295" max="4295" width="9.28515625" style="61" bestFit="1" customWidth="1"/>
    <col min="4296" max="4296" width="9.42578125" style="61" bestFit="1" customWidth="1"/>
    <col min="4297" max="4297" width="9.28515625" style="61" bestFit="1" customWidth="1"/>
    <col min="4298" max="4298" width="10.28515625" style="61" bestFit="1" customWidth="1"/>
    <col min="4299" max="4300" width="9.28515625" style="61" bestFit="1" customWidth="1"/>
    <col min="4301" max="4302" width="10.28515625" style="61" bestFit="1" customWidth="1"/>
    <col min="4303" max="4307" width="9.28515625" style="61" bestFit="1" customWidth="1"/>
    <col min="4308" max="4308" width="10.42578125" style="61" bestFit="1" customWidth="1"/>
    <col min="4309" max="4309" width="9.140625" style="61"/>
    <col min="4310" max="4310" width="24.85546875" style="61" customWidth="1"/>
    <col min="4311" max="4311" width="9.140625" style="61"/>
    <col min="4312" max="4324" width="9.28515625" style="61" bestFit="1" customWidth="1"/>
    <col min="4325" max="4325" width="10.28515625" style="61" bestFit="1" customWidth="1"/>
    <col min="4326" max="4326" width="9.5703125" style="61" bestFit="1" customWidth="1"/>
    <col min="4327" max="4327" width="18.5703125" style="61" customWidth="1"/>
    <col min="4328" max="4329" width="9.140625" style="61"/>
    <col min="4330" max="4332" width="12.140625" style="61" bestFit="1" customWidth="1"/>
    <col min="4333" max="4341" width="10.28515625" style="61" bestFit="1" customWidth="1"/>
    <col min="4342" max="4342" width="11.28515625" style="61" bestFit="1" customWidth="1"/>
    <col min="4343" max="4343" width="9.140625" style="61"/>
    <col min="4344" max="4344" width="19" style="61" customWidth="1"/>
    <col min="4345" max="4361" width="9.140625" style="61"/>
    <col min="4362" max="4372" width="11.28515625" style="61" bestFit="1" customWidth="1"/>
    <col min="4373" max="4373" width="10.28515625" style="61" bestFit="1" customWidth="1"/>
    <col min="4374" max="4374" width="12.85546875" style="61" bestFit="1" customWidth="1"/>
    <col min="4375" max="4497" width="9.140625" style="61"/>
    <col min="4498" max="4498" width="11" style="61" bestFit="1" customWidth="1"/>
    <col min="4499" max="4499" width="28.140625" style="61" bestFit="1" customWidth="1"/>
    <col min="4500" max="4500" width="14" style="61" bestFit="1" customWidth="1"/>
    <col min="4501" max="4501" width="9.140625" style="61"/>
    <col min="4502" max="4502" width="13.85546875" style="61" bestFit="1" customWidth="1"/>
    <col min="4503" max="4503" width="9.140625" style="61"/>
    <col min="4504" max="4504" width="14" style="61" customWidth="1"/>
    <col min="4505" max="4505" width="9.140625" style="61"/>
    <col min="4506" max="4506" width="12.85546875" style="61" bestFit="1" customWidth="1"/>
    <col min="4507" max="4507" width="10" style="61" customWidth="1"/>
    <col min="4508" max="4508" width="14" style="61" bestFit="1" customWidth="1"/>
    <col min="4509" max="4509" width="9.85546875" style="61" bestFit="1" customWidth="1"/>
    <col min="4510" max="4510" width="13.5703125" style="61" bestFit="1" customWidth="1"/>
    <col min="4511" max="4511" width="9.85546875" style="61" bestFit="1" customWidth="1"/>
    <col min="4512" max="4512" width="12.85546875" style="61" bestFit="1" customWidth="1"/>
    <col min="4513" max="4524" width="10.5703125" style="61" customWidth="1"/>
    <col min="4525" max="4525" width="11.140625" style="61" bestFit="1" customWidth="1"/>
    <col min="4526" max="4526" width="2.7109375" style="61" customWidth="1"/>
    <col min="4527" max="4527" width="9.85546875" style="61" bestFit="1" customWidth="1"/>
    <col min="4528" max="4529" width="9.140625" style="61"/>
    <col min="4530" max="4530" width="24" style="61" customWidth="1"/>
    <col min="4531" max="4533" width="9.140625" style="61"/>
    <col min="4534" max="4534" width="9" style="61" bestFit="1" customWidth="1"/>
    <col min="4535" max="4544" width="9.28515625" style="61" bestFit="1" customWidth="1"/>
    <col min="4545" max="4545" width="10.28515625" style="61" bestFit="1" customWidth="1"/>
    <col min="4546" max="4546" width="11.28515625" style="61" bestFit="1" customWidth="1"/>
    <col min="4547" max="4547" width="11.7109375" style="61" customWidth="1"/>
    <col min="4548" max="4548" width="9.140625" style="61"/>
    <col min="4549" max="4549" width="22.28515625" style="61" customWidth="1"/>
    <col min="4550" max="4550" width="9.140625" style="61"/>
    <col min="4551" max="4551" width="9.28515625" style="61" bestFit="1" customWidth="1"/>
    <col min="4552" max="4552" width="9.42578125" style="61" bestFit="1" customWidth="1"/>
    <col min="4553" max="4553" width="9.28515625" style="61" bestFit="1" customWidth="1"/>
    <col min="4554" max="4554" width="10.28515625" style="61" bestFit="1" customWidth="1"/>
    <col min="4555" max="4556" width="9.28515625" style="61" bestFit="1" customWidth="1"/>
    <col min="4557" max="4558" width="10.28515625" style="61" bestFit="1" customWidth="1"/>
    <col min="4559" max="4563" width="9.28515625" style="61" bestFit="1" customWidth="1"/>
    <col min="4564" max="4564" width="10.42578125" style="61" bestFit="1" customWidth="1"/>
    <col min="4565" max="4565" width="9.140625" style="61"/>
    <col min="4566" max="4566" width="24.85546875" style="61" customWidth="1"/>
    <col min="4567" max="4567" width="9.140625" style="61"/>
    <col min="4568" max="4580" width="9.28515625" style="61" bestFit="1" customWidth="1"/>
    <col min="4581" max="4581" width="10.28515625" style="61" bestFit="1" customWidth="1"/>
    <col min="4582" max="4582" width="9.5703125" style="61" bestFit="1" customWidth="1"/>
    <col min="4583" max="4583" width="18.5703125" style="61" customWidth="1"/>
    <col min="4584" max="4585" width="9.140625" style="61"/>
    <col min="4586" max="4588" width="12.140625" style="61" bestFit="1" customWidth="1"/>
    <col min="4589" max="4597" width="10.28515625" style="61" bestFit="1" customWidth="1"/>
    <col min="4598" max="4598" width="11.28515625" style="61" bestFit="1" customWidth="1"/>
    <col min="4599" max="4599" width="9.140625" style="61"/>
    <col min="4600" max="4600" width="19" style="61" customWidth="1"/>
    <col min="4601" max="4617" width="9.140625" style="61"/>
    <col min="4618" max="4628" width="11.28515625" style="61" bestFit="1" customWidth="1"/>
    <col min="4629" max="4629" width="10.28515625" style="61" bestFit="1" customWidth="1"/>
    <col min="4630" max="4630" width="12.85546875" style="61" bestFit="1" customWidth="1"/>
    <col min="4631" max="4753" width="9.140625" style="61"/>
    <col min="4754" max="4754" width="11" style="61" bestFit="1" customWidth="1"/>
    <col min="4755" max="4755" width="28.140625" style="61" bestFit="1" customWidth="1"/>
    <col min="4756" max="4756" width="14" style="61" bestFit="1" customWidth="1"/>
    <col min="4757" max="4757" width="9.140625" style="61"/>
    <col min="4758" max="4758" width="13.85546875" style="61" bestFit="1" customWidth="1"/>
    <col min="4759" max="4759" width="9.140625" style="61"/>
    <col min="4760" max="4760" width="14" style="61" customWidth="1"/>
    <col min="4761" max="4761" width="9.140625" style="61"/>
    <col min="4762" max="4762" width="12.85546875" style="61" bestFit="1" customWidth="1"/>
    <col min="4763" max="4763" width="10" style="61" customWidth="1"/>
    <col min="4764" max="4764" width="14" style="61" bestFit="1" customWidth="1"/>
    <col min="4765" max="4765" width="9.85546875" style="61" bestFit="1" customWidth="1"/>
    <col min="4766" max="4766" width="13.5703125" style="61" bestFit="1" customWidth="1"/>
    <col min="4767" max="4767" width="9.85546875" style="61" bestFit="1" customWidth="1"/>
    <col min="4768" max="4768" width="12.85546875" style="61" bestFit="1" customWidth="1"/>
    <col min="4769" max="4780" width="10.5703125" style="61" customWidth="1"/>
    <col min="4781" max="4781" width="11.140625" style="61" bestFit="1" customWidth="1"/>
    <col min="4782" max="4782" width="2.7109375" style="61" customWidth="1"/>
    <col min="4783" max="4783" width="9.85546875" style="61" bestFit="1" customWidth="1"/>
    <col min="4784" max="4785" width="9.140625" style="61"/>
    <col min="4786" max="4786" width="24" style="61" customWidth="1"/>
    <col min="4787" max="4789" width="9.140625" style="61"/>
    <col min="4790" max="4790" width="9" style="61" bestFit="1" customWidth="1"/>
    <col min="4791" max="4800" width="9.28515625" style="61" bestFit="1" customWidth="1"/>
    <col min="4801" max="4801" width="10.28515625" style="61" bestFit="1" customWidth="1"/>
    <col min="4802" max="4802" width="11.28515625" style="61" bestFit="1" customWidth="1"/>
    <col min="4803" max="4803" width="11.7109375" style="61" customWidth="1"/>
    <col min="4804" max="4804" width="9.140625" style="61"/>
    <col min="4805" max="4805" width="22.28515625" style="61" customWidth="1"/>
    <col min="4806" max="4806" width="9.140625" style="61"/>
    <col min="4807" max="4807" width="9.28515625" style="61" bestFit="1" customWidth="1"/>
    <col min="4808" max="4808" width="9.42578125" style="61" bestFit="1" customWidth="1"/>
    <col min="4809" max="4809" width="9.28515625" style="61" bestFit="1" customWidth="1"/>
    <col min="4810" max="4810" width="10.28515625" style="61" bestFit="1" customWidth="1"/>
    <col min="4811" max="4812" width="9.28515625" style="61" bestFit="1" customWidth="1"/>
    <col min="4813" max="4814" width="10.28515625" style="61" bestFit="1" customWidth="1"/>
    <col min="4815" max="4819" width="9.28515625" style="61" bestFit="1" customWidth="1"/>
    <col min="4820" max="4820" width="10.42578125" style="61" bestFit="1" customWidth="1"/>
    <col min="4821" max="4821" width="9.140625" style="61"/>
    <col min="4822" max="4822" width="24.85546875" style="61" customWidth="1"/>
    <col min="4823" max="4823" width="9.140625" style="61"/>
    <col min="4824" max="4836" width="9.28515625" style="61" bestFit="1" customWidth="1"/>
    <col min="4837" max="4837" width="10.28515625" style="61" bestFit="1" customWidth="1"/>
    <col min="4838" max="4838" width="9.5703125" style="61" bestFit="1" customWidth="1"/>
    <col min="4839" max="4839" width="18.5703125" style="61" customWidth="1"/>
    <col min="4840" max="4841" width="9.140625" style="61"/>
    <col min="4842" max="4844" width="12.140625" style="61" bestFit="1" customWidth="1"/>
    <col min="4845" max="4853" width="10.28515625" style="61" bestFit="1" customWidth="1"/>
    <col min="4854" max="4854" width="11.28515625" style="61" bestFit="1" customWidth="1"/>
    <col min="4855" max="4855" width="9.140625" style="61"/>
    <col min="4856" max="4856" width="19" style="61" customWidth="1"/>
    <col min="4857" max="4873" width="9.140625" style="61"/>
    <col min="4874" max="4884" width="11.28515625" style="61" bestFit="1" customWidth="1"/>
    <col min="4885" max="4885" width="10.28515625" style="61" bestFit="1" customWidth="1"/>
    <col min="4886" max="4886" width="12.85546875" style="61" bestFit="1" customWidth="1"/>
    <col min="4887" max="5009" width="9.140625" style="61"/>
    <col min="5010" max="5010" width="11" style="61" bestFit="1" customWidth="1"/>
    <col min="5011" max="5011" width="28.140625" style="61" bestFit="1" customWidth="1"/>
    <col min="5012" max="5012" width="14" style="61" bestFit="1" customWidth="1"/>
    <col min="5013" max="5013" width="9.140625" style="61"/>
    <col min="5014" max="5014" width="13.85546875" style="61" bestFit="1" customWidth="1"/>
    <col min="5015" max="5015" width="9.140625" style="61"/>
    <col min="5016" max="5016" width="14" style="61" customWidth="1"/>
    <col min="5017" max="5017" width="9.140625" style="61"/>
    <col min="5018" max="5018" width="12.85546875" style="61" bestFit="1" customWidth="1"/>
    <col min="5019" max="5019" width="10" style="61" customWidth="1"/>
    <col min="5020" max="5020" width="14" style="61" bestFit="1" customWidth="1"/>
    <col min="5021" max="5021" width="9.85546875" style="61" bestFit="1" customWidth="1"/>
    <col min="5022" max="5022" width="13.5703125" style="61" bestFit="1" customWidth="1"/>
    <col min="5023" max="5023" width="9.85546875" style="61" bestFit="1" customWidth="1"/>
    <col min="5024" max="5024" width="12.85546875" style="61" bestFit="1" customWidth="1"/>
    <col min="5025" max="5036" width="10.5703125" style="61" customWidth="1"/>
    <col min="5037" max="5037" width="11.140625" style="61" bestFit="1" customWidth="1"/>
    <col min="5038" max="5038" width="2.7109375" style="61" customWidth="1"/>
    <col min="5039" max="5039" width="9.85546875" style="61" bestFit="1" customWidth="1"/>
    <col min="5040" max="5041" width="9.140625" style="61"/>
    <col min="5042" max="5042" width="24" style="61" customWidth="1"/>
    <col min="5043" max="5045" width="9.140625" style="61"/>
    <col min="5046" max="5046" width="9" style="61" bestFit="1" customWidth="1"/>
    <col min="5047" max="5056" width="9.28515625" style="61" bestFit="1" customWidth="1"/>
    <col min="5057" max="5057" width="10.28515625" style="61" bestFit="1" customWidth="1"/>
    <col min="5058" max="5058" width="11.28515625" style="61" bestFit="1" customWidth="1"/>
    <col min="5059" max="5059" width="11.7109375" style="61" customWidth="1"/>
    <col min="5060" max="5060" width="9.140625" style="61"/>
    <col min="5061" max="5061" width="22.28515625" style="61" customWidth="1"/>
    <col min="5062" max="5062" width="9.140625" style="61"/>
    <col min="5063" max="5063" width="9.28515625" style="61" bestFit="1" customWidth="1"/>
    <col min="5064" max="5064" width="9.42578125" style="61" bestFit="1" customWidth="1"/>
    <col min="5065" max="5065" width="9.28515625" style="61" bestFit="1" customWidth="1"/>
    <col min="5066" max="5066" width="10.28515625" style="61" bestFit="1" customWidth="1"/>
    <col min="5067" max="5068" width="9.28515625" style="61" bestFit="1" customWidth="1"/>
    <col min="5069" max="5070" width="10.28515625" style="61" bestFit="1" customWidth="1"/>
    <col min="5071" max="5075" width="9.28515625" style="61" bestFit="1" customWidth="1"/>
    <col min="5076" max="5076" width="10.42578125" style="61" bestFit="1" customWidth="1"/>
    <col min="5077" max="5077" width="9.140625" style="61"/>
    <col min="5078" max="5078" width="24.85546875" style="61" customWidth="1"/>
    <col min="5079" max="5079" width="9.140625" style="61"/>
    <col min="5080" max="5092" width="9.28515625" style="61" bestFit="1" customWidth="1"/>
    <col min="5093" max="5093" width="10.28515625" style="61" bestFit="1" customWidth="1"/>
    <col min="5094" max="5094" width="9.5703125" style="61" bestFit="1" customWidth="1"/>
    <col min="5095" max="5095" width="18.5703125" style="61" customWidth="1"/>
    <col min="5096" max="5097" width="9.140625" style="61"/>
    <col min="5098" max="5100" width="12.140625" style="61" bestFit="1" customWidth="1"/>
    <col min="5101" max="5109" width="10.28515625" style="61" bestFit="1" customWidth="1"/>
    <col min="5110" max="5110" width="11.28515625" style="61" bestFit="1" customWidth="1"/>
    <col min="5111" max="5111" width="9.140625" style="61"/>
    <col min="5112" max="5112" width="19" style="61" customWidth="1"/>
    <col min="5113" max="5129" width="9.140625" style="61"/>
    <col min="5130" max="5140" width="11.28515625" style="61" bestFit="1" customWidth="1"/>
    <col min="5141" max="5141" width="10.28515625" style="61" bestFit="1" customWidth="1"/>
    <col min="5142" max="5142" width="12.85546875" style="61" bestFit="1" customWidth="1"/>
    <col min="5143" max="5265" width="9.140625" style="61"/>
    <col min="5266" max="5266" width="11" style="61" bestFit="1" customWidth="1"/>
    <col min="5267" max="5267" width="28.140625" style="61" bestFit="1" customWidth="1"/>
    <col min="5268" max="5268" width="14" style="61" bestFit="1" customWidth="1"/>
    <col min="5269" max="5269" width="9.140625" style="61"/>
    <col min="5270" max="5270" width="13.85546875" style="61" bestFit="1" customWidth="1"/>
    <col min="5271" max="5271" width="9.140625" style="61"/>
    <col min="5272" max="5272" width="14" style="61" customWidth="1"/>
    <col min="5273" max="5273" width="9.140625" style="61"/>
    <col min="5274" max="5274" width="12.85546875" style="61" bestFit="1" customWidth="1"/>
    <col min="5275" max="5275" width="10" style="61" customWidth="1"/>
    <col min="5276" max="5276" width="14" style="61" bestFit="1" customWidth="1"/>
    <col min="5277" max="5277" width="9.85546875" style="61" bestFit="1" customWidth="1"/>
    <col min="5278" max="5278" width="13.5703125" style="61" bestFit="1" customWidth="1"/>
    <col min="5279" max="5279" width="9.85546875" style="61" bestFit="1" customWidth="1"/>
    <col min="5280" max="5280" width="12.85546875" style="61" bestFit="1" customWidth="1"/>
    <col min="5281" max="5292" width="10.5703125" style="61" customWidth="1"/>
    <col min="5293" max="5293" width="11.140625" style="61" bestFit="1" customWidth="1"/>
    <col min="5294" max="5294" width="2.7109375" style="61" customWidth="1"/>
    <col min="5295" max="5295" width="9.85546875" style="61" bestFit="1" customWidth="1"/>
    <col min="5296" max="5297" width="9.140625" style="61"/>
    <col min="5298" max="5298" width="24" style="61" customWidth="1"/>
    <col min="5299" max="5301" width="9.140625" style="61"/>
    <col min="5302" max="5302" width="9" style="61" bestFit="1" customWidth="1"/>
    <col min="5303" max="5312" width="9.28515625" style="61" bestFit="1" customWidth="1"/>
    <col min="5313" max="5313" width="10.28515625" style="61" bestFit="1" customWidth="1"/>
    <col min="5314" max="5314" width="11.28515625" style="61" bestFit="1" customWidth="1"/>
    <col min="5315" max="5315" width="11.7109375" style="61" customWidth="1"/>
    <col min="5316" max="5316" width="9.140625" style="61"/>
    <col min="5317" max="5317" width="22.28515625" style="61" customWidth="1"/>
    <col min="5318" max="5318" width="9.140625" style="61"/>
    <col min="5319" max="5319" width="9.28515625" style="61" bestFit="1" customWidth="1"/>
    <col min="5320" max="5320" width="9.42578125" style="61" bestFit="1" customWidth="1"/>
    <col min="5321" max="5321" width="9.28515625" style="61" bestFit="1" customWidth="1"/>
    <col min="5322" max="5322" width="10.28515625" style="61" bestFit="1" customWidth="1"/>
    <col min="5323" max="5324" width="9.28515625" style="61" bestFit="1" customWidth="1"/>
    <col min="5325" max="5326" width="10.28515625" style="61" bestFit="1" customWidth="1"/>
    <col min="5327" max="5331" width="9.28515625" style="61" bestFit="1" customWidth="1"/>
    <col min="5332" max="5332" width="10.42578125" style="61" bestFit="1" customWidth="1"/>
    <col min="5333" max="5333" width="9.140625" style="61"/>
    <col min="5334" max="5334" width="24.85546875" style="61" customWidth="1"/>
    <col min="5335" max="5335" width="9.140625" style="61"/>
    <col min="5336" max="5348" width="9.28515625" style="61" bestFit="1" customWidth="1"/>
    <col min="5349" max="5349" width="10.28515625" style="61" bestFit="1" customWidth="1"/>
    <col min="5350" max="5350" width="9.5703125" style="61" bestFit="1" customWidth="1"/>
    <col min="5351" max="5351" width="18.5703125" style="61" customWidth="1"/>
    <col min="5352" max="5353" width="9.140625" style="61"/>
    <col min="5354" max="5356" width="12.140625" style="61" bestFit="1" customWidth="1"/>
    <col min="5357" max="5365" width="10.28515625" style="61" bestFit="1" customWidth="1"/>
    <col min="5366" max="5366" width="11.28515625" style="61" bestFit="1" customWidth="1"/>
    <col min="5367" max="5367" width="9.140625" style="61"/>
    <col min="5368" max="5368" width="19" style="61" customWidth="1"/>
    <col min="5369" max="5385" width="9.140625" style="61"/>
    <col min="5386" max="5396" width="11.28515625" style="61" bestFit="1" customWidth="1"/>
    <col min="5397" max="5397" width="10.28515625" style="61" bestFit="1" customWidth="1"/>
    <col min="5398" max="5398" width="12.85546875" style="61" bestFit="1" customWidth="1"/>
    <col min="5399" max="5521" width="9.140625" style="61"/>
    <col min="5522" max="5522" width="11" style="61" bestFit="1" customWidth="1"/>
    <col min="5523" max="5523" width="28.140625" style="61" bestFit="1" customWidth="1"/>
    <col min="5524" max="5524" width="14" style="61" bestFit="1" customWidth="1"/>
    <col min="5525" max="5525" width="9.140625" style="61"/>
    <col min="5526" max="5526" width="13.85546875" style="61" bestFit="1" customWidth="1"/>
    <col min="5527" max="5527" width="9.140625" style="61"/>
    <col min="5528" max="5528" width="14" style="61" customWidth="1"/>
    <col min="5529" max="5529" width="9.140625" style="61"/>
    <col min="5530" max="5530" width="12.85546875" style="61" bestFit="1" customWidth="1"/>
    <col min="5531" max="5531" width="10" style="61" customWidth="1"/>
    <col min="5532" max="5532" width="14" style="61" bestFit="1" customWidth="1"/>
    <col min="5533" max="5533" width="9.85546875" style="61" bestFit="1" customWidth="1"/>
    <col min="5534" max="5534" width="13.5703125" style="61" bestFit="1" customWidth="1"/>
    <col min="5535" max="5535" width="9.85546875" style="61" bestFit="1" customWidth="1"/>
    <col min="5536" max="5536" width="12.85546875" style="61" bestFit="1" customWidth="1"/>
    <col min="5537" max="5548" width="10.5703125" style="61" customWidth="1"/>
    <col min="5549" max="5549" width="11.140625" style="61" bestFit="1" customWidth="1"/>
    <col min="5550" max="5550" width="2.7109375" style="61" customWidth="1"/>
    <col min="5551" max="5551" width="9.85546875" style="61" bestFit="1" customWidth="1"/>
    <col min="5552" max="5553" width="9.140625" style="61"/>
    <col min="5554" max="5554" width="24" style="61" customWidth="1"/>
    <col min="5555" max="5557" width="9.140625" style="61"/>
    <col min="5558" max="5558" width="9" style="61" bestFit="1" customWidth="1"/>
    <col min="5559" max="5568" width="9.28515625" style="61" bestFit="1" customWidth="1"/>
    <col min="5569" max="5569" width="10.28515625" style="61" bestFit="1" customWidth="1"/>
    <col min="5570" max="5570" width="11.28515625" style="61" bestFit="1" customWidth="1"/>
    <col min="5571" max="5571" width="11.7109375" style="61" customWidth="1"/>
    <col min="5572" max="5572" width="9.140625" style="61"/>
    <col min="5573" max="5573" width="22.28515625" style="61" customWidth="1"/>
    <col min="5574" max="5574" width="9.140625" style="61"/>
    <col min="5575" max="5575" width="9.28515625" style="61" bestFit="1" customWidth="1"/>
    <col min="5576" max="5576" width="9.42578125" style="61" bestFit="1" customWidth="1"/>
    <col min="5577" max="5577" width="9.28515625" style="61" bestFit="1" customWidth="1"/>
    <col min="5578" max="5578" width="10.28515625" style="61" bestFit="1" customWidth="1"/>
    <col min="5579" max="5580" width="9.28515625" style="61" bestFit="1" customWidth="1"/>
    <col min="5581" max="5582" width="10.28515625" style="61" bestFit="1" customWidth="1"/>
    <col min="5583" max="5587" width="9.28515625" style="61" bestFit="1" customWidth="1"/>
    <col min="5588" max="5588" width="10.42578125" style="61" bestFit="1" customWidth="1"/>
    <col min="5589" max="5589" width="9.140625" style="61"/>
    <col min="5590" max="5590" width="24.85546875" style="61" customWidth="1"/>
    <col min="5591" max="5591" width="9.140625" style="61"/>
    <col min="5592" max="5604" width="9.28515625" style="61" bestFit="1" customWidth="1"/>
    <col min="5605" max="5605" width="10.28515625" style="61" bestFit="1" customWidth="1"/>
    <col min="5606" max="5606" width="9.5703125" style="61" bestFit="1" customWidth="1"/>
    <col min="5607" max="5607" width="18.5703125" style="61" customWidth="1"/>
    <col min="5608" max="5609" width="9.140625" style="61"/>
    <col min="5610" max="5612" width="12.140625" style="61" bestFit="1" customWidth="1"/>
    <col min="5613" max="5621" width="10.28515625" style="61" bestFit="1" customWidth="1"/>
    <col min="5622" max="5622" width="11.28515625" style="61" bestFit="1" customWidth="1"/>
    <col min="5623" max="5623" width="9.140625" style="61"/>
    <col min="5624" max="5624" width="19" style="61" customWidth="1"/>
    <col min="5625" max="5641" width="9.140625" style="61"/>
    <col min="5642" max="5652" width="11.28515625" style="61" bestFit="1" customWidth="1"/>
    <col min="5653" max="5653" width="10.28515625" style="61" bestFit="1" customWidth="1"/>
    <col min="5654" max="5654" width="12.85546875" style="61" bestFit="1" customWidth="1"/>
    <col min="5655" max="5777" width="9.140625" style="61"/>
    <col min="5778" max="5778" width="11" style="61" bestFit="1" customWidth="1"/>
    <col min="5779" max="5779" width="28.140625" style="61" bestFit="1" customWidth="1"/>
    <col min="5780" max="5780" width="14" style="61" bestFit="1" customWidth="1"/>
    <col min="5781" max="5781" width="9.140625" style="61"/>
    <col min="5782" max="5782" width="13.85546875" style="61" bestFit="1" customWidth="1"/>
    <col min="5783" max="5783" width="9.140625" style="61"/>
    <col min="5784" max="5784" width="14" style="61" customWidth="1"/>
    <col min="5785" max="5785" width="9.140625" style="61"/>
    <col min="5786" max="5786" width="12.85546875" style="61" bestFit="1" customWidth="1"/>
    <col min="5787" max="5787" width="10" style="61" customWidth="1"/>
    <col min="5788" max="5788" width="14" style="61" bestFit="1" customWidth="1"/>
    <col min="5789" max="5789" width="9.85546875" style="61" bestFit="1" customWidth="1"/>
    <col min="5790" max="5790" width="13.5703125" style="61" bestFit="1" customWidth="1"/>
    <col min="5791" max="5791" width="9.85546875" style="61" bestFit="1" customWidth="1"/>
    <col min="5792" max="5792" width="12.85546875" style="61" bestFit="1" customWidth="1"/>
    <col min="5793" max="5804" width="10.5703125" style="61" customWidth="1"/>
    <col min="5805" max="5805" width="11.140625" style="61" bestFit="1" customWidth="1"/>
    <col min="5806" max="5806" width="2.7109375" style="61" customWidth="1"/>
    <col min="5807" max="5807" width="9.85546875" style="61" bestFit="1" customWidth="1"/>
    <col min="5808" max="5809" width="9.140625" style="61"/>
    <col min="5810" max="5810" width="24" style="61" customWidth="1"/>
    <col min="5811" max="5813" width="9.140625" style="61"/>
    <col min="5814" max="5814" width="9" style="61" bestFit="1" customWidth="1"/>
    <col min="5815" max="5824" width="9.28515625" style="61" bestFit="1" customWidth="1"/>
    <col min="5825" max="5825" width="10.28515625" style="61" bestFit="1" customWidth="1"/>
    <col min="5826" max="5826" width="11.28515625" style="61" bestFit="1" customWidth="1"/>
    <col min="5827" max="5827" width="11.7109375" style="61" customWidth="1"/>
    <col min="5828" max="5828" width="9.140625" style="61"/>
    <col min="5829" max="5829" width="22.28515625" style="61" customWidth="1"/>
    <col min="5830" max="5830" width="9.140625" style="61"/>
    <col min="5831" max="5831" width="9.28515625" style="61" bestFit="1" customWidth="1"/>
    <col min="5832" max="5832" width="9.42578125" style="61" bestFit="1" customWidth="1"/>
    <col min="5833" max="5833" width="9.28515625" style="61" bestFit="1" customWidth="1"/>
    <col min="5834" max="5834" width="10.28515625" style="61" bestFit="1" customWidth="1"/>
    <col min="5835" max="5836" width="9.28515625" style="61" bestFit="1" customWidth="1"/>
    <col min="5837" max="5838" width="10.28515625" style="61" bestFit="1" customWidth="1"/>
    <col min="5839" max="5843" width="9.28515625" style="61" bestFit="1" customWidth="1"/>
    <col min="5844" max="5844" width="10.42578125" style="61" bestFit="1" customWidth="1"/>
    <col min="5845" max="5845" width="9.140625" style="61"/>
    <col min="5846" max="5846" width="24.85546875" style="61" customWidth="1"/>
    <col min="5847" max="5847" width="9.140625" style="61"/>
    <col min="5848" max="5860" width="9.28515625" style="61" bestFit="1" customWidth="1"/>
    <col min="5861" max="5861" width="10.28515625" style="61" bestFit="1" customWidth="1"/>
    <col min="5862" max="5862" width="9.5703125" style="61" bestFit="1" customWidth="1"/>
    <col min="5863" max="5863" width="18.5703125" style="61" customWidth="1"/>
    <col min="5864" max="5865" width="9.140625" style="61"/>
    <col min="5866" max="5868" width="12.140625" style="61" bestFit="1" customWidth="1"/>
    <col min="5869" max="5877" width="10.28515625" style="61" bestFit="1" customWidth="1"/>
    <col min="5878" max="5878" width="11.28515625" style="61" bestFit="1" customWidth="1"/>
    <col min="5879" max="5879" width="9.140625" style="61"/>
    <col min="5880" max="5880" width="19" style="61" customWidth="1"/>
    <col min="5881" max="5897" width="9.140625" style="61"/>
    <col min="5898" max="5908" width="11.28515625" style="61" bestFit="1" customWidth="1"/>
    <col min="5909" max="5909" width="10.28515625" style="61" bestFit="1" customWidth="1"/>
    <col min="5910" max="5910" width="12.85546875" style="61" bestFit="1" customWidth="1"/>
    <col min="5911" max="6033" width="9.140625" style="61"/>
    <col min="6034" max="6034" width="11" style="61" bestFit="1" customWidth="1"/>
    <col min="6035" max="6035" width="28.140625" style="61" bestFit="1" customWidth="1"/>
    <col min="6036" max="6036" width="14" style="61" bestFit="1" customWidth="1"/>
    <col min="6037" max="6037" width="9.140625" style="61"/>
    <col min="6038" max="6038" width="13.85546875" style="61" bestFit="1" customWidth="1"/>
    <col min="6039" max="6039" width="9.140625" style="61"/>
    <col min="6040" max="6040" width="14" style="61" customWidth="1"/>
    <col min="6041" max="6041" width="9.140625" style="61"/>
    <col min="6042" max="6042" width="12.85546875" style="61" bestFit="1" customWidth="1"/>
    <col min="6043" max="6043" width="10" style="61" customWidth="1"/>
    <col min="6044" max="6044" width="14" style="61" bestFit="1" customWidth="1"/>
    <col min="6045" max="6045" width="9.85546875" style="61" bestFit="1" customWidth="1"/>
    <col min="6046" max="6046" width="13.5703125" style="61" bestFit="1" customWidth="1"/>
    <col min="6047" max="6047" width="9.85546875" style="61" bestFit="1" customWidth="1"/>
    <col min="6048" max="6048" width="12.85546875" style="61" bestFit="1" customWidth="1"/>
    <col min="6049" max="6060" width="10.5703125" style="61" customWidth="1"/>
    <col min="6061" max="6061" width="11.140625" style="61" bestFit="1" customWidth="1"/>
    <col min="6062" max="6062" width="2.7109375" style="61" customWidth="1"/>
    <col min="6063" max="6063" width="9.85546875" style="61" bestFit="1" customWidth="1"/>
    <col min="6064" max="6065" width="9.140625" style="61"/>
    <col min="6066" max="6066" width="24" style="61" customWidth="1"/>
    <col min="6067" max="6069" width="9.140625" style="61"/>
    <col min="6070" max="6070" width="9" style="61" bestFit="1" customWidth="1"/>
    <col min="6071" max="6080" width="9.28515625" style="61" bestFit="1" customWidth="1"/>
    <col min="6081" max="6081" width="10.28515625" style="61" bestFit="1" customWidth="1"/>
    <col min="6082" max="6082" width="11.28515625" style="61" bestFit="1" customWidth="1"/>
    <col min="6083" max="6083" width="11.7109375" style="61" customWidth="1"/>
    <col min="6084" max="6084" width="9.140625" style="61"/>
    <col min="6085" max="6085" width="22.28515625" style="61" customWidth="1"/>
    <col min="6086" max="6086" width="9.140625" style="61"/>
    <col min="6087" max="6087" width="9.28515625" style="61" bestFit="1" customWidth="1"/>
    <col min="6088" max="6088" width="9.42578125" style="61" bestFit="1" customWidth="1"/>
    <col min="6089" max="6089" width="9.28515625" style="61" bestFit="1" customWidth="1"/>
    <col min="6090" max="6090" width="10.28515625" style="61" bestFit="1" customWidth="1"/>
    <col min="6091" max="6092" width="9.28515625" style="61" bestFit="1" customWidth="1"/>
    <col min="6093" max="6094" width="10.28515625" style="61" bestFit="1" customWidth="1"/>
    <col min="6095" max="6099" width="9.28515625" style="61" bestFit="1" customWidth="1"/>
    <col min="6100" max="6100" width="10.42578125" style="61" bestFit="1" customWidth="1"/>
    <col min="6101" max="6101" width="9.140625" style="61"/>
    <col min="6102" max="6102" width="24.85546875" style="61" customWidth="1"/>
    <col min="6103" max="6103" width="9.140625" style="61"/>
    <col min="6104" max="6116" width="9.28515625" style="61" bestFit="1" customWidth="1"/>
    <col min="6117" max="6117" width="10.28515625" style="61" bestFit="1" customWidth="1"/>
    <col min="6118" max="6118" width="9.5703125" style="61" bestFit="1" customWidth="1"/>
    <col min="6119" max="6119" width="18.5703125" style="61" customWidth="1"/>
    <col min="6120" max="6121" width="9.140625" style="61"/>
    <col min="6122" max="6124" width="12.140625" style="61" bestFit="1" customWidth="1"/>
    <col min="6125" max="6133" width="10.28515625" style="61" bestFit="1" customWidth="1"/>
    <col min="6134" max="6134" width="11.28515625" style="61" bestFit="1" customWidth="1"/>
    <col min="6135" max="6135" width="9.140625" style="61"/>
    <col min="6136" max="6136" width="19" style="61" customWidth="1"/>
    <col min="6137" max="6153" width="9.140625" style="61"/>
    <col min="6154" max="6164" width="11.28515625" style="61" bestFit="1" customWidth="1"/>
    <col min="6165" max="6165" width="10.28515625" style="61" bestFit="1" customWidth="1"/>
    <col min="6166" max="6166" width="12.85546875" style="61" bestFit="1" customWidth="1"/>
    <col min="6167" max="6289" width="9.140625" style="61"/>
    <col min="6290" max="6290" width="11" style="61" bestFit="1" customWidth="1"/>
    <col min="6291" max="6291" width="28.140625" style="61" bestFit="1" customWidth="1"/>
    <col min="6292" max="6292" width="14" style="61" bestFit="1" customWidth="1"/>
    <col min="6293" max="6293" width="9.140625" style="61"/>
    <col min="6294" max="6294" width="13.85546875" style="61" bestFit="1" customWidth="1"/>
    <col min="6295" max="6295" width="9.140625" style="61"/>
    <col min="6296" max="6296" width="14" style="61" customWidth="1"/>
    <col min="6297" max="6297" width="9.140625" style="61"/>
    <col min="6298" max="6298" width="12.85546875" style="61" bestFit="1" customWidth="1"/>
    <col min="6299" max="6299" width="10" style="61" customWidth="1"/>
    <col min="6300" max="6300" width="14" style="61" bestFit="1" customWidth="1"/>
    <col min="6301" max="6301" width="9.85546875" style="61" bestFit="1" customWidth="1"/>
    <col min="6302" max="6302" width="13.5703125" style="61" bestFit="1" customWidth="1"/>
    <col min="6303" max="6303" width="9.85546875" style="61" bestFit="1" customWidth="1"/>
    <col min="6304" max="6304" width="12.85546875" style="61" bestFit="1" customWidth="1"/>
    <col min="6305" max="6316" width="10.5703125" style="61" customWidth="1"/>
    <col min="6317" max="6317" width="11.140625" style="61" bestFit="1" customWidth="1"/>
    <col min="6318" max="6318" width="2.7109375" style="61" customWidth="1"/>
    <col min="6319" max="6319" width="9.85546875" style="61" bestFit="1" customWidth="1"/>
    <col min="6320" max="6321" width="9.140625" style="61"/>
    <col min="6322" max="6322" width="24" style="61" customWidth="1"/>
    <col min="6323" max="6325" width="9.140625" style="61"/>
    <col min="6326" max="6326" width="9" style="61" bestFit="1" customWidth="1"/>
    <col min="6327" max="6336" width="9.28515625" style="61" bestFit="1" customWidth="1"/>
    <col min="6337" max="6337" width="10.28515625" style="61" bestFit="1" customWidth="1"/>
    <col min="6338" max="6338" width="11.28515625" style="61" bestFit="1" customWidth="1"/>
    <col min="6339" max="6339" width="11.7109375" style="61" customWidth="1"/>
    <col min="6340" max="6340" width="9.140625" style="61"/>
    <col min="6341" max="6341" width="22.28515625" style="61" customWidth="1"/>
    <col min="6342" max="6342" width="9.140625" style="61"/>
    <col min="6343" max="6343" width="9.28515625" style="61" bestFit="1" customWidth="1"/>
    <col min="6344" max="6344" width="9.42578125" style="61" bestFit="1" customWidth="1"/>
    <col min="6345" max="6345" width="9.28515625" style="61" bestFit="1" customWidth="1"/>
    <col min="6346" max="6346" width="10.28515625" style="61" bestFit="1" customWidth="1"/>
    <col min="6347" max="6348" width="9.28515625" style="61" bestFit="1" customWidth="1"/>
    <col min="6349" max="6350" width="10.28515625" style="61" bestFit="1" customWidth="1"/>
    <col min="6351" max="6355" width="9.28515625" style="61" bestFit="1" customWidth="1"/>
    <col min="6356" max="6356" width="10.42578125" style="61" bestFit="1" customWidth="1"/>
    <col min="6357" max="6357" width="9.140625" style="61"/>
    <col min="6358" max="6358" width="24.85546875" style="61" customWidth="1"/>
    <col min="6359" max="6359" width="9.140625" style="61"/>
    <col min="6360" max="6372" width="9.28515625" style="61" bestFit="1" customWidth="1"/>
    <col min="6373" max="6373" width="10.28515625" style="61" bestFit="1" customWidth="1"/>
    <col min="6374" max="6374" width="9.5703125" style="61" bestFit="1" customWidth="1"/>
    <col min="6375" max="6375" width="18.5703125" style="61" customWidth="1"/>
    <col min="6376" max="6377" width="9.140625" style="61"/>
    <col min="6378" max="6380" width="12.140625" style="61" bestFit="1" customWidth="1"/>
    <col min="6381" max="6389" width="10.28515625" style="61" bestFit="1" customWidth="1"/>
    <col min="6390" max="6390" width="11.28515625" style="61" bestFit="1" customWidth="1"/>
    <col min="6391" max="6391" width="9.140625" style="61"/>
    <col min="6392" max="6392" width="19" style="61" customWidth="1"/>
    <col min="6393" max="6409" width="9.140625" style="61"/>
    <col min="6410" max="6420" width="11.28515625" style="61" bestFit="1" customWidth="1"/>
    <col min="6421" max="6421" width="10.28515625" style="61" bestFit="1" customWidth="1"/>
    <col min="6422" max="6422" width="12.85546875" style="61" bestFit="1" customWidth="1"/>
    <col min="6423" max="6545" width="9.140625" style="61"/>
    <col min="6546" max="6546" width="11" style="61" bestFit="1" customWidth="1"/>
    <col min="6547" max="6547" width="28.140625" style="61" bestFit="1" customWidth="1"/>
    <col min="6548" max="6548" width="14" style="61" bestFit="1" customWidth="1"/>
    <col min="6549" max="6549" width="9.140625" style="61"/>
    <col min="6550" max="6550" width="13.85546875" style="61" bestFit="1" customWidth="1"/>
    <col min="6551" max="6551" width="9.140625" style="61"/>
    <col min="6552" max="6552" width="14" style="61" customWidth="1"/>
    <col min="6553" max="6553" width="9.140625" style="61"/>
    <col min="6554" max="6554" width="12.85546875" style="61" bestFit="1" customWidth="1"/>
    <col min="6555" max="6555" width="10" style="61" customWidth="1"/>
    <col min="6556" max="6556" width="14" style="61" bestFit="1" customWidth="1"/>
    <col min="6557" max="6557" width="9.85546875" style="61" bestFit="1" customWidth="1"/>
    <col min="6558" max="6558" width="13.5703125" style="61" bestFit="1" customWidth="1"/>
    <col min="6559" max="6559" width="9.85546875" style="61" bestFit="1" customWidth="1"/>
    <col min="6560" max="6560" width="12.85546875" style="61" bestFit="1" customWidth="1"/>
    <col min="6561" max="6572" width="10.5703125" style="61" customWidth="1"/>
    <col min="6573" max="6573" width="11.140625" style="61" bestFit="1" customWidth="1"/>
    <col min="6574" max="6574" width="2.7109375" style="61" customWidth="1"/>
    <col min="6575" max="6575" width="9.85546875" style="61" bestFit="1" customWidth="1"/>
    <col min="6576" max="6577" width="9.140625" style="61"/>
    <col min="6578" max="6578" width="24" style="61" customWidth="1"/>
    <col min="6579" max="6581" width="9.140625" style="61"/>
    <col min="6582" max="6582" width="9" style="61" bestFit="1" customWidth="1"/>
    <col min="6583" max="6592" width="9.28515625" style="61" bestFit="1" customWidth="1"/>
    <col min="6593" max="6593" width="10.28515625" style="61" bestFit="1" customWidth="1"/>
    <col min="6594" max="6594" width="11.28515625" style="61" bestFit="1" customWidth="1"/>
    <col min="6595" max="6595" width="11.7109375" style="61" customWidth="1"/>
    <col min="6596" max="6596" width="9.140625" style="61"/>
    <col min="6597" max="6597" width="22.28515625" style="61" customWidth="1"/>
    <col min="6598" max="6598" width="9.140625" style="61"/>
    <col min="6599" max="6599" width="9.28515625" style="61" bestFit="1" customWidth="1"/>
    <col min="6600" max="6600" width="9.42578125" style="61" bestFit="1" customWidth="1"/>
    <col min="6601" max="6601" width="9.28515625" style="61" bestFit="1" customWidth="1"/>
    <col min="6602" max="6602" width="10.28515625" style="61" bestFit="1" customWidth="1"/>
    <col min="6603" max="6604" width="9.28515625" style="61" bestFit="1" customWidth="1"/>
    <col min="6605" max="6606" width="10.28515625" style="61" bestFit="1" customWidth="1"/>
    <col min="6607" max="6611" width="9.28515625" style="61" bestFit="1" customWidth="1"/>
    <col min="6612" max="6612" width="10.42578125" style="61" bestFit="1" customWidth="1"/>
    <col min="6613" max="6613" width="9.140625" style="61"/>
    <col min="6614" max="6614" width="24.85546875" style="61" customWidth="1"/>
    <col min="6615" max="6615" width="9.140625" style="61"/>
    <col min="6616" max="6628" width="9.28515625" style="61" bestFit="1" customWidth="1"/>
    <col min="6629" max="6629" width="10.28515625" style="61" bestFit="1" customWidth="1"/>
    <col min="6630" max="6630" width="9.5703125" style="61" bestFit="1" customWidth="1"/>
    <col min="6631" max="6631" width="18.5703125" style="61" customWidth="1"/>
    <col min="6632" max="6633" width="9.140625" style="61"/>
    <col min="6634" max="6636" width="12.140625" style="61" bestFit="1" customWidth="1"/>
    <col min="6637" max="6645" width="10.28515625" style="61" bestFit="1" customWidth="1"/>
    <col min="6646" max="6646" width="11.28515625" style="61" bestFit="1" customWidth="1"/>
    <col min="6647" max="6647" width="9.140625" style="61"/>
    <col min="6648" max="6648" width="19" style="61" customWidth="1"/>
    <col min="6649" max="6665" width="9.140625" style="61"/>
    <col min="6666" max="6676" width="11.28515625" style="61" bestFit="1" customWidth="1"/>
    <col min="6677" max="6677" width="10.28515625" style="61" bestFit="1" customWidth="1"/>
    <col min="6678" max="6678" width="12.85546875" style="61" bestFit="1" customWidth="1"/>
    <col min="6679" max="6801" width="9.140625" style="61"/>
    <col min="6802" max="6802" width="11" style="61" bestFit="1" customWidth="1"/>
    <col min="6803" max="6803" width="28.140625" style="61" bestFit="1" customWidth="1"/>
    <col min="6804" max="6804" width="14" style="61" bestFit="1" customWidth="1"/>
    <col min="6805" max="6805" width="9.140625" style="61"/>
    <col min="6806" max="6806" width="13.85546875" style="61" bestFit="1" customWidth="1"/>
    <col min="6807" max="6807" width="9.140625" style="61"/>
    <col min="6808" max="6808" width="14" style="61" customWidth="1"/>
    <col min="6809" max="6809" width="9.140625" style="61"/>
    <col min="6810" max="6810" width="12.85546875" style="61" bestFit="1" customWidth="1"/>
    <col min="6811" max="6811" width="10" style="61" customWidth="1"/>
    <col min="6812" max="6812" width="14" style="61" bestFit="1" customWidth="1"/>
    <col min="6813" max="6813" width="9.85546875" style="61" bestFit="1" customWidth="1"/>
    <col min="6814" max="6814" width="13.5703125" style="61" bestFit="1" customWidth="1"/>
    <col min="6815" max="6815" width="9.85546875" style="61" bestFit="1" customWidth="1"/>
    <col min="6816" max="6816" width="12.85546875" style="61" bestFit="1" customWidth="1"/>
    <col min="6817" max="6828" width="10.5703125" style="61" customWidth="1"/>
    <col min="6829" max="6829" width="11.140625" style="61" bestFit="1" customWidth="1"/>
    <col min="6830" max="6830" width="2.7109375" style="61" customWidth="1"/>
    <col min="6831" max="6831" width="9.85546875" style="61" bestFit="1" customWidth="1"/>
    <col min="6832" max="6833" width="9.140625" style="61"/>
    <col min="6834" max="6834" width="24" style="61" customWidth="1"/>
    <col min="6835" max="6837" width="9.140625" style="61"/>
    <col min="6838" max="6838" width="9" style="61" bestFit="1" customWidth="1"/>
    <col min="6839" max="6848" width="9.28515625" style="61" bestFit="1" customWidth="1"/>
    <col min="6849" max="6849" width="10.28515625" style="61" bestFit="1" customWidth="1"/>
    <col min="6850" max="6850" width="11.28515625" style="61" bestFit="1" customWidth="1"/>
    <col min="6851" max="6851" width="11.7109375" style="61" customWidth="1"/>
    <col min="6852" max="6852" width="9.140625" style="61"/>
    <col min="6853" max="6853" width="22.28515625" style="61" customWidth="1"/>
    <col min="6854" max="6854" width="9.140625" style="61"/>
    <col min="6855" max="6855" width="9.28515625" style="61" bestFit="1" customWidth="1"/>
    <col min="6856" max="6856" width="9.42578125" style="61" bestFit="1" customWidth="1"/>
    <col min="6857" max="6857" width="9.28515625" style="61" bestFit="1" customWidth="1"/>
    <col min="6858" max="6858" width="10.28515625" style="61" bestFit="1" customWidth="1"/>
    <col min="6859" max="6860" width="9.28515625" style="61" bestFit="1" customWidth="1"/>
    <col min="6861" max="6862" width="10.28515625" style="61" bestFit="1" customWidth="1"/>
    <col min="6863" max="6867" width="9.28515625" style="61" bestFit="1" customWidth="1"/>
    <col min="6868" max="6868" width="10.42578125" style="61" bestFit="1" customWidth="1"/>
    <col min="6869" max="6869" width="9.140625" style="61"/>
    <col min="6870" max="6870" width="24.85546875" style="61" customWidth="1"/>
    <col min="6871" max="6871" width="9.140625" style="61"/>
    <col min="6872" max="6884" width="9.28515625" style="61" bestFit="1" customWidth="1"/>
    <col min="6885" max="6885" width="10.28515625" style="61" bestFit="1" customWidth="1"/>
    <col min="6886" max="6886" width="9.5703125" style="61" bestFit="1" customWidth="1"/>
    <col min="6887" max="6887" width="18.5703125" style="61" customWidth="1"/>
    <col min="6888" max="6889" width="9.140625" style="61"/>
    <col min="6890" max="6892" width="12.140625" style="61" bestFit="1" customWidth="1"/>
    <col min="6893" max="6901" width="10.28515625" style="61" bestFit="1" customWidth="1"/>
    <col min="6902" max="6902" width="11.28515625" style="61" bestFit="1" customWidth="1"/>
    <col min="6903" max="6903" width="9.140625" style="61"/>
    <col min="6904" max="6904" width="19" style="61" customWidth="1"/>
    <col min="6905" max="6921" width="9.140625" style="61"/>
    <col min="6922" max="6932" width="11.28515625" style="61" bestFit="1" customWidth="1"/>
    <col min="6933" max="6933" width="10.28515625" style="61" bestFit="1" customWidth="1"/>
    <col min="6934" max="6934" width="12.85546875" style="61" bestFit="1" customWidth="1"/>
    <col min="6935" max="7057" width="9.140625" style="61"/>
    <col min="7058" max="7058" width="11" style="61" bestFit="1" customWidth="1"/>
    <col min="7059" max="7059" width="28.140625" style="61" bestFit="1" customWidth="1"/>
    <col min="7060" max="7060" width="14" style="61" bestFit="1" customWidth="1"/>
    <col min="7061" max="7061" width="9.140625" style="61"/>
    <col min="7062" max="7062" width="13.85546875" style="61" bestFit="1" customWidth="1"/>
    <col min="7063" max="7063" width="9.140625" style="61"/>
    <col min="7064" max="7064" width="14" style="61" customWidth="1"/>
    <col min="7065" max="7065" width="9.140625" style="61"/>
    <col min="7066" max="7066" width="12.85546875" style="61" bestFit="1" customWidth="1"/>
    <col min="7067" max="7067" width="10" style="61" customWidth="1"/>
    <col min="7068" max="7068" width="14" style="61" bestFit="1" customWidth="1"/>
    <col min="7069" max="7069" width="9.85546875" style="61" bestFit="1" customWidth="1"/>
    <col min="7070" max="7070" width="13.5703125" style="61" bestFit="1" customWidth="1"/>
    <col min="7071" max="7071" width="9.85546875" style="61" bestFit="1" customWidth="1"/>
    <col min="7072" max="7072" width="12.85546875" style="61" bestFit="1" customWidth="1"/>
    <col min="7073" max="7084" width="10.5703125" style="61" customWidth="1"/>
    <col min="7085" max="7085" width="11.140625" style="61" bestFit="1" customWidth="1"/>
    <col min="7086" max="7086" width="2.7109375" style="61" customWidth="1"/>
    <col min="7087" max="7087" width="9.85546875" style="61" bestFit="1" customWidth="1"/>
    <col min="7088" max="7089" width="9.140625" style="61"/>
    <col min="7090" max="7090" width="24" style="61" customWidth="1"/>
    <col min="7091" max="7093" width="9.140625" style="61"/>
    <col min="7094" max="7094" width="9" style="61" bestFit="1" customWidth="1"/>
    <col min="7095" max="7104" width="9.28515625" style="61" bestFit="1" customWidth="1"/>
    <col min="7105" max="7105" width="10.28515625" style="61" bestFit="1" customWidth="1"/>
    <col min="7106" max="7106" width="11.28515625" style="61" bestFit="1" customWidth="1"/>
    <col min="7107" max="7107" width="11.7109375" style="61" customWidth="1"/>
    <col min="7108" max="7108" width="9.140625" style="61"/>
    <col min="7109" max="7109" width="22.28515625" style="61" customWidth="1"/>
    <col min="7110" max="7110" width="9.140625" style="61"/>
    <col min="7111" max="7111" width="9.28515625" style="61" bestFit="1" customWidth="1"/>
    <col min="7112" max="7112" width="9.42578125" style="61" bestFit="1" customWidth="1"/>
    <col min="7113" max="7113" width="9.28515625" style="61" bestFit="1" customWidth="1"/>
    <col min="7114" max="7114" width="10.28515625" style="61" bestFit="1" customWidth="1"/>
    <col min="7115" max="7116" width="9.28515625" style="61" bestFit="1" customWidth="1"/>
    <col min="7117" max="7118" width="10.28515625" style="61" bestFit="1" customWidth="1"/>
    <col min="7119" max="7123" width="9.28515625" style="61" bestFit="1" customWidth="1"/>
    <col min="7124" max="7124" width="10.42578125" style="61" bestFit="1" customWidth="1"/>
    <col min="7125" max="7125" width="9.140625" style="61"/>
    <col min="7126" max="7126" width="24.85546875" style="61" customWidth="1"/>
    <col min="7127" max="7127" width="9.140625" style="61"/>
    <col min="7128" max="7140" width="9.28515625" style="61" bestFit="1" customWidth="1"/>
    <col min="7141" max="7141" width="10.28515625" style="61" bestFit="1" customWidth="1"/>
    <col min="7142" max="7142" width="9.5703125" style="61" bestFit="1" customWidth="1"/>
    <col min="7143" max="7143" width="18.5703125" style="61" customWidth="1"/>
    <col min="7144" max="7145" width="9.140625" style="61"/>
    <col min="7146" max="7148" width="12.140625" style="61" bestFit="1" customWidth="1"/>
    <col min="7149" max="7157" width="10.28515625" style="61" bestFit="1" customWidth="1"/>
    <col min="7158" max="7158" width="11.28515625" style="61" bestFit="1" customWidth="1"/>
    <col min="7159" max="7159" width="9.140625" style="61"/>
    <col min="7160" max="7160" width="19" style="61" customWidth="1"/>
    <col min="7161" max="7177" width="9.140625" style="61"/>
    <col min="7178" max="7188" width="11.28515625" style="61" bestFit="1" customWidth="1"/>
    <col min="7189" max="7189" width="10.28515625" style="61" bestFit="1" customWidth="1"/>
    <col min="7190" max="7190" width="12.85546875" style="61" bestFit="1" customWidth="1"/>
    <col min="7191" max="7313" width="9.140625" style="61"/>
    <col min="7314" max="7314" width="11" style="61" bestFit="1" customWidth="1"/>
    <col min="7315" max="7315" width="28.140625" style="61" bestFit="1" customWidth="1"/>
    <col min="7316" max="7316" width="14" style="61" bestFit="1" customWidth="1"/>
    <col min="7317" max="7317" width="9.140625" style="61"/>
    <col min="7318" max="7318" width="13.85546875" style="61" bestFit="1" customWidth="1"/>
    <col min="7319" max="7319" width="9.140625" style="61"/>
    <col min="7320" max="7320" width="14" style="61" customWidth="1"/>
    <col min="7321" max="7321" width="9.140625" style="61"/>
    <col min="7322" max="7322" width="12.85546875" style="61" bestFit="1" customWidth="1"/>
    <col min="7323" max="7323" width="10" style="61" customWidth="1"/>
    <col min="7324" max="7324" width="14" style="61" bestFit="1" customWidth="1"/>
    <col min="7325" max="7325" width="9.85546875" style="61" bestFit="1" customWidth="1"/>
    <col min="7326" max="7326" width="13.5703125" style="61" bestFit="1" customWidth="1"/>
    <col min="7327" max="7327" width="9.85546875" style="61" bestFit="1" customWidth="1"/>
    <col min="7328" max="7328" width="12.85546875" style="61" bestFit="1" customWidth="1"/>
    <col min="7329" max="7340" width="10.5703125" style="61" customWidth="1"/>
    <col min="7341" max="7341" width="11.140625" style="61" bestFit="1" customWidth="1"/>
    <col min="7342" max="7342" width="2.7109375" style="61" customWidth="1"/>
    <col min="7343" max="7343" width="9.85546875" style="61" bestFit="1" customWidth="1"/>
    <col min="7344" max="7345" width="9.140625" style="61"/>
    <col min="7346" max="7346" width="24" style="61" customWidth="1"/>
    <col min="7347" max="7349" width="9.140625" style="61"/>
    <col min="7350" max="7350" width="9" style="61" bestFit="1" customWidth="1"/>
    <col min="7351" max="7360" width="9.28515625" style="61" bestFit="1" customWidth="1"/>
    <col min="7361" max="7361" width="10.28515625" style="61" bestFit="1" customWidth="1"/>
    <col min="7362" max="7362" width="11.28515625" style="61" bestFit="1" customWidth="1"/>
    <col min="7363" max="7363" width="11.7109375" style="61" customWidth="1"/>
    <col min="7364" max="7364" width="9.140625" style="61"/>
    <col min="7365" max="7365" width="22.28515625" style="61" customWidth="1"/>
    <col min="7366" max="7366" width="9.140625" style="61"/>
    <col min="7367" max="7367" width="9.28515625" style="61" bestFit="1" customWidth="1"/>
    <col min="7368" max="7368" width="9.42578125" style="61" bestFit="1" customWidth="1"/>
    <col min="7369" max="7369" width="9.28515625" style="61" bestFit="1" customWidth="1"/>
    <col min="7370" max="7370" width="10.28515625" style="61" bestFit="1" customWidth="1"/>
    <col min="7371" max="7372" width="9.28515625" style="61" bestFit="1" customWidth="1"/>
    <col min="7373" max="7374" width="10.28515625" style="61" bestFit="1" customWidth="1"/>
    <col min="7375" max="7379" width="9.28515625" style="61" bestFit="1" customWidth="1"/>
    <col min="7380" max="7380" width="10.42578125" style="61" bestFit="1" customWidth="1"/>
    <col min="7381" max="7381" width="9.140625" style="61"/>
    <col min="7382" max="7382" width="24.85546875" style="61" customWidth="1"/>
    <col min="7383" max="7383" width="9.140625" style="61"/>
    <col min="7384" max="7396" width="9.28515625" style="61" bestFit="1" customWidth="1"/>
    <col min="7397" max="7397" width="10.28515625" style="61" bestFit="1" customWidth="1"/>
    <col min="7398" max="7398" width="9.5703125" style="61" bestFit="1" customWidth="1"/>
    <col min="7399" max="7399" width="18.5703125" style="61" customWidth="1"/>
    <col min="7400" max="7401" width="9.140625" style="61"/>
    <col min="7402" max="7404" width="12.140625" style="61" bestFit="1" customWidth="1"/>
    <col min="7405" max="7413" width="10.28515625" style="61" bestFit="1" customWidth="1"/>
    <col min="7414" max="7414" width="11.28515625" style="61" bestFit="1" customWidth="1"/>
    <col min="7415" max="7415" width="9.140625" style="61"/>
    <col min="7416" max="7416" width="19" style="61" customWidth="1"/>
    <col min="7417" max="7433" width="9.140625" style="61"/>
    <col min="7434" max="7444" width="11.28515625" style="61" bestFit="1" customWidth="1"/>
    <col min="7445" max="7445" width="10.28515625" style="61" bestFit="1" customWidth="1"/>
    <col min="7446" max="7446" width="12.85546875" style="61" bestFit="1" customWidth="1"/>
    <col min="7447" max="7569" width="9.140625" style="61"/>
    <col min="7570" max="7570" width="11" style="61" bestFit="1" customWidth="1"/>
    <col min="7571" max="7571" width="28.140625" style="61" bestFit="1" customWidth="1"/>
    <col min="7572" max="7572" width="14" style="61" bestFit="1" customWidth="1"/>
    <col min="7573" max="7573" width="9.140625" style="61"/>
    <col min="7574" max="7574" width="13.85546875" style="61" bestFit="1" customWidth="1"/>
    <col min="7575" max="7575" width="9.140625" style="61"/>
    <col min="7576" max="7576" width="14" style="61" customWidth="1"/>
    <col min="7577" max="7577" width="9.140625" style="61"/>
    <col min="7578" max="7578" width="12.85546875" style="61" bestFit="1" customWidth="1"/>
    <col min="7579" max="7579" width="10" style="61" customWidth="1"/>
    <col min="7580" max="7580" width="14" style="61" bestFit="1" customWidth="1"/>
    <col min="7581" max="7581" width="9.85546875" style="61" bestFit="1" customWidth="1"/>
    <col min="7582" max="7582" width="13.5703125" style="61" bestFit="1" customWidth="1"/>
    <col min="7583" max="7583" width="9.85546875" style="61" bestFit="1" customWidth="1"/>
    <col min="7584" max="7584" width="12.85546875" style="61" bestFit="1" customWidth="1"/>
    <col min="7585" max="7596" width="10.5703125" style="61" customWidth="1"/>
    <col min="7597" max="7597" width="11.140625" style="61" bestFit="1" customWidth="1"/>
    <col min="7598" max="7598" width="2.7109375" style="61" customWidth="1"/>
    <col min="7599" max="7599" width="9.85546875" style="61" bestFit="1" customWidth="1"/>
    <col min="7600" max="7601" width="9.140625" style="61"/>
    <col min="7602" max="7602" width="24" style="61" customWidth="1"/>
    <col min="7603" max="7605" width="9.140625" style="61"/>
    <col min="7606" max="7606" width="9" style="61" bestFit="1" customWidth="1"/>
    <col min="7607" max="7616" width="9.28515625" style="61" bestFit="1" customWidth="1"/>
    <col min="7617" max="7617" width="10.28515625" style="61" bestFit="1" customWidth="1"/>
    <col min="7618" max="7618" width="11.28515625" style="61" bestFit="1" customWidth="1"/>
    <col min="7619" max="7619" width="11.7109375" style="61" customWidth="1"/>
    <col min="7620" max="7620" width="9.140625" style="61"/>
    <col min="7621" max="7621" width="22.28515625" style="61" customWidth="1"/>
    <col min="7622" max="7622" width="9.140625" style="61"/>
    <col min="7623" max="7623" width="9.28515625" style="61" bestFit="1" customWidth="1"/>
    <col min="7624" max="7624" width="9.42578125" style="61" bestFit="1" customWidth="1"/>
    <col min="7625" max="7625" width="9.28515625" style="61" bestFit="1" customWidth="1"/>
    <col min="7626" max="7626" width="10.28515625" style="61" bestFit="1" customWidth="1"/>
    <col min="7627" max="7628" width="9.28515625" style="61" bestFit="1" customWidth="1"/>
    <col min="7629" max="7630" width="10.28515625" style="61" bestFit="1" customWidth="1"/>
    <col min="7631" max="7635" width="9.28515625" style="61" bestFit="1" customWidth="1"/>
    <col min="7636" max="7636" width="10.42578125" style="61" bestFit="1" customWidth="1"/>
    <col min="7637" max="7637" width="9.140625" style="61"/>
    <col min="7638" max="7638" width="24.85546875" style="61" customWidth="1"/>
    <col min="7639" max="7639" width="9.140625" style="61"/>
    <col min="7640" max="7652" width="9.28515625" style="61" bestFit="1" customWidth="1"/>
    <col min="7653" max="7653" width="10.28515625" style="61" bestFit="1" customWidth="1"/>
    <col min="7654" max="7654" width="9.5703125" style="61" bestFit="1" customWidth="1"/>
    <col min="7655" max="7655" width="18.5703125" style="61" customWidth="1"/>
    <col min="7656" max="7657" width="9.140625" style="61"/>
    <col min="7658" max="7660" width="12.140625" style="61" bestFit="1" customWidth="1"/>
    <col min="7661" max="7669" width="10.28515625" style="61" bestFit="1" customWidth="1"/>
    <col min="7670" max="7670" width="11.28515625" style="61" bestFit="1" customWidth="1"/>
    <col min="7671" max="7671" width="9.140625" style="61"/>
    <col min="7672" max="7672" width="19" style="61" customWidth="1"/>
    <col min="7673" max="7689" width="9.140625" style="61"/>
    <col min="7690" max="7700" width="11.28515625" style="61" bestFit="1" customWidth="1"/>
    <col min="7701" max="7701" width="10.28515625" style="61" bestFit="1" customWidth="1"/>
    <col min="7702" max="7702" width="12.85546875" style="61" bestFit="1" customWidth="1"/>
    <col min="7703" max="7825" width="9.140625" style="61"/>
    <col min="7826" max="7826" width="11" style="61" bestFit="1" customWidth="1"/>
    <col min="7827" max="7827" width="28.140625" style="61" bestFit="1" customWidth="1"/>
    <col min="7828" max="7828" width="14" style="61" bestFit="1" customWidth="1"/>
    <col min="7829" max="7829" width="9.140625" style="61"/>
    <col min="7830" max="7830" width="13.85546875" style="61" bestFit="1" customWidth="1"/>
    <col min="7831" max="7831" width="9.140625" style="61"/>
    <col min="7832" max="7832" width="14" style="61" customWidth="1"/>
    <col min="7833" max="7833" width="9.140625" style="61"/>
    <col min="7834" max="7834" width="12.85546875" style="61" bestFit="1" customWidth="1"/>
    <col min="7835" max="7835" width="10" style="61" customWidth="1"/>
    <col min="7836" max="7836" width="14" style="61" bestFit="1" customWidth="1"/>
    <col min="7837" max="7837" width="9.85546875" style="61" bestFit="1" customWidth="1"/>
    <col min="7838" max="7838" width="13.5703125" style="61" bestFit="1" customWidth="1"/>
    <col min="7839" max="7839" width="9.85546875" style="61" bestFit="1" customWidth="1"/>
    <col min="7840" max="7840" width="12.85546875" style="61" bestFit="1" customWidth="1"/>
    <col min="7841" max="7852" width="10.5703125" style="61" customWidth="1"/>
    <col min="7853" max="7853" width="11.140625" style="61" bestFit="1" customWidth="1"/>
    <col min="7854" max="7854" width="2.7109375" style="61" customWidth="1"/>
    <col min="7855" max="7855" width="9.85546875" style="61" bestFit="1" customWidth="1"/>
    <col min="7856" max="7857" width="9.140625" style="61"/>
    <col min="7858" max="7858" width="24" style="61" customWidth="1"/>
    <col min="7859" max="7861" width="9.140625" style="61"/>
    <col min="7862" max="7862" width="9" style="61" bestFit="1" customWidth="1"/>
    <col min="7863" max="7872" width="9.28515625" style="61" bestFit="1" customWidth="1"/>
    <col min="7873" max="7873" width="10.28515625" style="61" bestFit="1" customWidth="1"/>
    <col min="7874" max="7874" width="11.28515625" style="61" bestFit="1" customWidth="1"/>
    <col min="7875" max="7875" width="11.7109375" style="61" customWidth="1"/>
    <col min="7876" max="7876" width="9.140625" style="61"/>
    <col min="7877" max="7877" width="22.28515625" style="61" customWidth="1"/>
    <col min="7878" max="7878" width="9.140625" style="61"/>
    <col min="7879" max="7879" width="9.28515625" style="61" bestFit="1" customWidth="1"/>
    <col min="7880" max="7880" width="9.42578125" style="61" bestFit="1" customWidth="1"/>
    <col min="7881" max="7881" width="9.28515625" style="61" bestFit="1" customWidth="1"/>
    <col min="7882" max="7882" width="10.28515625" style="61" bestFit="1" customWidth="1"/>
    <col min="7883" max="7884" width="9.28515625" style="61" bestFit="1" customWidth="1"/>
    <col min="7885" max="7886" width="10.28515625" style="61" bestFit="1" customWidth="1"/>
    <col min="7887" max="7891" width="9.28515625" style="61" bestFit="1" customWidth="1"/>
    <col min="7892" max="7892" width="10.42578125" style="61" bestFit="1" customWidth="1"/>
    <col min="7893" max="7893" width="9.140625" style="61"/>
    <col min="7894" max="7894" width="24.85546875" style="61" customWidth="1"/>
    <col min="7895" max="7895" width="9.140625" style="61"/>
    <col min="7896" max="7908" width="9.28515625" style="61" bestFit="1" customWidth="1"/>
    <col min="7909" max="7909" width="10.28515625" style="61" bestFit="1" customWidth="1"/>
    <col min="7910" max="7910" width="9.5703125" style="61" bestFit="1" customWidth="1"/>
    <col min="7911" max="7911" width="18.5703125" style="61" customWidth="1"/>
    <col min="7912" max="7913" width="9.140625" style="61"/>
    <col min="7914" max="7916" width="12.140625" style="61" bestFit="1" customWidth="1"/>
    <col min="7917" max="7925" width="10.28515625" style="61" bestFit="1" customWidth="1"/>
    <col min="7926" max="7926" width="11.28515625" style="61" bestFit="1" customWidth="1"/>
    <col min="7927" max="7927" width="9.140625" style="61"/>
    <col min="7928" max="7928" width="19" style="61" customWidth="1"/>
    <col min="7929" max="7945" width="9.140625" style="61"/>
    <col min="7946" max="7956" width="11.28515625" style="61" bestFit="1" customWidth="1"/>
    <col min="7957" max="7957" width="10.28515625" style="61" bestFit="1" customWidth="1"/>
    <col min="7958" max="7958" width="12.85546875" style="61" bestFit="1" customWidth="1"/>
    <col min="7959" max="8081" width="9.140625" style="61"/>
    <col min="8082" max="8082" width="11" style="61" bestFit="1" customWidth="1"/>
    <col min="8083" max="8083" width="28.140625" style="61" bestFit="1" customWidth="1"/>
    <col min="8084" max="8084" width="14" style="61" bestFit="1" customWidth="1"/>
    <col min="8085" max="8085" width="9.140625" style="61"/>
    <col min="8086" max="8086" width="13.85546875" style="61" bestFit="1" customWidth="1"/>
    <col min="8087" max="8087" width="9.140625" style="61"/>
    <col min="8088" max="8088" width="14" style="61" customWidth="1"/>
    <col min="8089" max="8089" width="9.140625" style="61"/>
    <col min="8090" max="8090" width="12.85546875" style="61" bestFit="1" customWidth="1"/>
    <col min="8091" max="8091" width="10" style="61" customWidth="1"/>
    <col min="8092" max="8092" width="14" style="61" bestFit="1" customWidth="1"/>
    <col min="8093" max="8093" width="9.85546875" style="61" bestFit="1" customWidth="1"/>
    <col min="8094" max="8094" width="13.5703125" style="61" bestFit="1" customWidth="1"/>
    <col min="8095" max="8095" width="9.85546875" style="61" bestFit="1" customWidth="1"/>
    <col min="8096" max="8096" width="12.85546875" style="61" bestFit="1" customWidth="1"/>
    <col min="8097" max="8108" width="10.5703125" style="61" customWidth="1"/>
    <col min="8109" max="8109" width="11.140625" style="61" bestFit="1" customWidth="1"/>
    <col min="8110" max="8110" width="2.7109375" style="61" customWidth="1"/>
    <col min="8111" max="8111" width="9.85546875" style="61" bestFit="1" customWidth="1"/>
    <col min="8112" max="8113" width="9.140625" style="61"/>
    <col min="8114" max="8114" width="24" style="61" customWidth="1"/>
    <col min="8115" max="8117" width="9.140625" style="61"/>
    <col min="8118" max="8118" width="9" style="61" bestFit="1" customWidth="1"/>
    <col min="8119" max="8128" width="9.28515625" style="61" bestFit="1" customWidth="1"/>
    <col min="8129" max="8129" width="10.28515625" style="61" bestFit="1" customWidth="1"/>
    <col min="8130" max="8130" width="11.28515625" style="61" bestFit="1" customWidth="1"/>
    <col min="8131" max="8131" width="11.7109375" style="61" customWidth="1"/>
    <col min="8132" max="8132" width="9.140625" style="61"/>
    <col min="8133" max="8133" width="22.28515625" style="61" customWidth="1"/>
    <col min="8134" max="8134" width="9.140625" style="61"/>
    <col min="8135" max="8135" width="9.28515625" style="61" bestFit="1" customWidth="1"/>
    <col min="8136" max="8136" width="9.42578125" style="61" bestFit="1" customWidth="1"/>
    <col min="8137" max="8137" width="9.28515625" style="61" bestFit="1" customWidth="1"/>
    <col min="8138" max="8138" width="10.28515625" style="61" bestFit="1" customWidth="1"/>
    <col min="8139" max="8140" width="9.28515625" style="61" bestFit="1" customWidth="1"/>
    <col min="8141" max="8142" width="10.28515625" style="61" bestFit="1" customWidth="1"/>
    <col min="8143" max="8147" width="9.28515625" style="61" bestFit="1" customWidth="1"/>
    <col min="8148" max="8148" width="10.42578125" style="61" bestFit="1" customWidth="1"/>
    <col min="8149" max="8149" width="9.140625" style="61"/>
    <col min="8150" max="8150" width="24.85546875" style="61" customWidth="1"/>
    <col min="8151" max="8151" width="9.140625" style="61"/>
    <col min="8152" max="8164" width="9.28515625" style="61" bestFit="1" customWidth="1"/>
    <col min="8165" max="8165" width="10.28515625" style="61" bestFit="1" customWidth="1"/>
    <col min="8166" max="8166" width="9.5703125" style="61" bestFit="1" customWidth="1"/>
    <col min="8167" max="8167" width="18.5703125" style="61" customWidth="1"/>
    <col min="8168" max="8169" width="9.140625" style="61"/>
    <col min="8170" max="8172" width="12.140625" style="61" bestFit="1" customWidth="1"/>
    <col min="8173" max="8181" width="10.28515625" style="61" bestFit="1" customWidth="1"/>
    <col min="8182" max="8182" width="11.28515625" style="61" bestFit="1" customWidth="1"/>
    <col min="8183" max="8183" width="9.140625" style="61"/>
    <col min="8184" max="8184" width="19" style="61" customWidth="1"/>
    <col min="8185" max="8201" width="9.140625" style="61"/>
    <col min="8202" max="8212" width="11.28515625" style="61" bestFit="1" customWidth="1"/>
    <col min="8213" max="8213" width="10.28515625" style="61" bestFit="1" customWidth="1"/>
    <col min="8214" max="8214" width="12.85546875" style="61" bestFit="1" customWidth="1"/>
    <col min="8215" max="8337" width="9.140625" style="61"/>
    <col min="8338" max="8338" width="11" style="61" bestFit="1" customWidth="1"/>
    <col min="8339" max="8339" width="28.140625" style="61" bestFit="1" customWidth="1"/>
    <col min="8340" max="8340" width="14" style="61" bestFit="1" customWidth="1"/>
    <col min="8341" max="8341" width="9.140625" style="61"/>
    <col min="8342" max="8342" width="13.85546875" style="61" bestFit="1" customWidth="1"/>
    <col min="8343" max="8343" width="9.140625" style="61"/>
    <col min="8344" max="8344" width="14" style="61" customWidth="1"/>
    <col min="8345" max="8345" width="9.140625" style="61"/>
    <col min="8346" max="8346" width="12.85546875" style="61" bestFit="1" customWidth="1"/>
    <col min="8347" max="8347" width="10" style="61" customWidth="1"/>
    <col min="8348" max="8348" width="14" style="61" bestFit="1" customWidth="1"/>
    <col min="8349" max="8349" width="9.85546875" style="61" bestFit="1" customWidth="1"/>
    <col min="8350" max="8350" width="13.5703125" style="61" bestFit="1" customWidth="1"/>
    <col min="8351" max="8351" width="9.85546875" style="61" bestFit="1" customWidth="1"/>
    <col min="8352" max="8352" width="12.85546875" style="61" bestFit="1" customWidth="1"/>
    <col min="8353" max="8364" width="10.5703125" style="61" customWidth="1"/>
    <col min="8365" max="8365" width="11.140625" style="61" bestFit="1" customWidth="1"/>
    <col min="8366" max="8366" width="2.7109375" style="61" customWidth="1"/>
    <col min="8367" max="8367" width="9.85546875" style="61" bestFit="1" customWidth="1"/>
    <col min="8368" max="8369" width="9.140625" style="61"/>
    <col min="8370" max="8370" width="24" style="61" customWidth="1"/>
    <col min="8371" max="8373" width="9.140625" style="61"/>
    <col min="8374" max="8374" width="9" style="61" bestFit="1" customWidth="1"/>
    <col min="8375" max="8384" width="9.28515625" style="61" bestFit="1" customWidth="1"/>
    <col min="8385" max="8385" width="10.28515625" style="61" bestFit="1" customWidth="1"/>
    <col min="8386" max="8386" width="11.28515625" style="61" bestFit="1" customWidth="1"/>
    <col min="8387" max="8387" width="11.7109375" style="61" customWidth="1"/>
    <col min="8388" max="8388" width="9.140625" style="61"/>
    <col min="8389" max="8389" width="22.28515625" style="61" customWidth="1"/>
    <col min="8390" max="8390" width="9.140625" style="61"/>
    <col min="8391" max="8391" width="9.28515625" style="61" bestFit="1" customWidth="1"/>
    <col min="8392" max="8392" width="9.42578125" style="61" bestFit="1" customWidth="1"/>
    <col min="8393" max="8393" width="9.28515625" style="61" bestFit="1" customWidth="1"/>
    <col min="8394" max="8394" width="10.28515625" style="61" bestFit="1" customWidth="1"/>
    <col min="8395" max="8396" width="9.28515625" style="61" bestFit="1" customWidth="1"/>
    <col min="8397" max="8398" width="10.28515625" style="61" bestFit="1" customWidth="1"/>
    <col min="8399" max="8403" width="9.28515625" style="61" bestFit="1" customWidth="1"/>
    <col min="8404" max="8404" width="10.42578125" style="61" bestFit="1" customWidth="1"/>
    <col min="8405" max="8405" width="9.140625" style="61"/>
    <col min="8406" max="8406" width="24.85546875" style="61" customWidth="1"/>
    <col min="8407" max="8407" width="9.140625" style="61"/>
    <col min="8408" max="8420" width="9.28515625" style="61" bestFit="1" customWidth="1"/>
    <col min="8421" max="8421" width="10.28515625" style="61" bestFit="1" customWidth="1"/>
    <col min="8422" max="8422" width="9.5703125" style="61" bestFit="1" customWidth="1"/>
    <col min="8423" max="8423" width="18.5703125" style="61" customWidth="1"/>
    <col min="8424" max="8425" width="9.140625" style="61"/>
    <col min="8426" max="8428" width="12.140625" style="61" bestFit="1" customWidth="1"/>
    <col min="8429" max="8437" width="10.28515625" style="61" bestFit="1" customWidth="1"/>
    <col min="8438" max="8438" width="11.28515625" style="61" bestFit="1" customWidth="1"/>
    <col min="8439" max="8439" width="9.140625" style="61"/>
    <col min="8440" max="8440" width="19" style="61" customWidth="1"/>
    <col min="8441" max="8457" width="9.140625" style="61"/>
    <col min="8458" max="8468" width="11.28515625" style="61" bestFit="1" customWidth="1"/>
    <col min="8469" max="8469" width="10.28515625" style="61" bestFit="1" customWidth="1"/>
    <col min="8470" max="8470" width="12.85546875" style="61" bestFit="1" customWidth="1"/>
    <col min="8471" max="8593" width="9.140625" style="61"/>
    <col min="8594" max="8594" width="11" style="61" bestFit="1" customWidth="1"/>
    <col min="8595" max="8595" width="28.140625" style="61" bestFit="1" customWidth="1"/>
    <col min="8596" max="8596" width="14" style="61" bestFit="1" customWidth="1"/>
    <col min="8597" max="8597" width="9.140625" style="61"/>
    <col min="8598" max="8598" width="13.85546875" style="61" bestFit="1" customWidth="1"/>
    <col min="8599" max="8599" width="9.140625" style="61"/>
    <col min="8600" max="8600" width="14" style="61" customWidth="1"/>
    <col min="8601" max="8601" width="9.140625" style="61"/>
    <col min="8602" max="8602" width="12.85546875" style="61" bestFit="1" customWidth="1"/>
    <col min="8603" max="8603" width="10" style="61" customWidth="1"/>
    <col min="8604" max="8604" width="14" style="61" bestFit="1" customWidth="1"/>
    <col min="8605" max="8605" width="9.85546875" style="61" bestFit="1" customWidth="1"/>
    <col min="8606" max="8606" width="13.5703125" style="61" bestFit="1" customWidth="1"/>
    <col min="8607" max="8607" width="9.85546875" style="61" bestFit="1" customWidth="1"/>
    <col min="8608" max="8608" width="12.85546875" style="61" bestFit="1" customWidth="1"/>
    <col min="8609" max="8620" width="10.5703125" style="61" customWidth="1"/>
    <col min="8621" max="8621" width="11.140625" style="61" bestFit="1" customWidth="1"/>
    <col min="8622" max="8622" width="2.7109375" style="61" customWidth="1"/>
    <col min="8623" max="8623" width="9.85546875" style="61" bestFit="1" customWidth="1"/>
    <col min="8624" max="8625" width="9.140625" style="61"/>
    <col min="8626" max="8626" width="24" style="61" customWidth="1"/>
    <col min="8627" max="8629" width="9.140625" style="61"/>
    <col min="8630" max="8630" width="9" style="61" bestFit="1" customWidth="1"/>
    <col min="8631" max="8640" width="9.28515625" style="61" bestFit="1" customWidth="1"/>
    <col min="8641" max="8641" width="10.28515625" style="61" bestFit="1" customWidth="1"/>
    <col min="8642" max="8642" width="11.28515625" style="61" bestFit="1" customWidth="1"/>
    <col min="8643" max="8643" width="11.7109375" style="61" customWidth="1"/>
    <col min="8644" max="8644" width="9.140625" style="61"/>
    <col min="8645" max="8645" width="22.28515625" style="61" customWidth="1"/>
    <col min="8646" max="8646" width="9.140625" style="61"/>
    <col min="8647" max="8647" width="9.28515625" style="61" bestFit="1" customWidth="1"/>
    <col min="8648" max="8648" width="9.42578125" style="61" bestFit="1" customWidth="1"/>
    <col min="8649" max="8649" width="9.28515625" style="61" bestFit="1" customWidth="1"/>
    <col min="8650" max="8650" width="10.28515625" style="61" bestFit="1" customWidth="1"/>
    <col min="8651" max="8652" width="9.28515625" style="61" bestFit="1" customWidth="1"/>
    <col min="8653" max="8654" width="10.28515625" style="61" bestFit="1" customWidth="1"/>
    <col min="8655" max="8659" width="9.28515625" style="61" bestFit="1" customWidth="1"/>
    <col min="8660" max="8660" width="10.42578125" style="61" bestFit="1" customWidth="1"/>
    <col min="8661" max="8661" width="9.140625" style="61"/>
    <col min="8662" max="8662" width="24.85546875" style="61" customWidth="1"/>
    <col min="8663" max="8663" width="9.140625" style="61"/>
    <col min="8664" max="8676" width="9.28515625" style="61" bestFit="1" customWidth="1"/>
    <col min="8677" max="8677" width="10.28515625" style="61" bestFit="1" customWidth="1"/>
    <col min="8678" max="8678" width="9.5703125" style="61" bestFit="1" customWidth="1"/>
    <col min="8679" max="8679" width="18.5703125" style="61" customWidth="1"/>
    <col min="8680" max="8681" width="9.140625" style="61"/>
    <col min="8682" max="8684" width="12.140625" style="61" bestFit="1" customWidth="1"/>
    <col min="8685" max="8693" width="10.28515625" style="61" bestFit="1" customWidth="1"/>
    <col min="8694" max="8694" width="11.28515625" style="61" bestFit="1" customWidth="1"/>
    <col min="8695" max="8695" width="9.140625" style="61"/>
    <col min="8696" max="8696" width="19" style="61" customWidth="1"/>
    <col min="8697" max="8713" width="9.140625" style="61"/>
    <col min="8714" max="8724" width="11.28515625" style="61" bestFit="1" customWidth="1"/>
    <col min="8725" max="8725" width="10.28515625" style="61" bestFit="1" customWidth="1"/>
    <col min="8726" max="8726" width="12.85546875" style="61" bestFit="1" customWidth="1"/>
    <col min="8727" max="8849" width="9.140625" style="61"/>
    <col min="8850" max="8850" width="11" style="61" bestFit="1" customWidth="1"/>
    <col min="8851" max="8851" width="28.140625" style="61" bestFit="1" customWidth="1"/>
    <col min="8852" max="8852" width="14" style="61" bestFit="1" customWidth="1"/>
    <col min="8853" max="8853" width="9.140625" style="61"/>
    <col min="8854" max="8854" width="13.85546875" style="61" bestFit="1" customWidth="1"/>
    <col min="8855" max="8855" width="9.140625" style="61"/>
    <col min="8856" max="8856" width="14" style="61" customWidth="1"/>
    <col min="8857" max="8857" width="9.140625" style="61"/>
    <col min="8858" max="8858" width="12.85546875" style="61" bestFit="1" customWidth="1"/>
    <col min="8859" max="8859" width="10" style="61" customWidth="1"/>
    <col min="8860" max="8860" width="14" style="61" bestFit="1" customWidth="1"/>
    <col min="8861" max="8861" width="9.85546875" style="61" bestFit="1" customWidth="1"/>
    <col min="8862" max="8862" width="13.5703125" style="61" bestFit="1" customWidth="1"/>
    <col min="8863" max="8863" width="9.85546875" style="61" bestFit="1" customWidth="1"/>
    <col min="8864" max="8864" width="12.85546875" style="61" bestFit="1" customWidth="1"/>
    <col min="8865" max="8876" width="10.5703125" style="61" customWidth="1"/>
    <col min="8877" max="8877" width="11.140625" style="61" bestFit="1" customWidth="1"/>
    <col min="8878" max="8878" width="2.7109375" style="61" customWidth="1"/>
    <col min="8879" max="8879" width="9.85546875" style="61" bestFit="1" customWidth="1"/>
    <col min="8880" max="8881" width="9.140625" style="61"/>
    <col min="8882" max="8882" width="24" style="61" customWidth="1"/>
    <col min="8883" max="8885" width="9.140625" style="61"/>
    <col min="8886" max="8886" width="9" style="61" bestFit="1" customWidth="1"/>
    <col min="8887" max="8896" width="9.28515625" style="61" bestFit="1" customWidth="1"/>
    <col min="8897" max="8897" width="10.28515625" style="61" bestFit="1" customWidth="1"/>
    <col min="8898" max="8898" width="11.28515625" style="61" bestFit="1" customWidth="1"/>
    <col min="8899" max="8899" width="11.7109375" style="61" customWidth="1"/>
    <col min="8900" max="8900" width="9.140625" style="61"/>
    <col min="8901" max="8901" width="22.28515625" style="61" customWidth="1"/>
    <col min="8902" max="8902" width="9.140625" style="61"/>
    <col min="8903" max="8903" width="9.28515625" style="61" bestFit="1" customWidth="1"/>
    <col min="8904" max="8904" width="9.42578125" style="61" bestFit="1" customWidth="1"/>
    <col min="8905" max="8905" width="9.28515625" style="61" bestFit="1" customWidth="1"/>
    <col min="8906" max="8906" width="10.28515625" style="61" bestFit="1" customWidth="1"/>
    <col min="8907" max="8908" width="9.28515625" style="61" bestFit="1" customWidth="1"/>
    <col min="8909" max="8910" width="10.28515625" style="61" bestFit="1" customWidth="1"/>
    <col min="8911" max="8915" width="9.28515625" style="61" bestFit="1" customWidth="1"/>
    <col min="8916" max="8916" width="10.42578125" style="61" bestFit="1" customWidth="1"/>
    <col min="8917" max="8917" width="9.140625" style="61"/>
    <col min="8918" max="8918" width="24.85546875" style="61" customWidth="1"/>
    <col min="8919" max="8919" width="9.140625" style="61"/>
    <col min="8920" max="8932" width="9.28515625" style="61" bestFit="1" customWidth="1"/>
    <col min="8933" max="8933" width="10.28515625" style="61" bestFit="1" customWidth="1"/>
    <col min="8934" max="8934" width="9.5703125" style="61" bestFit="1" customWidth="1"/>
    <col min="8935" max="8935" width="18.5703125" style="61" customWidth="1"/>
    <col min="8936" max="8937" width="9.140625" style="61"/>
    <col min="8938" max="8940" width="12.140625" style="61" bestFit="1" customWidth="1"/>
    <col min="8941" max="8949" width="10.28515625" style="61" bestFit="1" customWidth="1"/>
    <col min="8950" max="8950" width="11.28515625" style="61" bestFit="1" customWidth="1"/>
    <col min="8951" max="8951" width="9.140625" style="61"/>
    <col min="8952" max="8952" width="19" style="61" customWidth="1"/>
    <col min="8953" max="8969" width="9.140625" style="61"/>
    <col min="8970" max="8980" width="11.28515625" style="61" bestFit="1" customWidth="1"/>
    <col min="8981" max="8981" width="10.28515625" style="61" bestFit="1" customWidth="1"/>
    <col min="8982" max="8982" width="12.85546875" style="61" bestFit="1" customWidth="1"/>
    <col min="8983" max="9105" width="9.140625" style="61"/>
    <col min="9106" max="9106" width="11" style="61" bestFit="1" customWidth="1"/>
    <col min="9107" max="9107" width="28.140625" style="61" bestFit="1" customWidth="1"/>
    <col min="9108" max="9108" width="14" style="61" bestFit="1" customWidth="1"/>
    <col min="9109" max="9109" width="9.140625" style="61"/>
    <col min="9110" max="9110" width="13.85546875" style="61" bestFit="1" customWidth="1"/>
    <col min="9111" max="9111" width="9.140625" style="61"/>
    <col min="9112" max="9112" width="14" style="61" customWidth="1"/>
    <col min="9113" max="9113" width="9.140625" style="61"/>
    <col min="9114" max="9114" width="12.85546875" style="61" bestFit="1" customWidth="1"/>
    <col min="9115" max="9115" width="10" style="61" customWidth="1"/>
    <col min="9116" max="9116" width="14" style="61" bestFit="1" customWidth="1"/>
    <col min="9117" max="9117" width="9.85546875" style="61" bestFit="1" customWidth="1"/>
    <col min="9118" max="9118" width="13.5703125" style="61" bestFit="1" customWidth="1"/>
    <col min="9119" max="9119" width="9.85546875" style="61" bestFit="1" customWidth="1"/>
    <col min="9120" max="9120" width="12.85546875" style="61" bestFit="1" customWidth="1"/>
    <col min="9121" max="9132" width="10.5703125" style="61" customWidth="1"/>
    <col min="9133" max="9133" width="11.140625" style="61" bestFit="1" customWidth="1"/>
    <col min="9134" max="9134" width="2.7109375" style="61" customWidth="1"/>
    <col min="9135" max="9135" width="9.85546875" style="61" bestFit="1" customWidth="1"/>
    <col min="9136" max="9137" width="9.140625" style="61"/>
    <col min="9138" max="9138" width="24" style="61" customWidth="1"/>
    <col min="9139" max="9141" width="9.140625" style="61"/>
    <col min="9142" max="9142" width="9" style="61" bestFit="1" customWidth="1"/>
    <col min="9143" max="9152" width="9.28515625" style="61" bestFit="1" customWidth="1"/>
    <col min="9153" max="9153" width="10.28515625" style="61" bestFit="1" customWidth="1"/>
    <col min="9154" max="9154" width="11.28515625" style="61" bestFit="1" customWidth="1"/>
    <col min="9155" max="9155" width="11.7109375" style="61" customWidth="1"/>
    <col min="9156" max="9156" width="9.140625" style="61"/>
    <col min="9157" max="9157" width="22.28515625" style="61" customWidth="1"/>
    <col min="9158" max="9158" width="9.140625" style="61"/>
    <col min="9159" max="9159" width="9.28515625" style="61" bestFit="1" customWidth="1"/>
    <col min="9160" max="9160" width="9.42578125" style="61" bestFit="1" customWidth="1"/>
    <col min="9161" max="9161" width="9.28515625" style="61" bestFit="1" customWidth="1"/>
    <col min="9162" max="9162" width="10.28515625" style="61" bestFit="1" customWidth="1"/>
    <col min="9163" max="9164" width="9.28515625" style="61" bestFit="1" customWidth="1"/>
    <col min="9165" max="9166" width="10.28515625" style="61" bestFit="1" customWidth="1"/>
    <col min="9167" max="9171" width="9.28515625" style="61" bestFit="1" customWidth="1"/>
    <col min="9172" max="9172" width="10.42578125" style="61" bestFit="1" customWidth="1"/>
    <col min="9173" max="9173" width="9.140625" style="61"/>
    <col min="9174" max="9174" width="24.85546875" style="61" customWidth="1"/>
    <col min="9175" max="9175" width="9.140625" style="61"/>
    <col min="9176" max="9188" width="9.28515625" style="61" bestFit="1" customWidth="1"/>
    <col min="9189" max="9189" width="10.28515625" style="61" bestFit="1" customWidth="1"/>
    <col min="9190" max="9190" width="9.5703125" style="61" bestFit="1" customWidth="1"/>
    <col min="9191" max="9191" width="18.5703125" style="61" customWidth="1"/>
    <col min="9192" max="9193" width="9.140625" style="61"/>
    <col min="9194" max="9196" width="12.140625" style="61" bestFit="1" customWidth="1"/>
    <col min="9197" max="9205" width="10.28515625" style="61" bestFit="1" customWidth="1"/>
    <col min="9206" max="9206" width="11.28515625" style="61" bestFit="1" customWidth="1"/>
    <col min="9207" max="9207" width="9.140625" style="61"/>
    <col min="9208" max="9208" width="19" style="61" customWidth="1"/>
    <col min="9209" max="9225" width="9.140625" style="61"/>
    <col min="9226" max="9236" width="11.28515625" style="61" bestFit="1" customWidth="1"/>
    <col min="9237" max="9237" width="10.28515625" style="61" bestFit="1" customWidth="1"/>
    <col min="9238" max="9238" width="12.85546875" style="61" bestFit="1" customWidth="1"/>
    <col min="9239" max="9361" width="9.140625" style="61"/>
    <col min="9362" max="9362" width="11" style="61" bestFit="1" customWidth="1"/>
    <col min="9363" max="9363" width="28.140625" style="61" bestFit="1" customWidth="1"/>
    <col min="9364" max="9364" width="14" style="61" bestFit="1" customWidth="1"/>
    <col min="9365" max="9365" width="9.140625" style="61"/>
    <col min="9366" max="9366" width="13.85546875" style="61" bestFit="1" customWidth="1"/>
    <col min="9367" max="9367" width="9.140625" style="61"/>
    <col min="9368" max="9368" width="14" style="61" customWidth="1"/>
    <col min="9369" max="9369" width="9.140625" style="61"/>
    <col min="9370" max="9370" width="12.85546875" style="61" bestFit="1" customWidth="1"/>
    <col min="9371" max="9371" width="10" style="61" customWidth="1"/>
    <col min="9372" max="9372" width="14" style="61" bestFit="1" customWidth="1"/>
    <col min="9373" max="9373" width="9.85546875" style="61" bestFit="1" customWidth="1"/>
    <col min="9374" max="9374" width="13.5703125" style="61" bestFit="1" customWidth="1"/>
    <col min="9375" max="9375" width="9.85546875" style="61" bestFit="1" customWidth="1"/>
    <col min="9376" max="9376" width="12.85546875" style="61" bestFit="1" customWidth="1"/>
    <col min="9377" max="9388" width="10.5703125" style="61" customWidth="1"/>
    <col min="9389" max="9389" width="11.140625" style="61" bestFit="1" customWidth="1"/>
    <col min="9390" max="9390" width="2.7109375" style="61" customWidth="1"/>
    <col min="9391" max="9391" width="9.85546875" style="61" bestFit="1" customWidth="1"/>
    <col min="9392" max="9393" width="9.140625" style="61"/>
    <col min="9394" max="9394" width="24" style="61" customWidth="1"/>
    <col min="9395" max="9397" width="9.140625" style="61"/>
    <col min="9398" max="9398" width="9" style="61" bestFit="1" customWidth="1"/>
    <col min="9399" max="9408" width="9.28515625" style="61" bestFit="1" customWidth="1"/>
    <col min="9409" max="9409" width="10.28515625" style="61" bestFit="1" customWidth="1"/>
    <col min="9410" max="9410" width="11.28515625" style="61" bestFit="1" customWidth="1"/>
    <col min="9411" max="9411" width="11.7109375" style="61" customWidth="1"/>
    <col min="9412" max="9412" width="9.140625" style="61"/>
    <col min="9413" max="9413" width="22.28515625" style="61" customWidth="1"/>
    <col min="9414" max="9414" width="9.140625" style="61"/>
    <col min="9415" max="9415" width="9.28515625" style="61" bestFit="1" customWidth="1"/>
    <col min="9416" max="9416" width="9.42578125" style="61" bestFit="1" customWidth="1"/>
    <col min="9417" max="9417" width="9.28515625" style="61" bestFit="1" customWidth="1"/>
    <col min="9418" max="9418" width="10.28515625" style="61" bestFit="1" customWidth="1"/>
    <col min="9419" max="9420" width="9.28515625" style="61" bestFit="1" customWidth="1"/>
    <col min="9421" max="9422" width="10.28515625" style="61" bestFit="1" customWidth="1"/>
    <col min="9423" max="9427" width="9.28515625" style="61" bestFit="1" customWidth="1"/>
    <col min="9428" max="9428" width="10.42578125" style="61" bestFit="1" customWidth="1"/>
    <col min="9429" max="9429" width="9.140625" style="61"/>
    <col min="9430" max="9430" width="24.85546875" style="61" customWidth="1"/>
    <col min="9431" max="9431" width="9.140625" style="61"/>
    <col min="9432" max="9444" width="9.28515625" style="61" bestFit="1" customWidth="1"/>
    <col min="9445" max="9445" width="10.28515625" style="61" bestFit="1" customWidth="1"/>
    <col min="9446" max="9446" width="9.5703125" style="61" bestFit="1" customWidth="1"/>
    <col min="9447" max="9447" width="18.5703125" style="61" customWidth="1"/>
    <col min="9448" max="9449" width="9.140625" style="61"/>
    <col min="9450" max="9452" width="12.140625" style="61" bestFit="1" customWidth="1"/>
    <col min="9453" max="9461" width="10.28515625" style="61" bestFit="1" customWidth="1"/>
    <col min="9462" max="9462" width="11.28515625" style="61" bestFit="1" customWidth="1"/>
    <col min="9463" max="9463" width="9.140625" style="61"/>
    <col min="9464" max="9464" width="19" style="61" customWidth="1"/>
    <col min="9465" max="9481" width="9.140625" style="61"/>
    <col min="9482" max="9492" width="11.28515625" style="61" bestFit="1" customWidth="1"/>
    <col min="9493" max="9493" width="10.28515625" style="61" bestFit="1" customWidth="1"/>
    <col min="9494" max="9494" width="12.85546875" style="61" bestFit="1" customWidth="1"/>
    <col min="9495" max="9617" width="9.140625" style="61"/>
    <col min="9618" max="9618" width="11" style="61" bestFit="1" customWidth="1"/>
    <col min="9619" max="9619" width="28.140625" style="61" bestFit="1" customWidth="1"/>
    <col min="9620" max="9620" width="14" style="61" bestFit="1" customWidth="1"/>
    <col min="9621" max="9621" width="9.140625" style="61"/>
    <col min="9622" max="9622" width="13.85546875" style="61" bestFit="1" customWidth="1"/>
    <col min="9623" max="9623" width="9.140625" style="61"/>
    <col min="9624" max="9624" width="14" style="61" customWidth="1"/>
    <col min="9625" max="9625" width="9.140625" style="61"/>
    <col min="9626" max="9626" width="12.85546875" style="61" bestFit="1" customWidth="1"/>
    <col min="9627" max="9627" width="10" style="61" customWidth="1"/>
    <col min="9628" max="9628" width="14" style="61" bestFit="1" customWidth="1"/>
    <col min="9629" max="9629" width="9.85546875" style="61" bestFit="1" customWidth="1"/>
    <col min="9630" max="9630" width="13.5703125" style="61" bestFit="1" customWidth="1"/>
    <col min="9631" max="9631" width="9.85546875" style="61" bestFit="1" customWidth="1"/>
    <col min="9632" max="9632" width="12.85546875" style="61" bestFit="1" customWidth="1"/>
    <col min="9633" max="9644" width="10.5703125" style="61" customWidth="1"/>
    <col min="9645" max="9645" width="11.140625" style="61" bestFit="1" customWidth="1"/>
    <col min="9646" max="9646" width="2.7109375" style="61" customWidth="1"/>
    <col min="9647" max="9647" width="9.85546875" style="61" bestFit="1" customWidth="1"/>
    <col min="9648" max="9649" width="9.140625" style="61"/>
    <col min="9650" max="9650" width="24" style="61" customWidth="1"/>
    <col min="9651" max="9653" width="9.140625" style="61"/>
    <col min="9654" max="9654" width="9" style="61" bestFit="1" customWidth="1"/>
    <col min="9655" max="9664" width="9.28515625" style="61" bestFit="1" customWidth="1"/>
    <col min="9665" max="9665" width="10.28515625" style="61" bestFit="1" customWidth="1"/>
    <col min="9666" max="9666" width="11.28515625" style="61" bestFit="1" customWidth="1"/>
    <col min="9667" max="9667" width="11.7109375" style="61" customWidth="1"/>
    <col min="9668" max="9668" width="9.140625" style="61"/>
    <col min="9669" max="9669" width="22.28515625" style="61" customWidth="1"/>
    <col min="9670" max="9670" width="9.140625" style="61"/>
    <col min="9671" max="9671" width="9.28515625" style="61" bestFit="1" customWidth="1"/>
    <col min="9672" max="9672" width="9.42578125" style="61" bestFit="1" customWidth="1"/>
    <col min="9673" max="9673" width="9.28515625" style="61" bestFit="1" customWidth="1"/>
    <col min="9674" max="9674" width="10.28515625" style="61" bestFit="1" customWidth="1"/>
    <col min="9675" max="9676" width="9.28515625" style="61" bestFit="1" customWidth="1"/>
    <col min="9677" max="9678" width="10.28515625" style="61" bestFit="1" customWidth="1"/>
    <col min="9679" max="9683" width="9.28515625" style="61" bestFit="1" customWidth="1"/>
    <col min="9684" max="9684" width="10.42578125" style="61" bestFit="1" customWidth="1"/>
    <col min="9685" max="9685" width="9.140625" style="61"/>
    <col min="9686" max="9686" width="24.85546875" style="61" customWidth="1"/>
    <col min="9687" max="9687" width="9.140625" style="61"/>
    <col min="9688" max="9700" width="9.28515625" style="61" bestFit="1" customWidth="1"/>
    <col min="9701" max="9701" width="10.28515625" style="61" bestFit="1" customWidth="1"/>
    <col min="9702" max="9702" width="9.5703125" style="61" bestFit="1" customWidth="1"/>
    <col min="9703" max="9703" width="18.5703125" style="61" customWidth="1"/>
    <col min="9704" max="9705" width="9.140625" style="61"/>
    <col min="9706" max="9708" width="12.140625" style="61" bestFit="1" customWidth="1"/>
    <col min="9709" max="9717" width="10.28515625" style="61" bestFit="1" customWidth="1"/>
    <col min="9718" max="9718" width="11.28515625" style="61" bestFit="1" customWidth="1"/>
    <col min="9719" max="9719" width="9.140625" style="61"/>
    <col min="9720" max="9720" width="19" style="61" customWidth="1"/>
    <col min="9721" max="9737" width="9.140625" style="61"/>
    <col min="9738" max="9748" width="11.28515625" style="61" bestFit="1" customWidth="1"/>
    <col min="9749" max="9749" width="10.28515625" style="61" bestFit="1" customWidth="1"/>
    <col min="9750" max="9750" width="12.85546875" style="61" bestFit="1" customWidth="1"/>
    <col min="9751" max="9873" width="9.140625" style="61"/>
    <col min="9874" max="9874" width="11" style="61" bestFit="1" customWidth="1"/>
    <col min="9875" max="9875" width="28.140625" style="61" bestFit="1" customWidth="1"/>
    <col min="9876" max="9876" width="14" style="61" bestFit="1" customWidth="1"/>
    <col min="9877" max="9877" width="9.140625" style="61"/>
    <col min="9878" max="9878" width="13.85546875" style="61" bestFit="1" customWidth="1"/>
    <col min="9879" max="9879" width="9.140625" style="61"/>
    <col min="9880" max="9880" width="14" style="61" customWidth="1"/>
    <col min="9881" max="9881" width="9.140625" style="61"/>
    <col min="9882" max="9882" width="12.85546875" style="61" bestFit="1" customWidth="1"/>
    <col min="9883" max="9883" width="10" style="61" customWidth="1"/>
    <col min="9884" max="9884" width="14" style="61" bestFit="1" customWidth="1"/>
    <col min="9885" max="9885" width="9.85546875" style="61" bestFit="1" customWidth="1"/>
    <col min="9886" max="9886" width="13.5703125" style="61" bestFit="1" customWidth="1"/>
    <col min="9887" max="9887" width="9.85546875" style="61" bestFit="1" customWidth="1"/>
    <col min="9888" max="9888" width="12.85546875" style="61" bestFit="1" customWidth="1"/>
    <col min="9889" max="9900" width="10.5703125" style="61" customWidth="1"/>
    <col min="9901" max="9901" width="11.140625" style="61" bestFit="1" customWidth="1"/>
    <col min="9902" max="9902" width="2.7109375" style="61" customWidth="1"/>
    <col min="9903" max="9903" width="9.85546875" style="61" bestFit="1" customWidth="1"/>
    <col min="9904" max="9905" width="9.140625" style="61"/>
    <col min="9906" max="9906" width="24" style="61" customWidth="1"/>
    <col min="9907" max="9909" width="9.140625" style="61"/>
    <col min="9910" max="9910" width="9" style="61" bestFit="1" customWidth="1"/>
    <col min="9911" max="9920" width="9.28515625" style="61" bestFit="1" customWidth="1"/>
    <col min="9921" max="9921" width="10.28515625" style="61" bestFit="1" customWidth="1"/>
    <col min="9922" max="9922" width="11.28515625" style="61" bestFit="1" customWidth="1"/>
    <col min="9923" max="9923" width="11.7109375" style="61" customWidth="1"/>
    <col min="9924" max="9924" width="9.140625" style="61"/>
    <col min="9925" max="9925" width="22.28515625" style="61" customWidth="1"/>
    <col min="9926" max="9926" width="9.140625" style="61"/>
    <col min="9927" max="9927" width="9.28515625" style="61" bestFit="1" customWidth="1"/>
    <col min="9928" max="9928" width="9.42578125" style="61" bestFit="1" customWidth="1"/>
    <col min="9929" max="9929" width="9.28515625" style="61" bestFit="1" customWidth="1"/>
    <col min="9930" max="9930" width="10.28515625" style="61" bestFit="1" customWidth="1"/>
    <col min="9931" max="9932" width="9.28515625" style="61" bestFit="1" customWidth="1"/>
    <col min="9933" max="9934" width="10.28515625" style="61" bestFit="1" customWidth="1"/>
    <col min="9935" max="9939" width="9.28515625" style="61" bestFit="1" customWidth="1"/>
    <col min="9940" max="9940" width="10.42578125" style="61" bestFit="1" customWidth="1"/>
    <col min="9941" max="9941" width="9.140625" style="61"/>
    <col min="9942" max="9942" width="24.85546875" style="61" customWidth="1"/>
    <col min="9943" max="9943" width="9.140625" style="61"/>
    <col min="9944" max="9956" width="9.28515625" style="61" bestFit="1" customWidth="1"/>
    <col min="9957" max="9957" width="10.28515625" style="61" bestFit="1" customWidth="1"/>
    <col min="9958" max="9958" width="9.5703125" style="61" bestFit="1" customWidth="1"/>
    <col min="9959" max="9959" width="18.5703125" style="61" customWidth="1"/>
    <col min="9960" max="9961" width="9.140625" style="61"/>
    <col min="9962" max="9964" width="12.140625" style="61" bestFit="1" customWidth="1"/>
    <col min="9965" max="9973" width="10.28515625" style="61" bestFit="1" customWidth="1"/>
    <col min="9974" max="9974" width="11.28515625" style="61" bestFit="1" customWidth="1"/>
    <col min="9975" max="9975" width="9.140625" style="61"/>
    <col min="9976" max="9976" width="19" style="61" customWidth="1"/>
    <col min="9977" max="9993" width="9.140625" style="61"/>
    <col min="9994" max="10004" width="11.28515625" style="61" bestFit="1" customWidth="1"/>
    <col min="10005" max="10005" width="10.28515625" style="61" bestFit="1" customWidth="1"/>
    <col min="10006" max="10006" width="12.85546875" style="61" bestFit="1" customWidth="1"/>
    <col min="10007" max="10129" width="9.140625" style="61"/>
    <col min="10130" max="10130" width="11" style="61" bestFit="1" customWidth="1"/>
    <col min="10131" max="10131" width="28.140625" style="61" bestFit="1" customWidth="1"/>
    <col min="10132" max="10132" width="14" style="61" bestFit="1" customWidth="1"/>
    <col min="10133" max="10133" width="9.140625" style="61"/>
    <col min="10134" max="10134" width="13.85546875" style="61" bestFit="1" customWidth="1"/>
    <col min="10135" max="10135" width="9.140625" style="61"/>
    <col min="10136" max="10136" width="14" style="61" customWidth="1"/>
    <col min="10137" max="10137" width="9.140625" style="61"/>
    <col min="10138" max="10138" width="12.85546875" style="61" bestFit="1" customWidth="1"/>
    <col min="10139" max="10139" width="10" style="61" customWidth="1"/>
    <col min="10140" max="10140" width="14" style="61" bestFit="1" customWidth="1"/>
    <col min="10141" max="10141" width="9.85546875" style="61" bestFit="1" customWidth="1"/>
    <col min="10142" max="10142" width="13.5703125" style="61" bestFit="1" customWidth="1"/>
    <col min="10143" max="10143" width="9.85546875" style="61" bestFit="1" customWidth="1"/>
    <col min="10144" max="10144" width="12.85546875" style="61" bestFit="1" customWidth="1"/>
    <col min="10145" max="10156" width="10.5703125" style="61" customWidth="1"/>
    <col min="10157" max="10157" width="11.140625" style="61" bestFit="1" customWidth="1"/>
    <col min="10158" max="10158" width="2.7109375" style="61" customWidth="1"/>
    <col min="10159" max="10159" width="9.85546875" style="61" bestFit="1" customWidth="1"/>
    <col min="10160" max="10161" width="9.140625" style="61"/>
    <col min="10162" max="10162" width="24" style="61" customWidth="1"/>
    <col min="10163" max="10165" width="9.140625" style="61"/>
    <col min="10166" max="10166" width="9" style="61" bestFit="1" customWidth="1"/>
    <col min="10167" max="10176" width="9.28515625" style="61" bestFit="1" customWidth="1"/>
    <col min="10177" max="10177" width="10.28515625" style="61" bestFit="1" customWidth="1"/>
    <col min="10178" max="10178" width="11.28515625" style="61" bestFit="1" customWidth="1"/>
    <col min="10179" max="10179" width="11.7109375" style="61" customWidth="1"/>
    <col min="10180" max="10180" width="9.140625" style="61"/>
    <col min="10181" max="10181" width="22.28515625" style="61" customWidth="1"/>
    <col min="10182" max="10182" width="9.140625" style="61"/>
    <col min="10183" max="10183" width="9.28515625" style="61" bestFit="1" customWidth="1"/>
    <col min="10184" max="10184" width="9.42578125" style="61" bestFit="1" customWidth="1"/>
    <col min="10185" max="10185" width="9.28515625" style="61" bestFit="1" customWidth="1"/>
    <col min="10186" max="10186" width="10.28515625" style="61" bestFit="1" customWidth="1"/>
    <col min="10187" max="10188" width="9.28515625" style="61" bestFit="1" customWidth="1"/>
    <col min="10189" max="10190" width="10.28515625" style="61" bestFit="1" customWidth="1"/>
    <col min="10191" max="10195" width="9.28515625" style="61" bestFit="1" customWidth="1"/>
    <col min="10196" max="10196" width="10.42578125" style="61" bestFit="1" customWidth="1"/>
    <col min="10197" max="10197" width="9.140625" style="61"/>
    <col min="10198" max="10198" width="24.85546875" style="61" customWidth="1"/>
    <col min="10199" max="10199" width="9.140625" style="61"/>
    <col min="10200" max="10212" width="9.28515625" style="61" bestFit="1" customWidth="1"/>
    <col min="10213" max="10213" width="10.28515625" style="61" bestFit="1" customWidth="1"/>
    <col min="10214" max="10214" width="9.5703125" style="61" bestFit="1" customWidth="1"/>
    <col min="10215" max="10215" width="18.5703125" style="61" customWidth="1"/>
    <col min="10216" max="10217" width="9.140625" style="61"/>
    <col min="10218" max="10220" width="12.140625" style="61" bestFit="1" customWidth="1"/>
    <col min="10221" max="10229" width="10.28515625" style="61" bestFit="1" customWidth="1"/>
    <col min="10230" max="10230" width="11.28515625" style="61" bestFit="1" customWidth="1"/>
    <col min="10231" max="10231" width="9.140625" style="61"/>
    <col min="10232" max="10232" width="19" style="61" customWidth="1"/>
    <col min="10233" max="10249" width="9.140625" style="61"/>
    <col min="10250" max="10260" width="11.28515625" style="61" bestFit="1" customWidth="1"/>
    <col min="10261" max="10261" width="10.28515625" style="61" bestFit="1" customWidth="1"/>
    <col min="10262" max="10262" width="12.85546875" style="61" bestFit="1" customWidth="1"/>
    <col min="10263" max="10385" width="9.140625" style="61"/>
    <col min="10386" max="10386" width="11" style="61" bestFit="1" customWidth="1"/>
    <col min="10387" max="10387" width="28.140625" style="61" bestFit="1" customWidth="1"/>
    <col min="10388" max="10388" width="14" style="61" bestFit="1" customWidth="1"/>
    <col min="10389" max="10389" width="9.140625" style="61"/>
    <col min="10390" max="10390" width="13.85546875" style="61" bestFit="1" customWidth="1"/>
    <col min="10391" max="10391" width="9.140625" style="61"/>
    <col min="10392" max="10392" width="14" style="61" customWidth="1"/>
    <col min="10393" max="10393" width="9.140625" style="61"/>
    <col min="10394" max="10394" width="12.85546875" style="61" bestFit="1" customWidth="1"/>
    <col min="10395" max="10395" width="10" style="61" customWidth="1"/>
    <col min="10396" max="10396" width="14" style="61" bestFit="1" customWidth="1"/>
    <col min="10397" max="10397" width="9.85546875" style="61" bestFit="1" customWidth="1"/>
    <col min="10398" max="10398" width="13.5703125" style="61" bestFit="1" customWidth="1"/>
    <col min="10399" max="10399" width="9.85546875" style="61" bestFit="1" customWidth="1"/>
    <col min="10400" max="10400" width="12.85546875" style="61" bestFit="1" customWidth="1"/>
    <col min="10401" max="10412" width="10.5703125" style="61" customWidth="1"/>
    <col min="10413" max="10413" width="11.140625" style="61" bestFit="1" customWidth="1"/>
    <col min="10414" max="10414" width="2.7109375" style="61" customWidth="1"/>
    <col min="10415" max="10415" width="9.85546875" style="61" bestFit="1" customWidth="1"/>
    <col min="10416" max="10417" width="9.140625" style="61"/>
    <col min="10418" max="10418" width="24" style="61" customWidth="1"/>
    <col min="10419" max="10421" width="9.140625" style="61"/>
    <col min="10422" max="10422" width="9" style="61" bestFit="1" customWidth="1"/>
    <col min="10423" max="10432" width="9.28515625" style="61" bestFit="1" customWidth="1"/>
    <col min="10433" max="10433" width="10.28515625" style="61" bestFit="1" customWidth="1"/>
    <col min="10434" max="10434" width="11.28515625" style="61" bestFit="1" customWidth="1"/>
    <col min="10435" max="10435" width="11.7109375" style="61" customWidth="1"/>
    <col min="10436" max="10436" width="9.140625" style="61"/>
    <col min="10437" max="10437" width="22.28515625" style="61" customWidth="1"/>
    <col min="10438" max="10438" width="9.140625" style="61"/>
    <col min="10439" max="10439" width="9.28515625" style="61" bestFit="1" customWidth="1"/>
    <col min="10440" max="10440" width="9.42578125" style="61" bestFit="1" customWidth="1"/>
    <col min="10441" max="10441" width="9.28515625" style="61" bestFit="1" customWidth="1"/>
    <col min="10442" max="10442" width="10.28515625" style="61" bestFit="1" customWidth="1"/>
    <col min="10443" max="10444" width="9.28515625" style="61" bestFit="1" customWidth="1"/>
    <col min="10445" max="10446" width="10.28515625" style="61" bestFit="1" customWidth="1"/>
    <col min="10447" max="10451" width="9.28515625" style="61" bestFit="1" customWidth="1"/>
    <col min="10452" max="10452" width="10.42578125" style="61" bestFit="1" customWidth="1"/>
    <col min="10453" max="10453" width="9.140625" style="61"/>
    <col min="10454" max="10454" width="24.85546875" style="61" customWidth="1"/>
    <col min="10455" max="10455" width="9.140625" style="61"/>
    <col min="10456" max="10468" width="9.28515625" style="61" bestFit="1" customWidth="1"/>
    <col min="10469" max="10469" width="10.28515625" style="61" bestFit="1" customWidth="1"/>
    <col min="10470" max="10470" width="9.5703125" style="61" bestFit="1" customWidth="1"/>
    <col min="10471" max="10471" width="18.5703125" style="61" customWidth="1"/>
    <col min="10472" max="10473" width="9.140625" style="61"/>
    <col min="10474" max="10476" width="12.140625" style="61" bestFit="1" customWidth="1"/>
    <col min="10477" max="10485" width="10.28515625" style="61" bestFit="1" customWidth="1"/>
    <col min="10486" max="10486" width="11.28515625" style="61" bestFit="1" customWidth="1"/>
    <col min="10487" max="10487" width="9.140625" style="61"/>
    <col min="10488" max="10488" width="19" style="61" customWidth="1"/>
    <col min="10489" max="10505" width="9.140625" style="61"/>
    <col min="10506" max="10516" width="11.28515625" style="61" bestFit="1" customWidth="1"/>
    <col min="10517" max="10517" width="10.28515625" style="61" bestFit="1" customWidth="1"/>
    <col min="10518" max="10518" width="12.85546875" style="61" bestFit="1" customWidth="1"/>
    <col min="10519" max="10641" width="9.140625" style="61"/>
    <col min="10642" max="10642" width="11" style="61" bestFit="1" customWidth="1"/>
    <col min="10643" max="10643" width="28.140625" style="61" bestFit="1" customWidth="1"/>
    <col min="10644" max="10644" width="14" style="61" bestFit="1" customWidth="1"/>
    <col min="10645" max="10645" width="9.140625" style="61"/>
    <col min="10646" max="10646" width="13.85546875" style="61" bestFit="1" customWidth="1"/>
    <col min="10647" max="10647" width="9.140625" style="61"/>
    <col min="10648" max="10648" width="14" style="61" customWidth="1"/>
    <col min="10649" max="10649" width="9.140625" style="61"/>
    <col min="10650" max="10650" width="12.85546875" style="61" bestFit="1" customWidth="1"/>
    <col min="10651" max="10651" width="10" style="61" customWidth="1"/>
    <col min="10652" max="10652" width="14" style="61" bestFit="1" customWidth="1"/>
    <col min="10653" max="10653" width="9.85546875" style="61" bestFit="1" customWidth="1"/>
    <col min="10654" max="10654" width="13.5703125" style="61" bestFit="1" customWidth="1"/>
    <col min="10655" max="10655" width="9.85546875" style="61" bestFit="1" customWidth="1"/>
    <col min="10656" max="10656" width="12.85546875" style="61" bestFit="1" customWidth="1"/>
    <col min="10657" max="10668" width="10.5703125" style="61" customWidth="1"/>
    <col min="10669" max="10669" width="11.140625" style="61" bestFit="1" customWidth="1"/>
    <col min="10670" max="10670" width="2.7109375" style="61" customWidth="1"/>
    <col min="10671" max="10671" width="9.85546875" style="61" bestFit="1" customWidth="1"/>
    <col min="10672" max="10673" width="9.140625" style="61"/>
    <col min="10674" max="10674" width="24" style="61" customWidth="1"/>
    <col min="10675" max="10677" width="9.140625" style="61"/>
    <col min="10678" max="10678" width="9" style="61" bestFit="1" customWidth="1"/>
    <col min="10679" max="10688" width="9.28515625" style="61" bestFit="1" customWidth="1"/>
    <col min="10689" max="10689" width="10.28515625" style="61" bestFit="1" customWidth="1"/>
    <col min="10690" max="10690" width="11.28515625" style="61" bestFit="1" customWidth="1"/>
    <col min="10691" max="10691" width="11.7109375" style="61" customWidth="1"/>
    <col min="10692" max="10692" width="9.140625" style="61"/>
    <col min="10693" max="10693" width="22.28515625" style="61" customWidth="1"/>
    <col min="10694" max="10694" width="9.140625" style="61"/>
    <col min="10695" max="10695" width="9.28515625" style="61" bestFit="1" customWidth="1"/>
    <col min="10696" max="10696" width="9.42578125" style="61" bestFit="1" customWidth="1"/>
    <col min="10697" max="10697" width="9.28515625" style="61" bestFit="1" customWidth="1"/>
    <col min="10698" max="10698" width="10.28515625" style="61" bestFit="1" customWidth="1"/>
    <col min="10699" max="10700" width="9.28515625" style="61" bestFit="1" customWidth="1"/>
    <col min="10701" max="10702" width="10.28515625" style="61" bestFit="1" customWidth="1"/>
    <col min="10703" max="10707" width="9.28515625" style="61" bestFit="1" customWidth="1"/>
    <col min="10708" max="10708" width="10.42578125" style="61" bestFit="1" customWidth="1"/>
    <col min="10709" max="10709" width="9.140625" style="61"/>
    <col min="10710" max="10710" width="24.85546875" style="61" customWidth="1"/>
    <col min="10711" max="10711" width="9.140625" style="61"/>
    <col min="10712" max="10724" width="9.28515625" style="61" bestFit="1" customWidth="1"/>
    <col min="10725" max="10725" width="10.28515625" style="61" bestFit="1" customWidth="1"/>
    <col min="10726" max="10726" width="9.5703125" style="61" bestFit="1" customWidth="1"/>
    <col min="10727" max="10727" width="18.5703125" style="61" customWidth="1"/>
    <col min="10728" max="10729" width="9.140625" style="61"/>
    <col min="10730" max="10732" width="12.140625" style="61" bestFit="1" customWidth="1"/>
    <col min="10733" max="10741" width="10.28515625" style="61" bestFit="1" customWidth="1"/>
    <col min="10742" max="10742" width="11.28515625" style="61" bestFit="1" customWidth="1"/>
    <col min="10743" max="10743" width="9.140625" style="61"/>
    <col min="10744" max="10744" width="19" style="61" customWidth="1"/>
    <col min="10745" max="10761" width="9.140625" style="61"/>
    <col min="10762" max="10772" width="11.28515625" style="61" bestFit="1" customWidth="1"/>
    <col min="10773" max="10773" width="10.28515625" style="61" bestFit="1" customWidth="1"/>
    <col min="10774" max="10774" width="12.85546875" style="61" bestFit="1" customWidth="1"/>
    <col min="10775" max="10897" width="9.140625" style="61"/>
    <col min="10898" max="10898" width="11" style="61" bestFit="1" customWidth="1"/>
    <col min="10899" max="10899" width="28.140625" style="61" bestFit="1" customWidth="1"/>
    <col min="10900" max="10900" width="14" style="61" bestFit="1" customWidth="1"/>
    <col min="10901" max="10901" width="9.140625" style="61"/>
    <col min="10902" max="10902" width="13.85546875" style="61" bestFit="1" customWidth="1"/>
    <col min="10903" max="10903" width="9.140625" style="61"/>
    <col min="10904" max="10904" width="14" style="61" customWidth="1"/>
    <col min="10905" max="10905" width="9.140625" style="61"/>
    <col min="10906" max="10906" width="12.85546875" style="61" bestFit="1" customWidth="1"/>
    <col min="10907" max="10907" width="10" style="61" customWidth="1"/>
    <col min="10908" max="10908" width="14" style="61" bestFit="1" customWidth="1"/>
    <col min="10909" max="10909" width="9.85546875" style="61" bestFit="1" customWidth="1"/>
    <col min="10910" max="10910" width="13.5703125" style="61" bestFit="1" customWidth="1"/>
    <col min="10911" max="10911" width="9.85546875" style="61" bestFit="1" customWidth="1"/>
    <col min="10912" max="10912" width="12.85546875" style="61" bestFit="1" customWidth="1"/>
    <col min="10913" max="10924" width="10.5703125" style="61" customWidth="1"/>
    <col min="10925" max="10925" width="11.140625" style="61" bestFit="1" customWidth="1"/>
    <col min="10926" max="10926" width="2.7109375" style="61" customWidth="1"/>
    <col min="10927" max="10927" width="9.85546875" style="61" bestFit="1" customWidth="1"/>
    <col min="10928" max="10929" width="9.140625" style="61"/>
    <col min="10930" max="10930" width="24" style="61" customWidth="1"/>
    <col min="10931" max="10933" width="9.140625" style="61"/>
    <col min="10934" max="10934" width="9" style="61" bestFit="1" customWidth="1"/>
    <col min="10935" max="10944" width="9.28515625" style="61" bestFit="1" customWidth="1"/>
    <col min="10945" max="10945" width="10.28515625" style="61" bestFit="1" customWidth="1"/>
    <col min="10946" max="10946" width="11.28515625" style="61" bestFit="1" customWidth="1"/>
    <col min="10947" max="10947" width="11.7109375" style="61" customWidth="1"/>
    <col min="10948" max="10948" width="9.140625" style="61"/>
    <col min="10949" max="10949" width="22.28515625" style="61" customWidth="1"/>
    <col min="10950" max="10950" width="9.140625" style="61"/>
    <col min="10951" max="10951" width="9.28515625" style="61" bestFit="1" customWidth="1"/>
    <col min="10952" max="10952" width="9.42578125" style="61" bestFit="1" customWidth="1"/>
    <col min="10953" max="10953" width="9.28515625" style="61" bestFit="1" customWidth="1"/>
    <col min="10954" max="10954" width="10.28515625" style="61" bestFit="1" customWidth="1"/>
    <col min="10955" max="10956" width="9.28515625" style="61" bestFit="1" customWidth="1"/>
    <col min="10957" max="10958" width="10.28515625" style="61" bestFit="1" customWidth="1"/>
    <col min="10959" max="10963" width="9.28515625" style="61" bestFit="1" customWidth="1"/>
    <col min="10964" max="10964" width="10.42578125" style="61" bestFit="1" customWidth="1"/>
    <col min="10965" max="10965" width="9.140625" style="61"/>
    <col min="10966" max="10966" width="24.85546875" style="61" customWidth="1"/>
    <col min="10967" max="10967" width="9.140625" style="61"/>
    <col min="10968" max="10980" width="9.28515625" style="61" bestFit="1" customWidth="1"/>
    <col min="10981" max="10981" width="10.28515625" style="61" bestFit="1" customWidth="1"/>
    <col min="10982" max="10982" width="9.5703125" style="61" bestFit="1" customWidth="1"/>
    <col min="10983" max="10983" width="18.5703125" style="61" customWidth="1"/>
    <col min="10984" max="10985" width="9.140625" style="61"/>
    <col min="10986" max="10988" width="12.140625" style="61" bestFit="1" customWidth="1"/>
    <col min="10989" max="10997" width="10.28515625" style="61" bestFit="1" customWidth="1"/>
    <col min="10998" max="10998" width="11.28515625" style="61" bestFit="1" customWidth="1"/>
    <col min="10999" max="10999" width="9.140625" style="61"/>
    <col min="11000" max="11000" width="19" style="61" customWidth="1"/>
    <col min="11001" max="11017" width="9.140625" style="61"/>
    <col min="11018" max="11028" width="11.28515625" style="61" bestFit="1" customWidth="1"/>
    <col min="11029" max="11029" width="10.28515625" style="61" bestFit="1" customWidth="1"/>
    <col min="11030" max="11030" width="12.85546875" style="61" bestFit="1" customWidth="1"/>
    <col min="11031" max="11153" width="9.140625" style="61"/>
    <col min="11154" max="11154" width="11" style="61" bestFit="1" customWidth="1"/>
    <col min="11155" max="11155" width="28.140625" style="61" bestFit="1" customWidth="1"/>
    <col min="11156" max="11156" width="14" style="61" bestFit="1" customWidth="1"/>
    <col min="11157" max="11157" width="9.140625" style="61"/>
    <col min="11158" max="11158" width="13.85546875" style="61" bestFit="1" customWidth="1"/>
    <col min="11159" max="11159" width="9.140625" style="61"/>
    <col min="11160" max="11160" width="14" style="61" customWidth="1"/>
    <col min="11161" max="11161" width="9.140625" style="61"/>
    <col min="11162" max="11162" width="12.85546875" style="61" bestFit="1" customWidth="1"/>
    <col min="11163" max="11163" width="10" style="61" customWidth="1"/>
    <col min="11164" max="11164" width="14" style="61" bestFit="1" customWidth="1"/>
    <col min="11165" max="11165" width="9.85546875" style="61" bestFit="1" customWidth="1"/>
    <col min="11166" max="11166" width="13.5703125" style="61" bestFit="1" customWidth="1"/>
    <col min="11167" max="11167" width="9.85546875" style="61" bestFit="1" customWidth="1"/>
    <col min="11168" max="11168" width="12.85546875" style="61" bestFit="1" customWidth="1"/>
    <col min="11169" max="11180" width="10.5703125" style="61" customWidth="1"/>
    <col min="11181" max="11181" width="11.140625" style="61" bestFit="1" customWidth="1"/>
    <col min="11182" max="11182" width="2.7109375" style="61" customWidth="1"/>
    <col min="11183" max="11183" width="9.85546875" style="61" bestFit="1" customWidth="1"/>
    <col min="11184" max="11185" width="9.140625" style="61"/>
    <col min="11186" max="11186" width="24" style="61" customWidth="1"/>
    <col min="11187" max="11189" width="9.140625" style="61"/>
    <col min="11190" max="11190" width="9" style="61" bestFit="1" customWidth="1"/>
    <col min="11191" max="11200" width="9.28515625" style="61" bestFit="1" customWidth="1"/>
    <col min="11201" max="11201" width="10.28515625" style="61" bestFit="1" customWidth="1"/>
    <col min="11202" max="11202" width="11.28515625" style="61" bestFit="1" customWidth="1"/>
    <col min="11203" max="11203" width="11.7109375" style="61" customWidth="1"/>
    <col min="11204" max="11204" width="9.140625" style="61"/>
    <col min="11205" max="11205" width="22.28515625" style="61" customWidth="1"/>
    <col min="11206" max="11206" width="9.140625" style="61"/>
    <col min="11207" max="11207" width="9.28515625" style="61" bestFit="1" customWidth="1"/>
    <col min="11208" max="11208" width="9.42578125" style="61" bestFit="1" customWidth="1"/>
    <col min="11209" max="11209" width="9.28515625" style="61" bestFit="1" customWidth="1"/>
    <col min="11210" max="11210" width="10.28515625" style="61" bestFit="1" customWidth="1"/>
    <col min="11211" max="11212" width="9.28515625" style="61" bestFit="1" customWidth="1"/>
    <col min="11213" max="11214" width="10.28515625" style="61" bestFit="1" customWidth="1"/>
    <col min="11215" max="11219" width="9.28515625" style="61" bestFit="1" customWidth="1"/>
    <col min="11220" max="11220" width="10.42578125" style="61" bestFit="1" customWidth="1"/>
    <col min="11221" max="11221" width="9.140625" style="61"/>
    <col min="11222" max="11222" width="24.85546875" style="61" customWidth="1"/>
    <col min="11223" max="11223" width="9.140625" style="61"/>
    <col min="11224" max="11236" width="9.28515625" style="61" bestFit="1" customWidth="1"/>
    <col min="11237" max="11237" width="10.28515625" style="61" bestFit="1" customWidth="1"/>
    <col min="11238" max="11238" width="9.5703125" style="61" bestFit="1" customWidth="1"/>
    <col min="11239" max="11239" width="18.5703125" style="61" customWidth="1"/>
    <col min="11240" max="11241" width="9.140625" style="61"/>
    <col min="11242" max="11244" width="12.140625" style="61" bestFit="1" customWidth="1"/>
    <col min="11245" max="11253" width="10.28515625" style="61" bestFit="1" customWidth="1"/>
    <col min="11254" max="11254" width="11.28515625" style="61" bestFit="1" customWidth="1"/>
    <col min="11255" max="11255" width="9.140625" style="61"/>
    <col min="11256" max="11256" width="19" style="61" customWidth="1"/>
    <col min="11257" max="11273" width="9.140625" style="61"/>
    <col min="11274" max="11284" width="11.28515625" style="61" bestFit="1" customWidth="1"/>
    <col min="11285" max="11285" width="10.28515625" style="61" bestFit="1" customWidth="1"/>
    <col min="11286" max="11286" width="12.85546875" style="61" bestFit="1" customWidth="1"/>
    <col min="11287" max="11409" width="9.140625" style="61"/>
    <col min="11410" max="11410" width="11" style="61" bestFit="1" customWidth="1"/>
    <col min="11411" max="11411" width="28.140625" style="61" bestFit="1" customWidth="1"/>
    <col min="11412" max="11412" width="14" style="61" bestFit="1" customWidth="1"/>
    <col min="11413" max="11413" width="9.140625" style="61"/>
    <col min="11414" max="11414" width="13.85546875" style="61" bestFit="1" customWidth="1"/>
    <col min="11415" max="11415" width="9.140625" style="61"/>
    <col min="11416" max="11416" width="14" style="61" customWidth="1"/>
    <col min="11417" max="11417" width="9.140625" style="61"/>
    <col min="11418" max="11418" width="12.85546875" style="61" bestFit="1" customWidth="1"/>
    <col min="11419" max="11419" width="10" style="61" customWidth="1"/>
    <col min="11420" max="11420" width="14" style="61" bestFit="1" customWidth="1"/>
    <col min="11421" max="11421" width="9.85546875" style="61" bestFit="1" customWidth="1"/>
    <col min="11422" max="11422" width="13.5703125" style="61" bestFit="1" customWidth="1"/>
    <col min="11423" max="11423" width="9.85546875" style="61" bestFit="1" customWidth="1"/>
    <col min="11424" max="11424" width="12.85546875" style="61" bestFit="1" customWidth="1"/>
    <col min="11425" max="11436" width="10.5703125" style="61" customWidth="1"/>
    <col min="11437" max="11437" width="11.140625" style="61" bestFit="1" customWidth="1"/>
    <col min="11438" max="11438" width="2.7109375" style="61" customWidth="1"/>
    <col min="11439" max="11439" width="9.85546875" style="61" bestFit="1" customWidth="1"/>
    <col min="11440" max="11441" width="9.140625" style="61"/>
    <col min="11442" max="11442" width="24" style="61" customWidth="1"/>
    <col min="11443" max="11445" width="9.140625" style="61"/>
    <col min="11446" max="11446" width="9" style="61" bestFit="1" customWidth="1"/>
    <col min="11447" max="11456" width="9.28515625" style="61" bestFit="1" customWidth="1"/>
    <col min="11457" max="11457" width="10.28515625" style="61" bestFit="1" customWidth="1"/>
    <col min="11458" max="11458" width="11.28515625" style="61" bestFit="1" customWidth="1"/>
    <col min="11459" max="11459" width="11.7109375" style="61" customWidth="1"/>
    <col min="11460" max="11460" width="9.140625" style="61"/>
    <col min="11461" max="11461" width="22.28515625" style="61" customWidth="1"/>
    <col min="11462" max="11462" width="9.140625" style="61"/>
    <col min="11463" max="11463" width="9.28515625" style="61" bestFit="1" customWidth="1"/>
    <col min="11464" max="11464" width="9.42578125" style="61" bestFit="1" customWidth="1"/>
    <col min="11465" max="11465" width="9.28515625" style="61" bestFit="1" customWidth="1"/>
    <col min="11466" max="11466" width="10.28515625" style="61" bestFit="1" customWidth="1"/>
    <col min="11467" max="11468" width="9.28515625" style="61" bestFit="1" customWidth="1"/>
    <col min="11469" max="11470" width="10.28515625" style="61" bestFit="1" customWidth="1"/>
    <col min="11471" max="11475" width="9.28515625" style="61" bestFit="1" customWidth="1"/>
    <col min="11476" max="11476" width="10.42578125" style="61" bestFit="1" customWidth="1"/>
    <col min="11477" max="11477" width="9.140625" style="61"/>
    <col min="11478" max="11478" width="24.85546875" style="61" customWidth="1"/>
    <col min="11479" max="11479" width="9.140625" style="61"/>
    <col min="11480" max="11492" width="9.28515625" style="61" bestFit="1" customWidth="1"/>
    <col min="11493" max="11493" width="10.28515625" style="61" bestFit="1" customWidth="1"/>
    <col min="11494" max="11494" width="9.5703125" style="61" bestFit="1" customWidth="1"/>
    <col min="11495" max="11495" width="18.5703125" style="61" customWidth="1"/>
    <col min="11496" max="11497" width="9.140625" style="61"/>
    <col min="11498" max="11500" width="12.140625" style="61" bestFit="1" customWidth="1"/>
    <col min="11501" max="11509" width="10.28515625" style="61" bestFit="1" customWidth="1"/>
    <col min="11510" max="11510" width="11.28515625" style="61" bestFit="1" customWidth="1"/>
    <col min="11511" max="11511" width="9.140625" style="61"/>
    <col min="11512" max="11512" width="19" style="61" customWidth="1"/>
    <col min="11513" max="11529" width="9.140625" style="61"/>
    <col min="11530" max="11540" width="11.28515625" style="61" bestFit="1" customWidth="1"/>
    <col min="11541" max="11541" width="10.28515625" style="61" bestFit="1" customWidth="1"/>
    <col min="11542" max="11542" width="12.85546875" style="61" bestFit="1" customWidth="1"/>
    <col min="11543" max="11665" width="9.140625" style="61"/>
    <col min="11666" max="11666" width="11" style="61" bestFit="1" customWidth="1"/>
    <col min="11667" max="11667" width="28.140625" style="61" bestFit="1" customWidth="1"/>
    <col min="11668" max="11668" width="14" style="61" bestFit="1" customWidth="1"/>
    <col min="11669" max="11669" width="9.140625" style="61"/>
    <col min="11670" max="11670" width="13.85546875" style="61" bestFit="1" customWidth="1"/>
    <col min="11671" max="11671" width="9.140625" style="61"/>
    <col min="11672" max="11672" width="14" style="61" customWidth="1"/>
    <col min="11673" max="11673" width="9.140625" style="61"/>
    <col min="11674" max="11674" width="12.85546875" style="61" bestFit="1" customWidth="1"/>
    <col min="11675" max="11675" width="10" style="61" customWidth="1"/>
    <col min="11676" max="11676" width="14" style="61" bestFit="1" customWidth="1"/>
    <col min="11677" max="11677" width="9.85546875" style="61" bestFit="1" customWidth="1"/>
    <col min="11678" max="11678" width="13.5703125" style="61" bestFit="1" customWidth="1"/>
    <col min="11679" max="11679" width="9.85546875" style="61" bestFit="1" customWidth="1"/>
    <col min="11680" max="11680" width="12.85546875" style="61" bestFit="1" customWidth="1"/>
    <col min="11681" max="11692" width="10.5703125" style="61" customWidth="1"/>
    <col min="11693" max="11693" width="11.140625" style="61" bestFit="1" customWidth="1"/>
    <col min="11694" max="11694" width="2.7109375" style="61" customWidth="1"/>
    <col min="11695" max="11695" width="9.85546875" style="61" bestFit="1" customWidth="1"/>
    <col min="11696" max="11697" width="9.140625" style="61"/>
    <col min="11698" max="11698" width="24" style="61" customWidth="1"/>
    <col min="11699" max="11701" width="9.140625" style="61"/>
    <col min="11702" max="11702" width="9" style="61" bestFit="1" customWidth="1"/>
    <col min="11703" max="11712" width="9.28515625" style="61" bestFit="1" customWidth="1"/>
    <col min="11713" max="11713" width="10.28515625" style="61" bestFit="1" customWidth="1"/>
    <col min="11714" max="11714" width="11.28515625" style="61" bestFit="1" customWidth="1"/>
    <col min="11715" max="11715" width="11.7109375" style="61" customWidth="1"/>
    <col min="11716" max="11716" width="9.140625" style="61"/>
    <col min="11717" max="11717" width="22.28515625" style="61" customWidth="1"/>
    <col min="11718" max="11718" width="9.140625" style="61"/>
    <col min="11719" max="11719" width="9.28515625" style="61" bestFit="1" customWidth="1"/>
    <col min="11720" max="11720" width="9.42578125" style="61" bestFit="1" customWidth="1"/>
    <col min="11721" max="11721" width="9.28515625" style="61" bestFit="1" customWidth="1"/>
    <col min="11722" max="11722" width="10.28515625" style="61" bestFit="1" customWidth="1"/>
    <col min="11723" max="11724" width="9.28515625" style="61" bestFit="1" customWidth="1"/>
    <col min="11725" max="11726" width="10.28515625" style="61" bestFit="1" customWidth="1"/>
    <col min="11727" max="11731" width="9.28515625" style="61" bestFit="1" customWidth="1"/>
    <col min="11732" max="11732" width="10.42578125" style="61" bestFit="1" customWidth="1"/>
    <col min="11733" max="11733" width="9.140625" style="61"/>
    <col min="11734" max="11734" width="24.85546875" style="61" customWidth="1"/>
    <col min="11735" max="11735" width="9.140625" style="61"/>
    <col min="11736" max="11748" width="9.28515625" style="61" bestFit="1" customWidth="1"/>
    <col min="11749" max="11749" width="10.28515625" style="61" bestFit="1" customWidth="1"/>
    <col min="11750" max="11750" width="9.5703125" style="61" bestFit="1" customWidth="1"/>
    <col min="11751" max="11751" width="18.5703125" style="61" customWidth="1"/>
    <col min="11752" max="11753" width="9.140625" style="61"/>
    <col min="11754" max="11756" width="12.140625" style="61" bestFit="1" customWidth="1"/>
    <col min="11757" max="11765" width="10.28515625" style="61" bestFit="1" customWidth="1"/>
    <col min="11766" max="11766" width="11.28515625" style="61" bestFit="1" customWidth="1"/>
    <col min="11767" max="11767" width="9.140625" style="61"/>
    <col min="11768" max="11768" width="19" style="61" customWidth="1"/>
    <col min="11769" max="11785" width="9.140625" style="61"/>
    <col min="11786" max="11796" width="11.28515625" style="61" bestFit="1" customWidth="1"/>
    <col min="11797" max="11797" width="10.28515625" style="61" bestFit="1" customWidth="1"/>
    <col min="11798" max="11798" width="12.85546875" style="61" bestFit="1" customWidth="1"/>
    <col min="11799" max="11921" width="9.140625" style="61"/>
    <col min="11922" max="11922" width="11" style="61" bestFit="1" customWidth="1"/>
    <col min="11923" max="11923" width="28.140625" style="61" bestFit="1" customWidth="1"/>
    <col min="11924" max="11924" width="14" style="61" bestFit="1" customWidth="1"/>
    <col min="11925" max="11925" width="9.140625" style="61"/>
    <col min="11926" max="11926" width="13.85546875" style="61" bestFit="1" customWidth="1"/>
    <col min="11927" max="11927" width="9.140625" style="61"/>
    <col min="11928" max="11928" width="14" style="61" customWidth="1"/>
    <col min="11929" max="11929" width="9.140625" style="61"/>
    <col min="11930" max="11930" width="12.85546875" style="61" bestFit="1" customWidth="1"/>
    <col min="11931" max="11931" width="10" style="61" customWidth="1"/>
    <col min="11932" max="11932" width="14" style="61" bestFit="1" customWidth="1"/>
    <col min="11933" max="11933" width="9.85546875" style="61" bestFit="1" customWidth="1"/>
    <col min="11934" max="11934" width="13.5703125" style="61" bestFit="1" customWidth="1"/>
    <col min="11935" max="11935" width="9.85546875" style="61" bestFit="1" customWidth="1"/>
    <col min="11936" max="11936" width="12.85546875" style="61" bestFit="1" customWidth="1"/>
    <col min="11937" max="11948" width="10.5703125" style="61" customWidth="1"/>
    <col min="11949" max="11949" width="11.140625" style="61" bestFit="1" customWidth="1"/>
    <col min="11950" max="11950" width="2.7109375" style="61" customWidth="1"/>
    <col min="11951" max="11951" width="9.85546875" style="61" bestFit="1" customWidth="1"/>
    <col min="11952" max="11953" width="9.140625" style="61"/>
    <col min="11954" max="11954" width="24" style="61" customWidth="1"/>
    <col min="11955" max="11957" width="9.140625" style="61"/>
    <col min="11958" max="11958" width="9" style="61" bestFit="1" customWidth="1"/>
    <col min="11959" max="11968" width="9.28515625" style="61" bestFit="1" customWidth="1"/>
    <col min="11969" max="11969" width="10.28515625" style="61" bestFit="1" customWidth="1"/>
    <col min="11970" max="11970" width="11.28515625" style="61" bestFit="1" customWidth="1"/>
    <col min="11971" max="11971" width="11.7109375" style="61" customWidth="1"/>
    <col min="11972" max="11972" width="9.140625" style="61"/>
    <col min="11973" max="11973" width="22.28515625" style="61" customWidth="1"/>
    <col min="11974" max="11974" width="9.140625" style="61"/>
    <col min="11975" max="11975" width="9.28515625" style="61" bestFit="1" customWidth="1"/>
    <col min="11976" max="11976" width="9.42578125" style="61" bestFit="1" customWidth="1"/>
    <col min="11977" max="11977" width="9.28515625" style="61" bestFit="1" customWidth="1"/>
    <col min="11978" max="11978" width="10.28515625" style="61" bestFit="1" customWidth="1"/>
    <col min="11979" max="11980" width="9.28515625" style="61" bestFit="1" customWidth="1"/>
    <col min="11981" max="11982" width="10.28515625" style="61" bestFit="1" customWidth="1"/>
    <col min="11983" max="11987" width="9.28515625" style="61" bestFit="1" customWidth="1"/>
    <col min="11988" max="11988" width="10.42578125" style="61" bestFit="1" customWidth="1"/>
    <col min="11989" max="11989" width="9.140625" style="61"/>
    <col min="11990" max="11990" width="24.85546875" style="61" customWidth="1"/>
    <col min="11991" max="11991" width="9.140625" style="61"/>
    <col min="11992" max="12004" width="9.28515625" style="61" bestFit="1" customWidth="1"/>
    <col min="12005" max="12005" width="10.28515625" style="61" bestFit="1" customWidth="1"/>
    <col min="12006" max="12006" width="9.5703125" style="61" bestFit="1" customWidth="1"/>
    <col min="12007" max="12007" width="18.5703125" style="61" customWidth="1"/>
    <col min="12008" max="12009" width="9.140625" style="61"/>
    <col min="12010" max="12012" width="12.140625" style="61" bestFit="1" customWidth="1"/>
    <col min="12013" max="12021" width="10.28515625" style="61" bestFit="1" customWidth="1"/>
    <col min="12022" max="12022" width="11.28515625" style="61" bestFit="1" customWidth="1"/>
    <col min="12023" max="12023" width="9.140625" style="61"/>
    <col min="12024" max="12024" width="19" style="61" customWidth="1"/>
    <col min="12025" max="12041" width="9.140625" style="61"/>
    <col min="12042" max="12052" width="11.28515625" style="61" bestFit="1" customWidth="1"/>
    <col min="12053" max="12053" width="10.28515625" style="61" bestFit="1" customWidth="1"/>
    <col min="12054" max="12054" width="12.85546875" style="61" bestFit="1" customWidth="1"/>
    <col min="12055" max="12177" width="9.140625" style="61"/>
    <col min="12178" max="12178" width="11" style="61" bestFit="1" customWidth="1"/>
    <col min="12179" max="12179" width="28.140625" style="61" bestFit="1" customWidth="1"/>
    <col min="12180" max="12180" width="14" style="61" bestFit="1" customWidth="1"/>
    <col min="12181" max="12181" width="9.140625" style="61"/>
    <col min="12182" max="12182" width="13.85546875" style="61" bestFit="1" customWidth="1"/>
    <col min="12183" max="12183" width="9.140625" style="61"/>
    <col min="12184" max="12184" width="14" style="61" customWidth="1"/>
    <col min="12185" max="12185" width="9.140625" style="61"/>
    <col min="12186" max="12186" width="12.85546875" style="61" bestFit="1" customWidth="1"/>
    <col min="12187" max="12187" width="10" style="61" customWidth="1"/>
    <col min="12188" max="12188" width="14" style="61" bestFit="1" customWidth="1"/>
    <col min="12189" max="12189" width="9.85546875" style="61" bestFit="1" customWidth="1"/>
    <col min="12190" max="12190" width="13.5703125" style="61" bestFit="1" customWidth="1"/>
    <col min="12191" max="12191" width="9.85546875" style="61" bestFit="1" customWidth="1"/>
    <col min="12192" max="12192" width="12.85546875" style="61" bestFit="1" customWidth="1"/>
    <col min="12193" max="12204" width="10.5703125" style="61" customWidth="1"/>
    <col min="12205" max="12205" width="11.140625" style="61" bestFit="1" customWidth="1"/>
    <col min="12206" max="12206" width="2.7109375" style="61" customWidth="1"/>
    <col min="12207" max="12207" width="9.85546875" style="61" bestFit="1" customWidth="1"/>
    <col min="12208" max="12209" width="9.140625" style="61"/>
    <col min="12210" max="12210" width="24" style="61" customWidth="1"/>
    <col min="12211" max="12213" width="9.140625" style="61"/>
    <col min="12214" max="12214" width="9" style="61" bestFit="1" customWidth="1"/>
    <col min="12215" max="12224" width="9.28515625" style="61" bestFit="1" customWidth="1"/>
    <col min="12225" max="12225" width="10.28515625" style="61" bestFit="1" customWidth="1"/>
    <col min="12226" max="12226" width="11.28515625" style="61" bestFit="1" customWidth="1"/>
    <col min="12227" max="12227" width="11.7109375" style="61" customWidth="1"/>
    <col min="12228" max="12228" width="9.140625" style="61"/>
    <col min="12229" max="12229" width="22.28515625" style="61" customWidth="1"/>
    <col min="12230" max="12230" width="9.140625" style="61"/>
    <col min="12231" max="12231" width="9.28515625" style="61" bestFit="1" customWidth="1"/>
    <col min="12232" max="12232" width="9.42578125" style="61" bestFit="1" customWidth="1"/>
    <col min="12233" max="12233" width="9.28515625" style="61" bestFit="1" customWidth="1"/>
    <col min="12234" max="12234" width="10.28515625" style="61" bestFit="1" customWidth="1"/>
    <col min="12235" max="12236" width="9.28515625" style="61" bestFit="1" customWidth="1"/>
    <col min="12237" max="12238" width="10.28515625" style="61" bestFit="1" customWidth="1"/>
    <col min="12239" max="12243" width="9.28515625" style="61" bestFit="1" customWidth="1"/>
    <col min="12244" max="12244" width="10.42578125" style="61" bestFit="1" customWidth="1"/>
    <col min="12245" max="12245" width="9.140625" style="61"/>
    <col min="12246" max="12246" width="24.85546875" style="61" customWidth="1"/>
    <col min="12247" max="12247" width="9.140625" style="61"/>
    <col min="12248" max="12260" width="9.28515625" style="61" bestFit="1" customWidth="1"/>
    <col min="12261" max="12261" width="10.28515625" style="61" bestFit="1" customWidth="1"/>
    <col min="12262" max="12262" width="9.5703125" style="61" bestFit="1" customWidth="1"/>
    <col min="12263" max="12263" width="18.5703125" style="61" customWidth="1"/>
    <col min="12264" max="12265" width="9.140625" style="61"/>
    <col min="12266" max="12268" width="12.140625" style="61" bestFit="1" customWidth="1"/>
    <col min="12269" max="12277" width="10.28515625" style="61" bestFit="1" customWidth="1"/>
    <col min="12278" max="12278" width="11.28515625" style="61" bestFit="1" customWidth="1"/>
    <col min="12279" max="12279" width="9.140625" style="61"/>
    <col min="12280" max="12280" width="19" style="61" customWidth="1"/>
    <col min="12281" max="12297" width="9.140625" style="61"/>
    <col min="12298" max="12308" width="11.28515625" style="61" bestFit="1" customWidth="1"/>
    <col min="12309" max="12309" width="10.28515625" style="61" bestFit="1" customWidth="1"/>
    <col min="12310" max="12310" width="12.85546875" style="61" bestFit="1" customWidth="1"/>
    <col min="12311" max="12433" width="9.140625" style="61"/>
    <col min="12434" max="12434" width="11" style="61" bestFit="1" customWidth="1"/>
    <col min="12435" max="12435" width="28.140625" style="61" bestFit="1" customWidth="1"/>
    <col min="12436" max="12436" width="14" style="61" bestFit="1" customWidth="1"/>
    <col min="12437" max="12437" width="9.140625" style="61"/>
    <col min="12438" max="12438" width="13.85546875" style="61" bestFit="1" customWidth="1"/>
    <col min="12439" max="12439" width="9.140625" style="61"/>
    <col min="12440" max="12440" width="14" style="61" customWidth="1"/>
    <col min="12441" max="12441" width="9.140625" style="61"/>
    <col min="12442" max="12442" width="12.85546875" style="61" bestFit="1" customWidth="1"/>
    <col min="12443" max="12443" width="10" style="61" customWidth="1"/>
    <col min="12444" max="12444" width="14" style="61" bestFit="1" customWidth="1"/>
    <col min="12445" max="12445" width="9.85546875" style="61" bestFit="1" customWidth="1"/>
    <col min="12446" max="12446" width="13.5703125" style="61" bestFit="1" customWidth="1"/>
    <col min="12447" max="12447" width="9.85546875" style="61" bestFit="1" customWidth="1"/>
    <col min="12448" max="12448" width="12.85546875" style="61" bestFit="1" customWidth="1"/>
    <col min="12449" max="12460" width="10.5703125" style="61" customWidth="1"/>
    <col min="12461" max="12461" width="11.140625" style="61" bestFit="1" customWidth="1"/>
    <col min="12462" max="12462" width="2.7109375" style="61" customWidth="1"/>
    <col min="12463" max="12463" width="9.85546875" style="61" bestFit="1" customWidth="1"/>
    <col min="12464" max="12465" width="9.140625" style="61"/>
    <col min="12466" max="12466" width="24" style="61" customWidth="1"/>
    <col min="12467" max="12469" width="9.140625" style="61"/>
    <col min="12470" max="12470" width="9" style="61" bestFit="1" customWidth="1"/>
    <col min="12471" max="12480" width="9.28515625" style="61" bestFit="1" customWidth="1"/>
    <col min="12481" max="12481" width="10.28515625" style="61" bestFit="1" customWidth="1"/>
    <col min="12482" max="12482" width="11.28515625" style="61" bestFit="1" customWidth="1"/>
    <col min="12483" max="12483" width="11.7109375" style="61" customWidth="1"/>
    <col min="12484" max="12484" width="9.140625" style="61"/>
    <col min="12485" max="12485" width="22.28515625" style="61" customWidth="1"/>
    <col min="12486" max="12486" width="9.140625" style="61"/>
    <col min="12487" max="12487" width="9.28515625" style="61" bestFit="1" customWidth="1"/>
    <col min="12488" max="12488" width="9.42578125" style="61" bestFit="1" customWidth="1"/>
    <col min="12489" max="12489" width="9.28515625" style="61" bestFit="1" customWidth="1"/>
    <col min="12490" max="12490" width="10.28515625" style="61" bestFit="1" customWidth="1"/>
    <col min="12491" max="12492" width="9.28515625" style="61" bestFit="1" customWidth="1"/>
    <col min="12493" max="12494" width="10.28515625" style="61" bestFit="1" customWidth="1"/>
    <col min="12495" max="12499" width="9.28515625" style="61" bestFit="1" customWidth="1"/>
    <col min="12500" max="12500" width="10.42578125" style="61" bestFit="1" customWidth="1"/>
    <col min="12501" max="12501" width="9.140625" style="61"/>
    <col min="12502" max="12502" width="24.85546875" style="61" customWidth="1"/>
    <col min="12503" max="12503" width="9.140625" style="61"/>
    <col min="12504" max="12516" width="9.28515625" style="61" bestFit="1" customWidth="1"/>
    <col min="12517" max="12517" width="10.28515625" style="61" bestFit="1" customWidth="1"/>
    <col min="12518" max="12518" width="9.5703125" style="61" bestFit="1" customWidth="1"/>
    <col min="12519" max="12519" width="18.5703125" style="61" customWidth="1"/>
    <col min="12520" max="12521" width="9.140625" style="61"/>
    <col min="12522" max="12524" width="12.140625" style="61" bestFit="1" customWidth="1"/>
    <col min="12525" max="12533" width="10.28515625" style="61" bestFit="1" customWidth="1"/>
    <col min="12534" max="12534" width="11.28515625" style="61" bestFit="1" customWidth="1"/>
    <col min="12535" max="12535" width="9.140625" style="61"/>
    <col min="12536" max="12536" width="19" style="61" customWidth="1"/>
    <col min="12537" max="12553" width="9.140625" style="61"/>
    <col min="12554" max="12564" width="11.28515625" style="61" bestFit="1" customWidth="1"/>
    <col min="12565" max="12565" width="10.28515625" style="61" bestFit="1" customWidth="1"/>
    <col min="12566" max="12566" width="12.85546875" style="61" bestFit="1" customWidth="1"/>
    <col min="12567" max="12689" width="9.140625" style="61"/>
    <col min="12690" max="12690" width="11" style="61" bestFit="1" customWidth="1"/>
    <col min="12691" max="12691" width="28.140625" style="61" bestFit="1" customWidth="1"/>
    <col min="12692" max="12692" width="14" style="61" bestFit="1" customWidth="1"/>
    <col min="12693" max="12693" width="9.140625" style="61"/>
    <col min="12694" max="12694" width="13.85546875" style="61" bestFit="1" customWidth="1"/>
    <col min="12695" max="12695" width="9.140625" style="61"/>
    <col min="12696" max="12696" width="14" style="61" customWidth="1"/>
    <col min="12697" max="12697" width="9.140625" style="61"/>
    <col min="12698" max="12698" width="12.85546875" style="61" bestFit="1" customWidth="1"/>
    <col min="12699" max="12699" width="10" style="61" customWidth="1"/>
    <col min="12700" max="12700" width="14" style="61" bestFit="1" customWidth="1"/>
    <col min="12701" max="12701" width="9.85546875" style="61" bestFit="1" customWidth="1"/>
    <col min="12702" max="12702" width="13.5703125" style="61" bestFit="1" customWidth="1"/>
    <col min="12703" max="12703" width="9.85546875" style="61" bestFit="1" customWidth="1"/>
    <col min="12704" max="12704" width="12.85546875" style="61" bestFit="1" customWidth="1"/>
    <col min="12705" max="12716" width="10.5703125" style="61" customWidth="1"/>
    <col min="12717" max="12717" width="11.140625" style="61" bestFit="1" customWidth="1"/>
    <col min="12718" max="12718" width="2.7109375" style="61" customWidth="1"/>
    <col min="12719" max="12719" width="9.85546875" style="61" bestFit="1" customWidth="1"/>
    <col min="12720" max="12721" width="9.140625" style="61"/>
    <col min="12722" max="12722" width="24" style="61" customWidth="1"/>
    <col min="12723" max="12725" width="9.140625" style="61"/>
    <col min="12726" max="12726" width="9" style="61" bestFit="1" customWidth="1"/>
    <col min="12727" max="12736" width="9.28515625" style="61" bestFit="1" customWidth="1"/>
    <col min="12737" max="12737" width="10.28515625" style="61" bestFit="1" customWidth="1"/>
    <col min="12738" max="12738" width="11.28515625" style="61" bestFit="1" customWidth="1"/>
    <col min="12739" max="12739" width="11.7109375" style="61" customWidth="1"/>
    <col min="12740" max="12740" width="9.140625" style="61"/>
    <col min="12741" max="12741" width="22.28515625" style="61" customWidth="1"/>
    <col min="12742" max="12742" width="9.140625" style="61"/>
    <col min="12743" max="12743" width="9.28515625" style="61" bestFit="1" customWidth="1"/>
    <col min="12744" max="12744" width="9.42578125" style="61" bestFit="1" customWidth="1"/>
    <col min="12745" max="12745" width="9.28515625" style="61" bestFit="1" customWidth="1"/>
    <col min="12746" max="12746" width="10.28515625" style="61" bestFit="1" customWidth="1"/>
    <col min="12747" max="12748" width="9.28515625" style="61" bestFit="1" customWidth="1"/>
    <col min="12749" max="12750" width="10.28515625" style="61" bestFit="1" customWidth="1"/>
    <col min="12751" max="12755" width="9.28515625" style="61" bestFit="1" customWidth="1"/>
    <col min="12756" max="12756" width="10.42578125" style="61" bestFit="1" customWidth="1"/>
    <col min="12757" max="12757" width="9.140625" style="61"/>
    <col min="12758" max="12758" width="24.85546875" style="61" customWidth="1"/>
    <col min="12759" max="12759" width="9.140625" style="61"/>
    <col min="12760" max="12772" width="9.28515625" style="61" bestFit="1" customWidth="1"/>
    <col min="12773" max="12773" width="10.28515625" style="61" bestFit="1" customWidth="1"/>
    <col min="12774" max="12774" width="9.5703125" style="61" bestFit="1" customWidth="1"/>
    <col min="12775" max="12775" width="18.5703125" style="61" customWidth="1"/>
    <col min="12776" max="12777" width="9.140625" style="61"/>
    <col min="12778" max="12780" width="12.140625" style="61" bestFit="1" customWidth="1"/>
    <col min="12781" max="12789" width="10.28515625" style="61" bestFit="1" customWidth="1"/>
    <col min="12790" max="12790" width="11.28515625" style="61" bestFit="1" customWidth="1"/>
    <col min="12791" max="12791" width="9.140625" style="61"/>
    <col min="12792" max="12792" width="19" style="61" customWidth="1"/>
    <col min="12793" max="12809" width="9.140625" style="61"/>
    <col min="12810" max="12820" width="11.28515625" style="61" bestFit="1" customWidth="1"/>
    <col min="12821" max="12821" width="10.28515625" style="61" bestFit="1" customWidth="1"/>
    <col min="12822" max="12822" width="12.85546875" style="61" bestFit="1" customWidth="1"/>
    <col min="12823" max="12945" width="9.140625" style="61"/>
    <col min="12946" max="12946" width="11" style="61" bestFit="1" customWidth="1"/>
    <col min="12947" max="12947" width="28.140625" style="61" bestFit="1" customWidth="1"/>
    <col min="12948" max="12948" width="14" style="61" bestFit="1" customWidth="1"/>
    <col min="12949" max="12949" width="9.140625" style="61"/>
    <col min="12950" max="12950" width="13.85546875" style="61" bestFit="1" customWidth="1"/>
    <col min="12951" max="12951" width="9.140625" style="61"/>
    <col min="12952" max="12952" width="14" style="61" customWidth="1"/>
    <col min="12953" max="12953" width="9.140625" style="61"/>
    <col min="12954" max="12954" width="12.85546875" style="61" bestFit="1" customWidth="1"/>
    <col min="12955" max="12955" width="10" style="61" customWidth="1"/>
    <col min="12956" max="12956" width="14" style="61" bestFit="1" customWidth="1"/>
    <col min="12957" max="12957" width="9.85546875" style="61" bestFit="1" customWidth="1"/>
    <col min="12958" max="12958" width="13.5703125" style="61" bestFit="1" customWidth="1"/>
    <col min="12959" max="12959" width="9.85546875" style="61" bestFit="1" customWidth="1"/>
    <col min="12960" max="12960" width="12.85546875" style="61" bestFit="1" customWidth="1"/>
    <col min="12961" max="12972" width="10.5703125" style="61" customWidth="1"/>
    <col min="12973" max="12973" width="11.140625" style="61" bestFit="1" customWidth="1"/>
    <col min="12974" max="12974" width="2.7109375" style="61" customWidth="1"/>
    <col min="12975" max="12975" width="9.85546875" style="61" bestFit="1" customWidth="1"/>
    <col min="12976" max="12977" width="9.140625" style="61"/>
    <col min="12978" max="12978" width="24" style="61" customWidth="1"/>
    <col min="12979" max="12981" width="9.140625" style="61"/>
    <col min="12982" max="12982" width="9" style="61" bestFit="1" customWidth="1"/>
    <col min="12983" max="12992" width="9.28515625" style="61" bestFit="1" customWidth="1"/>
    <col min="12993" max="12993" width="10.28515625" style="61" bestFit="1" customWidth="1"/>
    <col min="12994" max="12994" width="11.28515625" style="61" bestFit="1" customWidth="1"/>
    <col min="12995" max="12995" width="11.7109375" style="61" customWidth="1"/>
    <col min="12996" max="12996" width="9.140625" style="61"/>
    <col min="12997" max="12997" width="22.28515625" style="61" customWidth="1"/>
    <col min="12998" max="12998" width="9.140625" style="61"/>
    <col min="12999" max="12999" width="9.28515625" style="61" bestFit="1" customWidth="1"/>
    <col min="13000" max="13000" width="9.42578125" style="61" bestFit="1" customWidth="1"/>
    <col min="13001" max="13001" width="9.28515625" style="61" bestFit="1" customWidth="1"/>
    <col min="13002" max="13002" width="10.28515625" style="61" bestFit="1" customWidth="1"/>
    <col min="13003" max="13004" width="9.28515625" style="61" bestFit="1" customWidth="1"/>
    <col min="13005" max="13006" width="10.28515625" style="61" bestFit="1" customWidth="1"/>
    <col min="13007" max="13011" width="9.28515625" style="61" bestFit="1" customWidth="1"/>
    <col min="13012" max="13012" width="10.42578125" style="61" bestFit="1" customWidth="1"/>
    <col min="13013" max="13013" width="9.140625" style="61"/>
    <col min="13014" max="13014" width="24.85546875" style="61" customWidth="1"/>
    <col min="13015" max="13015" width="9.140625" style="61"/>
    <col min="13016" max="13028" width="9.28515625" style="61" bestFit="1" customWidth="1"/>
    <col min="13029" max="13029" width="10.28515625" style="61" bestFit="1" customWidth="1"/>
    <col min="13030" max="13030" width="9.5703125" style="61" bestFit="1" customWidth="1"/>
    <col min="13031" max="13031" width="18.5703125" style="61" customWidth="1"/>
    <col min="13032" max="13033" width="9.140625" style="61"/>
    <col min="13034" max="13036" width="12.140625" style="61" bestFit="1" customWidth="1"/>
    <col min="13037" max="13045" width="10.28515625" style="61" bestFit="1" customWidth="1"/>
    <col min="13046" max="13046" width="11.28515625" style="61" bestFit="1" customWidth="1"/>
    <col min="13047" max="13047" width="9.140625" style="61"/>
    <col min="13048" max="13048" width="19" style="61" customWidth="1"/>
    <col min="13049" max="13065" width="9.140625" style="61"/>
    <col min="13066" max="13076" width="11.28515625" style="61" bestFit="1" customWidth="1"/>
    <col min="13077" max="13077" width="10.28515625" style="61" bestFit="1" customWidth="1"/>
    <col min="13078" max="13078" width="12.85546875" style="61" bestFit="1" customWidth="1"/>
    <col min="13079" max="13201" width="9.140625" style="61"/>
    <col min="13202" max="13202" width="11" style="61" bestFit="1" customWidth="1"/>
    <col min="13203" max="13203" width="28.140625" style="61" bestFit="1" customWidth="1"/>
    <col min="13204" max="13204" width="14" style="61" bestFit="1" customWidth="1"/>
    <col min="13205" max="13205" width="9.140625" style="61"/>
    <col min="13206" max="13206" width="13.85546875" style="61" bestFit="1" customWidth="1"/>
    <col min="13207" max="13207" width="9.140625" style="61"/>
    <col min="13208" max="13208" width="14" style="61" customWidth="1"/>
    <col min="13209" max="13209" width="9.140625" style="61"/>
    <col min="13210" max="13210" width="12.85546875" style="61" bestFit="1" customWidth="1"/>
    <col min="13211" max="13211" width="10" style="61" customWidth="1"/>
    <col min="13212" max="13212" width="14" style="61" bestFit="1" customWidth="1"/>
    <col min="13213" max="13213" width="9.85546875" style="61" bestFit="1" customWidth="1"/>
    <col min="13214" max="13214" width="13.5703125" style="61" bestFit="1" customWidth="1"/>
    <col min="13215" max="13215" width="9.85546875" style="61" bestFit="1" customWidth="1"/>
    <col min="13216" max="13216" width="12.85546875" style="61" bestFit="1" customWidth="1"/>
    <col min="13217" max="13228" width="10.5703125" style="61" customWidth="1"/>
    <col min="13229" max="13229" width="11.140625" style="61" bestFit="1" customWidth="1"/>
    <col min="13230" max="13230" width="2.7109375" style="61" customWidth="1"/>
    <col min="13231" max="13231" width="9.85546875" style="61" bestFit="1" customWidth="1"/>
    <col min="13232" max="13233" width="9.140625" style="61"/>
    <col min="13234" max="13234" width="24" style="61" customWidth="1"/>
    <col min="13235" max="13237" width="9.140625" style="61"/>
    <col min="13238" max="13238" width="9" style="61" bestFit="1" customWidth="1"/>
    <col min="13239" max="13248" width="9.28515625" style="61" bestFit="1" customWidth="1"/>
    <col min="13249" max="13249" width="10.28515625" style="61" bestFit="1" customWidth="1"/>
    <col min="13250" max="13250" width="11.28515625" style="61" bestFit="1" customWidth="1"/>
    <col min="13251" max="13251" width="11.7109375" style="61" customWidth="1"/>
    <col min="13252" max="13252" width="9.140625" style="61"/>
    <col min="13253" max="13253" width="22.28515625" style="61" customWidth="1"/>
    <col min="13254" max="13254" width="9.140625" style="61"/>
    <col min="13255" max="13255" width="9.28515625" style="61" bestFit="1" customWidth="1"/>
    <col min="13256" max="13256" width="9.42578125" style="61" bestFit="1" customWidth="1"/>
    <col min="13257" max="13257" width="9.28515625" style="61" bestFit="1" customWidth="1"/>
    <col min="13258" max="13258" width="10.28515625" style="61" bestFit="1" customWidth="1"/>
    <col min="13259" max="13260" width="9.28515625" style="61" bestFit="1" customWidth="1"/>
    <col min="13261" max="13262" width="10.28515625" style="61" bestFit="1" customWidth="1"/>
    <col min="13263" max="13267" width="9.28515625" style="61" bestFit="1" customWidth="1"/>
    <col min="13268" max="13268" width="10.42578125" style="61" bestFit="1" customWidth="1"/>
    <col min="13269" max="13269" width="9.140625" style="61"/>
    <col min="13270" max="13270" width="24.85546875" style="61" customWidth="1"/>
    <col min="13271" max="13271" width="9.140625" style="61"/>
    <col min="13272" max="13284" width="9.28515625" style="61" bestFit="1" customWidth="1"/>
    <col min="13285" max="13285" width="10.28515625" style="61" bestFit="1" customWidth="1"/>
    <col min="13286" max="13286" width="9.5703125" style="61" bestFit="1" customWidth="1"/>
    <col min="13287" max="13287" width="18.5703125" style="61" customWidth="1"/>
    <col min="13288" max="13289" width="9.140625" style="61"/>
    <col min="13290" max="13292" width="12.140625" style="61" bestFit="1" customWidth="1"/>
    <col min="13293" max="13301" width="10.28515625" style="61" bestFit="1" customWidth="1"/>
    <col min="13302" max="13302" width="11.28515625" style="61" bestFit="1" customWidth="1"/>
    <col min="13303" max="13303" width="9.140625" style="61"/>
    <col min="13304" max="13304" width="19" style="61" customWidth="1"/>
    <col min="13305" max="13321" width="9.140625" style="61"/>
    <col min="13322" max="13332" width="11.28515625" style="61" bestFit="1" customWidth="1"/>
    <col min="13333" max="13333" width="10.28515625" style="61" bestFit="1" customWidth="1"/>
    <col min="13334" max="13334" width="12.85546875" style="61" bestFit="1" customWidth="1"/>
    <col min="13335" max="13457" width="9.140625" style="61"/>
    <col min="13458" max="13458" width="11" style="61" bestFit="1" customWidth="1"/>
    <col min="13459" max="13459" width="28.140625" style="61" bestFit="1" customWidth="1"/>
    <col min="13460" max="13460" width="14" style="61" bestFit="1" customWidth="1"/>
    <col min="13461" max="13461" width="9.140625" style="61"/>
    <col min="13462" max="13462" width="13.85546875" style="61" bestFit="1" customWidth="1"/>
    <col min="13463" max="13463" width="9.140625" style="61"/>
    <col min="13464" max="13464" width="14" style="61" customWidth="1"/>
    <col min="13465" max="13465" width="9.140625" style="61"/>
    <col min="13466" max="13466" width="12.85546875" style="61" bestFit="1" customWidth="1"/>
    <col min="13467" max="13467" width="10" style="61" customWidth="1"/>
    <col min="13468" max="13468" width="14" style="61" bestFit="1" customWidth="1"/>
    <col min="13469" max="13469" width="9.85546875" style="61" bestFit="1" customWidth="1"/>
    <col min="13470" max="13470" width="13.5703125" style="61" bestFit="1" customWidth="1"/>
    <col min="13471" max="13471" width="9.85546875" style="61" bestFit="1" customWidth="1"/>
    <col min="13472" max="13472" width="12.85546875" style="61" bestFit="1" customWidth="1"/>
    <col min="13473" max="13484" width="10.5703125" style="61" customWidth="1"/>
    <col min="13485" max="13485" width="11.140625" style="61" bestFit="1" customWidth="1"/>
    <col min="13486" max="13486" width="2.7109375" style="61" customWidth="1"/>
    <col min="13487" max="13487" width="9.85546875" style="61" bestFit="1" customWidth="1"/>
    <col min="13488" max="13489" width="9.140625" style="61"/>
    <col min="13490" max="13490" width="24" style="61" customWidth="1"/>
    <col min="13491" max="13493" width="9.140625" style="61"/>
    <col min="13494" max="13494" width="9" style="61" bestFit="1" customWidth="1"/>
    <col min="13495" max="13504" width="9.28515625" style="61" bestFit="1" customWidth="1"/>
    <col min="13505" max="13505" width="10.28515625" style="61" bestFit="1" customWidth="1"/>
    <col min="13506" max="13506" width="11.28515625" style="61" bestFit="1" customWidth="1"/>
    <col min="13507" max="13507" width="11.7109375" style="61" customWidth="1"/>
    <col min="13508" max="13508" width="9.140625" style="61"/>
    <col min="13509" max="13509" width="22.28515625" style="61" customWidth="1"/>
    <col min="13510" max="13510" width="9.140625" style="61"/>
    <col min="13511" max="13511" width="9.28515625" style="61" bestFit="1" customWidth="1"/>
    <col min="13512" max="13512" width="9.42578125" style="61" bestFit="1" customWidth="1"/>
    <col min="13513" max="13513" width="9.28515625" style="61" bestFit="1" customWidth="1"/>
    <col min="13514" max="13514" width="10.28515625" style="61" bestFit="1" customWidth="1"/>
    <col min="13515" max="13516" width="9.28515625" style="61" bestFit="1" customWidth="1"/>
    <col min="13517" max="13518" width="10.28515625" style="61" bestFit="1" customWidth="1"/>
    <col min="13519" max="13523" width="9.28515625" style="61" bestFit="1" customWidth="1"/>
    <col min="13524" max="13524" width="10.42578125" style="61" bestFit="1" customWidth="1"/>
    <col min="13525" max="13525" width="9.140625" style="61"/>
    <col min="13526" max="13526" width="24.85546875" style="61" customWidth="1"/>
    <col min="13527" max="13527" width="9.140625" style="61"/>
    <col min="13528" max="13540" width="9.28515625" style="61" bestFit="1" customWidth="1"/>
    <col min="13541" max="13541" width="10.28515625" style="61" bestFit="1" customWidth="1"/>
    <col min="13542" max="13542" width="9.5703125" style="61" bestFit="1" customWidth="1"/>
    <col min="13543" max="13543" width="18.5703125" style="61" customWidth="1"/>
    <col min="13544" max="13545" width="9.140625" style="61"/>
    <col min="13546" max="13548" width="12.140625" style="61" bestFit="1" customWidth="1"/>
    <col min="13549" max="13557" width="10.28515625" style="61" bestFit="1" customWidth="1"/>
    <col min="13558" max="13558" width="11.28515625" style="61" bestFit="1" customWidth="1"/>
    <col min="13559" max="13559" width="9.140625" style="61"/>
    <col min="13560" max="13560" width="19" style="61" customWidth="1"/>
    <col min="13561" max="13577" width="9.140625" style="61"/>
    <col min="13578" max="13588" width="11.28515625" style="61" bestFit="1" customWidth="1"/>
    <col min="13589" max="13589" width="10.28515625" style="61" bestFit="1" customWidth="1"/>
    <col min="13590" max="13590" width="12.85546875" style="61" bestFit="1" customWidth="1"/>
    <col min="13591" max="13713" width="9.140625" style="61"/>
    <col min="13714" max="13714" width="11" style="61" bestFit="1" customWidth="1"/>
    <col min="13715" max="13715" width="28.140625" style="61" bestFit="1" customWidth="1"/>
    <col min="13716" max="13716" width="14" style="61" bestFit="1" customWidth="1"/>
    <col min="13717" max="13717" width="9.140625" style="61"/>
    <col min="13718" max="13718" width="13.85546875" style="61" bestFit="1" customWidth="1"/>
    <col min="13719" max="13719" width="9.140625" style="61"/>
    <col min="13720" max="13720" width="14" style="61" customWidth="1"/>
    <col min="13721" max="13721" width="9.140625" style="61"/>
    <col min="13722" max="13722" width="12.85546875" style="61" bestFit="1" customWidth="1"/>
    <col min="13723" max="13723" width="10" style="61" customWidth="1"/>
    <col min="13724" max="13724" width="14" style="61" bestFit="1" customWidth="1"/>
    <col min="13725" max="13725" width="9.85546875" style="61" bestFit="1" customWidth="1"/>
    <col min="13726" max="13726" width="13.5703125" style="61" bestFit="1" customWidth="1"/>
    <col min="13727" max="13727" width="9.85546875" style="61" bestFit="1" customWidth="1"/>
    <col min="13728" max="13728" width="12.85546875" style="61" bestFit="1" customWidth="1"/>
    <col min="13729" max="13740" width="10.5703125" style="61" customWidth="1"/>
    <col min="13741" max="13741" width="11.140625" style="61" bestFit="1" customWidth="1"/>
    <col min="13742" max="13742" width="2.7109375" style="61" customWidth="1"/>
    <col min="13743" max="13743" width="9.85546875" style="61" bestFit="1" customWidth="1"/>
    <col min="13744" max="13745" width="9.140625" style="61"/>
    <col min="13746" max="13746" width="24" style="61" customWidth="1"/>
    <col min="13747" max="13749" width="9.140625" style="61"/>
    <col min="13750" max="13750" width="9" style="61" bestFit="1" customWidth="1"/>
    <col min="13751" max="13760" width="9.28515625" style="61" bestFit="1" customWidth="1"/>
    <col min="13761" max="13761" width="10.28515625" style="61" bestFit="1" customWidth="1"/>
    <col min="13762" max="13762" width="11.28515625" style="61" bestFit="1" customWidth="1"/>
    <col min="13763" max="13763" width="11.7109375" style="61" customWidth="1"/>
    <col min="13764" max="13764" width="9.140625" style="61"/>
    <col min="13765" max="13765" width="22.28515625" style="61" customWidth="1"/>
    <col min="13766" max="13766" width="9.140625" style="61"/>
    <col min="13767" max="13767" width="9.28515625" style="61" bestFit="1" customWidth="1"/>
    <col min="13768" max="13768" width="9.42578125" style="61" bestFit="1" customWidth="1"/>
    <col min="13769" max="13769" width="9.28515625" style="61" bestFit="1" customWidth="1"/>
    <col min="13770" max="13770" width="10.28515625" style="61" bestFit="1" customWidth="1"/>
    <col min="13771" max="13772" width="9.28515625" style="61" bestFit="1" customWidth="1"/>
    <col min="13773" max="13774" width="10.28515625" style="61" bestFit="1" customWidth="1"/>
    <col min="13775" max="13779" width="9.28515625" style="61" bestFit="1" customWidth="1"/>
    <col min="13780" max="13780" width="10.42578125" style="61" bestFit="1" customWidth="1"/>
    <col min="13781" max="13781" width="9.140625" style="61"/>
    <col min="13782" max="13782" width="24.85546875" style="61" customWidth="1"/>
    <col min="13783" max="13783" width="9.140625" style="61"/>
    <col min="13784" max="13796" width="9.28515625" style="61" bestFit="1" customWidth="1"/>
    <col min="13797" max="13797" width="10.28515625" style="61" bestFit="1" customWidth="1"/>
    <col min="13798" max="13798" width="9.5703125" style="61" bestFit="1" customWidth="1"/>
    <col min="13799" max="13799" width="18.5703125" style="61" customWidth="1"/>
    <col min="13800" max="13801" width="9.140625" style="61"/>
    <col min="13802" max="13804" width="12.140625" style="61" bestFit="1" customWidth="1"/>
    <col min="13805" max="13813" width="10.28515625" style="61" bestFit="1" customWidth="1"/>
    <col min="13814" max="13814" width="11.28515625" style="61" bestFit="1" customWidth="1"/>
    <col min="13815" max="13815" width="9.140625" style="61"/>
    <col min="13816" max="13816" width="19" style="61" customWidth="1"/>
    <col min="13817" max="13833" width="9.140625" style="61"/>
    <col min="13834" max="13844" width="11.28515625" style="61" bestFit="1" customWidth="1"/>
    <col min="13845" max="13845" width="10.28515625" style="61" bestFit="1" customWidth="1"/>
    <col min="13846" max="13846" width="12.85546875" style="61" bestFit="1" customWidth="1"/>
    <col min="13847" max="13969" width="9.140625" style="61"/>
    <col min="13970" max="13970" width="11" style="61" bestFit="1" customWidth="1"/>
    <col min="13971" max="13971" width="28.140625" style="61" bestFit="1" customWidth="1"/>
    <col min="13972" max="13972" width="14" style="61" bestFit="1" customWidth="1"/>
    <col min="13973" max="13973" width="9.140625" style="61"/>
    <col min="13974" max="13974" width="13.85546875" style="61" bestFit="1" customWidth="1"/>
    <col min="13975" max="13975" width="9.140625" style="61"/>
    <col min="13976" max="13976" width="14" style="61" customWidth="1"/>
    <col min="13977" max="13977" width="9.140625" style="61"/>
    <col min="13978" max="13978" width="12.85546875" style="61" bestFit="1" customWidth="1"/>
    <col min="13979" max="13979" width="10" style="61" customWidth="1"/>
    <col min="13980" max="13980" width="14" style="61" bestFit="1" customWidth="1"/>
    <col min="13981" max="13981" width="9.85546875" style="61" bestFit="1" customWidth="1"/>
    <col min="13982" max="13982" width="13.5703125" style="61" bestFit="1" customWidth="1"/>
    <col min="13983" max="13983" width="9.85546875" style="61" bestFit="1" customWidth="1"/>
    <col min="13984" max="13984" width="12.85546875" style="61" bestFit="1" customWidth="1"/>
    <col min="13985" max="13996" width="10.5703125" style="61" customWidth="1"/>
    <col min="13997" max="13997" width="11.140625" style="61" bestFit="1" customWidth="1"/>
    <col min="13998" max="13998" width="2.7109375" style="61" customWidth="1"/>
    <col min="13999" max="13999" width="9.85546875" style="61" bestFit="1" customWidth="1"/>
    <col min="14000" max="14001" width="9.140625" style="61"/>
    <col min="14002" max="14002" width="24" style="61" customWidth="1"/>
    <col min="14003" max="14005" width="9.140625" style="61"/>
    <col min="14006" max="14006" width="9" style="61" bestFit="1" customWidth="1"/>
    <col min="14007" max="14016" width="9.28515625" style="61" bestFit="1" customWidth="1"/>
    <col min="14017" max="14017" width="10.28515625" style="61" bestFit="1" customWidth="1"/>
    <col min="14018" max="14018" width="11.28515625" style="61" bestFit="1" customWidth="1"/>
    <col min="14019" max="14019" width="11.7109375" style="61" customWidth="1"/>
    <col min="14020" max="14020" width="9.140625" style="61"/>
    <col min="14021" max="14021" width="22.28515625" style="61" customWidth="1"/>
    <col min="14022" max="14022" width="9.140625" style="61"/>
    <col min="14023" max="14023" width="9.28515625" style="61" bestFit="1" customWidth="1"/>
    <col min="14024" max="14024" width="9.42578125" style="61" bestFit="1" customWidth="1"/>
    <col min="14025" max="14025" width="9.28515625" style="61" bestFit="1" customWidth="1"/>
    <col min="14026" max="14026" width="10.28515625" style="61" bestFit="1" customWidth="1"/>
    <col min="14027" max="14028" width="9.28515625" style="61" bestFit="1" customWidth="1"/>
    <col min="14029" max="14030" width="10.28515625" style="61" bestFit="1" customWidth="1"/>
    <col min="14031" max="14035" width="9.28515625" style="61" bestFit="1" customWidth="1"/>
    <col min="14036" max="14036" width="10.42578125" style="61" bestFit="1" customWidth="1"/>
    <col min="14037" max="14037" width="9.140625" style="61"/>
    <col min="14038" max="14038" width="24.85546875" style="61" customWidth="1"/>
    <col min="14039" max="14039" width="9.140625" style="61"/>
    <col min="14040" max="14052" width="9.28515625" style="61" bestFit="1" customWidth="1"/>
    <col min="14053" max="14053" width="10.28515625" style="61" bestFit="1" customWidth="1"/>
    <col min="14054" max="14054" width="9.5703125" style="61" bestFit="1" customWidth="1"/>
    <col min="14055" max="14055" width="18.5703125" style="61" customWidth="1"/>
    <col min="14056" max="14057" width="9.140625" style="61"/>
    <col min="14058" max="14060" width="12.140625" style="61" bestFit="1" customWidth="1"/>
    <col min="14061" max="14069" width="10.28515625" style="61" bestFit="1" customWidth="1"/>
    <col min="14070" max="14070" width="11.28515625" style="61" bestFit="1" customWidth="1"/>
    <col min="14071" max="14071" width="9.140625" style="61"/>
    <col min="14072" max="14072" width="19" style="61" customWidth="1"/>
    <col min="14073" max="14089" width="9.140625" style="61"/>
    <col min="14090" max="14100" width="11.28515625" style="61" bestFit="1" customWidth="1"/>
    <col min="14101" max="14101" width="10.28515625" style="61" bestFit="1" customWidth="1"/>
    <col min="14102" max="14102" width="12.85546875" style="61" bestFit="1" customWidth="1"/>
    <col min="14103" max="14225" width="9.140625" style="61"/>
    <col min="14226" max="14226" width="11" style="61" bestFit="1" customWidth="1"/>
    <col min="14227" max="14227" width="28.140625" style="61" bestFit="1" customWidth="1"/>
    <col min="14228" max="14228" width="14" style="61" bestFit="1" customWidth="1"/>
    <col min="14229" max="14229" width="9.140625" style="61"/>
    <col min="14230" max="14230" width="13.85546875" style="61" bestFit="1" customWidth="1"/>
    <col min="14231" max="14231" width="9.140625" style="61"/>
    <col min="14232" max="14232" width="14" style="61" customWidth="1"/>
    <col min="14233" max="14233" width="9.140625" style="61"/>
    <col min="14234" max="14234" width="12.85546875" style="61" bestFit="1" customWidth="1"/>
    <col min="14235" max="14235" width="10" style="61" customWidth="1"/>
    <col min="14236" max="14236" width="14" style="61" bestFit="1" customWidth="1"/>
    <col min="14237" max="14237" width="9.85546875" style="61" bestFit="1" customWidth="1"/>
    <col min="14238" max="14238" width="13.5703125" style="61" bestFit="1" customWidth="1"/>
    <col min="14239" max="14239" width="9.85546875" style="61" bestFit="1" customWidth="1"/>
    <col min="14240" max="14240" width="12.85546875" style="61" bestFit="1" customWidth="1"/>
    <col min="14241" max="14252" width="10.5703125" style="61" customWidth="1"/>
    <col min="14253" max="14253" width="11.140625" style="61" bestFit="1" customWidth="1"/>
    <col min="14254" max="14254" width="2.7109375" style="61" customWidth="1"/>
    <col min="14255" max="14255" width="9.85546875" style="61" bestFit="1" customWidth="1"/>
    <col min="14256" max="14257" width="9.140625" style="61"/>
    <col min="14258" max="14258" width="24" style="61" customWidth="1"/>
    <col min="14259" max="14261" width="9.140625" style="61"/>
    <col min="14262" max="14262" width="9" style="61" bestFit="1" customWidth="1"/>
    <col min="14263" max="14272" width="9.28515625" style="61" bestFit="1" customWidth="1"/>
    <col min="14273" max="14273" width="10.28515625" style="61" bestFit="1" customWidth="1"/>
    <col min="14274" max="14274" width="11.28515625" style="61" bestFit="1" customWidth="1"/>
    <col min="14275" max="14275" width="11.7109375" style="61" customWidth="1"/>
    <col min="14276" max="14276" width="9.140625" style="61"/>
    <col min="14277" max="14277" width="22.28515625" style="61" customWidth="1"/>
    <col min="14278" max="14278" width="9.140625" style="61"/>
    <col min="14279" max="14279" width="9.28515625" style="61" bestFit="1" customWidth="1"/>
    <col min="14280" max="14280" width="9.42578125" style="61" bestFit="1" customWidth="1"/>
    <col min="14281" max="14281" width="9.28515625" style="61" bestFit="1" customWidth="1"/>
    <col min="14282" max="14282" width="10.28515625" style="61" bestFit="1" customWidth="1"/>
    <col min="14283" max="14284" width="9.28515625" style="61" bestFit="1" customWidth="1"/>
    <col min="14285" max="14286" width="10.28515625" style="61" bestFit="1" customWidth="1"/>
    <col min="14287" max="14291" width="9.28515625" style="61" bestFit="1" customWidth="1"/>
    <col min="14292" max="14292" width="10.42578125" style="61" bestFit="1" customWidth="1"/>
    <col min="14293" max="14293" width="9.140625" style="61"/>
    <col min="14294" max="14294" width="24.85546875" style="61" customWidth="1"/>
    <col min="14295" max="14295" width="9.140625" style="61"/>
    <col min="14296" max="14308" width="9.28515625" style="61" bestFit="1" customWidth="1"/>
    <col min="14309" max="14309" width="10.28515625" style="61" bestFit="1" customWidth="1"/>
    <col min="14310" max="14310" width="9.5703125" style="61" bestFit="1" customWidth="1"/>
    <col min="14311" max="14311" width="18.5703125" style="61" customWidth="1"/>
    <col min="14312" max="14313" width="9.140625" style="61"/>
    <col min="14314" max="14316" width="12.140625" style="61" bestFit="1" customWidth="1"/>
    <col min="14317" max="14325" width="10.28515625" style="61" bestFit="1" customWidth="1"/>
    <col min="14326" max="14326" width="11.28515625" style="61" bestFit="1" customWidth="1"/>
    <col min="14327" max="14327" width="9.140625" style="61"/>
    <col min="14328" max="14328" width="19" style="61" customWidth="1"/>
    <col min="14329" max="14345" width="9.140625" style="61"/>
    <col min="14346" max="14356" width="11.28515625" style="61" bestFit="1" customWidth="1"/>
    <col min="14357" max="14357" width="10.28515625" style="61" bestFit="1" customWidth="1"/>
    <col min="14358" max="14358" width="12.85546875" style="61" bestFit="1" customWidth="1"/>
    <col min="14359" max="14481" width="9.140625" style="61"/>
    <col min="14482" max="14482" width="11" style="61" bestFit="1" customWidth="1"/>
    <col min="14483" max="14483" width="28.140625" style="61" bestFit="1" customWidth="1"/>
    <col min="14484" max="14484" width="14" style="61" bestFit="1" customWidth="1"/>
    <col min="14485" max="14485" width="9.140625" style="61"/>
    <col min="14486" max="14486" width="13.85546875" style="61" bestFit="1" customWidth="1"/>
    <col min="14487" max="14487" width="9.140625" style="61"/>
    <col min="14488" max="14488" width="14" style="61" customWidth="1"/>
    <col min="14489" max="14489" width="9.140625" style="61"/>
    <col min="14490" max="14490" width="12.85546875" style="61" bestFit="1" customWidth="1"/>
    <col min="14491" max="14491" width="10" style="61" customWidth="1"/>
    <col min="14492" max="14492" width="14" style="61" bestFit="1" customWidth="1"/>
    <col min="14493" max="14493" width="9.85546875" style="61" bestFit="1" customWidth="1"/>
    <col min="14494" max="14494" width="13.5703125" style="61" bestFit="1" customWidth="1"/>
    <col min="14495" max="14495" width="9.85546875" style="61" bestFit="1" customWidth="1"/>
    <col min="14496" max="14496" width="12.85546875" style="61" bestFit="1" customWidth="1"/>
    <col min="14497" max="14508" width="10.5703125" style="61" customWidth="1"/>
    <col min="14509" max="14509" width="11.140625" style="61" bestFit="1" customWidth="1"/>
    <col min="14510" max="14510" width="2.7109375" style="61" customWidth="1"/>
    <col min="14511" max="14511" width="9.85546875" style="61" bestFit="1" customWidth="1"/>
    <col min="14512" max="14513" width="9.140625" style="61"/>
    <col min="14514" max="14514" width="24" style="61" customWidth="1"/>
    <col min="14515" max="14517" width="9.140625" style="61"/>
    <col min="14518" max="14518" width="9" style="61" bestFit="1" customWidth="1"/>
    <col min="14519" max="14528" width="9.28515625" style="61" bestFit="1" customWidth="1"/>
    <col min="14529" max="14529" width="10.28515625" style="61" bestFit="1" customWidth="1"/>
    <col min="14530" max="14530" width="11.28515625" style="61" bestFit="1" customWidth="1"/>
    <col min="14531" max="14531" width="11.7109375" style="61" customWidth="1"/>
    <col min="14532" max="14532" width="9.140625" style="61"/>
    <col min="14533" max="14533" width="22.28515625" style="61" customWidth="1"/>
    <col min="14534" max="14534" width="9.140625" style="61"/>
    <col min="14535" max="14535" width="9.28515625" style="61" bestFit="1" customWidth="1"/>
    <col min="14536" max="14536" width="9.42578125" style="61" bestFit="1" customWidth="1"/>
    <col min="14537" max="14537" width="9.28515625" style="61" bestFit="1" customWidth="1"/>
    <col min="14538" max="14538" width="10.28515625" style="61" bestFit="1" customWidth="1"/>
    <col min="14539" max="14540" width="9.28515625" style="61" bestFit="1" customWidth="1"/>
    <col min="14541" max="14542" width="10.28515625" style="61" bestFit="1" customWidth="1"/>
    <col min="14543" max="14547" width="9.28515625" style="61" bestFit="1" customWidth="1"/>
    <col min="14548" max="14548" width="10.42578125" style="61" bestFit="1" customWidth="1"/>
    <col min="14549" max="14549" width="9.140625" style="61"/>
    <col min="14550" max="14550" width="24.85546875" style="61" customWidth="1"/>
    <col min="14551" max="14551" width="9.140625" style="61"/>
    <col min="14552" max="14564" width="9.28515625" style="61" bestFit="1" customWidth="1"/>
    <col min="14565" max="14565" width="10.28515625" style="61" bestFit="1" customWidth="1"/>
    <col min="14566" max="14566" width="9.5703125" style="61" bestFit="1" customWidth="1"/>
    <col min="14567" max="14567" width="18.5703125" style="61" customWidth="1"/>
    <col min="14568" max="14569" width="9.140625" style="61"/>
    <col min="14570" max="14572" width="12.140625" style="61" bestFit="1" customWidth="1"/>
    <col min="14573" max="14581" width="10.28515625" style="61" bestFit="1" customWidth="1"/>
    <col min="14582" max="14582" width="11.28515625" style="61" bestFit="1" customWidth="1"/>
    <col min="14583" max="14583" width="9.140625" style="61"/>
    <col min="14584" max="14584" width="19" style="61" customWidth="1"/>
    <col min="14585" max="14601" width="9.140625" style="61"/>
    <col min="14602" max="14612" width="11.28515625" style="61" bestFit="1" customWidth="1"/>
    <col min="14613" max="14613" width="10.28515625" style="61" bestFit="1" customWidth="1"/>
    <col min="14614" max="14614" width="12.85546875" style="61" bestFit="1" customWidth="1"/>
    <col min="14615" max="14737" width="9.140625" style="61"/>
    <col min="14738" max="14738" width="11" style="61" bestFit="1" customWidth="1"/>
    <col min="14739" max="14739" width="28.140625" style="61" bestFit="1" customWidth="1"/>
    <col min="14740" max="14740" width="14" style="61" bestFit="1" customWidth="1"/>
    <col min="14741" max="14741" width="9.140625" style="61"/>
    <col min="14742" max="14742" width="13.85546875" style="61" bestFit="1" customWidth="1"/>
    <col min="14743" max="14743" width="9.140625" style="61"/>
    <col min="14744" max="14744" width="14" style="61" customWidth="1"/>
    <col min="14745" max="14745" width="9.140625" style="61"/>
    <col min="14746" max="14746" width="12.85546875" style="61" bestFit="1" customWidth="1"/>
    <col min="14747" max="14747" width="10" style="61" customWidth="1"/>
    <col min="14748" max="14748" width="14" style="61" bestFit="1" customWidth="1"/>
    <col min="14749" max="14749" width="9.85546875" style="61" bestFit="1" customWidth="1"/>
    <col min="14750" max="14750" width="13.5703125" style="61" bestFit="1" customWidth="1"/>
    <col min="14751" max="14751" width="9.85546875" style="61" bestFit="1" customWidth="1"/>
    <col min="14752" max="14752" width="12.85546875" style="61" bestFit="1" customWidth="1"/>
    <col min="14753" max="14764" width="10.5703125" style="61" customWidth="1"/>
    <col min="14765" max="14765" width="11.140625" style="61" bestFit="1" customWidth="1"/>
    <col min="14766" max="14766" width="2.7109375" style="61" customWidth="1"/>
    <col min="14767" max="14767" width="9.85546875" style="61" bestFit="1" customWidth="1"/>
    <col min="14768" max="14769" width="9.140625" style="61"/>
    <col min="14770" max="14770" width="24" style="61" customWidth="1"/>
    <col min="14771" max="14773" width="9.140625" style="61"/>
    <col min="14774" max="14774" width="9" style="61" bestFit="1" customWidth="1"/>
    <col min="14775" max="14784" width="9.28515625" style="61" bestFit="1" customWidth="1"/>
    <col min="14785" max="14785" width="10.28515625" style="61" bestFit="1" customWidth="1"/>
    <col min="14786" max="14786" width="11.28515625" style="61" bestFit="1" customWidth="1"/>
    <col min="14787" max="14787" width="11.7109375" style="61" customWidth="1"/>
    <col min="14788" max="14788" width="9.140625" style="61"/>
    <col min="14789" max="14789" width="22.28515625" style="61" customWidth="1"/>
    <col min="14790" max="14790" width="9.140625" style="61"/>
    <col min="14791" max="14791" width="9.28515625" style="61" bestFit="1" customWidth="1"/>
    <col min="14792" max="14792" width="9.42578125" style="61" bestFit="1" customWidth="1"/>
    <col min="14793" max="14793" width="9.28515625" style="61" bestFit="1" customWidth="1"/>
    <col min="14794" max="14794" width="10.28515625" style="61" bestFit="1" customWidth="1"/>
    <col min="14795" max="14796" width="9.28515625" style="61" bestFit="1" customWidth="1"/>
    <col min="14797" max="14798" width="10.28515625" style="61" bestFit="1" customWidth="1"/>
    <col min="14799" max="14803" width="9.28515625" style="61" bestFit="1" customWidth="1"/>
    <col min="14804" max="14804" width="10.42578125" style="61" bestFit="1" customWidth="1"/>
    <col min="14805" max="14805" width="9.140625" style="61"/>
    <col min="14806" max="14806" width="24.85546875" style="61" customWidth="1"/>
    <col min="14807" max="14807" width="9.140625" style="61"/>
    <col min="14808" max="14820" width="9.28515625" style="61" bestFit="1" customWidth="1"/>
    <col min="14821" max="14821" width="10.28515625" style="61" bestFit="1" customWidth="1"/>
    <col min="14822" max="14822" width="9.5703125" style="61" bestFit="1" customWidth="1"/>
    <col min="14823" max="14823" width="18.5703125" style="61" customWidth="1"/>
    <col min="14824" max="14825" width="9.140625" style="61"/>
    <col min="14826" max="14828" width="12.140625" style="61" bestFit="1" customWidth="1"/>
    <col min="14829" max="14837" width="10.28515625" style="61" bestFit="1" customWidth="1"/>
    <col min="14838" max="14838" width="11.28515625" style="61" bestFit="1" customWidth="1"/>
    <col min="14839" max="14839" width="9.140625" style="61"/>
    <col min="14840" max="14840" width="19" style="61" customWidth="1"/>
    <col min="14841" max="14857" width="9.140625" style="61"/>
    <col min="14858" max="14868" width="11.28515625" style="61" bestFit="1" customWidth="1"/>
    <col min="14869" max="14869" width="10.28515625" style="61" bestFit="1" customWidth="1"/>
    <col min="14870" max="14870" width="12.85546875" style="61" bestFit="1" customWidth="1"/>
    <col min="14871" max="14993" width="9.140625" style="61"/>
    <col min="14994" max="14994" width="11" style="61" bestFit="1" customWidth="1"/>
    <col min="14995" max="14995" width="28.140625" style="61" bestFit="1" customWidth="1"/>
    <col min="14996" max="14996" width="14" style="61" bestFit="1" customWidth="1"/>
    <col min="14997" max="14997" width="9.140625" style="61"/>
    <col min="14998" max="14998" width="13.85546875" style="61" bestFit="1" customWidth="1"/>
    <col min="14999" max="14999" width="9.140625" style="61"/>
    <col min="15000" max="15000" width="14" style="61" customWidth="1"/>
    <col min="15001" max="15001" width="9.140625" style="61"/>
    <col min="15002" max="15002" width="12.85546875" style="61" bestFit="1" customWidth="1"/>
    <col min="15003" max="15003" width="10" style="61" customWidth="1"/>
    <col min="15004" max="15004" width="14" style="61" bestFit="1" customWidth="1"/>
    <col min="15005" max="15005" width="9.85546875" style="61" bestFit="1" customWidth="1"/>
    <col min="15006" max="15006" width="13.5703125" style="61" bestFit="1" customWidth="1"/>
    <col min="15007" max="15007" width="9.85546875" style="61" bestFit="1" customWidth="1"/>
    <col min="15008" max="15008" width="12.85546875" style="61" bestFit="1" customWidth="1"/>
    <col min="15009" max="15020" width="10.5703125" style="61" customWidth="1"/>
    <col min="15021" max="15021" width="11.140625" style="61" bestFit="1" customWidth="1"/>
    <col min="15022" max="15022" width="2.7109375" style="61" customWidth="1"/>
    <col min="15023" max="15023" width="9.85546875" style="61" bestFit="1" customWidth="1"/>
    <col min="15024" max="15025" width="9.140625" style="61"/>
    <col min="15026" max="15026" width="24" style="61" customWidth="1"/>
    <col min="15027" max="15029" width="9.140625" style="61"/>
    <col min="15030" max="15030" width="9" style="61" bestFit="1" customWidth="1"/>
    <col min="15031" max="15040" width="9.28515625" style="61" bestFit="1" customWidth="1"/>
    <col min="15041" max="15041" width="10.28515625" style="61" bestFit="1" customWidth="1"/>
    <col min="15042" max="15042" width="11.28515625" style="61" bestFit="1" customWidth="1"/>
    <col min="15043" max="15043" width="11.7109375" style="61" customWidth="1"/>
    <col min="15044" max="15044" width="9.140625" style="61"/>
    <col min="15045" max="15045" width="22.28515625" style="61" customWidth="1"/>
    <col min="15046" max="15046" width="9.140625" style="61"/>
    <col min="15047" max="15047" width="9.28515625" style="61" bestFit="1" customWidth="1"/>
    <col min="15048" max="15048" width="9.42578125" style="61" bestFit="1" customWidth="1"/>
    <col min="15049" max="15049" width="9.28515625" style="61" bestFit="1" customWidth="1"/>
    <col min="15050" max="15050" width="10.28515625" style="61" bestFit="1" customWidth="1"/>
    <col min="15051" max="15052" width="9.28515625" style="61" bestFit="1" customWidth="1"/>
    <col min="15053" max="15054" width="10.28515625" style="61" bestFit="1" customWidth="1"/>
    <col min="15055" max="15059" width="9.28515625" style="61" bestFit="1" customWidth="1"/>
    <col min="15060" max="15060" width="10.42578125" style="61" bestFit="1" customWidth="1"/>
    <col min="15061" max="15061" width="9.140625" style="61"/>
    <col min="15062" max="15062" width="24.85546875" style="61" customWidth="1"/>
    <col min="15063" max="15063" width="9.140625" style="61"/>
    <col min="15064" max="15076" width="9.28515625" style="61" bestFit="1" customWidth="1"/>
    <col min="15077" max="15077" width="10.28515625" style="61" bestFit="1" customWidth="1"/>
    <col min="15078" max="15078" width="9.5703125" style="61" bestFit="1" customWidth="1"/>
    <col min="15079" max="15079" width="18.5703125" style="61" customWidth="1"/>
    <col min="15080" max="15081" width="9.140625" style="61"/>
    <col min="15082" max="15084" width="12.140625" style="61" bestFit="1" customWidth="1"/>
    <col min="15085" max="15093" width="10.28515625" style="61" bestFit="1" customWidth="1"/>
    <col min="15094" max="15094" width="11.28515625" style="61" bestFit="1" customWidth="1"/>
    <col min="15095" max="15095" width="9.140625" style="61"/>
    <col min="15096" max="15096" width="19" style="61" customWidth="1"/>
    <col min="15097" max="15113" width="9.140625" style="61"/>
    <col min="15114" max="15124" width="11.28515625" style="61" bestFit="1" customWidth="1"/>
    <col min="15125" max="15125" width="10.28515625" style="61" bestFit="1" customWidth="1"/>
    <col min="15126" max="15126" width="12.85546875" style="61" bestFit="1" customWidth="1"/>
    <col min="15127" max="15249" width="9.140625" style="61"/>
    <col min="15250" max="15250" width="11" style="61" bestFit="1" customWidth="1"/>
    <col min="15251" max="15251" width="28.140625" style="61" bestFit="1" customWidth="1"/>
    <col min="15252" max="15252" width="14" style="61" bestFit="1" customWidth="1"/>
    <col min="15253" max="15253" width="9.140625" style="61"/>
    <col min="15254" max="15254" width="13.85546875" style="61" bestFit="1" customWidth="1"/>
    <col min="15255" max="15255" width="9.140625" style="61"/>
    <col min="15256" max="15256" width="14" style="61" customWidth="1"/>
    <col min="15257" max="15257" width="9.140625" style="61"/>
    <col min="15258" max="15258" width="12.85546875" style="61" bestFit="1" customWidth="1"/>
    <col min="15259" max="15259" width="10" style="61" customWidth="1"/>
    <col min="15260" max="15260" width="14" style="61" bestFit="1" customWidth="1"/>
    <col min="15261" max="15261" width="9.85546875" style="61" bestFit="1" customWidth="1"/>
    <col min="15262" max="15262" width="13.5703125" style="61" bestFit="1" customWidth="1"/>
    <col min="15263" max="15263" width="9.85546875" style="61" bestFit="1" customWidth="1"/>
    <col min="15264" max="15264" width="12.85546875" style="61" bestFit="1" customWidth="1"/>
    <col min="15265" max="15276" width="10.5703125" style="61" customWidth="1"/>
    <col min="15277" max="15277" width="11.140625" style="61" bestFit="1" customWidth="1"/>
    <col min="15278" max="15278" width="2.7109375" style="61" customWidth="1"/>
    <col min="15279" max="15279" width="9.85546875" style="61" bestFit="1" customWidth="1"/>
    <col min="15280" max="15281" width="9.140625" style="61"/>
    <col min="15282" max="15282" width="24" style="61" customWidth="1"/>
    <col min="15283" max="15285" width="9.140625" style="61"/>
    <col min="15286" max="15286" width="9" style="61" bestFit="1" customWidth="1"/>
    <col min="15287" max="15296" width="9.28515625" style="61" bestFit="1" customWidth="1"/>
    <col min="15297" max="15297" width="10.28515625" style="61" bestFit="1" customWidth="1"/>
    <col min="15298" max="15298" width="11.28515625" style="61" bestFit="1" customWidth="1"/>
    <col min="15299" max="15299" width="11.7109375" style="61" customWidth="1"/>
    <col min="15300" max="15300" width="9.140625" style="61"/>
    <col min="15301" max="15301" width="22.28515625" style="61" customWidth="1"/>
    <col min="15302" max="15302" width="9.140625" style="61"/>
    <col min="15303" max="15303" width="9.28515625" style="61" bestFit="1" customWidth="1"/>
    <col min="15304" max="15304" width="9.42578125" style="61" bestFit="1" customWidth="1"/>
    <col min="15305" max="15305" width="9.28515625" style="61" bestFit="1" customWidth="1"/>
    <col min="15306" max="15306" width="10.28515625" style="61" bestFit="1" customWidth="1"/>
    <col min="15307" max="15308" width="9.28515625" style="61" bestFit="1" customWidth="1"/>
    <col min="15309" max="15310" width="10.28515625" style="61" bestFit="1" customWidth="1"/>
    <col min="15311" max="15315" width="9.28515625" style="61" bestFit="1" customWidth="1"/>
    <col min="15316" max="15316" width="10.42578125" style="61" bestFit="1" customWidth="1"/>
    <col min="15317" max="15317" width="9.140625" style="61"/>
    <col min="15318" max="15318" width="24.85546875" style="61" customWidth="1"/>
    <col min="15319" max="15319" width="9.140625" style="61"/>
    <col min="15320" max="15332" width="9.28515625" style="61" bestFit="1" customWidth="1"/>
    <col min="15333" max="15333" width="10.28515625" style="61" bestFit="1" customWidth="1"/>
    <col min="15334" max="15334" width="9.5703125" style="61" bestFit="1" customWidth="1"/>
    <col min="15335" max="15335" width="18.5703125" style="61" customWidth="1"/>
    <col min="15336" max="15337" width="9.140625" style="61"/>
    <col min="15338" max="15340" width="12.140625" style="61" bestFit="1" customWidth="1"/>
    <col min="15341" max="15349" width="10.28515625" style="61" bestFit="1" customWidth="1"/>
    <col min="15350" max="15350" width="11.28515625" style="61" bestFit="1" customWidth="1"/>
    <col min="15351" max="15351" width="9.140625" style="61"/>
    <col min="15352" max="15352" width="19" style="61" customWidth="1"/>
    <col min="15353" max="15369" width="9.140625" style="61"/>
    <col min="15370" max="15380" width="11.28515625" style="61" bestFit="1" customWidth="1"/>
    <col min="15381" max="15381" width="10.28515625" style="61" bestFit="1" customWidth="1"/>
    <col min="15382" max="15382" width="12.85546875" style="61" bestFit="1" customWidth="1"/>
    <col min="15383" max="15505" width="9.140625" style="61"/>
    <col min="15506" max="15506" width="11" style="61" bestFit="1" customWidth="1"/>
    <col min="15507" max="15507" width="28.140625" style="61" bestFit="1" customWidth="1"/>
    <col min="15508" max="15508" width="14" style="61" bestFit="1" customWidth="1"/>
    <col min="15509" max="15509" width="9.140625" style="61"/>
    <col min="15510" max="15510" width="13.85546875" style="61" bestFit="1" customWidth="1"/>
    <col min="15511" max="15511" width="9.140625" style="61"/>
    <col min="15512" max="15512" width="14" style="61" customWidth="1"/>
    <col min="15513" max="15513" width="9.140625" style="61"/>
    <col min="15514" max="15514" width="12.85546875" style="61" bestFit="1" customWidth="1"/>
    <col min="15515" max="15515" width="10" style="61" customWidth="1"/>
    <col min="15516" max="15516" width="14" style="61" bestFit="1" customWidth="1"/>
    <col min="15517" max="15517" width="9.85546875" style="61" bestFit="1" customWidth="1"/>
    <col min="15518" max="15518" width="13.5703125" style="61" bestFit="1" customWidth="1"/>
    <col min="15519" max="15519" width="9.85546875" style="61" bestFit="1" customWidth="1"/>
    <col min="15520" max="15520" width="12.85546875" style="61" bestFit="1" customWidth="1"/>
    <col min="15521" max="15532" width="10.5703125" style="61" customWidth="1"/>
    <col min="15533" max="15533" width="11.140625" style="61" bestFit="1" customWidth="1"/>
    <col min="15534" max="15534" width="2.7109375" style="61" customWidth="1"/>
    <col min="15535" max="15535" width="9.85546875" style="61" bestFit="1" customWidth="1"/>
    <col min="15536" max="15537" width="9.140625" style="61"/>
    <col min="15538" max="15538" width="24" style="61" customWidth="1"/>
    <col min="15539" max="15541" width="9.140625" style="61"/>
    <col min="15542" max="15542" width="9" style="61" bestFit="1" customWidth="1"/>
    <col min="15543" max="15552" width="9.28515625" style="61" bestFit="1" customWidth="1"/>
    <col min="15553" max="15553" width="10.28515625" style="61" bestFit="1" customWidth="1"/>
    <col min="15554" max="15554" width="11.28515625" style="61" bestFit="1" customWidth="1"/>
    <col min="15555" max="15555" width="11.7109375" style="61" customWidth="1"/>
    <col min="15556" max="15556" width="9.140625" style="61"/>
    <col min="15557" max="15557" width="22.28515625" style="61" customWidth="1"/>
    <col min="15558" max="15558" width="9.140625" style="61"/>
    <col min="15559" max="15559" width="9.28515625" style="61" bestFit="1" customWidth="1"/>
    <col min="15560" max="15560" width="9.42578125" style="61" bestFit="1" customWidth="1"/>
    <col min="15561" max="15561" width="9.28515625" style="61" bestFit="1" customWidth="1"/>
    <col min="15562" max="15562" width="10.28515625" style="61" bestFit="1" customWidth="1"/>
    <col min="15563" max="15564" width="9.28515625" style="61" bestFit="1" customWidth="1"/>
    <col min="15565" max="15566" width="10.28515625" style="61" bestFit="1" customWidth="1"/>
    <col min="15567" max="15571" width="9.28515625" style="61" bestFit="1" customWidth="1"/>
    <col min="15572" max="15572" width="10.42578125" style="61" bestFit="1" customWidth="1"/>
    <col min="15573" max="15573" width="9.140625" style="61"/>
    <col min="15574" max="15574" width="24.85546875" style="61" customWidth="1"/>
    <col min="15575" max="15575" width="9.140625" style="61"/>
    <col min="15576" max="15588" width="9.28515625" style="61" bestFit="1" customWidth="1"/>
    <col min="15589" max="15589" width="10.28515625" style="61" bestFit="1" customWidth="1"/>
    <col min="15590" max="15590" width="9.5703125" style="61" bestFit="1" customWidth="1"/>
    <col min="15591" max="15591" width="18.5703125" style="61" customWidth="1"/>
    <col min="15592" max="15593" width="9.140625" style="61"/>
    <col min="15594" max="15596" width="12.140625" style="61" bestFit="1" customWidth="1"/>
    <col min="15597" max="15605" width="10.28515625" style="61" bestFit="1" customWidth="1"/>
    <col min="15606" max="15606" width="11.28515625" style="61" bestFit="1" customWidth="1"/>
    <col min="15607" max="15607" width="9.140625" style="61"/>
    <col min="15608" max="15608" width="19" style="61" customWidth="1"/>
    <col min="15609" max="15625" width="9.140625" style="61"/>
    <col min="15626" max="15636" width="11.28515625" style="61" bestFit="1" customWidth="1"/>
    <col min="15637" max="15637" width="10.28515625" style="61" bestFit="1" customWidth="1"/>
    <col min="15638" max="15638" width="12.85546875" style="61" bestFit="1" customWidth="1"/>
    <col min="15639" max="15761" width="9.140625" style="61"/>
    <col min="15762" max="15762" width="11" style="61" bestFit="1" customWidth="1"/>
    <col min="15763" max="15763" width="28.140625" style="61" bestFit="1" customWidth="1"/>
    <col min="15764" max="15764" width="14" style="61" bestFit="1" customWidth="1"/>
    <col min="15765" max="15765" width="9.140625" style="61"/>
    <col min="15766" max="15766" width="13.85546875" style="61" bestFit="1" customWidth="1"/>
    <col min="15767" max="15767" width="9.140625" style="61"/>
    <col min="15768" max="15768" width="14" style="61" customWidth="1"/>
    <col min="15769" max="15769" width="9.140625" style="61"/>
    <col min="15770" max="15770" width="12.85546875" style="61" bestFit="1" customWidth="1"/>
    <col min="15771" max="15771" width="10" style="61" customWidth="1"/>
    <col min="15772" max="15772" width="14" style="61" bestFit="1" customWidth="1"/>
    <col min="15773" max="15773" width="9.85546875" style="61" bestFit="1" customWidth="1"/>
    <col min="15774" max="15774" width="13.5703125" style="61" bestFit="1" customWidth="1"/>
    <col min="15775" max="15775" width="9.85546875" style="61" bestFit="1" customWidth="1"/>
    <col min="15776" max="15776" width="12.85546875" style="61" bestFit="1" customWidth="1"/>
    <col min="15777" max="15788" width="10.5703125" style="61" customWidth="1"/>
    <col min="15789" max="15789" width="11.140625" style="61" bestFit="1" customWidth="1"/>
    <col min="15790" max="15790" width="2.7109375" style="61" customWidth="1"/>
    <col min="15791" max="15791" width="9.85546875" style="61" bestFit="1" customWidth="1"/>
    <col min="15792" max="15793" width="9.140625" style="61"/>
    <col min="15794" max="15794" width="24" style="61" customWidth="1"/>
    <col min="15795" max="15797" width="9.140625" style="61"/>
    <col min="15798" max="15798" width="9" style="61" bestFit="1" customWidth="1"/>
    <col min="15799" max="15808" width="9.28515625" style="61" bestFit="1" customWidth="1"/>
    <col min="15809" max="15809" width="10.28515625" style="61" bestFit="1" customWidth="1"/>
    <col min="15810" max="15810" width="11.28515625" style="61" bestFit="1" customWidth="1"/>
    <col min="15811" max="15811" width="11.7109375" style="61" customWidth="1"/>
    <col min="15812" max="15812" width="9.140625" style="61"/>
    <col min="15813" max="15813" width="22.28515625" style="61" customWidth="1"/>
    <col min="15814" max="15814" width="9.140625" style="61"/>
    <col min="15815" max="15815" width="9.28515625" style="61" bestFit="1" customWidth="1"/>
    <col min="15816" max="15816" width="9.42578125" style="61" bestFit="1" customWidth="1"/>
    <col min="15817" max="15817" width="9.28515625" style="61" bestFit="1" customWidth="1"/>
    <col min="15818" max="15818" width="10.28515625" style="61" bestFit="1" customWidth="1"/>
    <col min="15819" max="15820" width="9.28515625" style="61" bestFit="1" customWidth="1"/>
    <col min="15821" max="15822" width="10.28515625" style="61" bestFit="1" customWidth="1"/>
    <col min="15823" max="15827" width="9.28515625" style="61" bestFit="1" customWidth="1"/>
    <col min="15828" max="15828" width="10.42578125" style="61" bestFit="1" customWidth="1"/>
    <col min="15829" max="15829" width="9.140625" style="61"/>
    <col min="15830" max="15830" width="24.85546875" style="61" customWidth="1"/>
    <col min="15831" max="15831" width="9.140625" style="61"/>
    <col min="15832" max="15844" width="9.28515625" style="61" bestFit="1" customWidth="1"/>
    <col min="15845" max="15845" width="10.28515625" style="61" bestFit="1" customWidth="1"/>
    <col min="15846" max="15846" width="9.5703125" style="61" bestFit="1" customWidth="1"/>
    <col min="15847" max="15847" width="18.5703125" style="61" customWidth="1"/>
    <col min="15848" max="15849" width="9.140625" style="61"/>
    <col min="15850" max="15852" width="12.140625" style="61" bestFit="1" customWidth="1"/>
    <col min="15853" max="15861" width="10.28515625" style="61" bestFit="1" customWidth="1"/>
    <col min="15862" max="15862" width="11.28515625" style="61" bestFit="1" customWidth="1"/>
    <col min="15863" max="15863" width="9.140625" style="61"/>
    <col min="15864" max="15864" width="19" style="61" customWidth="1"/>
    <col min="15865" max="15881" width="9.140625" style="61"/>
    <col min="15882" max="15892" width="11.28515625" style="61" bestFit="1" customWidth="1"/>
    <col min="15893" max="15893" width="10.28515625" style="61" bestFit="1" customWidth="1"/>
    <col min="15894" max="15894" width="12.85546875" style="61" bestFit="1" customWidth="1"/>
    <col min="15895" max="16017" width="9.140625" style="61"/>
    <col min="16018" max="16018" width="11" style="61" bestFit="1" customWidth="1"/>
    <col min="16019" max="16019" width="28.140625" style="61" bestFit="1" customWidth="1"/>
    <col min="16020" max="16020" width="14" style="61" bestFit="1" customWidth="1"/>
    <col min="16021" max="16021" width="9.140625" style="61"/>
    <col min="16022" max="16022" width="13.85546875" style="61" bestFit="1" customWidth="1"/>
    <col min="16023" max="16023" width="9.140625" style="61"/>
    <col min="16024" max="16024" width="14" style="61" customWidth="1"/>
    <col min="16025" max="16025" width="9.140625" style="61"/>
    <col min="16026" max="16026" width="12.85546875" style="61" bestFit="1" customWidth="1"/>
    <col min="16027" max="16027" width="10" style="61" customWidth="1"/>
    <col min="16028" max="16028" width="14" style="61" bestFit="1" customWidth="1"/>
    <col min="16029" max="16029" width="9.85546875" style="61" bestFit="1" customWidth="1"/>
    <col min="16030" max="16030" width="13.5703125" style="61" bestFit="1" customWidth="1"/>
    <col min="16031" max="16031" width="9.85546875" style="61" bestFit="1" customWidth="1"/>
    <col min="16032" max="16032" width="12.85546875" style="61" bestFit="1" customWidth="1"/>
    <col min="16033" max="16044" width="10.5703125" style="61" customWidth="1"/>
    <col min="16045" max="16045" width="11.140625" style="61" bestFit="1" customWidth="1"/>
    <col min="16046" max="16046" width="2.7109375" style="61" customWidth="1"/>
    <col min="16047" max="16047" width="9.85546875" style="61" bestFit="1" customWidth="1"/>
    <col min="16048" max="16049" width="9.140625" style="61"/>
    <col min="16050" max="16050" width="24" style="61" customWidth="1"/>
    <col min="16051" max="16053" width="9.140625" style="61"/>
    <col min="16054" max="16054" width="9" style="61" bestFit="1" customWidth="1"/>
    <col min="16055" max="16064" width="9.28515625" style="61" bestFit="1" customWidth="1"/>
    <col min="16065" max="16065" width="10.28515625" style="61" bestFit="1" customWidth="1"/>
    <col min="16066" max="16066" width="11.28515625" style="61" bestFit="1" customWidth="1"/>
    <col min="16067" max="16067" width="11.7109375" style="61" customWidth="1"/>
    <col min="16068" max="16068" width="9.140625" style="61"/>
    <col min="16069" max="16069" width="22.28515625" style="61" customWidth="1"/>
    <col min="16070" max="16070" width="9.140625" style="61"/>
    <col min="16071" max="16071" width="9.28515625" style="61" bestFit="1" customWidth="1"/>
    <col min="16072" max="16072" width="9.42578125" style="61" bestFit="1" customWidth="1"/>
    <col min="16073" max="16073" width="9.28515625" style="61" bestFit="1" customWidth="1"/>
    <col min="16074" max="16074" width="10.28515625" style="61" bestFit="1" customWidth="1"/>
    <col min="16075" max="16076" width="9.28515625" style="61" bestFit="1" customWidth="1"/>
    <col min="16077" max="16078" width="10.28515625" style="61" bestFit="1" customWidth="1"/>
    <col min="16079" max="16083" width="9.28515625" style="61" bestFit="1" customWidth="1"/>
    <col min="16084" max="16084" width="10.42578125" style="61" bestFit="1" customWidth="1"/>
    <col min="16085" max="16085" width="9.140625" style="61"/>
    <col min="16086" max="16086" width="24.85546875" style="61" customWidth="1"/>
    <col min="16087" max="16087" width="9.140625" style="61"/>
    <col min="16088" max="16100" width="9.28515625" style="61" bestFit="1" customWidth="1"/>
    <col min="16101" max="16101" width="10.28515625" style="61" bestFit="1" customWidth="1"/>
    <col min="16102" max="16102" width="9.5703125" style="61" bestFit="1" customWidth="1"/>
    <col min="16103" max="16103" width="18.5703125" style="61" customWidth="1"/>
    <col min="16104" max="16105" width="9.140625" style="61"/>
    <col min="16106" max="16108" width="12.140625" style="61" bestFit="1" customWidth="1"/>
    <col min="16109" max="16117" width="10.28515625" style="61" bestFit="1" customWidth="1"/>
    <col min="16118" max="16118" width="11.28515625" style="61" bestFit="1" customWidth="1"/>
    <col min="16119" max="16119" width="9.140625" style="61"/>
    <col min="16120" max="16120" width="19" style="61" customWidth="1"/>
    <col min="16121" max="16137" width="9.140625" style="61"/>
    <col min="16138" max="16148" width="11.28515625" style="61" bestFit="1" customWidth="1"/>
    <col min="16149" max="16149" width="10.28515625" style="61" bestFit="1" customWidth="1"/>
    <col min="16150" max="16150" width="12.85546875" style="61" bestFit="1" customWidth="1"/>
    <col min="16151" max="16384" width="9.140625" style="61"/>
  </cols>
  <sheetData>
    <row r="1" spans="1:22" x14ac:dyDescent="0.2">
      <c r="F1" s="43" t="s">
        <v>49</v>
      </c>
      <c r="G1" s="43" t="s">
        <v>48</v>
      </c>
      <c r="H1" s="43" t="s">
        <v>47</v>
      </c>
      <c r="I1" s="43" t="s">
        <v>46</v>
      </c>
      <c r="J1" s="43" t="s">
        <v>45</v>
      </c>
      <c r="K1" s="43" t="s">
        <v>44</v>
      </c>
      <c r="L1" s="43" t="s">
        <v>43</v>
      </c>
      <c r="M1" s="43" t="s">
        <v>42</v>
      </c>
      <c r="N1" s="43" t="s">
        <v>41</v>
      </c>
      <c r="O1" s="43" t="s">
        <v>40</v>
      </c>
      <c r="P1" s="43" t="s">
        <v>39</v>
      </c>
      <c r="Q1" s="43" t="s">
        <v>38</v>
      </c>
      <c r="R1" s="43" t="s">
        <v>37</v>
      </c>
    </row>
    <row r="2" spans="1:22" x14ac:dyDescent="0.2">
      <c r="B2" s="84" t="s">
        <v>144</v>
      </c>
      <c r="C2" s="49">
        <f>STATS!D9</f>
        <v>199</v>
      </c>
      <c r="F2" s="95">
        <f>'MO STATS'!E5</f>
        <v>11</v>
      </c>
      <c r="G2" s="95">
        <f>'MO STATS'!F5</f>
        <v>13</v>
      </c>
      <c r="H2" s="95">
        <f>'MO STATS'!G5</f>
        <v>10</v>
      </c>
      <c r="I2" s="95">
        <f>'MO STATS'!H5</f>
        <v>10</v>
      </c>
      <c r="J2" s="95">
        <f>'MO STATS'!I5</f>
        <v>21</v>
      </c>
      <c r="K2" s="95">
        <f>'MO STATS'!J5</f>
        <v>9</v>
      </c>
      <c r="L2" s="95">
        <f>'MO STATS'!K5</f>
        <v>33</v>
      </c>
      <c r="M2" s="95">
        <f>'MO STATS'!L5</f>
        <v>27</v>
      </c>
      <c r="N2" s="95">
        <f>'MO STATS'!M5</f>
        <v>20</v>
      </c>
      <c r="O2" s="95">
        <f>'MO STATS'!N5</f>
        <v>9</v>
      </c>
      <c r="P2" s="95">
        <f>'MO STATS'!O5</f>
        <v>18</v>
      </c>
      <c r="Q2" s="95">
        <f>'MO STATS'!P5</f>
        <v>18</v>
      </c>
      <c r="R2" s="83">
        <f>SUM(F2:Q2)</f>
        <v>199</v>
      </c>
      <c r="S2" s="48"/>
      <c r="T2" s="48">
        <f>C2-R2</f>
        <v>0</v>
      </c>
      <c r="U2" s="46"/>
      <c r="V2" s="46"/>
    </row>
    <row r="3" spans="1:22" x14ac:dyDescent="0.2">
      <c r="B3" s="84" t="s">
        <v>142</v>
      </c>
      <c r="C3" s="49">
        <f>STATS!D10</f>
        <v>4781</v>
      </c>
      <c r="F3" s="95">
        <f>'MO STATS'!E6</f>
        <v>275</v>
      </c>
      <c r="G3" s="95">
        <f>'MO STATS'!F6</f>
        <v>323</v>
      </c>
      <c r="H3" s="95">
        <f>'MO STATS'!G6</f>
        <v>240</v>
      </c>
      <c r="I3" s="95">
        <f>'MO STATS'!H6</f>
        <v>252</v>
      </c>
      <c r="J3" s="95">
        <f>'MO STATS'!I6</f>
        <v>499</v>
      </c>
      <c r="K3" s="95">
        <f>'MO STATS'!J6</f>
        <v>219</v>
      </c>
      <c r="L3" s="95">
        <f>'MO STATS'!K6</f>
        <v>783</v>
      </c>
      <c r="M3" s="95">
        <f>'MO STATS'!L6</f>
        <v>656</v>
      </c>
      <c r="N3" s="95">
        <f>'MO STATS'!M6</f>
        <v>481</v>
      </c>
      <c r="O3" s="95">
        <f>'MO STATS'!N6</f>
        <v>213</v>
      </c>
      <c r="P3" s="95">
        <f>'MO STATS'!O6</f>
        <v>439</v>
      </c>
      <c r="Q3" s="95">
        <f>'MO STATS'!P6</f>
        <v>401</v>
      </c>
      <c r="R3" s="83">
        <f t="shared" ref="R3:R5" si="0">SUM(F3:Q3)</f>
        <v>4781</v>
      </c>
      <c r="S3" s="48"/>
      <c r="T3" s="48">
        <f t="shared" ref="T3:T5" si="1">C3-R3</f>
        <v>0</v>
      </c>
      <c r="U3" s="46"/>
      <c r="V3" s="46"/>
    </row>
    <row r="4" spans="1:22" x14ac:dyDescent="0.2">
      <c r="B4" s="35" t="s">
        <v>141</v>
      </c>
      <c r="C4" s="49">
        <f>STATS!D11</f>
        <v>168</v>
      </c>
      <c r="F4" s="95">
        <f>'MO STATS'!E7</f>
        <v>9</v>
      </c>
      <c r="G4" s="95">
        <f>'MO STATS'!F7</f>
        <v>13</v>
      </c>
      <c r="H4" s="95">
        <f>'MO STATS'!G7</f>
        <v>12</v>
      </c>
      <c r="I4" s="95">
        <f>'MO STATS'!H7</f>
        <v>12</v>
      </c>
      <c r="J4" s="95">
        <f>'MO STATS'!I7</f>
        <v>16</v>
      </c>
      <c r="K4" s="95">
        <f>'MO STATS'!J7</f>
        <v>12</v>
      </c>
      <c r="L4" s="95">
        <f>'MO STATS'!K7</f>
        <v>21</v>
      </c>
      <c r="M4" s="95">
        <f>'MO STATS'!L7</f>
        <v>25</v>
      </c>
      <c r="N4" s="95">
        <f>'MO STATS'!M7</f>
        <v>15</v>
      </c>
      <c r="O4" s="95">
        <f>'MO STATS'!N7</f>
        <v>9</v>
      </c>
      <c r="P4" s="95">
        <f>'MO STATS'!O7</f>
        <v>14</v>
      </c>
      <c r="Q4" s="95">
        <f>'MO STATS'!P7</f>
        <v>10</v>
      </c>
      <c r="R4" s="83">
        <f t="shared" si="0"/>
        <v>168</v>
      </c>
      <c r="S4" s="48"/>
      <c r="T4" s="48">
        <f t="shared" si="1"/>
        <v>0</v>
      </c>
      <c r="U4" s="46"/>
      <c r="V4" s="46"/>
    </row>
    <row r="5" spans="1:22" x14ac:dyDescent="0.2">
      <c r="B5" s="35" t="s">
        <v>149</v>
      </c>
      <c r="C5" s="620">
        <f>STATS!D12</f>
        <v>30</v>
      </c>
      <c r="F5" s="95">
        <f>'MO STATS'!E8</f>
        <v>2</v>
      </c>
      <c r="G5" s="95">
        <f>'MO STATS'!F8</f>
        <v>1</v>
      </c>
      <c r="H5" s="95">
        <f>'MO STATS'!G8</f>
        <v>1</v>
      </c>
      <c r="I5" s="95">
        <f>'MO STATS'!H8</f>
        <v>1</v>
      </c>
      <c r="J5" s="95">
        <f>'MO STATS'!I8</f>
        <v>2</v>
      </c>
      <c r="K5" s="95">
        <f>'MO STATS'!J8</f>
        <v>2</v>
      </c>
      <c r="L5" s="95">
        <f>'MO STATS'!K8</f>
        <v>5</v>
      </c>
      <c r="M5" s="95">
        <f>'MO STATS'!L8</f>
        <v>6</v>
      </c>
      <c r="N5" s="95">
        <f>'MO STATS'!M8</f>
        <v>2</v>
      </c>
      <c r="O5" s="95">
        <f>'MO STATS'!N8</f>
        <v>3</v>
      </c>
      <c r="P5" s="95">
        <f>'MO STATS'!O8</f>
        <v>3</v>
      </c>
      <c r="Q5" s="95">
        <f>'MO STATS'!P8</f>
        <v>2</v>
      </c>
      <c r="R5" s="83">
        <f t="shared" si="0"/>
        <v>30</v>
      </c>
      <c r="S5" s="48"/>
      <c r="T5" s="48">
        <f t="shared" si="1"/>
        <v>0</v>
      </c>
      <c r="U5" s="46"/>
      <c r="V5" s="46"/>
    </row>
    <row r="6" spans="1:22" x14ac:dyDescent="0.2">
      <c r="B6" s="35"/>
      <c r="C6" s="49"/>
      <c r="F6" s="82"/>
      <c r="G6" s="82"/>
      <c r="H6" s="82"/>
      <c r="I6" s="82"/>
      <c r="J6" s="82"/>
      <c r="K6" s="82"/>
      <c r="L6" s="82"/>
      <c r="M6" s="82"/>
      <c r="N6" s="46"/>
      <c r="O6" s="46"/>
      <c r="P6" s="46"/>
      <c r="Q6" s="46"/>
      <c r="R6" s="83"/>
      <c r="S6" s="46"/>
      <c r="T6" s="46"/>
      <c r="U6" s="46"/>
      <c r="V6" s="46"/>
    </row>
    <row r="7" spans="1:22" x14ac:dyDescent="0.2">
      <c r="A7" s="712" t="s">
        <v>35</v>
      </c>
      <c r="B7" s="712"/>
      <c r="C7" s="712"/>
      <c r="D7" s="712"/>
      <c r="E7" s="94"/>
    </row>
    <row r="8" spans="1:22" ht="26.25" customHeight="1" x14ac:dyDescent="0.2">
      <c r="A8" s="21"/>
      <c r="B8" s="10" t="s">
        <v>375</v>
      </c>
      <c r="C8" s="86" t="s">
        <v>348</v>
      </c>
      <c r="D8" s="85" t="s">
        <v>351</v>
      </c>
      <c r="E8" s="86"/>
      <c r="F8" s="43" t="s">
        <v>49</v>
      </c>
      <c r="G8" s="43" t="s">
        <v>48</v>
      </c>
      <c r="H8" s="43" t="s">
        <v>47</v>
      </c>
      <c r="I8" s="43" t="s">
        <v>46</v>
      </c>
      <c r="J8" s="43" t="s">
        <v>45</v>
      </c>
      <c r="K8" s="43" t="s">
        <v>44</v>
      </c>
      <c r="L8" s="43" t="s">
        <v>43</v>
      </c>
      <c r="M8" s="43" t="s">
        <v>42</v>
      </c>
      <c r="N8" s="43" t="s">
        <v>41</v>
      </c>
      <c r="O8" s="43" t="s">
        <v>40</v>
      </c>
      <c r="P8" s="43" t="s">
        <v>39</v>
      </c>
      <c r="Q8" s="43" t="s">
        <v>38</v>
      </c>
      <c r="R8" s="43" t="s">
        <v>37</v>
      </c>
    </row>
    <row r="9" spans="1:22" x14ac:dyDescent="0.2">
      <c r="A9" s="16"/>
      <c r="B9" s="29" t="s">
        <v>352</v>
      </c>
      <c r="C9" s="28">
        <f>C$5*D9</f>
        <v>690</v>
      </c>
      <c r="D9" s="57">
        <f>[5]Observation!$J$16</f>
        <v>23</v>
      </c>
      <c r="E9" s="50"/>
      <c r="F9" s="401">
        <f>$D9*F$5</f>
        <v>46</v>
      </c>
      <c r="G9" s="401">
        <f t="shared" ref="G9:Q9" si="2">$D9*G$5</f>
        <v>23</v>
      </c>
      <c r="H9" s="401">
        <f t="shared" si="2"/>
        <v>23</v>
      </c>
      <c r="I9" s="401">
        <f t="shared" si="2"/>
        <v>23</v>
      </c>
      <c r="J9" s="401">
        <f t="shared" si="2"/>
        <v>46</v>
      </c>
      <c r="K9" s="401">
        <f t="shared" si="2"/>
        <v>46</v>
      </c>
      <c r="L9" s="401">
        <f t="shared" si="2"/>
        <v>115</v>
      </c>
      <c r="M9" s="401">
        <f t="shared" si="2"/>
        <v>138</v>
      </c>
      <c r="N9" s="401">
        <f t="shared" si="2"/>
        <v>46</v>
      </c>
      <c r="O9" s="401">
        <f t="shared" si="2"/>
        <v>69</v>
      </c>
      <c r="P9" s="401">
        <f t="shared" si="2"/>
        <v>69</v>
      </c>
      <c r="Q9" s="401">
        <f t="shared" si="2"/>
        <v>46</v>
      </c>
      <c r="R9" s="403">
        <f>SUM(F9:Q9)</f>
        <v>690</v>
      </c>
      <c r="T9" s="48">
        <f>C9-R9</f>
        <v>0</v>
      </c>
    </row>
    <row r="10" spans="1:22" x14ac:dyDescent="0.2">
      <c r="A10" s="16"/>
      <c r="B10" s="29" t="s">
        <v>353</v>
      </c>
      <c r="C10" s="28">
        <f>C$5*D10</f>
        <v>720</v>
      </c>
      <c r="D10" s="57">
        <f>[5]Observation!$J$17</f>
        <v>24</v>
      </c>
      <c r="E10" s="50"/>
      <c r="F10" s="401">
        <f t="shared" ref="F10:Q15" si="3">$D10*F$5</f>
        <v>48</v>
      </c>
      <c r="G10" s="401">
        <f t="shared" si="3"/>
        <v>24</v>
      </c>
      <c r="H10" s="401">
        <f t="shared" si="3"/>
        <v>24</v>
      </c>
      <c r="I10" s="401">
        <f t="shared" si="3"/>
        <v>24</v>
      </c>
      <c r="J10" s="401">
        <f t="shared" si="3"/>
        <v>48</v>
      </c>
      <c r="K10" s="401">
        <f t="shared" si="3"/>
        <v>48</v>
      </c>
      <c r="L10" s="401">
        <f t="shared" si="3"/>
        <v>120</v>
      </c>
      <c r="M10" s="401">
        <f t="shared" si="3"/>
        <v>144</v>
      </c>
      <c r="N10" s="401">
        <f t="shared" si="3"/>
        <v>48</v>
      </c>
      <c r="O10" s="401">
        <f t="shared" si="3"/>
        <v>72</v>
      </c>
      <c r="P10" s="401">
        <f t="shared" si="3"/>
        <v>72</v>
      </c>
      <c r="Q10" s="401">
        <f t="shared" si="3"/>
        <v>48</v>
      </c>
      <c r="R10" s="403">
        <f t="shared" ref="R10:R16" si="4">SUM(F10:Q10)</f>
        <v>720</v>
      </c>
      <c r="T10" s="48">
        <f t="shared" ref="T10:T25" si="5">C10-R10</f>
        <v>0</v>
      </c>
    </row>
    <row r="11" spans="1:22" x14ac:dyDescent="0.2">
      <c r="A11" s="16"/>
      <c r="B11" s="29" t="s">
        <v>355</v>
      </c>
      <c r="C11" s="28">
        <f t="shared" ref="C11:C15" si="6">C$5*D11</f>
        <v>1080</v>
      </c>
      <c r="D11" s="57">
        <f>[5]Observation!$J$18</f>
        <v>36</v>
      </c>
      <c r="E11" s="50"/>
      <c r="F11" s="401">
        <f t="shared" si="3"/>
        <v>72</v>
      </c>
      <c r="G11" s="401">
        <f t="shared" si="3"/>
        <v>36</v>
      </c>
      <c r="H11" s="401">
        <f t="shared" si="3"/>
        <v>36</v>
      </c>
      <c r="I11" s="401">
        <f t="shared" si="3"/>
        <v>36</v>
      </c>
      <c r="J11" s="401">
        <f t="shared" si="3"/>
        <v>72</v>
      </c>
      <c r="K11" s="401">
        <f t="shared" si="3"/>
        <v>72</v>
      </c>
      <c r="L11" s="401">
        <f t="shared" si="3"/>
        <v>180</v>
      </c>
      <c r="M11" s="401">
        <f t="shared" si="3"/>
        <v>216</v>
      </c>
      <c r="N11" s="401">
        <f t="shared" si="3"/>
        <v>72</v>
      </c>
      <c r="O11" s="401">
        <f t="shared" si="3"/>
        <v>108</v>
      </c>
      <c r="P11" s="401">
        <f t="shared" si="3"/>
        <v>108</v>
      </c>
      <c r="Q11" s="401">
        <f t="shared" si="3"/>
        <v>72</v>
      </c>
      <c r="R11" s="403">
        <f t="shared" si="4"/>
        <v>1080</v>
      </c>
      <c r="T11" s="48">
        <f t="shared" si="5"/>
        <v>0</v>
      </c>
    </row>
    <row r="12" spans="1:22" x14ac:dyDescent="0.2">
      <c r="A12" s="16"/>
      <c r="B12" s="55" t="s">
        <v>370</v>
      </c>
      <c r="C12" s="28">
        <f t="shared" si="6"/>
        <v>0</v>
      </c>
      <c r="D12" s="57">
        <f>[8]OBS!$K$17</f>
        <v>0</v>
      </c>
      <c r="E12" s="50"/>
      <c r="F12" s="401">
        <f t="shared" si="3"/>
        <v>0</v>
      </c>
      <c r="G12" s="401">
        <f t="shared" si="3"/>
        <v>0</v>
      </c>
      <c r="H12" s="401">
        <f t="shared" si="3"/>
        <v>0</v>
      </c>
      <c r="I12" s="401">
        <f t="shared" si="3"/>
        <v>0</v>
      </c>
      <c r="J12" s="401">
        <f t="shared" si="3"/>
        <v>0</v>
      </c>
      <c r="K12" s="401">
        <f t="shared" si="3"/>
        <v>0</v>
      </c>
      <c r="L12" s="401">
        <f t="shared" si="3"/>
        <v>0</v>
      </c>
      <c r="M12" s="401">
        <f t="shared" si="3"/>
        <v>0</v>
      </c>
      <c r="N12" s="401">
        <f t="shared" si="3"/>
        <v>0</v>
      </c>
      <c r="O12" s="401">
        <f t="shared" si="3"/>
        <v>0</v>
      </c>
      <c r="P12" s="401">
        <f t="shared" si="3"/>
        <v>0</v>
      </c>
      <c r="Q12" s="401">
        <f t="shared" si="3"/>
        <v>0</v>
      </c>
      <c r="R12" s="403">
        <f t="shared" si="4"/>
        <v>0</v>
      </c>
      <c r="T12" s="48">
        <f t="shared" si="5"/>
        <v>0</v>
      </c>
    </row>
    <row r="13" spans="1:22" x14ac:dyDescent="0.2">
      <c r="A13" s="16"/>
      <c r="B13" s="55" t="s">
        <v>356</v>
      </c>
      <c r="C13" s="28">
        <f t="shared" si="6"/>
        <v>0</v>
      </c>
      <c r="D13" s="57">
        <v>0</v>
      </c>
      <c r="E13" s="50"/>
      <c r="F13" s="401">
        <f t="shared" si="3"/>
        <v>0</v>
      </c>
      <c r="G13" s="401">
        <f t="shared" si="3"/>
        <v>0</v>
      </c>
      <c r="H13" s="401">
        <f t="shared" si="3"/>
        <v>0</v>
      </c>
      <c r="I13" s="401">
        <f t="shared" si="3"/>
        <v>0</v>
      </c>
      <c r="J13" s="401">
        <f t="shared" si="3"/>
        <v>0</v>
      </c>
      <c r="K13" s="401">
        <f t="shared" si="3"/>
        <v>0</v>
      </c>
      <c r="L13" s="401">
        <f t="shared" si="3"/>
        <v>0</v>
      </c>
      <c r="M13" s="401">
        <f t="shared" si="3"/>
        <v>0</v>
      </c>
      <c r="N13" s="401">
        <f t="shared" si="3"/>
        <v>0</v>
      </c>
      <c r="O13" s="401">
        <f t="shared" si="3"/>
        <v>0</v>
      </c>
      <c r="P13" s="401">
        <f t="shared" si="3"/>
        <v>0</v>
      </c>
      <c r="Q13" s="401">
        <f t="shared" si="3"/>
        <v>0</v>
      </c>
      <c r="R13" s="403">
        <f t="shared" si="4"/>
        <v>0</v>
      </c>
      <c r="T13" s="48">
        <f t="shared" si="5"/>
        <v>0</v>
      </c>
    </row>
    <row r="14" spans="1:22" x14ac:dyDescent="0.2">
      <c r="A14" s="16"/>
      <c r="B14" s="55" t="s">
        <v>354</v>
      </c>
      <c r="C14" s="28">
        <f t="shared" si="6"/>
        <v>3750</v>
      </c>
      <c r="D14" s="57">
        <f>[5]Observation!$J$21</f>
        <v>125</v>
      </c>
      <c r="E14" s="50"/>
      <c r="F14" s="401">
        <f t="shared" si="3"/>
        <v>250</v>
      </c>
      <c r="G14" s="401">
        <f t="shared" si="3"/>
        <v>125</v>
      </c>
      <c r="H14" s="401">
        <f t="shared" si="3"/>
        <v>125</v>
      </c>
      <c r="I14" s="401">
        <f t="shared" si="3"/>
        <v>125</v>
      </c>
      <c r="J14" s="401">
        <f t="shared" si="3"/>
        <v>250</v>
      </c>
      <c r="K14" s="401">
        <f t="shared" si="3"/>
        <v>250</v>
      </c>
      <c r="L14" s="401">
        <f t="shared" si="3"/>
        <v>625</v>
      </c>
      <c r="M14" s="401">
        <f t="shared" si="3"/>
        <v>750</v>
      </c>
      <c r="N14" s="401">
        <f t="shared" si="3"/>
        <v>250</v>
      </c>
      <c r="O14" s="401">
        <f t="shared" si="3"/>
        <v>375</v>
      </c>
      <c r="P14" s="401">
        <f t="shared" si="3"/>
        <v>375</v>
      </c>
      <c r="Q14" s="401">
        <f t="shared" si="3"/>
        <v>250</v>
      </c>
      <c r="R14" s="403">
        <f t="shared" si="4"/>
        <v>3750</v>
      </c>
      <c r="T14" s="48">
        <f t="shared" si="5"/>
        <v>0</v>
      </c>
    </row>
    <row r="15" spans="1:22" ht="13.5" customHeight="1" x14ac:dyDescent="0.2">
      <c r="A15" s="16"/>
      <c r="B15" s="55" t="s">
        <v>371</v>
      </c>
      <c r="C15" s="28">
        <f t="shared" si="6"/>
        <v>0</v>
      </c>
      <c r="D15" s="57">
        <v>0</v>
      </c>
      <c r="E15" s="50"/>
      <c r="F15" s="401">
        <f t="shared" si="3"/>
        <v>0</v>
      </c>
      <c r="G15" s="401">
        <f t="shared" si="3"/>
        <v>0</v>
      </c>
      <c r="H15" s="401">
        <f t="shared" si="3"/>
        <v>0</v>
      </c>
      <c r="I15" s="401">
        <f t="shared" si="3"/>
        <v>0</v>
      </c>
      <c r="J15" s="401">
        <f t="shared" si="3"/>
        <v>0</v>
      </c>
      <c r="K15" s="401">
        <f t="shared" si="3"/>
        <v>0</v>
      </c>
      <c r="L15" s="401">
        <f t="shared" si="3"/>
        <v>0</v>
      </c>
      <c r="M15" s="401">
        <f t="shared" si="3"/>
        <v>0</v>
      </c>
      <c r="N15" s="401">
        <f t="shared" si="3"/>
        <v>0</v>
      </c>
      <c r="O15" s="401">
        <f t="shared" si="3"/>
        <v>0</v>
      </c>
      <c r="P15" s="401">
        <f t="shared" si="3"/>
        <v>0</v>
      </c>
      <c r="Q15" s="401">
        <f t="shared" si="3"/>
        <v>0</v>
      </c>
      <c r="R15" s="403">
        <f t="shared" si="4"/>
        <v>0</v>
      </c>
      <c r="T15" s="48">
        <f t="shared" si="5"/>
        <v>0</v>
      </c>
    </row>
    <row r="16" spans="1:22" s="60" customFormat="1" ht="13.5" customHeight="1" x14ac:dyDescent="0.2">
      <c r="A16" s="87">
        <v>31110.008000000002</v>
      </c>
      <c r="B16" s="161" t="s">
        <v>368</v>
      </c>
      <c r="C16" s="293">
        <f>SUM(C9:C15)</f>
        <v>6240</v>
      </c>
      <c r="D16" s="295"/>
      <c r="E16" s="295"/>
      <c r="F16" s="399">
        <f>SUM(F9:F15)</f>
        <v>416</v>
      </c>
      <c r="G16" s="399">
        <f t="shared" ref="G16:Q16" si="7">SUM(G9:G15)</f>
        <v>208</v>
      </c>
      <c r="H16" s="399">
        <f t="shared" si="7"/>
        <v>208</v>
      </c>
      <c r="I16" s="399">
        <f t="shared" si="7"/>
        <v>208</v>
      </c>
      <c r="J16" s="399">
        <f t="shared" si="7"/>
        <v>416</v>
      </c>
      <c r="K16" s="399">
        <f t="shared" si="7"/>
        <v>416</v>
      </c>
      <c r="L16" s="399">
        <f t="shared" si="7"/>
        <v>1040</v>
      </c>
      <c r="M16" s="399">
        <f t="shared" si="7"/>
        <v>1248</v>
      </c>
      <c r="N16" s="399">
        <f t="shared" si="7"/>
        <v>416</v>
      </c>
      <c r="O16" s="399">
        <f t="shared" si="7"/>
        <v>624</v>
      </c>
      <c r="P16" s="399">
        <f t="shared" si="7"/>
        <v>624</v>
      </c>
      <c r="Q16" s="399">
        <f t="shared" si="7"/>
        <v>416</v>
      </c>
      <c r="R16" s="399">
        <f t="shared" si="4"/>
        <v>6240</v>
      </c>
      <c r="S16" s="296"/>
      <c r="T16" s="294">
        <f t="shared" si="5"/>
        <v>0</v>
      </c>
      <c r="U16" s="49"/>
      <c r="V16" s="49"/>
    </row>
    <row r="17" spans="1:22" x14ac:dyDescent="0.2">
      <c r="A17" s="16"/>
      <c r="B17" s="29" t="s">
        <v>358</v>
      </c>
      <c r="C17" s="28">
        <f>(C$4-C$5)*D17</f>
        <v>44528</v>
      </c>
      <c r="D17" s="57">
        <f>[8]OBS!$K$24</f>
        <v>322.66666666666669</v>
      </c>
      <c r="E17" s="50"/>
      <c r="F17" s="401">
        <f>$D17*(F$4-F$5)</f>
        <v>2258.666666666667</v>
      </c>
      <c r="G17" s="401">
        <f t="shared" ref="G17:Q17" si="8">$D17*(G$4-G$5)</f>
        <v>3872</v>
      </c>
      <c r="H17" s="401">
        <f t="shared" si="8"/>
        <v>3549.3333333333335</v>
      </c>
      <c r="I17" s="401">
        <f t="shared" si="8"/>
        <v>3549.3333333333335</v>
      </c>
      <c r="J17" s="401">
        <f t="shared" si="8"/>
        <v>4517.3333333333339</v>
      </c>
      <c r="K17" s="401">
        <f t="shared" si="8"/>
        <v>3226.666666666667</v>
      </c>
      <c r="L17" s="401">
        <f t="shared" si="8"/>
        <v>5162.666666666667</v>
      </c>
      <c r="M17" s="401">
        <f t="shared" si="8"/>
        <v>6130.666666666667</v>
      </c>
      <c r="N17" s="401">
        <f t="shared" si="8"/>
        <v>4194.666666666667</v>
      </c>
      <c r="O17" s="401">
        <f t="shared" si="8"/>
        <v>1936</v>
      </c>
      <c r="P17" s="401">
        <f t="shared" si="8"/>
        <v>3549.3333333333335</v>
      </c>
      <c r="Q17" s="401">
        <f t="shared" si="8"/>
        <v>2581.3333333333335</v>
      </c>
      <c r="R17" s="403">
        <f t="shared" ref="R17:R23" si="9">SUM(F17:Q17)</f>
        <v>44528.000000000007</v>
      </c>
      <c r="T17" s="48">
        <f t="shared" si="5"/>
        <v>0</v>
      </c>
    </row>
    <row r="18" spans="1:22" x14ac:dyDescent="0.2">
      <c r="A18" s="16"/>
      <c r="B18" s="29" t="s">
        <v>359</v>
      </c>
      <c r="C18" s="28">
        <f t="shared" ref="C18:C23" si="10">(C$4-C$5)*D18</f>
        <v>401.45454545454544</v>
      </c>
      <c r="D18" s="57">
        <f>[8]OBS!$K$25</f>
        <v>2.9090909090909092</v>
      </c>
      <c r="E18" s="50"/>
      <c r="F18" s="401">
        <f t="shared" ref="F18:Q23" si="11">$D18*(F$4-F$5)</f>
        <v>20.363636363636363</v>
      </c>
      <c r="G18" s="401">
        <f t="shared" si="11"/>
        <v>34.909090909090907</v>
      </c>
      <c r="H18" s="401">
        <f t="shared" si="11"/>
        <v>32</v>
      </c>
      <c r="I18" s="401">
        <f t="shared" si="11"/>
        <v>32</v>
      </c>
      <c r="J18" s="401">
        <f t="shared" si="11"/>
        <v>40.727272727272727</v>
      </c>
      <c r="K18" s="401">
        <f t="shared" si="11"/>
        <v>29.090909090909093</v>
      </c>
      <c r="L18" s="401">
        <f t="shared" si="11"/>
        <v>46.545454545454547</v>
      </c>
      <c r="M18" s="401">
        <f t="shared" si="11"/>
        <v>55.272727272727273</v>
      </c>
      <c r="N18" s="401">
        <f t="shared" si="11"/>
        <v>37.81818181818182</v>
      </c>
      <c r="O18" s="401">
        <f t="shared" si="11"/>
        <v>17.454545454545453</v>
      </c>
      <c r="P18" s="401">
        <f t="shared" si="11"/>
        <v>32</v>
      </c>
      <c r="Q18" s="401">
        <f t="shared" si="11"/>
        <v>23.272727272727273</v>
      </c>
      <c r="R18" s="403">
        <f t="shared" si="9"/>
        <v>401.45454545454538</v>
      </c>
      <c r="T18" s="48">
        <f t="shared" si="5"/>
        <v>0</v>
      </c>
    </row>
    <row r="19" spans="1:22" x14ac:dyDescent="0.2">
      <c r="A19" s="16"/>
      <c r="B19" s="29" t="s">
        <v>372</v>
      </c>
      <c r="C19" s="28">
        <f t="shared" si="10"/>
        <v>8698.181818181818</v>
      </c>
      <c r="D19" s="57">
        <f>[8]OBS!$K$26</f>
        <v>63.030303030303031</v>
      </c>
      <c r="E19" s="50"/>
      <c r="F19" s="401">
        <f t="shared" si="11"/>
        <v>441.21212121212125</v>
      </c>
      <c r="G19" s="401">
        <f t="shared" si="11"/>
        <v>756.36363636363637</v>
      </c>
      <c r="H19" s="401">
        <f t="shared" si="11"/>
        <v>693.33333333333337</v>
      </c>
      <c r="I19" s="401">
        <f t="shared" si="11"/>
        <v>693.33333333333337</v>
      </c>
      <c r="J19" s="401">
        <f t="shared" si="11"/>
        <v>882.42424242424249</v>
      </c>
      <c r="K19" s="401">
        <f t="shared" si="11"/>
        <v>630.30303030303025</v>
      </c>
      <c r="L19" s="401">
        <f t="shared" si="11"/>
        <v>1008.4848484848485</v>
      </c>
      <c r="M19" s="401">
        <f t="shared" si="11"/>
        <v>1197.5757575757575</v>
      </c>
      <c r="N19" s="401">
        <f t="shared" si="11"/>
        <v>819.39393939393938</v>
      </c>
      <c r="O19" s="401">
        <f t="shared" si="11"/>
        <v>378.18181818181819</v>
      </c>
      <c r="P19" s="401">
        <f t="shared" si="11"/>
        <v>693.33333333333337</v>
      </c>
      <c r="Q19" s="401">
        <f t="shared" si="11"/>
        <v>504.24242424242425</v>
      </c>
      <c r="R19" s="403">
        <f t="shared" si="9"/>
        <v>8698.181818181818</v>
      </c>
      <c r="T19" s="48">
        <f t="shared" si="5"/>
        <v>0</v>
      </c>
    </row>
    <row r="20" spans="1:22" x14ac:dyDescent="0.2">
      <c r="A20" s="16"/>
      <c r="B20" s="29" t="s">
        <v>373</v>
      </c>
      <c r="C20" s="28">
        <f t="shared" si="10"/>
        <v>0</v>
      </c>
      <c r="D20" s="57"/>
      <c r="E20" s="50"/>
      <c r="F20" s="401">
        <f t="shared" si="11"/>
        <v>0</v>
      </c>
      <c r="G20" s="401">
        <f t="shared" si="11"/>
        <v>0</v>
      </c>
      <c r="H20" s="401">
        <f t="shared" si="11"/>
        <v>0</v>
      </c>
      <c r="I20" s="401">
        <f t="shared" si="11"/>
        <v>0</v>
      </c>
      <c r="J20" s="401">
        <f t="shared" si="11"/>
        <v>0</v>
      </c>
      <c r="K20" s="401">
        <f t="shared" si="11"/>
        <v>0</v>
      </c>
      <c r="L20" s="401">
        <f t="shared" si="11"/>
        <v>0</v>
      </c>
      <c r="M20" s="401">
        <f t="shared" si="11"/>
        <v>0</v>
      </c>
      <c r="N20" s="401">
        <f t="shared" si="11"/>
        <v>0</v>
      </c>
      <c r="O20" s="401">
        <f t="shared" si="11"/>
        <v>0</v>
      </c>
      <c r="P20" s="401">
        <f t="shared" si="11"/>
        <v>0</v>
      </c>
      <c r="Q20" s="401">
        <f t="shared" si="11"/>
        <v>0</v>
      </c>
      <c r="R20" s="403">
        <f t="shared" si="9"/>
        <v>0</v>
      </c>
      <c r="T20" s="48">
        <f t="shared" si="5"/>
        <v>0</v>
      </c>
    </row>
    <row r="21" spans="1:22" x14ac:dyDescent="0.2">
      <c r="A21" s="16"/>
      <c r="B21" s="29" t="s">
        <v>361</v>
      </c>
      <c r="C21" s="28">
        <f t="shared" si="10"/>
        <v>5653.818181818182</v>
      </c>
      <c r="D21" s="57">
        <f>[8]OBS!$K$28</f>
        <v>40.969696969696969</v>
      </c>
      <c r="E21" s="50"/>
      <c r="F21" s="401">
        <f t="shared" si="11"/>
        <v>286.78787878787875</v>
      </c>
      <c r="G21" s="401">
        <f t="shared" si="11"/>
        <v>491.63636363636363</v>
      </c>
      <c r="H21" s="401">
        <f t="shared" si="11"/>
        <v>450.66666666666663</v>
      </c>
      <c r="I21" s="401">
        <f t="shared" si="11"/>
        <v>450.66666666666663</v>
      </c>
      <c r="J21" s="401">
        <f t="shared" si="11"/>
        <v>573.57575757575751</v>
      </c>
      <c r="K21" s="401">
        <f t="shared" si="11"/>
        <v>409.69696969696969</v>
      </c>
      <c r="L21" s="401">
        <f t="shared" si="11"/>
        <v>655.5151515151515</v>
      </c>
      <c r="M21" s="401">
        <f t="shared" si="11"/>
        <v>778.42424242424238</v>
      </c>
      <c r="N21" s="401">
        <f t="shared" si="11"/>
        <v>532.60606060606062</v>
      </c>
      <c r="O21" s="401">
        <f t="shared" si="11"/>
        <v>245.81818181818181</v>
      </c>
      <c r="P21" s="401">
        <f t="shared" si="11"/>
        <v>450.66666666666663</v>
      </c>
      <c r="Q21" s="401">
        <f t="shared" si="11"/>
        <v>327.75757575757575</v>
      </c>
      <c r="R21" s="403">
        <f t="shared" si="9"/>
        <v>5653.818181818182</v>
      </c>
      <c r="T21" s="48">
        <f t="shared" si="5"/>
        <v>0</v>
      </c>
    </row>
    <row r="22" spans="1:22" x14ac:dyDescent="0.2">
      <c r="A22" s="16"/>
      <c r="B22" s="29" t="s">
        <v>360</v>
      </c>
      <c r="C22" s="28">
        <f t="shared" si="10"/>
        <v>30276.36363636364</v>
      </c>
      <c r="D22" s="57">
        <f>[8]OBS!$K$29</f>
        <v>219.39393939393941</v>
      </c>
      <c r="E22" s="50"/>
      <c r="F22" s="401">
        <f t="shared" si="11"/>
        <v>1535.7575757575758</v>
      </c>
      <c r="G22" s="401">
        <f t="shared" si="11"/>
        <v>2632.727272727273</v>
      </c>
      <c r="H22" s="401">
        <f t="shared" si="11"/>
        <v>2413.3333333333335</v>
      </c>
      <c r="I22" s="401">
        <f t="shared" si="11"/>
        <v>2413.3333333333335</v>
      </c>
      <c r="J22" s="401">
        <f t="shared" si="11"/>
        <v>3071.5151515151515</v>
      </c>
      <c r="K22" s="401">
        <f t="shared" si="11"/>
        <v>2193.939393939394</v>
      </c>
      <c r="L22" s="401">
        <f t="shared" si="11"/>
        <v>3510.3030303030305</v>
      </c>
      <c r="M22" s="401">
        <f t="shared" si="11"/>
        <v>4168.484848484849</v>
      </c>
      <c r="N22" s="401">
        <f t="shared" si="11"/>
        <v>2852.1212121212125</v>
      </c>
      <c r="O22" s="401">
        <f t="shared" si="11"/>
        <v>1316.3636363636365</v>
      </c>
      <c r="P22" s="401">
        <f t="shared" si="11"/>
        <v>2413.3333333333335</v>
      </c>
      <c r="Q22" s="401">
        <f t="shared" si="11"/>
        <v>1755.1515151515152</v>
      </c>
      <c r="R22" s="403">
        <f t="shared" si="9"/>
        <v>30276.363636363636</v>
      </c>
      <c r="T22" s="48">
        <f t="shared" si="5"/>
        <v>0</v>
      </c>
    </row>
    <row r="23" spans="1:22" x14ac:dyDescent="0.2">
      <c r="A23" s="16"/>
      <c r="B23" s="29" t="s">
        <v>374</v>
      </c>
      <c r="C23" s="28">
        <f t="shared" si="10"/>
        <v>7995.6363636363631</v>
      </c>
      <c r="D23" s="57">
        <f>[8]OBS!$K$30</f>
        <v>57.939393939393938</v>
      </c>
      <c r="E23" s="50"/>
      <c r="F23" s="401">
        <f t="shared" si="11"/>
        <v>405.57575757575756</v>
      </c>
      <c r="G23" s="401">
        <f t="shared" si="11"/>
        <v>695.27272727272725</v>
      </c>
      <c r="H23" s="401">
        <f t="shared" si="11"/>
        <v>637.33333333333326</v>
      </c>
      <c r="I23" s="401">
        <f t="shared" si="11"/>
        <v>637.33333333333326</v>
      </c>
      <c r="J23" s="401">
        <f t="shared" si="11"/>
        <v>811.15151515151513</v>
      </c>
      <c r="K23" s="401">
        <f t="shared" si="11"/>
        <v>579.39393939393938</v>
      </c>
      <c r="L23" s="401">
        <f t="shared" si="11"/>
        <v>927.030303030303</v>
      </c>
      <c r="M23" s="401">
        <f t="shared" si="11"/>
        <v>1100.8484848484848</v>
      </c>
      <c r="N23" s="401">
        <f t="shared" si="11"/>
        <v>753.21212121212125</v>
      </c>
      <c r="O23" s="401">
        <f t="shared" si="11"/>
        <v>347.63636363636363</v>
      </c>
      <c r="P23" s="401">
        <f t="shared" si="11"/>
        <v>637.33333333333326</v>
      </c>
      <c r="Q23" s="401">
        <f t="shared" si="11"/>
        <v>463.5151515151515</v>
      </c>
      <c r="R23" s="403">
        <f t="shared" si="9"/>
        <v>7995.6363636363621</v>
      </c>
      <c r="T23" s="48">
        <f t="shared" si="5"/>
        <v>0</v>
      </c>
    </row>
    <row r="24" spans="1:22" s="60" customFormat="1" x14ac:dyDescent="0.2">
      <c r="A24" s="87">
        <v>31200.008000000002</v>
      </c>
      <c r="B24" s="161" t="s">
        <v>369</v>
      </c>
      <c r="C24" s="293">
        <f>SUM(C17:C23)</f>
        <v>97553.454545454544</v>
      </c>
      <c r="D24" s="295"/>
      <c r="E24" s="295"/>
      <c r="F24" s="399">
        <f t="shared" ref="F24:Q24" si="12">SUM(F17:F23)</f>
        <v>4948.3636363636379</v>
      </c>
      <c r="G24" s="399">
        <f t="shared" si="12"/>
        <v>8482.9090909090919</v>
      </c>
      <c r="H24" s="399">
        <f t="shared" si="12"/>
        <v>7776.0000000000009</v>
      </c>
      <c r="I24" s="399">
        <f t="shared" si="12"/>
        <v>7776.0000000000009</v>
      </c>
      <c r="J24" s="399">
        <f t="shared" si="12"/>
        <v>9896.7272727272757</v>
      </c>
      <c r="K24" s="399">
        <f t="shared" si="12"/>
        <v>7069.090909090909</v>
      </c>
      <c r="L24" s="399">
        <f t="shared" si="12"/>
        <v>11310.545454545456</v>
      </c>
      <c r="M24" s="399">
        <f t="shared" si="12"/>
        <v>13431.272727272728</v>
      </c>
      <c r="N24" s="399">
        <f t="shared" si="12"/>
        <v>9189.8181818181838</v>
      </c>
      <c r="O24" s="399">
        <f t="shared" si="12"/>
        <v>4241.454545454546</v>
      </c>
      <c r="P24" s="399">
        <f t="shared" si="12"/>
        <v>7776.0000000000009</v>
      </c>
      <c r="Q24" s="399">
        <f t="shared" si="12"/>
        <v>5655.2727272727279</v>
      </c>
      <c r="R24" s="399">
        <f>SUM(F24:Q24)</f>
        <v>97553.454545454559</v>
      </c>
      <c r="S24" s="296"/>
      <c r="T24" s="294">
        <f t="shared" si="5"/>
        <v>0</v>
      </c>
      <c r="U24" s="49"/>
      <c r="V24" s="49"/>
    </row>
    <row r="25" spans="1:22" s="60" customFormat="1" x14ac:dyDescent="0.2">
      <c r="A25" s="11"/>
      <c r="B25" s="10" t="s">
        <v>0</v>
      </c>
      <c r="C25" s="293">
        <f>C16+C24</f>
        <v>103793.45454545454</v>
      </c>
      <c r="D25" s="295">
        <f>(C25/C$4)</f>
        <v>617.81818181818176</v>
      </c>
      <c r="E25" s="295"/>
      <c r="F25" s="399">
        <f t="shared" ref="F25:Q25" si="13">SUM(F16+F24)</f>
        <v>5364.3636363636379</v>
      </c>
      <c r="G25" s="399">
        <f t="shared" si="13"/>
        <v>8690.9090909090919</v>
      </c>
      <c r="H25" s="399">
        <f t="shared" si="13"/>
        <v>7984.0000000000009</v>
      </c>
      <c r="I25" s="399">
        <f t="shared" si="13"/>
        <v>7984.0000000000009</v>
      </c>
      <c r="J25" s="399">
        <f t="shared" si="13"/>
        <v>10312.727272727276</v>
      </c>
      <c r="K25" s="399">
        <f t="shared" si="13"/>
        <v>7485.090909090909</v>
      </c>
      <c r="L25" s="399">
        <f t="shared" si="13"/>
        <v>12350.545454545456</v>
      </c>
      <c r="M25" s="399">
        <f t="shared" si="13"/>
        <v>14679.272727272728</v>
      </c>
      <c r="N25" s="399">
        <f t="shared" si="13"/>
        <v>9605.8181818181838</v>
      </c>
      <c r="O25" s="399">
        <f t="shared" si="13"/>
        <v>4865.454545454546</v>
      </c>
      <c r="P25" s="399">
        <f t="shared" si="13"/>
        <v>8400</v>
      </c>
      <c r="Q25" s="399">
        <f t="shared" si="13"/>
        <v>6071.2727272727279</v>
      </c>
      <c r="R25" s="399">
        <f>SUM(F25:Q25)</f>
        <v>103793.45454545456</v>
      </c>
      <c r="S25" s="296"/>
      <c r="T25" s="294">
        <f t="shared" si="5"/>
        <v>0</v>
      </c>
      <c r="U25" s="49"/>
      <c r="V25" s="49"/>
    </row>
    <row r="26" spans="1:22" x14ac:dyDescent="0.2">
      <c r="A26" s="712" t="s">
        <v>25</v>
      </c>
      <c r="B26" s="712"/>
      <c r="C26" s="712"/>
      <c r="D26" s="712"/>
      <c r="E26" s="42"/>
      <c r="F26" s="401"/>
      <c r="G26" s="401"/>
      <c r="H26" s="401"/>
      <c r="I26" s="401"/>
      <c r="J26" s="401"/>
      <c r="K26" s="401"/>
      <c r="L26" s="401"/>
      <c r="M26" s="401"/>
      <c r="N26" s="398"/>
      <c r="O26" s="398"/>
      <c r="P26" s="398"/>
      <c r="Q26" s="398"/>
      <c r="R26" s="403"/>
    </row>
    <row r="27" spans="1:22" ht="25.5" customHeight="1" x14ac:dyDescent="0.2">
      <c r="A27" s="21"/>
      <c r="B27" s="10" t="s">
        <v>375</v>
      </c>
      <c r="C27" s="20"/>
      <c r="F27" s="401"/>
      <c r="G27" s="401"/>
      <c r="H27" s="401"/>
      <c r="I27" s="401"/>
      <c r="J27" s="401"/>
      <c r="K27" s="401"/>
      <c r="L27" s="401"/>
      <c r="M27" s="401"/>
      <c r="N27" s="398"/>
      <c r="O27" s="398"/>
      <c r="P27" s="398"/>
      <c r="Q27" s="398"/>
      <c r="R27" s="403"/>
    </row>
    <row r="28" spans="1:22" s="62" customFormat="1" x14ac:dyDescent="0.2">
      <c r="A28" s="87">
        <v>41101.008000000002</v>
      </c>
      <c r="B28" s="15" t="s">
        <v>22</v>
      </c>
      <c r="C28" s="14">
        <v>0</v>
      </c>
      <c r="D28" s="57">
        <f>$C28/C$4</f>
        <v>0</v>
      </c>
      <c r="E28" s="50"/>
      <c r="F28" s="401">
        <f>$D28*F$4</f>
        <v>0</v>
      </c>
      <c r="G28" s="401">
        <f t="shared" ref="G28:Q41" si="14">$D28*G$4</f>
        <v>0</v>
      </c>
      <c r="H28" s="401">
        <f t="shared" si="14"/>
        <v>0</v>
      </c>
      <c r="I28" s="401">
        <f t="shared" si="14"/>
        <v>0</v>
      </c>
      <c r="J28" s="401">
        <f t="shared" si="14"/>
        <v>0</v>
      </c>
      <c r="K28" s="401">
        <f t="shared" si="14"/>
        <v>0</v>
      </c>
      <c r="L28" s="401">
        <f t="shared" si="14"/>
        <v>0</v>
      </c>
      <c r="M28" s="401">
        <f t="shared" si="14"/>
        <v>0</v>
      </c>
      <c r="N28" s="401">
        <f t="shared" si="14"/>
        <v>0</v>
      </c>
      <c r="O28" s="401">
        <f t="shared" si="14"/>
        <v>0</v>
      </c>
      <c r="P28" s="401">
        <f t="shared" si="14"/>
        <v>0</v>
      </c>
      <c r="Q28" s="401">
        <f t="shared" si="14"/>
        <v>0</v>
      </c>
      <c r="R28" s="403">
        <f t="shared" ref="R28:R42" si="15">SUM(F28:Q28)</f>
        <v>0</v>
      </c>
      <c r="S28" s="47"/>
      <c r="T28" s="48">
        <f t="shared" ref="T28:T42" si="16">C28-R28</f>
        <v>0</v>
      </c>
      <c r="U28" s="47"/>
      <c r="V28" s="47"/>
    </row>
    <row r="29" spans="1:22" x14ac:dyDescent="0.2">
      <c r="A29" s="87">
        <v>41110.008000000002</v>
      </c>
      <c r="B29" s="15" t="s">
        <v>21</v>
      </c>
      <c r="C29" s="14">
        <v>0</v>
      </c>
      <c r="D29" s="57">
        <f t="shared" ref="D29:D41" si="17">$C29/C$4</f>
        <v>0</v>
      </c>
      <c r="E29" s="50"/>
      <c r="F29" s="401">
        <f t="shared" ref="F29:F41" si="18">$D29*F$4</f>
        <v>0</v>
      </c>
      <c r="G29" s="401">
        <f t="shared" si="14"/>
        <v>0</v>
      </c>
      <c r="H29" s="401">
        <f t="shared" si="14"/>
        <v>0</v>
      </c>
      <c r="I29" s="401">
        <f t="shared" si="14"/>
        <v>0</v>
      </c>
      <c r="J29" s="401">
        <f t="shared" si="14"/>
        <v>0</v>
      </c>
      <c r="K29" s="401">
        <f t="shared" si="14"/>
        <v>0</v>
      </c>
      <c r="L29" s="401">
        <f t="shared" si="14"/>
        <v>0</v>
      </c>
      <c r="M29" s="401">
        <f t="shared" si="14"/>
        <v>0</v>
      </c>
      <c r="N29" s="401">
        <f t="shared" si="14"/>
        <v>0</v>
      </c>
      <c r="O29" s="401">
        <f t="shared" si="14"/>
        <v>0</v>
      </c>
      <c r="P29" s="401">
        <f t="shared" si="14"/>
        <v>0</v>
      </c>
      <c r="Q29" s="401">
        <f t="shared" si="14"/>
        <v>0</v>
      </c>
      <c r="R29" s="403">
        <f t="shared" si="15"/>
        <v>0</v>
      </c>
      <c r="T29" s="48">
        <f t="shared" si="16"/>
        <v>0</v>
      </c>
    </row>
    <row r="30" spans="1:22" x14ac:dyDescent="0.2">
      <c r="A30" s="87">
        <v>41150.008000000002</v>
      </c>
      <c r="B30" s="15" t="s">
        <v>19</v>
      </c>
      <c r="C30" s="14">
        <v>0</v>
      </c>
      <c r="D30" s="57">
        <f t="shared" si="17"/>
        <v>0</v>
      </c>
      <c r="E30" s="50"/>
      <c r="F30" s="401">
        <f t="shared" si="18"/>
        <v>0</v>
      </c>
      <c r="G30" s="401">
        <f t="shared" si="14"/>
        <v>0</v>
      </c>
      <c r="H30" s="401">
        <f t="shared" si="14"/>
        <v>0</v>
      </c>
      <c r="I30" s="401">
        <f t="shared" si="14"/>
        <v>0</v>
      </c>
      <c r="J30" s="401">
        <f t="shared" si="14"/>
        <v>0</v>
      </c>
      <c r="K30" s="401">
        <f t="shared" si="14"/>
        <v>0</v>
      </c>
      <c r="L30" s="401">
        <f t="shared" si="14"/>
        <v>0</v>
      </c>
      <c r="M30" s="401">
        <f t="shared" si="14"/>
        <v>0</v>
      </c>
      <c r="N30" s="401">
        <f t="shared" si="14"/>
        <v>0</v>
      </c>
      <c r="O30" s="401">
        <f t="shared" si="14"/>
        <v>0</v>
      </c>
      <c r="P30" s="401">
        <f t="shared" si="14"/>
        <v>0</v>
      </c>
      <c r="Q30" s="401">
        <f t="shared" si="14"/>
        <v>0</v>
      </c>
      <c r="R30" s="403">
        <f t="shared" si="15"/>
        <v>0</v>
      </c>
      <c r="T30" s="48">
        <f t="shared" si="16"/>
        <v>0</v>
      </c>
    </row>
    <row r="31" spans="1:22" x14ac:dyDescent="0.2">
      <c r="A31" s="87">
        <v>41180.008000000002</v>
      </c>
      <c r="B31" s="15" t="s">
        <v>363</v>
      </c>
      <c r="C31" s="14">
        <v>0</v>
      </c>
      <c r="D31" s="57">
        <f t="shared" si="17"/>
        <v>0</v>
      </c>
      <c r="E31" s="50"/>
      <c r="F31" s="401">
        <f t="shared" si="18"/>
        <v>0</v>
      </c>
      <c r="G31" s="401">
        <f t="shared" si="14"/>
        <v>0</v>
      </c>
      <c r="H31" s="401">
        <f t="shared" si="14"/>
        <v>0</v>
      </c>
      <c r="I31" s="401">
        <f t="shared" si="14"/>
        <v>0</v>
      </c>
      <c r="J31" s="401">
        <f t="shared" si="14"/>
        <v>0</v>
      </c>
      <c r="K31" s="401">
        <f t="shared" si="14"/>
        <v>0</v>
      </c>
      <c r="L31" s="401">
        <f t="shared" si="14"/>
        <v>0</v>
      </c>
      <c r="M31" s="401">
        <f t="shared" si="14"/>
        <v>0</v>
      </c>
      <c r="N31" s="401">
        <f t="shared" si="14"/>
        <v>0</v>
      </c>
      <c r="O31" s="401">
        <f t="shared" si="14"/>
        <v>0</v>
      </c>
      <c r="P31" s="401">
        <f t="shared" si="14"/>
        <v>0</v>
      </c>
      <c r="Q31" s="401">
        <f t="shared" si="14"/>
        <v>0</v>
      </c>
      <c r="R31" s="403">
        <f t="shared" si="15"/>
        <v>0</v>
      </c>
      <c r="T31" s="48">
        <f t="shared" si="16"/>
        <v>0</v>
      </c>
    </row>
    <row r="32" spans="1:22" x14ac:dyDescent="0.2">
      <c r="A32" s="87">
        <v>41237.008000000002</v>
      </c>
      <c r="B32" s="15" t="s">
        <v>17</v>
      </c>
      <c r="C32" s="14">
        <v>0</v>
      </c>
      <c r="D32" s="57">
        <f t="shared" si="17"/>
        <v>0</v>
      </c>
      <c r="E32" s="50"/>
      <c r="F32" s="401">
        <f t="shared" si="18"/>
        <v>0</v>
      </c>
      <c r="G32" s="401">
        <f t="shared" si="14"/>
        <v>0</v>
      </c>
      <c r="H32" s="401">
        <f t="shared" si="14"/>
        <v>0</v>
      </c>
      <c r="I32" s="401">
        <f t="shared" si="14"/>
        <v>0</v>
      </c>
      <c r="J32" s="401">
        <f t="shared" si="14"/>
        <v>0</v>
      </c>
      <c r="K32" s="401">
        <f t="shared" si="14"/>
        <v>0</v>
      </c>
      <c r="L32" s="401">
        <f t="shared" si="14"/>
        <v>0</v>
      </c>
      <c r="M32" s="401">
        <f t="shared" si="14"/>
        <v>0</v>
      </c>
      <c r="N32" s="401">
        <f t="shared" si="14"/>
        <v>0</v>
      </c>
      <c r="O32" s="401">
        <f t="shared" si="14"/>
        <v>0</v>
      </c>
      <c r="P32" s="401">
        <f t="shared" si="14"/>
        <v>0</v>
      </c>
      <c r="Q32" s="401">
        <f t="shared" si="14"/>
        <v>0</v>
      </c>
      <c r="R32" s="403">
        <f t="shared" si="15"/>
        <v>0</v>
      </c>
      <c r="T32" s="48">
        <f t="shared" si="16"/>
        <v>0</v>
      </c>
    </row>
    <row r="33" spans="1:20" x14ac:dyDescent="0.2">
      <c r="A33" s="87">
        <v>41246.008000000002</v>
      </c>
      <c r="B33" s="15" t="s">
        <v>16</v>
      </c>
      <c r="C33" s="14">
        <v>0</v>
      </c>
      <c r="D33" s="57">
        <f t="shared" si="17"/>
        <v>0</v>
      </c>
      <c r="E33" s="50"/>
      <c r="F33" s="401">
        <f t="shared" si="18"/>
        <v>0</v>
      </c>
      <c r="G33" s="401">
        <f t="shared" si="14"/>
        <v>0</v>
      </c>
      <c r="H33" s="401">
        <f t="shared" si="14"/>
        <v>0</v>
      </c>
      <c r="I33" s="401">
        <f t="shared" si="14"/>
        <v>0</v>
      </c>
      <c r="J33" s="401">
        <f t="shared" si="14"/>
        <v>0</v>
      </c>
      <c r="K33" s="401">
        <f t="shared" si="14"/>
        <v>0</v>
      </c>
      <c r="L33" s="401">
        <f t="shared" si="14"/>
        <v>0</v>
      </c>
      <c r="M33" s="401">
        <f t="shared" si="14"/>
        <v>0</v>
      </c>
      <c r="N33" s="401">
        <f t="shared" si="14"/>
        <v>0</v>
      </c>
      <c r="O33" s="401">
        <f t="shared" si="14"/>
        <v>0</v>
      </c>
      <c r="P33" s="401">
        <f t="shared" si="14"/>
        <v>0</v>
      </c>
      <c r="Q33" s="401">
        <f t="shared" si="14"/>
        <v>0</v>
      </c>
      <c r="R33" s="403">
        <f t="shared" si="15"/>
        <v>0</v>
      </c>
      <c r="T33" s="48">
        <f t="shared" si="16"/>
        <v>0</v>
      </c>
    </row>
    <row r="34" spans="1:20" x14ac:dyDescent="0.2">
      <c r="A34" s="87">
        <v>41250.008000000002</v>
      </c>
      <c r="B34" s="15" t="s">
        <v>15</v>
      </c>
      <c r="C34" s="14">
        <v>0</v>
      </c>
      <c r="D34" s="57">
        <f t="shared" si="17"/>
        <v>0</v>
      </c>
      <c r="E34" s="50"/>
      <c r="F34" s="401">
        <f t="shared" si="18"/>
        <v>0</v>
      </c>
      <c r="G34" s="401">
        <f t="shared" si="14"/>
        <v>0</v>
      </c>
      <c r="H34" s="401">
        <f t="shared" si="14"/>
        <v>0</v>
      </c>
      <c r="I34" s="401">
        <f t="shared" si="14"/>
        <v>0</v>
      </c>
      <c r="J34" s="401">
        <f t="shared" si="14"/>
        <v>0</v>
      </c>
      <c r="K34" s="401">
        <f t="shared" si="14"/>
        <v>0</v>
      </c>
      <c r="L34" s="401">
        <f t="shared" si="14"/>
        <v>0</v>
      </c>
      <c r="M34" s="401">
        <f t="shared" si="14"/>
        <v>0</v>
      </c>
      <c r="N34" s="401">
        <f t="shared" si="14"/>
        <v>0</v>
      </c>
      <c r="O34" s="401">
        <f t="shared" si="14"/>
        <v>0</v>
      </c>
      <c r="P34" s="401">
        <f t="shared" si="14"/>
        <v>0</v>
      </c>
      <c r="Q34" s="401">
        <f t="shared" si="14"/>
        <v>0</v>
      </c>
      <c r="R34" s="403">
        <f t="shared" si="15"/>
        <v>0</v>
      </c>
      <c r="T34" s="48">
        <f t="shared" si="16"/>
        <v>0</v>
      </c>
    </row>
    <row r="35" spans="1:20" x14ac:dyDescent="0.2">
      <c r="A35" s="87">
        <v>41260.008000000002</v>
      </c>
      <c r="B35" s="15" t="s">
        <v>14</v>
      </c>
      <c r="C35" s="14">
        <v>0</v>
      </c>
      <c r="D35" s="57">
        <f t="shared" si="17"/>
        <v>0</v>
      </c>
      <c r="E35" s="50"/>
      <c r="F35" s="401">
        <f t="shared" si="18"/>
        <v>0</v>
      </c>
      <c r="G35" s="401">
        <f t="shared" si="14"/>
        <v>0</v>
      </c>
      <c r="H35" s="401">
        <f t="shared" si="14"/>
        <v>0</v>
      </c>
      <c r="I35" s="401">
        <f t="shared" si="14"/>
        <v>0</v>
      </c>
      <c r="J35" s="401">
        <f t="shared" si="14"/>
        <v>0</v>
      </c>
      <c r="K35" s="401">
        <f t="shared" si="14"/>
        <v>0</v>
      </c>
      <c r="L35" s="401">
        <f t="shared" si="14"/>
        <v>0</v>
      </c>
      <c r="M35" s="401">
        <f t="shared" si="14"/>
        <v>0</v>
      </c>
      <c r="N35" s="401">
        <f t="shared" si="14"/>
        <v>0</v>
      </c>
      <c r="O35" s="401">
        <f t="shared" si="14"/>
        <v>0</v>
      </c>
      <c r="P35" s="401">
        <f t="shared" si="14"/>
        <v>0</v>
      </c>
      <c r="Q35" s="401">
        <f t="shared" si="14"/>
        <v>0</v>
      </c>
      <c r="R35" s="403">
        <f t="shared" si="15"/>
        <v>0</v>
      </c>
      <c r="T35" s="48">
        <f t="shared" si="16"/>
        <v>0</v>
      </c>
    </row>
    <row r="36" spans="1:20" x14ac:dyDescent="0.2">
      <c r="A36" s="132">
        <v>41365.008000000002</v>
      </c>
      <c r="B36" s="15" t="s">
        <v>10</v>
      </c>
      <c r="C36" s="14">
        <v>0</v>
      </c>
      <c r="D36" s="57">
        <f t="shared" si="17"/>
        <v>0</v>
      </c>
      <c r="E36" s="50"/>
      <c r="F36" s="401">
        <f t="shared" si="18"/>
        <v>0</v>
      </c>
      <c r="G36" s="401">
        <f t="shared" si="14"/>
        <v>0</v>
      </c>
      <c r="H36" s="401">
        <f t="shared" si="14"/>
        <v>0</v>
      </c>
      <c r="I36" s="401">
        <f t="shared" si="14"/>
        <v>0</v>
      </c>
      <c r="J36" s="401">
        <f t="shared" si="14"/>
        <v>0</v>
      </c>
      <c r="K36" s="401">
        <f t="shared" si="14"/>
        <v>0</v>
      </c>
      <c r="L36" s="401">
        <f t="shared" si="14"/>
        <v>0</v>
      </c>
      <c r="M36" s="401">
        <f t="shared" si="14"/>
        <v>0</v>
      </c>
      <c r="N36" s="401">
        <f t="shared" si="14"/>
        <v>0</v>
      </c>
      <c r="O36" s="401">
        <f t="shared" si="14"/>
        <v>0</v>
      </c>
      <c r="P36" s="401">
        <f t="shared" si="14"/>
        <v>0</v>
      </c>
      <c r="Q36" s="401">
        <f t="shared" si="14"/>
        <v>0</v>
      </c>
      <c r="R36" s="403">
        <f t="shared" si="15"/>
        <v>0</v>
      </c>
      <c r="T36" s="48">
        <f t="shared" si="16"/>
        <v>0</v>
      </c>
    </row>
    <row r="37" spans="1:20" x14ac:dyDescent="0.2">
      <c r="A37" s="87">
        <v>41426.008000000002</v>
      </c>
      <c r="B37" s="15" t="s">
        <v>8</v>
      </c>
      <c r="C37" s="14">
        <v>0</v>
      </c>
      <c r="D37" s="57">
        <f t="shared" si="17"/>
        <v>0</v>
      </c>
      <c r="E37" s="50"/>
      <c r="F37" s="401">
        <f t="shared" si="18"/>
        <v>0</v>
      </c>
      <c r="G37" s="401">
        <f t="shared" si="14"/>
        <v>0</v>
      </c>
      <c r="H37" s="401">
        <f t="shared" si="14"/>
        <v>0</v>
      </c>
      <c r="I37" s="401">
        <f t="shared" si="14"/>
        <v>0</v>
      </c>
      <c r="J37" s="401">
        <f t="shared" si="14"/>
        <v>0</v>
      </c>
      <c r="K37" s="401">
        <f t="shared" si="14"/>
        <v>0</v>
      </c>
      <c r="L37" s="401">
        <f t="shared" si="14"/>
        <v>0</v>
      </c>
      <c r="M37" s="401">
        <f t="shared" si="14"/>
        <v>0</v>
      </c>
      <c r="N37" s="401">
        <f t="shared" si="14"/>
        <v>0</v>
      </c>
      <c r="O37" s="401">
        <f t="shared" si="14"/>
        <v>0</v>
      </c>
      <c r="P37" s="401">
        <f t="shared" si="14"/>
        <v>0</v>
      </c>
      <c r="Q37" s="401">
        <f t="shared" si="14"/>
        <v>0</v>
      </c>
      <c r="R37" s="403">
        <f t="shared" si="15"/>
        <v>0</v>
      </c>
      <c r="T37" s="48">
        <f t="shared" si="16"/>
        <v>0</v>
      </c>
    </row>
    <row r="38" spans="1:20" x14ac:dyDescent="0.2">
      <c r="A38" s="87">
        <v>41460.008000000002</v>
      </c>
      <c r="B38" s="15" t="s">
        <v>6</v>
      </c>
      <c r="C38" s="14">
        <v>0</v>
      </c>
      <c r="D38" s="57">
        <f t="shared" si="17"/>
        <v>0</v>
      </c>
      <c r="E38" s="50"/>
      <c r="F38" s="401">
        <f t="shared" si="18"/>
        <v>0</v>
      </c>
      <c r="G38" s="401">
        <f t="shared" si="14"/>
        <v>0</v>
      </c>
      <c r="H38" s="401">
        <f t="shared" si="14"/>
        <v>0</v>
      </c>
      <c r="I38" s="401">
        <f t="shared" si="14"/>
        <v>0</v>
      </c>
      <c r="J38" s="401">
        <f t="shared" si="14"/>
        <v>0</v>
      </c>
      <c r="K38" s="401">
        <f t="shared" si="14"/>
        <v>0</v>
      </c>
      <c r="L38" s="401">
        <f t="shared" si="14"/>
        <v>0</v>
      </c>
      <c r="M38" s="401">
        <f t="shared" si="14"/>
        <v>0</v>
      </c>
      <c r="N38" s="401">
        <f t="shared" si="14"/>
        <v>0</v>
      </c>
      <c r="O38" s="401">
        <f t="shared" si="14"/>
        <v>0</v>
      </c>
      <c r="P38" s="401">
        <f t="shared" si="14"/>
        <v>0</v>
      </c>
      <c r="Q38" s="401">
        <f t="shared" si="14"/>
        <v>0</v>
      </c>
      <c r="R38" s="403">
        <f t="shared" si="15"/>
        <v>0</v>
      </c>
      <c r="T38" s="48">
        <f t="shared" si="16"/>
        <v>0</v>
      </c>
    </row>
    <row r="39" spans="1:20" x14ac:dyDescent="0.2">
      <c r="A39" s="87">
        <v>41490.008000000002</v>
      </c>
      <c r="B39" s="15" t="s">
        <v>367</v>
      </c>
      <c r="C39" s="14">
        <v>0</v>
      </c>
      <c r="D39" s="57">
        <f t="shared" si="17"/>
        <v>0</v>
      </c>
      <c r="E39" s="50"/>
      <c r="F39" s="401">
        <f t="shared" si="18"/>
        <v>0</v>
      </c>
      <c r="G39" s="401">
        <f t="shared" si="14"/>
        <v>0</v>
      </c>
      <c r="H39" s="401">
        <f t="shared" si="14"/>
        <v>0</v>
      </c>
      <c r="I39" s="401">
        <f t="shared" si="14"/>
        <v>0</v>
      </c>
      <c r="J39" s="401">
        <f t="shared" si="14"/>
        <v>0</v>
      </c>
      <c r="K39" s="401">
        <f t="shared" si="14"/>
        <v>0</v>
      </c>
      <c r="L39" s="401">
        <f t="shared" si="14"/>
        <v>0</v>
      </c>
      <c r="M39" s="401">
        <f t="shared" si="14"/>
        <v>0</v>
      </c>
      <c r="N39" s="401">
        <f t="shared" si="14"/>
        <v>0</v>
      </c>
      <c r="O39" s="401">
        <f t="shared" si="14"/>
        <v>0</v>
      </c>
      <c r="P39" s="401">
        <f t="shared" si="14"/>
        <v>0</v>
      </c>
      <c r="Q39" s="401">
        <f t="shared" si="14"/>
        <v>0</v>
      </c>
      <c r="R39" s="403">
        <f t="shared" si="15"/>
        <v>0</v>
      </c>
      <c r="T39" s="48">
        <f t="shared" si="16"/>
        <v>0</v>
      </c>
    </row>
    <row r="40" spans="1:20" x14ac:dyDescent="0.2">
      <c r="A40" s="87">
        <v>41509.008000000002</v>
      </c>
      <c r="B40" s="15" t="s">
        <v>3</v>
      </c>
      <c r="C40" s="14">
        <v>0</v>
      </c>
      <c r="D40" s="57">
        <f t="shared" si="17"/>
        <v>0</v>
      </c>
      <c r="E40" s="50"/>
      <c r="F40" s="401">
        <f t="shared" si="18"/>
        <v>0</v>
      </c>
      <c r="G40" s="401">
        <f t="shared" si="14"/>
        <v>0</v>
      </c>
      <c r="H40" s="401">
        <f t="shared" si="14"/>
        <v>0</v>
      </c>
      <c r="I40" s="401">
        <f t="shared" si="14"/>
        <v>0</v>
      </c>
      <c r="J40" s="401">
        <f t="shared" si="14"/>
        <v>0</v>
      </c>
      <c r="K40" s="401">
        <f t="shared" si="14"/>
        <v>0</v>
      </c>
      <c r="L40" s="401">
        <f t="shared" si="14"/>
        <v>0</v>
      </c>
      <c r="M40" s="401">
        <f t="shared" si="14"/>
        <v>0</v>
      </c>
      <c r="N40" s="401">
        <f t="shared" si="14"/>
        <v>0</v>
      </c>
      <c r="O40" s="401">
        <f t="shared" si="14"/>
        <v>0</v>
      </c>
      <c r="P40" s="401">
        <f t="shared" si="14"/>
        <v>0</v>
      </c>
      <c r="Q40" s="401">
        <f t="shared" si="14"/>
        <v>0</v>
      </c>
      <c r="R40" s="403">
        <f t="shared" si="15"/>
        <v>0</v>
      </c>
      <c r="T40" s="48">
        <f t="shared" si="16"/>
        <v>0</v>
      </c>
    </row>
    <row r="41" spans="1:20" x14ac:dyDescent="0.2">
      <c r="A41" s="87">
        <v>41570.008000000002</v>
      </c>
      <c r="B41" s="15" t="s">
        <v>2</v>
      </c>
      <c r="C41" s="14">
        <v>0</v>
      </c>
      <c r="D41" s="57">
        <f t="shared" si="17"/>
        <v>0</v>
      </c>
      <c r="E41" s="50"/>
      <c r="F41" s="401">
        <f t="shared" si="18"/>
        <v>0</v>
      </c>
      <c r="G41" s="401">
        <f t="shared" si="14"/>
        <v>0</v>
      </c>
      <c r="H41" s="401">
        <f t="shared" si="14"/>
        <v>0</v>
      </c>
      <c r="I41" s="401">
        <f t="shared" si="14"/>
        <v>0</v>
      </c>
      <c r="J41" s="401">
        <f t="shared" si="14"/>
        <v>0</v>
      </c>
      <c r="K41" s="401">
        <f t="shared" si="14"/>
        <v>0</v>
      </c>
      <c r="L41" s="401">
        <f t="shared" si="14"/>
        <v>0</v>
      </c>
      <c r="M41" s="401">
        <f t="shared" si="14"/>
        <v>0</v>
      </c>
      <c r="N41" s="401">
        <f t="shared" si="14"/>
        <v>0</v>
      </c>
      <c r="O41" s="401">
        <f t="shared" si="14"/>
        <v>0</v>
      </c>
      <c r="P41" s="401">
        <f t="shared" si="14"/>
        <v>0</v>
      </c>
      <c r="Q41" s="401">
        <f t="shared" si="14"/>
        <v>0</v>
      </c>
      <c r="R41" s="403">
        <f t="shared" si="15"/>
        <v>0</v>
      </c>
      <c r="T41" s="48">
        <f t="shared" si="16"/>
        <v>0</v>
      </c>
    </row>
    <row r="42" spans="1:20" x14ac:dyDescent="0.2">
      <c r="A42" s="31"/>
      <c r="B42" s="77" t="s">
        <v>0</v>
      </c>
      <c r="C42" s="88">
        <f>SUM(C28:C41)</f>
        <v>0</v>
      </c>
      <c r="F42" s="404">
        <f t="shared" ref="F42:Q42" si="19">SUM(F28:F41)</f>
        <v>0</v>
      </c>
      <c r="G42" s="404">
        <f t="shared" si="19"/>
        <v>0</v>
      </c>
      <c r="H42" s="404">
        <f t="shared" si="19"/>
        <v>0</v>
      </c>
      <c r="I42" s="404">
        <f t="shared" si="19"/>
        <v>0</v>
      </c>
      <c r="J42" s="404">
        <f t="shared" si="19"/>
        <v>0</v>
      </c>
      <c r="K42" s="404">
        <f t="shared" si="19"/>
        <v>0</v>
      </c>
      <c r="L42" s="404">
        <f t="shared" si="19"/>
        <v>0</v>
      </c>
      <c r="M42" s="404">
        <f t="shared" si="19"/>
        <v>0</v>
      </c>
      <c r="N42" s="404">
        <f t="shared" si="19"/>
        <v>0</v>
      </c>
      <c r="O42" s="404">
        <f t="shared" si="19"/>
        <v>0</v>
      </c>
      <c r="P42" s="404">
        <f t="shared" si="19"/>
        <v>0</v>
      </c>
      <c r="Q42" s="404">
        <f t="shared" si="19"/>
        <v>0</v>
      </c>
      <c r="R42" s="403">
        <f t="shared" si="15"/>
        <v>0</v>
      </c>
      <c r="T42" s="48">
        <f t="shared" si="16"/>
        <v>0</v>
      </c>
    </row>
    <row r="43" spans="1:20" x14ac:dyDescent="0.2">
      <c r="A43" s="47"/>
      <c r="B43" s="47"/>
      <c r="C43" s="50">
        <f>C42-C25</f>
        <v>-103793.45454545454</v>
      </c>
    </row>
    <row r="44" spans="1:20" x14ac:dyDescent="0.2">
      <c r="C44" s="48"/>
    </row>
    <row r="45" spans="1:20" x14ac:dyDescent="0.2">
      <c r="B45" s="435" t="s">
        <v>948</v>
      </c>
      <c r="C45" s="48"/>
    </row>
    <row r="46" spans="1:20" x14ac:dyDescent="0.2">
      <c r="C46" s="59"/>
    </row>
    <row r="48" spans="1:20" x14ac:dyDescent="0.2">
      <c r="C48" s="48"/>
    </row>
    <row r="50" spans="3:3" x14ac:dyDescent="0.2">
      <c r="C50" s="59"/>
    </row>
  </sheetData>
  <mergeCells count="2">
    <mergeCell ref="A7:D7"/>
    <mergeCell ref="A26:D26"/>
  </mergeCells>
  <printOptions gridLines="1"/>
  <pageMargins left="0.25" right="0.25" top="0.75" bottom="0.75" header="0.3" footer="0.3"/>
  <pageSetup scale="56" orientation="landscape" r:id="rId1"/>
  <headerFooter alignWithMargins="0">
    <oddHeader xml:space="preserve">&amp;C&amp;"Arial,Bold"&amp;14DOCTORS MEMORIAL HOSPITAL
FY 2017 BUDGET
</oddHeader>
    <oddFooter xml:space="preserve">&amp;R&amp;A
</oddFooter>
  </headerFooter>
  <ignoredErrors>
    <ignoredError sqref="C16 F16:Q16" formula="1"/>
    <ignoredError sqref="D25 D28:D41 F28:R42"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78"/>
  <sheetViews>
    <sheetView zoomScale="80" zoomScaleNormal="80" workbookViewId="0">
      <pane xSplit="2" ySplit="16" topLeftCell="C53" activePane="bottomRight" state="frozen"/>
      <selection pane="topRight" activeCell="C1" sqref="C1"/>
      <selection pane="bottomLeft" activeCell="A17" sqref="A17"/>
      <selection pane="bottomRight" activeCell="C59" sqref="C59"/>
    </sheetView>
  </sheetViews>
  <sheetFormatPr defaultRowHeight="12.75" x14ac:dyDescent="0.2"/>
  <cols>
    <col min="1" max="1" width="9.5703125" style="2" customWidth="1"/>
    <col min="2" max="2" width="23.5703125" style="2" customWidth="1"/>
    <col min="3" max="3" width="12.7109375" style="2" bestFit="1" customWidth="1"/>
    <col min="4" max="4" width="8.42578125" style="4" bestFit="1" customWidth="1"/>
    <col min="5" max="5" width="3.28515625" style="4" customWidth="1"/>
    <col min="6" max="6" width="15.42578125" style="7" bestFit="1" customWidth="1"/>
    <col min="7" max="7" width="15.140625" style="7" bestFit="1" customWidth="1"/>
    <col min="8" max="8" width="14.7109375" style="7" bestFit="1" customWidth="1"/>
    <col min="9" max="9" width="15.42578125" style="7" bestFit="1" customWidth="1"/>
    <col min="10" max="12" width="14.85546875" style="7" bestFit="1" customWidth="1"/>
    <col min="13" max="13" width="14.7109375" style="7" bestFit="1" customWidth="1"/>
    <col min="14" max="14" width="15.140625" style="3" bestFit="1" customWidth="1"/>
    <col min="15" max="15" width="14.85546875" style="3" bestFit="1" customWidth="1"/>
    <col min="16" max="17" width="15.42578125" style="3" bestFit="1" customWidth="1"/>
    <col min="18" max="18" width="16.85546875" style="96" bestFit="1" customWidth="1"/>
    <col min="19" max="19" width="4.42578125" style="2" bestFit="1" customWidth="1"/>
    <col min="20" max="20" width="9.85546875" style="2" bestFit="1" customWidth="1"/>
    <col min="21" max="22" width="9.140625" style="2"/>
    <col min="23" max="145" width="9.140625" style="1"/>
    <col min="146" max="146" width="11" style="1" bestFit="1" customWidth="1"/>
    <col min="147" max="147" width="28.140625" style="1" bestFit="1" customWidth="1"/>
    <col min="148" max="148" width="14" style="1" bestFit="1" customWidth="1"/>
    <col min="149" max="149" width="9.140625" style="1"/>
    <col min="150" max="150" width="13.85546875" style="1" bestFit="1" customWidth="1"/>
    <col min="151" max="151" width="9.140625" style="1"/>
    <col min="152" max="152" width="14" style="1" customWidth="1"/>
    <col min="153" max="153" width="9.140625" style="1"/>
    <col min="154" max="154" width="12.85546875" style="1" bestFit="1" customWidth="1"/>
    <col min="155" max="155" width="10" style="1" customWidth="1"/>
    <col min="156" max="156" width="14" style="1" bestFit="1" customWidth="1"/>
    <col min="157" max="157" width="9.85546875" style="1" bestFit="1" customWidth="1"/>
    <col min="158" max="158" width="13.5703125" style="1" bestFit="1" customWidth="1"/>
    <col min="159" max="159" width="9.85546875" style="1" bestFit="1" customWidth="1"/>
    <col min="160" max="160" width="12.85546875" style="1" bestFit="1" customWidth="1"/>
    <col min="161" max="172" width="10.5703125" style="1" customWidth="1"/>
    <col min="173" max="173" width="11.140625" style="1" bestFit="1" customWidth="1"/>
    <col min="174" max="174" width="2.7109375" style="1" customWidth="1"/>
    <col min="175" max="175" width="9.85546875" style="1" bestFit="1" customWidth="1"/>
    <col min="176" max="177" width="9.140625" style="1"/>
    <col min="178" max="178" width="24" style="1" customWidth="1"/>
    <col min="179" max="181" width="9.140625" style="1"/>
    <col min="182" max="182" width="9" style="1" bestFit="1" customWidth="1"/>
    <col min="183" max="192" width="9.28515625" style="1" bestFit="1" customWidth="1"/>
    <col min="193" max="193" width="10.28515625" style="1" bestFit="1" customWidth="1"/>
    <col min="194" max="194" width="11.28515625" style="1" bestFit="1" customWidth="1"/>
    <col min="195" max="195" width="11.7109375" style="1" customWidth="1"/>
    <col min="196" max="196" width="9.140625" style="1"/>
    <col min="197" max="197" width="22.28515625" style="1" customWidth="1"/>
    <col min="198" max="198" width="9.140625" style="1"/>
    <col min="199" max="199" width="9.28515625" style="1" bestFit="1" customWidth="1"/>
    <col min="200" max="200" width="9.42578125" style="1" bestFit="1" customWidth="1"/>
    <col min="201" max="201" width="9.28515625" style="1" bestFit="1" customWidth="1"/>
    <col min="202" max="202" width="10.28515625" style="1" bestFit="1" customWidth="1"/>
    <col min="203" max="204" width="9.28515625" style="1" bestFit="1" customWidth="1"/>
    <col min="205" max="206" width="10.28515625" style="1" bestFit="1" customWidth="1"/>
    <col min="207" max="211" width="9.28515625" style="1" bestFit="1" customWidth="1"/>
    <col min="212" max="212" width="10.42578125" style="1" bestFit="1" customWidth="1"/>
    <col min="213" max="213" width="9.140625" style="1"/>
    <col min="214" max="214" width="24.85546875" style="1" customWidth="1"/>
    <col min="215" max="215" width="9.140625" style="1"/>
    <col min="216" max="228" width="9.28515625" style="1" bestFit="1" customWidth="1"/>
    <col min="229" max="229" width="10.28515625" style="1" bestFit="1" customWidth="1"/>
    <col min="230" max="230" width="9.5703125" style="1" bestFit="1" customWidth="1"/>
    <col min="231" max="231" width="18.5703125" style="1" customWidth="1"/>
    <col min="232" max="233" width="9.140625" style="1"/>
    <col min="234" max="236" width="12.140625" style="1" bestFit="1" customWidth="1"/>
    <col min="237" max="245" width="10.28515625" style="1" bestFit="1" customWidth="1"/>
    <col min="246" max="246" width="11.28515625" style="1" bestFit="1" customWidth="1"/>
    <col min="247" max="247" width="9.140625" style="1"/>
    <col min="248" max="248" width="19" style="1" customWidth="1"/>
    <col min="249" max="265" width="9.140625" style="1"/>
    <col min="266" max="276" width="11.28515625" style="1" bestFit="1" customWidth="1"/>
    <col min="277" max="277" width="10.28515625" style="1" bestFit="1" customWidth="1"/>
    <col min="278" max="278" width="12.85546875" style="1" bestFit="1" customWidth="1"/>
    <col min="279" max="401" width="9.140625" style="1"/>
    <col min="402" max="402" width="11" style="1" bestFit="1" customWidth="1"/>
    <col min="403" max="403" width="28.140625" style="1" bestFit="1" customWidth="1"/>
    <col min="404" max="404" width="14" style="1" bestFit="1" customWidth="1"/>
    <col min="405" max="405" width="9.140625" style="1"/>
    <col min="406" max="406" width="13.85546875" style="1" bestFit="1" customWidth="1"/>
    <col min="407" max="407" width="9.140625" style="1"/>
    <col min="408" max="408" width="14" style="1" customWidth="1"/>
    <col min="409" max="409" width="9.140625" style="1"/>
    <col min="410" max="410" width="12.85546875" style="1" bestFit="1" customWidth="1"/>
    <col min="411" max="411" width="10" style="1" customWidth="1"/>
    <col min="412" max="412" width="14" style="1" bestFit="1" customWidth="1"/>
    <col min="413" max="413" width="9.85546875" style="1" bestFit="1" customWidth="1"/>
    <col min="414" max="414" width="13.5703125" style="1" bestFit="1" customWidth="1"/>
    <col min="415" max="415" width="9.85546875" style="1" bestFit="1" customWidth="1"/>
    <col min="416" max="416" width="12.85546875" style="1" bestFit="1" customWidth="1"/>
    <col min="417" max="428" width="10.5703125" style="1" customWidth="1"/>
    <col min="429" max="429" width="11.140625" style="1" bestFit="1" customWidth="1"/>
    <col min="430" max="430" width="2.7109375" style="1" customWidth="1"/>
    <col min="431" max="431" width="9.85546875" style="1" bestFit="1" customWidth="1"/>
    <col min="432" max="433" width="9.140625" style="1"/>
    <col min="434" max="434" width="24" style="1" customWidth="1"/>
    <col min="435" max="437" width="9.140625" style="1"/>
    <col min="438" max="438" width="9" style="1" bestFit="1" customWidth="1"/>
    <col min="439" max="448" width="9.28515625" style="1" bestFit="1" customWidth="1"/>
    <col min="449" max="449" width="10.28515625" style="1" bestFit="1" customWidth="1"/>
    <col min="450" max="450" width="11.28515625" style="1" bestFit="1" customWidth="1"/>
    <col min="451" max="451" width="11.7109375" style="1" customWidth="1"/>
    <col min="452" max="452" width="9.140625" style="1"/>
    <col min="453" max="453" width="22.28515625" style="1" customWidth="1"/>
    <col min="454" max="454" width="9.140625" style="1"/>
    <col min="455" max="455" width="9.28515625" style="1" bestFit="1" customWidth="1"/>
    <col min="456" max="456" width="9.42578125" style="1" bestFit="1" customWidth="1"/>
    <col min="457" max="457" width="9.28515625" style="1" bestFit="1" customWidth="1"/>
    <col min="458" max="458" width="10.28515625" style="1" bestFit="1" customWidth="1"/>
    <col min="459" max="460" width="9.28515625" style="1" bestFit="1" customWidth="1"/>
    <col min="461" max="462" width="10.28515625" style="1" bestFit="1" customWidth="1"/>
    <col min="463" max="467" width="9.28515625" style="1" bestFit="1" customWidth="1"/>
    <col min="468" max="468" width="10.42578125" style="1" bestFit="1" customWidth="1"/>
    <col min="469" max="469" width="9.140625" style="1"/>
    <col min="470" max="470" width="24.85546875" style="1" customWidth="1"/>
    <col min="471" max="471" width="9.140625" style="1"/>
    <col min="472" max="484" width="9.28515625" style="1" bestFit="1" customWidth="1"/>
    <col min="485" max="485" width="10.28515625" style="1" bestFit="1" customWidth="1"/>
    <col min="486" max="486" width="9.5703125" style="1" bestFit="1" customWidth="1"/>
    <col min="487" max="487" width="18.5703125" style="1" customWidth="1"/>
    <col min="488" max="489" width="9.140625" style="1"/>
    <col min="490" max="492" width="12.140625" style="1" bestFit="1" customWidth="1"/>
    <col min="493" max="501" width="10.28515625" style="1" bestFit="1" customWidth="1"/>
    <col min="502" max="502" width="11.28515625" style="1" bestFit="1" customWidth="1"/>
    <col min="503" max="503" width="9.140625" style="1"/>
    <col min="504" max="504" width="19" style="1" customWidth="1"/>
    <col min="505" max="521" width="9.140625" style="1"/>
    <col min="522" max="532" width="11.28515625" style="1" bestFit="1" customWidth="1"/>
    <col min="533" max="533" width="10.28515625" style="1" bestFit="1" customWidth="1"/>
    <col min="534" max="534" width="12.85546875" style="1" bestFit="1" customWidth="1"/>
    <col min="535" max="657" width="9.140625" style="1"/>
    <col min="658" max="658" width="11" style="1" bestFit="1" customWidth="1"/>
    <col min="659" max="659" width="28.140625" style="1" bestFit="1" customWidth="1"/>
    <col min="660" max="660" width="14" style="1" bestFit="1" customWidth="1"/>
    <col min="661" max="661" width="9.140625" style="1"/>
    <col min="662" max="662" width="13.85546875" style="1" bestFit="1" customWidth="1"/>
    <col min="663" max="663" width="9.140625" style="1"/>
    <col min="664" max="664" width="14" style="1" customWidth="1"/>
    <col min="665" max="665" width="9.140625" style="1"/>
    <col min="666" max="666" width="12.85546875" style="1" bestFit="1" customWidth="1"/>
    <col min="667" max="667" width="10" style="1" customWidth="1"/>
    <col min="668" max="668" width="14" style="1" bestFit="1" customWidth="1"/>
    <col min="669" max="669" width="9.85546875" style="1" bestFit="1" customWidth="1"/>
    <col min="670" max="670" width="13.5703125" style="1" bestFit="1" customWidth="1"/>
    <col min="671" max="671" width="9.85546875" style="1" bestFit="1" customWidth="1"/>
    <col min="672" max="672" width="12.85546875" style="1" bestFit="1" customWidth="1"/>
    <col min="673" max="684" width="10.5703125" style="1" customWidth="1"/>
    <col min="685" max="685" width="11.140625" style="1" bestFit="1" customWidth="1"/>
    <col min="686" max="686" width="2.7109375" style="1" customWidth="1"/>
    <col min="687" max="687" width="9.85546875" style="1" bestFit="1" customWidth="1"/>
    <col min="688" max="689" width="9.140625" style="1"/>
    <col min="690" max="690" width="24" style="1" customWidth="1"/>
    <col min="691" max="693" width="9.140625" style="1"/>
    <col min="694" max="694" width="9" style="1" bestFit="1" customWidth="1"/>
    <col min="695" max="704" width="9.28515625" style="1" bestFit="1" customWidth="1"/>
    <col min="705" max="705" width="10.28515625" style="1" bestFit="1" customWidth="1"/>
    <col min="706" max="706" width="11.28515625" style="1" bestFit="1" customWidth="1"/>
    <col min="707" max="707" width="11.7109375" style="1" customWidth="1"/>
    <col min="708" max="708" width="9.140625" style="1"/>
    <col min="709" max="709" width="22.28515625" style="1" customWidth="1"/>
    <col min="710" max="710" width="9.140625" style="1"/>
    <col min="711" max="711" width="9.28515625" style="1" bestFit="1" customWidth="1"/>
    <col min="712" max="712" width="9.42578125" style="1" bestFit="1" customWidth="1"/>
    <col min="713" max="713" width="9.28515625" style="1" bestFit="1" customWidth="1"/>
    <col min="714" max="714" width="10.28515625" style="1" bestFit="1" customWidth="1"/>
    <col min="715" max="716" width="9.28515625" style="1" bestFit="1" customWidth="1"/>
    <col min="717" max="718" width="10.28515625" style="1" bestFit="1" customWidth="1"/>
    <col min="719" max="723" width="9.28515625" style="1" bestFit="1" customWidth="1"/>
    <col min="724" max="724" width="10.42578125" style="1" bestFit="1" customWidth="1"/>
    <col min="725" max="725" width="9.140625" style="1"/>
    <col min="726" max="726" width="24.85546875" style="1" customWidth="1"/>
    <col min="727" max="727" width="9.140625" style="1"/>
    <col min="728" max="740" width="9.28515625" style="1" bestFit="1" customWidth="1"/>
    <col min="741" max="741" width="10.28515625" style="1" bestFit="1" customWidth="1"/>
    <col min="742" max="742" width="9.5703125" style="1" bestFit="1" customWidth="1"/>
    <col min="743" max="743" width="18.5703125" style="1" customWidth="1"/>
    <col min="744" max="745" width="9.140625" style="1"/>
    <col min="746" max="748" width="12.140625" style="1" bestFit="1" customWidth="1"/>
    <col min="749" max="757" width="10.28515625" style="1" bestFit="1" customWidth="1"/>
    <col min="758" max="758" width="11.28515625" style="1" bestFit="1" customWidth="1"/>
    <col min="759" max="759" width="9.140625" style="1"/>
    <col min="760" max="760" width="19" style="1" customWidth="1"/>
    <col min="761" max="777" width="9.140625" style="1"/>
    <col min="778" max="788" width="11.28515625" style="1" bestFit="1" customWidth="1"/>
    <col min="789" max="789" width="10.28515625" style="1" bestFit="1" customWidth="1"/>
    <col min="790" max="790" width="12.85546875" style="1" bestFit="1" customWidth="1"/>
    <col min="791" max="913" width="9.140625" style="1"/>
    <col min="914" max="914" width="11" style="1" bestFit="1" customWidth="1"/>
    <col min="915" max="915" width="28.140625" style="1" bestFit="1" customWidth="1"/>
    <col min="916" max="916" width="14" style="1" bestFit="1" customWidth="1"/>
    <col min="917" max="917" width="9.140625" style="1"/>
    <col min="918" max="918" width="13.85546875" style="1" bestFit="1" customWidth="1"/>
    <col min="919" max="919" width="9.140625" style="1"/>
    <col min="920" max="920" width="14" style="1" customWidth="1"/>
    <col min="921" max="921" width="9.140625" style="1"/>
    <col min="922" max="922" width="12.85546875" style="1" bestFit="1" customWidth="1"/>
    <col min="923" max="923" width="10" style="1" customWidth="1"/>
    <col min="924" max="924" width="14" style="1" bestFit="1" customWidth="1"/>
    <col min="925" max="925" width="9.85546875" style="1" bestFit="1" customWidth="1"/>
    <col min="926" max="926" width="13.5703125" style="1" bestFit="1" customWidth="1"/>
    <col min="927" max="927" width="9.85546875" style="1" bestFit="1" customWidth="1"/>
    <col min="928" max="928" width="12.85546875" style="1" bestFit="1" customWidth="1"/>
    <col min="929" max="940" width="10.5703125" style="1" customWidth="1"/>
    <col min="941" max="941" width="11.140625" style="1" bestFit="1" customWidth="1"/>
    <col min="942" max="942" width="2.7109375" style="1" customWidth="1"/>
    <col min="943" max="943" width="9.85546875" style="1" bestFit="1" customWidth="1"/>
    <col min="944" max="945" width="9.140625" style="1"/>
    <col min="946" max="946" width="24" style="1" customWidth="1"/>
    <col min="947" max="949" width="9.140625" style="1"/>
    <col min="950" max="950" width="9" style="1" bestFit="1" customWidth="1"/>
    <col min="951" max="960" width="9.28515625" style="1" bestFit="1" customWidth="1"/>
    <col min="961" max="961" width="10.28515625" style="1" bestFit="1" customWidth="1"/>
    <col min="962" max="962" width="11.28515625" style="1" bestFit="1" customWidth="1"/>
    <col min="963" max="963" width="11.7109375" style="1" customWidth="1"/>
    <col min="964" max="964" width="9.140625" style="1"/>
    <col min="965" max="965" width="22.28515625" style="1" customWidth="1"/>
    <col min="966" max="966" width="9.140625" style="1"/>
    <col min="967" max="967" width="9.28515625" style="1" bestFit="1" customWidth="1"/>
    <col min="968" max="968" width="9.42578125" style="1" bestFit="1" customWidth="1"/>
    <col min="969" max="969" width="9.28515625" style="1" bestFit="1" customWidth="1"/>
    <col min="970" max="970" width="10.28515625" style="1" bestFit="1" customWidth="1"/>
    <col min="971" max="972" width="9.28515625" style="1" bestFit="1" customWidth="1"/>
    <col min="973" max="974" width="10.28515625" style="1" bestFit="1" customWidth="1"/>
    <col min="975" max="979" width="9.28515625" style="1" bestFit="1" customWidth="1"/>
    <col min="980" max="980" width="10.42578125" style="1" bestFit="1" customWidth="1"/>
    <col min="981" max="981" width="9.140625" style="1"/>
    <col min="982" max="982" width="24.85546875" style="1" customWidth="1"/>
    <col min="983" max="983" width="9.140625" style="1"/>
    <col min="984" max="996" width="9.28515625" style="1" bestFit="1" customWidth="1"/>
    <col min="997" max="997" width="10.28515625" style="1" bestFit="1" customWidth="1"/>
    <col min="998" max="998" width="9.5703125" style="1" bestFit="1" customWidth="1"/>
    <col min="999" max="999" width="18.5703125" style="1" customWidth="1"/>
    <col min="1000" max="1001" width="9.140625" style="1"/>
    <col min="1002" max="1004" width="12.140625" style="1" bestFit="1" customWidth="1"/>
    <col min="1005" max="1013" width="10.28515625" style="1" bestFit="1" customWidth="1"/>
    <col min="1014" max="1014" width="11.28515625" style="1" bestFit="1" customWidth="1"/>
    <col min="1015" max="1015" width="9.140625" style="1"/>
    <col min="1016" max="1016" width="19" style="1" customWidth="1"/>
    <col min="1017" max="1033" width="9.140625" style="1"/>
    <col min="1034" max="1044" width="11.28515625" style="1" bestFit="1" customWidth="1"/>
    <col min="1045" max="1045" width="10.28515625" style="1" bestFit="1" customWidth="1"/>
    <col min="1046" max="1046" width="12.85546875" style="1" bestFit="1" customWidth="1"/>
    <col min="1047" max="1169" width="9.140625" style="1"/>
    <col min="1170" max="1170" width="11" style="1" bestFit="1" customWidth="1"/>
    <col min="1171" max="1171" width="28.140625" style="1" bestFit="1" customWidth="1"/>
    <col min="1172" max="1172" width="14" style="1" bestFit="1" customWidth="1"/>
    <col min="1173" max="1173" width="9.140625" style="1"/>
    <col min="1174" max="1174" width="13.85546875" style="1" bestFit="1" customWidth="1"/>
    <col min="1175" max="1175" width="9.140625" style="1"/>
    <col min="1176" max="1176" width="14" style="1" customWidth="1"/>
    <col min="1177" max="1177" width="9.140625" style="1"/>
    <col min="1178" max="1178" width="12.85546875" style="1" bestFit="1" customWidth="1"/>
    <col min="1179" max="1179" width="10" style="1" customWidth="1"/>
    <col min="1180" max="1180" width="14" style="1" bestFit="1" customWidth="1"/>
    <col min="1181" max="1181" width="9.85546875" style="1" bestFit="1" customWidth="1"/>
    <col min="1182" max="1182" width="13.5703125" style="1" bestFit="1" customWidth="1"/>
    <col min="1183" max="1183" width="9.85546875" style="1" bestFit="1" customWidth="1"/>
    <col min="1184" max="1184" width="12.85546875" style="1" bestFit="1" customWidth="1"/>
    <col min="1185" max="1196" width="10.5703125" style="1" customWidth="1"/>
    <col min="1197" max="1197" width="11.140625" style="1" bestFit="1" customWidth="1"/>
    <col min="1198" max="1198" width="2.7109375" style="1" customWidth="1"/>
    <col min="1199" max="1199" width="9.85546875" style="1" bestFit="1" customWidth="1"/>
    <col min="1200" max="1201" width="9.140625" style="1"/>
    <col min="1202" max="1202" width="24" style="1" customWidth="1"/>
    <col min="1203" max="1205" width="9.140625" style="1"/>
    <col min="1206" max="1206" width="9" style="1" bestFit="1" customWidth="1"/>
    <col min="1207" max="1216" width="9.28515625" style="1" bestFit="1" customWidth="1"/>
    <col min="1217" max="1217" width="10.28515625" style="1" bestFit="1" customWidth="1"/>
    <col min="1218" max="1218" width="11.28515625" style="1" bestFit="1" customWidth="1"/>
    <col min="1219" max="1219" width="11.7109375" style="1" customWidth="1"/>
    <col min="1220" max="1220" width="9.140625" style="1"/>
    <col min="1221" max="1221" width="22.28515625" style="1" customWidth="1"/>
    <col min="1222" max="1222" width="9.140625" style="1"/>
    <col min="1223" max="1223" width="9.28515625" style="1" bestFit="1" customWidth="1"/>
    <col min="1224" max="1224" width="9.42578125" style="1" bestFit="1" customWidth="1"/>
    <col min="1225" max="1225" width="9.28515625" style="1" bestFit="1" customWidth="1"/>
    <col min="1226" max="1226" width="10.28515625" style="1" bestFit="1" customWidth="1"/>
    <col min="1227" max="1228" width="9.28515625" style="1" bestFit="1" customWidth="1"/>
    <col min="1229" max="1230" width="10.28515625" style="1" bestFit="1" customWidth="1"/>
    <col min="1231" max="1235" width="9.28515625" style="1" bestFit="1" customWidth="1"/>
    <col min="1236" max="1236" width="10.42578125" style="1" bestFit="1" customWidth="1"/>
    <col min="1237" max="1237" width="9.140625" style="1"/>
    <col min="1238" max="1238" width="24.85546875" style="1" customWidth="1"/>
    <col min="1239" max="1239" width="9.140625" style="1"/>
    <col min="1240" max="1252" width="9.28515625" style="1" bestFit="1" customWidth="1"/>
    <col min="1253" max="1253" width="10.28515625" style="1" bestFit="1" customWidth="1"/>
    <col min="1254" max="1254" width="9.5703125" style="1" bestFit="1" customWidth="1"/>
    <col min="1255" max="1255" width="18.5703125" style="1" customWidth="1"/>
    <col min="1256" max="1257" width="9.140625" style="1"/>
    <col min="1258" max="1260" width="12.140625" style="1" bestFit="1" customWidth="1"/>
    <col min="1261" max="1269" width="10.28515625" style="1" bestFit="1" customWidth="1"/>
    <col min="1270" max="1270" width="11.28515625" style="1" bestFit="1" customWidth="1"/>
    <col min="1271" max="1271" width="9.140625" style="1"/>
    <col min="1272" max="1272" width="19" style="1" customWidth="1"/>
    <col min="1273" max="1289" width="9.140625" style="1"/>
    <col min="1290" max="1300" width="11.28515625" style="1" bestFit="1" customWidth="1"/>
    <col min="1301" max="1301" width="10.28515625" style="1" bestFit="1" customWidth="1"/>
    <col min="1302" max="1302" width="12.85546875" style="1" bestFit="1" customWidth="1"/>
    <col min="1303" max="1425" width="9.140625" style="1"/>
    <col min="1426" max="1426" width="11" style="1" bestFit="1" customWidth="1"/>
    <col min="1427" max="1427" width="28.140625" style="1" bestFit="1" customWidth="1"/>
    <col min="1428" max="1428" width="14" style="1" bestFit="1" customWidth="1"/>
    <col min="1429" max="1429" width="9.140625" style="1"/>
    <col min="1430" max="1430" width="13.85546875" style="1" bestFit="1" customWidth="1"/>
    <col min="1431" max="1431" width="9.140625" style="1"/>
    <col min="1432" max="1432" width="14" style="1" customWidth="1"/>
    <col min="1433" max="1433" width="9.140625" style="1"/>
    <col min="1434" max="1434" width="12.85546875" style="1" bestFit="1" customWidth="1"/>
    <col min="1435" max="1435" width="10" style="1" customWidth="1"/>
    <col min="1436" max="1436" width="14" style="1" bestFit="1" customWidth="1"/>
    <col min="1437" max="1437" width="9.85546875" style="1" bestFit="1" customWidth="1"/>
    <col min="1438" max="1438" width="13.5703125" style="1" bestFit="1" customWidth="1"/>
    <col min="1439" max="1439" width="9.85546875" style="1" bestFit="1" customWidth="1"/>
    <col min="1440" max="1440" width="12.85546875" style="1" bestFit="1" customWidth="1"/>
    <col min="1441" max="1452" width="10.5703125" style="1" customWidth="1"/>
    <col min="1453" max="1453" width="11.140625" style="1" bestFit="1" customWidth="1"/>
    <col min="1454" max="1454" width="2.7109375" style="1" customWidth="1"/>
    <col min="1455" max="1455" width="9.85546875" style="1" bestFit="1" customWidth="1"/>
    <col min="1456" max="1457" width="9.140625" style="1"/>
    <col min="1458" max="1458" width="24" style="1" customWidth="1"/>
    <col min="1459" max="1461" width="9.140625" style="1"/>
    <col min="1462" max="1462" width="9" style="1" bestFit="1" customWidth="1"/>
    <col min="1463" max="1472" width="9.28515625" style="1" bestFit="1" customWidth="1"/>
    <col min="1473" max="1473" width="10.28515625" style="1" bestFit="1" customWidth="1"/>
    <col min="1474" max="1474" width="11.28515625" style="1" bestFit="1" customWidth="1"/>
    <col min="1475" max="1475" width="11.7109375" style="1" customWidth="1"/>
    <col min="1476" max="1476" width="9.140625" style="1"/>
    <col min="1477" max="1477" width="22.28515625" style="1" customWidth="1"/>
    <col min="1478" max="1478" width="9.140625" style="1"/>
    <col min="1479" max="1479" width="9.28515625" style="1" bestFit="1" customWidth="1"/>
    <col min="1480" max="1480" width="9.42578125" style="1" bestFit="1" customWidth="1"/>
    <col min="1481" max="1481" width="9.28515625" style="1" bestFit="1" customWidth="1"/>
    <col min="1482" max="1482" width="10.28515625" style="1" bestFit="1" customWidth="1"/>
    <col min="1483" max="1484" width="9.28515625" style="1" bestFit="1" customWidth="1"/>
    <col min="1485" max="1486" width="10.28515625" style="1" bestFit="1" customWidth="1"/>
    <col min="1487" max="1491" width="9.28515625" style="1" bestFit="1" customWidth="1"/>
    <col min="1492" max="1492" width="10.42578125" style="1" bestFit="1" customWidth="1"/>
    <col min="1493" max="1493" width="9.140625" style="1"/>
    <col min="1494" max="1494" width="24.85546875" style="1" customWidth="1"/>
    <col min="1495" max="1495" width="9.140625" style="1"/>
    <col min="1496" max="1508" width="9.28515625" style="1" bestFit="1" customWidth="1"/>
    <col min="1509" max="1509" width="10.28515625" style="1" bestFit="1" customWidth="1"/>
    <col min="1510" max="1510" width="9.5703125" style="1" bestFit="1" customWidth="1"/>
    <col min="1511" max="1511" width="18.5703125" style="1" customWidth="1"/>
    <col min="1512" max="1513" width="9.140625" style="1"/>
    <col min="1514" max="1516" width="12.140625" style="1" bestFit="1" customWidth="1"/>
    <col min="1517" max="1525" width="10.28515625" style="1" bestFit="1" customWidth="1"/>
    <col min="1526" max="1526" width="11.28515625" style="1" bestFit="1" customWidth="1"/>
    <col min="1527" max="1527" width="9.140625" style="1"/>
    <col min="1528" max="1528" width="19" style="1" customWidth="1"/>
    <col min="1529" max="1545" width="9.140625" style="1"/>
    <col min="1546" max="1556" width="11.28515625" style="1" bestFit="1" customWidth="1"/>
    <col min="1557" max="1557" width="10.28515625" style="1" bestFit="1" customWidth="1"/>
    <col min="1558" max="1558" width="12.85546875" style="1" bestFit="1" customWidth="1"/>
    <col min="1559" max="1681" width="9.140625" style="1"/>
    <col min="1682" max="1682" width="11" style="1" bestFit="1" customWidth="1"/>
    <col min="1683" max="1683" width="28.140625" style="1" bestFit="1" customWidth="1"/>
    <col min="1684" max="1684" width="14" style="1" bestFit="1" customWidth="1"/>
    <col min="1685" max="1685" width="9.140625" style="1"/>
    <col min="1686" max="1686" width="13.85546875" style="1" bestFit="1" customWidth="1"/>
    <col min="1687" max="1687" width="9.140625" style="1"/>
    <col min="1688" max="1688" width="14" style="1" customWidth="1"/>
    <col min="1689" max="1689" width="9.140625" style="1"/>
    <col min="1690" max="1690" width="12.85546875" style="1" bestFit="1" customWidth="1"/>
    <col min="1691" max="1691" width="10" style="1" customWidth="1"/>
    <col min="1692" max="1692" width="14" style="1" bestFit="1" customWidth="1"/>
    <col min="1693" max="1693" width="9.85546875" style="1" bestFit="1" customWidth="1"/>
    <col min="1694" max="1694" width="13.5703125" style="1" bestFit="1" customWidth="1"/>
    <col min="1695" max="1695" width="9.85546875" style="1" bestFit="1" customWidth="1"/>
    <col min="1696" max="1696" width="12.85546875" style="1" bestFit="1" customWidth="1"/>
    <col min="1697" max="1708" width="10.5703125" style="1" customWidth="1"/>
    <col min="1709" max="1709" width="11.140625" style="1" bestFit="1" customWidth="1"/>
    <col min="1710" max="1710" width="2.7109375" style="1" customWidth="1"/>
    <col min="1711" max="1711" width="9.85546875" style="1" bestFit="1" customWidth="1"/>
    <col min="1712" max="1713" width="9.140625" style="1"/>
    <col min="1714" max="1714" width="24" style="1" customWidth="1"/>
    <col min="1715" max="1717" width="9.140625" style="1"/>
    <col min="1718" max="1718" width="9" style="1" bestFit="1" customWidth="1"/>
    <col min="1719" max="1728" width="9.28515625" style="1" bestFit="1" customWidth="1"/>
    <col min="1729" max="1729" width="10.28515625" style="1" bestFit="1" customWidth="1"/>
    <col min="1730" max="1730" width="11.28515625" style="1" bestFit="1" customWidth="1"/>
    <col min="1731" max="1731" width="11.7109375" style="1" customWidth="1"/>
    <col min="1732" max="1732" width="9.140625" style="1"/>
    <col min="1733" max="1733" width="22.28515625" style="1" customWidth="1"/>
    <col min="1734" max="1734" width="9.140625" style="1"/>
    <col min="1735" max="1735" width="9.28515625" style="1" bestFit="1" customWidth="1"/>
    <col min="1736" max="1736" width="9.42578125" style="1" bestFit="1" customWidth="1"/>
    <col min="1737" max="1737" width="9.28515625" style="1" bestFit="1" customWidth="1"/>
    <col min="1738" max="1738" width="10.28515625" style="1" bestFit="1" customWidth="1"/>
    <col min="1739" max="1740" width="9.28515625" style="1" bestFit="1" customWidth="1"/>
    <col min="1741" max="1742" width="10.28515625" style="1" bestFit="1" customWidth="1"/>
    <col min="1743" max="1747" width="9.28515625" style="1" bestFit="1" customWidth="1"/>
    <col min="1748" max="1748" width="10.42578125" style="1" bestFit="1" customWidth="1"/>
    <col min="1749" max="1749" width="9.140625" style="1"/>
    <col min="1750" max="1750" width="24.85546875" style="1" customWidth="1"/>
    <col min="1751" max="1751" width="9.140625" style="1"/>
    <col min="1752" max="1764" width="9.28515625" style="1" bestFit="1" customWidth="1"/>
    <col min="1765" max="1765" width="10.28515625" style="1" bestFit="1" customWidth="1"/>
    <col min="1766" max="1766" width="9.5703125" style="1" bestFit="1" customWidth="1"/>
    <col min="1767" max="1767" width="18.5703125" style="1" customWidth="1"/>
    <col min="1768" max="1769" width="9.140625" style="1"/>
    <col min="1770" max="1772" width="12.140625" style="1" bestFit="1" customWidth="1"/>
    <col min="1773" max="1781" width="10.28515625" style="1" bestFit="1" customWidth="1"/>
    <col min="1782" max="1782" width="11.28515625" style="1" bestFit="1" customWidth="1"/>
    <col min="1783" max="1783" width="9.140625" style="1"/>
    <col min="1784" max="1784" width="19" style="1" customWidth="1"/>
    <col min="1785" max="1801" width="9.140625" style="1"/>
    <col min="1802" max="1812" width="11.28515625" style="1" bestFit="1" customWidth="1"/>
    <col min="1813" max="1813" width="10.28515625" style="1" bestFit="1" customWidth="1"/>
    <col min="1814" max="1814" width="12.85546875" style="1" bestFit="1" customWidth="1"/>
    <col min="1815" max="1937" width="9.140625" style="1"/>
    <col min="1938" max="1938" width="11" style="1" bestFit="1" customWidth="1"/>
    <col min="1939" max="1939" width="28.140625" style="1" bestFit="1" customWidth="1"/>
    <col min="1940" max="1940" width="14" style="1" bestFit="1" customWidth="1"/>
    <col min="1941" max="1941" width="9.140625" style="1"/>
    <col min="1942" max="1942" width="13.85546875" style="1" bestFit="1" customWidth="1"/>
    <col min="1943" max="1943" width="9.140625" style="1"/>
    <col min="1944" max="1944" width="14" style="1" customWidth="1"/>
    <col min="1945" max="1945" width="9.140625" style="1"/>
    <col min="1946" max="1946" width="12.85546875" style="1" bestFit="1" customWidth="1"/>
    <col min="1947" max="1947" width="10" style="1" customWidth="1"/>
    <col min="1948" max="1948" width="14" style="1" bestFit="1" customWidth="1"/>
    <col min="1949" max="1949" width="9.85546875" style="1" bestFit="1" customWidth="1"/>
    <col min="1950" max="1950" width="13.5703125" style="1" bestFit="1" customWidth="1"/>
    <col min="1951" max="1951" width="9.85546875" style="1" bestFit="1" customWidth="1"/>
    <col min="1952" max="1952" width="12.85546875" style="1" bestFit="1" customWidth="1"/>
    <col min="1953" max="1964" width="10.5703125" style="1" customWidth="1"/>
    <col min="1965" max="1965" width="11.140625" style="1" bestFit="1" customWidth="1"/>
    <col min="1966" max="1966" width="2.7109375" style="1" customWidth="1"/>
    <col min="1967" max="1967" width="9.85546875" style="1" bestFit="1" customWidth="1"/>
    <col min="1968" max="1969" width="9.140625" style="1"/>
    <col min="1970" max="1970" width="24" style="1" customWidth="1"/>
    <col min="1971" max="1973" width="9.140625" style="1"/>
    <col min="1974" max="1974" width="9" style="1" bestFit="1" customWidth="1"/>
    <col min="1975" max="1984" width="9.28515625" style="1" bestFit="1" customWidth="1"/>
    <col min="1985" max="1985" width="10.28515625" style="1" bestFit="1" customWidth="1"/>
    <col min="1986" max="1986" width="11.28515625" style="1" bestFit="1" customWidth="1"/>
    <col min="1987" max="1987" width="11.7109375" style="1" customWidth="1"/>
    <col min="1988" max="1988" width="9.140625" style="1"/>
    <col min="1989" max="1989" width="22.28515625" style="1" customWidth="1"/>
    <col min="1990" max="1990" width="9.140625" style="1"/>
    <col min="1991" max="1991" width="9.28515625" style="1" bestFit="1" customWidth="1"/>
    <col min="1992" max="1992" width="9.42578125" style="1" bestFit="1" customWidth="1"/>
    <col min="1993" max="1993" width="9.28515625" style="1" bestFit="1" customWidth="1"/>
    <col min="1994" max="1994" width="10.28515625" style="1" bestFit="1" customWidth="1"/>
    <col min="1995" max="1996" width="9.28515625" style="1" bestFit="1" customWidth="1"/>
    <col min="1997" max="1998" width="10.28515625" style="1" bestFit="1" customWidth="1"/>
    <col min="1999" max="2003" width="9.28515625" style="1" bestFit="1" customWidth="1"/>
    <col min="2004" max="2004" width="10.42578125" style="1" bestFit="1" customWidth="1"/>
    <col min="2005" max="2005" width="9.140625" style="1"/>
    <col min="2006" max="2006" width="24.85546875" style="1" customWidth="1"/>
    <col min="2007" max="2007" width="9.140625" style="1"/>
    <col min="2008" max="2020" width="9.28515625" style="1" bestFit="1" customWidth="1"/>
    <col min="2021" max="2021" width="10.28515625" style="1" bestFit="1" customWidth="1"/>
    <col min="2022" max="2022" width="9.5703125" style="1" bestFit="1" customWidth="1"/>
    <col min="2023" max="2023" width="18.5703125" style="1" customWidth="1"/>
    <col min="2024" max="2025" width="9.140625" style="1"/>
    <col min="2026" max="2028" width="12.140625" style="1" bestFit="1" customWidth="1"/>
    <col min="2029" max="2037" width="10.28515625" style="1" bestFit="1" customWidth="1"/>
    <col min="2038" max="2038" width="11.28515625" style="1" bestFit="1" customWidth="1"/>
    <col min="2039" max="2039" width="9.140625" style="1"/>
    <col min="2040" max="2040" width="19" style="1" customWidth="1"/>
    <col min="2041" max="2057" width="9.140625" style="1"/>
    <col min="2058" max="2068" width="11.28515625" style="1" bestFit="1" customWidth="1"/>
    <col min="2069" max="2069" width="10.28515625" style="1" bestFit="1" customWidth="1"/>
    <col min="2070" max="2070" width="12.85546875" style="1" bestFit="1" customWidth="1"/>
    <col min="2071" max="2193" width="9.140625" style="1"/>
    <col min="2194" max="2194" width="11" style="1" bestFit="1" customWidth="1"/>
    <col min="2195" max="2195" width="28.140625" style="1" bestFit="1" customWidth="1"/>
    <col min="2196" max="2196" width="14" style="1" bestFit="1" customWidth="1"/>
    <col min="2197" max="2197" width="9.140625" style="1"/>
    <col min="2198" max="2198" width="13.85546875" style="1" bestFit="1" customWidth="1"/>
    <col min="2199" max="2199" width="9.140625" style="1"/>
    <col min="2200" max="2200" width="14" style="1" customWidth="1"/>
    <col min="2201" max="2201" width="9.140625" style="1"/>
    <col min="2202" max="2202" width="12.85546875" style="1" bestFit="1" customWidth="1"/>
    <col min="2203" max="2203" width="10" style="1" customWidth="1"/>
    <col min="2204" max="2204" width="14" style="1" bestFit="1" customWidth="1"/>
    <col min="2205" max="2205" width="9.85546875" style="1" bestFit="1" customWidth="1"/>
    <col min="2206" max="2206" width="13.5703125" style="1" bestFit="1" customWidth="1"/>
    <col min="2207" max="2207" width="9.85546875" style="1" bestFit="1" customWidth="1"/>
    <col min="2208" max="2208" width="12.85546875" style="1" bestFit="1" customWidth="1"/>
    <col min="2209" max="2220" width="10.5703125" style="1" customWidth="1"/>
    <col min="2221" max="2221" width="11.140625" style="1" bestFit="1" customWidth="1"/>
    <col min="2222" max="2222" width="2.7109375" style="1" customWidth="1"/>
    <col min="2223" max="2223" width="9.85546875" style="1" bestFit="1" customWidth="1"/>
    <col min="2224" max="2225" width="9.140625" style="1"/>
    <col min="2226" max="2226" width="24" style="1" customWidth="1"/>
    <col min="2227" max="2229" width="9.140625" style="1"/>
    <col min="2230" max="2230" width="9" style="1" bestFit="1" customWidth="1"/>
    <col min="2231" max="2240" width="9.28515625" style="1" bestFit="1" customWidth="1"/>
    <col min="2241" max="2241" width="10.28515625" style="1" bestFit="1" customWidth="1"/>
    <col min="2242" max="2242" width="11.28515625" style="1" bestFit="1" customWidth="1"/>
    <col min="2243" max="2243" width="11.7109375" style="1" customWidth="1"/>
    <col min="2244" max="2244" width="9.140625" style="1"/>
    <col min="2245" max="2245" width="22.28515625" style="1" customWidth="1"/>
    <col min="2246" max="2246" width="9.140625" style="1"/>
    <col min="2247" max="2247" width="9.28515625" style="1" bestFit="1" customWidth="1"/>
    <col min="2248" max="2248" width="9.42578125" style="1" bestFit="1" customWidth="1"/>
    <col min="2249" max="2249" width="9.28515625" style="1" bestFit="1" customWidth="1"/>
    <col min="2250" max="2250" width="10.28515625" style="1" bestFit="1" customWidth="1"/>
    <col min="2251" max="2252" width="9.28515625" style="1" bestFit="1" customWidth="1"/>
    <col min="2253" max="2254" width="10.28515625" style="1" bestFit="1" customWidth="1"/>
    <col min="2255" max="2259" width="9.28515625" style="1" bestFit="1" customWidth="1"/>
    <col min="2260" max="2260" width="10.42578125" style="1" bestFit="1" customWidth="1"/>
    <col min="2261" max="2261" width="9.140625" style="1"/>
    <col min="2262" max="2262" width="24.85546875" style="1" customWidth="1"/>
    <col min="2263" max="2263" width="9.140625" style="1"/>
    <col min="2264" max="2276" width="9.28515625" style="1" bestFit="1" customWidth="1"/>
    <col min="2277" max="2277" width="10.28515625" style="1" bestFit="1" customWidth="1"/>
    <col min="2278" max="2278" width="9.5703125" style="1" bestFit="1" customWidth="1"/>
    <col min="2279" max="2279" width="18.5703125" style="1" customWidth="1"/>
    <col min="2280" max="2281" width="9.140625" style="1"/>
    <col min="2282" max="2284" width="12.140625" style="1" bestFit="1" customWidth="1"/>
    <col min="2285" max="2293" width="10.28515625" style="1" bestFit="1" customWidth="1"/>
    <col min="2294" max="2294" width="11.28515625" style="1" bestFit="1" customWidth="1"/>
    <col min="2295" max="2295" width="9.140625" style="1"/>
    <col min="2296" max="2296" width="19" style="1" customWidth="1"/>
    <col min="2297" max="2313" width="9.140625" style="1"/>
    <col min="2314" max="2324" width="11.28515625" style="1" bestFit="1" customWidth="1"/>
    <col min="2325" max="2325" width="10.28515625" style="1" bestFit="1" customWidth="1"/>
    <col min="2326" max="2326" width="12.85546875" style="1" bestFit="1" customWidth="1"/>
    <col min="2327" max="2449" width="9.140625" style="1"/>
    <col min="2450" max="2450" width="11" style="1" bestFit="1" customWidth="1"/>
    <col min="2451" max="2451" width="28.140625" style="1" bestFit="1" customWidth="1"/>
    <col min="2452" max="2452" width="14" style="1" bestFit="1" customWidth="1"/>
    <col min="2453" max="2453" width="9.140625" style="1"/>
    <col min="2454" max="2454" width="13.85546875" style="1" bestFit="1" customWidth="1"/>
    <col min="2455" max="2455" width="9.140625" style="1"/>
    <col min="2456" max="2456" width="14" style="1" customWidth="1"/>
    <col min="2457" max="2457" width="9.140625" style="1"/>
    <col min="2458" max="2458" width="12.85546875" style="1" bestFit="1" customWidth="1"/>
    <col min="2459" max="2459" width="10" style="1" customWidth="1"/>
    <col min="2460" max="2460" width="14" style="1" bestFit="1" customWidth="1"/>
    <col min="2461" max="2461" width="9.85546875" style="1" bestFit="1" customWidth="1"/>
    <col min="2462" max="2462" width="13.5703125" style="1" bestFit="1" customWidth="1"/>
    <col min="2463" max="2463" width="9.85546875" style="1" bestFit="1" customWidth="1"/>
    <col min="2464" max="2464" width="12.85546875" style="1" bestFit="1" customWidth="1"/>
    <col min="2465" max="2476" width="10.5703125" style="1" customWidth="1"/>
    <col min="2477" max="2477" width="11.140625" style="1" bestFit="1" customWidth="1"/>
    <col min="2478" max="2478" width="2.7109375" style="1" customWidth="1"/>
    <col min="2479" max="2479" width="9.85546875" style="1" bestFit="1" customWidth="1"/>
    <col min="2480" max="2481" width="9.140625" style="1"/>
    <col min="2482" max="2482" width="24" style="1" customWidth="1"/>
    <col min="2483" max="2485" width="9.140625" style="1"/>
    <col min="2486" max="2486" width="9" style="1" bestFit="1" customWidth="1"/>
    <col min="2487" max="2496" width="9.28515625" style="1" bestFit="1" customWidth="1"/>
    <col min="2497" max="2497" width="10.28515625" style="1" bestFit="1" customWidth="1"/>
    <col min="2498" max="2498" width="11.28515625" style="1" bestFit="1" customWidth="1"/>
    <col min="2499" max="2499" width="11.7109375" style="1" customWidth="1"/>
    <col min="2500" max="2500" width="9.140625" style="1"/>
    <col min="2501" max="2501" width="22.28515625" style="1" customWidth="1"/>
    <col min="2502" max="2502" width="9.140625" style="1"/>
    <col min="2503" max="2503" width="9.28515625" style="1" bestFit="1" customWidth="1"/>
    <col min="2504" max="2504" width="9.42578125" style="1" bestFit="1" customWidth="1"/>
    <col min="2505" max="2505" width="9.28515625" style="1" bestFit="1" customWidth="1"/>
    <col min="2506" max="2506" width="10.28515625" style="1" bestFit="1" customWidth="1"/>
    <col min="2507" max="2508" width="9.28515625" style="1" bestFit="1" customWidth="1"/>
    <col min="2509" max="2510" width="10.28515625" style="1" bestFit="1" customWidth="1"/>
    <col min="2511" max="2515" width="9.28515625" style="1" bestFit="1" customWidth="1"/>
    <col min="2516" max="2516" width="10.42578125" style="1" bestFit="1" customWidth="1"/>
    <col min="2517" max="2517" width="9.140625" style="1"/>
    <col min="2518" max="2518" width="24.85546875" style="1" customWidth="1"/>
    <col min="2519" max="2519" width="9.140625" style="1"/>
    <col min="2520" max="2532" width="9.28515625" style="1" bestFit="1" customWidth="1"/>
    <col min="2533" max="2533" width="10.28515625" style="1" bestFit="1" customWidth="1"/>
    <col min="2534" max="2534" width="9.5703125" style="1" bestFit="1" customWidth="1"/>
    <col min="2535" max="2535" width="18.5703125" style="1" customWidth="1"/>
    <col min="2536" max="2537" width="9.140625" style="1"/>
    <col min="2538" max="2540" width="12.140625" style="1" bestFit="1" customWidth="1"/>
    <col min="2541" max="2549" width="10.28515625" style="1" bestFit="1" customWidth="1"/>
    <col min="2550" max="2550" width="11.28515625" style="1" bestFit="1" customWidth="1"/>
    <col min="2551" max="2551" width="9.140625" style="1"/>
    <col min="2552" max="2552" width="19" style="1" customWidth="1"/>
    <col min="2553" max="2569" width="9.140625" style="1"/>
    <col min="2570" max="2580" width="11.28515625" style="1" bestFit="1" customWidth="1"/>
    <col min="2581" max="2581" width="10.28515625" style="1" bestFit="1" customWidth="1"/>
    <col min="2582" max="2582" width="12.85546875" style="1" bestFit="1" customWidth="1"/>
    <col min="2583" max="2705" width="9.140625" style="1"/>
    <col min="2706" max="2706" width="11" style="1" bestFit="1" customWidth="1"/>
    <col min="2707" max="2707" width="28.140625" style="1" bestFit="1" customWidth="1"/>
    <col min="2708" max="2708" width="14" style="1" bestFit="1" customWidth="1"/>
    <col min="2709" max="2709" width="9.140625" style="1"/>
    <col min="2710" max="2710" width="13.85546875" style="1" bestFit="1" customWidth="1"/>
    <col min="2711" max="2711" width="9.140625" style="1"/>
    <col min="2712" max="2712" width="14" style="1" customWidth="1"/>
    <col min="2713" max="2713" width="9.140625" style="1"/>
    <col min="2714" max="2714" width="12.85546875" style="1" bestFit="1" customWidth="1"/>
    <col min="2715" max="2715" width="10" style="1" customWidth="1"/>
    <col min="2716" max="2716" width="14" style="1" bestFit="1" customWidth="1"/>
    <col min="2717" max="2717" width="9.85546875" style="1" bestFit="1" customWidth="1"/>
    <col min="2718" max="2718" width="13.5703125" style="1" bestFit="1" customWidth="1"/>
    <col min="2719" max="2719" width="9.85546875" style="1" bestFit="1" customWidth="1"/>
    <col min="2720" max="2720" width="12.85546875" style="1" bestFit="1" customWidth="1"/>
    <col min="2721" max="2732" width="10.5703125" style="1" customWidth="1"/>
    <col min="2733" max="2733" width="11.140625" style="1" bestFit="1" customWidth="1"/>
    <col min="2734" max="2734" width="2.7109375" style="1" customWidth="1"/>
    <col min="2735" max="2735" width="9.85546875" style="1" bestFit="1" customWidth="1"/>
    <col min="2736" max="2737" width="9.140625" style="1"/>
    <col min="2738" max="2738" width="24" style="1" customWidth="1"/>
    <col min="2739" max="2741" width="9.140625" style="1"/>
    <col min="2742" max="2742" width="9" style="1" bestFit="1" customWidth="1"/>
    <col min="2743" max="2752" width="9.28515625" style="1" bestFit="1" customWidth="1"/>
    <col min="2753" max="2753" width="10.28515625" style="1" bestFit="1" customWidth="1"/>
    <col min="2754" max="2754" width="11.28515625" style="1" bestFit="1" customWidth="1"/>
    <col min="2755" max="2755" width="11.7109375" style="1" customWidth="1"/>
    <col min="2756" max="2756" width="9.140625" style="1"/>
    <col min="2757" max="2757" width="22.28515625" style="1" customWidth="1"/>
    <col min="2758" max="2758" width="9.140625" style="1"/>
    <col min="2759" max="2759" width="9.28515625" style="1" bestFit="1" customWidth="1"/>
    <col min="2760" max="2760" width="9.42578125" style="1" bestFit="1" customWidth="1"/>
    <col min="2761" max="2761" width="9.28515625" style="1" bestFit="1" customWidth="1"/>
    <col min="2762" max="2762" width="10.28515625" style="1" bestFit="1" customWidth="1"/>
    <col min="2763" max="2764" width="9.28515625" style="1" bestFit="1" customWidth="1"/>
    <col min="2765" max="2766" width="10.28515625" style="1" bestFit="1" customWidth="1"/>
    <col min="2767" max="2771" width="9.28515625" style="1" bestFit="1" customWidth="1"/>
    <col min="2772" max="2772" width="10.42578125" style="1" bestFit="1" customWidth="1"/>
    <col min="2773" max="2773" width="9.140625" style="1"/>
    <col min="2774" max="2774" width="24.85546875" style="1" customWidth="1"/>
    <col min="2775" max="2775" width="9.140625" style="1"/>
    <col min="2776" max="2788" width="9.28515625" style="1" bestFit="1" customWidth="1"/>
    <col min="2789" max="2789" width="10.28515625" style="1" bestFit="1" customWidth="1"/>
    <col min="2790" max="2790" width="9.5703125" style="1" bestFit="1" customWidth="1"/>
    <col min="2791" max="2791" width="18.5703125" style="1" customWidth="1"/>
    <col min="2792" max="2793" width="9.140625" style="1"/>
    <col min="2794" max="2796" width="12.140625" style="1" bestFit="1" customWidth="1"/>
    <col min="2797" max="2805" width="10.28515625" style="1" bestFit="1" customWidth="1"/>
    <col min="2806" max="2806" width="11.28515625" style="1" bestFit="1" customWidth="1"/>
    <col min="2807" max="2807" width="9.140625" style="1"/>
    <col min="2808" max="2808" width="19" style="1" customWidth="1"/>
    <col min="2809" max="2825" width="9.140625" style="1"/>
    <col min="2826" max="2836" width="11.28515625" style="1" bestFit="1" customWidth="1"/>
    <col min="2837" max="2837" width="10.28515625" style="1" bestFit="1" customWidth="1"/>
    <col min="2838" max="2838" width="12.85546875" style="1" bestFit="1" customWidth="1"/>
    <col min="2839" max="2961" width="9.140625" style="1"/>
    <col min="2962" max="2962" width="11" style="1" bestFit="1" customWidth="1"/>
    <col min="2963" max="2963" width="28.140625" style="1" bestFit="1" customWidth="1"/>
    <col min="2964" max="2964" width="14" style="1" bestFit="1" customWidth="1"/>
    <col min="2965" max="2965" width="9.140625" style="1"/>
    <col min="2966" max="2966" width="13.85546875" style="1" bestFit="1" customWidth="1"/>
    <col min="2967" max="2967" width="9.140625" style="1"/>
    <col min="2968" max="2968" width="14" style="1" customWidth="1"/>
    <col min="2969" max="2969" width="9.140625" style="1"/>
    <col min="2970" max="2970" width="12.85546875" style="1" bestFit="1" customWidth="1"/>
    <col min="2971" max="2971" width="10" style="1" customWidth="1"/>
    <col min="2972" max="2972" width="14" style="1" bestFit="1" customWidth="1"/>
    <col min="2973" max="2973" width="9.85546875" style="1" bestFit="1" customWidth="1"/>
    <col min="2974" max="2974" width="13.5703125" style="1" bestFit="1" customWidth="1"/>
    <col min="2975" max="2975" width="9.85546875" style="1" bestFit="1" customWidth="1"/>
    <col min="2976" max="2976" width="12.85546875" style="1" bestFit="1" customWidth="1"/>
    <col min="2977" max="2988" width="10.5703125" style="1" customWidth="1"/>
    <col min="2989" max="2989" width="11.140625" style="1" bestFit="1" customWidth="1"/>
    <col min="2990" max="2990" width="2.7109375" style="1" customWidth="1"/>
    <col min="2991" max="2991" width="9.85546875" style="1" bestFit="1" customWidth="1"/>
    <col min="2992" max="2993" width="9.140625" style="1"/>
    <col min="2994" max="2994" width="24" style="1" customWidth="1"/>
    <col min="2995" max="2997" width="9.140625" style="1"/>
    <col min="2998" max="2998" width="9" style="1" bestFit="1" customWidth="1"/>
    <col min="2999" max="3008" width="9.28515625" style="1" bestFit="1" customWidth="1"/>
    <col min="3009" max="3009" width="10.28515625" style="1" bestFit="1" customWidth="1"/>
    <col min="3010" max="3010" width="11.28515625" style="1" bestFit="1" customWidth="1"/>
    <col min="3011" max="3011" width="11.7109375" style="1" customWidth="1"/>
    <col min="3012" max="3012" width="9.140625" style="1"/>
    <col min="3013" max="3013" width="22.28515625" style="1" customWidth="1"/>
    <col min="3014" max="3014" width="9.140625" style="1"/>
    <col min="3015" max="3015" width="9.28515625" style="1" bestFit="1" customWidth="1"/>
    <col min="3016" max="3016" width="9.42578125" style="1" bestFit="1" customWidth="1"/>
    <col min="3017" max="3017" width="9.28515625" style="1" bestFit="1" customWidth="1"/>
    <col min="3018" max="3018" width="10.28515625" style="1" bestFit="1" customWidth="1"/>
    <col min="3019" max="3020" width="9.28515625" style="1" bestFit="1" customWidth="1"/>
    <col min="3021" max="3022" width="10.28515625" style="1" bestFit="1" customWidth="1"/>
    <col min="3023" max="3027" width="9.28515625" style="1" bestFit="1" customWidth="1"/>
    <col min="3028" max="3028" width="10.42578125" style="1" bestFit="1" customWidth="1"/>
    <col min="3029" max="3029" width="9.140625" style="1"/>
    <col min="3030" max="3030" width="24.85546875" style="1" customWidth="1"/>
    <col min="3031" max="3031" width="9.140625" style="1"/>
    <col min="3032" max="3044" width="9.28515625" style="1" bestFit="1" customWidth="1"/>
    <col min="3045" max="3045" width="10.28515625" style="1" bestFit="1" customWidth="1"/>
    <col min="3046" max="3046" width="9.5703125" style="1" bestFit="1" customWidth="1"/>
    <col min="3047" max="3047" width="18.5703125" style="1" customWidth="1"/>
    <col min="3048" max="3049" width="9.140625" style="1"/>
    <col min="3050" max="3052" width="12.140625" style="1" bestFit="1" customWidth="1"/>
    <col min="3053" max="3061" width="10.28515625" style="1" bestFit="1" customWidth="1"/>
    <col min="3062" max="3062" width="11.28515625" style="1" bestFit="1" customWidth="1"/>
    <col min="3063" max="3063" width="9.140625" style="1"/>
    <col min="3064" max="3064" width="19" style="1" customWidth="1"/>
    <col min="3065" max="3081" width="9.140625" style="1"/>
    <col min="3082" max="3092" width="11.28515625" style="1" bestFit="1" customWidth="1"/>
    <col min="3093" max="3093" width="10.28515625" style="1" bestFit="1" customWidth="1"/>
    <col min="3094" max="3094" width="12.85546875" style="1" bestFit="1" customWidth="1"/>
    <col min="3095" max="3217" width="9.140625" style="1"/>
    <col min="3218" max="3218" width="11" style="1" bestFit="1" customWidth="1"/>
    <col min="3219" max="3219" width="28.140625" style="1" bestFit="1" customWidth="1"/>
    <col min="3220" max="3220" width="14" style="1" bestFit="1" customWidth="1"/>
    <col min="3221" max="3221" width="9.140625" style="1"/>
    <col min="3222" max="3222" width="13.85546875" style="1" bestFit="1" customWidth="1"/>
    <col min="3223" max="3223" width="9.140625" style="1"/>
    <col min="3224" max="3224" width="14" style="1" customWidth="1"/>
    <col min="3225" max="3225" width="9.140625" style="1"/>
    <col min="3226" max="3226" width="12.85546875" style="1" bestFit="1" customWidth="1"/>
    <col min="3227" max="3227" width="10" style="1" customWidth="1"/>
    <col min="3228" max="3228" width="14" style="1" bestFit="1" customWidth="1"/>
    <col min="3229" max="3229" width="9.85546875" style="1" bestFit="1" customWidth="1"/>
    <col min="3230" max="3230" width="13.5703125" style="1" bestFit="1" customWidth="1"/>
    <col min="3231" max="3231" width="9.85546875" style="1" bestFit="1" customWidth="1"/>
    <col min="3232" max="3232" width="12.85546875" style="1" bestFit="1" customWidth="1"/>
    <col min="3233" max="3244" width="10.5703125" style="1" customWidth="1"/>
    <col min="3245" max="3245" width="11.140625" style="1" bestFit="1" customWidth="1"/>
    <col min="3246" max="3246" width="2.7109375" style="1" customWidth="1"/>
    <col min="3247" max="3247" width="9.85546875" style="1" bestFit="1" customWidth="1"/>
    <col min="3248" max="3249" width="9.140625" style="1"/>
    <col min="3250" max="3250" width="24" style="1" customWidth="1"/>
    <col min="3251" max="3253" width="9.140625" style="1"/>
    <col min="3254" max="3254" width="9" style="1" bestFit="1" customWidth="1"/>
    <col min="3255" max="3264" width="9.28515625" style="1" bestFit="1" customWidth="1"/>
    <col min="3265" max="3265" width="10.28515625" style="1" bestFit="1" customWidth="1"/>
    <col min="3266" max="3266" width="11.28515625" style="1" bestFit="1" customWidth="1"/>
    <col min="3267" max="3267" width="11.7109375" style="1" customWidth="1"/>
    <col min="3268" max="3268" width="9.140625" style="1"/>
    <col min="3269" max="3269" width="22.28515625" style="1" customWidth="1"/>
    <col min="3270" max="3270" width="9.140625" style="1"/>
    <col min="3271" max="3271" width="9.28515625" style="1" bestFit="1" customWidth="1"/>
    <col min="3272" max="3272" width="9.42578125" style="1" bestFit="1" customWidth="1"/>
    <col min="3273" max="3273" width="9.28515625" style="1" bestFit="1" customWidth="1"/>
    <col min="3274" max="3274" width="10.28515625" style="1" bestFit="1" customWidth="1"/>
    <col min="3275" max="3276" width="9.28515625" style="1" bestFit="1" customWidth="1"/>
    <col min="3277" max="3278" width="10.28515625" style="1" bestFit="1" customWidth="1"/>
    <col min="3279" max="3283" width="9.28515625" style="1" bestFit="1" customWidth="1"/>
    <col min="3284" max="3284" width="10.42578125" style="1" bestFit="1" customWidth="1"/>
    <col min="3285" max="3285" width="9.140625" style="1"/>
    <col min="3286" max="3286" width="24.85546875" style="1" customWidth="1"/>
    <col min="3287" max="3287" width="9.140625" style="1"/>
    <col min="3288" max="3300" width="9.28515625" style="1" bestFit="1" customWidth="1"/>
    <col min="3301" max="3301" width="10.28515625" style="1" bestFit="1" customWidth="1"/>
    <col min="3302" max="3302" width="9.5703125" style="1" bestFit="1" customWidth="1"/>
    <col min="3303" max="3303" width="18.5703125" style="1" customWidth="1"/>
    <col min="3304" max="3305" width="9.140625" style="1"/>
    <col min="3306" max="3308" width="12.140625" style="1" bestFit="1" customWidth="1"/>
    <col min="3309" max="3317" width="10.28515625" style="1" bestFit="1" customWidth="1"/>
    <col min="3318" max="3318" width="11.28515625" style="1" bestFit="1" customWidth="1"/>
    <col min="3319" max="3319" width="9.140625" style="1"/>
    <col min="3320" max="3320" width="19" style="1" customWidth="1"/>
    <col min="3321" max="3337" width="9.140625" style="1"/>
    <col min="3338" max="3348" width="11.28515625" style="1" bestFit="1" customWidth="1"/>
    <col min="3349" max="3349" width="10.28515625" style="1" bestFit="1" customWidth="1"/>
    <col min="3350" max="3350" width="12.85546875" style="1" bestFit="1" customWidth="1"/>
    <col min="3351" max="3473" width="9.140625" style="1"/>
    <col min="3474" max="3474" width="11" style="1" bestFit="1" customWidth="1"/>
    <col min="3475" max="3475" width="28.140625" style="1" bestFit="1" customWidth="1"/>
    <col min="3476" max="3476" width="14" style="1" bestFit="1" customWidth="1"/>
    <col min="3477" max="3477" width="9.140625" style="1"/>
    <col min="3478" max="3478" width="13.85546875" style="1" bestFit="1" customWidth="1"/>
    <col min="3479" max="3479" width="9.140625" style="1"/>
    <col min="3480" max="3480" width="14" style="1" customWidth="1"/>
    <col min="3481" max="3481" width="9.140625" style="1"/>
    <col min="3482" max="3482" width="12.85546875" style="1" bestFit="1" customWidth="1"/>
    <col min="3483" max="3483" width="10" style="1" customWidth="1"/>
    <col min="3484" max="3484" width="14" style="1" bestFit="1" customWidth="1"/>
    <col min="3485" max="3485" width="9.85546875" style="1" bestFit="1" customWidth="1"/>
    <col min="3486" max="3486" width="13.5703125" style="1" bestFit="1" customWidth="1"/>
    <col min="3487" max="3487" width="9.85546875" style="1" bestFit="1" customWidth="1"/>
    <col min="3488" max="3488" width="12.85546875" style="1" bestFit="1" customWidth="1"/>
    <col min="3489" max="3500" width="10.5703125" style="1" customWidth="1"/>
    <col min="3501" max="3501" width="11.140625" style="1" bestFit="1" customWidth="1"/>
    <col min="3502" max="3502" width="2.7109375" style="1" customWidth="1"/>
    <col min="3503" max="3503" width="9.85546875" style="1" bestFit="1" customWidth="1"/>
    <col min="3504" max="3505" width="9.140625" style="1"/>
    <col min="3506" max="3506" width="24" style="1" customWidth="1"/>
    <col min="3507" max="3509" width="9.140625" style="1"/>
    <col min="3510" max="3510" width="9" style="1" bestFit="1" customWidth="1"/>
    <col min="3511" max="3520" width="9.28515625" style="1" bestFit="1" customWidth="1"/>
    <col min="3521" max="3521" width="10.28515625" style="1" bestFit="1" customWidth="1"/>
    <col min="3522" max="3522" width="11.28515625" style="1" bestFit="1" customWidth="1"/>
    <col min="3523" max="3523" width="11.7109375" style="1" customWidth="1"/>
    <col min="3524" max="3524" width="9.140625" style="1"/>
    <col min="3525" max="3525" width="22.28515625" style="1" customWidth="1"/>
    <col min="3526" max="3526" width="9.140625" style="1"/>
    <col min="3527" max="3527" width="9.28515625" style="1" bestFit="1" customWidth="1"/>
    <col min="3528" max="3528" width="9.42578125" style="1" bestFit="1" customWidth="1"/>
    <col min="3529" max="3529" width="9.28515625" style="1" bestFit="1" customWidth="1"/>
    <col min="3530" max="3530" width="10.28515625" style="1" bestFit="1" customWidth="1"/>
    <col min="3531" max="3532" width="9.28515625" style="1" bestFit="1" customWidth="1"/>
    <col min="3533" max="3534" width="10.28515625" style="1" bestFit="1" customWidth="1"/>
    <col min="3535" max="3539" width="9.28515625" style="1" bestFit="1" customWidth="1"/>
    <col min="3540" max="3540" width="10.42578125" style="1" bestFit="1" customWidth="1"/>
    <col min="3541" max="3541" width="9.140625" style="1"/>
    <col min="3542" max="3542" width="24.85546875" style="1" customWidth="1"/>
    <col min="3543" max="3543" width="9.140625" style="1"/>
    <col min="3544" max="3556" width="9.28515625" style="1" bestFit="1" customWidth="1"/>
    <col min="3557" max="3557" width="10.28515625" style="1" bestFit="1" customWidth="1"/>
    <col min="3558" max="3558" width="9.5703125" style="1" bestFit="1" customWidth="1"/>
    <col min="3559" max="3559" width="18.5703125" style="1" customWidth="1"/>
    <col min="3560" max="3561" width="9.140625" style="1"/>
    <col min="3562" max="3564" width="12.140625" style="1" bestFit="1" customWidth="1"/>
    <col min="3565" max="3573" width="10.28515625" style="1" bestFit="1" customWidth="1"/>
    <col min="3574" max="3574" width="11.28515625" style="1" bestFit="1" customWidth="1"/>
    <col min="3575" max="3575" width="9.140625" style="1"/>
    <col min="3576" max="3576" width="19" style="1" customWidth="1"/>
    <col min="3577" max="3593" width="9.140625" style="1"/>
    <col min="3594" max="3604" width="11.28515625" style="1" bestFit="1" customWidth="1"/>
    <col min="3605" max="3605" width="10.28515625" style="1" bestFit="1" customWidth="1"/>
    <col min="3606" max="3606" width="12.85546875" style="1" bestFit="1" customWidth="1"/>
    <col min="3607" max="3729" width="9.140625" style="1"/>
    <col min="3730" max="3730" width="11" style="1" bestFit="1" customWidth="1"/>
    <col min="3731" max="3731" width="28.140625" style="1" bestFit="1" customWidth="1"/>
    <col min="3732" max="3732" width="14" style="1" bestFit="1" customWidth="1"/>
    <col min="3733" max="3733" width="9.140625" style="1"/>
    <col min="3734" max="3734" width="13.85546875" style="1" bestFit="1" customWidth="1"/>
    <col min="3735" max="3735" width="9.140625" style="1"/>
    <col min="3736" max="3736" width="14" style="1" customWidth="1"/>
    <col min="3737" max="3737" width="9.140625" style="1"/>
    <col min="3738" max="3738" width="12.85546875" style="1" bestFit="1" customWidth="1"/>
    <col min="3739" max="3739" width="10" style="1" customWidth="1"/>
    <col min="3740" max="3740" width="14" style="1" bestFit="1" customWidth="1"/>
    <col min="3741" max="3741" width="9.85546875" style="1" bestFit="1" customWidth="1"/>
    <col min="3742" max="3742" width="13.5703125" style="1" bestFit="1" customWidth="1"/>
    <col min="3743" max="3743" width="9.85546875" style="1" bestFit="1" customWidth="1"/>
    <col min="3744" max="3744" width="12.85546875" style="1" bestFit="1" customWidth="1"/>
    <col min="3745" max="3756" width="10.5703125" style="1" customWidth="1"/>
    <col min="3757" max="3757" width="11.140625" style="1" bestFit="1" customWidth="1"/>
    <col min="3758" max="3758" width="2.7109375" style="1" customWidth="1"/>
    <col min="3759" max="3759" width="9.85546875" style="1" bestFit="1" customWidth="1"/>
    <col min="3760" max="3761" width="9.140625" style="1"/>
    <col min="3762" max="3762" width="24" style="1" customWidth="1"/>
    <col min="3763" max="3765" width="9.140625" style="1"/>
    <col min="3766" max="3766" width="9" style="1" bestFit="1" customWidth="1"/>
    <col min="3767" max="3776" width="9.28515625" style="1" bestFit="1" customWidth="1"/>
    <col min="3777" max="3777" width="10.28515625" style="1" bestFit="1" customWidth="1"/>
    <col min="3778" max="3778" width="11.28515625" style="1" bestFit="1" customWidth="1"/>
    <col min="3779" max="3779" width="11.7109375" style="1" customWidth="1"/>
    <col min="3780" max="3780" width="9.140625" style="1"/>
    <col min="3781" max="3781" width="22.28515625" style="1" customWidth="1"/>
    <col min="3782" max="3782" width="9.140625" style="1"/>
    <col min="3783" max="3783" width="9.28515625" style="1" bestFit="1" customWidth="1"/>
    <col min="3784" max="3784" width="9.42578125" style="1" bestFit="1" customWidth="1"/>
    <col min="3785" max="3785" width="9.28515625" style="1" bestFit="1" customWidth="1"/>
    <col min="3786" max="3786" width="10.28515625" style="1" bestFit="1" customWidth="1"/>
    <col min="3787" max="3788" width="9.28515625" style="1" bestFit="1" customWidth="1"/>
    <col min="3789" max="3790" width="10.28515625" style="1" bestFit="1" customWidth="1"/>
    <col min="3791" max="3795" width="9.28515625" style="1" bestFit="1" customWidth="1"/>
    <col min="3796" max="3796" width="10.42578125" style="1" bestFit="1" customWidth="1"/>
    <col min="3797" max="3797" width="9.140625" style="1"/>
    <col min="3798" max="3798" width="24.85546875" style="1" customWidth="1"/>
    <col min="3799" max="3799" width="9.140625" style="1"/>
    <col min="3800" max="3812" width="9.28515625" style="1" bestFit="1" customWidth="1"/>
    <col min="3813" max="3813" width="10.28515625" style="1" bestFit="1" customWidth="1"/>
    <col min="3814" max="3814" width="9.5703125" style="1" bestFit="1" customWidth="1"/>
    <col min="3815" max="3815" width="18.5703125" style="1" customWidth="1"/>
    <col min="3816" max="3817" width="9.140625" style="1"/>
    <col min="3818" max="3820" width="12.140625" style="1" bestFit="1" customWidth="1"/>
    <col min="3821" max="3829" width="10.28515625" style="1" bestFit="1" customWidth="1"/>
    <col min="3830" max="3830" width="11.28515625" style="1" bestFit="1" customWidth="1"/>
    <col min="3831" max="3831" width="9.140625" style="1"/>
    <col min="3832" max="3832" width="19" style="1" customWidth="1"/>
    <col min="3833" max="3849" width="9.140625" style="1"/>
    <col min="3850" max="3860" width="11.28515625" style="1" bestFit="1" customWidth="1"/>
    <col min="3861" max="3861" width="10.28515625" style="1" bestFit="1" customWidth="1"/>
    <col min="3862" max="3862" width="12.85546875" style="1" bestFit="1" customWidth="1"/>
    <col min="3863" max="3985" width="9.140625" style="1"/>
    <col min="3986" max="3986" width="11" style="1" bestFit="1" customWidth="1"/>
    <col min="3987" max="3987" width="28.140625" style="1" bestFit="1" customWidth="1"/>
    <col min="3988" max="3988" width="14" style="1" bestFit="1" customWidth="1"/>
    <col min="3989" max="3989" width="9.140625" style="1"/>
    <col min="3990" max="3990" width="13.85546875" style="1" bestFit="1" customWidth="1"/>
    <col min="3991" max="3991" width="9.140625" style="1"/>
    <col min="3992" max="3992" width="14" style="1" customWidth="1"/>
    <col min="3993" max="3993" width="9.140625" style="1"/>
    <col min="3994" max="3994" width="12.85546875" style="1" bestFit="1" customWidth="1"/>
    <col min="3995" max="3995" width="10" style="1" customWidth="1"/>
    <col min="3996" max="3996" width="14" style="1" bestFit="1" customWidth="1"/>
    <col min="3997" max="3997" width="9.85546875" style="1" bestFit="1" customWidth="1"/>
    <col min="3998" max="3998" width="13.5703125" style="1" bestFit="1" customWidth="1"/>
    <col min="3999" max="3999" width="9.85546875" style="1" bestFit="1" customWidth="1"/>
    <col min="4000" max="4000" width="12.85546875" style="1" bestFit="1" customWidth="1"/>
    <col min="4001" max="4012" width="10.5703125" style="1" customWidth="1"/>
    <col min="4013" max="4013" width="11.140625" style="1" bestFit="1" customWidth="1"/>
    <col min="4014" max="4014" width="2.7109375" style="1" customWidth="1"/>
    <col min="4015" max="4015" width="9.85546875" style="1" bestFit="1" customWidth="1"/>
    <col min="4016" max="4017" width="9.140625" style="1"/>
    <col min="4018" max="4018" width="24" style="1" customWidth="1"/>
    <col min="4019" max="4021" width="9.140625" style="1"/>
    <col min="4022" max="4022" width="9" style="1" bestFit="1" customWidth="1"/>
    <col min="4023" max="4032" width="9.28515625" style="1" bestFit="1" customWidth="1"/>
    <col min="4033" max="4033" width="10.28515625" style="1" bestFit="1" customWidth="1"/>
    <col min="4034" max="4034" width="11.28515625" style="1" bestFit="1" customWidth="1"/>
    <col min="4035" max="4035" width="11.7109375" style="1" customWidth="1"/>
    <col min="4036" max="4036" width="9.140625" style="1"/>
    <col min="4037" max="4037" width="22.28515625" style="1" customWidth="1"/>
    <col min="4038" max="4038" width="9.140625" style="1"/>
    <col min="4039" max="4039" width="9.28515625" style="1" bestFit="1" customWidth="1"/>
    <col min="4040" max="4040" width="9.42578125" style="1" bestFit="1" customWidth="1"/>
    <col min="4041" max="4041" width="9.28515625" style="1" bestFit="1" customWidth="1"/>
    <col min="4042" max="4042" width="10.28515625" style="1" bestFit="1" customWidth="1"/>
    <col min="4043" max="4044" width="9.28515625" style="1" bestFit="1" customWidth="1"/>
    <col min="4045" max="4046" width="10.28515625" style="1" bestFit="1" customWidth="1"/>
    <col min="4047" max="4051" width="9.28515625" style="1" bestFit="1" customWidth="1"/>
    <col min="4052" max="4052" width="10.42578125" style="1" bestFit="1" customWidth="1"/>
    <col min="4053" max="4053" width="9.140625" style="1"/>
    <col min="4054" max="4054" width="24.85546875" style="1" customWidth="1"/>
    <col min="4055" max="4055" width="9.140625" style="1"/>
    <col min="4056" max="4068" width="9.28515625" style="1" bestFit="1" customWidth="1"/>
    <col min="4069" max="4069" width="10.28515625" style="1" bestFit="1" customWidth="1"/>
    <col min="4070" max="4070" width="9.5703125" style="1" bestFit="1" customWidth="1"/>
    <col min="4071" max="4071" width="18.5703125" style="1" customWidth="1"/>
    <col min="4072" max="4073" width="9.140625" style="1"/>
    <col min="4074" max="4076" width="12.140625" style="1" bestFit="1" customWidth="1"/>
    <col min="4077" max="4085" width="10.28515625" style="1" bestFit="1" customWidth="1"/>
    <col min="4086" max="4086" width="11.28515625" style="1" bestFit="1" customWidth="1"/>
    <col min="4087" max="4087" width="9.140625" style="1"/>
    <col min="4088" max="4088" width="19" style="1" customWidth="1"/>
    <col min="4089" max="4105" width="9.140625" style="1"/>
    <col min="4106" max="4116" width="11.28515625" style="1" bestFit="1" customWidth="1"/>
    <col min="4117" max="4117" width="10.28515625" style="1" bestFit="1" customWidth="1"/>
    <col min="4118" max="4118" width="12.85546875" style="1" bestFit="1" customWidth="1"/>
    <col min="4119" max="4241" width="9.140625" style="1"/>
    <col min="4242" max="4242" width="11" style="1" bestFit="1" customWidth="1"/>
    <col min="4243" max="4243" width="28.140625" style="1" bestFit="1" customWidth="1"/>
    <col min="4244" max="4244" width="14" style="1" bestFit="1" customWidth="1"/>
    <col min="4245" max="4245" width="9.140625" style="1"/>
    <col min="4246" max="4246" width="13.85546875" style="1" bestFit="1" customWidth="1"/>
    <col min="4247" max="4247" width="9.140625" style="1"/>
    <col min="4248" max="4248" width="14" style="1" customWidth="1"/>
    <col min="4249" max="4249" width="9.140625" style="1"/>
    <col min="4250" max="4250" width="12.85546875" style="1" bestFit="1" customWidth="1"/>
    <col min="4251" max="4251" width="10" style="1" customWidth="1"/>
    <col min="4252" max="4252" width="14" style="1" bestFit="1" customWidth="1"/>
    <col min="4253" max="4253" width="9.85546875" style="1" bestFit="1" customWidth="1"/>
    <col min="4254" max="4254" width="13.5703125" style="1" bestFit="1" customWidth="1"/>
    <col min="4255" max="4255" width="9.85546875" style="1" bestFit="1" customWidth="1"/>
    <col min="4256" max="4256" width="12.85546875" style="1" bestFit="1" customWidth="1"/>
    <col min="4257" max="4268" width="10.5703125" style="1" customWidth="1"/>
    <col min="4269" max="4269" width="11.140625" style="1" bestFit="1" customWidth="1"/>
    <col min="4270" max="4270" width="2.7109375" style="1" customWidth="1"/>
    <col min="4271" max="4271" width="9.85546875" style="1" bestFit="1" customWidth="1"/>
    <col min="4272" max="4273" width="9.140625" style="1"/>
    <col min="4274" max="4274" width="24" style="1" customWidth="1"/>
    <col min="4275" max="4277" width="9.140625" style="1"/>
    <col min="4278" max="4278" width="9" style="1" bestFit="1" customWidth="1"/>
    <col min="4279" max="4288" width="9.28515625" style="1" bestFit="1" customWidth="1"/>
    <col min="4289" max="4289" width="10.28515625" style="1" bestFit="1" customWidth="1"/>
    <col min="4290" max="4290" width="11.28515625" style="1" bestFit="1" customWidth="1"/>
    <col min="4291" max="4291" width="11.7109375" style="1" customWidth="1"/>
    <col min="4292" max="4292" width="9.140625" style="1"/>
    <col min="4293" max="4293" width="22.28515625" style="1" customWidth="1"/>
    <col min="4294" max="4294" width="9.140625" style="1"/>
    <col min="4295" max="4295" width="9.28515625" style="1" bestFit="1" customWidth="1"/>
    <col min="4296" max="4296" width="9.42578125" style="1" bestFit="1" customWidth="1"/>
    <col min="4297" max="4297" width="9.28515625" style="1" bestFit="1" customWidth="1"/>
    <col min="4298" max="4298" width="10.28515625" style="1" bestFit="1" customWidth="1"/>
    <col min="4299" max="4300" width="9.28515625" style="1" bestFit="1" customWidth="1"/>
    <col min="4301" max="4302" width="10.28515625" style="1" bestFit="1" customWidth="1"/>
    <col min="4303" max="4307" width="9.28515625" style="1" bestFit="1" customWidth="1"/>
    <col min="4308" max="4308" width="10.42578125" style="1" bestFit="1" customWidth="1"/>
    <col min="4309" max="4309" width="9.140625" style="1"/>
    <col min="4310" max="4310" width="24.85546875" style="1" customWidth="1"/>
    <col min="4311" max="4311" width="9.140625" style="1"/>
    <col min="4312" max="4324" width="9.28515625" style="1" bestFit="1" customWidth="1"/>
    <col min="4325" max="4325" width="10.28515625" style="1" bestFit="1" customWidth="1"/>
    <col min="4326" max="4326" width="9.5703125" style="1" bestFit="1" customWidth="1"/>
    <col min="4327" max="4327" width="18.5703125" style="1" customWidth="1"/>
    <col min="4328" max="4329" width="9.140625" style="1"/>
    <col min="4330" max="4332" width="12.140625" style="1" bestFit="1" customWidth="1"/>
    <col min="4333" max="4341" width="10.28515625" style="1" bestFit="1" customWidth="1"/>
    <col min="4342" max="4342" width="11.28515625" style="1" bestFit="1" customWidth="1"/>
    <col min="4343" max="4343" width="9.140625" style="1"/>
    <col min="4344" max="4344" width="19" style="1" customWidth="1"/>
    <col min="4345" max="4361" width="9.140625" style="1"/>
    <col min="4362" max="4372" width="11.28515625" style="1" bestFit="1" customWidth="1"/>
    <col min="4373" max="4373" width="10.28515625" style="1" bestFit="1" customWidth="1"/>
    <col min="4374" max="4374" width="12.85546875" style="1" bestFit="1" customWidth="1"/>
    <col min="4375" max="4497" width="9.140625" style="1"/>
    <col min="4498" max="4498" width="11" style="1" bestFit="1" customWidth="1"/>
    <col min="4499" max="4499" width="28.140625" style="1" bestFit="1" customWidth="1"/>
    <col min="4500" max="4500" width="14" style="1" bestFit="1" customWidth="1"/>
    <col min="4501" max="4501" width="9.140625" style="1"/>
    <col min="4502" max="4502" width="13.85546875" style="1" bestFit="1" customWidth="1"/>
    <col min="4503" max="4503" width="9.140625" style="1"/>
    <col min="4504" max="4504" width="14" style="1" customWidth="1"/>
    <col min="4505" max="4505" width="9.140625" style="1"/>
    <col min="4506" max="4506" width="12.85546875" style="1" bestFit="1" customWidth="1"/>
    <col min="4507" max="4507" width="10" style="1" customWidth="1"/>
    <col min="4508" max="4508" width="14" style="1" bestFit="1" customWidth="1"/>
    <col min="4509" max="4509" width="9.85546875" style="1" bestFit="1" customWidth="1"/>
    <col min="4510" max="4510" width="13.5703125" style="1" bestFit="1" customWidth="1"/>
    <col min="4511" max="4511" width="9.85546875" style="1" bestFit="1" customWidth="1"/>
    <col min="4512" max="4512" width="12.85546875" style="1" bestFit="1" customWidth="1"/>
    <col min="4513" max="4524" width="10.5703125" style="1" customWidth="1"/>
    <col min="4525" max="4525" width="11.140625" style="1" bestFit="1" customWidth="1"/>
    <col min="4526" max="4526" width="2.7109375" style="1" customWidth="1"/>
    <col min="4527" max="4527" width="9.85546875" style="1" bestFit="1" customWidth="1"/>
    <col min="4528" max="4529" width="9.140625" style="1"/>
    <col min="4530" max="4530" width="24" style="1" customWidth="1"/>
    <col min="4531" max="4533" width="9.140625" style="1"/>
    <col min="4534" max="4534" width="9" style="1" bestFit="1" customWidth="1"/>
    <col min="4535" max="4544" width="9.28515625" style="1" bestFit="1" customWidth="1"/>
    <col min="4545" max="4545" width="10.28515625" style="1" bestFit="1" customWidth="1"/>
    <col min="4546" max="4546" width="11.28515625" style="1" bestFit="1" customWidth="1"/>
    <col min="4547" max="4547" width="11.7109375" style="1" customWidth="1"/>
    <col min="4548" max="4548" width="9.140625" style="1"/>
    <col min="4549" max="4549" width="22.28515625" style="1" customWidth="1"/>
    <col min="4550" max="4550" width="9.140625" style="1"/>
    <col min="4551" max="4551" width="9.28515625" style="1" bestFit="1" customWidth="1"/>
    <col min="4552" max="4552" width="9.42578125" style="1" bestFit="1" customWidth="1"/>
    <col min="4553" max="4553" width="9.28515625" style="1" bestFit="1" customWidth="1"/>
    <col min="4554" max="4554" width="10.28515625" style="1" bestFit="1" customWidth="1"/>
    <col min="4555" max="4556" width="9.28515625" style="1" bestFit="1" customWidth="1"/>
    <col min="4557" max="4558" width="10.28515625" style="1" bestFit="1" customWidth="1"/>
    <col min="4559" max="4563" width="9.28515625" style="1" bestFit="1" customWidth="1"/>
    <col min="4564" max="4564" width="10.42578125" style="1" bestFit="1" customWidth="1"/>
    <col min="4565" max="4565" width="9.140625" style="1"/>
    <col min="4566" max="4566" width="24.85546875" style="1" customWidth="1"/>
    <col min="4567" max="4567" width="9.140625" style="1"/>
    <col min="4568" max="4580" width="9.28515625" style="1" bestFit="1" customWidth="1"/>
    <col min="4581" max="4581" width="10.28515625" style="1" bestFit="1" customWidth="1"/>
    <col min="4582" max="4582" width="9.5703125" style="1" bestFit="1" customWidth="1"/>
    <col min="4583" max="4583" width="18.5703125" style="1" customWidth="1"/>
    <col min="4584" max="4585" width="9.140625" style="1"/>
    <col min="4586" max="4588" width="12.140625" style="1" bestFit="1" customWidth="1"/>
    <col min="4589" max="4597" width="10.28515625" style="1" bestFit="1" customWidth="1"/>
    <col min="4598" max="4598" width="11.28515625" style="1" bestFit="1" customWidth="1"/>
    <col min="4599" max="4599" width="9.140625" style="1"/>
    <col min="4600" max="4600" width="19" style="1" customWidth="1"/>
    <col min="4601" max="4617" width="9.140625" style="1"/>
    <col min="4618" max="4628" width="11.28515625" style="1" bestFit="1" customWidth="1"/>
    <col min="4629" max="4629" width="10.28515625" style="1" bestFit="1" customWidth="1"/>
    <col min="4630" max="4630" width="12.85546875" style="1" bestFit="1" customWidth="1"/>
    <col min="4631" max="4753" width="9.140625" style="1"/>
    <col min="4754" max="4754" width="11" style="1" bestFit="1" customWidth="1"/>
    <col min="4755" max="4755" width="28.140625" style="1" bestFit="1" customWidth="1"/>
    <col min="4756" max="4756" width="14" style="1" bestFit="1" customWidth="1"/>
    <col min="4757" max="4757" width="9.140625" style="1"/>
    <col min="4758" max="4758" width="13.85546875" style="1" bestFit="1" customWidth="1"/>
    <col min="4759" max="4759" width="9.140625" style="1"/>
    <col min="4760" max="4760" width="14" style="1" customWidth="1"/>
    <col min="4761" max="4761" width="9.140625" style="1"/>
    <col min="4762" max="4762" width="12.85546875" style="1" bestFit="1" customWidth="1"/>
    <col min="4763" max="4763" width="10" style="1" customWidth="1"/>
    <col min="4764" max="4764" width="14" style="1" bestFit="1" customWidth="1"/>
    <col min="4765" max="4765" width="9.85546875" style="1" bestFit="1" customWidth="1"/>
    <col min="4766" max="4766" width="13.5703125" style="1" bestFit="1" customWidth="1"/>
    <col min="4767" max="4767" width="9.85546875" style="1" bestFit="1" customWidth="1"/>
    <col min="4768" max="4768" width="12.85546875" style="1" bestFit="1" customWidth="1"/>
    <col min="4769" max="4780" width="10.5703125" style="1" customWidth="1"/>
    <col min="4781" max="4781" width="11.140625" style="1" bestFit="1" customWidth="1"/>
    <col min="4782" max="4782" width="2.7109375" style="1" customWidth="1"/>
    <col min="4783" max="4783" width="9.85546875" style="1" bestFit="1" customWidth="1"/>
    <col min="4784" max="4785" width="9.140625" style="1"/>
    <col min="4786" max="4786" width="24" style="1" customWidth="1"/>
    <col min="4787" max="4789" width="9.140625" style="1"/>
    <col min="4790" max="4790" width="9" style="1" bestFit="1" customWidth="1"/>
    <col min="4791" max="4800" width="9.28515625" style="1" bestFit="1" customWidth="1"/>
    <col min="4801" max="4801" width="10.28515625" style="1" bestFit="1" customWidth="1"/>
    <col min="4802" max="4802" width="11.28515625" style="1" bestFit="1" customWidth="1"/>
    <col min="4803" max="4803" width="11.7109375" style="1" customWidth="1"/>
    <col min="4804" max="4804" width="9.140625" style="1"/>
    <col min="4805" max="4805" width="22.28515625" style="1" customWidth="1"/>
    <col min="4806" max="4806" width="9.140625" style="1"/>
    <col min="4807" max="4807" width="9.28515625" style="1" bestFit="1" customWidth="1"/>
    <col min="4808" max="4808" width="9.42578125" style="1" bestFit="1" customWidth="1"/>
    <col min="4809" max="4809" width="9.28515625" style="1" bestFit="1" customWidth="1"/>
    <col min="4810" max="4810" width="10.28515625" style="1" bestFit="1" customWidth="1"/>
    <col min="4811" max="4812" width="9.28515625" style="1" bestFit="1" customWidth="1"/>
    <col min="4813" max="4814" width="10.28515625" style="1" bestFit="1" customWidth="1"/>
    <col min="4815" max="4819" width="9.28515625" style="1" bestFit="1" customWidth="1"/>
    <col min="4820" max="4820" width="10.42578125" style="1" bestFit="1" customWidth="1"/>
    <col min="4821" max="4821" width="9.140625" style="1"/>
    <col min="4822" max="4822" width="24.85546875" style="1" customWidth="1"/>
    <col min="4823" max="4823" width="9.140625" style="1"/>
    <col min="4824" max="4836" width="9.28515625" style="1" bestFit="1" customWidth="1"/>
    <col min="4837" max="4837" width="10.28515625" style="1" bestFit="1" customWidth="1"/>
    <col min="4838" max="4838" width="9.5703125" style="1" bestFit="1" customWidth="1"/>
    <col min="4839" max="4839" width="18.5703125" style="1" customWidth="1"/>
    <col min="4840" max="4841" width="9.140625" style="1"/>
    <col min="4842" max="4844" width="12.140625" style="1" bestFit="1" customWidth="1"/>
    <col min="4845" max="4853" width="10.28515625" style="1" bestFit="1" customWidth="1"/>
    <col min="4854" max="4854" width="11.28515625" style="1" bestFit="1" customWidth="1"/>
    <col min="4855" max="4855" width="9.140625" style="1"/>
    <col min="4856" max="4856" width="19" style="1" customWidth="1"/>
    <col min="4857" max="4873" width="9.140625" style="1"/>
    <col min="4874" max="4884" width="11.28515625" style="1" bestFit="1" customWidth="1"/>
    <col min="4885" max="4885" width="10.28515625" style="1" bestFit="1" customWidth="1"/>
    <col min="4886" max="4886" width="12.85546875" style="1" bestFit="1" customWidth="1"/>
    <col min="4887" max="5009" width="9.140625" style="1"/>
    <col min="5010" max="5010" width="11" style="1" bestFit="1" customWidth="1"/>
    <col min="5011" max="5011" width="28.140625" style="1" bestFit="1" customWidth="1"/>
    <col min="5012" max="5012" width="14" style="1" bestFit="1" customWidth="1"/>
    <col min="5013" max="5013" width="9.140625" style="1"/>
    <col min="5014" max="5014" width="13.85546875" style="1" bestFit="1" customWidth="1"/>
    <col min="5015" max="5015" width="9.140625" style="1"/>
    <col min="5016" max="5016" width="14" style="1" customWidth="1"/>
    <col min="5017" max="5017" width="9.140625" style="1"/>
    <col min="5018" max="5018" width="12.85546875" style="1" bestFit="1" customWidth="1"/>
    <col min="5019" max="5019" width="10" style="1" customWidth="1"/>
    <col min="5020" max="5020" width="14" style="1" bestFit="1" customWidth="1"/>
    <col min="5021" max="5021" width="9.85546875" style="1" bestFit="1" customWidth="1"/>
    <col min="5022" max="5022" width="13.5703125" style="1" bestFit="1" customWidth="1"/>
    <col min="5023" max="5023" width="9.85546875" style="1" bestFit="1" customWidth="1"/>
    <col min="5024" max="5024" width="12.85546875" style="1" bestFit="1" customWidth="1"/>
    <col min="5025" max="5036" width="10.5703125" style="1" customWidth="1"/>
    <col min="5037" max="5037" width="11.140625" style="1" bestFit="1" customWidth="1"/>
    <col min="5038" max="5038" width="2.7109375" style="1" customWidth="1"/>
    <col min="5039" max="5039" width="9.85546875" style="1" bestFit="1" customWidth="1"/>
    <col min="5040" max="5041" width="9.140625" style="1"/>
    <col min="5042" max="5042" width="24" style="1" customWidth="1"/>
    <col min="5043" max="5045" width="9.140625" style="1"/>
    <col min="5046" max="5046" width="9" style="1" bestFit="1" customWidth="1"/>
    <col min="5047" max="5056" width="9.28515625" style="1" bestFit="1" customWidth="1"/>
    <col min="5057" max="5057" width="10.28515625" style="1" bestFit="1" customWidth="1"/>
    <col min="5058" max="5058" width="11.28515625" style="1" bestFit="1" customWidth="1"/>
    <col min="5059" max="5059" width="11.7109375" style="1" customWidth="1"/>
    <col min="5060" max="5060" width="9.140625" style="1"/>
    <col min="5061" max="5061" width="22.28515625" style="1" customWidth="1"/>
    <col min="5062" max="5062" width="9.140625" style="1"/>
    <col min="5063" max="5063" width="9.28515625" style="1" bestFit="1" customWidth="1"/>
    <col min="5064" max="5064" width="9.42578125" style="1" bestFit="1" customWidth="1"/>
    <col min="5065" max="5065" width="9.28515625" style="1" bestFit="1" customWidth="1"/>
    <col min="5066" max="5066" width="10.28515625" style="1" bestFit="1" customWidth="1"/>
    <col min="5067" max="5068" width="9.28515625" style="1" bestFit="1" customWidth="1"/>
    <col min="5069" max="5070" width="10.28515625" style="1" bestFit="1" customWidth="1"/>
    <col min="5071" max="5075" width="9.28515625" style="1" bestFit="1" customWidth="1"/>
    <col min="5076" max="5076" width="10.42578125" style="1" bestFit="1" customWidth="1"/>
    <col min="5077" max="5077" width="9.140625" style="1"/>
    <col min="5078" max="5078" width="24.85546875" style="1" customWidth="1"/>
    <col min="5079" max="5079" width="9.140625" style="1"/>
    <col min="5080" max="5092" width="9.28515625" style="1" bestFit="1" customWidth="1"/>
    <col min="5093" max="5093" width="10.28515625" style="1" bestFit="1" customWidth="1"/>
    <col min="5094" max="5094" width="9.5703125" style="1" bestFit="1" customWidth="1"/>
    <col min="5095" max="5095" width="18.5703125" style="1" customWidth="1"/>
    <col min="5096" max="5097" width="9.140625" style="1"/>
    <col min="5098" max="5100" width="12.140625" style="1" bestFit="1" customWidth="1"/>
    <col min="5101" max="5109" width="10.28515625" style="1" bestFit="1" customWidth="1"/>
    <col min="5110" max="5110" width="11.28515625" style="1" bestFit="1" customWidth="1"/>
    <col min="5111" max="5111" width="9.140625" style="1"/>
    <col min="5112" max="5112" width="19" style="1" customWidth="1"/>
    <col min="5113" max="5129" width="9.140625" style="1"/>
    <col min="5130" max="5140" width="11.28515625" style="1" bestFit="1" customWidth="1"/>
    <col min="5141" max="5141" width="10.28515625" style="1" bestFit="1" customWidth="1"/>
    <col min="5142" max="5142" width="12.85546875" style="1" bestFit="1" customWidth="1"/>
    <col min="5143" max="5265" width="9.140625" style="1"/>
    <col min="5266" max="5266" width="11" style="1" bestFit="1" customWidth="1"/>
    <col min="5267" max="5267" width="28.140625" style="1" bestFit="1" customWidth="1"/>
    <col min="5268" max="5268" width="14" style="1" bestFit="1" customWidth="1"/>
    <col min="5269" max="5269" width="9.140625" style="1"/>
    <col min="5270" max="5270" width="13.85546875" style="1" bestFit="1" customWidth="1"/>
    <col min="5271" max="5271" width="9.140625" style="1"/>
    <col min="5272" max="5272" width="14" style="1" customWidth="1"/>
    <col min="5273" max="5273" width="9.140625" style="1"/>
    <col min="5274" max="5274" width="12.85546875" style="1" bestFit="1" customWidth="1"/>
    <col min="5275" max="5275" width="10" style="1" customWidth="1"/>
    <col min="5276" max="5276" width="14" style="1" bestFit="1" customWidth="1"/>
    <col min="5277" max="5277" width="9.85546875" style="1" bestFit="1" customWidth="1"/>
    <col min="5278" max="5278" width="13.5703125" style="1" bestFit="1" customWidth="1"/>
    <col min="5279" max="5279" width="9.85546875" style="1" bestFit="1" customWidth="1"/>
    <col min="5280" max="5280" width="12.85546875" style="1" bestFit="1" customWidth="1"/>
    <col min="5281" max="5292" width="10.5703125" style="1" customWidth="1"/>
    <col min="5293" max="5293" width="11.140625" style="1" bestFit="1" customWidth="1"/>
    <col min="5294" max="5294" width="2.7109375" style="1" customWidth="1"/>
    <col min="5295" max="5295" width="9.85546875" style="1" bestFit="1" customWidth="1"/>
    <col min="5296" max="5297" width="9.140625" style="1"/>
    <col min="5298" max="5298" width="24" style="1" customWidth="1"/>
    <col min="5299" max="5301" width="9.140625" style="1"/>
    <col min="5302" max="5302" width="9" style="1" bestFit="1" customWidth="1"/>
    <col min="5303" max="5312" width="9.28515625" style="1" bestFit="1" customWidth="1"/>
    <col min="5313" max="5313" width="10.28515625" style="1" bestFit="1" customWidth="1"/>
    <col min="5314" max="5314" width="11.28515625" style="1" bestFit="1" customWidth="1"/>
    <col min="5315" max="5315" width="11.7109375" style="1" customWidth="1"/>
    <col min="5316" max="5316" width="9.140625" style="1"/>
    <col min="5317" max="5317" width="22.28515625" style="1" customWidth="1"/>
    <col min="5318" max="5318" width="9.140625" style="1"/>
    <col min="5319" max="5319" width="9.28515625" style="1" bestFit="1" customWidth="1"/>
    <col min="5320" max="5320" width="9.42578125" style="1" bestFit="1" customWidth="1"/>
    <col min="5321" max="5321" width="9.28515625" style="1" bestFit="1" customWidth="1"/>
    <col min="5322" max="5322" width="10.28515625" style="1" bestFit="1" customWidth="1"/>
    <col min="5323" max="5324" width="9.28515625" style="1" bestFit="1" customWidth="1"/>
    <col min="5325" max="5326" width="10.28515625" style="1" bestFit="1" customWidth="1"/>
    <col min="5327" max="5331" width="9.28515625" style="1" bestFit="1" customWidth="1"/>
    <col min="5332" max="5332" width="10.42578125" style="1" bestFit="1" customWidth="1"/>
    <col min="5333" max="5333" width="9.140625" style="1"/>
    <col min="5334" max="5334" width="24.85546875" style="1" customWidth="1"/>
    <col min="5335" max="5335" width="9.140625" style="1"/>
    <col min="5336" max="5348" width="9.28515625" style="1" bestFit="1" customWidth="1"/>
    <col min="5349" max="5349" width="10.28515625" style="1" bestFit="1" customWidth="1"/>
    <col min="5350" max="5350" width="9.5703125" style="1" bestFit="1" customWidth="1"/>
    <col min="5351" max="5351" width="18.5703125" style="1" customWidth="1"/>
    <col min="5352" max="5353" width="9.140625" style="1"/>
    <col min="5354" max="5356" width="12.140625" style="1" bestFit="1" customWidth="1"/>
    <col min="5357" max="5365" width="10.28515625" style="1" bestFit="1" customWidth="1"/>
    <col min="5366" max="5366" width="11.28515625" style="1" bestFit="1" customWidth="1"/>
    <col min="5367" max="5367" width="9.140625" style="1"/>
    <col min="5368" max="5368" width="19" style="1" customWidth="1"/>
    <col min="5369" max="5385" width="9.140625" style="1"/>
    <col min="5386" max="5396" width="11.28515625" style="1" bestFit="1" customWidth="1"/>
    <col min="5397" max="5397" width="10.28515625" style="1" bestFit="1" customWidth="1"/>
    <col min="5398" max="5398" width="12.85546875" style="1" bestFit="1" customWidth="1"/>
    <col min="5399" max="5521" width="9.140625" style="1"/>
    <col min="5522" max="5522" width="11" style="1" bestFit="1" customWidth="1"/>
    <col min="5523" max="5523" width="28.140625" style="1" bestFit="1" customWidth="1"/>
    <col min="5524" max="5524" width="14" style="1" bestFit="1" customWidth="1"/>
    <col min="5525" max="5525" width="9.140625" style="1"/>
    <col min="5526" max="5526" width="13.85546875" style="1" bestFit="1" customWidth="1"/>
    <col min="5527" max="5527" width="9.140625" style="1"/>
    <col min="5528" max="5528" width="14" style="1" customWidth="1"/>
    <col min="5529" max="5529" width="9.140625" style="1"/>
    <col min="5530" max="5530" width="12.85546875" style="1" bestFit="1" customWidth="1"/>
    <col min="5531" max="5531" width="10" style="1" customWidth="1"/>
    <col min="5532" max="5532" width="14" style="1" bestFit="1" customWidth="1"/>
    <col min="5533" max="5533" width="9.85546875" style="1" bestFit="1" customWidth="1"/>
    <col min="5534" max="5534" width="13.5703125" style="1" bestFit="1" customWidth="1"/>
    <col min="5535" max="5535" width="9.85546875" style="1" bestFit="1" customWidth="1"/>
    <col min="5536" max="5536" width="12.85546875" style="1" bestFit="1" customWidth="1"/>
    <col min="5537" max="5548" width="10.5703125" style="1" customWidth="1"/>
    <col min="5549" max="5549" width="11.140625" style="1" bestFit="1" customWidth="1"/>
    <col min="5550" max="5550" width="2.7109375" style="1" customWidth="1"/>
    <col min="5551" max="5551" width="9.85546875" style="1" bestFit="1" customWidth="1"/>
    <col min="5552" max="5553" width="9.140625" style="1"/>
    <col min="5554" max="5554" width="24" style="1" customWidth="1"/>
    <col min="5555" max="5557" width="9.140625" style="1"/>
    <col min="5558" max="5558" width="9" style="1" bestFit="1" customWidth="1"/>
    <col min="5559" max="5568" width="9.28515625" style="1" bestFit="1" customWidth="1"/>
    <col min="5569" max="5569" width="10.28515625" style="1" bestFit="1" customWidth="1"/>
    <col min="5570" max="5570" width="11.28515625" style="1" bestFit="1" customWidth="1"/>
    <col min="5571" max="5571" width="11.7109375" style="1" customWidth="1"/>
    <col min="5572" max="5572" width="9.140625" style="1"/>
    <col min="5573" max="5573" width="22.28515625" style="1" customWidth="1"/>
    <col min="5574" max="5574" width="9.140625" style="1"/>
    <col min="5575" max="5575" width="9.28515625" style="1" bestFit="1" customWidth="1"/>
    <col min="5576" max="5576" width="9.42578125" style="1" bestFit="1" customWidth="1"/>
    <col min="5577" max="5577" width="9.28515625" style="1" bestFit="1" customWidth="1"/>
    <col min="5578" max="5578" width="10.28515625" style="1" bestFit="1" customWidth="1"/>
    <col min="5579" max="5580" width="9.28515625" style="1" bestFit="1" customWidth="1"/>
    <col min="5581" max="5582" width="10.28515625" style="1" bestFit="1" customWidth="1"/>
    <col min="5583" max="5587" width="9.28515625" style="1" bestFit="1" customWidth="1"/>
    <col min="5588" max="5588" width="10.42578125" style="1" bestFit="1" customWidth="1"/>
    <col min="5589" max="5589" width="9.140625" style="1"/>
    <col min="5590" max="5590" width="24.85546875" style="1" customWidth="1"/>
    <col min="5591" max="5591" width="9.140625" style="1"/>
    <col min="5592" max="5604" width="9.28515625" style="1" bestFit="1" customWidth="1"/>
    <col min="5605" max="5605" width="10.28515625" style="1" bestFit="1" customWidth="1"/>
    <col min="5606" max="5606" width="9.5703125" style="1" bestFit="1" customWidth="1"/>
    <col min="5607" max="5607" width="18.5703125" style="1" customWidth="1"/>
    <col min="5608" max="5609" width="9.140625" style="1"/>
    <col min="5610" max="5612" width="12.140625" style="1" bestFit="1" customWidth="1"/>
    <col min="5613" max="5621" width="10.28515625" style="1" bestFit="1" customWidth="1"/>
    <col min="5622" max="5622" width="11.28515625" style="1" bestFit="1" customWidth="1"/>
    <col min="5623" max="5623" width="9.140625" style="1"/>
    <col min="5624" max="5624" width="19" style="1" customWidth="1"/>
    <col min="5625" max="5641" width="9.140625" style="1"/>
    <col min="5642" max="5652" width="11.28515625" style="1" bestFit="1" customWidth="1"/>
    <col min="5653" max="5653" width="10.28515625" style="1" bestFit="1" customWidth="1"/>
    <col min="5654" max="5654" width="12.85546875" style="1" bestFit="1" customWidth="1"/>
    <col min="5655" max="5777" width="9.140625" style="1"/>
    <col min="5778" max="5778" width="11" style="1" bestFit="1" customWidth="1"/>
    <col min="5779" max="5779" width="28.140625" style="1" bestFit="1" customWidth="1"/>
    <col min="5780" max="5780" width="14" style="1" bestFit="1" customWidth="1"/>
    <col min="5781" max="5781" width="9.140625" style="1"/>
    <col min="5782" max="5782" width="13.85546875" style="1" bestFit="1" customWidth="1"/>
    <col min="5783" max="5783" width="9.140625" style="1"/>
    <col min="5784" max="5784" width="14" style="1" customWidth="1"/>
    <col min="5785" max="5785" width="9.140625" style="1"/>
    <col min="5786" max="5786" width="12.85546875" style="1" bestFit="1" customWidth="1"/>
    <col min="5787" max="5787" width="10" style="1" customWidth="1"/>
    <col min="5788" max="5788" width="14" style="1" bestFit="1" customWidth="1"/>
    <col min="5789" max="5789" width="9.85546875" style="1" bestFit="1" customWidth="1"/>
    <col min="5790" max="5790" width="13.5703125" style="1" bestFit="1" customWidth="1"/>
    <col min="5791" max="5791" width="9.85546875" style="1" bestFit="1" customWidth="1"/>
    <col min="5792" max="5792" width="12.85546875" style="1" bestFit="1" customWidth="1"/>
    <col min="5793" max="5804" width="10.5703125" style="1" customWidth="1"/>
    <col min="5805" max="5805" width="11.140625" style="1" bestFit="1" customWidth="1"/>
    <col min="5806" max="5806" width="2.7109375" style="1" customWidth="1"/>
    <col min="5807" max="5807" width="9.85546875" style="1" bestFit="1" customWidth="1"/>
    <col min="5808" max="5809" width="9.140625" style="1"/>
    <col min="5810" max="5810" width="24" style="1" customWidth="1"/>
    <col min="5811" max="5813" width="9.140625" style="1"/>
    <col min="5814" max="5814" width="9" style="1" bestFit="1" customWidth="1"/>
    <col min="5815" max="5824" width="9.28515625" style="1" bestFit="1" customWidth="1"/>
    <col min="5825" max="5825" width="10.28515625" style="1" bestFit="1" customWidth="1"/>
    <col min="5826" max="5826" width="11.28515625" style="1" bestFit="1" customWidth="1"/>
    <col min="5827" max="5827" width="11.7109375" style="1" customWidth="1"/>
    <col min="5828" max="5828" width="9.140625" style="1"/>
    <col min="5829" max="5829" width="22.28515625" style="1" customWidth="1"/>
    <col min="5830" max="5830" width="9.140625" style="1"/>
    <col min="5831" max="5831" width="9.28515625" style="1" bestFit="1" customWidth="1"/>
    <col min="5832" max="5832" width="9.42578125" style="1" bestFit="1" customWidth="1"/>
    <col min="5833" max="5833" width="9.28515625" style="1" bestFit="1" customWidth="1"/>
    <col min="5834" max="5834" width="10.28515625" style="1" bestFit="1" customWidth="1"/>
    <col min="5835" max="5836" width="9.28515625" style="1" bestFit="1" customWidth="1"/>
    <col min="5837" max="5838" width="10.28515625" style="1" bestFit="1" customWidth="1"/>
    <col min="5839" max="5843" width="9.28515625" style="1" bestFit="1" customWidth="1"/>
    <col min="5844" max="5844" width="10.42578125" style="1" bestFit="1" customWidth="1"/>
    <col min="5845" max="5845" width="9.140625" style="1"/>
    <col min="5846" max="5846" width="24.85546875" style="1" customWidth="1"/>
    <col min="5847" max="5847" width="9.140625" style="1"/>
    <col min="5848" max="5860" width="9.28515625" style="1" bestFit="1" customWidth="1"/>
    <col min="5861" max="5861" width="10.28515625" style="1" bestFit="1" customWidth="1"/>
    <col min="5862" max="5862" width="9.5703125" style="1" bestFit="1" customWidth="1"/>
    <col min="5863" max="5863" width="18.5703125" style="1" customWidth="1"/>
    <col min="5864" max="5865" width="9.140625" style="1"/>
    <col min="5866" max="5868" width="12.140625" style="1" bestFit="1" customWidth="1"/>
    <col min="5869" max="5877" width="10.28515625" style="1" bestFit="1" customWidth="1"/>
    <col min="5878" max="5878" width="11.28515625" style="1" bestFit="1" customWidth="1"/>
    <col min="5879" max="5879" width="9.140625" style="1"/>
    <col min="5880" max="5880" width="19" style="1" customWidth="1"/>
    <col min="5881" max="5897" width="9.140625" style="1"/>
    <col min="5898" max="5908" width="11.28515625" style="1" bestFit="1" customWidth="1"/>
    <col min="5909" max="5909" width="10.28515625" style="1" bestFit="1" customWidth="1"/>
    <col min="5910" max="5910" width="12.85546875" style="1" bestFit="1" customWidth="1"/>
    <col min="5911" max="6033" width="9.140625" style="1"/>
    <col min="6034" max="6034" width="11" style="1" bestFit="1" customWidth="1"/>
    <col min="6035" max="6035" width="28.140625" style="1" bestFit="1" customWidth="1"/>
    <col min="6036" max="6036" width="14" style="1" bestFit="1" customWidth="1"/>
    <col min="6037" max="6037" width="9.140625" style="1"/>
    <col min="6038" max="6038" width="13.85546875" style="1" bestFit="1" customWidth="1"/>
    <col min="6039" max="6039" width="9.140625" style="1"/>
    <col min="6040" max="6040" width="14" style="1" customWidth="1"/>
    <col min="6041" max="6041" width="9.140625" style="1"/>
    <col min="6042" max="6042" width="12.85546875" style="1" bestFit="1" customWidth="1"/>
    <col min="6043" max="6043" width="10" style="1" customWidth="1"/>
    <col min="6044" max="6044" width="14" style="1" bestFit="1" customWidth="1"/>
    <col min="6045" max="6045" width="9.85546875" style="1" bestFit="1" customWidth="1"/>
    <col min="6046" max="6046" width="13.5703125" style="1" bestFit="1" customWidth="1"/>
    <col min="6047" max="6047" width="9.85546875" style="1" bestFit="1" customWidth="1"/>
    <col min="6048" max="6048" width="12.85546875" style="1" bestFit="1" customWidth="1"/>
    <col min="6049" max="6060" width="10.5703125" style="1" customWidth="1"/>
    <col min="6061" max="6061" width="11.140625" style="1" bestFit="1" customWidth="1"/>
    <col min="6062" max="6062" width="2.7109375" style="1" customWidth="1"/>
    <col min="6063" max="6063" width="9.85546875" style="1" bestFit="1" customWidth="1"/>
    <col min="6064" max="6065" width="9.140625" style="1"/>
    <col min="6066" max="6066" width="24" style="1" customWidth="1"/>
    <col min="6067" max="6069" width="9.140625" style="1"/>
    <col min="6070" max="6070" width="9" style="1" bestFit="1" customWidth="1"/>
    <col min="6071" max="6080" width="9.28515625" style="1" bestFit="1" customWidth="1"/>
    <col min="6081" max="6081" width="10.28515625" style="1" bestFit="1" customWidth="1"/>
    <col min="6082" max="6082" width="11.28515625" style="1" bestFit="1" customWidth="1"/>
    <col min="6083" max="6083" width="11.7109375" style="1" customWidth="1"/>
    <col min="6084" max="6084" width="9.140625" style="1"/>
    <col min="6085" max="6085" width="22.28515625" style="1" customWidth="1"/>
    <col min="6086" max="6086" width="9.140625" style="1"/>
    <col min="6087" max="6087" width="9.28515625" style="1" bestFit="1" customWidth="1"/>
    <col min="6088" max="6088" width="9.42578125" style="1" bestFit="1" customWidth="1"/>
    <col min="6089" max="6089" width="9.28515625" style="1" bestFit="1" customWidth="1"/>
    <col min="6090" max="6090" width="10.28515625" style="1" bestFit="1" customWidth="1"/>
    <col min="6091" max="6092" width="9.28515625" style="1" bestFit="1" customWidth="1"/>
    <col min="6093" max="6094" width="10.28515625" style="1" bestFit="1" customWidth="1"/>
    <col min="6095" max="6099" width="9.28515625" style="1" bestFit="1" customWidth="1"/>
    <col min="6100" max="6100" width="10.42578125" style="1" bestFit="1" customWidth="1"/>
    <col min="6101" max="6101" width="9.140625" style="1"/>
    <col min="6102" max="6102" width="24.85546875" style="1" customWidth="1"/>
    <col min="6103" max="6103" width="9.140625" style="1"/>
    <col min="6104" max="6116" width="9.28515625" style="1" bestFit="1" customWidth="1"/>
    <col min="6117" max="6117" width="10.28515625" style="1" bestFit="1" customWidth="1"/>
    <col min="6118" max="6118" width="9.5703125" style="1" bestFit="1" customWidth="1"/>
    <col min="6119" max="6119" width="18.5703125" style="1" customWidth="1"/>
    <col min="6120" max="6121" width="9.140625" style="1"/>
    <col min="6122" max="6124" width="12.140625" style="1" bestFit="1" customWidth="1"/>
    <col min="6125" max="6133" width="10.28515625" style="1" bestFit="1" customWidth="1"/>
    <col min="6134" max="6134" width="11.28515625" style="1" bestFit="1" customWidth="1"/>
    <col min="6135" max="6135" width="9.140625" style="1"/>
    <col min="6136" max="6136" width="19" style="1" customWidth="1"/>
    <col min="6137" max="6153" width="9.140625" style="1"/>
    <col min="6154" max="6164" width="11.28515625" style="1" bestFit="1" customWidth="1"/>
    <col min="6165" max="6165" width="10.28515625" style="1" bestFit="1" customWidth="1"/>
    <col min="6166" max="6166" width="12.85546875" style="1" bestFit="1" customWidth="1"/>
    <col min="6167" max="6289" width="9.140625" style="1"/>
    <col min="6290" max="6290" width="11" style="1" bestFit="1" customWidth="1"/>
    <col min="6291" max="6291" width="28.140625" style="1" bestFit="1" customWidth="1"/>
    <col min="6292" max="6292" width="14" style="1" bestFit="1" customWidth="1"/>
    <col min="6293" max="6293" width="9.140625" style="1"/>
    <col min="6294" max="6294" width="13.85546875" style="1" bestFit="1" customWidth="1"/>
    <col min="6295" max="6295" width="9.140625" style="1"/>
    <col min="6296" max="6296" width="14" style="1" customWidth="1"/>
    <col min="6297" max="6297" width="9.140625" style="1"/>
    <col min="6298" max="6298" width="12.85546875" style="1" bestFit="1" customWidth="1"/>
    <col min="6299" max="6299" width="10" style="1" customWidth="1"/>
    <col min="6300" max="6300" width="14" style="1" bestFit="1" customWidth="1"/>
    <col min="6301" max="6301" width="9.85546875" style="1" bestFit="1" customWidth="1"/>
    <col min="6302" max="6302" width="13.5703125" style="1" bestFit="1" customWidth="1"/>
    <col min="6303" max="6303" width="9.85546875" style="1" bestFit="1" customWidth="1"/>
    <col min="6304" max="6304" width="12.85546875" style="1" bestFit="1" customWidth="1"/>
    <col min="6305" max="6316" width="10.5703125" style="1" customWidth="1"/>
    <col min="6317" max="6317" width="11.140625" style="1" bestFit="1" customWidth="1"/>
    <col min="6318" max="6318" width="2.7109375" style="1" customWidth="1"/>
    <col min="6319" max="6319" width="9.85546875" style="1" bestFit="1" customWidth="1"/>
    <col min="6320" max="6321" width="9.140625" style="1"/>
    <col min="6322" max="6322" width="24" style="1" customWidth="1"/>
    <col min="6323" max="6325" width="9.140625" style="1"/>
    <col min="6326" max="6326" width="9" style="1" bestFit="1" customWidth="1"/>
    <col min="6327" max="6336" width="9.28515625" style="1" bestFit="1" customWidth="1"/>
    <col min="6337" max="6337" width="10.28515625" style="1" bestFit="1" customWidth="1"/>
    <col min="6338" max="6338" width="11.28515625" style="1" bestFit="1" customWidth="1"/>
    <col min="6339" max="6339" width="11.7109375" style="1" customWidth="1"/>
    <col min="6340" max="6340" width="9.140625" style="1"/>
    <col min="6341" max="6341" width="22.28515625" style="1" customWidth="1"/>
    <col min="6342" max="6342" width="9.140625" style="1"/>
    <col min="6343" max="6343" width="9.28515625" style="1" bestFit="1" customWidth="1"/>
    <col min="6344" max="6344" width="9.42578125" style="1" bestFit="1" customWidth="1"/>
    <col min="6345" max="6345" width="9.28515625" style="1" bestFit="1" customWidth="1"/>
    <col min="6346" max="6346" width="10.28515625" style="1" bestFit="1" customWidth="1"/>
    <col min="6347" max="6348" width="9.28515625" style="1" bestFit="1" customWidth="1"/>
    <col min="6349" max="6350" width="10.28515625" style="1" bestFit="1" customWidth="1"/>
    <col min="6351" max="6355" width="9.28515625" style="1" bestFit="1" customWidth="1"/>
    <col min="6356" max="6356" width="10.42578125" style="1" bestFit="1" customWidth="1"/>
    <col min="6357" max="6357" width="9.140625" style="1"/>
    <col min="6358" max="6358" width="24.85546875" style="1" customWidth="1"/>
    <col min="6359" max="6359" width="9.140625" style="1"/>
    <col min="6360" max="6372" width="9.28515625" style="1" bestFit="1" customWidth="1"/>
    <col min="6373" max="6373" width="10.28515625" style="1" bestFit="1" customWidth="1"/>
    <col min="6374" max="6374" width="9.5703125" style="1" bestFit="1" customWidth="1"/>
    <col min="6375" max="6375" width="18.5703125" style="1" customWidth="1"/>
    <col min="6376" max="6377" width="9.140625" style="1"/>
    <col min="6378" max="6380" width="12.140625" style="1" bestFit="1" customWidth="1"/>
    <col min="6381" max="6389" width="10.28515625" style="1" bestFit="1" customWidth="1"/>
    <col min="6390" max="6390" width="11.28515625" style="1" bestFit="1" customWidth="1"/>
    <col min="6391" max="6391" width="9.140625" style="1"/>
    <col min="6392" max="6392" width="19" style="1" customWidth="1"/>
    <col min="6393" max="6409" width="9.140625" style="1"/>
    <col min="6410" max="6420" width="11.28515625" style="1" bestFit="1" customWidth="1"/>
    <col min="6421" max="6421" width="10.28515625" style="1" bestFit="1" customWidth="1"/>
    <col min="6422" max="6422" width="12.85546875" style="1" bestFit="1" customWidth="1"/>
    <col min="6423" max="6545" width="9.140625" style="1"/>
    <col min="6546" max="6546" width="11" style="1" bestFit="1" customWidth="1"/>
    <col min="6547" max="6547" width="28.140625" style="1" bestFit="1" customWidth="1"/>
    <col min="6548" max="6548" width="14" style="1" bestFit="1" customWidth="1"/>
    <col min="6549" max="6549" width="9.140625" style="1"/>
    <col min="6550" max="6550" width="13.85546875" style="1" bestFit="1" customWidth="1"/>
    <col min="6551" max="6551" width="9.140625" style="1"/>
    <col min="6552" max="6552" width="14" style="1" customWidth="1"/>
    <col min="6553" max="6553" width="9.140625" style="1"/>
    <col min="6554" max="6554" width="12.85546875" style="1" bestFit="1" customWidth="1"/>
    <col min="6555" max="6555" width="10" style="1" customWidth="1"/>
    <col min="6556" max="6556" width="14" style="1" bestFit="1" customWidth="1"/>
    <col min="6557" max="6557" width="9.85546875" style="1" bestFit="1" customWidth="1"/>
    <col min="6558" max="6558" width="13.5703125" style="1" bestFit="1" customWidth="1"/>
    <col min="6559" max="6559" width="9.85546875" style="1" bestFit="1" customWidth="1"/>
    <col min="6560" max="6560" width="12.85546875" style="1" bestFit="1" customWidth="1"/>
    <col min="6561" max="6572" width="10.5703125" style="1" customWidth="1"/>
    <col min="6573" max="6573" width="11.140625" style="1" bestFit="1" customWidth="1"/>
    <col min="6574" max="6574" width="2.7109375" style="1" customWidth="1"/>
    <col min="6575" max="6575" width="9.85546875" style="1" bestFit="1" customWidth="1"/>
    <col min="6576" max="6577" width="9.140625" style="1"/>
    <col min="6578" max="6578" width="24" style="1" customWidth="1"/>
    <col min="6579" max="6581" width="9.140625" style="1"/>
    <col min="6582" max="6582" width="9" style="1" bestFit="1" customWidth="1"/>
    <col min="6583" max="6592" width="9.28515625" style="1" bestFit="1" customWidth="1"/>
    <col min="6593" max="6593" width="10.28515625" style="1" bestFit="1" customWidth="1"/>
    <col min="6594" max="6594" width="11.28515625" style="1" bestFit="1" customWidth="1"/>
    <col min="6595" max="6595" width="11.7109375" style="1" customWidth="1"/>
    <col min="6596" max="6596" width="9.140625" style="1"/>
    <col min="6597" max="6597" width="22.28515625" style="1" customWidth="1"/>
    <col min="6598" max="6598" width="9.140625" style="1"/>
    <col min="6599" max="6599" width="9.28515625" style="1" bestFit="1" customWidth="1"/>
    <col min="6600" max="6600" width="9.42578125" style="1" bestFit="1" customWidth="1"/>
    <col min="6601" max="6601" width="9.28515625" style="1" bestFit="1" customWidth="1"/>
    <col min="6602" max="6602" width="10.28515625" style="1" bestFit="1" customWidth="1"/>
    <col min="6603" max="6604" width="9.28515625" style="1" bestFit="1" customWidth="1"/>
    <col min="6605" max="6606" width="10.28515625" style="1" bestFit="1" customWidth="1"/>
    <col min="6607" max="6611" width="9.28515625" style="1" bestFit="1" customWidth="1"/>
    <col min="6612" max="6612" width="10.42578125" style="1" bestFit="1" customWidth="1"/>
    <col min="6613" max="6613" width="9.140625" style="1"/>
    <col min="6614" max="6614" width="24.85546875" style="1" customWidth="1"/>
    <col min="6615" max="6615" width="9.140625" style="1"/>
    <col min="6616" max="6628" width="9.28515625" style="1" bestFit="1" customWidth="1"/>
    <col min="6629" max="6629" width="10.28515625" style="1" bestFit="1" customWidth="1"/>
    <col min="6630" max="6630" width="9.5703125" style="1" bestFit="1" customWidth="1"/>
    <col min="6631" max="6631" width="18.5703125" style="1" customWidth="1"/>
    <col min="6632" max="6633" width="9.140625" style="1"/>
    <col min="6634" max="6636" width="12.140625" style="1" bestFit="1" customWidth="1"/>
    <col min="6637" max="6645" width="10.28515625" style="1" bestFit="1" customWidth="1"/>
    <col min="6646" max="6646" width="11.28515625" style="1" bestFit="1" customWidth="1"/>
    <col min="6647" max="6647" width="9.140625" style="1"/>
    <col min="6648" max="6648" width="19" style="1" customWidth="1"/>
    <col min="6649" max="6665" width="9.140625" style="1"/>
    <col min="6666" max="6676" width="11.28515625" style="1" bestFit="1" customWidth="1"/>
    <col min="6677" max="6677" width="10.28515625" style="1" bestFit="1" customWidth="1"/>
    <col min="6678" max="6678" width="12.85546875" style="1" bestFit="1" customWidth="1"/>
    <col min="6679" max="6801" width="9.140625" style="1"/>
    <col min="6802" max="6802" width="11" style="1" bestFit="1" customWidth="1"/>
    <col min="6803" max="6803" width="28.140625" style="1" bestFit="1" customWidth="1"/>
    <col min="6804" max="6804" width="14" style="1" bestFit="1" customWidth="1"/>
    <col min="6805" max="6805" width="9.140625" style="1"/>
    <col min="6806" max="6806" width="13.85546875" style="1" bestFit="1" customWidth="1"/>
    <col min="6807" max="6807" width="9.140625" style="1"/>
    <col min="6808" max="6808" width="14" style="1" customWidth="1"/>
    <col min="6809" max="6809" width="9.140625" style="1"/>
    <col min="6810" max="6810" width="12.85546875" style="1" bestFit="1" customWidth="1"/>
    <col min="6811" max="6811" width="10" style="1" customWidth="1"/>
    <col min="6812" max="6812" width="14" style="1" bestFit="1" customWidth="1"/>
    <col min="6813" max="6813" width="9.85546875" style="1" bestFit="1" customWidth="1"/>
    <col min="6814" max="6814" width="13.5703125" style="1" bestFit="1" customWidth="1"/>
    <col min="6815" max="6815" width="9.85546875" style="1" bestFit="1" customWidth="1"/>
    <col min="6816" max="6816" width="12.85546875" style="1" bestFit="1" customWidth="1"/>
    <col min="6817" max="6828" width="10.5703125" style="1" customWidth="1"/>
    <col min="6829" max="6829" width="11.140625" style="1" bestFit="1" customWidth="1"/>
    <col min="6830" max="6830" width="2.7109375" style="1" customWidth="1"/>
    <col min="6831" max="6831" width="9.85546875" style="1" bestFit="1" customWidth="1"/>
    <col min="6832" max="6833" width="9.140625" style="1"/>
    <col min="6834" max="6834" width="24" style="1" customWidth="1"/>
    <col min="6835" max="6837" width="9.140625" style="1"/>
    <col min="6838" max="6838" width="9" style="1" bestFit="1" customWidth="1"/>
    <col min="6839" max="6848" width="9.28515625" style="1" bestFit="1" customWidth="1"/>
    <col min="6849" max="6849" width="10.28515625" style="1" bestFit="1" customWidth="1"/>
    <col min="6850" max="6850" width="11.28515625" style="1" bestFit="1" customWidth="1"/>
    <col min="6851" max="6851" width="11.7109375" style="1" customWidth="1"/>
    <col min="6852" max="6852" width="9.140625" style="1"/>
    <col min="6853" max="6853" width="22.28515625" style="1" customWidth="1"/>
    <col min="6854" max="6854" width="9.140625" style="1"/>
    <col min="6855" max="6855" width="9.28515625" style="1" bestFit="1" customWidth="1"/>
    <col min="6856" max="6856" width="9.42578125" style="1" bestFit="1" customWidth="1"/>
    <col min="6857" max="6857" width="9.28515625" style="1" bestFit="1" customWidth="1"/>
    <col min="6858" max="6858" width="10.28515625" style="1" bestFit="1" customWidth="1"/>
    <col min="6859" max="6860" width="9.28515625" style="1" bestFit="1" customWidth="1"/>
    <col min="6861" max="6862" width="10.28515625" style="1" bestFit="1" customWidth="1"/>
    <col min="6863" max="6867" width="9.28515625" style="1" bestFit="1" customWidth="1"/>
    <col min="6868" max="6868" width="10.42578125" style="1" bestFit="1" customWidth="1"/>
    <col min="6869" max="6869" width="9.140625" style="1"/>
    <col min="6870" max="6870" width="24.85546875" style="1" customWidth="1"/>
    <col min="6871" max="6871" width="9.140625" style="1"/>
    <col min="6872" max="6884" width="9.28515625" style="1" bestFit="1" customWidth="1"/>
    <col min="6885" max="6885" width="10.28515625" style="1" bestFit="1" customWidth="1"/>
    <col min="6886" max="6886" width="9.5703125" style="1" bestFit="1" customWidth="1"/>
    <col min="6887" max="6887" width="18.5703125" style="1" customWidth="1"/>
    <col min="6888" max="6889" width="9.140625" style="1"/>
    <col min="6890" max="6892" width="12.140625" style="1" bestFit="1" customWidth="1"/>
    <col min="6893" max="6901" width="10.28515625" style="1" bestFit="1" customWidth="1"/>
    <col min="6902" max="6902" width="11.28515625" style="1" bestFit="1" customWidth="1"/>
    <col min="6903" max="6903" width="9.140625" style="1"/>
    <col min="6904" max="6904" width="19" style="1" customWidth="1"/>
    <col min="6905" max="6921" width="9.140625" style="1"/>
    <col min="6922" max="6932" width="11.28515625" style="1" bestFit="1" customWidth="1"/>
    <col min="6933" max="6933" width="10.28515625" style="1" bestFit="1" customWidth="1"/>
    <col min="6934" max="6934" width="12.85546875" style="1" bestFit="1" customWidth="1"/>
    <col min="6935" max="7057" width="9.140625" style="1"/>
    <col min="7058" max="7058" width="11" style="1" bestFit="1" customWidth="1"/>
    <col min="7059" max="7059" width="28.140625" style="1" bestFit="1" customWidth="1"/>
    <col min="7060" max="7060" width="14" style="1" bestFit="1" customWidth="1"/>
    <col min="7061" max="7061" width="9.140625" style="1"/>
    <col min="7062" max="7062" width="13.85546875" style="1" bestFit="1" customWidth="1"/>
    <col min="7063" max="7063" width="9.140625" style="1"/>
    <col min="7064" max="7064" width="14" style="1" customWidth="1"/>
    <col min="7065" max="7065" width="9.140625" style="1"/>
    <col min="7066" max="7066" width="12.85546875" style="1" bestFit="1" customWidth="1"/>
    <col min="7067" max="7067" width="10" style="1" customWidth="1"/>
    <col min="7068" max="7068" width="14" style="1" bestFit="1" customWidth="1"/>
    <col min="7069" max="7069" width="9.85546875" style="1" bestFit="1" customWidth="1"/>
    <col min="7070" max="7070" width="13.5703125" style="1" bestFit="1" customWidth="1"/>
    <col min="7071" max="7071" width="9.85546875" style="1" bestFit="1" customWidth="1"/>
    <col min="7072" max="7072" width="12.85546875" style="1" bestFit="1" customWidth="1"/>
    <col min="7073" max="7084" width="10.5703125" style="1" customWidth="1"/>
    <col min="7085" max="7085" width="11.140625" style="1" bestFit="1" customWidth="1"/>
    <col min="7086" max="7086" width="2.7109375" style="1" customWidth="1"/>
    <col min="7087" max="7087" width="9.85546875" style="1" bestFit="1" customWidth="1"/>
    <col min="7088" max="7089" width="9.140625" style="1"/>
    <col min="7090" max="7090" width="24" style="1" customWidth="1"/>
    <col min="7091" max="7093" width="9.140625" style="1"/>
    <col min="7094" max="7094" width="9" style="1" bestFit="1" customWidth="1"/>
    <col min="7095" max="7104" width="9.28515625" style="1" bestFit="1" customWidth="1"/>
    <col min="7105" max="7105" width="10.28515625" style="1" bestFit="1" customWidth="1"/>
    <col min="7106" max="7106" width="11.28515625" style="1" bestFit="1" customWidth="1"/>
    <col min="7107" max="7107" width="11.7109375" style="1" customWidth="1"/>
    <col min="7108" max="7108" width="9.140625" style="1"/>
    <col min="7109" max="7109" width="22.28515625" style="1" customWidth="1"/>
    <col min="7110" max="7110" width="9.140625" style="1"/>
    <col min="7111" max="7111" width="9.28515625" style="1" bestFit="1" customWidth="1"/>
    <col min="7112" max="7112" width="9.42578125" style="1" bestFit="1" customWidth="1"/>
    <col min="7113" max="7113" width="9.28515625" style="1" bestFit="1" customWidth="1"/>
    <col min="7114" max="7114" width="10.28515625" style="1" bestFit="1" customWidth="1"/>
    <col min="7115" max="7116" width="9.28515625" style="1" bestFit="1" customWidth="1"/>
    <col min="7117" max="7118" width="10.28515625" style="1" bestFit="1" customWidth="1"/>
    <col min="7119" max="7123" width="9.28515625" style="1" bestFit="1" customWidth="1"/>
    <col min="7124" max="7124" width="10.42578125" style="1" bestFit="1" customWidth="1"/>
    <col min="7125" max="7125" width="9.140625" style="1"/>
    <col min="7126" max="7126" width="24.85546875" style="1" customWidth="1"/>
    <col min="7127" max="7127" width="9.140625" style="1"/>
    <col min="7128" max="7140" width="9.28515625" style="1" bestFit="1" customWidth="1"/>
    <col min="7141" max="7141" width="10.28515625" style="1" bestFit="1" customWidth="1"/>
    <col min="7142" max="7142" width="9.5703125" style="1" bestFit="1" customWidth="1"/>
    <col min="7143" max="7143" width="18.5703125" style="1" customWidth="1"/>
    <col min="7144" max="7145" width="9.140625" style="1"/>
    <col min="7146" max="7148" width="12.140625" style="1" bestFit="1" customWidth="1"/>
    <col min="7149" max="7157" width="10.28515625" style="1" bestFit="1" customWidth="1"/>
    <col min="7158" max="7158" width="11.28515625" style="1" bestFit="1" customWidth="1"/>
    <col min="7159" max="7159" width="9.140625" style="1"/>
    <col min="7160" max="7160" width="19" style="1" customWidth="1"/>
    <col min="7161" max="7177" width="9.140625" style="1"/>
    <col min="7178" max="7188" width="11.28515625" style="1" bestFit="1" customWidth="1"/>
    <col min="7189" max="7189" width="10.28515625" style="1" bestFit="1" customWidth="1"/>
    <col min="7190" max="7190" width="12.85546875" style="1" bestFit="1" customWidth="1"/>
    <col min="7191" max="7313" width="9.140625" style="1"/>
    <col min="7314" max="7314" width="11" style="1" bestFit="1" customWidth="1"/>
    <col min="7315" max="7315" width="28.140625" style="1" bestFit="1" customWidth="1"/>
    <col min="7316" max="7316" width="14" style="1" bestFit="1" customWidth="1"/>
    <col min="7317" max="7317" width="9.140625" style="1"/>
    <col min="7318" max="7318" width="13.85546875" style="1" bestFit="1" customWidth="1"/>
    <col min="7319" max="7319" width="9.140625" style="1"/>
    <col min="7320" max="7320" width="14" style="1" customWidth="1"/>
    <col min="7321" max="7321" width="9.140625" style="1"/>
    <col min="7322" max="7322" width="12.85546875" style="1" bestFit="1" customWidth="1"/>
    <col min="7323" max="7323" width="10" style="1" customWidth="1"/>
    <col min="7324" max="7324" width="14" style="1" bestFit="1" customWidth="1"/>
    <col min="7325" max="7325" width="9.85546875" style="1" bestFit="1" customWidth="1"/>
    <col min="7326" max="7326" width="13.5703125" style="1" bestFit="1" customWidth="1"/>
    <col min="7327" max="7327" width="9.85546875" style="1" bestFit="1" customWidth="1"/>
    <col min="7328" max="7328" width="12.85546875" style="1" bestFit="1" customWidth="1"/>
    <col min="7329" max="7340" width="10.5703125" style="1" customWidth="1"/>
    <col min="7341" max="7341" width="11.140625" style="1" bestFit="1" customWidth="1"/>
    <col min="7342" max="7342" width="2.7109375" style="1" customWidth="1"/>
    <col min="7343" max="7343" width="9.85546875" style="1" bestFit="1" customWidth="1"/>
    <col min="7344" max="7345" width="9.140625" style="1"/>
    <col min="7346" max="7346" width="24" style="1" customWidth="1"/>
    <col min="7347" max="7349" width="9.140625" style="1"/>
    <col min="7350" max="7350" width="9" style="1" bestFit="1" customWidth="1"/>
    <col min="7351" max="7360" width="9.28515625" style="1" bestFit="1" customWidth="1"/>
    <col min="7361" max="7361" width="10.28515625" style="1" bestFit="1" customWidth="1"/>
    <col min="7362" max="7362" width="11.28515625" style="1" bestFit="1" customWidth="1"/>
    <col min="7363" max="7363" width="11.7109375" style="1" customWidth="1"/>
    <col min="7364" max="7364" width="9.140625" style="1"/>
    <col min="7365" max="7365" width="22.28515625" style="1" customWidth="1"/>
    <col min="7366" max="7366" width="9.140625" style="1"/>
    <col min="7367" max="7367" width="9.28515625" style="1" bestFit="1" customWidth="1"/>
    <col min="7368" max="7368" width="9.42578125" style="1" bestFit="1" customWidth="1"/>
    <col min="7369" max="7369" width="9.28515625" style="1" bestFit="1" customWidth="1"/>
    <col min="7370" max="7370" width="10.28515625" style="1" bestFit="1" customWidth="1"/>
    <col min="7371" max="7372" width="9.28515625" style="1" bestFit="1" customWidth="1"/>
    <col min="7373" max="7374" width="10.28515625" style="1" bestFit="1" customWidth="1"/>
    <col min="7375" max="7379" width="9.28515625" style="1" bestFit="1" customWidth="1"/>
    <col min="7380" max="7380" width="10.42578125" style="1" bestFit="1" customWidth="1"/>
    <col min="7381" max="7381" width="9.140625" style="1"/>
    <col min="7382" max="7382" width="24.85546875" style="1" customWidth="1"/>
    <col min="7383" max="7383" width="9.140625" style="1"/>
    <col min="7384" max="7396" width="9.28515625" style="1" bestFit="1" customWidth="1"/>
    <col min="7397" max="7397" width="10.28515625" style="1" bestFit="1" customWidth="1"/>
    <col min="7398" max="7398" width="9.5703125" style="1" bestFit="1" customWidth="1"/>
    <col min="7399" max="7399" width="18.5703125" style="1" customWidth="1"/>
    <col min="7400" max="7401" width="9.140625" style="1"/>
    <col min="7402" max="7404" width="12.140625" style="1" bestFit="1" customWidth="1"/>
    <col min="7405" max="7413" width="10.28515625" style="1" bestFit="1" customWidth="1"/>
    <col min="7414" max="7414" width="11.28515625" style="1" bestFit="1" customWidth="1"/>
    <col min="7415" max="7415" width="9.140625" style="1"/>
    <col min="7416" max="7416" width="19" style="1" customWidth="1"/>
    <col min="7417" max="7433" width="9.140625" style="1"/>
    <col min="7434" max="7444" width="11.28515625" style="1" bestFit="1" customWidth="1"/>
    <col min="7445" max="7445" width="10.28515625" style="1" bestFit="1" customWidth="1"/>
    <col min="7446" max="7446" width="12.85546875" style="1" bestFit="1" customWidth="1"/>
    <col min="7447" max="7569" width="9.140625" style="1"/>
    <col min="7570" max="7570" width="11" style="1" bestFit="1" customWidth="1"/>
    <col min="7571" max="7571" width="28.140625" style="1" bestFit="1" customWidth="1"/>
    <col min="7572" max="7572" width="14" style="1" bestFit="1" customWidth="1"/>
    <col min="7573" max="7573" width="9.140625" style="1"/>
    <col min="7574" max="7574" width="13.85546875" style="1" bestFit="1" customWidth="1"/>
    <col min="7575" max="7575" width="9.140625" style="1"/>
    <col min="7576" max="7576" width="14" style="1" customWidth="1"/>
    <col min="7577" max="7577" width="9.140625" style="1"/>
    <col min="7578" max="7578" width="12.85546875" style="1" bestFit="1" customWidth="1"/>
    <col min="7579" max="7579" width="10" style="1" customWidth="1"/>
    <col min="7580" max="7580" width="14" style="1" bestFit="1" customWidth="1"/>
    <col min="7581" max="7581" width="9.85546875" style="1" bestFit="1" customWidth="1"/>
    <col min="7582" max="7582" width="13.5703125" style="1" bestFit="1" customWidth="1"/>
    <col min="7583" max="7583" width="9.85546875" style="1" bestFit="1" customWidth="1"/>
    <col min="7584" max="7584" width="12.85546875" style="1" bestFit="1" customWidth="1"/>
    <col min="7585" max="7596" width="10.5703125" style="1" customWidth="1"/>
    <col min="7597" max="7597" width="11.140625" style="1" bestFit="1" customWidth="1"/>
    <col min="7598" max="7598" width="2.7109375" style="1" customWidth="1"/>
    <col min="7599" max="7599" width="9.85546875" style="1" bestFit="1" customWidth="1"/>
    <col min="7600" max="7601" width="9.140625" style="1"/>
    <col min="7602" max="7602" width="24" style="1" customWidth="1"/>
    <col min="7603" max="7605" width="9.140625" style="1"/>
    <col min="7606" max="7606" width="9" style="1" bestFit="1" customWidth="1"/>
    <col min="7607" max="7616" width="9.28515625" style="1" bestFit="1" customWidth="1"/>
    <col min="7617" max="7617" width="10.28515625" style="1" bestFit="1" customWidth="1"/>
    <col min="7618" max="7618" width="11.28515625" style="1" bestFit="1" customWidth="1"/>
    <col min="7619" max="7619" width="11.7109375" style="1" customWidth="1"/>
    <col min="7620" max="7620" width="9.140625" style="1"/>
    <col min="7621" max="7621" width="22.28515625" style="1" customWidth="1"/>
    <col min="7622" max="7622" width="9.140625" style="1"/>
    <col min="7623" max="7623" width="9.28515625" style="1" bestFit="1" customWidth="1"/>
    <col min="7624" max="7624" width="9.42578125" style="1" bestFit="1" customWidth="1"/>
    <col min="7625" max="7625" width="9.28515625" style="1" bestFit="1" customWidth="1"/>
    <col min="7626" max="7626" width="10.28515625" style="1" bestFit="1" customWidth="1"/>
    <col min="7627" max="7628" width="9.28515625" style="1" bestFit="1" customWidth="1"/>
    <col min="7629" max="7630" width="10.28515625" style="1" bestFit="1" customWidth="1"/>
    <col min="7631" max="7635" width="9.28515625" style="1" bestFit="1" customWidth="1"/>
    <col min="7636" max="7636" width="10.42578125" style="1" bestFit="1" customWidth="1"/>
    <col min="7637" max="7637" width="9.140625" style="1"/>
    <col min="7638" max="7638" width="24.85546875" style="1" customWidth="1"/>
    <col min="7639" max="7639" width="9.140625" style="1"/>
    <col min="7640" max="7652" width="9.28515625" style="1" bestFit="1" customWidth="1"/>
    <col min="7653" max="7653" width="10.28515625" style="1" bestFit="1" customWidth="1"/>
    <col min="7654" max="7654" width="9.5703125" style="1" bestFit="1" customWidth="1"/>
    <col min="7655" max="7655" width="18.5703125" style="1" customWidth="1"/>
    <col min="7656" max="7657" width="9.140625" style="1"/>
    <col min="7658" max="7660" width="12.140625" style="1" bestFit="1" customWidth="1"/>
    <col min="7661" max="7669" width="10.28515625" style="1" bestFit="1" customWidth="1"/>
    <col min="7670" max="7670" width="11.28515625" style="1" bestFit="1" customWidth="1"/>
    <col min="7671" max="7671" width="9.140625" style="1"/>
    <col min="7672" max="7672" width="19" style="1" customWidth="1"/>
    <col min="7673" max="7689" width="9.140625" style="1"/>
    <col min="7690" max="7700" width="11.28515625" style="1" bestFit="1" customWidth="1"/>
    <col min="7701" max="7701" width="10.28515625" style="1" bestFit="1" customWidth="1"/>
    <col min="7702" max="7702" width="12.85546875" style="1" bestFit="1" customWidth="1"/>
    <col min="7703" max="7825" width="9.140625" style="1"/>
    <col min="7826" max="7826" width="11" style="1" bestFit="1" customWidth="1"/>
    <col min="7827" max="7827" width="28.140625" style="1" bestFit="1" customWidth="1"/>
    <col min="7828" max="7828" width="14" style="1" bestFit="1" customWidth="1"/>
    <col min="7829" max="7829" width="9.140625" style="1"/>
    <col min="7830" max="7830" width="13.85546875" style="1" bestFit="1" customWidth="1"/>
    <col min="7831" max="7831" width="9.140625" style="1"/>
    <col min="7832" max="7832" width="14" style="1" customWidth="1"/>
    <col min="7833" max="7833" width="9.140625" style="1"/>
    <col min="7834" max="7834" width="12.85546875" style="1" bestFit="1" customWidth="1"/>
    <col min="7835" max="7835" width="10" style="1" customWidth="1"/>
    <col min="7836" max="7836" width="14" style="1" bestFit="1" customWidth="1"/>
    <col min="7837" max="7837" width="9.85546875" style="1" bestFit="1" customWidth="1"/>
    <col min="7838" max="7838" width="13.5703125" style="1" bestFit="1" customWidth="1"/>
    <col min="7839" max="7839" width="9.85546875" style="1" bestFit="1" customWidth="1"/>
    <col min="7840" max="7840" width="12.85546875" style="1" bestFit="1" customWidth="1"/>
    <col min="7841" max="7852" width="10.5703125" style="1" customWidth="1"/>
    <col min="7853" max="7853" width="11.140625" style="1" bestFit="1" customWidth="1"/>
    <col min="7854" max="7854" width="2.7109375" style="1" customWidth="1"/>
    <col min="7855" max="7855" width="9.85546875" style="1" bestFit="1" customWidth="1"/>
    <col min="7856" max="7857" width="9.140625" style="1"/>
    <col min="7858" max="7858" width="24" style="1" customWidth="1"/>
    <col min="7859" max="7861" width="9.140625" style="1"/>
    <col min="7862" max="7862" width="9" style="1" bestFit="1" customWidth="1"/>
    <col min="7863" max="7872" width="9.28515625" style="1" bestFit="1" customWidth="1"/>
    <col min="7873" max="7873" width="10.28515625" style="1" bestFit="1" customWidth="1"/>
    <col min="7874" max="7874" width="11.28515625" style="1" bestFit="1" customWidth="1"/>
    <col min="7875" max="7875" width="11.7109375" style="1" customWidth="1"/>
    <col min="7876" max="7876" width="9.140625" style="1"/>
    <col min="7877" max="7877" width="22.28515625" style="1" customWidth="1"/>
    <col min="7878" max="7878" width="9.140625" style="1"/>
    <col min="7879" max="7879" width="9.28515625" style="1" bestFit="1" customWidth="1"/>
    <col min="7880" max="7880" width="9.42578125" style="1" bestFit="1" customWidth="1"/>
    <col min="7881" max="7881" width="9.28515625" style="1" bestFit="1" customWidth="1"/>
    <col min="7882" max="7882" width="10.28515625" style="1" bestFit="1" customWidth="1"/>
    <col min="7883" max="7884" width="9.28515625" style="1" bestFit="1" customWidth="1"/>
    <col min="7885" max="7886" width="10.28515625" style="1" bestFit="1" customWidth="1"/>
    <col min="7887" max="7891" width="9.28515625" style="1" bestFit="1" customWidth="1"/>
    <col min="7892" max="7892" width="10.42578125" style="1" bestFit="1" customWidth="1"/>
    <col min="7893" max="7893" width="9.140625" style="1"/>
    <col min="7894" max="7894" width="24.85546875" style="1" customWidth="1"/>
    <col min="7895" max="7895" width="9.140625" style="1"/>
    <col min="7896" max="7908" width="9.28515625" style="1" bestFit="1" customWidth="1"/>
    <col min="7909" max="7909" width="10.28515625" style="1" bestFit="1" customWidth="1"/>
    <col min="7910" max="7910" width="9.5703125" style="1" bestFit="1" customWidth="1"/>
    <col min="7911" max="7911" width="18.5703125" style="1" customWidth="1"/>
    <col min="7912" max="7913" width="9.140625" style="1"/>
    <col min="7914" max="7916" width="12.140625" style="1" bestFit="1" customWidth="1"/>
    <col min="7917" max="7925" width="10.28515625" style="1" bestFit="1" customWidth="1"/>
    <col min="7926" max="7926" width="11.28515625" style="1" bestFit="1" customWidth="1"/>
    <col min="7927" max="7927" width="9.140625" style="1"/>
    <col min="7928" max="7928" width="19" style="1" customWidth="1"/>
    <col min="7929" max="7945" width="9.140625" style="1"/>
    <col min="7946" max="7956" width="11.28515625" style="1" bestFit="1" customWidth="1"/>
    <col min="7957" max="7957" width="10.28515625" style="1" bestFit="1" customWidth="1"/>
    <col min="7958" max="7958" width="12.85546875" style="1" bestFit="1" customWidth="1"/>
    <col min="7959" max="8081" width="9.140625" style="1"/>
    <col min="8082" max="8082" width="11" style="1" bestFit="1" customWidth="1"/>
    <col min="8083" max="8083" width="28.140625" style="1" bestFit="1" customWidth="1"/>
    <col min="8084" max="8084" width="14" style="1" bestFit="1" customWidth="1"/>
    <col min="8085" max="8085" width="9.140625" style="1"/>
    <col min="8086" max="8086" width="13.85546875" style="1" bestFit="1" customWidth="1"/>
    <col min="8087" max="8087" width="9.140625" style="1"/>
    <col min="8088" max="8088" width="14" style="1" customWidth="1"/>
    <col min="8089" max="8089" width="9.140625" style="1"/>
    <col min="8090" max="8090" width="12.85546875" style="1" bestFit="1" customWidth="1"/>
    <col min="8091" max="8091" width="10" style="1" customWidth="1"/>
    <col min="8092" max="8092" width="14" style="1" bestFit="1" customWidth="1"/>
    <col min="8093" max="8093" width="9.85546875" style="1" bestFit="1" customWidth="1"/>
    <col min="8094" max="8094" width="13.5703125" style="1" bestFit="1" customWidth="1"/>
    <col min="8095" max="8095" width="9.85546875" style="1" bestFit="1" customWidth="1"/>
    <col min="8096" max="8096" width="12.85546875" style="1" bestFit="1" customWidth="1"/>
    <col min="8097" max="8108" width="10.5703125" style="1" customWidth="1"/>
    <col min="8109" max="8109" width="11.140625" style="1" bestFit="1" customWidth="1"/>
    <col min="8110" max="8110" width="2.7109375" style="1" customWidth="1"/>
    <col min="8111" max="8111" width="9.85546875" style="1" bestFit="1" customWidth="1"/>
    <col min="8112" max="8113" width="9.140625" style="1"/>
    <col min="8114" max="8114" width="24" style="1" customWidth="1"/>
    <col min="8115" max="8117" width="9.140625" style="1"/>
    <col min="8118" max="8118" width="9" style="1" bestFit="1" customWidth="1"/>
    <col min="8119" max="8128" width="9.28515625" style="1" bestFit="1" customWidth="1"/>
    <col min="8129" max="8129" width="10.28515625" style="1" bestFit="1" customWidth="1"/>
    <col min="8130" max="8130" width="11.28515625" style="1" bestFit="1" customWidth="1"/>
    <col min="8131" max="8131" width="11.7109375" style="1" customWidth="1"/>
    <col min="8132" max="8132" width="9.140625" style="1"/>
    <col min="8133" max="8133" width="22.28515625" style="1" customWidth="1"/>
    <col min="8134" max="8134" width="9.140625" style="1"/>
    <col min="8135" max="8135" width="9.28515625" style="1" bestFit="1" customWidth="1"/>
    <col min="8136" max="8136" width="9.42578125" style="1" bestFit="1" customWidth="1"/>
    <col min="8137" max="8137" width="9.28515625" style="1" bestFit="1" customWidth="1"/>
    <col min="8138" max="8138" width="10.28515625" style="1" bestFit="1" customWidth="1"/>
    <col min="8139" max="8140" width="9.28515625" style="1" bestFit="1" customWidth="1"/>
    <col min="8141" max="8142" width="10.28515625" style="1" bestFit="1" customWidth="1"/>
    <col min="8143" max="8147" width="9.28515625" style="1" bestFit="1" customWidth="1"/>
    <col min="8148" max="8148" width="10.42578125" style="1" bestFit="1" customWidth="1"/>
    <col min="8149" max="8149" width="9.140625" style="1"/>
    <col min="8150" max="8150" width="24.85546875" style="1" customWidth="1"/>
    <col min="8151" max="8151" width="9.140625" style="1"/>
    <col min="8152" max="8164" width="9.28515625" style="1" bestFit="1" customWidth="1"/>
    <col min="8165" max="8165" width="10.28515625" style="1" bestFit="1" customWidth="1"/>
    <col min="8166" max="8166" width="9.5703125" style="1" bestFit="1" customWidth="1"/>
    <col min="8167" max="8167" width="18.5703125" style="1" customWidth="1"/>
    <col min="8168" max="8169" width="9.140625" style="1"/>
    <col min="8170" max="8172" width="12.140625" style="1" bestFit="1" customWidth="1"/>
    <col min="8173" max="8181" width="10.28515625" style="1" bestFit="1" customWidth="1"/>
    <col min="8182" max="8182" width="11.28515625" style="1" bestFit="1" customWidth="1"/>
    <col min="8183" max="8183" width="9.140625" style="1"/>
    <col min="8184" max="8184" width="19" style="1" customWidth="1"/>
    <col min="8185" max="8201" width="9.140625" style="1"/>
    <col min="8202" max="8212" width="11.28515625" style="1" bestFit="1" customWidth="1"/>
    <col min="8213" max="8213" width="10.28515625" style="1" bestFit="1" customWidth="1"/>
    <col min="8214" max="8214" width="12.85546875" style="1" bestFit="1" customWidth="1"/>
    <col min="8215" max="8337" width="9.140625" style="1"/>
    <col min="8338" max="8338" width="11" style="1" bestFit="1" customWidth="1"/>
    <col min="8339" max="8339" width="28.140625" style="1" bestFit="1" customWidth="1"/>
    <col min="8340" max="8340" width="14" style="1" bestFit="1" customWidth="1"/>
    <col min="8341" max="8341" width="9.140625" style="1"/>
    <col min="8342" max="8342" width="13.85546875" style="1" bestFit="1" customWidth="1"/>
    <col min="8343" max="8343" width="9.140625" style="1"/>
    <col min="8344" max="8344" width="14" style="1" customWidth="1"/>
    <col min="8345" max="8345" width="9.140625" style="1"/>
    <col min="8346" max="8346" width="12.85546875" style="1" bestFit="1" customWidth="1"/>
    <col min="8347" max="8347" width="10" style="1" customWidth="1"/>
    <col min="8348" max="8348" width="14" style="1" bestFit="1" customWidth="1"/>
    <col min="8349" max="8349" width="9.85546875" style="1" bestFit="1" customWidth="1"/>
    <col min="8350" max="8350" width="13.5703125" style="1" bestFit="1" customWidth="1"/>
    <col min="8351" max="8351" width="9.85546875" style="1" bestFit="1" customWidth="1"/>
    <col min="8352" max="8352" width="12.85546875" style="1" bestFit="1" customWidth="1"/>
    <col min="8353" max="8364" width="10.5703125" style="1" customWidth="1"/>
    <col min="8365" max="8365" width="11.140625" style="1" bestFit="1" customWidth="1"/>
    <col min="8366" max="8366" width="2.7109375" style="1" customWidth="1"/>
    <col min="8367" max="8367" width="9.85546875" style="1" bestFit="1" customWidth="1"/>
    <col min="8368" max="8369" width="9.140625" style="1"/>
    <col min="8370" max="8370" width="24" style="1" customWidth="1"/>
    <col min="8371" max="8373" width="9.140625" style="1"/>
    <col min="8374" max="8374" width="9" style="1" bestFit="1" customWidth="1"/>
    <col min="8375" max="8384" width="9.28515625" style="1" bestFit="1" customWidth="1"/>
    <col min="8385" max="8385" width="10.28515625" style="1" bestFit="1" customWidth="1"/>
    <col min="8386" max="8386" width="11.28515625" style="1" bestFit="1" customWidth="1"/>
    <col min="8387" max="8387" width="11.7109375" style="1" customWidth="1"/>
    <col min="8388" max="8388" width="9.140625" style="1"/>
    <col min="8389" max="8389" width="22.28515625" style="1" customWidth="1"/>
    <col min="8390" max="8390" width="9.140625" style="1"/>
    <col min="8391" max="8391" width="9.28515625" style="1" bestFit="1" customWidth="1"/>
    <col min="8392" max="8392" width="9.42578125" style="1" bestFit="1" customWidth="1"/>
    <col min="8393" max="8393" width="9.28515625" style="1" bestFit="1" customWidth="1"/>
    <col min="8394" max="8394" width="10.28515625" style="1" bestFit="1" customWidth="1"/>
    <col min="8395" max="8396" width="9.28515625" style="1" bestFit="1" customWidth="1"/>
    <col min="8397" max="8398" width="10.28515625" style="1" bestFit="1" customWidth="1"/>
    <col min="8399" max="8403" width="9.28515625" style="1" bestFit="1" customWidth="1"/>
    <col min="8404" max="8404" width="10.42578125" style="1" bestFit="1" customWidth="1"/>
    <col min="8405" max="8405" width="9.140625" style="1"/>
    <col min="8406" max="8406" width="24.85546875" style="1" customWidth="1"/>
    <col min="8407" max="8407" width="9.140625" style="1"/>
    <col min="8408" max="8420" width="9.28515625" style="1" bestFit="1" customWidth="1"/>
    <col min="8421" max="8421" width="10.28515625" style="1" bestFit="1" customWidth="1"/>
    <col min="8422" max="8422" width="9.5703125" style="1" bestFit="1" customWidth="1"/>
    <col min="8423" max="8423" width="18.5703125" style="1" customWidth="1"/>
    <col min="8424" max="8425" width="9.140625" style="1"/>
    <col min="8426" max="8428" width="12.140625" style="1" bestFit="1" customWidth="1"/>
    <col min="8429" max="8437" width="10.28515625" style="1" bestFit="1" customWidth="1"/>
    <col min="8438" max="8438" width="11.28515625" style="1" bestFit="1" customWidth="1"/>
    <col min="8439" max="8439" width="9.140625" style="1"/>
    <col min="8440" max="8440" width="19" style="1" customWidth="1"/>
    <col min="8441" max="8457" width="9.140625" style="1"/>
    <col min="8458" max="8468" width="11.28515625" style="1" bestFit="1" customWidth="1"/>
    <col min="8469" max="8469" width="10.28515625" style="1" bestFit="1" customWidth="1"/>
    <col min="8470" max="8470" width="12.85546875" style="1" bestFit="1" customWidth="1"/>
    <col min="8471" max="8593" width="9.140625" style="1"/>
    <col min="8594" max="8594" width="11" style="1" bestFit="1" customWidth="1"/>
    <col min="8595" max="8595" width="28.140625" style="1" bestFit="1" customWidth="1"/>
    <col min="8596" max="8596" width="14" style="1" bestFit="1" customWidth="1"/>
    <col min="8597" max="8597" width="9.140625" style="1"/>
    <col min="8598" max="8598" width="13.85546875" style="1" bestFit="1" customWidth="1"/>
    <col min="8599" max="8599" width="9.140625" style="1"/>
    <col min="8600" max="8600" width="14" style="1" customWidth="1"/>
    <col min="8601" max="8601" width="9.140625" style="1"/>
    <col min="8602" max="8602" width="12.85546875" style="1" bestFit="1" customWidth="1"/>
    <col min="8603" max="8603" width="10" style="1" customWidth="1"/>
    <col min="8604" max="8604" width="14" style="1" bestFit="1" customWidth="1"/>
    <col min="8605" max="8605" width="9.85546875" style="1" bestFit="1" customWidth="1"/>
    <col min="8606" max="8606" width="13.5703125" style="1" bestFit="1" customWidth="1"/>
    <col min="8607" max="8607" width="9.85546875" style="1" bestFit="1" customWidth="1"/>
    <col min="8608" max="8608" width="12.85546875" style="1" bestFit="1" customWidth="1"/>
    <col min="8609" max="8620" width="10.5703125" style="1" customWidth="1"/>
    <col min="8621" max="8621" width="11.140625" style="1" bestFit="1" customWidth="1"/>
    <col min="8622" max="8622" width="2.7109375" style="1" customWidth="1"/>
    <col min="8623" max="8623" width="9.85546875" style="1" bestFit="1" customWidth="1"/>
    <col min="8624" max="8625" width="9.140625" style="1"/>
    <col min="8626" max="8626" width="24" style="1" customWidth="1"/>
    <col min="8627" max="8629" width="9.140625" style="1"/>
    <col min="8630" max="8630" width="9" style="1" bestFit="1" customWidth="1"/>
    <col min="8631" max="8640" width="9.28515625" style="1" bestFit="1" customWidth="1"/>
    <col min="8641" max="8641" width="10.28515625" style="1" bestFit="1" customWidth="1"/>
    <col min="8642" max="8642" width="11.28515625" style="1" bestFit="1" customWidth="1"/>
    <col min="8643" max="8643" width="11.7109375" style="1" customWidth="1"/>
    <col min="8644" max="8644" width="9.140625" style="1"/>
    <col min="8645" max="8645" width="22.28515625" style="1" customWidth="1"/>
    <col min="8646" max="8646" width="9.140625" style="1"/>
    <col min="8647" max="8647" width="9.28515625" style="1" bestFit="1" customWidth="1"/>
    <col min="8648" max="8648" width="9.42578125" style="1" bestFit="1" customWidth="1"/>
    <col min="8649" max="8649" width="9.28515625" style="1" bestFit="1" customWidth="1"/>
    <col min="8650" max="8650" width="10.28515625" style="1" bestFit="1" customWidth="1"/>
    <col min="8651" max="8652" width="9.28515625" style="1" bestFit="1" customWidth="1"/>
    <col min="8653" max="8654" width="10.28515625" style="1" bestFit="1" customWidth="1"/>
    <col min="8655" max="8659" width="9.28515625" style="1" bestFit="1" customWidth="1"/>
    <col min="8660" max="8660" width="10.42578125" style="1" bestFit="1" customWidth="1"/>
    <col min="8661" max="8661" width="9.140625" style="1"/>
    <col min="8662" max="8662" width="24.85546875" style="1" customWidth="1"/>
    <col min="8663" max="8663" width="9.140625" style="1"/>
    <col min="8664" max="8676" width="9.28515625" style="1" bestFit="1" customWidth="1"/>
    <col min="8677" max="8677" width="10.28515625" style="1" bestFit="1" customWidth="1"/>
    <col min="8678" max="8678" width="9.5703125" style="1" bestFit="1" customWidth="1"/>
    <col min="8679" max="8679" width="18.5703125" style="1" customWidth="1"/>
    <col min="8680" max="8681" width="9.140625" style="1"/>
    <col min="8682" max="8684" width="12.140625" style="1" bestFit="1" customWidth="1"/>
    <col min="8685" max="8693" width="10.28515625" style="1" bestFit="1" customWidth="1"/>
    <col min="8694" max="8694" width="11.28515625" style="1" bestFit="1" customWidth="1"/>
    <col min="8695" max="8695" width="9.140625" style="1"/>
    <col min="8696" max="8696" width="19" style="1" customWidth="1"/>
    <col min="8697" max="8713" width="9.140625" style="1"/>
    <col min="8714" max="8724" width="11.28515625" style="1" bestFit="1" customWidth="1"/>
    <col min="8725" max="8725" width="10.28515625" style="1" bestFit="1" customWidth="1"/>
    <col min="8726" max="8726" width="12.85546875" style="1" bestFit="1" customWidth="1"/>
    <col min="8727" max="8849" width="9.140625" style="1"/>
    <col min="8850" max="8850" width="11" style="1" bestFit="1" customWidth="1"/>
    <col min="8851" max="8851" width="28.140625" style="1" bestFit="1" customWidth="1"/>
    <col min="8852" max="8852" width="14" style="1" bestFit="1" customWidth="1"/>
    <col min="8853" max="8853" width="9.140625" style="1"/>
    <col min="8854" max="8854" width="13.85546875" style="1" bestFit="1" customWidth="1"/>
    <col min="8855" max="8855" width="9.140625" style="1"/>
    <col min="8856" max="8856" width="14" style="1" customWidth="1"/>
    <col min="8857" max="8857" width="9.140625" style="1"/>
    <col min="8858" max="8858" width="12.85546875" style="1" bestFit="1" customWidth="1"/>
    <col min="8859" max="8859" width="10" style="1" customWidth="1"/>
    <col min="8860" max="8860" width="14" style="1" bestFit="1" customWidth="1"/>
    <col min="8861" max="8861" width="9.85546875" style="1" bestFit="1" customWidth="1"/>
    <col min="8862" max="8862" width="13.5703125" style="1" bestFit="1" customWidth="1"/>
    <col min="8863" max="8863" width="9.85546875" style="1" bestFit="1" customWidth="1"/>
    <col min="8864" max="8864" width="12.85546875" style="1" bestFit="1" customWidth="1"/>
    <col min="8865" max="8876" width="10.5703125" style="1" customWidth="1"/>
    <col min="8877" max="8877" width="11.140625" style="1" bestFit="1" customWidth="1"/>
    <col min="8878" max="8878" width="2.7109375" style="1" customWidth="1"/>
    <col min="8879" max="8879" width="9.85546875" style="1" bestFit="1" customWidth="1"/>
    <col min="8880" max="8881" width="9.140625" style="1"/>
    <col min="8882" max="8882" width="24" style="1" customWidth="1"/>
    <col min="8883" max="8885" width="9.140625" style="1"/>
    <col min="8886" max="8886" width="9" style="1" bestFit="1" customWidth="1"/>
    <col min="8887" max="8896" width="9.28515625" style="1" bestFit="1" customWidth="1"/>
    <col min="8897" max="8897" width="10.28515625" style="1" bestFit="1" customWidth="1"/>
    <col min="8898" max="8898" width="11.28515625" style="1" bestFit="1" customWidth="1"/>
    <col min="8899" max="8899" width="11.7109375" style="1" customWidth="1"/>
    <col min="8900" max="8900" width="9.140625" style="1"/>
    <col min="8901" max="8901" width="22.28515625" style="1" customWidth="1"/>
    <col min="8902" max="8902" width="9.140625" style="1"/>
    <col min="8903" max="8903" width="9.28515625" style="1" bestFit="1" customWidth="1"/>
    <col min="8904" max="8904" width="9.42578125" style="1" bestFit="1" customWidth="1"/>
    <col min="8905" max="8905" width="9.28515625" style="1" bestFit="1" customWidth="1"/>
    <col min="8906" max="8906" width="10.28515625" style="1" bestFit="1" customWidth="1"/>
    <col min="8907" max="8908" width="9.28515625" style="1" bestFit="1" customWidth="1"/>
    <col min="8909" max="8910" width="10.28515625" style="1" bestFit="1" customWidth="1"/>
    <col min="8911" max="8915" width="9.28515625" style="1" bestFit="1" customWidth="1"/>
    <col min="8916" max="8916" width="10.42578125" style="1" bestFit="1" customWidth="1"/>
    <col min="8917" max="8917" width="9.140625" style="1"/>
    <col min="8918" max="8918" width="24.85546875" style="1" customWidth="1"/>
    <col min="8919" max="8919" width="9.140625" style="1"/>
    <col min="8920" max="8932" width="9.28515625" style="1" bestFit="1" customWidth="1"/>
    <col min="8933" max="8933" width="10.28515625" style="1" bestFit="1" customWidth="1"/>
    <col min="8934" max="8934" width="9.5703125" style="1" bestFit="1" customWidth="1"/>
    <col min="8935" max="8935" width="18.5703125" style="1" customWidth="1"/>
    <col min="8936" max="8937" width="9.140625" style="1"/>
    <col min="8938" max="8940" width="12.140625" style="1" bestFit="1" customWidth="1"/>
    <col min="8941" max="8949" width="10.28515625" style="1" bestFit="1" customWidth="1"/>
    <col min="8950" max="8950" width="11.28515625" style="1" bestFit="1" customWidth="1"/>
    <col min="8951" max="8951" width="9.140625" style="1"/>
    <col min="8952" max="8952" width="19" style="1" customWidth="1"/>
    <col min="8953" max="8969" width="9.140625" style="1"/>
    <col min="8970" max="8980" width="11.28515625" style="1" bestFit="1" customWidth="1"/>
    <col min="8981" max="8981" width="10.28515625" style="1" bestFit="1" customWidth="1"/>
    <col min="8982" max="8982" width="12.85546875" style="1" bestFit="1" customWidth="1"/>
    <col min="8983" max="9105" width="9.140625" style="1"/>
    <col min="9106" max="9106" width="11" style="1" bestFit="1" customWidth="1"/>
    <col min="9107" max="9107" width="28.140625" style="1" bestFit="1" customWidth="1"/>
    <col min="9108" max="9108" width="14" style="1" bestFit="1" customWidth="1"/>
    <col min="9109" max="9109" width="9.140625" style="1"/>
    <col min="9110" max="9110" width="13.85546875" style="1" bestFit="1" customWidth="1"/>
    <col min="9111" max="9111" width="9.140625" style="1"/>
    <col min="9112" max="9112" width="14" style="1" customWidth="1"/>
    <col min="9113" max="9113" width="9.140625" style="1"/>
    <col min="9114" max="9114" width="12.85546875" style="1" bestFit="1" customWidth="1"/>
    <col min="9115" max="9115" width="10" style="1" customWidth="1"/>
    <col min="9116" max="9116" width="14" style="1" bestFit="1" customWidth="1"/>
    <col min="9117" max="9117" width="9.85546875" style="1" bestFit="1" customWidth="1"/>
    <col min="9118" max="9118" width="13.5703125" style="1" bestFit="1" customWidth="1"/>
    <col min="9119" max="9119" width="9.85546875" style="1" bestFit="1" customWidth="1"/>
    <col min="9120" max="9120" width="12.85546875" style="1" bestFit="1" customWidth="1"/>
    <col min="9121" max="9132" width="10.5703125" style="1" customWidth="1"/>
    <col min="9133" max="9133" width="11.140625" style="1" bestFit="1" customWidth="1"/>
    <col min="9134" max="9134" width="2.7109375" style="1" customWidth="1"/>
    <col min="9135" max="9135" width="9.85546875" style="1" bestFit="1" customWidth="1"/>
    <col min="9136" max="9137" width="9.140625" style="1"/>
    <col min="9138" max="9138" width="24" style="1" customWidth="1"/>
    <col min="9139" max="9141" width="9.140625" style="1"/>
    <col min="9142" max="9142" width="9" style="1" bestFit="1" customWidth="1"/>
    <col min="9143" max="9152" width="9.28515625" style="1" bestFit="1" customWidth="1"/>
    <col min="9153" max="9153" width="10.28515625" style="1" bestFit="1" customWidth="1"/>
    <col min="9154" max="9154" width="11.28515625" style="1" bestFit="1" customWidth="1"/>
    <col min="9155" max="9155" width="11.7109375" style="1" customWidth="1"/>
    <col min="9156" max="9156" width="9.140625" style="1"/>
    <col min="9157" max="9157" width="22.28515625" style="1" customWidth="1"/>
    <col min="9158" max="9158" width="9.140625" style="1"/>
    <col min="9159" max="9159" width="9.28515625" style="1" bestFit="1" customWidth="1"/>
    <col min="9160" max="9160" width="9.42578125" style="1" bestFit="1" customWidth="1"/>
    <col min="9161" max="9161" width="9.28515625" style="1" bestFit="1" customWidth="1"/>
    <col min="9162" max="9162" width="10.28515625" style="1" bestFit="1" customWidth="1"/>
    <col min="9163" max="9164" width="9.28515625" style="1" bestFit="1" customWidth="1"/>
    <col min="9165" max="9166" width="10.28515625" style="1" bestFit="1" customWidth="1"/>
    <col min="9167" max="9171" width="9.28515625" style="1" bestFit="1" customWidth="1"/>
    <col min="9172" max="9172" width="10.42578125" style="1" bestFit="1" customWidth="1"/>
    <col min="9173" max="9173" width="9.140625" style="1"/>
    <col min="9174" max="9174" width="24.85546875" style="1" customWidth="1"/>
    <col min="9175" max="9175" width="9.140625" style="1"/>
    <col min="9176" max="9188" width="9.28515625" style="1" bestFit="1" customWidth="1"/>
    <col min="9189" max="9189" width="10.28515625" style="1" bestFit="1" customWidth="1"/>
    <col min="9190" max="9190" width="9.5703125" style="1" bestFit="1" customWidth="1"/>
    <col min="9191" max="9191" width="18.5703125" style="1" customWidth="1"/>
    <col min="9192" max="9193" width="9.140625" style="1"/>
    <col min="9194" max="9196" width="12.140625" style="1" bestFit="1" customWidth="1"/>
    <col min="9197" max="9205" width="10.28515625" style="1" bestFit="1" customWidth="1"/>
    <col min="9206" max="9206" width="11.28515625" style="1" bestFit="1" customWidth="1"/>
    <col min="9207" max="9207" width="9.140625" style="1"/>
    <col min="9208" max="9208" width="19" style="1" customWidth="1"/>
    <col min="9209" max="9225" width="9.140625" style="1"/>
    <col min="9226" max="9236" width="11.28515625" style="1" bestFit="1" customWidth="1"/>
    <col min="9237" max="9237" width="10.28515625" style="1" bestFit="1" customWidth="1"/>
    <col min="9238" max="9238" width="12.85546875" style="1" bestFit="1" customWidth="1"/>
    <col min="9239" max="9361" width="9.140625" style="1"/>
    <col min="9362" max="9362" width="11" style="1" bestFit="1" customWidth="1"/>
    <col min="9363" max="9363" width="28.140625" style="1" bestFit="1" customWidth="1"/>
    <col min="9364" max="9364" width="14" style="1" bestFit="1" customWidth="1"/>
    <col min="9365" max="9365" width="9.140625" style="1"/>
    <col min="9366" max="9366" width="13.85546875" style="1" bestFit="1" customWidth="1"/>
    <col min="9367" max="9367" width="9.140625" style="1"/>
    <col min="9368" max="9368" width="14" style="1" customWidth="1"/>
    <col min="9369" max="9369" width="9.140625" style="1"/>
    <col min="9370" max="9370" width="12.85546875" style="1" bestFit="1" customWidth="1"/>
    <col min="9371" max="9371" width="10" style="1" customWidth="1"/>
    <col min="9372" max="9372" width="14" style="1" bestFit="1" customWidth="1"/>
    <col min="9373" max="9373" width="9.85546875" style="1" bestFit="1" customWidth="1"/>
    <col min="9374" max="9374" width="13.5703125" style="1" bestFit="1" customWidth="1"/>
    <col min="9375" max="9375" width="9.85546875" style="1" bestFit="1" customWidth="1"/>
    <col min="9376" max="9376" width="12.85546875" style="1" bestFit="1" customWidth="1"/>
    <col min="9377" max="9388" width="10.5703125" style="1" customWidth="1"/>
    <col min="9389" max="9389" width="11.140625" style="1" bestFit="1" customWidth="1"/>
    <col min="9390" max="9390" width="2.7109375" style="1" customWidth="1"/>
    <col min="9391" max="9391" width="9.85546875" style="1" bestFit="1" customWidth="1"/>
    <col min="9392" max="9393" width="9.140625" style="1"/>
    <col min="9394" max="9394" width="24" style="1" customWidth="1"/>
    <col min="9395" max="9397" width="9.140625" style="1"/>
    <col min="9398" max="9398" width="9" style="1" bestFit="1" customWidth="1"/>
    <col min="9399" max="9408" width="9.28515625" style="1" bestFit="1" customWidth="1"/>
    <col min="9409" max="9409" width="10.28515625" style="1" bestFit="1" customWidth="1"/>
    <col min="9410" max="9410" width="11.28515625" style="1" bestFit="1" customWidth="1"/>
    <col min="9411" max="9411" width="11.7109375" style="1" customWidth="1"/>
    <col min="9412" max="9412" width="9.140625" style="1"/>
    <col min="9413" max="9413" width="22.28515625" style="1" customWidth="1"/>
    <col min="9414" max="9414" width="9.140625" style="1"/>
    <col min="9415" max="9415" width="9.28515625" style="1" bestFit="1" customWidth="1"/>
    <col min="9416" max="9416" width="9.42578125" style="1" bestFit="1" customWidth="1"/>
    <col min="9417" max="9417" width="9.28515625" style="1" bestFit="1" customWidth="1"/>
    <col min="9418" max="9418" width="10.28515625" style="1" bestFit="1" customWidth="1"/>
    <col min="9419" max="9420" width="9.28515625" style="1" bestFit="1" customWidth="1"/>
    <col min="9421" max="9422" width="10.28515625" style="1" bestFit="1" customWidth="1"/>
    <col min="9423" max="9427" width="9.28515625" style="1" bestFit="1" customWidth="1"/>
    <col min="9428" max="9428" width="10.42578125" style="1" bestFit="1" customWidth="1"/>
    <col min="9429" max="9429" width="9.140625" style="1"/>
    <col min="9430" max="9430" width="24.85546875" style="1" customWidth="1"/>
    <col min="9431" max="9431" width="9.140625" style="1"/>
    <col min="9432" max="9444" width="9.28515625" style="1" bestFit="1" customWidth="1"/>
    <col min="9445" max="9445" width="10.28515625" style="1" bestFit="1" customWidth="1"/>
    <col min="9446" max="9446" width="9.5703125" style="1" bestFit="1" customWidth="1"/>
    <col min="9447" max="9447" width="18.5703125" style="1" customWidth="1"/>
    <col min="9448" max="9449" width="9.140625" style="1"/>
    <col min="9450" max="9452" width="12.140625" style="1" bestFit="1" customWidth="1"/>
    <col min="9453" max="9461" width="10.28515625" style="1" bestFit="1" customWidth="1"/>
    <col min="9462" max="9462" width="11.28515625" style="1" bestFit="1" customWidth="1"/>
    <col min="9463" max="9463" width="9.140625" style="1"/>
    <col min="9464" max="9464" width="19" style="1" customWidth="1"/>
    <col min="9465" max="9481" width="9.140625" style="1"/>
    <col min="9482" max="9492" width="11.28515625" style="1" bestFit="1" customWidth="1"/>
    <col min="9493" max="9493" width="10.28515625" style="1" bestFit="1" customWidth="1"/>
    <col min="9494" max="9494" width="12.85546875" style="1" bestFit="1" customWidth="1"/>
    <col min="9495" max="9617" width="9.140625" style="1"/>
    <col min="9618" max="9618" width="11" style="1" bestFit="1" customWidth="1"/>
    <col min="9619" max="9619" width="28.140625" style="1" bestFit="1" customWidth="1"/>
    <col min="9620" max="9620" width="14" style="1" bestFit="1" customWidth="1"/>
    <col min="9621" max="9621" width="9.140625" style="1"/>
    <col min="9622" max="9622" width="13.85546875" style="1" bestFit="1" customWidth="1"/>
    <col min="9623" max="9623" width="9.140625" style="1"/>
    <col min="9624" max="9624" width="14" style="1" customWidth="1"/>
    <col min="9625" max="9625" width="9.140625" style="1"/>
    <col min="9626" max="9626" width="12.85546875" style="1" bestFit="1" customWidth="1"/>
    <col min="9627" max="9627" width="10" style="1" customWidth="1"/>
    <col min="9628" max="9628" width="14" style="1" bestFit="1" customWidth="1"/>
    <col min="9629" max="9629" width="9.85546875" style="1" bestFit="1" customWidth="1"/>
    <col min="9630" max="9630" width="13.5703125" style="1" bestFit="1" customWidth="1"/>
    <col min="9631" max="9631" width="9.85546875" style="1" bestFit="1" customWidth="1"/>
    <col min="9632" max="9632" width="12.85546875" style="1" bestFit="1" customWidth="1"/>
    <col min="9633" max="9644" width="10.5703125" style="1" customWidth="1"/>
    <col min="9645" max="9645" width="11.140625" style="1" bestFit="1" customWidth="1"/>
    <col min="9646" max="9646" width="2.7109375" style="1" customWidth="1"/>
    <col min="9647" max="9647" width="9.85546875" style="1" bestFit="1" customWidth="1"/>
    <col min="9648" max="9649" width="9.140625" style="1"/>
    <col min="9650" max="9650" width="24" style="1" customWidth="1"/>
    <col min="9651" max="9653" width="9.140625" style="1"/>
    <col min="9654" max="9654" width="9" style="1" bestFit="1" customWidth="1"/>
    <col min="9655" max="9664" width="9.28515625" style="1" bestFit="1" customWidth="1"/>
    <col min="9665" max="9665" width="10.28515625" style="1" bestFit="1" customWidth="1"/>
    <col min="9666" max="9666" width="11.28515625" style="1" bestFit="1" customWidth="1"/>
    <col min="9667" max="9667" width="11.7109375" style="1" customWidth="1"/>
    <col min="9668" max="9668" width="9.140625" style="1"/>
    <col min="9669" max="9669" width="22.28515625" style="1" customWidth="1"/>
    <col min="9670" max="9670" width="9.140625" style="1"/>
    <col min="9671" max="9671" width="9.28515625" style="1" bestFit="1" customWidth="1"/>
    <col min="9672" max="9672" width="9.42578125" style="1" bestFit="1" customWidth="1"/>
    <col min="9673" max="9673" width="9.28515625" style="1" bestFit="1" customWidth="1"/>
    <col min="9674" max="9674" width="10.28515625" style="1" bestFit="1" customWidth="1"/>
    <col min="9675" max="9676" width="9.28515625" style="1" bestFit="1" customWidth="1"/>
    <col min="9677" max="9678" width="10.28515625" style="1" bestFit="1" customWidth="1"/>
    <col min="9679" max="9683" width="9.28515625" style="1" bestFit="1" customWidth="1"/>
    <col min="9684" max="9684" width="10.42578125" style="1" bestFit="1" customWidth="1"/>
    <col min="9685" max="9685" width="9.140625" style="1"/>
    <col min="9686" max="9686" width="24.85546875" style="1" customWidth="1"/>
    <col min="9687" max="9687" width="9.140625" style="1"/>
    <col min="9688" max="9700" width="9.28515625" style="1" bestFit="1" customWidth="1"/>
    <col min="9701" max="9701" width="10.28515625" style="1" bestFit="1" customWidth="1"/>
    <col min="9702" max="9702" width="9.5703125" style="1" bestFit="1" customWidth="1"/>
    <col min="9703" max="9703" width="18.5703125" style="1" customWidth="1"/>
    <col min="9704" max="9705" width="9.140625" style="1"/>
    <col min="9706" max="9708" width="12.140625" style="1" bestFit="1" customWidth="1"/>
    <col min="9709" max="9717" width="10.28515625" style="1" bestFit="1" customWidth="1"/>
    <col min="9718" max="9718" width="11.28515625" style="1" bestFit="1" customWidth="1"/>
    <col min="9719" max="9719" width="9.140625" style="1"/>
    <col min="9720" max="9720" width="19" style="1" customWidth="1"/>
    <col min="9721" max="9737" width="9.140625" style="1"/>
    <col min="9738" max="9748" width="11.28515625" style="1" bestFit="1" customWidth="1"/>
    <col min="9749" max="9749" width="10.28515625" style="1" bestFit="1" customWidth="1"/>
    <col min="9750" max="9750" width="12.85546875" style="1" bestFit="1" customWidth="1"/>
    <col min="9751" max="9873" width="9.140625" style="1"/>
    <col min="9874" max="9874" width="11" style="1" bestFit="1" customWidth="1"/>
    <col min="9875" max="9875" width="28.140625" style="1" bestFit="1" customWidth="1"/>
    <col min="9876" max="9876" width="14" style="1" bestFit="1" customWidth="1"/>
    <col min="9877" max="9877" width="9.140625" style="1"/>
    <col min="9878" max="9878" width="13.85546875" style="1" bestFit="1" customWidth="1"/>
    <col min="9879" max="9879" width="9.140625" style="1"/>
    <col min="9880" max="9880" width="14" style="1" customWidth="1"/>
    <col min="9881" max="9881" width="9.140625" style="1"/>
    <col min="9882" max="9882" width="12.85546875" style="1" bestFit="1" customWidth="1"/>
    <col min="9883" max="9883" width="10" style="1" customWidth="1"/>
    <col min="9884" max="9884" width="14" style="1" bestFit="1" customWidth="1"/>
    <col min="9885" max="9885" width="9.85546875" style="1" bestFit="1" customWidth="1"/>
    <col min="9886" max="9886" width="13.5703125" style="1" bestFit="1" customWidth="1"/>
    <col min="9887" max="9887" width="9.85546875" style="1" bestFit="1" customWidth="1"/>
    <col min="9888" max="9888" width="12.85546875" style="1" bestFit="1" customWidth="1"/>
    <col min="9889" max="9900" width="10.5703125" style="1" customWidth="1"/>
    <col min="9901" max="9901" width="11.140625" style="1" bestFit="1" customWidth="1"/>
    <col min="9902" max="9902" width="2.7109375" style="1" customWidth="1"/>
    <col min="9903" max="9903" width="9.85546875" style="1" bestFit="1" customWidth="1"/>
    <col min="9904" max="9905" width="9.140625" style="1"/>
    <col min="9906" max="9906" width="24" style="1" customWidth="1"/>
    <col min="9907" max="9909" width="9.140625" style="1"/>
    <col min="9910" max="9910" width="9" style="1" bestFit="1" customWidth="1"/>
    <col min="9911" max="9920" width="9.28515625" style="1" bestFit="1" customWidth="1"/>
    <col min="9921" max="9921" width="10.28515625" style="1" bestFit="1" customWidth="1"/>
    <col min="9922" max="9922" width="11.28515625" style="1" bestFit="1" customWidth="1"/>
    <col min="9923" max="9923" width="11.7109375" style="1" customWidth="1"/>
    <col min="9924" max="9924" width="9.140625" style="1"/>
    <col min="9925" max="9925" width="22.28515625" style="1" customWidth="1"/>
    <col min="9926" max="9926" width="9.140625" style="1"/>
    <col min="9927" max="9927" width="9.28515625" style="1" bestFit="1" customWidth="1"/>
    <col min="9928" max="9928" width="9.42578125" style="1" bestFit="1" customWidth="1"/>
    <col min="9929" max="9929" width="9.28515625" style="1" bestFit="1" customWidth="1"/>
    <col min="9930" max="9930" width="10.28515625" style="1" bestFit="1" customWidth="1"/>
    <col min="9931" max="9932" width="9.28515625" style="1" bestFit="1" customWidth="1"/>
    <col min="9933" max="9934" width="10.28515625" style="1" bestFit="1" customWidth="1"/>
    <col min="9935" max="9939" width="9.28515625" style="1" bestFit="1" customWidth="1"/>
    <col min="9940" max="9940" width="10.42578125" style="1" bestFit="1" customWidth="1"/>
    <col min="9941" max="9941" width="9.140625" style="1"/>
    <col min="9942" max="9942" width="24.85546875" style="1" customWidth="1"/>
    <col min="9943" max="9943" width="9.140625" style="1"/>
    <col min="9944" max="9956" width="9.28515625" style="1" bestFit="1" customWidth="1"/>
    <col min="9957" max="9957" width="10.28515625" style="1" bestFit="1" customWidth="1"/>
    <col min="9958" max="9958" width="9.5703125" style="1" bestFit="1" customWidth="1"/>
    <col min="9959" max="9959" width="18.5703125" style="1" customWidth="1"/>
    <col min="9960" max="9961" width="9.140625" style="1"/>
    <col min="9962" max="9964" width="12.140625" style="1" bestFit="1" customWidth="1"/>
    <col min="9965" max="9973" width="10.28515625" style="1" bestFit="1" customWidth="1"/>
    <col min="9974" max="9974" width="11.28515625" style="1" bestFit="1" customWidth="1"/>
    <col min="9975" max="9975" width="9.140625" style="1"/>
    <col min="9976" max="9976" width="19" style="1" customWidth="1"/>
    <col min="9977" max="9993" width="9.140625" style="1"/>
    <col min="9994" max="10004" width="11.28515625" style="1" bestFit="1" customWidth="1"/>
    <col min="10005" max="10005" width="10.28515625" style="1" bestFit="1" customWidth="1"/>
    <col min="10006" max="10006" width="12.85546875" style="1" bestFit="1" customWidth="1"/>
    <col min="10007" max="10129" width="9.140625" style="1"/>
    <col min="10130" max="10130" width="11" style="1" bestFit="1" customWidth="1"/>
    <col min="10131" max="10131" width="28.140625" style="1" bestFit="1" customWidth="1"/>
    <col min="10132" max="10132" width="14" style="1" bestFit="1" customWidth="1"/>
    <col min="10133" max="10133" width="9.140625" style="1"/>
    <col min="10134" max="10134" width="13.85546875" style="1" bestFit="1" customWidth="1"/>
    <col min="10135" max="10135" width="9.140625" style="1"/>
    <col min="10136" max="10136" width="14" style="1" customWidth="1"/>
    <col min="10137" max="10137" width="9.140625" style="1"/>
    <col min="10138" max="10138" width="12.85546875" style="1" bestFit="1" customWidth="1"/>
    <col min="10139" max="10139" width="10" style="1" customWidth="1"/>
    <col min="10140" max="10140" width="14" style="1" bestFit="1" customWidth="1"/>
    <col min="10141" max="10141" width="9.85546875" style="1" bestFit="1" customWidth="1"/>
    <col min="10142" max="10142" width="13.5703125" style="1" bestFit="1" customWidth="1"/>
    <col min="10143" max="10143" width="9.85546875" style="1" bestFit="1" customWidth="1"/>
    <col min="10144" max="10144" width="12.85546875" style="1" bestFit="1" customWidth="1"/>
    <col min="10145" max="10156" width="10.5703125" style="1" customWidth="1"/>
    <col min="10157" max="10157" width="11.140625" style="1" bestFit="1" customWidth="1"/>
    <col min="10158" max="10158" width="2.7109375" style="1" customWidth="1"/>
    <col min="10159" max="10159" width="9.85546875" style="1" bestFit="1" customWidth="1"/>
    <col min="10160" max="10161" width="9.140625" style="1"/>
    <col min="10162" max="10162" width="24" style="1" customWidth="1"/>
    <col min="10163" max="10165" width="9.140625" style="1"/>
    <col min="10166" max="10166" width="9" style="1" bestFit="1" customWidth="1"/>
    <col min="10167" max="10176" width="9.28515625" style="1" bestFit="1" customWidth="1"/>
    <col min="10177" max="10177" width="10.28515625" style="1" bestFit="1" customWidth="1"/>
    <col min="10178" max="10178" width="11.28515625" style="1" bestFit="1" customWidth="1"/>
    <col min="10179" max="10179" width="11.7109375" style="1" customWidth="1"/>
    <col min="10180" max="10180" width="9.140625" style="1"/>
    <col min="10181" max="10181" width="22.28515625" style="1" customWidth="1"/>
    <col min="10182" max="10182" width="9.140625" style="1"/>
    <col min="10183" max="10183" width="9.28515625" style="1" bestFit="1" customWidth="1"/>
    <col min="10184" max="10184" width="9.42578125" style="1" bestFit="1" customWidth="1"/>
    <col min="10185" max="10185" width="9.28515625" style="1" bestFit="1" customWidth="1"/>
    <col min="10186" max="10186" width="10.28515625" style="1" bestFit="1" customWidth="1"/>
    <col min="10187" max="10188" width="9.28515625" style="1" bestFit="1" customWidth="1"/>
    <col min="10189" max="10190" width="10.28515625" style="1" bestFit="1" customWidth="1"/>
    <col min="10191" max="10195" width="9.28515625" style="1" bestFit="1" customWidth="1"/>
    <col min="10196" max="10196" width="10.42578125" style="1" bestFit="1" customWidth="1"/>
    <col min="10197" max="10197" width="9.140625" style="1"/>
    <col min="10198" max="10198" width="24.85546875" style="1" customWidth="1"/>
    <col min="10199" max="10199" width="9.140625" style="1"/>
    <col min="10200" max="10212" width="9.28515625" style="1" bestFit="1" customWidth="1"/>
    <col min="10213" max="10213" width="10.28515625" style="1" bestFit="1" customWidth="1"/>
    <col min="10214" max="10214" width="9.5703125" style="1" bestFit="1" customWidth="1"/>
    <col min="10215" max="10215" width="18.5703125" style="1" customWidth="1"/>
    <col min="10216" max="10217" width="9.140625" style="1"/>
    <col min="10218" max="10220" width="12.140625" style="1" bestFit="1" customWidth="1"/>
    <col min="10221" max="10229" width="10.28515625" style="1" bestFit="1" customWidth="1"/>
    <col min="10230" max="10230" width="11.28515625" style="1" bestFit="1" customWidth="1"/>
    <col min="10231" max="10231" width="9.140625" style="1"/>
    <col min="10232" max="10232" width="19" style="1" customWidth="1"/>
    <col min="10233" max="10249" width="9.140625" style="1"/>
    <col min="10250" max="10260" width="11.28515625" style="1" bestFit="1" customWidth="1"/>
    <col min="10261" max="10261" width="10.28515625" style="1" bestFit="1" customWidth="1"/>
    <col min="10262" max="10262" width="12.85546875" style="1" bestFit="1" customWidth="1"/>
    <col min="10263" max="10385" width="9.140625" style="1"/>
    <col min="10386" max="10386" width="11" style="1" bestFit="1" customWidth="1"/>
    <col min="10387" max="10387" width="28.140625" style="1" bestFit="1" customWidth="1"/>
    <col min="10388" max="10388" width="14" style="1" bestFit="1" customWidth="1"/>
    <col min="10389" max="10389" width="9.140625" style="1"/>
    <col min="10390" max="10390" width="13.85546875" style="1" bestFit="1" customWidth="1"/>
    <col min="10391" max="10391" width="9.140625" style="1"/>
    <col min="10392" max="10392" width="14" style="1" customWidth="1"/>
    <col min="10393" max="10393" width="9.140625" style="1"/>
    <col min="10394" max="10394" width="12.85546875" style="1" bestFit="1" customWidth="1"/>
    <col min="10395" max="10395" width="10" style="1" customWidth="1"/>
    <col min="10396" max="10396" width="14" style="1" bestFit="1" customWidth="1"/>
    <col min="10397" max="10397" width="9.85546875" style="1" bestFit="1" customWidth="1"/>
    <col min="10398" max="10398" width="13.5703125" style="1" bestFit="1" customWidth="1"/>
    <col min="10399" max="10399" width="9.85546875" style="1" bestFit="1" customWidth="1"/>
    <col min="10400" max="10400" width="12.85546875" style="1" bestFit="1" customWidth="1"/>
    <col min="10401" max="10412" width="10.5703125" style="1" customWidth="1"/>
    <col min="10413" max="10413" width="11.140625" style="1" bestFit="1" customWidth="1"/>
    <col min="10414" max="10414" width="2.7109375" style="1" customWidth="1"/>
    <col min="10415" max="10415" width="9.85546875" style="1" bestFit="1" customWidth="1"/>
    <col min="10416" max="10417" width="9.140625" style="1"/>
    <col min="10418" max="10418" width="24" style="1" customWidth="1"/>
    <col min="10419" max="10421" width="9.140625" style="1"/>
    <col min="10422" max="10422" width="9" style="1" bestFit="1" customWidth="1"/>
    <col min="10423" max="10432" width="9.28515625" style="1" bestFit="1" customWidth="1"/>
    <col min="10433" max="10433" width="10.28515625" style="1" bestFit="1" customWidth="1"/>
    <col min="10434" max="10434" width="11.28515625" style="1" bestFit="1" customWidth="1"/>
    <col min="10435" max="10435" width="11.7109375" style="1" customWidth="1"/>
    <col min="10436" max="10436" width="9.140625" style="1"/>
    <col min="10437" max="10437" width="22.28515625" style="1" customWidth="1"/>
    <col min="10438" max="10438" width="9.140625" style="1"/>
    <col min="10439" max="10439" width="9.28515625" style="1" bestFit="1" customWidth="1"/>
    <col min="10440" max="10440" width="9.42578125" style="1" bestFit="1" customWidth="1"/>
    <col min="10441" max="10441" width="9.28515625" style="1" bestFit="1" customWidth="1"/>
    <col min="10442" max="10442" width="10.28515625" style="1" bestFit="1" customWidth="1"/>
    <col min="10443" max="10444" width="9.28515625" style="1" bestFit="1" customWidth="1"/>
    <col min="10445" max="10446" width="10.28515625" style="1" bestFit="1" customWidth="1"/>
    <col min="10447" max="10451" width="9.28515625" style="1" bestFit="1" customWidth="1"/>
    <col min="10452" max="10452" width="10.42578125" style="1" bestFit="1" customWidth="1"/>
    <col min="10453" max="10453" width="9.140625" style="1"/>
    <col min="10454" max="10454" width="24.85546875" style="1" customWidth="1"/>
    <col min="10455" max="10455" width="9.140625" style="1"/>
    <col min="10456" max="10468" width="9.28515625" style="1" bestFit="1" customWidth="1"/>
    <col min="10469" max="10469" width="10.28515625" style="1" bestFit="1" customWidth="1"/>
    <col min="10470" max="10470" width="9.5703125" style="1" bestFit="1" customWidth="1"/>
    <col min="10471" max="10471" width="18.5703125" style="1" customWidth="1"/>
    <col min="10472" max="10473" width="9.140625" style="1"/>
    <col min="10474" max="10476" width="12.140625" style="1" bestFit="1" customWidth="1"/>
    <col min="10477" max="10485" width="10.28515625" style="1" bestFit="1" customWidth="1"/>
    <col min="10486" max="10486" width="11.28515625" style="1" bestFit="1" customWidth="1"/>
    <col min="10487" max="10487" width="9.140625" style="1"/>
    <col min="10488" max="10488" width="19" style="1" customWidth="1"/>
    <col min="10489" max="10505" width="9.140625" style="1"/>
    <col min="10506" max="10516" width="11.28515625" style="1" bestFit="1" customWidth="1"/>
    <col min="10517" max="10517" width="10.28515625" style="1" bestFit="1" customWidth="1"/>
    <col min="10518" max="10518" width="12.85546875" style="1" bestFit="1" customWidth="1"/>
    <col min="10519" max="10641" width="9.140625" style="1"/>
    <col min="10642" max="10642" width="11" style="1" bestFit="1" customWidth="1"/>
    <col min="10643" max="10643" width="28.140625" style="1" bestFit="1" customWidth="1"/>
    <col min="10644" max="10644" width="14" style="1" bestFit="1" customWidth="1"/>
    <col min="10645" max="10645" width="9.140625" style="1"/>
    <col min="10646" max="10646" width="13.85546875" style="1" bestFit="1" customWidth="1"/>
    <col min="10647" max="10647" width="9.140625" style="1"/>
    <col min="10648" max="10648" width="14" style="1" customWidth="1"/>
    <col min="10649" max="10649" width="9.140625" style="1"/>
    <col min="10650" max="10650" width="12.85546875" style="1" bestFit="1" customWidth="1"/>
    <col min="10651" max="10651" width="10" style="1" customWidth="1"/>
    <col min="10652" max="10652" width="14" style="1" bestFit="1" customWidth="1"/>
    <col min="10653" max="10653" width="9.85546875" style="1" bestFit="1" customWidth="1"/>
    <col min="10654" max="10654" width="13.5703125" style="1" bestFit="1" customWidth="1"/>
    <col min="10655" max="10655" width="9.85546875" style="1" bestFit="1" customWidth="1"/>
    <col min="10656" max="10656" width="12.85546875" style="1" bestFit="1" customWidth="1"/>
    <col min="10657" max="10668" width="10.5703125" style="1" customWidth="1"/>
    <col min="10669" max="10669" width="11.140625" style="1" bestFit="1" customWidth="1"/>
    <col min="10670" max="10670" width="2.7109375" style="1" customWidth="1"/>
    <col min="10671" max="10671" width="9.85546875" style="1" bestFit="1" customWidth="1"/>
    <col min="10672" max="10673" width="9.140625" style="1"/>
    <col min="10674" max="10674" width="24" style="1" customWidth="1"/>
    <col min="10675" max="10677" width="9.140625" style="1"/>
    <col min="10678" max="10678" width="9" style="1" bestFit="1" customWidth="1"/>
    <col min="10679" max="10688" width="9.28515625" style="1" bestFit="1" customWidth="1"/>
    <col min="10689" max="10689" width="10.28515625" style="1" bestFit="1" customWidth="1"/>
    <col min="10690" max="10690" width="11.28515625" style="1" bestFit="1" customWidth="1"/>
    <col min="10691" max="10691" width="11.7109375" style="1" customWidth="1"/>
    <col min="10692" max="10692" width="9.140625" style="1"/>
    <col min="10693" max="10693" width="22.28515625" style="1" customWidth="1"/>
    <col min="10694" max="10694" width="9.140625" style="1"/>
    <col min="10695" max="10695" width="9.28515625" style="1" bestFit="1" customWidth="1"/>
    <col min="10696" max="10696" width="9.42578125" style="1" bestFit="1" customWidth="1"/>
    <col min="10697" max="10697" width="9.28515625" style="1" bestFit="1" customWidth="1"/>
    <col min="10698" max="10698" width="10.28515625" style="1" bestFit="1" customWidth="1"/>
    <col min="10699" max="10700" width="9.28515625" style="1" bestFit="1" customWidth="1"/>
    <col min="10701" max="10702" width="10.28515625" style="1" bestFit="1" customWidth="1"/>
    <col min="10703" max="10707" width="9.28515625" style="1" bestFit="1" customWidth="1"/>
    <col min="10708" max="10708" width="10.42578125" style="1" bestFit="1" customWidth="1"/>
    <col min="10709" max="10709" width="9.140625" style="1"/>
    <col min="10710" max="10710" width="24.85546875" style="1" customWidth="1"/>
    <col min="10711" max="10711" width="9.140625" style="1"/>
    <col min="10712" max="10724" width="9.28515625" style="1" bestFit="1" customWidth="1"/>
    <col min="10725" max="10725" width="10.28515625" style="1" bestFit="1" customWidth="1"/>
    <col min="10726" max="10726" width="9.5703125" style="1" bestFit="1" customWidth="1"/>
    <col min="10727" max="10727" width="18.5703125" style="1" customWidth="1"/>
    <col min="10728" max="10729" width="9.140625" style="1"/>
    <col min="10730" max="10732" width="12.140625" style="1" bestFit="1" customWidth="1"/>
    <col min="10733" max="10741" width="10.28515625" style="1" bestFit="1" customWidth="1"/>
    <col min="10742" max="10742" width="11.28515625" style="1" bestFit="1" customWidth="1"/>
    <col min="10743" max="10743" width="9.140625" style="1"/>
    <col min="10744" max="10744" width="19" style="1" customWidth="1"/>
    <col min="10745" max="10761" width="9.140625" style="1"/>
    <col min="10762" max="10772" width="11.28515625" style="1" bestFit="1" customWidth="1"/>
    <col min="10773" max="10773" width="10.28515625" style="1" bestFit="1" customWidth="1"/>
    <col min="10774" max="10774" width="12.85546875" style="1" bestFit="1" customWidth="1"/>
    <col min="10775" max="10897" width="9.140625" style="1"/>
    <col min="10898" max="10898" width="11" style="1" bestFit="1" customWidth="1"/>
    <col min="10899" max="10899" width="28.140625" style="1" bestFit="1" customWidth="1"/>
    <col min="10900" max="10900" width="14" style="1" bestFit="1" customWidth="1"/>
    <col min="10901" max="10901" width="9.140625" style="1"/>
    <col min="10902" max="10902" width="13.85546875" style="1" bestFit="1" customWidth="1"/>
    <col min="10903" max="10903" width="9.140625" style="1"/>
    <col min="10904" max="10904" width="14" style="1" customWidth="1"/>
    <col min="10905" max="10905" width="9.140625" style="1"/>
    <col min="10906" max="10906" width="12.85546875" style="1" bestFit="1" customWidth="1"/>
    <col min="10907" max="10907" width="10" style="1" customWidth="1"/>
    <col min="10908" max="10908" width="14" style="1" bestFit="1" customWidth="1"/>
    <col min="10909" max="10909" width="9.85546875" style="1" bestFit="1" customWidth="1"/>
    <col min="10910" max="10910" width="13.5703125" style="1" bestFit="1" customWidth="1"/>
    <col min="10911" max="10911" width="9.85546875" style="1" bestFit="1" customWidth="1"/>
    <col min="10912" max="10912" width="12.85546875" style="1" bestFit="1" customWidth="1"/>
    <col min="10913" max="10924" width="10.5703125" style="1" customWidth="1"/>
    <col min="10925" max="10925" width="11.140625" style="1" bestFit="1" customWidth="1"/>
    <col min="10926" max="10926" width="2.7109375" style="1" customWidth="1"/>
    <col min="10927" max="10927" width="9.85546875" style="1" bestFit="1" customWidth="1"/>
    <col min="10928" max="10929" width="9.140625" style="1"/>
    <col min="10930" max="10930" width="24" style="1" customWidth="1"/>
    <col min="10931" max="10933" width="9.140625" style="1"/>
    <col min="10934" max="10934" width="9" style="1" bestFit="1" customWidth="1"/>
    <col min="10935" max="10944" width="9.28515625" style="1" bestFit="1" customWidth="1"/>
    <col min="10945" max="10945" width="10.28515625" style="1" bestFit="1" customWidth="1"/>
    <col min="10946" max="10946" width="11.28515625" style="1" bestFit="1" customWidth="1"/>
    <col min="10947" max="10947" width="11.7109375" style="1" customWidth="1"/>
    <col min="10948" max="10948" width="9.140625" style="1"/>
    <col min="10949" max="10949" width="22.28515625" style="1" customWidth="1"/>
    <col min="10950" max="10950" width="9.140625" style="1"/>
    <col min="10951" max="10951" width="9.28515625" style="1" bestFit="1" customWidth="1"/>
    <col min="10952" max="10952" width="9.42578125" style="1" bestFit="1" customWidth="1"/>
    <col min="10953" max="10953" width="9.28515625" style="1" bestFit="1" customWidth="1"/>
    <col min="10954" max="10954" width="10.28515625" style="1" bestFit="1" customWidth="1"/>
    <col min="10955" max="10956" width="9.28515625" style="1" bestFit="1" customWidth="1"/>
    <col min="10957" max="10958" width="10.28515625" style="1" bestFit="1" customWidth="1"/>
    <col min="10959" max="10963" width="9.28515625" style="1" bestFit="1" customWidth="1"/>
    <col min="10964" max="10964" width="10.42578125" style="1" bestFit="1" customWidth="1"/>
    <col min="10965" max="10965" width="9.140625" style="1"/>
    <col min="10966" max="10966" width="24.85546875" style="1" customWidth="1"/>
    <col min="10967" max="10967" width="9.140625" style="1"/>
    <col min="10968" max="10980" width="9.28515625" style="1" bestFit="1" customWidth="1"/>
    <col min="10981" max="10981" width="10.28515625" style="1" bestFit="1" customWidth="1"/>
    <col min="10982" max="10982" width="9.5703125" style="1" bestFit="1" customWidth="1"/>
    <col min="10983" max="10983" width="18.5703125" style="1" customWidth="1"/>
    <col min="10984" max="10985" width="9.140625" style="1"/>
    <col min="10986" max="10988" width="12.140625" style="1" bestFit="1" customWidth="1"/>
    <col min="10989" max="10997" width="10.28515625" style="1" bestFit="1" customWidth="1"/>
    <col min="10998" max="10998" width="11.28515625" style="1" bestFit="1" customWidth="1"/>
    <col min="10999" max="10999" width="9.140625" style="1"/>
    <col min="11000" max="11000" width="19" style="1" customWidth="1"/>
    <col min="11001" max="11017" width="9.140625" style="1"/>
    <col min="11018" max="11028" width="11.28515625" style="1" bestFit="1" customWidth="1"/>
    <col min="11029" max="11029" width="10.28515625" style="1" bestFit="1" customWidth="1"/>
    <col min="11030" max="11030" width="12.85546875" style="1" bestFit="1" customWidth="1"/>
    <col min="11031" max="11153" width="9.140625" style="1"/>
    <col min="11154" max="11154" width="11" style="1" bestFit="1" customWidth="1"/>
    <col min="11155" max="11155" width="28.140625" style="1" bestFit="1" customWidth="1"/>
    <col min="11156" max="11156" width="14" style="1" bestFit="1" customWidth="1"/>
    <col min="11157" max="11157" width="9.140625" style="1"/>
    <col min="11158" max="11158" width="13.85546875" style="1" bestFit="1" customWidth="1"/>
    <col min="11159" max="11159" width="9.140625" style="1"/>
    <col min="11160" max="11160" width="14" style="1" customWidth="1"/>
    <col min="11161" max="11161" width="9.140625" style="1"/>
    <col min="11162" max="11162" width="12.85546875" style="1" bestFit="1" customWidth="1"/>
    <col min="11163" max="11163" width="10" style="1" customWidth="1"/>
    <col min="11164" max="11164" width="14" style="1" bestFit="1" customWidth="1"/>
    <col min="11165" max="11165" width="9.85546875" style="1" bestFit="1" customWidth="1"/>
    <col min="11166" max="11166" width="13.5703125" style="1" bestFit="1" customWidth="1"/>
    <col min="11167" max="11167" width="9.85546875" style="1" bestFit="1" customWidth="1"/>
    <col min="11168" max="11168" width="12.85546875" style="1" bestFit="1" customWidth="1"/>
    <col min="11169" max="11180" width="10.5703125" style="1" customWidth="1"/>
    <col min="11181" max="11181" width="11.140625" style="1" bestFit="1" customWidth="1"/>
    <col min="11182" max="11182" width="2.7109375" style="1" customWidth="1"/>
    <col min="11183" max="11183" width="9.85546875" style="1" bestFit="1" customWidth="1"/>
    <col min="11184" max="11185" width="9.140625" style="1"/>
    <col min="11186" max="11186" width="24" style="1" customWidth="1"/>
    <col min="11187" max="11189" width="9.140625" style="1"/>
    <col min="11190" max="11190" width="9" style="1" bestFit="1" customWidth="1"/>
    <col min="11191" max="11200" width="9.28515625" style="1" bestFit="1" customWidth="1"/>
    <col min="11201" max="11201" width="10.28515625" style="1" bestFit="1" customWidth="1"/>
    <col min="11202" max="11202" width="11.28515625" style="1" bestFit="1" customWidth="1"/>
    <col min="11203" max="11203" width="11.7109375" style="1" customWidth="1"/>
    <col min="11204" max="11204" width="9.140625" style="1"/>
    <col min="11205" max="11205" width="22.28515625" style="1" customWidth="1"/>
    <col min="11206" max="11206" width="9.140625" style="1"/>
    <col min="11207" max="11207" width="9.28515625" style="1" bestFit="1" customWidth="1"/>
    <col min="11208" max="11208" width="9.42578125" style="1" bestFit="1" customWidth="1"/>
    <col min="11209" max="11209" width="9.28515625" style="1" bestFit="1" customWidth="1"/>
    <col min="11210" max="11210" width="10.28515625" style="1" bestFit="1" customWidth="1"/>
    <col min="11211" max="11212" width="9.28515625" style="1" bestFit="1" customWidth="1"/>
    <col min="11213" max="11214" width="10.28515625" style="1" bestFit="1" customWidth="1"/>
    <col min="11215" max="11219" width="9.28515625" style="1" bestFit="1" customWidth="1"/>
    <col min="11220" max="11220" width="10.42578125" style="1" bestFit="1" customWidth="1"/>
    <col min="11221" max="11221" width="9.140625" style="1"/>
    <col min="11222" max="11222" width="24.85546875" style="1" customWidth="1"/>
    <col min="11223" max="11223" width="9.140625" style="1"/>
    <col min="11224" max="11236" width="9.28515625" style="1" bestFit="1" customWidth="1"/>
    <col min="11237" max="11237" width="10.28515625" style="1" bestFit="1" customWidth="1"/>
    <col min="11238" max="11238" width="9.5703125" style="1" bestFit="1" customWidth="1"/>
    <col min="11239" max="11239" width="18.5703125" style="1" customWidth="1"/>
    <col min="11240" max="11241" width="9.140625" style="1"/>
    <col min="11242" max="11244" width="12.140625" style="1" bestFit="1" customWidth="1"/>
    <col min="11245" max="11253" width="10.28515625" style="1" bestFit="1" customWidth="1"/>
    <col min="11254" max="11254" width="11.28515625" style="1" bestFit="1" customWidth="1"/>
    <col min="11255" max="11255" width="9.140625" style="1"/>
    <col min="11256" max="11256" width="19" style="1" customWidth="1"/>
    <col min="11257" max="11273" width="9.140625" style="1"/>
    <col min="11274" max="11284" width="11.28515625" style="1" bestFit="1" customWidth="1"/>
    <col min="11285" max="11285" width="10.28515625" style="1" bestFit="1" customWidth="1"/>
    <col min="11286" max="11286" width="12.85546875" style="1" bestFit="1" customWidth="1"/>
    <col min="11287" max="11409" width="9.140625" style="1"/>
    <col min="11410" max="11410" width="11" style="1" bestFit="1" customWidth="1"/>
    <col min="11411" max="11411" width="28.140625" style="1" bestFit="1" customWidth="1"/>
    <col min="11412" max="11412" width="14" style="1" bestFit="1" customWidth="1"/>
    <col min="11413" max="11413" width="9.140625" style="1"/>
    <col min="11414" max="11414" width="13.85546875" style="1" bestFit="1" customWidth="1"/>
    <col min="11415" max="11415" width="9.140625" style="1"/>
    <col min="11416" max="11416" width="14" style="1" customWidth="1"/>
    <col min="11417" max="11417" width="9.140625" style="1"/>
    <col min="11418" max="11418" width="12.85546875" style="1" bestFit="1" customWidth="1"/>
    <col min="11419" max="11419" width="10" style="1" customWidth="1"/>
    <col min="11420" max="11420" width="14" style="1" bestFit="1" customWidth="1"/>
    <col min="11421" max="11421" width="9.85546875" style="1" bestFit="1" customWidth="1"/>
    <col min="11422" max="11422" width="13.5703125" style="1" bestFit="1" customWidth="1"/>
    <col min="11423" max="11423" width="9.85546875" style="1" bestFit="1" customWidth="1"/>
    <col min="11424" max="11424" width="12.85546875" style="1" bestFit="1" customWidth="1"/>
    <col min="11425" max="11436" width="10.5703125" style="1" customWidth="1"/>
    <col min="11437" max="11437" width="11.140625" style="1" bestFit="1" customWidth="1"/>
    <col min="11438" max="11438" width="2.7109375" style="1" customWidth="1"/>
    <col min="11439" max="11439" width="9.85546875" style="1" bestFit="1" customWidth="1"/>
    <col min="11440" max="11441" width="9.140625" style="1"/>
    <col min="11442" max="11442" width="24" style="1" customWidth="1"/>
    <col min="11443" max="11445" width="9.140625" style="1"/>
    <col min="11446" max="11446" width="9" style="1" bestFit="1" customWidth="1"/>
    <col min="11447" max="11456" width="9.28515625" style="1" bestFit="1" customWidth="1"/>
    <col min="11457" max="11457" width="10.28515625" style="1" bestFit="1" customWidth="1"/>
    <col min="11458" max="11458" width="11.28515625" style="1" bestFit="1" customWidth="1"/>
    <col min="11459" max="11459" width="11.7109375" style="1" customWidth="1"/>
    <col min="11460" max="11460" width="9.140625" style="1"/>
    <col min="11461" max="11461" width="22.28515625" style="1" customWidth="1"/>
    <col min="11462" max="11462" width="9.140625" style="1"/>
    <col min="11463" max="11463" width="9.28515625" style="1" bestFit="1" customWidth="1"/>
    <col min="11464" max="11464" width="9.42578125" style="1" bestFit="1" customWidth="1"/>
    <col min="11465" max="11465" width="9.28515625" style="1" bestFit="1" customWidth="1"/>
    <col min="11466" max="11466" width="10.28515625" style="1" bestFit="1" customWidth="1"/>
    <col min="11467" max="11468" width="9.28515625" style="1" bestFit="1" customWidth="1"/>
    <col min="11469" max="11470" width="10.28515625" style="1" bestFit="1" customWidth="1"/>
    <col min="11471" max="11475" width="9.28515625" style="1" bestFit="1" customWidth="1"/>
    <col min="11476" max="11476" width="10.42578125" style="1" bestFit="1" customWidth="1"/>
    <col min="11477" max="11477" width="9.140625" style="1"/>
    <col min="11478" max="11478" width="24.85546875" style="1" customWidth="1"/>
    <col min="11479" max="11479" width="9.140625" style="1"/>
    <col min="11480" max="11492" width="9.28515625" style="1" bestFit="1" customWidth="1"/>
    <col min="11493" max="11493" width="10.28515625" style="1" bestFit="1" customWidth="1"/>
    <col min="11494" max="11494" width="9.5703125" style="1" bestFit="1" customWidth="1"/>
    <col min="11495" max="11495" width="18.5703125" style="1" customWidth="1"/>
    <col min="11496" max="11497" width="9.140625" style="1"/>
    <col min="11498" max="11500" width="12.140625" style="1" bestFit="1" customWidth="1"/>
    <col min="11501" max="11509" width="10.28515625" style="1" bestFit="1" customWidth="1"/>
    <col min="11510" max="11510" width="11.28515625" style="1" bestFit="1" customWidth="1"/>
    <col min="11511" max="11511" width="9.140625" style="1"/>
    <col min="11512" max="11512" width="19" style="1" customWidth="1"/>
    <col min="11513" max="11529" width="9.140625" style="1"/>
    <col min="11530" max="11540" width="11.28515625" style="1" bestFit="1" customWidth="1"/>
    <col min="11541" max="11541" width="10.28515625" style="1" bestFit="1" customWidth="1"/>
    <col min="11542" max="11542" width="12.85546875" style="1" bestFit="1" customWidth="1"/>
    <col min="11543" max="11665" width="9.140625" style="1"/>
    <col min="11666" max="11666" width="11" style="1" bestFit="1" customWidth="1"/>
    <col min="11667" max="11667" width="28.140625" style="1" bestFit="1" customWidth="1"/>
    <col min="11668" max="11668" width="14" style="1" bestFit="1" customWidth="1"/>
    <col min="11669" max="11669" width="9.140625" style="1"/>
    <col min="11670" max="11670" width="13.85546875" style="1" bestFit="1" customWidth="1"/>
    <col min="11671" max="11671" width="9.140625" style="1"/>
    <col min="11672" max="11672" width="14" style="1" customWidth="1"/>
    <col min="11673" max="11673" width="9.140625" style="1"/>
    <col min="11674" max="11674" width="12.85546875" style="1" bestFit="1" customWidth="1"/>
    <col min="11675" max="11675" width="10" style="1" customWidth="1"/>
    <col min="11676" max="11676" width="14" style="1" bestFit="1" customWidth="1"/>
    <col min="11677" max="11677" width="9.85546875" style="1" bestFit="1" customWidth="1"/>
    <col min="11678" max="11678" width="13.5703125" style="1" bestFit="1" customWidth="1"/>
    <col min="11679" max="11679" width="9.85546875" style="1" bestFit="1" customWidth="1"/>
    <col min="11680" max="11680" width="12.85546875" style="1" bestFit="1" customWidth="1"/>
    <col min="11681" max="11692" width="10.5703125" style="1" customWidth="1"/>
    <col min="11693" max="11693" width="11.140625" style="1" bestFit="1" customWidth="1"/>
    <col min="11694" max="11694" width="2.7109375" style="1" customWidth="1"/>
    <col min="11695" max="11695" width="9.85546875" style="1" bestFit="1" customWidth="1"/>
    <col min="11696" max="11697" width="9.140625" style="1"/>
    <col min="11698" max="11698" width="24" style="1" customWidth="1"/>
    <col min="11699" max="11701" width="9.140625" style="1"/>
    <col min="11702" max="11702" width="9" style="1" bestFit="1" customWidth="1"/>
    <col min="11703" max="11712" width="9.28515625" style="1" bestFit="1" customWidth="1"/>
    <col min="11713" max="11713" width="10.28515625" style="1" bestFit="1" customWidth="1"/>
    <col min="11714" max="11714" width="11.28515625" style="1" bestFit="1" customWidth="1"/>
    <col min="11715" max="11715" width="11.7109375" style="1" customWidth="1"/>
    <col min="11716" max="11716" width="9.140625" style="1"/>
    <col min="11717" max="11717" width="22.28515625" style="1" customWidth="1"/>
    <col min="11718" max="11718" width="9.140625" style="1"/>
    <col min="11719" max="11719" width="9.28515625" style="1" bestFit="1" customWidth="1"/>
    <col min="11720" max="11720" width="9.42578125" style="1" bestFit="1" customWidth="1"/>
    <col min="11721" max="11721" width="9.28515625" style="1" bestFit="1" customWidth="1"/>
    <col min="11722" max="11722" width="10.28515625" style="1" bestFit="1" customWidth="1"/>
    <col min="11723" max="11724" width="9.28515625" style="1" bestFit="1" customWidth="1"/>
    <col min="11725" max="11726" width="10.28515625" style="1" bestFit="1" customWidth="1"/>
    <col min="11727" max="11731" width="9.28515625" style="1" bestFit="1" customWidth="1"/>
    <col min="11732" max="11732" width="10.42578125" style="1" bestFit="1" customWidth="1"/>
    <col min="11733" max="11733" width="9.140625" style="1"/>
    <col min="11734" max="11734" width="24.85546875" style="1" customWidth="1"/>
    <col min="11735" max="11735" width="9.140625" style="1"/>
    <col min="11736" max="11748" width="9.28515625" style="1" bestFit="1" customWidth="1"/>
    <col min="11749" max="11749" width="10.28515625" style="1" bestFit="1" customWidth="1"/>
    <col min="11750" max="11750" width="9.5703125" style="1" bestFit="1" customWidth="1"/>
    <col min="11751" max="11751" width="18.5703125" style="1" customWidth="1"/>
    <col min="11752" max="11753" width="9.140625" style="1"/>
    <col min="11754" max="11756" width="12.140625" style="1" bestFit="1" customWidth="1"/>
    <col min="11757" max="11765" width="10.28515625" style="1" bestFit="1" customWidth="1"/>
    <col min="11766" max="11766" width="11.28515625" style="1" bestFit="1" customWidth="1"/>
    <col min="11767" max="11767" width="9.140625" style="1"/>
    <col min="11768" max="11768" width="19" style="1" customWidth="1"/>
    <col min="11769" max="11785" width="9.140625" style="1"/>
    <col min="11786" max="11796" width="11.28515625" style="1" bestFit="1" customWidth="1"/>
    <col min="11797" max="11797" width="10.28515625" style="1" bestFit="1" customWidth="1"/>
    <col min="11798" max="11798" width="12.85546875" style="1" bestFit="1" customWidth="1"/>
    <col min="11799" max="11921" width="9.140625" style="1"/>
    <col min="11922" max="11922" width="11" style="1" bestFit="1" customWidth="1"/>
    <col min="11923" max="11923" width="28.140625" style="1" bestFit="1" customWidth="1"/>
    <col min="11924" max="11924" width="14" style="1" bestFit="1" customWidth="1"/>
    <col min="11925" max="11925" width="9.140625" style="1"/>
    <col min="11926" max="11926" width="13.85546875" style="1" bestFit="1" customWidth="1"/>
    <col min="11927" max="11927" width="9.140625" style="1"/>
    <col min="11928" max="11928" width="14" style="1" customWidth="1"/>
    <col min="11929" max="11929" width="9.140625" style="1"/>
    <col min="11930" max="11930" width="12.85546875" style="1" bestFit="1" customWidth="1"/>
    <col min="11931" max="11931" width="10" style="1" customWidth="1"/>
    <col min="11932" max="11932" width="14" style="1" bestFit="1" customWidth="1"/>
    <col min="11933" max="11933" width="9.85546875" style="1" bestFit="1" customWidth="1"/>
    <col min="11934" max="11934" width="13.5703125" style="1" bestFit="1" customWidth="1"/>
    <col min="11935" max="11935" width="9.85546875" style="1" bestFit="1" customWidth="1"/>
    <col min="11936" max="11936" width="12.85546875" style="1" bestFit="1" customWidth="1"/>
    <col min="11937" max="11948" width="10.5703125" style="1" customWidth="1"/>
    <col min="11949" max="11949" width="11.140625" style="1" bestFit="1" customWidth="1"/>
    <col min="11950" max="11950" width="2.7109375" style="1" customWidth="1"/>
    <col min="11951" max="11951" width="9.85546875" style="1" bestFit="1" customWidth="1"/>
    <col min="11952" max="11953" width="9.140625" style="1"/>
    <col min="11954" max="11954" width="24" style="1" customWidth="1"/>
    <col min="11955" max="11957" width="9.140625" style="1"/>
    <col min="11958" max="11958" width="9" style="1" bestFit="1" customWidth="1"/>
    <col min="11959" max="11968" width="9.28515625" style="1" bestFit="1" customWidth="1"/>
    <col min="11969" max="11969" width="10.28515625" style="1" bestFit="1" customWidth="1"/>
    <col min="11970" max="11970" width="11.28515625" style="1" bestFit="1" customWidth="1"/>
    <col min="11971" max="11971" width="11.7109375" style="1" customWidth="1"/>
    <col min="11972" max="11972" width="9.140625" style="1"/>
    <col min="11973" max="11973" width="22.28515625" style="1" customWidth="1"/>
    <col min="11974" max="11974" width="9.140625" style="1"/>
    <col min="11975" max="11975" width="9.28515625" style="1" bestFit="1" customWidth="1"/>
    <col min="11976" max="11976" width="9.42578125" style="1" bestFit="1" customWidth="1"/>
    <col min="11977" max="11977" width="9.28515625" style="1" bestFit="1" customWidth="1"/>
    <col min="11978" max="11978" width="10.28515625" style="1" bestFit="1" customWidth="1"/>
    <col min="11979" max="11980" width="9.28515625" style="1" bestFit="1" customWidth="1"/>
    <col min="11981" max="11982" width="10.28515625" style="1" bestFit="1" customWidth="1"/>
    <col min="11983" max="11987" width="9.28515625" style="1" bestFit="1" customWidth="1"/>
    <col min="11988" max="11988" width="10.42578125" style="1" bestFit="1" customWidth="1"/>
    <col min="11989" max="11989" width="9.140625" style="1"/>
    <col min="11990" max="11990" width="24.85546875" style="1" customWidth="1"/>
    <col min="11991" max="11991" width="9.140625" style="1"/>
    <col min="11992" max="12004" width="9.28515625" style="1" bestFit="1" customWidth="1"/>
    <col min="12005" max="12005" width="10.28515625" style="1" bestFit="1" customWidth="1"/>
    <col min="12006" max="12006" width="9.5703125" style="1" bestFit="1" customWidth="1"/>
    <col min="12007" max="12007" width="18.5703125" style="1" customWidth="1"/>
    <col min="12008" max="12009" width="9.140625" style="1"/>
    <col min="12010" max="12012" width="12.140625" style="1" bestFit="1" customWidth="1"/>
    <col min="12013" max="12021" width="10.28515625" style="1" bestFit="1" customWidth="1"/>
    <col min="12022" max="12022" width="11.28515625" style="1" bestFit="1" customWidth="1"/>
    <col min="12023" max="12023" width="9.140625" style="1"/>
    <col min="12024" max="12024" width="19" style="1" customWidth="1"/>
    <col min="12025" max="12041" width="9.140625" style="1"/>
    <col min="12042" max="12052" width="11.28515625" style="1" bestFit="1" customWidth="1"/>
    <col min="12053" max="12053" width="10.28515625" style="1" bestFit="1" customWidth="1"/>
    <col min="12054" max="12054" width="12.85546875" style="1" bestFit="1" customWidth="1"/>
    <col min="12055" max="12177" width="9.140625" style="1"/>
    <col min="12178" max="12178" width="11" style="1" bestFit="1" customWidth="1"/>
    <col min="12179" max="12179" width="28.140625" style="1" bestFit="1" customWidth="1"/>
    <col min="12180" max="12180" width="14" style="1" bestFit="1" customWidth="1"/>
    <col min="12181" max="12181" width="9.140625" style="1"/>
    <col min="12182" max="12182" width="13.85546875" style="1" bestFit="1" customWidth="1"/>
    <col min="12183" max="12183" width="9.140625" style="1"/>
    <col min="12184" max="12184" width="14" style="1" customWidth="1"/>
    <col min="12185" max="12185" width="9.140625" style="1"/>
    <col min="12186" max="12186" width="12.85546875" style="1" bestFit="1" customWidth="1"/>
    <col min="12187" max="12187" width="10" style="1" customWidth="1"/>
    <col min="12188" max="12188" width="14" style="1" bestFit="1" customWidth="1"/>
    <col min="12189" max="12189" width="9.85546875" style="1" bestFit="1" customWidth="1"/>
    <col min="12190" max="12190" width="13.5703125" style="1" bestFit="1" customWidth="1"/>
    <col min="12191" max="12191" width="9.85546875" style="1" bestFit="1" customWidth="1"/>
    <col min="12192" max="12192" width="12.85546875" style="1" bestFit="1" customWidth="1"/>
    <col min="12193" max="12204" width="10.5703125" style="1" customWidth="1"/>
    <col min="12205" max="12205" width="11.140625" style="1" bestFit="1" customWidth="1"/>
    <col min="12206" max="12206" width="2.7109375" style="1" customWidth="1"/>
    <col min="12207" max="12207" width="9.85546875" style="1" bestFit="1" customWidth="1"/>
    <col min="12208" max="12209" width="9.140625" style="1"/>
    <col min="12210" max="12210" width="24" style="1" customWidth="1"/>
    <col min="12211" max="12213" width="9.140625" style="1"/>
    <col min="12214" max="12214" width="9" style="1" bestFit="1" customWidth="1"/>
    <col min="12215" max="12224" width="9.28515625" style="1" bestFit="1" customWidth="1"/>
    <col min="12225" max="12225" width="10.28515625" style="1" bestFit="1" customWidth="1"/>
    <col min="12226" max="12226" width="11.28515625" style="1" bestFit="1" customWidth="1"/>
    <col min="12227" max="12227" width="11.7109375" style="1" customWidth="1"/>
    <col min="12228" max="12228" width="9.140625" style="1"/>
    <col min="12229" max="12229" width="22.28515625" style="1" customWidth="1"/>
    <col min="12230" max="12230" width="9.140625" style="1"/>
    <col min="12231" max="12231" width="9.28515625" style="1" bestFit="1" customWidth="1"/>
    <col min="12232" max="12232" width="9.42578125" style="1" bestFit="1" customWidth="1"/>
    <col min="12233" max="12233" width="9.28515625" style="1" bestFit="1" customWidth="1"/>
    <col min="12234" max="12234" width="10.28515625" style="1" bestFit="1" customWidth="1"/>
    <col min="12235" max="12236" width="9.28515625" style="1" bestFit="1" customWidth="1"/>
    <col min="12237" max="12238" width="10.28515625" style="1" bestFit="1" customWidth="1"/>
    <col min="12239" max="12243" width="9.28515625" style="1" bestFit="1" customWidth="1"/>
    <col min="12244" max="12244" width="10.42578125" style="1" bestFit="1" customWidth="1"/>
    <col min="12245" max="12245" width="9.140625" style="1"/>
    <col min="12246" max="12246" width="24.85546875" style="1" customWidth="1"/>
    <col min="12247" max="12247" width="9.140625" style="1"/>
    <col min="12248" max="12260" width="9.28515625" style="1" bestFit="1" customWidth="1"/>
    <col min="12261" max="12261" width="10.28515625" style="1" bestFit="1" customWidth="1"/>
    <col min="12262" max="12262" width="9.5703125" style="1" bestFit="1" customWidth="1"/>
    <col min="12263" max="12263" width="18.5703125" style="1" customWidth="1"/>
    <col min="12264" max="12265" width="9.140625" style="1"/>
    <col min="12266" max="12268" width="12.140625" style="1" bestFit="1" customWidth="1"/>
    <col min="12269" max="12277" width="10.28515625" style="1" bestFit="1" customWidth="1"/>
    <col min="12278" max="12278" width="11.28515625" style="1" bestFit="1" customWidth="1"/>
    <col min="12279" max="12279" width="9.140625" style="1"/>
    <col min="12280" max="12280" width="19" style="1" customWidth="1"/>
    <col min="12281" max="12297" width="9.140625" style="1"/>
    <col min="12298" max="12308" width="11.28515625" style="1" bestFit="1" customWidth="1"/>
    <col min="12309" max="12309" width="10.28515625" style="1" bestFit="1" customWidth="1"/>
    <col min="12310" max="12310" width="12.85546875" style="1" bestFit="1" customWidth="1"/>
    <col min="12311" max="12433" width="9.140625" style="1"/>
    <col min="12434" max="12434" width="11" style="1" bestFit="1" customWidth="1"/>
    <col min="12435" max="12435" width="28.140625" style="1" bestFit="1" customWidth="1"/>
    <col min="12436" max="12436" width="14" style="1" bestFit="1" customWidth="1"/>
    <col min="12437" max="12437" width="9.140625" style="1"/>
    <col min="12438" max="12438" width="13.85546875" style="1" bestFit="1" customWidth="1"/>
    <col min="12439" max="12439" width="9.140625" style="1"/>
    <col min="12440" max="12440" width="14" style="1" customWidth="1"/>
    <col min="12441" max="12441" width="9.140625" style="1"/>
    <col min="12442" max="12442" width="12.85546875" style="1" bestFit="1" customWidth="1"/>
    <col min="12443" max="12443" width="10" style="1" customWidth="1"/>
    <col min="12444" max="12444" width="14" style="1" bestFit="1" customWidth="1"/>
    <col min="12445" max="12445" width="9.85546875" style="1" bestFit="1" customWidth="1"/>
    <col min="12446" max="12446" width="13.5703125" style="1" bestFit="1" customWidth="1"/>
    <col min="12447" max="12447" width="9.85546875" style="1" bestFit="1" customWidth="1"/>
    <col min="12448" max="12448" width="12.85546875" style="1" bestFit="1" customWidth="1"/>
    <col min="12449" max="12460" width="10.5703125" style="1" customWidth="1"/>
    <col min="12461" max="12461" width="11.140625" style="1" bestFit="1" customWidth="1"/>
    <col min="12462" max="12462" width="2.7109375" style="1" customWidth="1"/>
    <col min="12463" max="12463" width="9.85546875" style="1" bestFit="1" customWidth="1"/>
    <col min="12464" max="12465" width="9.140625" style="1"/>
    <col min="12466" max="12466" width="24" style="1" customWidth="1"/>
    <col min="12467" max="12469" width="9.140625" style="1"/>
    <col min="12470" max="12470" width="9" style="1" bestFit="1" customWidth="1"/>
    <col min="12471" max="12480" width="9.28515625" style="1" bestFit="1" customWidth="1"/>
    <col min="12481" max="12481" width="10.28515625" style="1" bestFit="1" customWidth="1"/>
    <col min="12482" max="12482" width="11.28515625" style="1" bestFit="1" customWidth="1"/>
    <col min="12483" max="12483" width="11.7109375" style="1" customWidth="1"/>
    <col min="12484" max="12484" width="9.140625" style="1"/>
    <col min="12485" max="12485" width="22.28515625" style="1" customWidth="1"/>
    <col min="12486" max="12486" width="9.140625" style="1"/>
    <col min="12487" max="12487" width="9.28515625" style="1" bestFit="1" customWidth="1"/>
    <col min="12488" max="12488" width="9.42578125" style="1" bestFit="1" customWidth="1"/>
    <col min="12489" max="12489" width="9.28515625" style="1" bestFit="1" customWidth="1"/>
    <col min="12490" max="12490" width="10.28515625" style="1" bestFit="1" customWidth="1"/>
    <col min="12491" max="12492" width="9.28515625" style="1" bestFit="1" customWidth="1"/>
    <col min="12493" max="12494" width="10.28515625" style="1" bestFit="1" customWidth="1"/>
    <col min="12495" max="12499" width="9.28515625" style="1" bestFit="1" customWidth="1"/>
    <col min="12500" max="12500" width="10.42578125" style="1" bestFit="1" customWidth="1"/>
    <col min="12501" max="12501" width="9.140625" style="1"/>
    <col min="12502" max="12502" width="24.85546875" style="1" customWidth="1"/>
    <col min="12503" max="12503" width="9.140625" style="1"/>
    <col min="12504" max="12516" width="9.28515625" style="1" bestFit="1" customWidth="1"/>
    <col min="12517" max="12517" width="10.28515625" style="1" bestFit="1" customWidth="1"/>
    <col min="12518" max="12518" width="9.5703125" style="1" bestFit="1" customWidth="1"/>
    <col min="12519" max="12519" width="18.5703125" style="1" customWidth="1"/>
    <col min="12520" max="12521" width="9.140625" style="1"/>
    <col min="12522" max="12524" width="12.140625" style="1" bestFit="1" customWidth="1"/>
    <col min="12525" max="12533" width="10.28515625" style="1" bestFit="1" customWidth="1"/>
    <col min="12534" max="12534" width="11.28515625" style="1" bestFit="1" customWidth="1"/>
    <col min="12535" max="12535" width="9.140625" style="1"/>
    <col min="12536" max="12536" width="19" style="1" customWidth="1"/>
    <col min="12537" max="12553" width="9.140625" style="1"/>
    <col min="12554" max="12564" width="11.28515625" style="1" bestFit="1" customWidth="1"/>
    <col min="12565" max="12565" width="10.28515625" style="1" bestFit="1" customWidth="1"/>
    <col min="12566" max="12566" width="12.85546875" style="1" bestFit="1" customWidth="1"/>
    <col min="12567" max="12689" width="9.140625" style="1"/>
    <col min="12690" max="12690" width="11" style="1" bestFit="1" customWidth="1"/>
    <col min="12691" max="12691" width="28.140625" style="1" bestFit="1" customWidth="1"/>
    <col min="12692" max="12692" width="14" style="1" bestFit="1" customWidth="1"/>
    <col min="12693" max="12693" width="9.140625" style="1"/>
    <col min="12694" max="12694" width="13.85546875" style="1" bestFit="1" customWidth="1"/>
    <col min="12695" max="12695" width="9.140625" style="1"/>
    <col min="12696" max="12696" width="14" style="1" customWidth="1"/>
    <col min="12697" max="12697" width="9.140625" style="1"/>
    <col min="12698" max="12698" width="12.85546875" style="1" bestFit="1" customWidth="1"/>
    <col min="12699" max="12699" width="10" style="1" customWidth="1"/>
    <col min="12700" max="12700" width="14" style="1" bestFit="1" customWidth="1"/>
    <col min="12701" max="12701" width="9.85546875" style="1" bestFit="1" customWidth="1"/>
    <col min="12702" max="12702" width="13.5703125" style="1" bestFit="1" customWidth="1"/>
    <col min="12703" max="12703" width="9.85546875" style="1" bestFit="1" customWidth="1"/>
    <col min="12704" max="12704" width="12.85546875" style="1" bestFit="1" customWidth="1"/>
    <col min="12705" max="12716" width="10.5703125" style="1" customWidth="1"/>
    <col min="12717" max="12717" width="11.140625" style="1" bestFit="1" customWidth="1"/>
    <col min="12718" max="12718" width="2.7109375" style="1" customWidth="1"/>
    <col min="12719" max="12719" width="9.85546875" style="1" bestFit="1" customWidth="1"/>
    <col min="12720" max="12721" width="9.140625" style="1"/>
    <col min="12722" max="12722" width="24" style="1" customWidth="1"/>
    <col min="12723" max="12725" width="9.140625" style="1"/>
    <col min="12726" max="12726" width="9" style="1" bestFit="1" customWidth="1"/>
    <col min="12727" max="12736" width="9.28515625" style="1" bestFit="1" customWidth="1"/>
    <col min="12737" max="12737" width="10.28515625" style="1" bestFit="1" customWidth="1"/>
    <col min="12738" max="12738" width="11.28515625" style="1" bestFit="1" customWidth="1"/>
    <col min="12739" max="12739" width="11.7109375" style="1" customWidth="1"/>
    <col min="12740" max="12740" width="9.140625" style="1"/>
    <col min="12741" max="12741" width="22.28515625" style="1" customWidth="1"/>
    <col min="12742" max="12742" width="9.140625" style="1"/>
    <col min="12743" max="12743" width="9.28515625" style="1" bestFit="1" customWidth="1"/>
    <col min="12744" max="12744" width="9.42578125" style="1" bestFit="1" customWidth="1"/>
    <col min="12745" max="12745" width="9.28515625" style="1" bestFit="1" customWidth="1"/>
    <col min="12746" max="12746" width="10.28515625" style="1" bestFit="1" customWidth="1"/>
    <col min="12747" max="12748" width="9.28515625" style="1" bestFit="1" customWidth="1"/>
    <col min="12749" max="12750" width="10.28515625" style="1" bestFit="1" customWidth="1"/>
    <col min="12751" max="12755" width="9.28515625" style="1" bestFit="1" customWidth="1"/>
    <col min="12756" max="12756" width="10.42578125" style="1" bestFit="1" customWidth="1"/>
    <col min="12757" max="12757" width="9.140625" style="1"/>
    <col min="12758" max="12758" width="24.85546875" style="1" customWidth="1"/>
    <col min="12759" max="12759" width="9.140625" style="1"/>
    <col min="12760" max="12772" width="9.28515625" style="1" bestFit="1" customWidth="1"/>
    <col min="12773" max="12773" width="10.28515625" style="1" bestFit="1" customWidth="1"/>
    <col min="12774" max="12774" width="9.5703125" style="1" bestFit="1" customWidth="1"/>
    <col min="12775" max="12775" width="18.5703125" style="1" customWidth="1"/>
    <col min="12776" max="12777" width="9.140625" style="1"/>
    <col min="12778" max="12780" width="12.140625" style="1" bestFit="1" customWidth="1"/>
    <col min="12781" max="12789" width="10.28515625" style="1" bestFit="1" customWidth="1"/>
    <col min="12790" max="12790" width="11.28515625" style="1" bestFit="1" customWidth="1"/>
    <col min="12791" max="12791" width="9.140625" style="1"/>
    <col min="12792" max="12792" width="19" style="1" customWidth="1"/>
    <col min="12793" max="12809" width="9.140625" style="1"/>
    <col min="12810" max="12820" width="11.28515625" style="1" bestFit="1" customWidth="1"/>
    <col min="12821" max="12821" width="10.28515625" style="1" bestFit="1" customWidth="1"/>
    <col min="12822" max="12822" width="12.85546875" style="1" bestFit="1" customWidth="1"/>
    <col min="12823" max="12945" width="9.140625" style="1"/>
    <col min="12946" max="12946" width="11" style="1" bestFit="1" customWidth="1"/>
    <col min="12947" max="12947" width="28.140625" style="1" bestFit="1" customWidth="1"/>
    <col min="12948" max="12948" width="14" style="1" bestFit="1" customWidth="1"/>
    <col min="12949" max="12949" width="9.140625" style="1"/>
    <col min="12950" max="12950" width="13.85546875" style="1" bestFit="1" customWidth="1"/>
    <col min="12951" max="12951" width="9.140625" style="1"/>
    <col min="12952" max="12952" width="14" style="1" customWidth="1"/>
    <col min="12953" max="12953" width="9.140625" style="1"/>
    <col min="12954" max="12954" width="12.85546875" style="1" bestFit="1" customWidth="1"/>
    <col min="12955" max="12955" width="10" style="1" customWidth="1"/>
    <col min="12956" max="12956" width="14" style="1" bestFit="1" customWidth="1"/>
    <col min="12957" max="12957" width="9.85546875" style="1" bestFit="1" customWidth="1"/>
    <col min="12958" max="12958" width="13.5703125" style="1" bestFit="1" customWidth="1"/>
    <col min="12959" max="12959" width="9.85546875" style="1" bestFit="1" customWidth="1"/>
    <col min="12960" max="12960" width="12.85546875" style="1" bestFit="1" customWidth="1"/>
    <col min="12961" max="12972" width="10.5703125" style="1" customWidth="1"/>
    <col min="12973" max="12973" width="11.140625" style="1" bestFit="1" customWidth="1"/>
    <col min="12974" max="12974" width="2.7109375" style="1" customWidth="1"/>
    <col min="12975" max="12975" width="9.85546875" style="1" bestFit="1" customWidth="1"/>
    <col min="12976" max="12977" width="9.140625" style="1"/>
    <col min="12978" max="12978" width="24" style="1" customWidth="1"/>
    <col min="12979" max="12981" width="9.140625" style="1"/>
    <col min="12982" max="12982" width="9" style="1" bestFit="1" customWidth="1"/>
    <col min="12983" max="12992" width="9.28515625" style="1" bestFit="1" customWidth="1"/>
    <col min="12993" max="12993" width="10.28515625" style="1" bestFit="1" customWidth="1"/>
    <col min="12994" max="12994" width="11.28515625" style="1" bestFit="1" customWidth="1"/>
    <col min="12995" max="12995" width="11.7109375" style="1" customWidth="1"/>
    <col min="12996" max="12996" width="9.140625" style="1"/>
    <col min="12997" max="12997" width="22.28515625" style="1" customWidth="1"/>
    <col min="12998" max="12998" width="9.140625" style="1"/>
    <col min="12999" max="12999" width="9.28515625" style="1" bestFit="1" customWidth="1"/>
    <col min="13000" max="13000" width="9.42578125" style="1" bestFit="1" customWidth="1"/>
    <col min="13001" max="13001" width="9.28515625" style="1" bestFit="1" customWidth="1"/>
    <col min="13002" max="13002" width="10.28515625" style="1" bestFit="1" customWidth="1"/>
    <col min="13003" max="13004" width="9.28515625" style="1" bestFit="1" customWidth="1"/>
    <col min="13005" max="13006" width="10.28515625" style="1" bestFit="1" customWidth="1"/>
    <col min="13007" max="13011" width="9.28515625" style="1" bestFit="1" customWidth="1"/>
    <col min="13012" max="13012" width="10.42578125" style="1" bestFit="1" customWidth="1"/>
    <col min="13013" max="13013" width="9.140625" style="1"/>
    <col min="13014" max="13014" width="24.85546875" style="1" customWidth="1"/>
    <col min="13015" max="13015" width="9.140625" style="1"/>
    <col min="13016" max="13028" width="9.28515625" style="1" bestFit="1" customWidth="1"/>
    <col min="13029" max="13029" width="10.28515625" style="1" bestFit="1" customWidth="1"/>
    <col min="13030" max="13030" width="9.5703125" style="1" bestFit="1" customWidth="1"/>
    <col min="13031" max="13031" width="18.5703125" style="1" customWidth="1"/>
    <col min="13032" max="13033" width="9.140625" style="1"/>
    <col min="13034" max="13036" width="12.140625" style="1" bestFit="1" customWidth="1"/>
    <col min="13037" max="13045" width="10.28515625" style="1" bestFit="1" customWidth="1"/>
    <col min="13046" max="13046" width="11.28515625" style="1" bestFit="1" customWidth="1"/>
    <col min="13047" max="13047" width="9.140625" style="1"/>
    <col min="13048" max="13048" width="19" style="1" customWidth="1"/>
    <col min="13049" max="13065" width="9.140625" style="1"/>
    <col min="13066" max="13076" width="11.28515625" style="1" bestFit="1" customWidth="1"/>
    <col min="13077" max="13077" width="10.28515625" style="1" bestFit="1" customWidth="1"/>
    <col min="13078" max="13078" width="12.85546875" style="1" bestFit="1" customWidth="1"/>
    <col min="13079" max="13201" width="9.140625" style="1"/>
    <col min="13202" max="13202" width="11" style="1" bestFit="1" customWidth="1"/>
    <col min="13203" max="13203" width="28.140625" style="1" bestFit="1" customWidth="1"/>
    <col min="13204" max="13204" width="14" style="1" bestFit="1" customWidth="1"/>
    <col min="13205" max="13205" width="9.140625" style="1"/>
    <col min="13206" max="13206" width="13.85546875" style="1" bestFit="1" customWidth="1"/>
    <col min="13207" max="13207" width="9.140625" style="1"/>
    <col min="13208" max="13208" width="14" style="1" customWidth="1"/>
    <col min="13209" max="13209" width="9.140625" style="1"/>
    <col min="13210" max="13210" width="12.85546875" style="1" bestFit="1" customWidth="1"/>
    <col min="13211" max="13211" width="10" style="1" customWidth="1"/>
    <col min="13212" max="13212" width="14" style="1" bestFit="1" customWidth="1"/>
    <col min="13213" max="13213" width="9.85546875" style="1" bestFit="1" customWidth="1"/>
    <col min="13214" max="13214" width="13.5703125" style="1" bestFit="1" customWidth="1"/>
    <col min="13215" max="13215" width="9.85546875" style="1" bestFit="1" customWidth="1"/>
    <col min="13216" max="13216" width="12.85546875" style="1" bestFit="1" customWidth="1"/>
    <col min="13217" max="13228" width="10.5703125" style="1" customWidth="1"/>
    <col min="13229" max="13229" width="11.140625" style="1" bestFit="1" customWidth="1"/>
    <col min="13230" max="13230" width="2.7109375" style="1" customWidth="1"/>
    <col min="13231" max="13231" width="9.85546875" style="1" bestFit="1" customWidth="1"/>
    <col min="13232" max="13233" width="9.140625" style="1"/>
    <col min="13234" max="13234" width="24" style="1" customWidth="1"/>
    <col min="13235" max="13237" width="9.140625" style="1"/>
    <col min="13238" max="13238" width="9" style="1" bestFit="1" customWidth="1"/>
    <col min="13239" max="13248" width="9.28515625" style="1" bestFit="1" customWidth="1"/>
    <col min="13249" max="13249" width="10.28515625" style="1" bestFit="1" customWidth="1"/>
    <col min="13250" max="13250" width="11.28515625" style="1" bestFit="1" customWidth="1"/>
    <col min="13251" max="13251" width="11.7109375" style="1" customWidth="1"/>
    <col min="13252" max="13252" width="9.140625" style="1"/>
    <col min="13253" max="13253" width="22.28515625" style="1" customWidth="1"/>
    <col min="13254" max="13254" width="9.140625" style="1"/>
    <col min="13255" max="13255" width="9.28515625" style="1" bestFit="1" customWidth="1"/>
    <col min="13256" max="13256" width="9.42578125" style="1" bestFit="1" customWidth="1"/>
    <col min="13257" max="13257" width="9.28515625" style="1" bestFit="1" customWidth="1"/>
    <col min="13258" max="13258" width="10.28515625" style="1" bestFit="1" customWidth="1"/>
    <col min="13259" max="13260" width="9.28515625" style="1" bestFit="1" customWidth="1"/>
    <col min="13261" max="13262" width="10.28515625" style="1" bestFit="1" customWidth="1"/>
    <col min="13263" max="13267" width="9.28515625" style="1" bestFit="1" customWidth="1"/>
    <col min="13268" max="13268" width="10.42578125" style="1" bestFit="1" customWidth="1"/>
    <col min="13269" max="13269" width="9.140625" style="1"/>
    <col min="13270" max="13270" width="24.85546875" style="1" customWidth="1"/>
    <col min="13271" max="13271" width="9.140625" style="1"/>
    <col min="13272" max="13284" width="9.28515625" style="1" bestFit="1" customWidth="1"/>
    <col min="13285" max="13285" width="10.28515625" style="1" bestFit="1" customWidth="1"/>
    <col min="13286" max="13286" width="9.5703125" style="1" bestFit="1" customWidth="1"/>
    <col min="13287" max="13287" width="18.5703125" style="1" customWidth="1"/>
    <col min="13288" max="13289" width="9.140625" style="1"/>
    <col min="13290" max="13292" width="12.140625" style="1" bestFit="1" customWidth="1"/>
    <col min="13293" max="13301" width="10.28515625" style="1" bestFit="1" customWidth="1"/>
    <col min="13302" max="13302" width="11.28515625" style="1" bestFit="1" customWidth="1"/>
    <col min="13303" max="13303" width="9.140625" style="1"/>
    <col min="13304" max="13304" width="19" style="1" customWidth="1"/>
    <col min="13305" max="13321" width="9.140625" style="1"/>
    <col min="13322" max="13332" width="11.28515625" style="1" bestFit="1" customWidth="1"/>
    <col min="13333" max="13333" width="10.28515625" style="1" bestFit="1" customWidth="1"/>
    <col min="13334" max="13334" width="12.85546875" style="1" bestFit="1" customWidth="1"/>
    <col min="13335" max="13457" width="9.140625" style="1"/>
    <col min="13458" max="13458" width="11" style="1" bestFit="1" customWidth="1"/>
    <col min="13459" max="13459" width="28.140625" style="1" bestFit="1" customWidth="1"/>
    <col min="13460" max="13460" width="14" style="1" bestFit="1" customWidth="1"/>
    <col min="13461" max="13461" width="9.140625" style="1"/>
    <col min="13462" max="13462" width="13.85546875" style="1" bestFit="1" customWidth="1"/>
    <col min="13463" max="13463" width="9.140625" style="1"/>
    <col min="13464" max="13464" width="14" style="1" customWidth="1"/>
    <col min="13465" max="13465" width="9.140625" style="1"/>
    <col min="13466" max="13466" width="12.85546875" style="1" bestFit="1" customWidth="1"/>
    <col min="13467" max="13467" width="10" style="1" customWidth="1"/>
    <col min="13468" max="13468" width="14" style="1" bestFit="1" customWidth="1"/>
    <col min="13469" max="13469" width="9.85546875" style="1" bestFit="1" customWidth="1"/>
    <col min="13470" max="13470" width="13.5703125" style="1" bestFit="1" customWidth="1"/>
    <col min="13471" max="13471" width="9.85546875" style="1" bestFit="1" customWidth="1"/>
    <col min="13472" max="13472" width="12.85546875" style="1" bestFit="1" customWidth="1"/>
    <col min="13473" max="13484" width="10.5703125" style="1" customWidth="1"/>
    <col min="13485" max="13485" width="11.140625" style="1" bestFit="1" customWidth="1"/>
    <col min="13486" max="13486" width="2.7109375" style="1" customWidth="1"/>
    <col min="13487" max="13487" width="9.85546875" style="1" bestFit="1" customWidth="1"/>
    <col min="13488" max="13489" width="9.140625" style="1"/>
    <col min="13490" max="13490" width="24" style="1" customWidth="1"/>
    <col min="13491" max="13493" width="9.140625" style="1"/>
    <col min="13494" max="13494" width="9" style="1" bestFit="1" customWidth="1"/>
    <col min="13495" max="13504" width="9.28515625" style="1" bestFit="1" customWidth="1"/>
    <col min="13505" max="13505" width="10.28515625" style="1" bestFit="1" customWidth="1"/>
    <col min="13506" max="13506" width="11.28515625" style="1" bestFit="1" customWidth="1"/>
    <col min="13507" max="13507" width="11.7109375" style="1" customWidth="1"/>
    <col min="13508" max="13508" width="9.140625" style="1"/>
    <col min="13509" max="13509" width="22.28515625" style="1" customWidth="1"/>
    <col min="13510" max="13510" width="9.140625" style="1"/>
    <col min="13511" max="13511" width="9.28515625" style="1" bestFit="1" customWidth="1"/>
    <col min="13512" max="13512" width="9.42578125" style="1" bestFit="1" customWidth="1"/>
    <col min="13513" max="13513" width="9.28515625" style="1" bestFit="1" customWidth="1"/>
    <col min="13514" max="13514" width="10.28515625" style="1" bestFit="1" customWidth="1"/>
    <col min="13515" max="13516" width="9.28515625" style="1" bestFit="1" customWidth="1"/>
    <col min="13517" max="13518" width="10.28515625" style="1" bestFit="1" customWidth="1"/>
    <col min="13519" max="13523" width="9.28515625" style="1" bestFit="1" customWidth="1"/>
    <col min="13524" max="13524" width="10.42578125" style="1" bestFit="1" customWidth="1"/>
    <col min="13525" max="13525" width="9.140625" style="1"/>
    <col min="13526" max="13526" width="24.85546875" style="1" customWidth="1"/>
    <col min="13527" max="13527" width="9.140625" style="1"/>
    <col min="13528" max="13540" width="9.28515625" style="1" bestFit="1" customWidth="1"/>
    <col min="13541" max="13541" width="10.28515625" style="1" bestFit="1" customWidth="1"/>
    <col min="13542" max="13542" width="9.5703125" style="1" bestFit="1" customWidth="1"/>
    <col min="13543" max="13543" width="18.5703125" style="1" customWidth="1"/>
    <col min="13544" max="13545" width="9.140625" style="1"/>
    <col min="13546" max="13548" width="12.140625" style="1" bestFit="1" customWidth="1"/>
    <col min="13549" max="13557" width="10.28515625" style="1" bestFit="1" customWidth="1"/>
    <col min="13558" max="13558" width="11.28515625" style="1" bestFit="1" customWidth="1"/>
    <col min="13559" max="13559" width="9.140625" style="1"/>
    <col min="13560" max="13560" width="19" style="1" customWidth="1"/>
    <col min="13561" max="13577" width="9.140625" style="1"/>
    <col min="13578" max="13588" width="11.28515625" style="1" bestFit="1" customWidth="1"/>
    <col min="13589" max="13589" width="10.28515625" style="1" bestFit="1" customWidth="1"/>
    <col min="13590" max="13590" width="12.85546875" style="1" bestFit="1" customWidth="1"/>
    <col min="13591" max="13713" width="9.140625" style="1"/>
    <col min="13714" max="13714" width="11" style="1" bestFit="1" customWidth="1"/>
    <col min="13715" max="13715" width="28.140625" style="1" bestFit="1" customWidth="1"/>
    <col min="13716" max="13716" width="14" style="1" bestFit="1" customWidth="1"/>
    <col min="13717" max="13717" width="9.140625" style="1"/>
    <col min="13718" max="13718" width="13.85546875" style="1" bestFit="1" customWidth="1"/>
    <col min="13719" max="13719" width="9.140625" style="1"/>
    <col min="13720" max="13720" width="14" style="1" customWidth="1"/>
    <col min="13721" max="13721" width="9.140625" style="1"/>
    <col min="13722" max="13722" width="12.85546875" style="1" bestFit="1" customWidth="1"/>
    <col min="13723" max="13723" width="10" style="1" customWidth="1"/>
    <col min="13724" max="13724" width="14" style="1" bestFit="1" customWidth="1"/>
    <col min="13725" max="13725" width="9.85546875" style="1" bestFit="1" customWidth="1"/>
    <col min="13726" max="13726" width="13.5703125" style="1" bestFit="1" customWidth="1"/>
    <col min="13727" max="13727" width="9.85546875" style="1" bestFit="1" customWidth="1"/>
    <col min="13728" max="13728" width="12.85546875" style="1" bestFit="1" customWidth="1"/>
    <col min="13729" max="13740" width="10.5703125" style="1" customWidth="1"/>
    <col min="13741" max="13741" width="11.140625" style="1" bestFit="1" customWidth="1"/>
    <col min="13742" max="13742" width="2.7109375" style="1" customWidth="1"/>
    <col min="13743" max="13743" width="9.85546875" style="1" bestFit="1" customWidth="1"/>
    <col min="13744" max="13745" width="9.140625" style="1"/>
    <col min="13746" max="13746" width="24" style="1" customWidth="1"/>
    <col min="13747" max="13749" width="9.140625" style="1"/>
    <col min="13750" max="13750" width="9" style="1" bestFit="1" customWidth="1"/>
    <col min="13751" max="13760" width="9.28515625" style="1" bestFit="1" customWidth="1"/>
    <col min="13761" max="13761" width="10.28515625" style="1" bestFit="1" customWidth="1"/>
    <col min="13762" max="13762" width="11.28515625" style="1" bestFit="1" customWidth="1"/>
    <col min="13763" max="13763" width="11.7109375" style="1" customWidth="1"/>
    <col min="13764" max="13764" width="9.140625" style="1"/>
    <col min="13765" max="13765" width="22.28515625" style="1" customWidth="1"/>
    <col min="13766" max="13766" width="9.140625" style="1"/>
    <col min="13767" max="13767" width="9.28515625" style="1" bestFit="1" customWidth="1"/>
    <col min="13768" max="13768" width="9.42578125" style="1" bestFit="1" customWidth="1"/>
    <col min="13769" max="13769" width="9.28515625" style="1" bestFit="1" customWidth="1"/>
    <col min="13770" max="13770" width="10.28515625" style="1" bestFit="1" customWidth="1"/>
    <col min="13771" max="13772" width="9.28515625" style="1" bestFit="1" customWidth="1"/>
    <col min="13773" max="13774" width="10.28515625" style="1" bestFit="1" customWidth="1"/>
    <col min="13775" max="13779" width="9.28515625" style="1" bestFit="1" customWidth="1"/>
    <col min="13780" max="13780" width="10.42578125" style="1" bestFit="1" customWidth="1"/>
    <col min="13781" max="13781" width="9.140625" style="1"/>
    <col min="13782" max="13782" width="24.85546875" style="1" customWidth="1"/>
    <col min="13783" max="13783" width="9.140625" style="1"/>
    <col min="13784" max="13796" width="9.28515625" style="1" bestFit="1" customWidth="1"/>
    <col min="13797" max="13797" width="10.28515625" style="1" bestFit="1" customWidth="1"/>
    <col min="13798" max="13798" width="9.5703125" style="1" bestFit="1" customWidth="1"/>
    <col min="13799" max="13799" width="18.5703125" style="1" customWidth="1"/>
    <col min="13800" max="13801" width="9.140625" style="1"/>
    <col min="13802" max="13804" width="12.140625" style="1" bestFit="1" customWidth="1"/>
    <col min="13805" max="13813" width="10.28515625" style="1" bestFit="1" customWidth="1"/>
    <col min="13814" max="13814" width="11.28515625" style="1" bestFit="1" customWidth="1"/>
    <col min="13815" max="13815" width="9.140625" style="1"/>
    <col min="13816" max="13816" width="19" style="1" customWidth="1"/>
    <col min="13817" max="13833" width="9.140625" style="1"/>
    <col min="13834" max="13844" width="11.28515625" style="1" bestFit="1" customWidth="1"/>
    <col min="13845" max="13845" width="10.28515625" style="1" bestFit="1" customWidth="1"/>
    <col min="13846" max="13846" width="12.85546875" style="1" bestFit="1" customWidth="1"/>
    <col min="13847" max="13969" width="9.140625" style="1"/>
    <col min="13970" max="13970" width="11" style="1" bestFit="1" customWidth="1"/>
    <col min="13971" max="13971" width="28.140625" style="1" bestFit="1" customWidth="1"/>
    <col min="13972" max="13972" width="14" style="1" bestFit="1" customWidth="1"/>
    <col min="13973" max="13973" width="9.140625" style="1"/>
    <col min="13974" max="13974" width="13.85546875" style="1" bestFit="1" customWidth="1"/>
    <col min="13975" max="13975" width="9.140625" style="1"/>
    <col min="13976" max="13976" width="14" style="1" customWidth="1"/>
    <col min="13977" max="13977" width="9.140625" style="1"/>
    <col min="13978" max="13978" width="12.85546875" style="1" bestFit="1" customWidth="1"/>
    <col min="13979" max="13979" width="10" style="1" customWidth="1"/>
    <col min="13980" max="13980" width="14" style="1" bestFit="1" customWidth="1"/>
    <col min="13981" max="13981" width="9.85546875" style="1" bestFit="1" customWidth="1"/>
    <col min="13982" max="13982" width="13.5703125" style="1" bestFit="1" customWidth="1"/>
    <col min="13983" max="13983" width="9.85546875" style="1" bestFit="1" customWidth="1"/>
    <col min="13984" max="13984" width="12.85546875" style="1" bestFit="1" customWidth="1"/>
    <col min="13985" max="13996" width="10.5703125" style="1" customWidth="1"/>
    <col min="13997" max="13997" width="11.140625" style="1" bestFit="1" customWidth="1"/>
    <col min="13998" max="13998" width="2.7109375" style="1" customWidth="1"/>
    <col min="13999" max="13999" width="9.85546875" style="1" bestFit="1" customWidth="1"/>
    <col min="14000" max="14001" width="9.140625" style="1"/>
    <col min="14002" max="14002" width="24" style="1" customWidth="1"/>
    <col min="14003" max="14005" width="9.140625" style="1"/>
    <col min="14006" max="14006" width="9" style="1" bestFit="1" customWidth="1"/>
    <col min="14007" max="14016" width="9.28515625" style="1" bestFit="1" customWidth="1"/>
    <col min="14017" max="14017" width="10.28515625" style="1" bestFit="1" customWidth="1"/>
    <col min="14018" max="14018" width="11.28515625" style="1" bestFit="1" customWidth="1"/>
    <col min="14019" max="14019" width="11.7109375" style="1" customWidth="1"/>
    <col min="14020" max="14020" width="9.140625" style="1"/>
    <col min="14021" max="14021" width="22.28515625" style="1" customWidth="1"/>
    <col min="14022" max="14022" width="9.140625" style="1"/>
    <col min="14023" max="14023" width="9.28515625" style="1" bestFit="1" customWidth="1"/>
    <col min="14024" max="14024" width="9.42578125" style="1" bestFit="1" customWidth="1"/>
    <col min="14025" max="14025" width="9.28515625" style="1" bestFit="1" customWidth="1"/>
    <col min="14026" max="14026" width="10.28515625" style="1" bestFit="1" customWidth="1"/>
    <col min="14027" max="14028" width="9.28515625" style="1" bestFit="1" customWidth="1"/>
    <col min="14029" max="14030" width="10.28515625" style="1" bestFit="1" customWidth="1"/>
    <col min="14031" max="14035" width="9.28515625" style="1" bestFit="1" customWidth="1"/>
    <col min="14036" max="14036" width="10.42578125" style="1" bestFit="1" customWidth="1"/>
    <col min="14037" max="14037" width="9.140625" style="1"/>
    <col min="14038" max="14038" width="24.85546875" style="1" customWidth="1"/>
    <col min="14039" max="14039" width="9.140625" style="1"/>
    <col min="14040" max="14052" width="9.28515625" style="1" bestFit="1" customWidth="1"/>
    <col min="14053" max="14053" width="10.28515625" style="1" bestFit="1" customWidth="1"/>
    <col min="14054" max="14054" width="9.5703125" style="1" bestFit="1" customWidth="1"/>
    <col min="14055" max="14055" width="18.5703125" style="1" customWidth="1"/>
    <col min="14056" max="14057" width="9.140625" style="1"/>
    <col min="14058" max="14060" width="12.140625" style="1" bestFit="1" customWidth="1"/>
    <col min="14061" max="14069" width="10.28515625" style="1" bestFit="1" customWidth="1"/>
    <col min="14070" max="14070" width="11.28515625" style="1" bestFit="1" customWidth="1"/>
    <col min="14071" max="14071" width="9.140625" style="1"/>
    <col min="14072" max="14072" width="19" style="1" customWidth="1"/>
    <col min="14073" max="14089" width="9.140625" style="1"/>
    <col min="14090" max="14100" width="11.28515625" style="1" bestFit="1" customWidth="1"/>
    <col min="14101" max="14101" width="10.28515625" style="1" bestFit="1" customWidth="1"/>
    <col min="14102" max="14102" width="12.85546875" style="1" bestFit="1" customWidth="1"/>
    <col min="14103" max="14225" width="9.140625" style="1"/>
    <col min="14226" max="14226" width="11" style="1" bestFit="1" customWidth="1"/>
    <col min="14227" max="14227" width="28.140625" style="1" bestFit="1" customWidth="1"/>
    <col min="14228" max="14228" width="14" style="1" bestFit="1" customWidth="1"/>
    <col min="14229" max="14229" width="9.140625" style="1"/>
    <col min="14230" max="14230" width="13.85546875" style="1" bestFit="1" customWidth="1"/>
    <col min="14231" max="14231" width="9.140625" style="1"/>
    <col min="14232" max="14232" width="14" style="1" customWidth="1"/>
    <col min="14233" max="14233" width="9.140625" style="1"/>
    <col min="14234" max="14234" width="12.85546875" style="1" bestFit="1" customWidth="1"/>
    <col min="14235" max="14235" width="10" style="1" customWidth="1"/>
    <col min="14236" max="14236" width="14" style="1" bestFit="1" customWidth="1"/>
    <col min="14237" max="14237" width="9.85546875" style="1" bestFit="1" customWidth="1"/>
    <col min="14238" max="14238" width="13.5703125" style="1" bestFit="1" customWidth="1"/>
    <col min="14239" max="14239" width="9.85546875" style="1" bestFit="1" customWidth="1"/>
    <col min="14240" max="14240" width="12.85546875" style="1" bestFit="1" customWidth="1"/>
    <col min="14241" max="14252" width="10.5703125" style="1" customWidth="1"/>
    <col min="14253" max="14253" width="11.140625" style="1" bestFit="1" customWidth="1"/>
    <col min="14254" max="14254" width="2.7109375" style="1" customWidth="1"/>
    <col min="14255" max="14255" width="9.85546875" style="1" bestFit="1" customWidth="1"/>
    <col min="14256" max="14257" width="9.140625" style="1"/>
    <col min="14258" max="14258" width="24" style="1" customWidth="1"/>
    <col min="14259" max="14261" width="9.140625" style="1"/>
    <col min="14262" max="14262" width="9" style="1" bestFit="1" customWidth="1"/>
    <col min="14263" max="14272" width="9.28515625" style="1" bestFit="1" customWidth="1"/>
    <col min="14273" max="14273" width="10.28515625" style="1" bestFit="1" customWidth="1"/>
    <col min="14274" max="14274" width="11.28515625" style="1" bestFit="1" customWidth="1"/>
    <col min="14275" max="14275" width="11.7109375" style="1" customWidth="1"/>
    <col min="14276" max="14276" width="9.140625" style="1"/>
    <col min="14277" max="14277" width="22.28515625" style="1" customWidth="1"/>
    <col min="14278" max="14278" width="9.140625" style="1"/>
    <col min="14279" max="14279" width="9.28515625" style="1" bestFit="1" customWidth="1"/>
    <col min="14280" max="14280" width="9.42578125" style="1" bestFit="1" customWidth="1"/>
    <col min="14281" max="14281" width="9.28515625" style="1" bestFit="1" customWidth="1"/>
    <col min="14282" max="14282" width="10.28515625" style="1" bestFit="1" customWidth="1"/>
    <col min="14283" max="14284" width="9.28515625" style="1" bestFit="1" customWidth="1"/>
    <col min="14285" max="14286" width="10.28515625" style="1" bestFit="1" customWidth="1"/>
    <col min="14287" max="14291" width="9.28515625" style="1" bestFit="1" customWidth="1"/>
    <col min="14292" max="14292" width="10.42578125" style="1" bestFit="1" customWidth="1"/>
    <col min="14293" max="14293" width="9.140625" style="1"/>
    <col min="14294" max="14294" width="24.85546875" style="1" customWidth="1"/>
    <col min="14295" max="14295" width="9.140625" style="1"/>
    <col min="14296" max="14308" width="9.28515625" style="1" bestFit="1" customWidth="1"/>
    <col min="14309" max="14309" width="10.28515625" style="1" bestFit="1" customWidth="1"/>
    <col min="14310" max="14310" width="9.5703125" style="1" bestFit="1" customWidth="1"/>
    <col min="14311" max="14311" width="18.5703125" style="1" customWidth="1"/>
    <col min="14312" max="14313" width="9.140625" style="1"/>
    <col min="14314" max="14316" width="12.140625" style="1" bestFit="1" customWidth="1"/>
    <col min="14317" max="14325" width="10.28515625" style="1" bestFit="1" customWidth="1"/>
    <col min="14326" max="14326" width="11.28515625" style="1" bestFit="1" customWidth="1"/>
    <col min="14327" max="14327" width="9.140625" style="1"/>
    <col min="14328" max="14328" width="19" style="1" customWidth="1"/>
    <col min="14329" max="14345" width="9.140625" style="1"/>
    <col min="14346" max="14356" width="11.28515625" style="1" bestFit="1" customWidth="1"/>
    <col min="14357" max="14357" width="10.28515625" style="1" bestFit="1" customWidth="1"/>
    <col min="14358" max="14358" width="12.85546875" style="1" bestFit="1" customWidth="1"/>
    <col min="14359" max="14481" width="9.140625" style="1"/>
    <col min="14482" max="14482" width="11" style="1" bestFit="1" customWidth="1"/>
    <col min="14483" max="14483" width="28.140625" style="1" bestFit="1" customWidth="1"/>
    <col min="14484" max="14484" width="14" style="1" bestFit="1" customWidth="1"/>
    <col min="14485" max="14485" width="9.140625" style="1"/>
    <col min="14486" max="14486" width="13.85546875" style="1" bestFit="1" customWidth="1"/>
    <col min="14487" max="14487" width="9.140625" style="1"/>
    <col min="14488" max="14488" width="14" style="1" customWidth="1"/>
    <col min="14489" max="14489" width="9.140625" style="1"/>
    <col min="14490" max="14490" width="12.85546875" style="1" bestFit="1" customWidth="1"/>
    <col min="14491" max="14491" width="10" style="1" customWidth="1"/>
    <col min="14492" max="14492" width="14" style="1" bestFit="1" customWidth="1"/>
    <col min="14493" max="14493" width="9.85546875" style="1" bestFit="1" customWidth="1"/>
    <col min="14494" max="14494" width="13.5703125" style="1" bestFit="1" customWidth="1"/>
    <col min="14495" max="14495" width="9.85546875" style="1" bestFit="1" customWidth="1"/>
    <col min="14496" max="14496" width="12.85546875" style="1" bestFit="1" customWidth="1"/>
    <col min="14497" max="14508" width="10.5703125" style="1" customWidth="1"/>
    <col min="14509" max="14509" width="11.140625" style="1" bestFit="1" customWidth="1"/>
    <col min="14510" max="14510" width="2.7109375" style="1" customWidth="1"/>
    <col min="14511" max="14511" width="9.85546875" style="1" bestFit="1" customWidth="1"/>
    <col min="14512" max="14513" width="9.140625" style="1"/>
    <col min="14514" max="14514" width="24" style="1" customWidth="1"/>
    <col min="14515" max="14517" width="9.140625" style="1"/>
    <col min="14518" max="14518" width="9" style="1" bestFit="1" customWidth="1"/>
    <col min="14519" max="14528" width="9.28515625" style="1" bestFit="1" customWidth="1"/>
    <col min="14529" max="14529" width="10.28515625" style="1" bestFit="1" customWidth="1"/>
    <col min="14530" max="14530" width="11.28515625" style="1" bestFit="1" customWidth="1"/>
    <col min="14531" max="14531" width="11.7109375" style="1" customWidth="1"/>
    <col min="14532" max="14532" width="9.140625" style="1"/>
    <col min="14533" max="14533" width="22.28515625" style="1" customWidth="1"/>
    <col min="14534" max="14534" width="9.140625" style="1"/>
    <col min="14535" max="14535" width="9.28515625" style="1" bestFit="1" customWidth="1"/>
    <col min="14536" max="14536" width="9.42578125" style="1" bestFit="1" customWidth="1"/>
    <col min="14537" max="14537" width="9.28515625" style="1" bestFit="1" customWidth="1"/>
    <col min="14538" max="14538" width="10.28515625" style="1" bestFit="1" customWidth="1"/>
    <col min="14539" max="14540" width="9.28515625" style="1" bestFit="1" customWidth="1"/>
    <col min="14541" max="14542" width="10.28515625" style="1" bestFit="1" customWidth="1"/>
    <col min="14543" max="14547" width="9.28515625" style="1" bestFit="1" customWidth="1"/>
    <col min="14548" max="14548" width="10.42578125" style="1" bestFit="1" customWidth="1"/>
    <col min="14549" max="14549" width="9.140625" style="1"/>
    <col min="14550" max="14550" width="24.85546875" style="1" customWidth="1"/>
    <col min="14551" max="14551" width="9.140625" style="1"/>
    <col min="14552" max="14564" width="9.28515625" style="1" bestFit="1" customWidth="1"/>
    <col min="14565" max="14565" width="10.28515625" style="1" bestFit="1" customWidth="1"/>
    <col min="14566" max="14566" width="9.5703125" style="1" bestFit="1" customWidth="1"/>
    <col min="14567" max="14567" width="18.5703125" style="1" customWidth="1"/>
    <col min="14568" max="14569" width="9.140625" style="1"/>
    <col min="14570" max="14572" width="12.140625" style="1" bestFit="1" customWidth="1"/>
    <col min="14573" max="14581" width="10.28515625" style="1" bestFit="1" customWidth="1"/>
    <col min="14582" max="14582" width="11.28515625" style="1" bestFit="1" customWidth="1"/>
    <col min="14583" max="14583" width="9.140625" style="1"/>
    <col min="14584" max="14584" width="19" style="1" customWidth="1"/>
    <col min="14585" max="14601" width="9.140625" style="1"/>
    <col min="14602" max="14612" width="11.28515625" style="1" bestFit="1" customWidth="1"/>
    <col min="14613" max="14613" width="10.28515625" style="1" bestFit="1" customWidth="1"/>
    <col min="14614" max="14614" width="12.85546875" style="1" bestFit="1" customWidth="1"/>
    <col min="14615" max="14737" width="9.140625" style="1"/>
    <col min="14738" max="14738" width="11" style="1" bestFit="1" customWidth="1"/>
    <col min="14739" max="14739" width="28.140625" style="1" bestFit="1" customWidth="1"/>
    <col min="14740" max="14740" width="14" style="1" bestFit="1" customWidth="1"/>
    <col min="14741" max="14741" width="9.140625" style="1"/>
    <col min="14742" max="14742" width="13.85546875" style="1" bestFit="1" customWidth="1"/>
    <col min="14743" max="14743" width="9.140625" style="1"/>
    <col min="14744" max="14744" width="14" style="1" customWidth="1"/>
    <col min="14745" max="14745" width="9.140625" style="1"/>
    <col min="14746" max="14746" width="12.85546875" style="1" bestFit="1" customWidth="1"/>
    <col min="14747" max="14747" width="10" style="1" customWidth="1"/>
    <col min="14748" max="14748" width="14" style="1" bestFit="1" customWidth="1"/>
    <col min="14749" max="14749" width="9.85546875" style="1" bestFit="1" customWidth="1"/>
    <col min="14750" max="14750" width="13.5703125" style="1" bestFit="1" customWidth="1"/>
    <col min="14751" max="14751" width="9.85546875" style="1" bestFit="1" customWidth="1"/>
    <col min="14752" max="14752" width="12.85546875" style="1" bestFit="1" customWidth="1"/>
    <col min="14753" max="14764" width="10.5703125" style="1" customWidth="1"/>
    <col min="14765" max="14765" width="11.140625" style="1" bestFit="1" customWidth="1"/>
    <col min="14766" max="14766" width="2.7109375" style="1" customWidth="1"/>
    <col min="14767" max="14767" width="9.85546875" style="1" bestFit="1" customWidth="1"/>
    <col min="14768" max="14769" width="9.140625" style="1"/>
    <col min="14770" max="14770" width="24" style="1" customWidth="1"/>
    <col min="14771" max="14773" width="9.140625" style="1"/>
    <col min="14774" max="14774" width="9" style="1" bestFit="1" customWidth="1"/>
    <col min="14775" max="14784" width="9.28515625" style="1" bestFit="1" customWidth="1"/>
    <col min="14785" max="14785" width="10.28515625" style="1" bestFit="1" customWidth="1"/>
    <col min="14786" max="14786" width="11.28515625" style="1" bestFit="1" customWidth="1"/>
    <col min="14787" max="14787" width="11.7109375" style="1" customWidth="1"/>
    <col min="14788" max="14788" width="9.140625" style="1"/>
    <col min="14789" max="14789" width="22.28515625" style="1" customWidth="1"/>
    <col min="14790" max="14790" width="9.140625" style="1"/>
    <col min="14791" max="14791" width="9.28515625" style="1" bestFit="1" customWidth="1"/>
    <col min="14792" max="14792" width="9.42578125" style="1" bestFit="1" customWidth="1"/>
    <col min="14793" max="14793" width="9.28515625" style="1" bestFit="1" customWidth="1"/>
    <col min="14794" max="14794" width="10.28515625" style="1" bestFit="1" customWidth="1"/>
    <col min="14795" max="14796" width="9.28515625" style="1" bestFit="1" customWidth="1"/>
    <col min="14797" max="14798" width="10.28515625" style="1" bestFit="1" customWidth="1"/>
    <col min="14799" max="14803" width="9.28515625" style="1" bestFit="1" customWidth="1"/>
    <col min="14804" max="14804" width="10.42578125" style="1" bestFit="1" customWidth="1"/>
    <col min="14805" max="14805" width="9.140625" style="1"/>
    <col min="14806" max="14806" width="24.85546875" style="1" customWidth="1"/>
    <col min="14807" max="14807" width="9.140625" style="1"/>
    <col min="14808" max="14820" width="9.28515625" style="1" bestFit="1" customWidth="1"/>
    <col min="14821" max="14821" width="10.28515625" style="1" bestFit="1" customWidth="1"/>
    <col min="14822" max="14822" width="9.5703125" style="1" bestFit="1" customWidth="1"/>
    <col min="14823" max="14823" width="18.5703125" style="1" customWidth="1"/>
    <col min="14824" max="14825" width="9.140625" style="1"/>
    <col min="14826" max="14828" width="12.140625" style="1" bestFit="1" customWidth="1"/>
    <col min="14829" max="14837" width="10.28515625" style="1" bestFit="1" customWidth="1"/>
    <col min="14838" max="14838" width="11.28515625" style="1" bestFit="1" customWidth="1"/>
    <col min="14839" max="14839" width="9.140625" style="1"/>
    <col min="14840" max="14840" width="19" style="1" customWidth="1"/>
    <col min="14841" max="14857" width="9.140625" style="1"/>
    <col min="14858" max="14868" width="11.28515625" style="1" bestFit="1" customWidth="1"/>
    <col min="14869" max="14869" width="10.28515625" style="1" bestFit="1" customWidth="1"/>
    <col min="14870" max="14870" width="12.85546875" style="1" bestFit="1" customWidth="1"/>
    <col min="14871" max="14993" width="9.140625" style="1"/>
    <col min="14994" max="14994" width="11" style="1" bestFit="1" customWidth="1"/>
    <col min="14995" max="14995" width="28.140625" style="1" bestFit="1" customWidth="1"/>
    <col min="14996" max="14996" width="14" style="1" bestFit="1" customWidth="1"/>
    <col min="14997" max="14997" width="9.140625" style="1"/>
    <col min="14998" max="14998" width="13.85546875" style="1" bestFit="1" customWidth="1"/>
    <col min="14999" max="14999" width="9.140625" style="1"/>
    <col min="15000" max="15000" width="14" style="1" customWidth="1"/>
    <col min="15001" max="15001" width="9.140625" style="1"/>
    <col min="15002" max="15002" width="12.85546875" style="1" bestFit="1" customWidth="1"/>
    <col min="15003" max="15003" width="10" style="1" customWidth="1"/>
    <col min="15004" max="15004" width="14" style="1" bestFit="1" customWidth="1"/>
    <col min="15005" max="15005" width="9.85546875" style="1" bestFit="1" customWidth="1"/>
    <col min="15006" max="15006" width="13.5703125" style="1" bestFit="1" customWidth="1"/>
    <col min="15007" max="15007" width="9.85546875" style="1" bestFit="1" customWidth="1"/>
    <col min="15008" max="15008" width="12.85546875" style="1" bestFit="1" customWidth="1"/>
    <col min="15009" max="15020" width="10.5703125" style="1" customWidth="1"/>
    <col min="15021" max="15021" width="11.140625" style="1" bestFit="1" customWidth="1"/>
    <col min="15022" max="15022" width="2.7109375" style="1" customWidth="1"/>
    <col min="15023" max="15023" width="9.85546875" style="1" bestFit="1" customWidth="1"/>
    <col min="15024" max="15025" width="9.140625" style="1"/>
    <col min="15026" max="15026" width="24" style="1" customWidth="1"/>
    <col min="15027" max="15029" width="9.140625" style="1"/>
    <col min="15030" max="15030" width="9" style="1" bestFit="1" customWidth="1"/>
    <col min="15031" max="15040" width="9.28515625" style="1" bestFit="1" customWidth="1"/>
    <col min="15041" max="15041" width="10.28515625" style="1" bestFit="1" customWidth="1"/>
    <col min="15042" max="15042" width="11.28515625" style="1" bestFit="1" customWidth="1"/>
    <col min="15043" max="15043" width="11.7109375" style="1" customWidth="1"/>
    <col min="15044" max="15044" width="9.140625" style="1"/>
    <col min="15045" max="15045" width="22.28515625" style="1" customWidth="1"/>
    <col min="15046" max="15046" width="9.140625" style="1"/>
    <col min="15047" max="15047" width="9.28515625" style="1" bestFit="1" customWidth="1"/>
    <col min="15048" max="15048" width="9.42578125" style="1" bestFit="1" customWidth="1"/>
    <col min="15049" max="15049" width="9.28515625" style="1" bestFit="1" customWidth="1"/>
    <col min="15050" max="15050" width="10.28515625" style="1" bestFit="1" customWidth="1"/>
    <col min="15051" max="15052" width="9.28515625" style="1" bestFit="1" customWidth="1"/>
    <col min="15053" max="15054" width="10.28515625" style="1" bestFit="1" customWidth="1"/>
    <col min="15055" max="15059" width="9.28515625" style="1" bestFit="1" customWidth="1"/>
    <col min="15060" max="15060" width="10.42578125" style="1" bestFit="1" customWidth="1"/>
    <col min="15061" max="15061" width="9.140625" style="1"/>
    <col min="15062" max="15062" width="24.85546875" style="1" customWidth="1"/>
    <col min="15063" max="15063" width="9.140625" style="1"/>
    <col min="15064" max="15076" width="9.28515625" style="1" bestFit="1" customWidth="1"/>
    <col min="15077" max="15077" width="10.28515625" style="1" bestFit="1" customWidth="1"/>
    <col min="15078" max="15078" width="9.5703125" style="1" bestFit="1" customWidth="1"/>
    <col min="15079" max="15079" width="18.5703125" style="1" customWidth="1"/>
    <col min="15080" max="15081" width="9.140625" style="1"/>
    <col min="15082" max="15084" width="12.140625" style="1" bestFit="1" customWidth="1"/>
    <col min="15085" max="15093" width="10.28515625" style="1" bestFit="1" customWidth="1"/>
    <col min="15094" max="15094" width="11.28515625" style="1" bestFit="1" customWidth="1"/>
    <col min="15095" max="15095" width="9.140625" style="1"/>
    <col min="15096" max="15096" width="19" style="1" customWidth="1"/>
    <col min="15097" max="15113" width="9.140625" style="1"/>
    <col min="15114" max="15124" width="11.28515625" style="1" bestFit="1" customWidth="1"/>
    <col min="15125" max="15125" width="10.28515625" style="1" bestFit="1" customWidth="1"/>
    <col min="15126" max="15126" width="12.85546875" style="1" bestFit="1" customWidth="1"/>
    <col min="15127" max="15249" width="9.140625" style="1"/>
    <col min="15250" max="15250" width="11" style="1" bestFit="1" customWidth="1"/>
    <col min="15251" max="15251" width="28.140625" style="1" bestFit="1" customWidth="1"/>
    <col min="15252" max="15252" width="14" style="1" bestFit="1" customWidth="1"/>
    <col min="15253" max="15253" width="9.140625" style="1"/>
    <col min="15254" max="15254" width="13.85546875" style="1" bestFit="1" customWidth="1"/>
    <col min="15255" max="15255" width="9.140625" style="1"/>
    <col min="15256" max="15256" width="14" style="1" customWidth="1"/>
    <col min="15257" max="15257" width="9.140625" style="1"/>
    <col min="15258" max="15258" width="12.85546875" style="1" bestFit="1" customWidth="1"/>
    <col min="15259" max="15259" width="10" style="1" customWidth="1"/>
    <col min="15260" max="15260" width="14" style="1" bestFit="1" customWidth="1"/>
    <col min="15261" max="15261" width="9.85546875" style="1" bestFit="1" customWidth="1"/>
    <col min="15262" max="15262" width="13.5703125" style="1" bestFit="1" customWidth="1"/>
    <col min="15263" max="15263" width="9.85546875" style="1" bestFit="1" customWidth="1"/>
    <col min="15264" max="15264" width="12.85546875" style="1" bestFit="1" customWidth="1"/>
    <col min="15265" max="15276" width="10.5703125" style="1" customWidth="1"/>
    <col min="15277" max="15277" width="11.140625" style="1" bestFit="1" customWidth="1"/>
    <col min="15278" max="15278" width="2.7109375" style="1" customWidth="1"/>
    <col min="15279" max="15279" width="9.85546875" style="1" bestFit="1" customWidth="1"/>
    <col min="15280" max="15281" width="9.140625" style="1"/>
    <col min="15282" max="15282" width="24" style="1" customWidth="1"/>
    <col min="15283" max="15285" width="9.140625" style="1"/>
    <col min="15286" max="15286" width="9" style="1" bestFit="1" customWidth="1"/>
    <col min="15287" max="15296" width="9.28515625" style="1" bestFit="1" customWidth="1"/>
    <col min="15297" max="15297" width="10.28515625" style="1" bestFit="1" customWidth="1"/>
    <col min="15298" max="15298" width="11.28515625" style="1" bestFit="1" customWidth="1"/>
    <col min="15299" max="15299" width="11.7109375" style="1" customWidth="1"/>
    <col min="15300" max="15300" width="9.140625" style="1"/>
    <col min="15301" max="15301" width="22.28515625" style="1" customWidth="1"/>
    <col min="15302" max="15302" width="9.140625" style="1"/>
    <col min="15303" max="15303" width="9.28515625" style="1" bestFit="1" customWidth="1"/>
    <col min="15304" max="15304" width="9.42578125" style="1" bestFit="1" customWidth="1"/>
    <col min="15305" max="15305" width="9.28515625" style="1" bestFit="1" customWidth="1"/>
    <col min="15306" max="15306" width="10.28515625" style="1" bestFit="1" customWidth="1"/>
    <col min="15307" max="15308" width="9.28515625" style="1" bestFit="1" customWidth="1"/>
    <col min="15309" max="15310" width="10.28515625" style="1" bestFit="1" customWidth="1"/>
    <col min="15311" max="15315" width="9.28515625" style="1" bestFit="1" customWidth="1"/>
    <col min="15316" max="15316" width="10.42578125" style="1" bestFit="1" customWidth="1"/>
    <col min="15317" max="15317" width="9.140625" style="1"/>
    <col min="15318" max="15318" width="24.85546875" style="1" customWidth="1"/>
    <col min="15319" max="15319" width="9.140625" style="1"/>
    <col min="15320" max="15332" width="9.28515625" style="1" bestFit="1" customWidth="1"/>
    <col min="15333" max="15333" width="10.28515625" style="1" bestFit="1" customWidth="1"/>
    <col min="15334" max="15334" width="9.5703125" style="1" bestFit="1" customWidth="1"/>
    <col min="15335" max="15335" width="18.5703125" style="1" customWidth="1"/>
    <col min="15336" max="15337" width="9.140625" style="1"/>
    <col min="15338" max="15340" width="12.140625" style="1" bestFit="1" customWidth="1"/>
    <col min="15341" max="15349" width="10.28515625" style="1" bestFit="1" customWidth="1"/>
    <col min="15350" max="15350" width="11.28515625" style="1" bestFit="1" customWidth="1"/>
    <col min="15351" max="15351" width="9.140625" style="1"/>
    <col min="15352" max="15352" width="19" style="1" customWidth="1"/>
    <col min="15353" max="15369" width="9.140625" style="1"/>
    <col min="15370" max="15380" width="11.28515625" style="1" bestFit="1" customWidth="1"/>
    <col min="15381" max="15381" width="10.28515625" style="1" bestFit="1" customWidth="1"/>
    <col min="15382" max="15382" width="12.85546875" style="1" bestFit="1" customWidth="1"/>
    <col min="15383" max="15505" width="9.140625" style="1"/>
    <col min="15506" max="15506" width="11" style="1" bestFit="1" customWidth="1"/>
    <col min="15507" max="15507" width="28.140625" style="1" bestFit="1" customWidth="1"/>
    <col min="15508" max="15508" width="14" style="1" bestFit="1" customWidth="1"/>
    <col min="15509" max="15509" width="9.140625" style="1"/>
    <col min="15510" max="15510" width="13.85546875" style="1" bestFit="1" customWidth="1"/>
    <col min="15511" max="15511" width="9.140625" style="1"/>
    <col min="15512" max="15512" width="14" style="1" customWidth="1"/>
    <col min="15513" max="15513" width="9.140625" style="1"/>
    <col min="15514" max="15514" width="12.85546875" style="1" bestFit="1" customWidth="1"/>
    <col min="15515" max="15515" width="10" style="1" customWidth="1"/>
    <col min="15516" max="15516" width="14" style="1" bestFit="1" customWidth="1"/>
    <col min="15517" max="15517" width="9.85546875" style="1" bestFit="1" customWidth="1"/>
    <col min="15518" max="15518" width="13.5703125" style="1" bestFit="1" customWidth="1"/>
    <col min="15519" max="15519" width="9.85546875" style="1" bestFit="1" customWidth="1"/>
    <col min="15520" max="15520" width="12.85546875" style="1" bestFit="1" customWidth="1"/>
    <col min="15521" max="15532" width="10.5703125" style="1" customWidth="1"/>
    <col min="15533" max="15533" width="11.140625" style="1" bestFit="1" customWidth="1"/>
    <col min="15534" max="15534" width="2.7109375" style="1" customWidth="1"/>
    <col min="15535" max="15535" width="9.85546875" style="1" bestFit="1" customWidth="1"/>
    <col min="15536" max="15537" width="9.140625" style="1"/>
    <col min="15538" max="15538" width="24" style="1" customWidth="1"/>
    <col min="15539" max="15541" width="9.140625" style="1"/>
    <col min="15542" max="15542" width="9" style="1" bestFit="1" customWidth="1"/>
    <col min="15543" max="15552" width="9.28515625" style="1" bestFit="1" customWidth="1"/>
    <col min="15553" max="15553" width="10.28515625" style="1" bestFit="1" customWidth="1"/>
    <col min="15554" max="15554" width="11.28515625" style="1" bestFit="1" customWidth="1"/>
    <col min="15555" max="15555" width="11.7109375" style="1" customWidth="1"/>
    <col min="15556" max="15556" width="9.140625" style="1"/>
    <col min="15557" max="15557" width="22.28515625" style="1" customWidth="1"/>
    <col min="15558" max="15558" width="9.140625" style="1"/>
    <col min="15559" max="15559" width="9.28515625" style="1" bestFit="1" customWidth="1"/>
    <col min="15560" max="15560" width="9.42578125" style="1" bestFit="1" customWidth="1"/>
    <col min="15561" max="15561" width="9.28515625" style="1" bestFit="1" customWidth="1"/>
    <col min="15562" max="15562" width="10.28515625" style="1" bestFit="1" customWidth="1"/>
    <col min="15563" max="15564" width="9.28515625" style="1" bestFit="1" customWidth="1"/>
    <col min="15565" max="15566" width="10.28515625" style="1" bestFit="1" customWidth="1"/>
    <col min="15567" max="15571" width="9.28515625" style="1" bestFit="1" customWidth="1"/>
    <col min="15572" max="15572" width="10.42578125" style="1" bestFit="1" customWidth="1"/>
    <col min="15573" max="15573" width="9.140625" style="1"/>
    <col min="15574" max="15574" width="24.85546875" style="1" customWidth="1"/>
    <col min="15575" max="15575" width="9.140625" style="1"/>
    <col min="15576" max="15588" width="9.28515625" style="1" bestFit="1" customWidth="1"/>
    <col min="15589" max="15589" width="10.28515625" style="1" bestFit="1" customWidth="1"/>
    <col min="15590" max="15590" width="9.5703125" style="1" bestFit="1" customWidth="1"/>
    <col min="15591" max="15591" width="18.5703125" style="1" customWidth="1"/>
    <col min="15592" max="15593" width="9.140625" style="1"/>
    <col min="15594" max="15596" width="12.140625" style="1" bestFit="1" customWidth="1"/>
    <col min="15597" max="15605" width="10.28515625" style="1" bestFit="1" customWidth="1"/>
    <col min="15606" max="15606" width="11.28515625" style="1" bestFit="1" customWidth="1"/>
    <col min="15607" max="15607" width="9.140625" style="1"/>
    <col min="15608" max="15608" width="19" style="1" customWidth="1"/>
    <col min="15609" max="15625" width="9.140625" style="1"/>
    <col min="15626" max="15636" width="11.28515625" style="1" bestFit="1" customWidth="1"/>
    <col min="15637" max="15637" width="10.28515625" style="1" bestFit="1" customWidth="1"/>
    <col min="15638" max="15638" width="12.85546875" style="1" bestFit="1" customWidth="1"/>
    <col min="15639" max="15761" width="9.140625" style="1"/>
    <col min="15762" max="15762" width="11" style="1" bestFit="1" customWidth="1"/>
    <col min="15763" max="15763" width="28.140625" style="1" bestFit="1" customWidth="1"/>
    <col min="15764" max="15764" width="14" style="1" bestFit="1" customWidth="1"/>
    <col min="15765" max="15765" width="9.140625" style="1"/>
    <col min="15766" max="15766" width="13.85546875" style="1" bestFit="1" customWidth="1"/>
    <col min="15767" max="15767" width="9.140625" style="1"/>
    <col min="15768" max="15768" width="14" style="1" customWidth="1"/>
    <col min="15769" max="15769" width="9.140625" style="1"/>
    <col min="15770" max="15770" width="12.85546875" style="1" bestFit="1" customWidth="1"/>
    <col min="15771" max="15771" width="10" style="1" customWidth="1"/>
    <col min="15772" max="15772" width="14" style="1" bestFit="1" customWidth="1"/>
    <col min="15773" max="15773" width="9.85546875" style="1" bestFit="1" customWidth="1"/>
    <col min="15774" max="15774" width="13.5703125" style="1" bestFit="1" customWidth="1"/>
    <col min="15775" max="15775" width="9.85546875" style="1" bestFit="1" customWidth="1"/>
    <col min="15776" max="15776" width="12.85546875" style="1" bestFit="1" customWidth="1"/>
    <col min="15777" max="15788" width="10.5703125" style="1" customWidth="1"/>
    <col min="15789" max="15789" width="11.140625" style="1" bestFit="1" customWidth="1"/>
    <col min="15790" max="15790" width="2.7109375" style="1" customWidth="1"/>
    <col min="15791" max="15791" width="9.85546875" style="1" bestFit="1" customWidth="1"/>
    <col min="15792" max="15793" width="9.140625" style="1"/>
    <col min="15794" max="15794" width="24" style="1" customWidth="1"/>
    <col min="15795" max="15797" width="9.140625" style="1"/>
    <col min="15798" max="15798" width="9" style="1" bestFit="1" customWidth="1"/>
    <col min="15799" max="15808" width="9.28515625" style="1" bestFit="1" customWidth="1"/>
    <col min="15809" max="15809" width="10.28515625" style="1" bestFit="1" customWidth="1"/>
    <col min="15810" max="15810" width="11.28515625" style="1" bestFit="1" customWidth="1"/>
    <col min="15811" max="15811" width="11.7109375" style="1" customWidth="1"/>
    <col min="15812" max="15812" width="9.140625" style="1"/>
    <col min="15813" max="15813" width="22.28515625" style="1" customWidth="1"/>
    <col min="15814" max="15814" width="9.140625" style="1"/>
    <col min="15815" max="15815" width="9.28515625" style="1" bestFit="1" customWidth="1"/>
    <col min="15816" max="15816" width="9.42578125" style="1" bestFit="1" customWidth="1"/>
    <col min="15817" max="15817" width="9.28515625" style="1" bestFit="1" customWidth="1"/>
    <col min="15818" max="15818" width="10.28515625" style="1" bestFit="1" customWidth="1"/>
    <col min="15819" max="15820" width="9.28515625" style="1" bestFit="1" customWidth="1"/>
    <col min="15821" max="15822" width="10.28515625" style="1" bestFit="1" customWidth="1"/>
    <col min="15823" max="15827" width="9.28515625" style="1" bestFit="1" customWidth="1"/>
    <col min="15828" max="15828" width="10.42578125" style="1" bestFit="1" customWidth="1"/>
    <col min="15829" max="15829" width="9.140625" style="1"/>
    <col min="15830" max="15830" width="24.85546875" style="1" customWidth="1"/>
    <col min="15831" max="15831" width="9.140625" style="1"/>
    <col min="15832" max="15844" width="9.28515625" style="1" bestFit="1" customWidth="1"/>
    <col min="15845" max="15845" width="10.28515625" style="1" bestFit="1" customWidth="1"/>
    <col min="15846" max="15846" width="9.5703125" style="1" bestFit="1" customWidth="1"/>
    <col min="15847" max="15847" width="18.5703125" style="1" customWidth="1"/>
    <col min="15848" max="15849" width="9.140625" style="1"/>
    <col min="15850" max="15852" width="12.140625" style="1" bestFit="1" customWidth="1"/>
    <col min="15853" max="15861" width="10.28515625" style="1" bestFit="1" customWidth="1"/>
    <col min="15862" max="15862" width="11.28515625" style="1" bestFit="1" customWidth="1"/>
    <col min="15863" max="15863" width="9.140625" style="1"/>
    <col min="15864" max="15864" width="19" style="1" customWidth="1"/>
    <col min="15865" max="15881" width="9.140625" style="1"/>
    <col min="15882" max="15892" width="11.28515625" style="1" bestFit="1" customWidth="1"/>
    <col min="15893" max="15893" width="10.28515625" style="1" bestFit="1" customWidth="1"/>
    <col min="15894" max="15894" width="12.85546875" style="1" bestFit="1" customWidth="1"/>
    <col min="15895" max="16017" width="9.140625" style="1"/>
    <col min="16018" max="16018" width="11" style="1" bestFit="1" customWidth="1"/>
    <col min="16019" max="16019" width="28.140625" style="1" bestFit="1" customWidth="1"/>
    <col min="16020" max="16020" width="14" style="1" bestFit="1" customWidth="1"/>
    <col min="16021" max="16021" width="9.140625" style="1"/>
    <col min="16022" max="16022" width="13.85546875" style="1" bestFit="1" customWidth="1"/>
    <col min="16023" max="16023" width="9.140625" style="1"/>
    <col min="16024" max="16024" width="14" style="1" customWidth="1"/>
    <col min="16025" max="16025" width="9.140625" style="1"/>
    <col min="16026" max="16026" width="12.85546875" style="1" bestFit="1" customWidth="1"/>
    <col min="16027" max="16027" width="10" style="1" customWidth="1"/>
    <col min="16028" max="16028" width="14" style="1" bestFit="1" customWidth="1"/>
    <col min="16029" max="16029" width="9.85546875" style="1" bestFit="1" customWidth="1"/>
    <col min="16030" max="16030" width="13.5703125" style="1" bestFit="1" customWidth="1"/>
    <col min="16031" max="16031" width="9.85546875" style="1" bestFit="1" customWidth="1"/>
    <col min="16032" max="16032" width="12.85546875" style="1" bestFit="1" customWidth="1"/>
    <col min="16033" max="16044" width="10.5703125" style="1" customWidth="1"/>
    <col min="16045" max="16045" width="11.140625" style="1" bestFit="1" customWidth="1"/>
    <col min="16046" max="16046" width="2.7109375" style="1" customWidth="1"/>
    <col min="16047" max="16047" width="9.85546875" style="1" bestFit="1" customWidth="1"/>
    <col min="16048" max="16049" width="9.140625" style="1"/>
    <col min="16050" max="16050" width="24" style="1" customWidth="1"/>
    <col min="16051" max="16053" width="9.140625" style="1"/>
    <col min="16054" max="16054" width="9" style="1" bestFit="1" customWidth="1"/>
    <col min="16055" max="16064" width="9.28515625" style="1" bestFit="1" customWidth="1"/>
    <col min="16065" max="16065" width="10.28515625" style="1" bestFit="1" customWidth="1"/>
    <col min="16066" max="16066" width="11.28515625" style="1" bestFit="1" customWidth="1"/>
    <col min="16067" max="16067" width="11.7109375" style="1" customWidth="1"/>
    <col min="16068" max="16068" width="9.140625" style="1"/>
    <col min="16069" max="16069" width="22.28515625" style="1" customWidth="1"/>
    <col min="16070" max="16070" width="9.140625" style="1"/>
    <col min="16071" max="16071" width="9.28515625" style="1" bestFit="1" customWidth="1"/>
    <col min="16072" max="16072" width="9.42578125" style="1" bestFit="1" customWidth="1"/>
    <col min="16073" max="16073" width="9.28515625" style="1" bestFit="1" customWidth="1"/>
    <col min="16074" max="16074" width="10.28515625" style="1" bestFit="1" customWidth="1"/>
    <col min="16075" max="16076" width="9.28515625" style="1" bestFit="1" customWidth="1"/>
    <col min="16077" max="16078" width="10.28515625" style="1" bestFit="1" customWidth="1"/>
    <col min="16079" max="16083" width="9.28515625" style="1" bestFit="1" customWidth="1"/>
    <col min="16084" max="16084" width="10.42578125" style="1" bestFit="1" customWidth="1"/>
    <col min="16085" max="16085" width="9.140625" style="1"/>
    <col min="16086" max="16086" width="24.85546875" style="1" customWidth="1"/>
    <col min="16087" max="16087" width="9.140625" style="1"/>
    <col min="16088" max="16100" width="9.28515625" style="1" bestFit="1" customWidth="1"/>
    <col min="16101" max="16101" width="10.28515625" style="1" bestFit="1" customWidth="1"/>
    <col min="16102" max="16102" width="9.5703125" style="1" bestFit="1" customWidth="1"/>
    <col min="16103" max="16103" width="18.5703125" style="1" customWidth="1"/>
    <col min="16104" max="16105" width="9.140625" style="1"/>
    <col min="16106" max="16108" width="12.140625" style="1" bestFit="1" customWidth="1"/>
    <col min="16109" max="16117" width="10.28515625" style="1" bestFit="1" customWidth="1"/>
    <col min="16118" max="16118" width="11.28515625" style="1" bestFit="1" customWidth="1"/>
    <col min="16119" max="16119" width="9.140625" style="1"/>
    <col min="16120" max="16120" width="19" style="1" customWidth="1"/>
    <col min="16121" max="16137" width="9.140625" style="1"/>
    <col min="16138" max="16148" width="11.28515625" style="1" bestFit="1" customWidth="1"/>
    <col min="16149" max="16149" width="10.28515625" style="1" bestFit="1" customWidth="1"/>
    <col min="16150" max="16150" width="12.85546875" style="1" bestFit="1" customWidth="1"/>
    <col min="16151" max="16384" width="9.140625" style="1"/>
  </cols>
  <sheetData>
    <row r="1" spans="2:22" x14ac:dyDescent="0.2">
      <c r="F1" s="39" t="s">
        <v>49</v>
      </c>
      <c r="G1" s="39" t="s">
        <v>48</v>
      </c>
      <c r="H1" s="39" t="s">
        <v>47</v>
      </c>
      <c r="I1" s="39" t="s">
        <v>46</v>
      </c>
      <c r="J1" s="39" t="s">
        <v>45</v>
      </c>
      <c r="K1" s="39" t="s">
        <v>44</v>
      </c>
      <c r="L1" s="39" t="s">
        <v>43</v>
      </c>
      <c r="M1" s="39" t="s">
        <v>42</v>
      </c>
      <c r="N1" s="39" t="s">
        <v>41</v>
      </c>
      <c r="O1" s="39" t="s">
        <v>40</v>
      </c>
      <c r="P1" s="39" t="s">
        <v>39</v>
      </c>
      <c r="Q1" s="39" t="s">
        <v>38</v>
      </c>
      <c r="R1" s="39" t="s">
        <v>37</v>
      </c>
    </row>
    <row r="2" spans="2:22" x14ac:dyDescent="0.2">
      <c r="B2" s="35" t="s">
        <v>214</v>
      </c>
      <c r="C2" s="6">
        <f>STATS!D13</f>
        <v>60</v>
      </c>
      <c r="F2" s="131">
        <f>'MO STATS'!E9</f>
        <v>5</v>
      </c>
      <c r="G2" s="131">
        <f>'MO STATS'!F9</f>
        <v>1</v>
      </c>
      <c r="H2" s="131">
        <f>'MO STATS'!G9</f>
        <v>5</v>
      </c>
      <c r="I2" s="131">
        <f>'MO STATS'!H9</f>
        <v>8</v>
      </c>
      <c r="J2" s="131">
        <f>'MO STATS'!I9</f>
        <v>0</v>
      </c>
      <c r="K2" s="131">
        <f>'MO STATS'!J9</f>
        <v>4</v>
      </c>
      <c r="L2" s="131">
        <f>'MO STATS'!K9</f>
        <v>1</v>
      </c>
      <c r="M2" s="131">
        <f>'MO STATS'!L9</f>
        <v>5</v>
      </c>
      <c r="N2" s="131">
        <f>'MO STATS'!M9</f>
        <v>4</v>
      </c>
      <c r="O2" s="131">
        <f>'MO STATS'!N9</f>
        <v>7</v>
      </c>
      <c r="P2" s="131">
        <f>'MO STATS'!O9</f>
        <v>16</v>
      </c>
      <c r="Q2" s="131">
        <f>'MO STATS'!P9</f>
        <v>4</v>
      </c>
      <c r="R2" s="96">
        <f>SUM(F2:Q2)</f>
        <v>60</v>
      </c>
      <c r="T2" s="3">
        <f t="shared" ref="T2:T13" si="0">C2-R2</f>
        <v>0</v>
      </c>
    </row>
    <row r="3" spans="2:22" x14ac:dyDescent="0.2">
      <c r="B3" s="35" t="s">
        <v>216</v>
      </c>
      <c r="C3" s="6">
        <f>STATS!D14</f>
        <v>215</v>
      </c>
      <c r="F3" s="131">
        <f>'MO STATS'!E10</f>
        <v>18</v>
      </c>
      <c r="G3" s="131">
        <f>'MO STATS'!F10</f>
        <v>18</v>
      </c>
      <c r="H3" s="131">
        <f>'MO STATS'!G10</f>
        <v>17</v>
      </c>
      <c r="I3" s="131">
        <f>'MO STATS'!H10</f>
        <v>11</v>
      </c>
      <c r="J3" s="131">
        <f>'MO STATS'!I10</f>
        <v>16</v>
      </c>
      <c r="K3" s="131">
        <f>'MO STATS'!J10</f>
        <v>20</v>
      </c>
      <c r="L3" s="131">
        <f>'MO STATS'!K10</f>
        <v>15</v>
      </c>
      <c r="M3" s="131">
        <f>'MO STATS'!L10</f>
        <v>23</v>
      </c>
      <c r="N3" s="131">
        <f>'MO STATS'!M10</f>
        <v>19</v>
      </c>
      <c r="O3" s="131">
        <f>'MO STATS'!N10</f>
        <v>16</v>
      </c>
      <c r="P3" s="131">
        <f>'MO STATS'!O10</f>
        <v>18</v>
      </c>
      <c r="Q3" s="131">
        <f>'MO STATS'!P10</f>
        <v>24</v>
      </c>
      <c r="R3" s="96">
        <f t="shared" ref="R3:R13" si="1">SUM(F3:Q3)</f>
        <v>215</v>
      </c>
      <c r="T3" s="3">
        <f t="shared" si="0"/>
        <v>0</v>
      </c>
    </row>
    <row r="4" spans="2:22" x14ac:dyDescent="0.2">
      <c r="B4" s="35" t="s">
        <v>218</v>
      </c>
      <c r="C4" s="6">
        <f>C2+C3</f>
        <v>275</v>
      </c>
      <c r="F4" s="131">
        <f>'MO STATS'!E11</f>
        <v>23</v>
      </c>
      <c r="G4" s="131">
        <f>'MO STATS'!F11</f>
        <v>19</v>
      </c>
      <c r="H4" s="131">
        <f>'MO STATS'!G11</f>
        <v>22</v>
      </c>
      <c r="I4" s="131">
        <f>'MO STATS'!H11</f>
        <v>19</v>
      </c>
      <c r="J4" s="131">
        <f>'MO STATS'!I11</f>
        <v>16</v>
      </c>
      <c r="K4" s="131">
        <f>'MO STATS'!J11</f>
        <v>24</v>
      </c>
      <c r="L4" s="131">
        <f>'MO STATS'!K11</f>
        <v>16</v>
      </c>
      <c r="M4" s="131">
        <f>'MO STATS'!L11</f>
        <v>28</v>
      </c>
      <c r="N4" s="131">
        <f>'MO STATS'!M11</f>
        <v>23</v>
      </c>
      <c r="O4" s="131">
        <f>'MO STATS'!N11</f>
        <v>23</v>
      </c>
      <c r="P4" s="131">
        <f>'MO STATS'!O11</f>
        <v>34</v>
      </c>
      <c r="Q4" s="131">
        <f>'MO STATS'!P11</f>
        <v>28</v>
      </c>
      <c r="R4" s="96">
        <f t="shared" si="1"/>
        <v>275</v>
      </c>
      <c r="T4" s="3">
        <f t="shared" si="0"/>
        <v>0</v>
      </c>
    </row>
    <row r="5" spans="2:22" x14ac:dyDescent="0.2">
      <c r="B5" s="35" t="s">
        <v>219</v>
      </c>
      <c r="C5" s="6">
        <f>STATS!D16</f>
        <v>5</v>
      </c>
      <c r="F5" s="131">
        <f>'MO STATS'!E12</f>
        <v>0</v>
      </c>
      <c r="G5" s="131">
        <f>'MO STATS'!F12</f>
        <v>0</v>
      </c>
      <c r="H5" s="131">
        <f>'MO STATS'!G12</f>
        <v>0</v>
      </c>
      <c r="I5" s="131">
        <f>'MO STATS'!H12</f>
        <v>0</v>
      </c>
      <c r="J5" s="131">
        <f>'MO STATS'!I12</f>
        <v>0</v>
      </c>
      <c r="K5" s="131">
        <f>'MO STATS'!J12</f>
        <v>0</v>
      </c>
      <c r="L5" s="131">
        <f>'MO STATS'!K12</f>
        <v>0</v>
      </c>
      <c r="M5" s="131">
        <f>'MO STATS'!L12</f>
        <v>0</v>
      </c>
      <c r="N5" s="131">
        <f>'MO STATS'!M12</f>
        <v>1</v>
      </c>
      <c r="O5" s="131">
        <f>'MO STATS'!N12</f>
        <v>3</v>
      </c>
      <c r="P5" s="131">
        <f>'MO STATS'!O12</f>
        <v>1</v>
      </c>
      <c r="Q5" s="131">
        <f>'MO STATS'!P12</f>
        <v>0</v>
      </c>
      <c r="R5" s="96">
        <f t="shared" si="1"/>
        <v>5</v>
      </c>
      <c r="T5" s="3">
        <f t="shared" si="0"/>
        <v>0</v>
      </c>
    </row>
    <row r="6" spans="2:22" x14ac:dyDescent="0.2">
      <c r="B6" s="35" t="s">
        <v>221</v>
      </c>
      <c r="C6" s="6">
        <f>STATS!D17</f>
        <v>11</v>
      </c>
      <c r="F6" s="131">
        <f>'MO STATS'!E13</f>
        <v>1</v>
      </c>
      <c r="G6" s="131">
        <f>'MO STATS'!F13</f>
        <v>1</v>
      </c>
      <c r="H6" s="131">
        <f>'MO STATS'!G13</f>
        <v>1</v>
      </c>
      <c r="I6" s="131">
        <f>'MO STATS'!H13</f>
        <v>1</v>
      </c>
      <c r="J6" s="131">
        <f>'MO STATS'!I13</f>
        <v>1</v>
      </c>
      <c r="K6" s="131">
        <f>'MO STATS'!J13</f>
        <v>0</v>
      </c>
      <c r="L6" s="131">
        <f>'MO STATS'!K13</f>
        <v>1</v>
      </c>
      <c r="M6" s="131">
        <f>'MO STATS'!L13</f>
        <v>0</v>
      </c>
      <c r="N6" s="131">
        <f>'MO STATS'!M13</f>
        <v>0</v>
      </c>
      <c r="O6" s="131">
        <f>'MO STATS'!N13</f>
        <v>0</v>
      </c>
      <c r="P6" s="131">
        <f>'MO STATS'!O13</f>
        <v>4</v>
      </c>
      <c r="Q6" s="131">
        <f>'MO STATS'!P13</f>
        <v>1</v>
      </c>
      <c r="R6" s="96">
        <f t="shared" si="1"/>
        <v>11</v>
      </c>
      <c r="T6" s="3">
        <f t="shared" si="0"/>
        <v>0</v>
      </c>
    </row>
    <row r="7" spans="2:22" x14ac:dyDescent="0.2">
      <c r="B7" s="35" t="s">
        <v>223</v>
      </c>
      <c r="C7" s="6">
        <f>C5+C6</f>
        <v>16</v>
      </c>
      <c r="F7" s="131">
        <f>'MO STATS'!E14</f>
        <v>1</v>
      </c>
      <c r="G7" s="131">
        <f>'MO STATS'!F14</f>
        <v>1</v>
      </c>
      <c r="H7" s="131">
        <f>'MO STATS'!G14</f>
        <v>1</v>
      </c>
      <c r="I7" s="131">
        <f>'MO STATS'!H14</f>
        <v>1</v>
      </c>
      <c r="J7" s="131">
        <f>'MO STATS'!I14</f>
        <v>1</v>
      </c>
      <c r="K7" s="131">
        <f>'MO STATS'!J14</f>
        <v>0</v>
      </c>
      <c r="L7" s="131">
        <f>'MO STATS'!K14</f>
        <v>1</v>
      </c>
      <c r="M7" s="131">
        <f>'MO STATS'!L14</f>
        <v>0</v>
      </c>
      <c r="N7" s="131">
        <f>'MO STATS'!M14</f>
        <v>1</v>
      </c>
      <c r="O7" s="131">
        <f>'MO STATS'!N14</f>
        <v>3</v>
      </c>
      <c r="P7" s="131">
        <f>'MO STATS'!O14</f>
        <v>5</v>
      </c>
      <c r="Q7" s="131">
        <f>'MO STATS'!P14</f>
        <v>1</v>
      </c>
      <c r="R7" s="96">
        <f t="shared" si="1"/>
        <v>16</v>
      </c>
      <c r="T7" s="3">
        <f t="shared" si="0"/>
        <v>0</v>
      </c>
    </row>
    <row r="8" spans="2:22" x14ac:dyDescent="0.2">
      <c r="B8" s="35" t="s">
        <v>224</v>
      </c>
      <c r="C8" s="6">
        <f>STATS!D19</f>
        <v>25</v>
      </c>
      <c r="F8" s="131">
        <f>'MO STATS'!E15</f>
        <v>2</v>
      </c>
      <c r="G8" s="131">
        <f>'MO STATS'!F15</f>
        <v>0</v>
      </c>
      <c r="H8" s="131">
        <f>'MO STATS'!G15</f>
        <v>2</v>
      </c>
      <c r="I8" s="131">
        <f>'MO STATS'!H15</f>
        <v>0</v>
      </c>
      <c r="J8" s="131">
        <f>'MO STATS'!I15</f>
        <v>8</v>
      </c>
      <c r="K8" s="131">
        <f>'MO STATS'!J15</f>
        <v>1</v>
      </c>
      <c r="L8" s="131">
        <f>'MO STATS'!K15</f>
        <v>5</v>
      </c>
      <c r="M8" s="131">
        <f>'MO STATS'!L15</f>
        <v>2</v>
      </c>
      <c r="N8" s="131">
        <f>'MO STATS'!M15</f>
        <v>0</v>
      </c>
      <c r="O8" s="131">
        <f>'MO STATS'!N15</f>
        <v>1</v>
      </c>
      <c r="P8" s="131">
        <f>'MO STATS'!O15</f>
        <v>2</v>
      </c>
      <c r="Q8" s="131">
        <f>'MO STATS'!P15</f>
        <v>2</v>
      </c>
      <c r="R8" s="96">
        <f t="shared" si="1"/>
        <v>25</v>
      </c>
      <c r="T8" s="3">
        <f t="shared" si="0"/>
        <v>0</v>
      </c>
    </row>
    <row r="9" spans="2:22" x14ac:dyDescent="0.2">
      <c r="B9" s="35" t="s">
        <v>226</v>
      </c>
      <c r="C9" s="6">
        <f>STATS!D20</f>
        <v>275</v>
      </c>
      <c r="F9" s="131">
        <f>'MO STATS'!E16</f>
        <v>23</v>
      </c>
      <c r="G9" s="131">
        <f>'MO STATS'!F16</f>
        <v>31</v>
      </c>
      <c r="H9" s="131">
        <f>'MO STATS'!G16</f>
        <v>12</v>
      </c>
      <c r="I9" s="131">
        <f>'MO STATS'!H16</f>
        <v>21</v>
      </c>
      <c r="J9" s="131">
        <f>'MO STATS'!I16</f>
        <v>31</v>
      </c>
      <c r="K9" s="131">
        <f>'MO STATS'!J16</f>
        <v>19</v>
      </c>
      <c r="L9" s="131">
        <f>'MO STATS'!K16</f>
        <v>21</v>
      </c>
      <c r="M9" s="131">
        <f>'MO STATS'!L16</f>
        <v>29</v>
      </c>
      <c r="N9" s="131">
        <f>'MO STATS'!M16</f>
        <v>19</v>
      </c>
      <c r="O9" s="131">
        <f>'MO STATS'!N16</f>
        <v>22</v>
      </c>
      <c r="P9" s="131">
        <f>'MO STATS'!O16</f>
        <v>27</v>
      </c>
      <c r="Q9" s="131">
        <f>'MO STATS'!P16</f>
        <v>20</v>
      </c>
      <c r="R9" s="96">
        <f t="shared" si="1"/>
        <v>275</v>
      </c>
      <c r="T9" s="3">
        <f t="shared" si="0"/>
        <v>0</v>
      </c>
    </row>
    <row r="10" spans="2:22" x14ac:dyDescent="0.2">
      <c r="B10" s="35" t="s">
        <v>228</v>
      </c>
      <c r="C10" s="6">
        <f>C8+C9</f>
        <v>300</v>
      </c>
      <c r="F10" s="131">
        <f>'MO STATS'!E17</f>
        <v>25</v>
      </c>
      <c r="G10" s="131">
        <f>'MO STATS'!F17</f>
        <v>31</v>
      </c>
      <c r="H10" s="131">
        <f>'MO STATS'!G17</f>
        <v>14</v>
      </c>
      <c r="I10" s="131">
        <f>'MO STATS'!H17</f>
        <v>21</v>
      </c>
      <c r="J10" s="131">
        <f>'MO STATS'!I17</f>
        <v>39</v>
      </c>
      <c r="K10" s="131">
        <f>'MO STATS'!J17</f>
        <v>20</v>
      </c>
      <c r="L10" s="131">
        <f>'MO STATS'!K17</f>
        <v>26</v>
      </c>
      <c r="M10" s="131">
        <f>'MO STATS'!L17</f>
        <v>31</v>
      </c>
      <c r="N10" s="131">
        <f>'MO STATS'!M17</f>
        <v>19</v>
      </c>
      <c r="O10" s="131">
        <f>'MO STATS'!N17</f>
        <v>23</v>
      </c>
      <c r="P10" s="131">
        <f>'MO STATS'!O17</f>
        <v>29</v>
      </c>
      <c r="Q10" s="131">
        <f>'MO STATS'!P17</f>
        <v>22</v>
      </c>
      <c r="R10" s="96">
        <f t="shared" si="1"/>
        <v>300</v>
      </c>
      <c r="T10" s="3">
        <f t="shared" si="0"/>
        <v>0</v>
      </c>
    </row>
    <row r="11" spans="2:22" x14ac:dyDescent="0.2">
      <c r="B11" s="79" t="s">
        <v>229</v>
      </c>
      <c r="C11" s="97">
        <f>C2+C5+C8</f>
        <v>90</v>
      </c>
      <c r="F11" s="131">
        <f>'MO STATS'!E18</f>
        <v>7</v>
      </c>
      <c r="G11" s="131">
        <f>'MO STATS'!F18</f>
        <v>1</v>
      </c>
      <c r="H11" s="131">
        <f>'MO STATS'!G18</f>
        <v>7</v>
      </c>
      <c r="I11" s="131">
        <f>'MO STATS'!H18</f>
        <v>7</v>
      </c>
      <c r="J11" s="131">
        <f>'MO STATS'!I18</f>
        <v>9</v>
      </c>
      <c r="K11" s="131">
        <f>'MO STATS'!J18</f>
        <v>5</v>
      </c>
      <c r="L11" s="131">
        <f>'MO STATS'!K18</f>
        <v>7</v>
      </c>
      <c r="M11" s="131">
        <f>'MO STATS'!L18</f>
        <v>7</v>
      </c>
      <c r="N11" s="131">
        <f>'MO STATS'!M18</f>
        <v>5</v>
      </c>
      <c r="O11" s="131">
        <f>'MO STATS'!N18</f>
        <v>12</v>
      </c>
      <c r="P11" s="131">
        <f>'MO STATS'!O18</f>
        <v>18</v>
      </c>
      <c r="Q11" s="131">
        <f>'MO STATS'!P18</f>
        <v>5</v>
      </c>
      <c r="R11" s="96">
        <f t="shared" si="1"/>
        <v>90</v>
      </c>
      <c r="T11" s="3">
        <f t="shared" si="0"/>
        <v>0</v>
      </c>
    </row>
    <row r="12" spans="2:22" x14ac:dyDescent="0.2">
      <c r="B12" s="80" t="s">
        <v>230</v>
      </c>
      <c r="C12" s="674">
        <f>C3+C6+C9</f>
        <v>501</v>
      </c>
      <c r="F12" s="131">
        <f>'MO STATS'!E19</f>
        <v>42</v>
      </c>
      <c r="G12" s="131">
        <f>'MO STATS'!F19</f>
        <v>51</v>
      </c>
      <c r="H12" s="131">
        <f>'MO STATS'!G19</f>
        <v>31</v>
      </c>
      <c r="I12" s="131">
        <f>'MO STATS'!H19</f>
        <v>33</v>
      </c>
      <c r="J12" s="131">
        <f>'MO STATS'!I19</f>
        <v>48</v>
      </c>
      <c r="K12" s="131">
        <f>'MO STATS'!J19</f>
        <v>39</v>
      </c>
      <c r="L12" s="131">
        <f>'MO STATS'!K19</f>
        <v>39</v>
      </c>
      <c r="M12" s="131">
        <f>'MO STATS'!L19</f>
        <v>53</v>
      </c>
      <c r="N12" s="131">
        <f>'MO STATS'!M19</f>
        <v>39</v>
      </c>
      <c r="O12" s="131">
        <f>'MO STATS'!N19</f>
        <v>38</v>
      </c>
      <c r="P12" s="131">
        <f>'MO STATS'!O19</f>
        <v>50</v>
      </c>
      <c r="Q12" s="131">
        <f>'MO STATS'!P19</f>
        <v>38</v>
      </c>
      <c r="R12" s="96">
        <f t="shared" si="1"/>
        <v>501</v>
      </c>
      <c r="T12" s="3">
        <f t="shared" si="0"/>
        <v>0</v>
      </c>
    </row>
    <row r="13" spans="2:22" x14ac:dyDescent="0.2">
      <c r="B13" s="81" t="s">
        <v>231</v>
      </c>
      <c r="C13" s="98">
        <f>C11+C12</f>
        <v>591</v>
      </c>
      <c r="D13" s="99"/>
      <c r="E13" s="99"/>
      <c r="F13" s="131">
        <f>'MO STATS'!E20</f>
        <v>49</v>
      </c>
      <c r="G13" s="131">
        <f>'MO STATS'!F20</f>
        <v>52</v>
      </c>
      <c r="H13" s="131">
        <f>'MO STATS'!G20</f>
        <v>38</v>
      </c>
      <c r="I13" s="131">
        <f>'MO STATS'!H20</f>
        <v>40</v>
      </c>
      <c r="J13" s="131">
        <f>'MO STATS'!I20</f>
        <v>57</v>
      </c>
      <c r="K13" s="131">
        <f>'MO STATS'!J20</f>
        <v>44</v>
      </c>
      <c r="L13" s="131">
        <f>'MO STATS'!K20</f>
        <v>46</v>
      </c>
      <c r="M13" s="131">
        <f>'MO STATS'!L20</f>
        <v>60</v>
      </c>
      <c r="N13" s="131">
        <f>'MO STATS'!M20</f>
        <v>44</v>
      </c>
      <c r="O13" s="131">
        <f>'MO STATS'!N20</f>
        <v>50</v>
      </c>
      <c r="P13" s="131">
        <f>'MO STATS'!O20</f>
        <v>68</v>
      </c>
      <c r="Q13" s="131">
        <f>'MO STATS'!P20</f>
        <v>43</v>
      </c>
      <c r="R13" s="96">
        <f t="shared" si="1"/>
        <v>591</v>
      </c>
      <c r="T13" s="3">
        <f t="shared" si="0"/>
        <v>0</v>
      </c>
      <c r="U13" s="34"/>
      <c r="V13" s="34"/>
    </row>
    <row r="14" spans="2:22" x14ac:dyDescent="0.2">
      <c r="B14" s="105"/>
      <c r="C14" s="106"/>
      <c r="D14" s="99"/>
      <c r="E14" s="99"/>
      <c r="F14" s="131"/>
      <c r="G14" s="131"/>
      <c r="H14" s="131"/>
      <c r="I14" s="131"/>
      <c r="J14" s="131"/>
      <c r="K14" s="131"/>
      <c r="L14" s="131"/>
      <c r="M14" s="131"/>
      <c r="N14" s="131"/>
      <c r="O14" s="131"/>
      <c r="P14" s="131"/>
      <c r="Q14" s="131"/>
      <c r="T14" s="3"/>
      <c r="U14" s="34"/>
      <c r="V14" s="34"/>
    </row>
    <row r="15" spans="2:22" x14ac:dyDescent="0.2">
      <c r="B15" s="38" t="s">
        <v>940</v>
      </c>
      <c r="C15" s="480">
        <f>'[4]2017 FTEs'!$AS$13</f>
        <v>5</v>
      </c>
      <c r="D15" s="99"/>
      <c r="E15" s="99"/>
      <c r="F15" s="131"/>
      <c r="G15" s="131"/>
      <c r="H15" s="131"/>
      <c r="I15" s="131"/>
      <c r="J15" s="131"/>
      <c r="K15" s="131"/>
      <c r="L15" s="131"/>
      <c r="M15" s="131"/>
      <c r="N15" s="131"/>
      <c r="O15" s="131"/>
      <c r="P15" s="131"/>
      <c r="Q15" s="131"/>
      <c r="T15" s="3"/>
      <c r="U15" s="34"/>
      <c r="V15" s="34"/>
    </row>
    <row r="16" spans="2:22" x14ac:dyDescent="0.2">
      <c r="B16" s="38" t="s">
        <v>939</v>
      </c>
      <c r="C16" s="106">
        <f>C15*2080</f>
        <v>10400</v>
      </c>
      <c r="D16" s="99"/>
      <c r="E16" s="99"/>
      <c r="F16" s="426">
        <f>($C16/$R17)*F17</f>
        <v>883.28767123287673</v>
      </c>
      <c r="G16" s="426">
        <f t="shared" ref="G16:Q16" si="2">($C16/$R17)*G17</f>
        <v>854.79452054794524</v>
      </c>
      <c r="H16" s="426">
        <f t="shared" si="2"/>
        <v>883.28767123287673</v>
      </c>
      <c r="I16" s="426">
        <f t="shared" si="2"/>
        <v>883.28767123287673</v>
      </c>
      <c r="J16" s="426">
        <f t="shared" si="2"/>
        <v>797.80821917808225</v>
      </c>
      <c r="K16" s="426">
        <f t="shared" si="2"/>
        <v>883.28767123287673</v>
      </c>
      <c r="L16" s="426">
        <f t="shared" si="2"/>
        <v>854.79452054794524</v>
      </c>
      <c r="M16" s="426">
        <f t="shared" si="2"/>
        <v>883.28767123287673</v>
      </c>
      <c r="N16" s="426">
        <f t="shared" si="2"/>
        <v>854.79452054794524</v>
      </c>
      <c r="O16" s="426">
        <f t="shared" si="2"/>
        <v>883.28767123287673</v>
      </c>
      <c r="P16" s="426">
        <f t="shared" si="2"/>
        <v>883.28767123287673</v>
      </c>
      <c r="Q16" s="426">
        <f t="shared" si="2"/>
        <v>854.79452054794524</v>
      </c>
      <c r="R16" s="308">
        <f>SUM(F16:Q16)</f>
        <v>10400</v>
      </c>
      <c r="T16" s="3">
        <f>C16-R16</f>
        <v>0</v>
      </c>
      <c r="U16" s="34"/>
      <c r="V16" s="34"/>
    </row>
    <row r="17" spans="1:22" x14ac:dyDescent="0.2">
      <c r="B17" s="105"/>
      <c r="C17" s="106"/>
      <c r="D17" s="99"/>
      <c r="E17" s="99"/>
      <c r="F17" s="2">
        <v>31</v>
      </c>
      <c r="G17" s="2">
        <v>30</v>
      </c>
      <c r="H17" s="2">
        <v>31</v>
      </c>
      <c r="I17" s="2">
        <v>31</v>
      </c>
      <c r="J17" s="2">
        <v>28</v>
      </c>
      <c r="K17" s="2">
        <v>31</v>
      </c>
      <c r="L17" s="2">
        <v>30</v>
      </c>
      <c r="M17" s="2">
        <v>31</v>
      </c>
      <c r="N17" s="2">
        <v>30</v>
      </c>
      <c r="O17" s="2">
        <v>31</v>
      </c>
      <c r="P17" s="2">
        <v>31</v>
      </c>
      <c r="Q17" s="2">
        <v>30</v>
      </c>
      <c r="R17" s="6">
        <f t="shared" ref="R17" si="3">SUM(F17:Q17)</f>
        <v>365</v>
      </c>
      <c r="S17" s="34"/>
      <c r="T17" s="34"/>
      <c r="U17" s="34"/>
      <c r="V17" s="34"/>
    </row>
    <row r="18" spans="1:22" x14ac:dyDescent="0.2">
      <c r="A18" s="711" t="s">
        <v>35</v>
      </c>
      <c r="B18" s="711"/>
      <c r="C18" s="711"/>
      <c r="D18" s="711"/>
      <c r="E18" s="23"/>
    </row>
    <row r="19" spans="1:22" ht="26.25" customHeight="1" x14ac:dyDescent="0.2">
      <c r="A19" s="21"/>
      <c r="B19" s="10" t="s">
        <v>349</v>
      </c>
      <c r="C19" s="20"/>
      <c r="D19" s="102" t="s">
        <v>350</v>
      </c>
      <c r="E19" s="103"/>
      <c r="F19" s="39" t="s">
        <v>49</v>
      </c>
      <c r="G19" s="39" t="s">
        <v>48</v>
      </c>
      <c r="H19" s="39" t="s">
        <v>47</v>
      </c>
      <c r="I19" s="39" t="s">
        <v>46</v>
      </c>
      <c r="J19" s="39" t="s">
        <v>45</v>
      </c>
      <c r="K19" s="39" t="s">
        <v>44</v>
      </c>
      <c r="L19" s="39" t="s">
        <v>43</v>
      </c>
      <c r="M19" s="39" t="s">
        <v>42</v>
      </c>
      <c r="N19" s="39" t="s">
        <v>41</v>
      </c>
      <c r="O19" s="39" t="s">
        <v>40</v>
      </c>
      <c r="P19" s="39" t="s">
        <v>39</v>
      </c>
      <c r="Q19" s="39" t="s">
        <v>38</v>
      </c>
      <c r="R19" s="39" t="s">
        <v>37</v>
      </c>
    </row>
    <row r="20" spans="1:22" x14ac:dyDescent="0.2">
      <c r="A20" s="16"/>
      <c r="B20" s="29" t="s">
        <v>352</v>
      </c>
      <c r="C20" s="75">
        <f>C$11*D20</f>
        <v>33178.695652173912</v>
      </c>
      <c r="D20" s="13">
        <f>[5]OR!$J$12</f>
        <v>368.6521739130435</v>
      </c>
      <c r="E20" s="7"/>
      <c r="F20" s="375">
        <f>$D20*F$11</f>
        <v>2580.5652173913045</v>
      </c>
      <c r="G20" s="375">
        <f t="shared" ref="G20:Q26" si="4">$D20*G$11</f>
        <v>368.6521739130435</v>
      </c>
      <c r="H20" s="375">
        <f t="shared" si="4"/>
        <v>2580.5652173913045</v>
      </c>
      <c r="I20" s="375">
        <f t="shared" si="4"/>
        <v>2580.5652173913045</v>
      </c>
      <c r="J20" s="375">
        <f t="shared" si="4"/>
        <v>3317.8695652173915</v>
      </c>
      <c r="K20" s="375">
        <f t="shared" si="4"/>
        <v>1843.2608695652175</v>
      </c>
      <c r="L20" s="375">
        <f t="shared" si="4"/>
        <v>2580.5652173913045</v>
      </c>
      <c r="M20" s="375">
        <f t="shared" si="4"/>
        <v>2580.5652173913045</v>
      </c>
      <c r="N20" s="375">
        <f t="shared" si="4"/>
        <v>1843.2608695652175</v>
      </c>
      <c r="O20" s="375">
        <f t="shared" si="4"/>
        <v>4423.826086956522</v>
      </c>
      <c r="P20" s="375">
        <f t="shared" si="4"/>
        <v>6635.739130434783</v>
      </c>
      <c r="Q20" s="375">
        <f t="shared" si="4"/>
        <v>1843.2608695652175</v>
      </c>
      <c r="R20" s="109">
        <f>SUM(F20:Q20)</f>
        <v>33178.695652173912</v>
      </c>
      <c r="T20" s="3">
        <f>C20-R20</f>
        <v>0</v>
      </c>
    </row>
    <row r="21" spans="1:22" x14ac:dyDescent="0.2">
      <c r="A21" s="16"/>
      <c r="B21" s="29" t="s">
        <v>353</v>
      </c>
      <c r="C21" s="75">
        <f t="shared" ref="C21:C34" si="5">C$11*D21</f>
        <v>0</v>
      </c>
      <c r="D21" s="13">
        <f>[8]OR!$K$14</f>
        <v>0</v>
      </c>
      <c r="E21" s="7"/>
      <c r="F21" s="375">
        <f t="shared" ref="F21:Q34" si="6">$D21*F$11</f>
        <v>0</v>
      </c>
      <c r="G21" s="375">
        <f t="shared" si="4"/>
        <v>0</v>
      </c>
      <c r="H21" s="375">
        <f t="shared" si="4"/>
        <v>0</v>
      </c>
      <c r="I21" s="375">
        <f t="shared" si="4"/>
        <v>0</v>
      </c>
      <c r="J21" s="375">
        <f t="shared" si="4"/>
        <v>0</v>
      </c>
      <c r="K21" s="375">
        <f t="shared" si="4"/>
        <v>0</v>
      </c>
      <c r="L21" s="375">
        <f t="shared" si="4"/>
        <v>0</v>
      </c>
      <c r="M21" s="375">
        <f t="shared" si="4"/>
        <v>0</v>
      </c>
      <c r="N21" s="375">
        <f t="shared" si="4"/>
        <v>0</v>
      </c>
      <c r="O21" s="375">
        <f t="shared" si="4"/>
        <v>0</v>
      </c>
      <c r="P21" s="375">
        <f t="shared" si="4"/>
        <v>0</v>
      </c>
      <c r="Q21" s="375">
        <f t="shared" si="4"/>
        <v>0</v>
      </c>
      <c r="R21" s="109">
        <f t="shared" ref="R21:R27" si="7">SUM(F21:Q21)</f>
        <v>0</v>
      </c>
      <c r="T21" s="3">
        <f t="shared" ref="T21:T43" si="8">C21-R21</f>
        <v>0</v>
      </c>
    </row>
    <row r="22" spans="1:22" x14ac:dyDescent="0.2">
      <c r="A22" s="16"/>
      <c r="B22" s="29" t="s">
        <v>355</v>
      </c>
      <c r="C22" s="75">
        <f>C$11*D22</f>
        <v>31955.869565217392</v>
      </c>
      <c r="D22" s="13">
        <f>[5]OR!$J$14</f>
        <v>355.06521739130437</v>
      </c>
      <c r="E22" s="7"/>
      <c r="F22" s="375">
        <f t="shared" si="6"/>
        <v>2485.4565217391305</v>
      </c>
      <c r="G22" s="375">
        <f t="shared" si="6"/>
        <v>355.06521739130437</v>
      </c>
      <c r="H22" s="375">
        <f t="shared" si="6"/>
        <v>2485.4565217391305</v>
      </c>
      <c r="I22" s="375">
        <f t="shared" si="6"/>
        <v>2485.4565217391305</v>
      </c>
      <c r="J22" s="375">
        <f t="shared" si="6"/>
        <v>3195.5869565217395</v>
      </c>
      <c r="K22" s="375">
        <f t="shared" si="6"/>
        <v>1775.326086956522</v>
      </c>
      <c r="L22" s="375">
        <f t="shared" si="6"/>
        <v>2485.4565217391305</v>
      </c>
      <c r="M22" s="375">
        <f t="shared" si="6"/>
        <v>2485.4565217391305</v>
      </c>
      <c r="N22" s="375">
        <f t="shared" si="6"/>
        <v>1775.326086956522</v>
      </c>
      <c r="O22" s="375">
        <f t="shared" si="6"/>
        <v>4260.782608695652</v>
      </c>
      <c r="P22" s="375">
        <f t="shared" si="6"/>
        <v>6391.1739130434789</v>
      </c>
      <c r="Q22" s="375">
        <f t="shared" si="6"/>
        <v>1775.326086956522</v>
      </c>
      <c r="R22" s="109">
        <f t="shared" ref="R22" si="9">SUM(F22:Q22)</f>
        <v>31955.869565217399</v>
      </c>
      <c r="T22" s="3">
        <f t="shared" ref="T22" si="10">C22-R22</f>
        <v>0</v>
      </c>
    </row>
    <row r="23" spans="1:22" x14ac:dyDescent="0.2">
      <c r="A23" s="16"/>
      <c r="B23" s="29" t="s">
        <v>370</v>
      </c>
      <c r="C23" s="75">
        <f t="shared" si="5"/>
        <v>0</v>
      </c>
      <c r="D23" s="13"/>
      <c r="E23" s="7"/>
      <c r="F23" s="375">
        <f t="shared" si="6"/>
        <v>0</v>
      </c>
      <c r="G23" s="375">
        <f t="shared" si="4"/>
        <v>0</v>
      </c>
      <c r="H23" s="375">
        <f t="shared" si="4"/>
        <v>0</v>
      </c>
      <c r="I23" s="375">
        <f t="shared" si="4"/>
        <v>0</v>
      </c>
      <c r="J23" s="375">
        <f t="shared" si="4"/>
        <v>0</v>
      </c>
      <c r="K23" s="375">
        <f t="shared" si="4"/>
        <v>0</v>
      </c>
      <c r="L23" s="375">
        <f t="shared" si="4"/>
        <v>0</v>
      </c>
      <c r="M23" s="375">
        <f t="shared" si="4"/>
        <v>0</v>
      </c>
      <c r="N23" s="375">
        <f t="shared" si="4"/>
        <v>0</v>
      </c>
      <c r="O23" s="375">
        <f t="shared" si="4"/>
        <v>0</v>
      </c>
      <c r="P23" s="375">
        <f t="shared" si="4"/>
        <v>0</v>
      </c>
      <c r="Q23" s="375">
        <f t="shared" si="4"/>
        <v>0</v>
      </c>
      <c r="R23" s="109">
        <f t="shared" si="7"/>
        <v>0</v>
      </c>
      <c r="T23" s="3">
        <f t="shared" si="8"/>
        <v>0</v>
      </c>
    </row>
    <row r="24" spans="1:22" x14ac:dyDescent="0.2">
      <c r="A24" s="16"/>
      <c r="B24" s="29" t="s">
        <v>356</v>
      </c>
      <c r="C24" s="75">
        <f t="shared" si="5"/>
        <v>13079.347826086958</v>
      </c>
      <c r="D24" s="13">
        <f>[5]OR!$J$15+[5]OR!$J$16</f>
        <v>145.32608695652175</v>
      </c>
      <c r="E24" s="7"/>
      <c r="F24" s="375">
        <f t="shared" si="6"/>
        <v>1017.2826086956522</v>
      </c>
      <c r="G24" s="375">
        <f t="shared" si="4"/>
        <v>145.32608695652175</v>
      </c>
      <c r="H24" s="375">
        <f t="shared" si="4"/>
        <v>1017.2826086956522</v>
      </c>
      <c r="I24" s="375">
        <f t="shared" si="4"/>
        <v>1017.2826086956522</v>
      </c>
      <c r="J24" s="375">
        <f t="shared" si="4"/>
        <v>1307.9347826086957</v>
      </c>
      <c r="K24" s="375">
        <f t="shared" si="4"/>
        <v>726.63043478260875</v>
      </c>
      <c r="L24" s="375">
        <f t="shared" si="4"/>
        <v>1017.2826086956522</v>
      </c>
      <c r="M24" s="375">
        <f t="shared" si="4"/>
        <v>1017.2826086956522</v>
      </c>
      <c r="N24" s="375">
        <f t="shared" si="4"/>
        <v>726.63043478260875</v>
      </c>
      <c r="O24" s="375">
        <f t="shared" si="4"/>
        <v>1743.913043478261</v>
      </c>
      <c r="P24" s="375">
        <f t="shared" si="4"/>
        <v>2615.8695652173915</v>
      </c>
      <c r="Q24" s="375">
        <f t="shared" si="4"/>
        <v>726.63043478260875</v>
      </c>
      <c r="R24" s="109">
        <f t="shared" si="7"/>
        <v>13079.347826086956</v>
      </c>
      <c r="T24" s="3">
        <f t="shared" si="8"/>
        <v>0</v>
      </c>
    </row>
    <row r="25" spans="1:22" x14ac:dyDescent="0.2">
      <c r="A25" s="16"/>
      <c r="B25" s="29" t="s">
        <v>354</v>
      </c>
      <c r="C25" s="75">
        <f t="shared" si="5"/>
        <v>9880.434782608696</v>
      </c>
      <c r="D25" s="13">
        <f>[5]OR!$J$17</f>
        <v>109.78260869565217</v>
      </c>
      <c r="E25" s="7"/>
      <c r="F25" s="375">
        <f t="shared" si="6"/>
        <v>768.47826086956525</v>
      </c>
      <c r="G25" s="375">
        <f t="shared" si="4"/>
        <v>109.78260869565217</v>
      </c>
      <c r="H25" s="375">
        <f t="shared" si="4"/>
        <v>768.47826086956525</v>
      </c>
      <c r="I25" s="375">
        <f t="shared" si="4"/>
        <v>768.47826086956525</v>
      </c>
      <c r="J25" s="375">
        <f t="shared" si="4"/>
        <v>988.04347826086951</v>
      </c>
      <c r="K25" s="375">
        <f t="shared" si="4"/>
        <v>548.91304347826087</v>
      </c>
      <c r="L25" s="375">
        <f t="shared" si="4"/>
        <v>768.47826086956525</v>
      </c>
      <c r="M25" s="375">
        <f t="shared" si="4"/>
        <v>768.47826086956525</v>
      </c>
      <c r="N25" s="375">
        <f t="shared" si="4"/>
        <v>548.91304347826087</v>
      </c>
      <c r="O25" s="375">
        <f t="shared" si="4"/>
        <v>1317.391304347826</v>
      </c>
      <c r="P25" s="375">
        <f t="shared" si="4"/>
        <v>1976.086956521739</v>
      </c>
      <c r="Q25" s="375">
        <f t="shared" si="4"/>
        <v>548.91304347826087</v>
      </c>
      <c r="R25" s="109">
        <f t="shared" si="7"/>
        <v>9880.434782608696</v>
      </c>
      <c r="T25" s="3">
        <f t="shared" si="8"/>
        <v>0</v>
      </c>
    </row>
    <row r="26" spans="1:22" x14ac:dyDescent="0.2">
      <c r="A26" s="16"/>
      <c r="B26" s="29" t="s">
        <v>357</v>
      </c>
      <c r="C26" s="75">
        <f t="shared" si="5"/>
        <v>10031.08695652174</v>
      </c>
      <c r="D26" s="13">
        <f>[5]OR!$J$18</f>
        <v>111.45652173913044</v>
      </c>
      <c r="E26" s="7"/>
      <c r="F26" s="375">
        <f t="shared" si="6"/>
        <v>780.195652173913</v>
      </c>
      <c r="G26" s="375">
        <f t="shared" si="4"/>
        <v>111.45652173913044</v>
      </c>
      <c r="H26" s="375">
        <f t="shared" si="4"/>
        <v>780.195652173913</v>
      </c>
      <c r="I26" s="375">
        <f t="shared" si="4"/>
        <v>780.195652173913</v>
      </c>
      <c r="J26" s="375">
        <f t="shared" si="4"/>
        <v>1003.108695652174</v>
      </c>
      <c r="K26" s="375">
        <f t="shared" si="4"/>
        <v>557.28260869565224</v>
      </c>
      <c r="L26" s="375">
        <f t="shared" si="4"/>
        <v>780.195652173913</v>
      </c>
      <c r="M26" s="375">
        <f t="shared" si="4"/>
        <v>780.195652173913</v>
      </c>
      <c r="N26" s="375">
        <f t="shared" si="4"/>
        <v>557.28260869565224</v>
      </c>
      <c r="O26" s="375">
        <f t="shared" si="4"/>
        <v>1337.4782608695652</v>
      </c>
      <c r="P26" s="375">
        <f t="shared" si="4"/>
        <v>2006.217391304348</v>
      </c>
      <c r="Q26" s="375">
        <f t="shared" si="4"/>
        <v>557.28260869565224</v>
      </c>
      <c r="R26" s="109">
        <f t="shared" si="7"/>
        <v>10031.08695652174</v>
      </c>
      <c r="T26" s="3">
        <f t="shared" si="8"/>
        <v>0</v>
      </c>
    </row>
    <row r="27" spans="1:22" ht="13.5" customHeight="1" x14ac:dyDescent="0.2">
      <c r="A27" s="87">
        <v>31110.010999999999</v>
      </c>
      <c r="B27" s="161" t="s">
        <v>376</v>
      </c>
      <c r="C27" s="293">
        <f>SUM(C20:C26)</f>
        <v>98125.434782608689</v>
      </c>
      <c r="D27" s="292"/>
      <c r="E27" s="292"/>
      <c r="F27" s="369">
        <f>SUM(F20:F26)</f>
        <v>7631.978260869565</v>
      </c>
      <c r="G27" s="369">
        <f t="shared" ref="G27:Q27" si="11">SUM(G20:G26)</f>
        <v>1090.2826086956522</v>
      </c>
      <c r="H27" s="369">
        <f t="shared" si="11"/>
        <v>7631.978260869565</v>
      </c>
      <c r="I27" s="369">
        <f t="shared" si="11"/>
        <v>7631.978260869565</v>
      </c>
      <c r="J27" s="369">
        <f t="shared" si="11"/>
        <v>9812.54347826087</v>
      </c>
      <c r="K27" s="369">
        <f t="shared" si="11"/>
        <v>5451.413043478261</v>
      </c>
      <c r="L27" s="369">
        <f t="shared" si="11"/>
        <v>7631.978260869565</v>
      </c>
      <c r="M27" s="369">
        <f t="shared" si="11"/>
        <v>7631.978260869565</v>
      </c>
      <c r="N27" s="369">
        <f t="shared" si="11"/>
        <v>5451.413043478261</v>
      </c>
      <c r="O27" s="369">
        <f t="shared" si="11"/>
        <v>13083.391304347828</v>
      </c>
      <c r="P27" s="369">
        <f t="shared" si="11"/>
        <v>19625.08695652174</v>
      </c>
      <c r="Q27" s="369">
        <f t="shared" si="11"/>
        <v>5451.413043478261</v>
      </c>
      <c r="R27" s="369">
        <f t="shared" si="7"/>
        <v>98125.434782608703</v>
      </c>
      <c r="S27" s="297"/>
      <c r="T27" s="291">
        <f t="shared" si="8"/>
        <v>0</v>
      </c>
    </row>
    <row r="28" spans="1:22" ht="13.5" customHeight="1" x14ac:dyDescent="0.2">
      <c r="A28" s="87"/>
      <c r="B28" s="29" t="s">
        <v>424</v>
      </c>
      <c r="C28" s="75">
        <f t="shared" si="5"/>
        <v>0</v>
      </c>
      <c r="D28" s="13">
        <v>0</v>
      </c>
      <c r="E28" s="7"/>
      <c r="F28" s="375">
        <f t="shared" si="6"/>
        <v>0</v>
      </c>
      <c r="G28" s="375">
        <f t="shared" si="6"/>
        <v>0</v>
      </c>
      <c r="H28" s="375">
        <f t="shared" si="6"/>
        <v>0</v>
      </c>
      <c r="I28" s="375">
        <f t="shared" si="6"/>
        <v>0</v>
      </c>
      <c r="J28" s="375">
        <f t="shared" si="6"/>
        <v>0</v>
      </c>
      <c r="K28" s="375">
        <f t="shared" si="6"/>
        <v>0</v>
      </c>
      <c r="L28" s="375">
        <f t="shared" si="6"/>
        <v>0</v>
      </c>
      <c r="M28" s="375">
        <f t="shared" si="6"/>
        <v>0</v>
      </c>
      <c r="N28" s="375">
        <f t="shared" si="6"/>
        <v>0</v>
      </c>
      <c r="O28" s="375">
        <f t="shared" si="6"/>
        <v>0</v>
      </c>
      <c r="P28" s="375">
        <f t="shared" si="6"/>
        <v>0</v>
      </c>
      <c r="Q28" s="375">
        <f t="shared" si="6"/>
        <v>0</v>
      </c>
      <c r="R28" s="109">
        <f t="shared" ref="R28:R34" si="12">SUM(F28:Q28)</f>
        <v>0</v>
      </c>
      <c r="T28" s="3">
        <f t="shared" ref="T28:T34" si="13">C28-R28</f>
        <v>0</v>
      </c>
    </row>
    <row r="29" spans="1:22" ht="13.5" customHeight="1" x14ac:dyDescent="0.2">
      <c r="A29" s="87"/>
      <c r="B29" s="29" t="s">
        <v>425</v>
      </c>
      <c r="C29" s="75">
        <f t="shared" si="5"/>
        <v>0</v>
      </c>
      <c r="D29" s="13">
        <v>0</v>
      </c>
      <c r="E29" s="7"/>
      <c r="F29" s="375">
        <f t="shared" si="6"/>
        <v>0</v>
      </c>
      <c r="G29" s="375">
        <f t="shared" si="6"/>
        <v>0</v>
      </c>
      <c r="H29" s="375">
        <f t="shared" si="6"/>
        <v>0</v>
      </c>
      <c r="I29" s="375">
        <f t="shared" si="6"/>
        <v>0</v>
      </c>
      <c r="J29" s="375">
        <f t="shared" si="6"/>
        <v>0</v>
      </c>
      <c r="K29" s="375">
        <f t="shared" si="6"/>
        <v>0</v>
      </c>
      <c r="L29" s="375">
        <f t="shared" si="6"/>
        <v>0</v>
      </c>
      <c r="M29" s="375">
        <f t="shared" si="6"/>
        <v>0</v>
      </c>
      <c r="N29" s="375">
        <f t="shared" si="6"/>
        <v>0</v>
      </c>
      <c r="O29" s="375">
        <f t="shared" si="6"/>
        <v>0</v>
      </c>
      <c r="P29" s="375">
        <f t="shared" si="6"/>
        <v>0</v>
      </c>
      <c r="Q29" s="375">
        <f t="shared" si="6"/>
        <v>0</v>
      </c>
      <c r="R29" s="109">
        <f t="shared" si="12"/>
        <v>0</v>
      </c>
      <c r="T29" s="3">
        <f t="shared" si="13"/>
        <v>0</v>
      </c>
    </row>
    <row r="30" spans="1:22" ht="13.5" customHeight="1" x14ac:dyDescent="0.2">
      <c r="A30" s="87"/>
      <c r="B30" s="29" t="s">
        <v>426</v>
      </c>
      <c r="C30" s="75">
        <f t="shared" si="5"/>
        <v>0</v>
      </c>
      <c r="D30" s="13">
        <v>0</v>
      </c>
      <c r="E30" s="7"/>
      <c r="F30" s="375">
        <f t="shared" si="6"/>
        <v>0</v>
      </c>
      <c r="G30" s="375">
        <f t="shared" si="6"/>
        <v>0</v>
      </c>
      <c r="H30" s="375">
        <f t="shared" si="6"/>
        <v>0</v>
      </c>
      <c r="I30" s="375">
        <f t="shared" si="6"/>
        <v>0</v>
      </c>
      <c r="J30" s="375">
        <f t="shared" si="6"/>
        <v>0</v>
      </c>
      <c r="K30" s="375">
        <f t="shared" si="6"/>
        <v>0</v>
      </c>
      <c r="L30" s="375">
        <f t="shared" si="6"/>
        <v>0</v>
      </c>
      <c r="M30" s="375">
        <f t="shared" si="6"/>
        <v>0</v>
      </c>
      <c r="N30" s="375">
        <f t="shared" si="6"/>
        <v>0</v>
      </c>
      <c r="O30" s="375">
        <f t="shared" si="6"/>
        <v>0</v>
      </c>
      <c r="P30" s="375">
        <f t="shared" si="6"/>
        <v>0</v>
      </c>
      <c r="Q30" s="375">
        <f t="shared" si="6"/>
        <v>0</v>
      </c>
      <c r="R30" s="109">
        <f t="shared" si="12"/>
        <v>0</v>
      </c>
      <c r="T30" s="3">
        <f t="shared" si="13"/>
        <v>0</v>
      </c>
    </row>
    <row r="31" spans="1:22" ht="13.5" customHeight="1" x14ac:dyDescent="0.2">
      <c r="A31" s="87"/>
      <c r="B31" s="29" t="s">
        <v>427</v>
      </c>
      <c r="C31" s="75">
        <f t="shared" si="5"/>
        <v>0</v>
      </c>
      <c r="D31" s="13">
        <v>0</v>
      </c>
      <c r="E31" s="7"/>
      <c r="F31" s="375">
        <f t="shared" si="6"/>
        <v>0</v>
      </c>
      <c r="G31" s="375">
        <f t="shared" si="6"/>
        <v>0</v>
      </c>
      <c r="H31" s="375">
        <f t="shared" si="6"/>
        <v>0</v>
      </c>
      <c r="I31" s="375">
        <f t="shared" si="6"/>
        <v>0</v>
      </c>
      <c r="J31" s="375">
        <f t="shared" si="6"/>
        <v>0</v>
      </c>
      <c r="K31" s="375">
        <f t="shared" si="6"/>
        <v>0</v>
      </c>
      <c r="L31" s="375">
        <f t="shared" si="6"/>
        <v>0</v>
      </c>
      <c r="M31" s="375">
        <f t="shared" si="6"/>
        <v>0</v>
      </c>
      <c r="N31" s="375">
        <f t="shared" si="6"/>
        <v>0</v>
      </c>
      <c r="O31" s="375">
        <f t="shared" si="6"/>
        <v>0</v>
      </c>
      <c r="P31" s="375">
        <f t="shared" si="6"/>
        <v>0</v>
      </c>
      <c r="Q31" s="375">
        <f t="shared" si="6"/>
        <v>0</v>
      </c>
      <c r="R31" s="109">
        <f t="shared" si="12"/>
        <v>0</v>
      </c>
      <c r="T31" s="3">
        <f t="shared" si="13"/>
        <v>0</v>
      </c>
    </row>
    <row r="32" spans="1:22" ht="13.5" customHeight="1" x14ac:dyDescent="0.2">
      <c r="A32" s="87"/>
      <c r="B32" s="29" t="s">
        <v>428</v>
      </c>
      <c r="C32" s="75">
        <f t="shared" si="5"/>
        <v>0</v>
      </c>
      <c r="D32" s="13">
        <v>0</v>
      </c>
      <c r="E32" s="7"/>
      <c r="F32" s="375">
        <f t="shared" si="6"/>
        <v>0</v>
      </c>
      <c r="G32" s="375">
        <f t="shared" si="6"/>
        <v>0</v>
      </c>
      <c r="H32" s="375">
        <f t="shared" si="6"/>
        <v>0</v>
      </c>
      <c r="I32" s="375">
        <f t="shared" si="6"/>
        <v>0</v>
      </c>
      <c r="J32" s="375">
        <f t="shared" si="6"/>
        <v>0</v>
      </c>
      <c r="K32" s="375">
        <f t="shared" si="6"/>
        <v>0</v>
      </c>
      <c r="L32" s="375">
        <f t="shared" si="6"/>
        <v>0</v>
      </c>
      <c r="M32" s="375">
        <f t="shared" si="6"/>
        <v>0</v>
      </c>
      <c r="N32" s="375">
        <f t="shared" si="6"/>
        <v>0</v>
      </c>
      <c r="O32" s="375">
        <f t="shared" si="6"/>
        <v>0</v>
      </c>
      <c r="P32" s="375">
        <f t="shared" si="6"/>
        <v>0</v>
      </c>
      <c r="Q32" s="375">
        <f t="shared" si="6"/>
        <v>0</v>
      </c>
      <c r="R32" s="109">
        <f t="shared" si="12"/>
        <v>0</v>
      </c>
      <c r="T32" s="3">
        <f t="shared" si="13"/>
        <v>0</v>
      </c>
    </row>
    <row r="33" spans="1:22" ht="13.5" customHeight="1" x14ac:dyDescent="0.2">
      <c r="A33" s="87"/>
      <c r="B33" s="29" t="s">
        <v>429</v>
      </c>
      <c r="C33" s="75">
        <f t="shared" si="5"/>
        <v>0</v>
      </c>
      <c r="D33" s="13">
        <v>0</v>
      </c>
      <c r="E33" s="7"/>
      <c r="F33" s="375">
        <f t="shared" si="6"/>
        <v>0</v>
      </c>
      <c r="G33" s="375">
        <f t="shared" si="6"/>
        <v>0</v>
      </c>
      <c r="H33" s="375">
        <f t="shared" si="6"/>
        <v>0</v>
      </c>
      <c r="I33" s="375">
        <f t="shared" si="6"/>
        <v>0</v>
      </c>
      <c r="J33" s="375">
        <f t="shared" si="6"/>
        <v>0</v>
      </c>
      <c r="K33" s="375">
        <f t="shared" si="6"/>
        <v>0</v>
      </c>
      <c r="L33" s="375">
        <f t="shared" si="6"/>
        <v>0</v>
      </c>
      <c r="M33" s="375">
        <f t="shared" si="6"/>
        <v>0</v>
      </c>
      <c r="N33" s="375">
        <f t="shared" si="6"/>
        <v>0</v>
      </c>
      <c r="O33" s="375">
        <f t="shared" si="6"/>
        <v>0</v>
      </c>
      <c r="P33" s="375">
        <f t="shared" si="6"/>
        <v>0</v>
      </c>
      <c r="Q33" s="375">
        <f t="shared" si="6"/>
        <v>0</v>
      </c>
      <c r="R33" s="109">
        <f t="shared" si="12"/>
        <v>0</v>
      </c>
      <c r="T33" s="3">
        <f t="shared" si="13"/>
        <v>0</v>
      </c>
    </row>
    <row r="34" spans="1:22" ht="13.5" customHeight="1" x14ac:dyDescent="0.2">
      <c r="A34" s="87"/>
      <c r="B34" s="29" t="s">
        <v>430</v>
      </c>
      <c r="C34" s="75">
        <f t="shared" si="5"/>
        <v>0</v>
      </c>
      <c r="D34" s="13">
        <v>0</v>
      </c>
      <c r="E34" s="7"/>
      <c r="F34" s="375">
        <f t="shared" si="6"/>
        <v>0</v>
      </c>
      <c r="G34" s="375">
        <f t="shared" si="6"/>
        <v>0</v>
      </c>
      <c r="H34" s="375">
        <f t="shared" si="6"/>
        <v>0</v>
      </c>
      <c r="I34" s="375">
        <f t="shared" si="6"/>
        <v>0</v>
      </c>
      <c r="J34" s="375">
        <f t="shared" si="6"/>
        <v>0</v>
      </c>
      <c r="K34" s="375">
        <f t="shared" si="6"/>
        <v>0</v>
      </c>
      <c r="L34" s="375">
        <f t="shared" si="6"/>
        <v>0</v>
      </c>
      <c r="M34" s="375">
        <f t="shared" si="6"/>
        <v>0</v>
      </c>
      <c r="N34" s="375">
        <f t="shared" si="6"/>
        <v>0</v>
      </c>
      <c r="O34" s="375">
        <f t="shared" si="6"/>
        <v>0</v>
      </c>
      <c r="P34" s="375">
        <f t="shared" si="6"/>
        <v>0</v>
      </c>
      <c r="Q34" s="375">
        <f t="shared" si="6"/>
        <v>0</v>
      </c>
      <c r="R34" s="109">
        <f t="shared" si="12"/>
        <v>0</v>
      </c>
      <c r="T34" s="3">
        <f t="shared" si="13"/>
        <v>0</v>
      </c>
    </row>
    <row r="35" spans="1:22" s="5" customFormat="1" ht="13.5" customHeight="1" x14ac:dyDescent="0.2">
      <c r="A35" s="87">
        <v>31111.010999999999</v>
      </c>
      <c r="B35" s="132" t="s">
        <v>377</v>
      </c>
      <c r="C35" s="293">
        <f>SUM(C28:C34)</f>
        <v>0</v>
      </c>
      <c r="D35" s="291"/>
      <c r="E35" s="291"/>
      <c r="F35" s="369">
        <f>SUM(F28:F34)</f>
        <v>0</v>
      </c>
      <c r="G35" s="369">
        <f t="shared" ref="G35:Q35" si="14">SUM(G28:G34)</f>
        <v>0</v>
      </c>
      <c r="H35" s="369">
        <f t="shared" si="14"/>
        <v>0</v>
      </c>
      <c r="I35" s="369">
        <f t="shared" si="14"/>
        <v>0</v>
      </c>
      <c r="J35" s="369">
        <f t="shared" si="14"/>
        <v>0</v>
      </c>
      <c r="K35" s="369">
        <f t="shared" si="14"/>
        <v>0</v>
      </c>
      <c r="L35" s="369">
        <f t="shared" si="14"/>
        <v>0</v>
      </c>
      <c r="M35" s="369">
        <f t="shared" si="14"/>
        <v>0</v>
      </c>
      <c r="N35" s="369">
        <f t="shared" si="14"/>
        <v>0</v>
      </c>
      <c r="O35" s="369">
        <f t="shared" si="14"/>
        <v>0</v>
      </c>
      <c r="P35" s="369">
        <f t="shared" si="14"/>
        <v>0</v>
      </c>
      <c r="Q35" s="369">
        <f t="shared" si="14"/>
        <v>0</v>
      </c>
      <c r="R35" s="369">
        <f>SUM(F35:Q35)</f>
        <v>0</v>
      </c>
      <c r="S35" s="298"/>
      <c r="T35" s="291">
        <f t="shared" si="8"/>
        <v>0</v>
      </c>
      <c r="U35" s="6"/>
      <c r="V35" s="6"/>
    </row>
    <row r="36" spans="1:22" x14ac:dyDescent="0.2">
      <c r="A36" s="16"/>
      <c r="B36" s="29" t="s">
        <v>358</v>
      </c>
      <c r="C36" s="75">
        <f>C$12*D36</f>
        <v>125974.85106382979</v>
      </c>
      <c r="D36" s="13">
        <f>[5]OR!$J$31</f>
        <v>251.44680851063831</v>
      </c>
      <c r="E36" s="7"/>
      <c r="F36" s="375">
        <f>$D36*F$12</f>
        <v>10560.765957446809</v>
      </c>
      <c r="G36" s="375">
        <f t="shared" ref="G36:Q42" si="15">$D36*G$12</f>
        <v>12823.787234042553</v>
      </c>
      <c r="H36" s="375">
        <f t="shared" si="15"/>
        <v>7794.8510638297876</v>
      </c>
      <c r="I36" s="375">
        <f t="shared" si="15"/>
        <v>8297.7446808510649</v>
      </c>
      <c r="J36" s="375">
        <f t="shared" si="15"/>
        <v>12069.446808510638</v>
      </c>
      <c r="K36" s="375">
        <f t="shared" si="15"/>
        <v>9806.4255319148942</v>
      </c>
      <c r="L36" s="375">
        <f t="shared" si="15"/>
        <v>9806.4255319148942</v>
      </c>
      <c r="M36" s="375">
        <f t="shared" si="15"/>
        <v>13326.680851063829</v>
      </c>
      <c r="N36" s="375">
        <f t="shared" si="15"/>
        <v>9806.4255319148942</v>
      </c>
      <c r="O36" s="375">
        <f t="shared" si="15"/>
        <v>9554.978723404256</v>
      </c>
      <c r="P36" s="375">
        <f t="shared" si="15"/>
        <v>12572.340425531915</v>
      </c>
      <c r="Q36" s="375">
        <f t="shared" si="15"/>
        <v>9554.978723404256</v>
      </c>
      <c r="R36" s="109">
        <f t="shared" ref="R36:R42" si="16">SUM(F36:Q36)</f>
        <v>125974.8510638298</v>
      </c>
      <c r="T36" s="3">
        <f t="shared" si="8"/>
        <v>0</v>
      </c>
    </row>
    <row r="37" spans="1:22" x14ac:dyDescent="0.2">
      <c r="A37" s="16"/>
      <c r="B37" s="29" t="s">
        <v>359</v>
      </c>
      <c r="C37" s="75">
        <f t="shared" ref="C37:C42" si="17">C$12*D37</f>
        <v>7918.7313829787226</v>
      </c>
      <c r="D37" s="13">
        <f>[5]OR!$J$32</f>
        <v>15.805851063829786</v>
      </c>
      <c r="E37" s="7"/>
      <c r="F37" s="375">
        <f t="shared" ref="F37:F42" si="18">$D37*F$12</f>
        <v>663.845744680851</v>
      </c>
      <c r="G37" s="375">
        <f t="shared" si="15"/>
        <v>806.09840425531911</v>
      </c>
      <c r="H37" s="375">
        <f t="shared" si="15"/>
        <v>489.98138297872339</v>
      </c>
      <c r="I37" s="375">
        <f t="shared" si="15"/>
        <v>521.593085106383</v>
      </c>
      <c r="J37" s="375">
        <f t="shared" si="15"/>
        <v>758.68085106382978</v>
      </c>
      <c r="K37" s="375">
        <f t="shared" si="15"/>
        <v>616.42819148936167</v>
      </c>
      <c r="L37" s="375">
        <f t="shared" si="15"/>
        <v>616.42819148936167</v>
      </c>
      <c r="M37" s="375">
        <f t="shared" si="15"/>
        <v>837.71010638297867</v>
      </c>
      <c r="N37" s="375">
        <f t="shared" si="15"/>
        <v>616.42819148936167</v>
      </c>
      <c r="O37" s="375">
        <f t="shared" si="15"/>
        <v>600.62234042553189</v>
      </c>
      <c r="P37" s="375">
        <f t="shared" si="15"/>
        <v>790.29255319148933</v>
      </c>
      <c r="Q37" s="375">
        <f t="shared" si="15"/>
        <v>600.62234042553189</v>
      </c>
      <c r="R37" s="109">
        <f t="shared" si="16"/>
        <v>7918.7313829787226</v>
      </c>
      <c r="T37" s="3">
        <f t="shared" si="8"/>
        <v>0</v>
      </c>
    </row>
    <row r="38" spans="1:22" x14ac:dyDescent="0.2">
      <c r="A38" s="16"/>
      <c r="B38" s="29" t="s">
        <v>372</v>
      </c>
      <c r="C38" s="75">
        <f t="shared" si="17"/>
        <v>103428.51861702128</v>
      </c>
      <c r="D38" s="13">
        <f>[5]OR!$J$33</f>
        <v>206.44414893617022</v>
      </c>
      <c r="E38" s="7"/>
      <c r="F38" s="375">
        <f t="shared" si="18"/>
        <v>8670.6542553191503</v>
      </c>
      <c r="G38" s="375">
        <f t="shared" si="15"/>
        <v>10528.651595744681</v>
      </c>
      <c r="H38" s="375">
        <f t="shared" si="15"/>
        <v>6399.7686170212764</v>
      </c>
      <c r="I38" s="375">
        <f t="shared" si="15"/>
        <v>6812.6569148936178</v>
      </c>
      <c r="J38" s="375">
        <f t="shared" si="15"/>
        <v>9909.3191489361707</v>
      </c>
      <c r="K38" s="375">
        <f t="shared" si="15"/>
        <v>8051.3218085106382</v>
      </c>
      <c r="L38" s="375">
        <f t="shared" si="15"/>
        <v>8051.3218085106382</v>
      </c>
      <c r="M38" s="375">
        <f t="shared" si="15"/>
        <v>10941.539893617022</v>
      </c>
      <c r="N38" s="375">
        <f t="shared" si="15"/>
        <v>8051.3218085106382</v>
      </c>
      <c r="O38" s="375">
        <f t="shared" si="15"/>
        <v>7844.8776595744685</v>
      </c>
      <c r="P38" s="375">
        <f t="shared" si="15"/>
        <v>10322.207446808512</v>
      </c>
      <c r="Q38" s="375">
        <f t="shared" si="15"/>
        <v>7844.8776595744685</v>
      </c>
      <c r="R38" s="109">
        <f t="shared" si="16"/>
        <v>103428.51861702127</v>
      </c>
      <c r="T38" s="3">
        <f t="shared" si="8"/>
        <v>0</v>
      </c>
    </row>
    <row r="39" spans="1:22" x14ac:dyDescent="0.2">
      <c r="A39" s="16"/>
      <c r="B39" s="29" t="s">
        <v>373</v>
      </c>
      <c r="C39" s="75">
        <f t="shared" si="17"/>
        <v>0</v>
      </c>
      <c r="D39" s="13">
        <v>0</v>
      </c>
      <c r="E39" s="7"/>
      <c r="F39" s="375">
        <f t="shared" si="18"/>
        <v>0</v>
      </c>
      <c r="G39" s="375">
        <f t="shared" si="15"/>
        <v>0</v>
      </c>
      <c r="H39" s="375">
        <f t="shared" si="15"/>
        <v>0</v>
      </c>
      <c r="I39" s="375">
        <f t="shared" si="15"/>
        <v>0</v>
      </c>
      <c r="J39" s="375">
        <f t="shared" si="15"/>
        <v>0</v>
      </c>
      <c r="K39" s="375">
        <f t="shared" si="15"/>
        <v>0</v>
      </c>
      <c r="L39" s="375">
        <f t="shared" si="15"/>
        <v>0</v>
      </c>
      <c r="M39" s="375">
        <f t="shared" si="15"/>
        <v>0</v>
      </c>
      <c r="N39" s="375">
        <f t="shared" si="15"/>
        <v>0</v>
      </c>
      <c r="O39" s="375">
        <f t="shared" si="15"/>
        <v>0</v>
      </c>
      <c r="P39" s="375">
        <f t="shared" si="15"/>
        <v>0</v>
      </c>
      <c r="Q39" s="375">
        <f t="shared" si="15"/>
        <v>0</v>
      </c>
      <c r="R39" s="109">
        <f t="shared" si="16"/>
        <v>0</v>
      </c>
      <c r="T39" s="3">
        <f t="shared" si="8"/>
        <v>0</v>
      </c>
    </row>
    <row r="40" spans="1:22" x14ac:dyDescent="0.2">
      <c r="A40" s="16"/>
      <c r="B40" s="29" t="s">
        <v>361</v>
      </c>
      <c r="C40" s="75">
        <f t="shared" si="17"/>
        <v>21972.047872340423</v>
      </c>
      <c r="D40" s="13">
        <f>[5]OR!$J$35</f>
        <v>43.856382978723403</v>
      </c>
      <c r="E40" s="7"/>
      <c r="F40" s="375">
        <f t="shared" si="18"/>
        <v>1841.9680851063829</v>
      </c>
      <c r="G40" s="375">
        <f t="shared" si="15"/>
        <v>2236.6755319148933</v>
      </c>
      <c r="H40" s="375">
        <f t="shared" si="15"/>
        <v>1359.5478723404256</v>
      </c>
      <c r="I40" s="375">
        <f t="shared" si="15"/>
        <v>1447.2606382978722</v>
      </c>
      <c r="J40" s="375">
        <f t="shared" si="15"/>
        <v>2105.1063829787236</v>
      </c>
      <c r="K40" s="375">
        <f t="shared" si="15"/>
        <v>1710.3989361702127</v>
      </c>
      <c r="L40" s="375">
        <f t="shared" si="15"/>
        <v>1710.3989361702127</v>
      </c>
      <c r="M40" s="375">
        <f t="shared" si="15"/>
        <v>2324.3882978723404</v>
      </c>
      <c r="N40" s="375">
        <f t="shared" si="15"/>
        <v>1710.3989361702127</v>
      </c>
      <c r="O40" s="375">
        <f t="shared" si="15"/>
        <v>1666.5425531914893</v>
      </c>
      <c r="P40" s="375">
        <f t="shared" si="15"/>
        <v>2192.8191489361702</v>
      </c>
      <c r="Q40" s="375">
        <f t="shared" si="15"/>
        <v>1666.5425531914893</v>
      </c>
      <c r="R40" s="109">
        <f t="shared" si="16"/>
        <v>21972.047872340423</v>
      </c>
      <c r="T40" s="3">
        <f t="shared" si="8"/>
        <v>0</v>
      </c>
    </row>
    <row r="41" spans="1:22" x14ac:dyDescent="0.2">
      <c r="A41" s="16"/>
      <c r="B41" s="29" t="s">
        <v>360</v>
      </c>
      <c r="C41" s="75">
        <f t="shared" si="17"/>
        <v>176671.78723404257</v>
      </c>
      <c r="D41" s="13">
        <f>[5]OR!$J$36</f>
        <v>352.63829787234044</v>
      </c>
      <c r="E41" s="7"/>
      <c r="F41" s="375">
        <f t="shared" si="18"/>
        <v>14810.808510638299</v>
      </c>
      <c r="G41" s="375">
        <f t="shared" si="15"/>
        <v>17984.553191489362</v>
      </c>
      <c r="H41" s="375">
        <f t="shared" si="15"/>
        <v>10931.787234042553</v>
      </c>
      <c r="I41" s="375">
        <f t="shared" si="15"/>
        <v>11637.063829787236</v>
      </c>
      <c r="J41" s="375">
        <f t="shared" si="15"/>
        <v>16926.638297872341</v>
      </c>
      <c r="K41" s="375">
        <f t="shared" si="15"/>
        <v>13752.893617021276</v>
      </c>
      <c r="L41" s="375">
        <f t="shared" si="15"/>
        <v>13752.893617021276</v>
      </c>
      <c r="M41" s="375">
        <f t="shared" si="15"/>
        <v>18689.829787234044</v>
      </c>
      <c r="N41" s="375">
        <f t="shared" si="15"/>
        <v>13752.893617021276</v>
      </c>
      <c r="O41" s="375">
        <f t="shared" si="15"/>
        <v>13400.255319148937</v>
      </c>
      <c r="P41" s="375">
        <f t="shared" si="15"/>
        <v>17631.914893617024</v>
      </c>
      <c r="Q41" s="375">
        <f t="shared" si="15"/>
        <v>13400.255319148937</v>
      </c>
      <c r="R41" s="109">
        <f t="shared" si="16"/>
        <v>176671.78723404254</v>
      </c>
      <c r="T41" s="3">
        <f t="shared" si="8"/>
        <v>0</v>
      </c>
    </row>
    <row r="42" spans="1:22" x14ac:dyDescent="0.2">
      <c r="A42" s="16"/>
      <c r="B42" s="29" t="s">
        <v>362</v>
      </c>
      <c r="C42" s="75">
        <f t="shared" si="17"/>
        <v>17224.539893617024</v>
      </c>
      <c r="D42" s="13">
        <f>[5]OR!$J$37</f>
        <v>34.380319148936174</v>
      </c>
      <c r="E42" s="7"/>
      <c r="F42" s="375">
        <f t="shared" si="18"/>
        <v>1443.9734042553193</v>
      </c>
      <c r="G42" s="375">
        <f t="shared" si="15"/>
        <v>1753.3962765957449</v>
      </c>
      <c r="H42" s="375">
        <f t="shared" si="15"/>
        <v>1065.7898936170213</v>
      </c>
      <c r="I42" s="375">
        <f t="shared" si="15"/>
        <v>1134.5505319148938</v>
      </c>
      <c r="J42" s="375">
        <f t="shared" si="15"/>
        <v>1650.2553191489365</v>
      </c>
      <c r="K42" s="375">
        <f t="shared" si="15"/>
        <v>1340.8324468085107</v>
      </c>
      <c r="L42" s="375">
        <f t="shared" si="15"/>
        <v>1340.8324468085107</v>
      </c>
      <c r="M42" s="375">
        <f t="shared" si="15"/>
        <v>1822.1569148936171</v>
      </c>
      <c r="N42" s="375">
        <f t="shared" si="15"/>
        <v>1340.8324468085107</v>
      </c>
      <c r="O42" s="375">
        <f t="shared" si="15"/>
        <v>1306.4521276595747</v>
      </c>
      <c r="P42" s="375">
        <f t="shared" si="15"/>
        <v>1719.0159574468087</v>
      </c>
      <c r="Q42" s="375">
        <f t="shared" si="15"/>
        <v>1306.4521276595747</v>
      </c>
      <c r="R42" s="109">
        <f t="shared" si="16"/>
        <v>17224.539893617024</v>
      </c>
      <c r="T42" s="3">
        <f t="shared" si="8"/>
        <v>0</v>
      </c>
    </row>
    <row r="43" spans="1:22" s="5" customFormat="1" x14ac:dyDescent="0.2">
      <c r="A43" s="90">
        <v>31200.010999999999</v>
      </c>
      <c r="B43" s="161" t="s">
        <v>378</v>
      </c>
      <c r="C43" s="293">
        <f>SUM(C36:C42)</f>
        <v>453190.47606382985</v>
      </c>
      <c r="D43" s="292"/>
      <c r="E43" s="292"/>
      <c r="F43" s="369">
        <f>SUM(F36:F42)</f>
        <v>37992.015957446813</v>
      </c>
      <c r="G43" s="369">
        <f t="shared" ref="G43:Q43" si="19">SUM(G36:G42)</f>
        <v>46133.16223404256</v>
      </c>
      <c r="H43" s="369">
        <f t="shared" si="19"/>
        <v>28041.726063829785</v>
      </c>
      <c r="I43" s="369">
        <f t="shared" si="19"/>
        <v>29850.869680851069</v>
      </c>
      <c r="J43" s="369">
        <f t="shared" si="19"/>
        <v>43419.446808510642</v>
      </c>
      <c r="K43" s="369">
        <f t="shared" si="19"/>
        <v>35278.300531914894</v>
      </c>
      <c r="L43" s="369">
        <f t="shared" si="19"/>
        <v>35278.300531914894</v>
      </c>
      <c r="M43" s="369">
        <f t="shared" si="19"/>
        <v>47942.305851063829</v>
      </c>
      <c r="N43" s="369">
        <f t="shared" si="19"/>
        <v>35278.300531914894</v>
      </c>
      <c r="O43" s="369">
        <f t="shared" si="19"/>
        <v>34373.72872340426</v>
      </c>
      <c r="P43" s="369">
        <f t="shared" si="19"/>
        <v>45228.590425531918</v>
      </c>
      <c r="Q43" s="369">
        <f t="shared" si="19"/>
        <v>34373.72872340426</v>
      </c>
      <c r="R43" s="369">
        <f>SUM(F43:Q43)</f>
        <v>453190.47606382973</v>
      </c>
      <c r="S43" s="298"/>
      <c r="T43" s="291">
        <f t="shared" si="8"/>
        <v>0</v>
      </c>
      <c r="U43" s="6"/>
      <c r="V43" s="6"/>
    </row>
    <row r="44" spans="1:22" s="5" customFormat="1" x14ac:dyDescent="0.2">
      <c r="A44" s="11"/>
      <c r="B44" s="10" t="s">
        <v>0</v>
      </c>
      <c r="C44" s="293">
        <f>C35+C43+C27</f>
        <v>551315.91084643849</v>
      </c>
      <c r="D44" s="292">
        <f>(C44/C$13)</f>
        <v>932.85264102612268</v>
      </c>
      <c r="E44" s="292"/>
      <c r="F44" s="369">
        <f>F27+F35+F43</f>
        <v>45623.99421831638</v>
      </c>
      <c r="G44" s="369">
        <f t="shared" ref="G44:Q44" si="20">G27+G35+G43</f>
        <v>47223.444842738216</v>
      </c>
      <c r="H44" s="369">
        <f t="shared" si="20"/>
        <v>35673.704324699349</v>
      </c>
      <c r="I44" s="369">
        <f t="shared" si="20"/>
        <v>37482.847941720633</v>
      </c>
      <c r="J44" s="369">
        <f t="shared" si="20"/>
        <v>53231.990286771514</v>
      </c>
      <c r="K44" s="369">
        <f t="shared" si="20"/>
        <v>40729.713575393158</v>
      </c>
      <c r="L44" s="369">
        <f t="shared" si="20"/>
        <v>42910.278792784462</v>
      </c>
      <c r="M44" s="369">
        <f t="shared" si="20"/>
        <v>55574.284111933397</v>
      </c>
      <c r="N44" s="369">
        <f t="shared" si="20"/>
        <v>40729.713575393158</v>
      </c>
      <c r="O44" s="369">
        <f t="shared" si="20"/>
        <v>47457.120027752084</v>
      </c>
      <c r="P44" s="369">
        <f t="shared" si="20"/>
        <v>64853.677382053662</v>
      </c>
      <c r="Q44" s="369">
        <f t="shared" si="20"/>
        <v>39825.141766882523</v>
      </c>
      <c r="R44" s="369">
        <f>SUM(F44:Q44)</f>
        <v>551315.91084643849</v>
      </c>
      <c r="S44" s="298"/>
      <c r="T44" s="291">
        <f>C44-R44</f>
        <v>0</v>
      </c>
      <c r="U44" s="6"/>
      <c r="V44" s="6"/>
    </row>
    <row r="45" spans="1:22" x14ac:dyDescent="0.2">
      <c r="A45" s="711" t="s">
        <v>25</v>
      </c>
      <c r="B45" s="711"/>
      <c r="C45" s="711"/>
      <c r="D45" s="711"/>
      <c r="E45" s="23"/>
      <c r="F45" s="375"/>
      <c r="G45" s="375"/>
      <c r="H45" s="375"/>
      <c r="I45" s="375"/>
      <c r="J45" s="375"/>
      <c r="K45" s="375"/>
      <c r="L45" s="375"/>
      <c r="M45" s="375"/>
      <c r="N45" s="376"/>
      <c r="O45" s="376"/>
      <c r="P45" s="376"/>
      <c r="Q45" s="376"/>
      <c r="R45" s="109"/>
    </row>
    <row r="46" spans="1:22" ht="25.5" customHeight="1" x14ac:dyDescent="0.2">
      <c r="A46" s="21"/>
      <c r="B46" s="10" t="s">
        <v>349</v>
      </c>
      <c r="C46" s="20"/>
      <c r="F46" s="375"/>
      <c r="G46" s="375"/>
      <c r="H46" s="375"/>
      <c r="I46" s="375"/>
      <c r="J46" s="375"/>
      <c r="K46" s="375"/>
      <c r="L46" s="375"/>
      <c r="M46" s="375"/>
      <c r="N46" s="376"/>
      <c r="O46" s="376"/>
      <c r="P46" s="376"/>
      <c r="Q46" s="376"/>
      <c r="R46" s="109"/>
    </row>
    <row r="47" spans="1:22" s="12" customFormat="1" x14ac:dyDescent="0.2">
      <c r="A47" s="87">
        <v>41101.010999999999</v>
      </c>
      <c r="B47" s="15" t="s">
        <v>22</v>
      </c>
      <c r="C47" s="428">
        <f>[6]OR!$J$15</f>
        <v>235350</v>
      </c>
      <c r="D47" s="429">
        <f>$C47/C$16</f>
        <v>22.629807692307693</v>
      </c>
      <c r="E47" s="4"/>
      <c r="F47" s="375">
        <f>$D47*F$16</f>
        <v>19988.630136986303</v>
      </c>
      <c r="G47" s="375">
        <f t="shared" ref="G47:Q50" si="21">$D47*G$16</f>
        <v>19343.835616438359</v>
      </c>
      <c r="H47" s="375">
        <f t="shared" si="21"/>
        <v>19988.630136986303</v>
      </c>
      <c r="I47" s="375">
        <f t="shared" si="21"/>
        <v>19988.630136986303</v>
      </c>
      <c r="J47" s="375">
        <f t="shared" si="21"/>
        <v>18054.246575342469</v>
      </c>
      <c r="K47" s="375">
        <f t="shared" si="21"/>
        <v>19988.630136986303</v>
      </c>
      <c r="L47" s="375">
        <f t="shared" si="21"/>
        <v>19343.835616438359</v>
      </c>
      <c r="M47" s="375">
        <f t="shared" si="21"/>
        <v>19988.630136986303</v>
      </c>
      <c r="N47" s="375">
        <f t="shared" si="21"/>
        <v>19343.835616438359</v>
      </c>
      <c r="O47" s="375">
        <f t="shared" si="21"/>
        <v>19988.630136986303</v>
      </c>
      <c r="P47" s="375">
        <f t="shared" si="21"/>
        <v>19988.630136986303</v>
      </c>
      <c r="Q47" s="375">
        <f t="shared" si="21"/>
        <v>19343.835616438359</v>
      </c>
      <c r="R47" s="109">
        <f t="shared" ref="R47:R70" si="22">SUM(F47:Q47)</f>
        <v>235350.00000000003</v>
      </c>
      <c r="S47" s="4"/>
      <c r="T47" s="7">
        <f>C47-R47</f>
        <v>0</v>
      </c>
      <c r="U47" s="4"/>
      <c r="V47" s="4"/>
    </row>
    <row r="48" spans="1:22" x14ac:dyDescent="0.2">
      <c r="A48" s="87">
        <v>41110.010999999999</v>
      </c>
      <c r="B48" s="15" t="s">
        <v>21</v>
      </c>
      <c r="C48" s="428">
        <f>[6]OR!$J$16</f>
        <v>26150</v>
      </c>
      <c r="D48" s="429">
        <f t="shared" ref="D48:D50" si="23">$C48/C$16</f>
        <v>2.5144230769230771</v>
      </c>
      <c r="F48" s="375">
        <f>$D48*F$16</f>
        <v>2220.9589041095892</v>
      </c>
      <c r="G48" s="375">
        <f t="shared" si="21"/>
        <v>2149.3150684931511</v>
      </c>
      <c r="H48" s="375">
        <f t="shared" si="21"/>
        <v>2220.9589041095892</v>
      </c>
      <c r="I48" s="375">
        <f t="shared" si="21"/>
        <v>2220.9589041095892</v>
      </c>
      <c r="J48" s="375">
        <f t="shared" si="21"/>
        <v>2006.0273972602743</v>
      </c>
      <c r="K48" s="375">
        <f t="shared" si="21"/>
        <v>2220.9589041095892</v>
      </c>
      <c r="L48" s="375">
        <f t="shared" si="21"/>
        <v>2149.3150684931511</v>
      </c>
      <c r="M48" s="375">
        <f t="shared" si="21"/>
        <v>2220.9589041095892</v>
      </c>
      <c r="N48" s="375">
        <f t="shared" si="21"/>
        <v>2149.3150684931511</v>
      </c>
      <c r="O48" s="375">
        <f t="shared" si="21"/>
        <v>2220.9589041095892</v>
      </c>
      <c r="P48" s="375">
        <f t="shared" si="21"/>
        <v>2220.9589041095892</v>
      </c>
      <c r="Q48" s="375">
        <f t="shared" si="21"/>
        <v>2149.3150684931511</v>
      </c>
      <c r="R48" s="109">
        <f t="shared" si="22"/>
        <v>26150</v>
      </c>
      <c r="T48" s="7">
        <f t="shared" ref="T48:T70" si="24">C48-R48</f>
        <v>0</v>
      </c>
    </row>
    <row r="49" spans="1:20" x14ac:dyDescent="0.2">
      <c r="A49" s="87">
        <v>41115.010999999999</v>
      </c>
      <c r="B49" s="15" t="s">
        <v>20</v>
      </c>
      <c r="C49" s="428">
        <f>[6]OR!$J$17</f>
        <v>1050</v>
      </c>
      <c r="D49" s="429">
        <f t="shared" si="23"/>
        <v>0.10096153846153846</v>
      </c>
      <c r="F49" s="375">
        <f>$D49*F$16</f>
        <v>89.178082191780831</v>
      </c>
      <c r="G49" s="375">
        <f t="shared" si="21"/>
        <v>86.301369863013704</v>
      </c>
      <c r="H49" s="375">
        <f t="shared" si="21"/>
        <v>89.178082191780831</v>
      </c>
      <c r="I49" s="375">
        <f t="shared" si="21"/>
        <v>89.178082191780831</v>
      </c>
      <c r="J49" s="375">
        <f t="shared" si="21"/>
        <v>80.547945205479465</v>
      </c>
      <c r="K49" s="375">
        <f t="shared" si="21"/>
        <v>89.178082191780831</v>
      </c>
      <c r="L49" s="375">
        <f t="shared" si="21"/>
        <v>86.301369863013704</v>
      </c>
      <c r="M49" s="375">
        <f t="shared" si="21"/>
        <v>89.178082191780831</v>
      </c>
      <c r="N49" s="375">
        <f t="shared" si="21"/>
        <v>86.301369863013704</v>
      </c>
      <c r="O49" s="375">
        <f t="shared" si="21"/>
        <v>89.178082191780831</v>
      </c>
      <c r="P49" s="375">
        <f t="shared" si="21"/>
        <v>89.178082191780831</v>
      </c>
      <c r="Q49" s="375">
        <f t="shared" si="21"/>
        <v>86.301369863013704</v>
      </c>
      <c r="R49" s="109">
        <f t="shared" si="22"/>
        <v>1050.0000000000002</v>
      </c>
      <c r="T49" s="7">
        <f t="shared" si="24"/>
        <v>0</v>
      </c>
    </row>
    <row r="50" spans="1:20" x14ac:dyDescent="0.2">
      <c r="A50" s="87">
        <v>41150.010999999999</v>
      </c>
      <c r="B50" s="15" t="s">
        <v>19</v>
      </c>
      <c r="C50" s="428">
        <f>[6]OR!$J$18</f>
        <v>20085.075000000001</v>
      </c>
      <c r="D50" s="429">
        <f t="shared" si="23"/>
        <v>1.9312572115384616</v>
      </c>
      <c r="F50" s="375">
        <f>$D50*F$16</f>
        <v>1705.8556849315071</v>
      </c>
      <c r="G50" s="375">
        <f t="shared" si="21"/>
        <v>1650.828082191781</v>
      </c>
      <c r="H50" s="375">
        <f t="shared" si="21"/>
        <v>1705.8556849315071</v>
      </c>
      <c r="I50" s="375">
        <f t="shared" si="21"/>
        <v>1705.8556849315071</v>
      </c>
      <c r="J50" s="375">
        <f t="shared" si="21"/>
        <v>1540.772876712329</v>
      </c>
      <c r="K50" s="375">
        <f t="shared" si="21"/>
        <v>1705.8556849315071</v>
      </c>
      <c r="L50" s="375">
        <f t="shared" si="21"/>
        <v>1650.828082191781</v>
      </c>
      <c r="M50" s="375">
        <f t="shared" si="21"/>
        <v>1705.8556849315071</v>
      </c>
      <c r="N50" s="375">
        <f t="shared" si="21"/>
        <v>1650.828082191781</v>
      </c>
      <c r="O50" s="375">
        <f t="shared" si="21"/>
        <v>1705.8556849315071</v>
      </c>
      <c r="P50" s="375">
        <f t="shared" si="21"/>
        <v>1705.8556849315071</v>
      </c>
      <c r="Q50" s="375">
        <f t="shared" si="21"/>
        <v>1650.828082191781</v>
      </c>
      <c r="R50" s="109">
        <f t="shared" si="22"/>
        <v>20085.075000000001</v>
      </c>
      <c r="T50" s="7">
        <f t="shared" si="24"/>
        <v>0</v>
      </c>
    </row>
    <row r="51" spans="1:20" x14ac:dyDescent="0.2">
      <c r="A51" s="87">
        <v>41219.010999999999</v>
      </c>
      <c r="B51" s="15" t="s">
        <v>386</v>
      </c>
      <c r="C51" s="14"/>
      <c r="D51" s="13">
        <f t="shared" ref="D51:D69" si="25">$C51/C$13</f>
        <v>0</v>
      </c>
      <c r="F51" s="375">
        <f t="shared" ref="F51:Q69" si="26">$D51*F$13</f>
        <v>0</v>
      </c>
      <c r="G51" s="375">
        <f t="shared" ref="G51:Q63" si="27">$D51*G$13</f>
        <v>0</v>
      </c>
      <c r="H51" s="375">
        <f t="shared" si="27"/>
        <v>0</v>
      </c>
      <c r="I51" s="375">
        <f t="shared" si="27"/>
        <v>0</v>
      </c>
      <c r="J51" s="375">
        <f t="shared" si="27"/>
        <v>0</v>
      </c>
      <c r="K51" s="375">
        <f t="shared" si="27"/>
        <v>0</v>
      </c>
      <c r="L51" s="375">
        <f t="shared" si="27"/>
        <v>0</v>
      </c>
      <c r="M51" s="375">
        <f t="shared" si="27"/>
        <v>0</v>
      </c>
      <c r="N51" s="375">
        <f t="shared" si="27"/>
        <v>0</v>
      </c>
      <c r="O51" s="375">
        <f t="shared" si="27"/>
        <v>0</v>
      </c>
      <c r="P51" s="375">
        <f t="shared" si="27"/>
        <v>0</v>
      </c>
      <c r="Q51" s="375">
        <f t="shared" si="27"/>
        <v>0</v>
      </c>
      <c r="R51" s="109">
        <f t="shared" si="22"/>
        <v>0</v>
      </c>
      <c r="T51" s="7">
        <f t="shared" si="24"/>
        <v>0</v>
      </c>
    </row>
    <row r="52" spans="1:20" x14ac:dyDescent="0.2">
      <c r="A52" s="87">
        <v>41237.010999999999</v>
      </c>
      <c r="B52" s="15" t="s">
        <v>17</v>
      </c>
      <c r="C52" s="14">
        <f>[6]OR!$J$19</f>
        <v>6400</v>
      </c>
      <c r="D52" s="13">
        <f t="shared" si="25"/>
        <v>10.829103214890017</v>
      </c>
      <c r="F52" s="375">
        <f t="shared" si="26"/>
        <v>530.62605752961088</v>
      </c>
      <c r="G52" s="375">
        <f t="shared" si="27"/>
        <v>563.11336717428082</v>
      </c>
      <c r="H52" s="375">
        <f t="shared" si="27"/>
        <v>411.50592216582066</v>
      </c>
      <c r="I52" s="375">
        <f t="shared" si="27"/>
        <v>433.16412859560069</v>
      </c>
      <c r="J52" s="375">
        <f t="shared" si="27"/>
        <v>617.25888324873097</v>
      </c>
      <c r="K52" s="375">
        <f t="shared" si="27"/>
        <v>476.48054145516073</v>
      </c>
      <c r="L52" s="375">
        <f t="shared" si="27"/>
        <v>498.13874788494076</v>
      </c>
      <c r="M52" s="375">
        <f t="shared" si="27"/>
        <v>649.74619289340103</v>
      </c>
      <c r="N52" s="375">
        <f t="shared" si="27"/>
        <v>476.48054145516073</v>
      </c>
      <c r="O52" s="375">
        <f t="shared" si="27"/>
        <v>541.45516074450086</v>
      </c>
      <c r="P52" s="375">
        <f t="shared" si="27"/>
        <v>736.37901861252112</v>
      </c>
      <c r="Q52" s="375">
        <f t="shared" si="27"/>
        <v>465.65143824027075</v>
      </c>
      <c r="R52" s="109">
        <f t="shared" si="22"/>
        <v>6400</v>
      </c>
      <c r="T52" s="7">
        <f t="shared" si="24"/>
        <v>0</v>
      </c>
    </row>
    <row r="53" spans="1:20" x14ac:dyDescent="0.2">
      <c r="A53" s="87">
        <v>41245.010999999999</v>
      </c>
      <c r="B53" s="15" t="s">
        <v>364</v>
      </c>
      <c r="C53" s="14">
        <f>[6]OR!$J$20</f>
        <v>2200</v>
      </c>
      <c r="D53" s="13">
        <f t="shared" si="25"/>
        <v>3.7225042301184432</v>
      </c>
      <c r="F53" s="375">
        <f t="shared" si="26"/>
        <v>182.40270727580372</v>
      </c>
      <c r="G53" s="375">
        <f t="shared" si="27"/>
        <v>193.57021996615904</v>
      </c>
      <c r="H53" s="375">
        <f t="shared" si="27"/>
        <v>141.45516074450083</v>
      </c>
      <c r="I53" s="375">
        <f t="shared" si="27"/>
        <v>148.90016920473772</v>
      </c>
      <c r="J53" s="375">
        <f t="shared" si="27"/>
        <v>212.18274111675126</v>
      </c>
      <c r="K53" s="375">
        <f t="shared" si="27"/>
        <v>163.79018612521151</v>
      </c>
      <c r="L53" s="375">
        <f t="shared" si="27"/>
        <v>171.2351945854484</v>
      </c>
      <c r="M53" s="375">
        <f t="shared" si="27"/>
        <v>223.35025380710658</v>
      </c>
      <c r="N53" s="375">
        <f t="shared" si="27"/>
        <v>163.79018612521151</v>
      </c>
      <c r="O53" s="375">
        <f t="shared" si="27"/>
        <v>186.12521150592215</v>
      </c>
      <c r="P53" s="375">
        <f t="shared" si="27"/>
        <v>253.13028764805415</v>
      </c>
      <c r="Q53" s="375">
        <f t="shared" si="27"/>
        <v>160.06768189509305</v>
      </c>
      <c r="R53" s="109">
        <f t="shared" si="22"/>
        <v>2199.9999999999995</v>
      </c>
      <c r="T53" s="7">
        <f t="shared" si="24"/>
        <v>0</v>
      </c>
    </row>
    <row r="54" spans="1:20" x14ac:dyDescent="0.2">
      <c r="A54" s="87">
        <v>41246.010999999999</v>
      </c>
      <c r="B54" s="15" t="s">
        <v>16</v>
      </c>
      <c r="C54" s="14"/>
      <c r="D54" s="13">
        <f t="shared" si="25"/>
        <v>0</v>
      </c>
      <c r="F54" s="375">
        <f t="shared" si="26"/>
        <v>0</v>
      </c>
      <c r="G54" s="375">
        <f t="shared" si="27"/>
        <v>0</v>
      </c>
      <c r="H54" s="375">
        <f t="shared" si="27"/>
        <v>0</v>
      </c>
      <c r="I54" s="375">
        <f t="shared" si="27"/>
        <v>0</v>
      </c>
      <c r="J54" s="375">
        <f t="shared" si="27"/>
        <v>0</v>
      </c>
      <c r="K54" s="375">
        <f t="shared" si="27"/>
        <v>0</v>
      </c>
      <c r="L54" s="375">
        <f t="shared" si="27"/>
        <v>0</v>
      </c>
      <c r="M54" s="375">
        <f t="shared" si="27"/>
        <v>0</v>
      </c>
      <c r="N54" s="375">
        <f t="shared" si="27"/>
        <v>0</v>
      </c>
      <c r="O54" s="375">
        <f t="shared" si="27"/>
        <v>0</v>
      </c>
      <c r="P54" s="375">
        <f t="shared" si="27"/>
        <v>0</v>
      </c>
      <c r="Q54" s="375">
        <f t="shared" si="27"/>
        <v>0</v>
      </c>
      <c r="R54" s="109">
        <f t="shared" si="22"/>
        <v>0</v>
      </c>
      <c r="T54" s="7">
        <f t="shared" si="24"/>
        <v>0</v>
      </c>
    </row>
    <row r="55" spans="1:20" x14ac:dyDescent="0.2">
      <c r="A55" s="87">
        <v>41250.010999999999</v>
      </c>
      <c r="B55" s="15" t="s">
        <v>15</v>
      </c>
      <c r="C55" s="14"/>
      <c r="D55" s="13">
        <f t="shared" si="25"/>
        <v>0</v>
      </c>
      <c r="F55" s="375">
        <f t="shared" si="26"/>
        <v>0</v>
      </c>
      <c r="G55" s="375">
        <f t="shared" si="27"/>
        <v>0</v>
      </c>
      <c r="H55" s="375">
        <f t="shared" si="27"/>
        <v>0</v>
      </c>
      <c r="I55" s="375">
        <f t="shared" si="27"/>
        <v>0</v>
      </c>
      <c r="J55" s="375">
        <f t="shared" si="27"/>
        <v>0</v>
      </c>
      <c r="K55" s="375">
        <f t="shared" si="27"/>
        <v>0</v>
      </c>
      <c r="L55" s="375">
        <f t="shared" si="27"/>
        <v>0</v>
      </c>
      <c r="M55" s="375">
        <f t="shared" si="27"/>
        <v>0</v>
      </c>
      <c r="N55" s="375">
        <f t="shared" si="27"/>
        <v>0</v>
      </c>
      <c r="O55" s="375">
        <f t="shared" si="27"/>
        <v>0</v>
      </c>
      <c r="P55" s="375">
        <f t="shared" si="27"/>
        <v>0</v>
      </c>
      <c r="Q55" s="375">
        <f t="shared" si="27"/>
        <v>0</v>
      </c>
      <c r="R55" s="109">
        <f t="shared" si="22"/>
        <v>0</v>
      </c>
      <c r="T55" s="7">
        <f t="shared" si="24"/>
        <v>0</v>
      </c>
    </row>
    <row r="56" spans="1:20" x14ac:dyDescent="0.2">
      <c r="A56" s="87">
        <v>41253.010999999999</v>
      </c>
      <c r="B56" s="15" t="s">
        <v>877</v>
      </c>
      <c r="C56" s="14">
        <v>0</v>
      </c>
      <c r="D56" s="13">
        <f t="shared" si="25"/>
        <v>0</v>
      </c>
      <c r="F56" s="375">
        <f t="shared" si="26"/>
        <v>0</v>
      </c>
      <c r="G56" s="375">
        <f t="shared" si="26"/>
        <v>0</v>
      </c>
      <c r="H56" s="375">
        <f t="shared" si="26"/>
        <v>0</v>
      </c>
      <c r="I56" s="375">
        <f t="shared" si="26"/>
        <v>0</v>
      </c>
      <c r="J56" s="375">
        <f t="shared" si="26"/>
        <v>0</v>
      </c>
      <c r="K56" s="375">
        <f t="shared" si="26"/>
        <v>0</v>
      </c>
      <c r="L56" s="375">
        <f t="shared" si="26"/>
        <v>0</v>
      </c>
      <c r="M56" s="375">
        <f t="shared" si="26"/>
        <v>0</v>
      </c>
      <c r="N56" s="375">
        <f t="shared" si="26"/>
        <v>0</v>
      </c>
      <c r="O56" s="375">
        <f t="shared" si="26"/>
        <v>0</v>
      </c>
      <c r="P56" s="375">
        <f t="shared" si="26"/>
        <v>0</v>
      </c>
      <c r="Q56" s="375">
        <f t="shared" si="26"/>
        <v>0</v>
      </c>
      <c r="R56" s="109">
        <f t="shared" ref="R56" si="28">SUM(F56:Q56)</f>
        <v>0</v>
      </c>
      <c r="T56" s="7">
        <f t="shared" ref="T56" si="29">C56-R56</f>
        <v>0</v>
      </c>
    </row>
    <row r="57" spans="1:20" x14ac:dyDescent="0.2">
      <c r="A57" s="87">
        <v>41260.010999999999</v>
      </c>
      <c r="B57" s="15" t="s">
        <v>14</v>
      </c>
      <c r="C57" s="14"/>
      <c r="D57" s="13">
        <f t="shared" si="25"/>
        <v>0</v>
      </c>
      <c r="F57" s="375">
        <f t="shared" si="26"/>
        <v>0</v>
      </c>
      <c r="G57" s="375">
        <f t="shared" si="27"/>
        <v>0</v>
      </c>
      <c r="H57" s="375">
        <f t="shared" si="27"/>
        <v>0</v>
      </c>
      <c r="I57" s="375">
        <f t="shared" si="27"/>
        <v>0</v>
      </c>
      <c r="J57" s="375">
        <f t="shared" si="27"/>
        <v>0</v>
      </c>
      <c r="K57" s="375">
        <f t="shared" si="27"/>
        <v>0</v>
      </c>
      <c r="L57" s="375">
        <f t="shared" si="27"/>
        <v>0</v>
      </c>
      <c r="M57" s="375">
        <f t="shared" si="27"/>
        <v>0</v>
      </c>
      <c r="N57" s="375">
        <f t="shared" si="27"/>
        <v>0</v>
      </c>
      <c r="O57" s="375">
        <f t="shared" si="27"/>
        <v>0</v>
      </c>
      <c r="P57" s="375">
        <f t="shared" si="27"/>
        <v>0</v>
      </c>
      <c r="Q57" s="375">
        <f t="shared" si="27"/>
        <v>0</v>
      </c>
      <c r="R57" s="109">
        <f t="shared" si="22"/>
        <v>0</v>
      </c>
      <c r="T57" s="7">
        <f t="shared" si="24"/>
        <v>0</v>
      </c>
    </row>
    <row r="58" spans="1:20" x14ac:dyDescent="0.2">
      <c r="A58" s="87">
        <v>41265.010999999999</v>
      </c>
      <c r="B58" s="15" t="s">
        <v>365</v>
      </c>
      <c r="C58" s="14"/>
      <c r="D58" s="13">
        <f t="shared" si="25"/>
        <v>0</v>
      </c>
      <c r="F58" s="375">
        <f t="shared" si="26"/>
        <v>0</v>
      </c>
      <c r="G58" s="375">
        <f t="shared" si="27"/>
        <v>0</v>
      </c>
      <c r="H58" s="375">
        <f t="shared" si="27"/>
        <v>0</v>
      </c>
      <c r="I58" s="375">
        <f t="shared" si="27"/>
        <v>0</v>
      </c>
      <c r="J58" s="375">
        <f t="shared" si="27"/>
        <v>0</v>
      </c>
      <c r="K58" s="375">
        <f t="shared" si="27"/>
        <v>0</v>
      </c>
      <c r="L58" s="375">
        <f t="shared" si="27"/>
        <v>0</v>
      </c>
      <c r="M58" s="375">
        <f t="shared" si="27"/>
        <v>0</v>
      </c>
      <c r="N58" s="375">
        <f t="shared" si="27"/>
        <v>0</v>
      </c>
      <c r="O58" s="375">
        <f t="shared" si="27"/>
        <v>0</v>
      </c>
      <c r="P58" s="375">
        <f t="shared" si="27"/>
        <v>0</v>
      </c>
      <c r="Q58" s="375">
        <f t="shared" si="27"/>
        <v>0</v>
      </c>
      <c r="R58" s="109">
        <f t="shared" si="22"/>
        <v>0</v>
      </c>
      <c r="T58" s="7">
        <f t="shared" si="24"/>
        <v>0</v>
      </c>
    </row>
    <row r="59" spans="1:20" x14ac:dyDescent="0.2">
      <c r="A59" s="87">
        <v>41342.010999999999</v>
      </c>
      <c r="B59" s="15" t="s">
        <v>11</v>
      </c>
      <c r="C59" s="14">
        <f>[6]OR!$J$21</f>
        <v>600</v>
      </c>
      <c r="D59" s="13">
        <f t="shared" si="25"/>
        <v>1.015228426395939</v>
      </c>
      <c r="F59" s="375">
        <f t="shared" si="26"/>
        <v>49.746192893401009</v>
      </c>
      <c r="G59" s="375">
        <f t="shared" si="26"/>
        <v>52.791878172588831</v>
      </c>
      <c r="H59" s="375">
        <f t="shared" si="26"/>
        <v>38.578680203045685</v>
      </c>
      <c r="I59" s="375">
        <f t="shared" si="26"/>
        <v>40.609137055837564</v>
      </c>
      <c r="J59" s="375">
        <f t="shared" si="26"/>
        <v>57.868020304568525</v>
      </c>
      <c r="K59" s="375">
        <f t="shared" si="26"/>
        <v>44.670050761421315</v>
      </c>
      <c r="L59" s="375">
        <f t="shared" si="26"/>
        <v>46.700507614213194</v>
      </c>
      <c r="M59" s="375">
        <f t="shared" si="26"/>
        <v>60.913705583756339</v>
      </c>
      <c r="N59" s="375">
        <f t="shared" si="26"/>
        <v>44.670050761421315</v>
      </c>
      <c r="O59" s="375">
        <f t="shared" si="26"/>
        <v>50.761421319796952</v>
      </c>
      <c r="P59" s="375">
        <f t="shared" si="26"/>
        <v>69.035532994923855</v>
      </c>
      <c r="Q59" s="375">
        <f t="shared" si="26"/>
        <v>43.654822335025379</v>
      </c>
      <c r="R59" s="379">
        <f t="shared" ref="R59" si="30">SUM(F59:Q59)</f>
        <v>600</v>
      </c>
      <c r="S59" s="4"/>
      <c r="T59" s="7">
        <f t="shared" ref="T59" si="31">C59-R59</f>
        <v>0</v>
      </c>
    </row>
    <row r="60" spans="1:20" x14ac:dyDescent="0.2">
      <c r="A60" s="132">
        <v>41365.010999999999</v>
      </c>
      <c r="B60" s="15" t="s">
        <v>10</v>
      </c>
      <c r="C60" s="14">
        <f>[6]OR!$J$22</f>
        <v>650</v>
      </c>
      <c r="D60" s="13">
        <f t="shared" si="25"/>
        <v>1.0998307952622672</v>
      </c>
      <c r="F60" s="375">
        <f t="shared" si="26"/>
        <v>53.891708967851095</v>
      </c>
      <c r="G60" s="375">
        <f t="shared" si="27"/>
        <v>57.191201353637894</v>
      </c>
      <c r="H60" s="375">
        <f t="shared" si="27"/>
        <v>41.793570219966156</v>
      </c>
      <c r="I60" s="375">
        <f t="shared" si="27"/>
        <v>43.993231810490691</v>
      </c>
      <c r="J60" s="375">
        <f t="shared" si="27"/>
        <v>62.690355329949234</v>
      </c>
      <c r="K60" s="375">
        <f t="shared" si="27"/>
        <v>48.392554991539761</v>
      </c>
      <c r="L60" s="375">
        <f t="shared" si="27"/>
        <v>50.592216582064296</v>
      </c>
      <c r="M60" s="375">
        <f t="shared" si="27"/>
        <v>65.989847715736033</v>
      </c>
      <c r="N60" s="375">
        <f t="shared" si="27"/>
        <v>48.392554991539761</v>
      </c>
      <c r="O60" s="375">
        <f t="shared" si="27"/>
        <v>54.991539763113359</v>
      </c>
      <c r="P60" s="375">
        <f t="shared" si="27"/>
        <v>74.788494077834173</v>
      </c>
      <c r="Q60" s="375">
        <f t="shared" si="27"/>
        <v>47.29272419627749</v>
      </c>
      <c r="R60" s="109">
        <f t="shared" si="22"/>
        <v>650</v>
      </c>
      <c r="T60" s="7">
        <f t="shared" si="24"/>
        <v>0</v>
      </c>
    </row>
    <row r="61" spans="1:20" x14ac:dyDescent="0.2">
      <c r="A61" s="132">
        <v>41423.010999999999</v>
      </c>
      <c r="B61" s="15" t="s">
        <v>476</v>
      </c>
      <c r="C61" s="14"/>
      <c r="D61" s="13">
        <f t="shared" si="25"/>
        <v>0</v>
      </c>
      <c r="F61" s="375">
        <f t="shared" si="26"/>
        <v>0</v>
      </c>
      <c r="G61" s="375">
        <f t="shared" si="26"/>
        <v>0</v>
      </c>
      <c r="H61" s="375">
        <f t="shared" si="26"/>
        <v>0</v>
      </c>
      <c r="I61" s="375">
        <f t="shared" si="26"/>
        <v>0</v>
      </c>
      <c r="J61" s="375">
        <f t="shared" si="26"/>
        <v>0</v>
      </c>
      <c r="K61" s="375">
        <f t="shared" si="26"/>
        <v>0</v>
      </c>
      <c r="L61" s="375">
        <f t="shared" si="26"/>
        <v>0</v>
      </c>
      <c r="M61" s="375">
        <f t="shared" si="26"/>
        <v>0</v>
      </c>
      <c r="N61" s="375">
        <f t="shared" si="26"/>
        <v>0</v>
      </c>
      <c r="O61" s="375">
        <f t="shared" si="26"/>
        <v>0</v>
      </c>
      <c r="P61" s="375">
        <f t="shared" si="26"/>
        <v>0</v>
      </c>
      <c r="Q61" s="375">
        <f t="shared" si="26"/>
        <v>0</v>
      </c>
      <c r="R61" s="109">
        <f t="shared" ref="R61" si="32">SUM(F61:Q61)</f>
        <v>0</v>
      </c>
      <c r="T61" s="7">
        <f t="shared" ref="T61" si="33">C61-R61</f>
        <v>0</v>
      </c>
    </row>
    <row r="62" spans="1:20" x14ac:dyDescent="0.2">
      <c r="A62" s="87">
        <v>41426.010999999999</v>
      </c>
      <c r="B62" s="15" t="s">
        <v>8</v>
      </c>
      <c r="C62" s="14">
        <f>[6]OR!$J$23</f>
        <v>50</v>
      </c>
      <c r="D62" s="13">
        <f t="shared" si="25"/>
        <v>8.4602368866328256E-2</v>
      </c>
      <c r="F62" s="375">
        <f t="shared" si="26"/>
        <v>4.145516074450085</v>
      </c>
      <c r="G62" s="375">
        <f t="shared" si="27"/>
        <v>4.3993231810490689</v>
      </c>
      <c r="H62" s="375">
        <f t="shared" si="27"/>
        <v>3.2148900169204739</v>
      </c>
      <c r="I62" s="375">
        <f t="shared" si="27"/>
        <v>3.3840947546531304</v>
      </c>
      <c r="J62" s="375">
        <f t="shared" si="27"/>
        <v>4.8223350253807107</v>
      </c>
      <c r="K62" s="375">
        <f t="shared" si="27"/>
        <v>3.7225042301184432</v>
      </c>
      <c r="L62" s="375">
        <f t="shared" si="27"/>
        <v>3.8917089678510997</v>
      </c>
      <c r="M62" s="375">
        <f t="shared" si="27"/>
        <v>5.0761421319796955</v>
      </c>
      <c r="N62" s="375">
        <f t="shared" si="27"/>
        <v>3.7225042301184432</v>
      </c>
      <c r="O62" s="375">
        <f t="shared" si="27"/>
        <v>4.230118443316413</v>
      </c>
      <c r="P62" s="375">
        <f t="shared" si="27"/>
        <v>5.7529610829103213</v>
      </c>
      <c r="Q62" s="375">
        <f t="shared" si="27"/>
        <v>3.6379018612521152</v>
      </c>
      <c r="R62" s="109">
        <f t="shared" si="22"/>
        <v>50</v>
      </c>
      <c r="T62" s="7">
        <f t="shared" si="24"/>
        <v>0</v>
      </c>
    </row>
    <row r="63" spans="1:20" x14ac:dyDescent="0.2">
      <c r="A63" s="87">
        <v>41439.010999999999</v>
      </c>
      <c r="B63" s="15" t="s">
        <v>366</v>
      </c>
      <c r="C63" s="14"/>
      <c r="D63" s="13">
        <f t="shared" si="25"/>
        <v>0</v>
      </c>
      <c r="F63" s="375">
        <f t="shared" si="26"/>
        <v>0</v>
      </c>
      <c r="G63" s="375">
        <f t="shared" si="27"/>
        <v>0</v>
      </c>
      <c r="H63" s="375">
        <f t="shared" si="27"/>
        <v>0</v>
      </c>
      <c r="I63" s="375">
        <f t="shared" si="27"/>
        <v>0</v>
      </c>
      <c r="J63" s="375">
        <f t="shared" si="27"/>
        <v>0</v>
      </c>
      <c r="K63" s="375">
        <f t="shared" si="27"/>
        <v>0</v>
      </c>
      <c r="L63" s="375">
        <f t="shared" si="27"/>
        <v>0</v>
      </c>
      <c r="M63" s="375">
        <f t="shared" si="27"/>
        <v>0</v>
      </c>
      <c r="N63" s="375">
        <f t="shared" si="27"/>
        <v>0</v>
      </c>
      <c r="O63" s="375">
        <f t="shared" si="27"/>
        <v>0</v>
      </c>
      <c r="P63" s="375">
        <f t="shared" si="27"/>
        <v>0</v>
      </c>
      <c r="Q63" s="375">
        <f t="shared" si="27"/>
        <v>0</v>
      </c>
      <c r="R63" s="109">
        <f t="shared" si="22"/>
        <v>0</v>
      </c>
      <c r="T63" s="7">
        <f t="shared" si="24"/>
        <v>0</v>
      </c>
    </row>
    <row r="64" spans="1:20" x14ac:dyDescent="0.2">
      <c r="A64" s="87">
        <v>41440.010999999999</v>
      </c>
      <c r="B64" s="15" t="s">
        <v>7</v>
      </c>
      <c r="C64" s="14"/>
      <c r="D64" s="13">
        <f t="shared" si="25"/>
        <v>0</v>
      </c>
      <c r="F64" s="375">
        <f t="shared" si="26"/>
        <v>0</v>
      </c>
      <c r="G64" s="375">
        <f t="shared" si="26"/>
        <v>0</v>
      </c>
      <c r="H64" s="375">
        <f t="shared" si="26"/>
        <v>0</v>
      </c>
      <c r="I64" s="375">
        <f t="shared" si="26"/>
        <v>0</v>
      </c>
      <c r="J64" s="375">
        <f t="shared" si="26"/>
        <v>0</v>
      </c>
      <c r="K64" s="375">
        <f t="shared" si="26"/>
        <v>0</v>
      </c>
      <c r="L64" s="375">
        <f t="shared" si="26"/>
        <v>0</v>
      </c>
      <c r="M64" s="375">
        <f t="shared" si="26"/>
        <v>0</v>
      </c>
      <c r="N64" s="375">
        <f t="shared" si="26"/>
        <v>0</v>
      </c>
      <c r="O64" s="375">
        <f t="shared" si="26"/>
        <v>0</v>
      </c>
      <c r="P64" s="375">
        <f t="shared" si="26"/>
        <v>0</v>
      </c>
      <c r="Q64" s="375">
        <f t="shared" si="26"/>
        <v>0</v>
      </c>
      <c r="R64" s="109">
        <f t="shared" si="22"/>
        <v>0</v>
      </c>
      <c r="T64" s="7">
        <f t="shared" si="24"/>
        <v>0</v>
      </c>
    </row>
    <row r="65" spans="1:20" x14ac:dyDescent="0.2">
      <c r="A65" s="87">
        <v>41460.010999999999</v>
      </c>
      <c r="B65" s="15" t="s">
        <v>6</v>
      </c>
      <c r="C65" s="14">
        <f>[6]OR!$J$24</f>
        <v>100</v>
      </c>
      <c r="D65" s="13">
        <f t="shared" si="25"/>
        <v>0.16920473773265651</v>
      </c>
      <c r="F65" s="375">
        <f t="shared" si="26"/>
        <v>8.2910321489001699</v>
      </c>
      <c r="G65" s="375">
        <f t="shared" si="26"/>
        <v>8.7986463620981379</v>
      </c>
      <c r="H65" s="375">
        <f t="shared" si="26"/>
        <v>6.4297800338409479</v>
      </c>
      <c r="I65" s="375">
        <f t="shared" si="26"/>
        <v>6.7681895093062607</v>
      </c>
      <c r="J65" s="375">
        <f t="shared" si="26"/>
        <v>9.6446700507614214</v>
      </c>
      <c r="K65" s="375">
        <f t="shared" si="26"/>
        <v>7.4450084602368864</v>
      </c>
      <c r="L65" s="375">
        <f t="shared" si="26"/>
        <v>7.7834179357021993</v>
      </c>
      <c r="M65" s="375">
        <f t="shared" si="26"/>
        <v>10.152284263959391</v>
      </c>
      <c r="N65" s="375">
        <f t="shared" si="26"/>
        <v>7.4450084602368864</v>
      </c>
      <c r="O65" s="375">
        <f t="shared" si="26"/>
        <v>8.4602368866328259</v>
      </c>
      <c r="P65" s="375">
        <f t="shared" si="26"/>
        <v>11.505922165820643</v>
      </c>
      <c r="Q65" s="375">
        <f t="shared" si="26"/>
        <v>7.2758037225042305</v>
      </c>
      <c r="R65" s="109">
        <f t="shared" si="22"/>
        <v>100</v>
      </c>
      <c r="T65" s="7">
        <f t="shared" si="24"/>
        <v>0</v>
      </c>
    </row>
    <row r="66" spans="1:20" x14ac:dyDescent="0.2">
      <c r="A66" s="87">
        <v>41490.010999999999</v>
      </c>
      <c r="B66" s="15" t="s">
        <v>367</v>
      </c>
      <c r="C66" s="14"/>
      <c r="D66" s="13">
        <f t="shared" si="25"/>
        <v>0</v>
      </c>
      <c r="F66" s="375">
        <f t="shared" si="26"/>
        <v>0</v>
      </c>
      <c r="G66" s="375">
        <f t="shared" si="26"/>
        <v>0</v>
      </c>
      <c r="H66" s="375">
        <f t="shared" si="26"/>
        <v>0</v>
      </c>
      <c r="I66" s="375">
        <f t="shared" si="26"/>
        <v>0</v>
      </c>
      <c r="J66" s="375">
        <f t="shared" si="26"/>
        <v>0</v>
      </c>
      <c r="K66" s="375">
        <f t="shared" si="26"/>
        <v>0</v>
      </c>
      <c r="L66" s="375">
        <f t="shared" si="26"/>
        <v>0</v>
      </c>
      <c r="M66" s="375">
        <f t="shared" si="26"/>
        <v>0</v>
      </c>
      <c r="N66" s="375">
        <f t="shared" si="26"/>
        <v>0</v>
      </c>
      <c r="O66" s="375">
        <f t="shared" si="26"/>
        <v>0</v>
      </c>
      <c r="P66" s="375">
        <f t="shared" si="26"/>
        <v>0</v>
      </c>
      <c r="Q66" s="375">
        <f t="shared" si="26"/>
        <v>0</v>
      </c>
      <c r="R66" s="109">
        <f t="shared" si="22"/>
        <v>0</v>
      </c>
      <c r="T66" s="7">
        <f t="shared" si="24"/>
        <v>0</v>
      </c>
    </row>
    <row r="67" spans="1:20" x14ac:dyDescent="0.2">
      <c r="A67" s="87">
        <v>41509.010999999999</v>
      </c>
      <c r="B67" s="15" t="s">
        <v>3</v>
      </c>
      <c r="C67" s="14">
        <f>[6]OR!$J$25</f>
        <v>5350</v>
      </c>
      <c r="D67" s="13">
        <f t="shared" si="25"/>
        <v>9.0524534686971236</v>
      </c>
      <c r="F67" s="375">
        <f t="shared" si="26"/>
        <v>443.57021996615907</v>
      </c>
      <c r="G67" s="375">
        <f t="shared" si="26"/>
        <v>470.72758037225043</v>
      </c>
      <c r="H67" s="375">
        <f t="shared" si="26"/>
        <v>343.99323181049067</v>
      </c>
      <c r="I67" s="375">
        <f t="shared" si="26"/>
        <v>362.09813874788495</v>
      </c>
      <c r="J67" s="375">
        <f t="shared" si="26"/>
        <v>515.989847715736</v>
      </c>
      <c r="K67" s="375">
        <f t="shared" si="26"/>
        <v>398.30795262267344</v>
      </c>
      <c r="L67" s="375">
        <f t="shared" si="26"/>
        <v>416.41285956006766</v>
      </c>
      <c r="M67" s="375">
        <f t="shared" si="26"/>
        <v>543.14720812182736</v>
      </c>
      <c r="N67" s="375">
        <f t="shared" si="26"/>
        <v>398.30795262267344</v>
      </c>
      <c r="O67" s="375">
        <f t="shared" si="26"/>
        <v>452.62267343485621</v>
      </c>
      <c r="P67" s="375">
        <f t="shared" si="26"/>
        <v>615.56683587140446</v>
      </c>
      <c r="Q67" s="375">
        <f t="shared" si="26"/>
        <v>389.2554991539763</v>
      </c>
      <c r="R67" s="109">
        <f t="shared" si="22"/>
        <v>5350.0000000000009</v>
      </c>
      <c r="T67" s="7">
        <f t="shared" si="24"/>
        <v>0</v>
      </c>
    </row>
    <row r="68" spans="1:20" x14ac:dyDescent="0.2">
      <c r="A68" s="87">
        <v>41570.010999999999</v>
      </c>
      <c r="B68" s="15" t="s">
        <v>2</v>
      </c>
      <c r="C68" s="14">
        <f>[6]OR!$J$26</f>
        <v>2350</v>
      </c>
      <c r="D68" s="13">
        <f t="shared" si="25"/>
        <v>3.9763113367174281</v>
      </c>
      <c r="F68" s="375">
        <f t="shared" si="26"/>
        <v>194.83925549915398</v>
      </c>
      <c r="G68" s="375">
        <f t="shared" si="26"/>
        <v>206.76818950930627</v>
      </c>
      <c r="H68" s="375">
        <f t="shared" si="26"/>
        <v>151.09983079526228</v>
      </c>
      <c r="I68" s="375">
        <f t="shared" si="26"/>
        <v>159.05245346869714</v>
      </c>
      <c r="J68" s="375">
        <f t="shared" si="26"/>
        <v>226.64974619289339</v>
      </c>
      <c r="K68" s="375">
        <f t="shared" si="26"/>
        <v>174.95769881556683</v>
      </c>
      <c r="L68" s="375">
        <f t="shared" si="26"/>
        <v>182.91032148900169</v>
      </c>
      <c r="M68" s="375">
        <f t="shared" si="26"/>
        <v>238.57868020304568</v>
      </c>
      <c r="N68" s="375">
        <f t="shared" si="26"/>
        <v>174.95769881556683</v>
      </c>
      <c r="O68" s="375">
        <f t="shared" si="26"/>
        <v>198.81556683587141</v>
      </c>
      <c r="P68" s="375">
        <f t="shared" si="26"/>
        <v>270.38917089678512</v>
      </c>
      <c r="Q68" s="375">
        <f t="shared" si="26"/>
        <v>170.9813874788494</v>
      </c>
      <c r="R68" s="109">
        <f t="shared" si="22"/>
        <v>2349.9999999999995</v>
      </c>
      <c r="T68" s="7">
        <f t="shared" si="24"/>
        <v>0</v>
      </c>
    </row>
    <row r="69" spans="1:20" x14ac:dyDescent="0.2">
      <c r="A69" s="87">
        <v>41571.010999999999</v>
      </c>
      <c r="B69" s="15" t="s">
        <v>1</v>
      </c>
      <c r="C69" s="14">
        <f>[6]OR!$J$27</f>
        <v>7631</v>
      </c>
      <c r="D69" s="13">
        <f t="shared" si="25"/>
        <v>12.912013536379019</v>
      </c>
      <c r="F69" s="375">
        <f t="shared" si="26"/>
        <v>632.68866328257195</v>
      </c>
      <c r="G69" s="375">
        <f t="shared" si="26"/>
        <v>671.42470389170899</v>
      </c>
      <c r="H69" s="375">
        <f t="shared" si="26"/>
        <v>490.65651438240275</v>
      </c>
      <c r="I69" s="375">
        <f t="shared" si="26"/>
        <v>516.48054145516073</v>
      </c>
      <c r="J69" s="375">
        <f t="shared" si="26"/>
        <v>735.98477157360412</v>
      </c>
      <c r="K69" s="375">
        <f t="shared" si="26"/>
        <v>568.12859560067682</v>
      </c>
      <c r="L69" s="375">
        <f t="shared" si="26"/>
        <v>593.95262267343492</v>
      </c>
      <c r="M69" s="375">
        <f t="shared" si="26"/>
        <v>774.72081218274116</v>
      </c>
      <c r="N69" s="375">
        <f t="shared" si="26"/>
        <v>568.12859560067682</v>
      </c>
      <c r="O69" s="375">
        <f t="shared" si="26"/>
        <v>645.600676818951</v>
      </c>
      <c r="P69" s="375">
        <f t="shared" si="26"/>
        <v>878.01692047377333</v>
      </c>
      <c r="Q69" s="375">
        <f t="shared" si="26"/>
        <v>555.21658206429788</v>
      </c>
      <c r="R69" s="109">
        <f t="shared" si="22"/>
        <v>7630.9999999999991</v>
      </c>
      <c r="T69" s="7">
        <f t="shared" si="24"/>
        <v>0</v>
      </c>
    </row>
    <row r="70" spans="1:20" x14ac:dyDescent="0.2">
      <c r="A70" s="31"/>
      <c r="B70" s="77" t="s">
        <v>0</v>
      </c>
      <c r="C70" s="88">
        <f>SUM(C47:C69)</f>
        <v>307966.07500000001</v>
      </c>
      <c r="F70" s="379">
        <f>SUM(F47:F69)</f>
        <v>26104.824161857086</v>
      </c>
      <c r="G70" s="379">
        <f t="shared" ref="G70:Q70" si="34">SUM(G47:G69)</f>
        <v>25459.065246969378</v>
      </c>
      <c r="H70" s="379">
        <f t="shared" si="34"/>
        <v>25633.350388591425</v>
      </c>
      <c r="I70" s="379">
        <f t="shared" si="34"/>
        <v>25719.072892821547</v>
      </c>
      <c r="J70" s="379">
        <f t="shared" si="34"/>
        <v>24124.686165078925</v>
      </c>
      <c r="K70" s="379">
        <f t="shared" si="34"/>
        <v>25890.517901281783</v>
      </c>
      <c r="L70" s="379">
        <f t="shared" si="34"/>
        <v>25201.89773427902</v>
      </c>
      <c r="M70" s="379">
        <f t="shared" si="34"/>
        <v>26576.29793512274</v>
      </c>
      <c r="N70" s="379">
        <f t="shared" si="34"/>
        <v>25116.175230048902</v>
      </c>
      <c r="O70" s="379">
        <f t="shared" si="34"/>
        <v>26147.685413972136</v>
      </c>
      <c r="P70" s="379">
        <f t="shared" si="34"/>
        <v>26919.187952043208</v>
      </c>
      <c r="Q70" s="379">
        <f t="shared" si="34"/>
        <v>25073.313977933849</v>
      </c>
      <c r="R70" s="109">
        <f t="shared" si="22"/>
        <v>307966.07499999995</v>
      </c>
      <c r="T70" s="7">
        <f t="shared" si="24"/>
        <v>0</v>
      </c>
    </row>
    <row r="71" spans="1:20" x14ac:dyDescent="0.2">
      <c r="A71" s="4"/>
      <c r="B71" s="4"/>
      <c r="C71" s="7">
        <f>C70-C44</f>
        <v>-243349.83584643848</v>
      </c>
    </row>
    <row r="72" spans="1:20" x14ac:dyDescent="0.2">
      <c r="C72" s="3"/>
    </row>
    <row r="73" spans="1:20" x14ac:dyDescent="0.2">
      <c r="C73" s="3"/>
    </row>
    <row r="74" spans="1:20" x14ac:dyDescent="0.2">
      <c r="C74" s="96"/>
    </row>
    <row r="76" spans="1:20" x14ac:dyDescent="0.2">
      <c r="C76" s="3"/>
    </row>
    <row r="78" spans="1:20" x14ac:dyDescent="0.2">
      <c r="C78" s="96"/>
    </row>
  </sheetData>
  <mergeCells count="2">
    <mergeCell ref="A18:D18"/>
    <mergeCell ref="A45:D45"/>
  </mergeCells>
  <printOptions gridLines="1"/>
  <pageMargins left="0.25" right="0.25" top="0.75" bottom="0.75" header="0.3" footer="0.3"/>
  <pageSetup scale="53" fitToHeight="0" orientation="landscape" r:id="rId1"/>
  <headerFooter alignWithMargins="0">
    <oddHeader xml:space="preserve">&amp;C&amp;"Arial,Bold"&amp;14DOCTORS MEMORIAL HOSPITAL
FY 2017 BUDGET
</oddHeader>
    <oddFooter xml:space="preserve">&amp;R&amp;A
</oddFooter>
  </headerFooter>
  <rowBreaks count="1" manualBreakCount="1">
    <brk id="44" max="17" man="1"/>
  </rowBreaks>
  <ignoredErrors>
    <ignoredError sqref="F27:Q27"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57"/>
  <sheetViews>
    <sheetView zoomScale="80" zoomScaleNormal="80" workbookViewId="0">
      <pane xSplit="2" ySplit="5" topLeftCell="C24" activePane="bottomRight" state="frozen"/>
      <selection pane="topRight" activeCell="C1" sqref="C1"/>
      <selection pane="bottomLeft" activeCell="A6" sqref="A6"/>
      <selection pane="bottomRight" activeCell="C43" sqref="C43"/>
    </sheetView>
  </sheetViews>
  <sheetFormatPr defaultRowHeight="12.75" x14ac:dyDescent="0.2"/>
  <cols>
    <col min="1" max="1" width="10" style="2" customWidth="1"/>
    <col min="2" max="2" width="23.85546875" style="2" customWidth="1"/>
    <col min="3" max="3" width="12.7109375" style="2" bestFit="1" customWidth="1"/>
    <col min="4" max="4" width="12" style="4" bestFit="1" customWidth="1"/>
    <col min="5" max="5" width="3.85546875" style="4" customWidth="1"/>
    <col min="6" max="7" width="15.140625" style="7" bestFit="1" customWidth="1"/>
    <col min="8" max="8" width="14.42578125" style="7" bestFit="1" customWidth="1"/>
    <col min="9" max="9" width="14.85546875" style="7" bestFit="1" customWidth="1"/>
    <col min="10" max="10" width="14.42578125" style="7" bestFit="1" customWidth="1"/>
    <col min="11" max="11" width="14.85546875" style="7" bestFit="1" customWidth="1"/>
    <col min="12" max="13" width="15.140625" style="7" bestFit="1" customWidth="1"/>
    <col min="14" max="15" width="14.85546875" style="3" bestFit="1" customWidth="1"/>
    <col min="16" max="16" width="14.7109375" style="3" bestFit="1" customWidth="1"/>
    <col min="17" max="17" width="14.85546875" style="3" bestFit="1" customWidth="1"/>
    <col min="18" max="18" width="16.85546875" style="96" bestFit="1" customWidth="1"/>
    <col min="19" max="19" width="2.7109375" style="2" customWidth="1"/>
    <col min="20" max="20" width="9.85546875" style="2" bestFit="1" customWidth="1"/>
    <col min="21" max="22" width="9.140625" style="2"/>
    <col min="23" max="145" width="9.140625" style="1"/>
    <col min="146" max="146" width="11" style="1" bestFit="1" customWidth="1"/>
    <col min="147" max="147" width="28.140625" style="1" bestFit="1" customWidth="1"/>
    <col min="148" max="148" width="14" style="1" bestFit="1" customWidth="1"/>
    <col min="149" max="149" width="9.140625" style="1"/>
    <col min="150" max="150" width="13.85546875" style="1" bestFit="1" customWidth="1"/>
    <col min="151" max="151" width="9.140625" style="1"/>
    <col min="152" max="152" width="14" style="1" customWidth="1"/>
    <col min="153" max="153" width="9.140625" style="1"/>
    <col min="154" max="154" width="12.85546875" style="1" bestFit="1" customWidth="1"/>
    <col min="155" max="155" width="10" style="1" customWidth="1"/>
    <col min="156" max="156" width="14" style="1" bestFit="1" customWidth="1"/>
    <col min="157" max="157" width="9.85546875" style="1" bestFit="1" customWidth="1"/>
    <col min="158" max="158" width="13.5703125" style="1" bestFit="1" customWidth="1"/>
    <col min="159" max="159" width="9.85546875" style="1" bestFit="1" customWidth="1"/>
    <col min="160" max="160" width="12.85546875" style="1" bestFit="1" customWidth="1"/>
    <col min="161" max="172" width="10.5703125" style="1" customWidth="1"/>
    <col min="173" max="173" width="11.140625" style="1" bestFit="1" customWidth="1"/>
    <col min="174" max="174" width="2.7109375" style="1" customWidth="1"/>
    <col min="175" max="175" width="9.85546875" style="1" bestFit="1" customWidth="1"/>
    <col min="176" max="177" width="9.140625" style="1"/>
    <col min="178" max="178" width="24" style="1" customWidth="1"/>
    <col min="179" max="181" width="9.140625" style="1"/>
    <col min="182" max="182" width="9" style="1" bestFit="1" customWidth="1"/>
    <col min="183" max="192" width="9.28515625" style="1" bestFit="1" customWidth="1"/>
    <col min="193" max="193" width="10.28515625" style="1" bestFit="1" customWidth="1"/>
    <col min="194" max="194" width="11.28515625" style="1" bestFit="1" customWidth="1"/>
    <col min="195" max="195" width="11.7109375" style="1" customWidth="1"/>
    <col min="196" max="196" width="9.140625" style="1"/>
    <col min="197" max="197" width="22.28515625" style="1" customWidth="1"/>
    <col min="198" max="198" width="9.140625" style="1"/>
    <col min="199" max="199" width="9.28515625" style="1" bestFit="1" customWidth="1"/>
    <col min="200" max="200" width="9.42578125" style="1" bestFit="1" customWidth="1"/>
    <col min="201" max="201" width="9.28515625" style="1" bestFit="1" customWidth="1"/>
    <col min="202" max="202" width="10.28515625" style="1" bestFit="1" customWidth="1"/>
    <col min="203" max="204" width="9.28515625" style="1" bestFit="1" customWidth="1"/>
    <col min="205" max="206" width="10.28515625" style="1" bestFit="1" customWidth="1"/>
    <col min="207" max="211" width="9.28515625" style="1" bestFit="1" customWidth="1"/>
    <col min="212" max="212" width="10.42578125" style="1" bestFit="1" customWidth="1"/>
    <col min="213" max="213" width="9.140625" style="1"/>
    <col min="214" max="214" width="24.85546875" style="1" customWidth="1"/>
    <col min="215" max="215" width="9.140625" style="1"/>
    <col min="216" max="228" width="9.28515625" style="1" bestFit="1" customWidth="1"/>
    <col min="229" max="229" width="10.28515625" style="1" bestFit="1" customWidth="1"/>
    <col min="230" max="230" width="9.5703125" style="1" bestFit="1" customWidth="1"/>
    <col min="231" max="231" width="18.5703125" style="1" customWidth="1"/>
    <col min="232" max="233" width="9.140625" style="1"/>
    <col min="234" max="236" width="12.140625" style="1" bestFit="1" customWidth="1"/>
    <col min="237" max="245" width="10.28515625" style="1" bestFit="1" customWidth="1"/>
    <col min="246" max="246" width="11.28515625" style="1" bestFit="1" customWidth="1"/>
    <col min="247" max="247" width="9.140625" style="1"/>
    <col min="248" max="248" width="19" style="1" customWidth="1"/>
    <col min="249" max="265" width="9.140625" style="1"/>
    <col min="266" max="276" width="11.28515625" style="1" bestFit="1" customWidth="1"/>
    <col min="277" max="277" width="10.28515625" style="1" bestFit="1" customWidth="1"/>
    <col min="278" max="278" width="12.85546875" style="1" bestFit="1" customWidth="1"/>
    <col min="279" max="401" width="9.140625" style="1"/>
    <col min="402" max="402" width="11" style="1" bestFit="1" customWidth="1"/>
    <col min="403" max="403" width="28.140625" style="1" bestFit="1" customWidth="1"/>
    <col min="404" max="404" width="14" style="1" bestFit="1" customWidth="1"/>
    <col min="405" max="405" width="9.140625" style="1"/>
    <col min="406" max="406" width="13.85546875" style="1" bestFit="1" customWidth="1"/>
    <col min="407" max="407" width="9.140625" style="1"/>
    <col min="408" max="408" width="14" style="1" customWidth="1"/>
    <col min="409" max="409" width="9.140625" style="1"/>
    <col min="410" max="410" width="12.85546875" style="1" bestFit="1" customWidth="1"/>
    <col min="411" max="411" width="10" style="1" customWidth="1"/>
    <col min="412" max="412" width="14" style="1" bestFit="1" customWidth="1"/>
    <col min="413" max="413" width="9.85546875" style="1" bestFit="1" customWidth="1"/>
    <col min="414" max="414" width="13.5703125" style="1" bestFit="1" customWidth="1"/>
    <col min="415" max="415" width="9.85546875" style="1" bestFit="1" customWidth="1"/>
    <col min="416" max="416" width="12.85546875" style="1" bestFit="1" customWidth="1"/>
    <col min="417" max="428" width="10.5703125" style="1" customWidth="1"/>
    <col min="429" max="429" width="11.140625" style="1" bestFit="1" customWidth="1"/>
    <col min="430" max="430" width="2.7109375" style="1" customWidth="1"/>
    <col min="431" max="431" width="9.85546875" style="1" bestFit="1" customWidth="1"/>
    <col min="432" max="433" width="9.140625" style="1"/>
    <col min="434" max="434" width="24" style="1" customWidth="1"/>
    <col min="435" max="437" width="9.140625" style="1"/>
    <col min="438" max="438" width="9" style="1" bestFit="1" customWidth="1"/>
    <col min="439" max="448" width="9.28515625" style="1" bestFit="1" customWidth="1"/>
    <col min="449" max="449" width="10.28515625" style="1" bestFit="1" customWidth="1"/>
    <col min="450" max="450" width="11.28515625" style="1" bestFit="1" customWidth="1"/>
    <col min="451" max="451" width="11.7109375" style="1" customWidth="1"/>
    <col min="452" max="452" width="9.140625" style="1"/>
    <col min="453" max="453" width="22.28515625" style="1" customWidth="1"/>
    <col min="454" max="454" width="9.140625" style="1"/>
    <col min="455" max="455" width="9.28515625" style="1" bestFit="1" customWidth="1"/>
    <col min="456" max="456" width="9.42578125" style="1" bestFit="1" customWidth="1"/>
    <col min="457" max="457" width="9.28515625" style="1" bestFit="1" customWidth="1"/>
    <col min="458" max="458" width="10.28515625" style="1" bestFit="1" customWidth="1"/>
    <col min="459" max="460" width="9.28515625" style="1" bestFit="1" customWidth="1"/>
    <col min="461" max="462" width="10.28515625" style="1" bestFit="1" customWidth="1"/>
    <col min="463" max="467" width="9.28515625" style="1" bestFit="1" customWidth="1"/>
    <col min="468" max="468" width="10.42578125" style="1" bestFit="1" customWidth="1"/>
    <col min="469" max="469" width="9.140625" style="1"/>
    <col min="470" max="470" width="24.85546875" style="1" customWidth="1"/>
    <col min="471" max="471" width="9.140625" style="1"/>
    <col min="472" max="484" width="9.28515625" style="1" bestFit="1" customWidth="1"/>
    <col min="485" max="485" width="10.28515625" style="1" bestFit="1" customWidth="1"/>
    <col min="486" max="486" width="9.5703125" style="1" bestFit="1" customWidth="1"/>
    <col min="487" max="487" width="18.5703125" style="1" customWidth="1"/>
    <col min="488" max="489" width="9.140625" style="1"/>
    <col min="490" max="492" width="12.140625" style="1" bestFit="1" customWidth="1"/>
    <col min="493" max="501" width="10.28515625" style="1" bestFit="1" customWidth="1"/>
    <col min="502" max="502" width="11.28515625" style="1" bestFit="1" customWidth="1"/>
    <col min="503" max="503" width="9.140625" style="1"/>
    <col min="504" max="504" width="19" style="1" customWidth="1"/>
    <col min="505" max="521" width="9.140625" style="1"/>
    <col min="522" max="532" width="11.28515625" style="1" bestFit="1" customWidth="1"/>
    <col min="533" max="533" width="10.28515625" style="1" bestFit="1" customWidth="1"/>
    <col min="534" max="534" width="12.85546875" style="1" bestFit="1" customWidth="1"/>
    <col min="535" max="657" width="9.140625" style="1"/>
    <col min="658" max="658" width="11" style="1" bestFit="1" customWidth="1"/>
    <col min="659" max="659" width="28.140625" style="1" bestFit="1" customWidth="1"/>
    <col min="660" max="660" width="14" style="1" bestFit="1" customWidth="1"/>
    <col min="661" max="661" width="9.140625" style="1"/>
    <col min="662" max="662" width="13.85546875" style="1" bestFit="1" customWidth="1"/>
    <col min="663" max="663" width="9.140625" style="1"/>
    <col min="664" max="664" width="14" style="1" customWidth="1"/>
    <col min="665" max="665" width="9.140625" style="1"/>
    <col min="666" max="666" width="12.85546875" style="1" bestFit="1" customWidth="1"/>
    <col min="667" max="667" width="10" style="1" customWidth="1"/>
    <col min="668" max="668" width="14" style="1" bestFit="1" customWidth="1"/>
    <col min="669" max="669" width="9.85546875" style="1" bestFit="1" customWidth="1"/>
    <col min="670" max="670" width="13.5703125" style="1" bestFit="1" customWidth="1"/>
    <col min="671" max="671" width="9.85546875" style="1" bestFit="1" customWidth="1"/>
    <col min="672" max="672" width="12.85546875" style="1" bestFit="1" customWidth="1"/>
    <col min="673" max="684" width="10.5703125" style="1" customWidth="1"/>
    <col min="685" max="685" width="11.140625" style="1" bestFit="1" customWidth="1"/>
    <col min="686" max="686" width="2.7109375" style="1" customWidth="1"/>
    <col min="687" max="687" width="9.85546875" style="1" bestFit="1" customWidth="1"/>
    <col min="688" max="689" width="9.140625" style="1"/>
    <col min="690" max="690" width="24" style="1" customWidth="1"/>
    <col min="691" max="693" width="9.140625" style="1"/>
    <col min="694" max="694" width="9" style="1" bestFit="1" customWidth="1"/>
    <col min="695" max="704" width="9.28515625" style="1" bestFit="1" customWidth="1"/>
    <col min="705" max="705" width="10.28515625" style="1" bestFit="1" customWidth="1"/>
    <col min="706" max="706" width="11.28515625" style="1" bestFit="1" customWidth="1"/>
    <col min="707" max="707" width="11.7109375" style="1" customWidth="1"/>
    <col min="708" max="708" width="9.140625" style="1"/>
    <col min="709" max="709" width="22.28515625" style="1" customWidth="1"/>
    <col min="710" max="710" width="9.140625" style="1"/>
    <col min="711" max="711" width="9.28515625" style="1" bestFit="1" customWidth="1"/>
    <col min="712" max="712" width="9.42578125" style="1" bestFit="1" customWidth="1"/>
    <col min="713" max="713" width="9.28515625" style="1" bestFit="1" customWidth="1"/>
    <col min="714" max="714" width="10.28515625" style="1" bestFit="1" customWidth="1"/>
    <col min="715" max="716" width="9.28515625" style="1" bestFit="1" customWidth="1"/>
    <col min="717" max="718" width="10.28515625" style="1" bestFit="1" customWidth="1"/>
    <col min="719" max="723" width="9.28515625" style="1" bestFit="1" customWidth="1"/>
    <col min="724" max="724" width="10.42578125" style="1" bestFit="1" customWidth="1"/>
    <col min="725" max="725" width="9.140625" style="1"/>
    <col min="726" max="726" width="24.85546875" style="1" customWidth="1"/>
    <col min="727" max="727" width="9.140625" style="1"/>
    <col min="728" max="740" width="9.28515625" style="1" bestFit="1" customWidth="1"/>
    <col min="741" max="741" width="10.28515625" style="1" bestFit="1" customWidth="1"/>
    <col min="742" max="742" width="9.5703125" style="1" bestFit="1" customWidth="1"/>
    <col min="743" max="743" width="18.5703125" style="1" customWidth="1"/>
    <col min="744" max="745" width="9.140625" style="1"/>
    <col min="746" max="748" width="12.140625" style="1" bestFit="1" customWidth="1"/>
    <col min="749" max="757" width="10.28515625" style="1" bestFit="1" customWidth="1"/>
    <col min="758" max="758" width="11.28515625" style="1" bestFit="1" customWidth="1"/>
    <col min="759" max="759" width="9.140625" style="1"/>
    <col min="760" max="760" width="19" style="1" customWidth="1"/>
    <col min="761" max="777" width="9.140625" style="1"/>
    <col min="778" max="788" width="11.28515625" style="1" bestFit="1" customWidth="1"/>
    <col min="789" max="789" width="10.28515625" style="1" bestFit="1" customWidth="1"/>
    <col min="790" max="790" width="12.85546875" style="1" bestFit="1" customWidth="1"/>
    <col min="791" max="913" width="9.140625" style="1"/>
    <col min="914" max="914" width="11" style="1" bestFit="1" customWidth="1"/>
    <col min="915" max="915" width="28.140625" style="1" bestFit="1" customWidth="1"/>
    <col min="916" max="916" width="14" style="1" bestFit="1" customWidth="1"/>
    <col min="917" max="917" width="9.140625" style="1"/>
    <col min="918" max="918" width="13.85546875" style="1" bestFit="1" customWidth="1"/>
    <col min="919" max="919" width="9.140625" style="1"/>
    <col min="920" max="920" width="14" style="1" customWidth="1"/>
    <col min="921" max="921" width="9.140625" style="1"/>
    <col min="922" max="922" width="12.85546875" style="1" bestFit="1" customWidth="1"/>
    <col min="923" max="923" width="10" style="1" customWidth="1"/>
    <col min="924" max="924" width="14" style="1" bestFit="1" customWidth="1"/>
    <col min="925" max="925" width="9.85546875" style="1" bestFit="1" customWidth="1"/>
    <col min="926" max="926" width="13.5703125" style="1" bestFit="1" customWidth="1"/>
    <col min="927" max="927" width="9.85546875" style="1" bestFit="1" customWidth="1"/>
    <col min="928" max="928" width="12.85546875" style="1" bestFit="1" customWidth="1"/>
    <col min="929" max="940" width="10.5703125" style="1" customWidth="1"/>
    <col min="941" max="941" width="11.140625" style="1" bestFit="1" customWidth="1"/>
    <col min="942" max="942" width="2.7109375" style="1" customWidth="1"/>
    <col min="943" max="943" width="9.85546875" style="1" bestFit="1" customWidth="1"/>
    <col min="944" max="945" width="9.140625" style="1"/>
    <col min="946" max="946" width="24" style="1" customWidth="1"/>
    <col min="947" max="949" width="9.140625" style="1"/>
    <col min="950" max="950" width="9" style="1" bestFit="1" customWidth="1"/>
    <col min="951" max="960" width="9.28515625" style="1" bestFit="1" customWidth="1"/>
    <col min="961" max="961" width="10.28515625" style="1" bestFit="1" customWidth="1"/>
    <col min="962" max="962" width="11.28515625" style="1" bestFit="1" customWidth="1"/>
    <col min="963" max="963" width="11.7109375" style="1" customWidth="1"/>
    <col min="964" max="964" width="9.140625" style="1"/>
    <col min="965" max="965" width="22.28515625" style="1" customWidth="1"/>
    <col min="966" max="966" width="9.140625" style="1"/>
    <col min="967" max="967" width="9.28515625" style="1" bestFit="1" customWidth="1"/>
    <col min="968" max="968" width="9.42578125" style="1" bestFit="1" customWidth="1"/>
    <col min="969" max="969" width="9.28515625" style="1" bestFit="1" customWidth="1"/>
    <col min="970" max="970" width="10.28515625" style="1" bestFit="1" customWidth="1"/>
    <col min="971" max="972" width="9.28515625" style="1" bestFit="1" customWidth="1"/>
    <col min="973" max="974" width="10.28515625" style="1" bestFit="1" customWidth="1"/>
    <col min="975" max="979" width="9.28515625" style="1" bestFit="1" customWidth="1"/>
    <col min="980" max="980" width="10.42578125" style="1" bestFit="1" customWidth="1"/>
    <col min="981" max="981" width="9.140625" style="1"/>
    <col min="982" max="982" width="24.85546875" style="1" customWidth="1"/>
    <col min="983" max="983" width="9.140625" style="1"/>
    <col min="984" max="996" width="9.28515625" style="1" bestFit="1" customWidth="1"/>
    <col min="997" max="997" width="10.28515625" style="1" bestFit="1" customWidth="1"/>
    <col min="998" max="998" width="9.5703125" style="1" bestFit="1" customWidth="1"/>
    <col min="999" max="999" width="18.5703125" style="1" customWidth="1"/>
    <col min="1000" max="1001" width="9.140625" style="1"/>
    <col min="1002" max="1004" width="12.140625" style="1" bestFit="1" customWidth="1"/>
    <col min="1005" max="1013" width="10.28515625" style="1" bestFit="1" customWidth="1"/>
    <col min="1014" max="1014" width="11.28515625" style="1" bestFit="1" customWidth="1"/>
    <col min="1015" max="1015" width="9.140625" style="1"/>
    <col min="1016" max="1016" width="19" style="1" customWidth="1"/>
    <col min="1017" max="1033" width="9.140625" style="1"/>
    <col min="1034" max="1044" width="11.28515625" style="1" bestFit="1" customWidth="1"/>
    <col min="1045" max="1045" width="10.28515625" style="1" bestFit="1" customWidth="1"/>
    <col min="1046" max="1046" width="12.85546875" style="1" bestFit="1" customWidth="1"/>
    <col min="1047" max="1169" width="9.140625" style="1"/>
    <col min="1170" max="1170" width="11" style="1" bestFit="1" customWidth="1"/>
    <col min="1171" max="1171" width="28.140625" style="1" bestFit="1" customWidth="1"/>
    <col min="1172" max="1172" width="14" style="1" bestFit="1" customWidth="1"/>
    <col min="1173" max="1173" width="9.140625" style="1"/>
    <col min="1174" max="1174" width="13.85546875" style="1" bestFit="1" customWidth="1"/>
    <col min="1175" max="1175" width="9.140625" style="1"/>
    <col min="1176" max="1176" width="14" style="1" customWidth="1"/>
    <col min="1177" max="1177" width="9.140625" style="1"/>
    <col min="1178" max="1178" width="12.85546875" style="1" bestFit="1" customWidth="1"/>
    <col min="1179" max="1179" width="10" style="1" customWidth="1"/>
    <col min="1180" max="1180" width="14" style="1" bestFit="1" customWidth="1"/>
    <col min="1181" max="1181" width="9.85546875" style="1" bestFit="1" customWidth="1"/>
    <col min="1182" max="1182" width="13.5703125" style="1" bestFit="1" customWidth="1"/>
    <col min="1183" max="1183" width="9.85546875" style="1" bestFit="1" customWidth="1"/>
    <col min="1184" max="1184" width="12.85546875" style="1" bestFit="1" customWidth="1"/>
    <col min="1185" max="1196" width="10.5703125" style="1" customWidth="1"/>
    <col min="1197" max="1197" width="11.140625" style="1" bestFit="1" customWidth="1"/>
    <col min="1198" max="1198" width="2.7109375" style="1" customWidth="1"/>
    <col min="1199" max="1199" width="9.85546875" style="1" bestFit="1" customWidth="1"/>
    <col min="1200" max="1201" width="9.140625" style="1"/>
    <col min="1202" max="1202" width="24" style="1" customWidth="1"/>
    <col min="1203" max="1205" width="9.140625" style="1"/>
    <col min="1206" max="1206" width="9" style="1" bestFit="1" customWidth="1"/>
    <col min="1207" max="1216" width="9.28515625" style="1" bestFit="1" customWidth="1"/>
    <col min="1217" max="1217" width="10.28515625" style="1" bestFit="1" customWidth="1"/>
    <col min="1218" max="1218" width="11.28515625" style="1" bestFit="1" customWidth="1"/>
    <col min="1219" max="1219" width="11.7109375" style="1" customWidth="1"/>
    <col min="1220" max="1220" width="9.140625" style="1"/>
    <col min="1221" max="1221" width="22.28515625" style="1" customWidth="1"/>
    <col min="1222" max="1222" width="9.140625" style="1"/>
    <col min="1223" max="1223" width="9.28515625" style="1" bestFit="1" customWidth="1"/>
    <col min="1224" max="1224" width="9.42578125" style="1" bestFit="1" customWidth="1"/>
    <col min="1225" max="1225" width="9.28515625" style="1" bestFit="1" customWidth="1"/>
    <col min="1226" max="1226" width="10.28515625" style="1" bestFit="1" customWidth="1"/>
    <col min="1227" max="1228" width="9.28515625" style="1" bestFit="1" customWidth="1"/>
    <col min="1229" max="1230" width="10.28515625" style="1" bestFit="1" customWidth="1"/>
    <col min="1231" max="1235" width="9.28515625" style="1" bestFit="1" customWidth="1"/>
    <col min="1236" max="1236" width="10.42578125" style="1" bestFit="1" customWidth="1"/>
    <col min="1237" max="1237" width="9.140625" style="1"/>
    <col min="1238" max="1238" width="24.85546875" style="1" customWidth="1"/>
    <col min="1239" max="1239" width="9.140625" style="1"/>
    <col min="1240" max="1252" width="9.28515625" style="1" bestFit="1" customWidth="1"/>
    <col min="1253" max="1253" width="10.28515625" style="1" bestFit="1" customWidth="1"/>
    <col min="1254" max="1254" width="9.5703125" style="1" bestFit="1" customWidth="1"/>
    <col min="1255" max="1255" width="18.5703125" style="1" customWidth="1"/>
    <col min="1256" max="1257" width="9.140625" style="1"/>
    <col min="1258" max="1260" width="12.140625" style="1" bestFit="1" customWidth="1"/>
    <col min="1261" max="1269" width="10.28515625" style="1" bestFit="1" customWidth="1"/>
    <col min="1270" max="1270" width="11.28515625" style="1" bestFit="1" customWidth="1"/>
    <col min="1271" max="1271" width="9.140625" style="1"/>
    <col min="1272" max="1272" width="19" style="1" customWidth="1"/>
    <col min="1273" max="1289" width="9.140625" style="1"/>
    <col min="1290" max="1300" width="11.28515625" style="1" bestFit="1" customWidth="1"/>
    <col min="1301" max="1301" width="10.28515625" style="1" bestFit="1" customWidth="1"/>
    <col min="1302" max="1302" width="12.85546875" style="1" bestFit="1" customWidth="1"/>
    <col min="1303" max="1425" width="9.140625" style="1"/>
    <col min="1426" max="1426" width="11" style="1" bestFit="1" customWidth="1"/>
    <col min="1427" max="1427" width="28.140625" style="1" bestFit="1" customWidth="1"/>
    <col min="1428" max="1428" width="14" style="1" bestFit="1" customWidth="1"/>
    <col min="1429" max="1429" width="9.140625" style="1"/>
    <col min="1430" max="1430" width="13.85546875" style="1" bestFit="1" customWidth="1"/>
    <col min="1431" max="1431" width="9.140625" style="1"/>
    <col min="1432" max="1432" width="14" style="1" customWidth="1"/>
    <col min="1433" max="1433" width="9.140625" style="1"/>
    <col min="1434" max="1434" width="12.85546875" style="1" bestFit="1" customWidth="1"/>
    <col min="1435" max="1435" width="10" style="1" customWidth="1"/>
    <col min="1436" max="1436" width="14" style="1" bestFit="1" customWidth="1"/>
    <col min="1437" max="1437" width="9.85546875" style="1" bestFit="1" customWidth="1"/>
    <col min="1438" max="1438" width="13.5703125" style="1" bestFit="1" customWidth="1"/>
    <col min="1439" max="1439" width="9.85546875" style="1" bestFit="1" customWidth="1"/>
    <col min="1440" max="1440" width="12.85546875" style="1" bestFit="1" customWidth="1"/>
    <col min="1441" max="1452" width="10.5703125" style="1" customWidth="1"/>
    <col min="1453" max="1453" width="11.140625" style="1" bestFit="1" customWidth="1"/>
    <col min="1454" max="1454" width="2.7109375" style="1" customWidth="1"/>
    <col min="1455" max="1455" width="9.85546875" style="1" bestFit="1" customWidth="1"/>
    <col min="1456" max="1457" width="9.140625" style="1"/>
    <col min="1458" max="1458" width="24" style="1" customWidth="1"/>
    <col min="1459" max="1461" width="9.140625" style="1"/>
    <col min="1462" max="1462" width="9" style="1" bestFit="1" customWidth="1"/>
    <col min="1463" max="1472" width="9.28515625" style="1" bestFit="1" customWidth="1"/>
    <col min="1473" max="1473" width="10.28515625" style="1" bestFit="1" customWidth="1"/>
    <col min="1474" max="1474" width="11.28515625" style="1" bestFit="1" customWidth="1"/>
    <col min="1475" max="1475" width="11.7109375" style="1" customWidth="1"/>
    <col min="1476" max="1476" width="9.140625" style="1"/>
    <col min="1477" max="1477" width="22.28515625" style="1" customWidth="1"/>
    <col min="1478" max="1478" width="9.140625" style="1"/>
    <col min="1479" max="1479" width="9.28515625" style="1" bestFit="1" customWidth="1"/>
    <col min="1480" max="1480" width="9.42578125" style="1" bestFit="1" customWidth="1"/>
    <col min="1481" max="1481" width="9.28515625" style="1" bestFit="1" customWidth="1"/>
    <col min="1482" max="1482" width="10.28515625" style="1" bestFit="1" customWidth="1"/>
    <col min="1483" max="1484" width="9.28515625" style="1" bestFit="1" customWidth="1"/>
    <col min="1485" max="1486" width="10.28515625" style="1" bestFit="1" customWidth="1"/>
    <col min="1487" max="1491" width="9.28515625" style="1" bestFit="1" customWidth="1"/>
    <col min="1492" max="1492" width="10.42578125" style="1" bestFit="1" customWidth="1"/>
    <col min="1493" max="1493" width="9.140625" style="1"/>
    <col min="1494" max="1494" width="24.85546875" style="1" customWidth="1"/>
    <col min="1495" max="1495" width="9.140625" style="1"/>
    <col min="1496" max="1508" width="9.28515625" style="1" bestFit="1" customWidth="1"/>
    <col min="1509" max="1509" width="10.28515625" style="1" bestFit="1" customWidth="1"/>
    <col min="1510" max="1510" width="9.5703125" style="1" bestFit="1" customWidth="1"/>
    <col min="1511" max="1511" width="18.5703125" style="1" customWidth="1"/>
    <col min="1512" max="1513" width="9.140625" style="1"/>
    <col min="1514" max="1516" width="12.140625" style="1" bestFit="1" customWidth="1"/>
    <col min="1517" max="1525" width="10.28515625" style="1" bestFit="1" customWidth="1"/>
    <col min="1526" max="1526" width="11.28515625" style="1" bestFit="1" customWidth="1"/>
    <col min="1527" max="1527" width="9.140625" style="1"/>
    <col min="1528" max="1528" width="19" style="1" customWidth="1"/>
    <col min="1529" max="1545" width="9.140625" style="1"/>
    <col min="1546" max="1556" width="11.28515625" style="1" bestFit="1" customWidth="1"/>
    <col min="1557" max="1557" width="10.28515625" style="1" bestFit="1" customWidth="1"/>
    <col min="1558" max="1558" width="12.85546875" style="1" bestFit="1" customWidth="1"/>
    <col min="1559" max="1681" width="9.140625" style="1"/>
    <col min="1682" max="1682" width="11" style="1" bestFit="1" customWidth="1"/>
    <col min="1683" max="1683" width="28.140625" style="1" bestFit="1" customWidth="1"/>
    <col min="1684" max="1684" width="14" style="1" bestFit="1" customWidth="1"/>
    <col min="1685" max="1685" width="9.140625" style="1"/>
    <col min="1686" max="1686" width="13.85546875" style="1" bestFit="1" customWidth="1"/>
    <col min="1687" max="1687" width="9.140625" style="1"/>
    <col min="1688" max="1688" width="14" style="1" customWidth="1"/>
    <col min="1689" max="1689" width="9.140625" style="1"/>
    <col min="1690" max="1690" width="12.85546875" style="1" bestFit="1" customWidth="1"/>
    <col min="1691" max="1691" width="10" style="1" customWidth="1"/>
    <col min="1692" max="1692" width="14" style="1" bestFit="1" customWidth="1"/>
    <col min="1693" max="1693" width="9.85546875" style="1" bestFit="1" customWidth="1"/>
    <col min="1694" max="1694" width="13.5703125" style="1" bestFit="1" customWidth="1"/>
    <col min="1695" max="1695" width="9.85546875" style="1" bestFit="1" customWidth="1"/>
    <col min="1696" max="1696" width="12.85546875" style="1" bestFit="1" customWidth="1"/>
    <col min="1697" max="1708" width="10.5703125" style="1" customWidth="1"/>
    <col min="1709" max="1709" width="11.140625" style="1" bestFit="1" customWidth="1"/>
    <col min="1710" max="1710" width="2.7109375" style="1" customWidth="1"/>
    <col min="1711" max="1711" width="9.85546875" style="1" bestFit="1" customWidth="1"/>
    <col min="1712" max="1713" width="9.140625" style="1"/>
    <col min="1714" max="1714" width="24" style="1" customWidth="1"/>
    <col min="1715" max="1717" width="9.140625" style="1"/>
    <col min="1718" max="1718" width="9" style="1" bestFit="1" customWidth="1"/>
    <col min="1719" max="1728" width="9.28515625" style="1" bestFit="1" customWidth="1"/>
    <col min="1729" max="1729" width="10.28515625" style="1" bestFit="1" customWidth="1"/>
    <col min="1730" max="1730" width="11.28515625" style="1" bestFit="1" customWidth="1"/>
    <col min="1731" max="1731" width="11.7109375" style="1" customWidth="1"/>
    <col min="1732" max="1732" width="9.140625" style="1"/>
    <col min="1733" max="1733" width="22.28515625" style="1" customWidth="1"/>
    <col min="1734" max="1734" width="9.140625" style="1"/>
    <col min="1735" max="1735" width="9.28515625" style="1" bestFit="1" customWidth="1"/>
    <col min="1736" max="1736" width="9.42578125" style="1" bestFit="1" customWidth="1"/>
    <col min="1737" max="1737" width="9.28515625" style="1" bestFit="1" customWidth="1"/>
    <col min="1738" max="1738" width="10.28515625" style="1" bestFit="1" customWidth="1"/>
    <col min="1739" max="1740" width="9.28515625" style="1" bestFit="1" customWidth="1"/>
    <col min="1741" max="1742" width="10.28515625" style="1" bestFit="1" customWidth="1"/>
    <col min="1743" max="1747" width="9.28515625" style="1" bestFit="1" customWidth="1"/>
    <col min="1748" max="1748" width="10.42578125" style="1" bestFit="1" customWidth="1"/>
    <col min="1749" max="1749" width="9.140625" style="1"/>
    <col min="1750" max="1750" width="24.85546875" style="1" customWidth="1"/>
    <col min="1751" max="1751" width="9.140625" style="1"/>
    <col min="1752" max="1764" width="9.28515625" style="1" bestFit="1" customWidth="1"/>
    <col min="1765" max="1765" width="10.28515625" style="1" bestFit="1" customWidth="1"/>
    <col min="1766" max="1766" width="9.5703125" style="1" bestFit="1" customWidth="1"/>
    <col min="1767" max="1767" width="18.5703125" style="1" customWidth="1"/>
    <col min="1768" max="1769" width="9.140625" style="1"/>
    <col min="1770" max="1772" width="12.140625" style="1" bestFit="1" customWidth="1"/>
    <col min="1773" max="1781" width="10.28515625" style="1" bestFit="1" customWidth="1"/>
    <col min="1782" max="1782" width="11.28515625" style="1" bestFit="1" customWidth="1"/>
    <col min="1783" max="1783" width="9.140625" style="1"/>
    <col min="1784" max="1784" width="19" style="1" customWidth="1"/>
    <col min="1785" max="1801" width="9.140625" style="1"/>
    <col min="1802" max="1812" width="11.28515625" style="1" bestFit="1" customWidth="1"/>
    <col min="1813" max="1813" width="10.28515625" style="1" bestFit="1" customWidth="1"/>
    <col min="1814" max="1814" width="12.85546875" style="1" bestFit="1" customWidth="1"/>
    <col min="1815" max="1937" width="9.140625" style="1"/>
    <col min="1938" max="1938" width="11" style="1" bestFit="1" customWidth="1"/>
    <col min="1939" max="1939" width="28.140625" style="1" bestFit="1" customWidth="1"/>
    <col min="1940" max="1940" width="14" style="1" bestFit="1" customWidth="1"/>
    <col min="1941" max="1941" width="9.140625" style="1"/>
    <col min="1942" max="1942" width="13.85546875" style="1" bestFit="1" customWidth="1"/>
    <col min="1943" max="1943" width="9.140625" style="1"/>
    <col min="1944" max="1944" width="14" style="1" customWidth="1"/>
    <col min="1945" max="1945" width="9.140625" style="1"/>
    <col min="1946" max="1946" width="12.85546875" style="1" bestFit="1" customWidth="1"/>
    <col min="1947" max="1947" width="10" style="1" customWidth="1"/>
    <col min="1948" max="1948" width="14" style="1" bestFit="1" customWidth="1"/>
    <col min="1949" max="1949" width="9.85546875" style="1" bestFit="1" customWidth="1"/>
    <col min="1950" max="1950" width="13.5703125" style="1" bestFit="1" customWidth="1"/>
    <col min="1951" max="1951" width="9.85546875" style="1" bestFit="1" customWidth="1"/>
    <col min="1952" max="1952" width="12.85546875" style="1" bestFit="1" customWidth="1"/>
    <col min="1953" max="1964" width="10.5703125" style="1" customWidth="1"/>
    <col min="1965" max="1965" width="11.140625" style="1" bestFit="1" customWidth="1"/>
    <col min="1966" max="1966" width="2.7109375" style="1" customWidth="1"/>
    <col min="1967" max="1967" width="9.85546875" style="1" bestFit="1" customWidth="1"/>
    <col min="1968" max="1969" width="9.140625" style="1"/>
    <col min="1970" max="1970" width="24" style="1" customWidth="1"/>
    <col min="1971" max="1973" width="9.140625" style="1"/>
    <col min="1974" max="1974" width="9" style="1" bestFit="1" customWidth="1"/>
    <col min="1975" max="1984" width="9.28515625" style="1" bestFit="1" customWidth="1"/>
    <col min="1985" max="1985" width="10.28515625" style="1" bestFit="1" customWidth="1"/>
    <col min="1986" max="1986" width="11.28515625" style="1" bestFit="1" customWidth="1"/>
    <col min="1987" max="1987" width="11.7109375" style="1" customWidth="1"/>
    <col min="1988" max="1988" width="9.140625" style="1"/>
    <col min="1989" max="1989" width="22.28515625" style="1" customWidth="1"/>
    <col min="1990" max="1990" width="9.140625" style="1"/>
    <col min="1991" max="1991" width="9.28515625" style="1" bestFit="1" customWidth="1"/>
    <col min="1992" max="1992" width="9.42578125" style="1" bestFit="1" customWidth="1"/>
    <col min="1993" max="1993" width="9.28515625" style="1" bestFit="1" customWidth="1"/>
    <col min="1994" max="1994" width="10.28515625" style="1" bestFit="1" customWidth="1"/>
    <col min="1995" max="1996" width="9.28515625" style="1" bestFit="1" customWidth="1"/>
    <col min="1997" max="1998" width="10.28515625" style="1" bestFit="1" customWidth="1"/>
    <col min="1999" max="2003" width="9.28515625" style="1" bestFit="1" customWidth="1"/>
    <col min="2004" max="2004" width="10.42578125" style="1" bestFit="1" customWidth="1"/>
    <col min="2005" max="2005" width="9.140625" style="1"/>
    <col min="2006" max="2006" width="24.85546875" style="1" customWidth="1"/>
    <col min="2007" max="2007" width="9.140625" style="1"/>
    <col min="2008" max="2020" width="9.28515625" style="1" bestFit="1" customWidth="1"/>
    <col min="2021" max="2021" width="10.28515625" style="1" bestFit="1" customWidth="1"/>
    <col min="2022" max="2022" width="9.5703125" style="1" bestFit="1" customWidth="1"/>
    <col min="2023" max="2023" width="18.5703125" style="1" customWidth="1"/>
    <col min="2024" max="2025" width="9.140625" style="1"/>
    <col min="2026" max="2028" width="12.140625" style="1" bestFit="1" customWidth="1"/>
    <col min="2029" max="2037" width="10.28515625" style="1" bestFit="1" customWidth="1"/>
    <col min="2038" max="2038" width="11.28515625" style="1" bestFit="1" customWidth="1"/>
    <col min="2039" max="2039" width="9.140625" style="1"/>
    <col min="2040" max="2040" width="19" style="1" customWidth="1"/>
    <col min="2041" max="2057" width="9.140625" style="1"/>
    <col min="2058" max="2068" width="11.28515625" style="1" bestFit="1" customWidth="1"/>
    <col min="2069" max="2069" width="10.28515625" style="1" bestFit="1" customWidth="1"/>
    <col min="2070" max="2070" width="12.85546875" style="1" bestFit="1" customWidth="1"/>
    <col min="2071" max="2193" width="9.140625" style="1"/>
    <col min="2194" max="2194" width="11" style="1" bestFit="1" customWidth="1"/>
    <col min="2195" max="2195" width="28.140625" style="1" bestFit="1" customWidth="1"/>
    <col min="2196" max="2196" width="14" style="1" bestFit="1" customWidth="1"/>
    <col min="2197" max="2197" width="9.140625" style="1"/>
    <col min="2198" max="2198" width="13.85546875" style="1" bestFit="1" customWidth="1"/>
    <col min="2199" max="2199" width="9.140625" style="1"/>
    <col min="2200" max="2200" width="14" style="1" customWidth="1"/>
    <col min="2201" max="2201" width="9.140625" style="1"/>
    <col min="2202" max="2202" width="12.85546875" style="1" bestFit="1" customWidth="1"/>
    <col min="2203" max="2203" width="10" style="1" customWidth="1"/>
    <col min="2204" max="2204" width="14" style="1" bestFit="1" customWidth="1"/>
    <col min="2205" max="2205" width="9.85546875" style="1" bestFit="1" customWidth="1"/>
    <col min="2206" max="2206" width="13.5703125" style="1" bestFit="1" customWidth="1"/>
    <col min="2207" max="2207" width="9.85546875" style="1" bestFit="1" customWidth="1"/>
    <col min="2208" max="2208" width="12.85546875" style="1" bestFit="1" customWidth="1"/>
    <col min="2209" max="2220" width="10.5703125" style="1" customWidth="1"/>
    <col min="2221" max="2221" width="11.140625" style="1" bestFit="1" customWidth="1"/>
    <col min="2222" max="2222" width="2.7109375" style="1" customWidth="1"/>
    <col min="2223" max="2223" width="9.85546875" style="1" bestFit="1" customWidth="1"/>
    <col min="2224" max="2225" width="9.140625" style="1"/>
    <col min="2226" max="2226" width="24" style="1" customWidth="1"/>
    <col min="2227" max="2229" width="9.140625" style="1"/>
    <col min="2230" max="2230" width="9" style="1" bestFit="1" customWidth="1"/>
    <col min="2231" max="2240" width="9.28515625" style="1" bestFit="1" customWidth="1"/>
    <col min="2241" max="2241" width="10.28515625" style="1" bestFit="1" customWidth="1"/>
    <col min="2242" max="2242" width="11.28515625" style="1" bestFit="1" customWidth="1"/>
    <col min="2243" max="2243" width="11.7109375" style="1" customWidth="1"/>
    <col min="2244" max="2244" width="9.140625" style="1"/>
    <col min="2245" max="2245" width="22.28515625" style="1" customWidth="1"/>
    <col min="2246" max="2246" width="9.140625" style="1"/>
    <col min="2247" max="2247" width="9.28515625" style="1" bestFit="1" customWidth="1"/>
    <col min="2248" max="2248" width="9.42578125" style="1" bestFit="1" customWidth="1"/>
    <col min="2249" max="2249" width="9.28515625" style="1" bestFit="1" customWidth="1"/>
    <col min="2250" max="2250" width="10.28515625" style="1" bestFit="1" customWidth="1"/>
    <col min="2251" max="2252" width="9.28515625" style="1" bestFit="1" customWidth="1"/>
    <col min="2253" max="2254" width="10.28515625" style="1" bestFit="1" customWidth="1"/>
    <col min="2255" max="2259" width="9.28515625" style="1" bestFit="1" customWidth="1"/>
    <col min="2260" max="2260" width="10.42578125" style="1" bestFit="1" customWidth="1"/>
    <col min="2261" max="2261" width="9.140625" style="1"/>
    <col min="2262" max="2262" width="24.85546875" style="1" customWidth="1"/>
    <col min="2263" max="2263" width="9.140625" style="1"/>
    <col min="2264" max="2276" width="9.28515625" style="1" bestFit="1" customWidth="1"/>
    <col min="2277" max="2277" width="10.28515625" style="1" bestFit="1" customWidth="1"/>
    <col min="2278" max="2278" width="9.5703125" style="1" bestFit="1" customWidth="1"/>
    <col min="2279" max="2279" width="18.5703125" style="1" customWidth="1"/>
    <col min="2280" max="2281" width="9.140625" style="1"/>
    <col min="2282" max="2284" width="12.140625" style="1" bestFit="1" customWidth="1"/>
    <col min="2285" max="2293" width="10.28515625" style="1" bestFit="1" customWidth="1"/>
    <col min="2294" max="2294" width="11.28515625" style="1" bestFit="1" customWidth="1"/>
    <col min="2295" max="2295" width="9.140625" style="1"/>
    <col min="2296" max="2296" width="19" style="1" customWidth="1"/>
    <col min="2297" max="2313" width="9.140625" style="1"/>
    <col min="2314" max="2324" width="11.28515625" style="1" bestFit="1" customWidth="1"/>
    <col min="2325" max="2325" width="10.28515625" style="1" bestFit="1" customWidth="1"/>
    <col min="2326" max="2326" width="12.85546875" style="1" bestFit="1" customWidth="1"/>
    <col min="2327" max="2449" width="9.140625" style="1"/>
    <col min="2450" max="2450" width="11" style="1" bestFit="1" customWidth="1"/>
    <col min="2451" max="2451" width="28.140625" style="1" bestFit="1" customWidth="1"/>
    <col min="2452" max="2452" width="14" style="1" bestFit="1" customWidth="1"/>
    <col min="2453" max="2453" width="9.140625" style="1"/>
    <col min="2454" max="2454" width="13.85546875" style="1" bestFit="1" customWidth="1"/>
    <col min="2455" max="2455" width="9.140625" style="1"/>
    <col min="2456" max="2456" width="14" style="1" customWidth="1"/>
    <col min="2457" max="2457" width="9.140625" style="1"/>
    <col min="2458" max="2458" width="12.85546875" style="1" bestFit="1" customWidth="1"/>
    <col min="2459" max="2459" width="10" style="1" customWidth="1"/>
    <col min="2460" max="2460" width="14" style="1" bestFit="1" customWidth="1"/>
    <col min="2461" max="2461" width="9.85546875" style="1" bestFit="1" customWidth="1"/>
    <col min="2462" max="2462" width="13.5703125" style="1" bestFit="1" customWidth="1"/>
    <col min="2463" max="2463" width="9.85546875" style="1" bestFit="1" customWidth="1"/>
    <col min="2464" max="2464" width="12.85546875" style="1" bestFit="1" customWidth="1"/>
    <col min="2465" max="2476" width="10.5703125" style="1" customWidth="1"/>
    <col min="2477" max="2477" width="11.140625" style="1" bestFit="1" customWidth="1"/>
    <col min="2478" max="2478" width="2.7109375" style="1" customWidth="1"/>
    <col min="2479" max="2479" width="9.85546875" style="1" bestFit="1" customWidth="1"/>
    <col min="2480" max="2481" width="9.140625" style="1"/>
    <col min="2482" max="2482" width="24" style="1" customWidth="1"/>
    <col min="2483" max="2485" width="9.140625" style="1"/>
    <col min="2486" max="2486" width="9" style="1" bestFit="1" customWidth="1"/>
    <col min="2487" max="2496" width="9.28515625" style="1" bestFit="1" customWidth="1"/>
    <col min="2497" max="2497" width="10.28515625" style="1" bestFit="1" customWidth="1"/>
    <col min="2498" max="2498" width="11.28515625" style="1" bestFit="1" customWidth="1"/>
    <col min="2499" max="2499" width="11.7109375" style="1" customWidth="1"/>
    <col min="2500" max="2500" width="9.140625" style="1"/>
    <col min="2501" max="2501" width="22.28515625" style="1" customWidth="1"/>
    <col min="2502" max="2502" width="9.140625" style="1"/>
    <col min="2503" max="2503" width="9.28515625" style="1" bestFit="1" customWidth="1"/>
    <col min="2504" max="2504" width="9.42578125" style="1" bestFit="1" customWidth="1"/>
    <col min="2505" max="2505" width="9.28515625" style="1" bestFit="1" customWidth="1"/>
    <col min="2506" max="2506" width="10.28515625" style="1" bestFit="1" customWidth="1"/>
    <col min="2507" max="2508" width="9.28515625" style="1" bestFit="1" customWidth="1"/>
    <col min="2509" max="2510" width="10.28515625" style="1" bestFit="1" customWidth="1"/>
    <col min="2511" max="2515" width="9.28515625" style="1" bestFit="1" customWidth="1"/>
    <col min="2516" max="2516" width="10.42578125" style="1" bestFit="1" customWidth="1"/>
    <col min="2517" max="2517" width="9.140625" style="1"/>
    <col min="2518" max="2518" width="24.85546875" style="1" customWidth="1"/>
    <col min="2519" max="2519" width="9.140625" style="1"/>
    <col min="2520" max="2532" width="9.28515625" style="1" bestFit="1" customWidth="1"/>
    <col min="2533" max="2533" width="10.28515625" style="1" bestFit="1" customWidth="1"/>
    <col min="2534" max="2534" width="9.5703125" style="1" bestFit="1" customWidth="1"/>
    <col min="2535" max="2535" width="18.5703125" style="1" customWidth="1"/>
    <col min="2536" max="2537" width="9.140625" style="1"/>
    <col min="2538" max="2540" width="12.140625" style="1" bestFit="1" customWidth="1"/>
    <col min="2541" max="2549" width="10.28515625" style="1" bestFit="1" customWidth="1"/>
    <col min="2550" max="2550" width="11.28515625" style="1" bestFit="1" customWidth="1"/>
    <col min="2551" max="2551" width="9.140625" style="1"/>
    <col min="2552" max="2552" width="19" style="1" customWidth="1"/>
    <col min="2553" max="2569" width="9.140625" style="1"/>
    <col min="2570" max="2580" width="11.28515625" style="1" bestFit="1" customWidth="1"/>
    <col min="2581" max="2581" width="10.28515625" style="1" bestFit="1" customWidth="1"/>
    <col min="2582" max="2582" width="12.85546875" style="1" bestFit="1" customWidth="1"/>
    <col min="2583" max="2705" width="9.140625" style="1"/>
    <col min="2706" max="2706" width="11" style="1" bestFit="1" customWidth="1"/>
    <col min="2707" max="2707" width="28.140625" style="1" bestFit="1" customWidth="1"/>
    <col min="2708" max="2708" width="14" style="1" bestFit="1" customWidth="1"/>
    <col min="2709" max="2709" width="9.140625" style="1"/>
    <col min="2710" max="2710" width="13.85546875" style="1" bestFit="1" customWidth="1"/>
    <col min="2711" max="2711" width="9.140625" style="1"/>
    <col min="2712" max="2712" width="14" style="1" customWidth="1"/>
    <col min="2713" max="2713" width="9.140625" style="1"/>
    <col min="2714" max="2714" width="12.85546875" style="1" bestFit="1" customWidth="1"/>
    <col min="2715" max="2715" width="10" style="1" customWidth="1"/>
    <col min="2716" max="2716" width="14" style="1" bestFit="1" customWidth="1"/>
    <col min="2717" max="2717" width="9.85546875" style="1" bestFit="1" customWidth="1"/>
    <col min="2718" max="2718" width="13.5703125" style="1" bestFit="1" customWidth="1"/>
    <col min="2719" max="2719" width="9.85546875" style="1" bestFit="1" customWidth="1"/>
    <col min="2720" max="2720" width="12.85546875" style="1" bestFit="1" customWidth="1"/>
    <col min="2721" max="2732" width="10.5703125" style="1" customWidth="1"/>
    <col min="2733" max="2733" width="11.140625" style="1" bestFit="1" customWidth="1"/>
    <col min="2734" max="2734" width="2.7109375" style="1" customWidth="1"/>
    <col min="2735" max="2735" width="9.85546875" style="1" bestFit="1" customWidth="1"/>
    <col min="2736" max="2737" width="9.140625" style="1"/>
    <col min="2738" max="2738" width="24" style="1" customWidth="1"/>
    <col min="2739" max="2741" width="9.140625" style="1"/>
    <col min="2742" max="2742" width="9" style="1" bestFit="1" customWidth="1"/>
    <col min="2743" max="2752" width="9.28515625" style="1" bestFit="1" customWidth="1"/>
    <col min="2753" max="2753" width="10.28515625" style="1" bestFit="1" customWidth="1"/>
    <col min="2754" max="2754" width="11.28515625" style="1" bestFit="1" customWidth="1"/>
    <col min="2755" max="2755" width="11.7109375" style="1" customWidth="1"/>
    <col min="2756" max="2756" width="9.140625" style="1"/>
    <col min="2757" max="2757" width="22.28515625" style="1" customWidth="1"/>
    <col min="2758" max="2758" width="9.140625" style="1"/>
    <col min="2759" max="2759" width="9.28515625" style="1" bestFit="1" customWidth="1"/>
    <col min="2760" max="2760" width="9.42578125" style="1" bestFit="1" customWidth="1"/>
    <col min="2761" max="2761" width="9.28515625" style="1" bestFit="1" customWidth="1"/>
    <col min="2762" max="2762" width="10.28515625" style="1" bestFit="1" customWidth="1"/>
    <col min="2763" max="2764" width="9.28515625" style="1" bestFit="1" customWidth="1"/>
    <col min="2765" max="2766" width="10.28515625" style="1" bestFit="1" customWidth="1"/>
    <col min="2767" max="2771" width="9.28515625" style="1" bestFit="1" customWidth="1"/>
    <col min="2772" max="2772" width="10.42578125" style="1" bestFit="1" customWidth="1"/>
    <col min="2773" max="2773" width="9.140625" style="1"/>
    <col min="2774" max="2774" width="24.85546875" style="1" customWidth="1"/>
    <col min="2775" max="2775" width="9.140625" style="1"/>
    <col min="2776" max="2788" width="9.28515625" style="1" bestFit="1" customWidth="1"/>
    <col min="2789" max="2789" width="10.28515625" style="1" bestFit="1" customWidth="1"/>
    <col min="2790" max="2790" width="9.5703125" style="1" bestFit="1" customWidth="1"/>
    <col min="2791" max="2791" width="18.5703125" style="1" customWidth="1"/>
    <col min="2792" max="2793" width="9.140625" style="1"/>
    <col min="2794" max="2796" width="12.140625" style="1" bestFit="1" customWidth="1"/>
    <col min="2797" max="2805" width="10.28515625" style="1" bestFit="1" customWidth="1"/>
    <col min="2806" max="2806" width="11.28515625" style="1" bestFit="1" customWidth="1"/>
    <col min="2807" max="2807" width="9.140625" style="1"/>
    <col min="2808" max="2808" width="19" style="1" customWidth="1"/>
    <col min="2809" max="2825" width="9.140625" style="1"/>
    <col min="2826" max="2836" width="11.28515625" style="1" bestFit="1" customWidth="1"/>
    <col min="2837" max="2837" width="10.28515625" style="1" bestFit="1" customWidth="1"/>
    <col min="2838" max="2838" width="12.85546875" style="1" bestFit="1" customWidth="1"/>
    <col min="2839" max="2961" width="9.140625" style="1"/>
    <col min="2962" max="2962" width="11" style="1" bestFit="1" customWidth="1"/>
    <col min="2963" max="2963" width="28.140625" style="1" bestFit="1" customWidth="1"/>
    <col min="2964" max="2964" width="14" style="1" bestFit="1" customWidth="1"/>
    <col min="2965" max="2965" width="9.140625" style="1"/>
    <col min="2966" max="2966" width="13.85546875" style="1" bestFit="1" customWidth="1"/>
    <col min="2967" max="2967" width="9.140625" style="1"/>
    <col min="2968" max="2968" width="14" style="1" customWidth="1"/>
    <col min="2969" max="2969" width="9.140625" style="1"/>
    <col min="2970" max="2970" width="12.85546875" style="1" bestFit="1" customWidth="1"/>
    <col min="2971" max="2971" width="10" style="1" customWidth="1"/>
    <col min="2972" max="2972" width="14" style="1" bestFit="1" customWidth="1"/>
    <col min="2973" max="2973" width="9.85546875" style="1" bestFit="1" customWidth="1"/>
    <col min="2974" max="2974" width="13.5703125" style="1" bestFit="1" customWidth="1"/>
    <col min="2975" max="2975" width="9.85546875" style="1" bestFit="1" customWidth="1"/>
    <col min="2976" max="2976" width="12.85546875" style="1" bestFit="1" customWidth="1"/>
    <col min="2977" max="2988" width="10.5703125" style="1" customWidth="1"/>
    <col min="2989" max="2989" width="11.140625" style="1" bestFit="1" customWidth="1"/>
    <col min="2990" max="2990" width="2.7109375" style="1" customWidth="1"/>
    <col min="2991" max="2991" width="9.85546875" style="1" bestFit="1" customWidth="1"/>
    <col min="2992" max="2993" width="9.140625" style="1"/>
    <col min="2994" max="2994" width="24" style="1" customWidth="1"/>
    <col min="2995" max="2997" width="9.140625" style="1"/>
    <col min="2998" max="2998" width="9" style="1" bestFit="1" customWidth="1"/>
    <col min="2999" max="3008" width="9.28515625" style="1" bestFit="1" customWidth="1"/>
    <col min="3009" max="3009" width="10.28515625" style="1" bestFit="1" customWidth="1"/>
    <col min="3010" max="3010" width="11.28515625" style="1" bestFit="1" customWidth="1"/>
    <col min="3011" max="3011" width="11.7109375" style="1" customWidth="1"/>
    <col min="3012" max="3012" width="9.140625" style="1"/>
    <col min="3013" max="3013" width="22.28515625" style="1" customWidth="1"/>
    <col min="3014" max="3014" width="9.140625" style="1"/>
    <col min="3015" max="3015" width="9.28515625" style="1" bestFit="1" customWidth="1"/>
    <col min="3016" max="3016" width="9.42578125" style="1" bestFit="1" customWidth="1"/>
    <col min="3017" max="3017" width="9.28515625" style="1" bestFit="1" customWidth="1"/>
    <col min="3018" max="3018" width="10.28515625" style="1" bestFit="1" customWidth="1"/>
    <col min="3019" max="3020" width="9.28515625" style="1" bestFit="1" customWidth="1"/>
    <col min="3021" max="3022" width="10.28515625" style="1" bestFit="1" customWidth="1"/>
    <col min="3023" max="3027" width="9.28515625" style="1" bestFit="1" customWidth="1"/>
    <col min="3028" max="3028" width="10.42578125" style="1" bestFit="1" customWidth="1"/>
    <col min="3029" max="3029" width="9.140625" style="1"/>
    <col min="3030" max="3030" width="24.85546875" style="1" customWidth="1"/>
    <col min="3031" max="3031" width="9.140625" style="1"/>
    <col min="3032" max="3044" width="9.28515625" style="1" bestFit="1" customWidth="1"/>
    <col min="3045" max="3045" width="10.28515625" style="1" bestFit="1" customWidth="1"/>
    <col min="3046" max="3046" width="9.5703125" style="1" bestFit="1" customWidth="1"/>
    <col min="3047" max="3047" width="18.5703125" style="1" customWidth="1"/>
    <col min="3048" max="3049" width="9.140625" style="1"/>
    <col min="3050" max="3052" width="12.140625" style="1" bestFit="1" customWidth="1"/>
    <col min="3053" max="3061" width="10.28515625" style="1" bestFit="1" customWidth="1"/>
    <col min="3062" max="3062" width="11.28515625" style="1" bestFit="1" customWidth="1"/>
    <col min="3063" max="3063" width="9.140625" style="1"/>
    <col min="3064" max="3064" width="19" style="1" customWidth="1"/>
    <col min="3065" max="3081" width="9.140625" style="1"/>
    <col min="3082" max="3092" width="11.28515625" style="1" bestFit="1" customWidth="1"/>
    <col min="3093" max="3093" width="10.28515625" style="1" bestFit="1" customWidth="1"/>
    <col min="3094" max="3094" width="12.85546875" style="1" bestFit="1" customWidth="1"/>
    <col min="3095" max="3217" width="9.140625" style="1"/>
    <col min="3218" max="3218" width="11" style="1" bestFit="1" customWidth="1"/>
    <col min="3219" max="3219" width="28.140625" style="1" bestFit="1" customWidth="1"/>
    <col min="3220" max="3220" width="14" style="1" bestFit="1" customWidth="1"/>
    <col min="3221" max="3221" width="9.140625" style="1"/>
    <col min="3222" max="3222" width="13.85546875" style="1" bestFit="1" customWidth="1"/>
    <col min="3223" max="3223" width="9.140625" style="1"/>
    <col min="3224" max="3224" width="14" style="1" customWidth="1"/>
    <col min="3225" max="3225" width="9.140625" style="1"/>
    <col min="3226" max="3226" width="12.85546875" style="1" bestFit="1" customWidth="1"/>
    <col min="3227" max="3227" width="10" style="1" customWidth="1"/>
    <col min="3228" max="3228" width="14" style="1" bestFit="1" customWidth="1"/>
    <col min="3229" max="3229" width="9.85546875" style="1" bestFit="1" customWidth="1"/>
    <col min="3230" max="3230" width="13.5703125" style="1" bestFit="1" customWidth="1"/>
    <col min="3231" max="3231" width="9.85546875" style="1" bestFit="1" customWidth="1"/>
    <col min="3232" max="3232" width="12.85546875" style="1" bestFit="1" customWidth="1"/>
    <col min="3233" max="3244" width="10.5703125" style="1" customWidth="1"/>
    <col min="3245" max="3245" width="11.140625" style="1" bestFit="1" customWidth="1"/>
    <col min="3246" max="3246" width="2.7109375" style="1" customWidth="1"/>
    <col min="3247" max="3247" width="9.85546875" style="1" bestFit="1" customWidth="1"/>
    <col min="3248" max="3249" width="9.140625" style="1"/>
    <col min="3250" max="3250" width="24" style="1" customWidth="1"/>
    <col min="3251" max="3253" width="9.140625" style="1"/>
    <col min="3254" max="3254" width="9" style="1" bestFit="1" customWidth="1"/>
    <col min="3255" max="3264" width="9.28515625" style="1" bestFit="1" customWidth="1"/>
    <col min="3265" max="3265" width="10.28515625" style="1" bestFit="1" customWidth="1"/>
    <col min="3266" max="3266" width="11.28515625" style="1" bestFit="1" customWidth="1"/>
    <col min="3267" max="3267" width="11.7109375" style="1" customWidth="1"/>
    <col min="3268" max="3268" width="9.140625" style="1"/>
    <col min="3269" max="3269" width="22.28515625" style="1" customWidth="1"/>
    <col min="3270" max="3270" width="9.140625" style="1"/>
    <col min="3271" max="3271" width="9.28515625" style="1" bestFit="1" customWidth="1"/>
    <col min="3272" max="3272" width="9.42578125" style="1" bestFit="1" customWidth="1"/>
    <col min="3273" max="3273" width="9.28515625" style="1" bestFit="1" customWidth="1"/>
    <col min="3274" max="3274" width="10.28515625" style="1" bestFit="1" customWidth="1"/>
    <col min="3275" max="3276" width="9.28515625" style="1" bestFit="1" customWidth="1"/>
    <col min="3277" max="3278" width="10.28515625" style="1" bestFit="1" customWidth="1"/>
    <col min="3279" max="3283" width="9.28515625" style="1" bestFit="1" customWidth="1"/>
    <col min="3284" max="3284" width="10.42578125" style="1" bestFit="1" customWidth="1"/>
    <col min="3285" max="3285" width="9.140625" style="1"/>
    <col min="3286" max="3286" width="24.85546875" style="1" customWidth="1"/>
    <col min="3287" max="3287" width="9.140625" style="1"/>
    <col min="3288" max="3300" width="9.28515625" style="1" bestFit="1" customWidth="1"/>
    <col min="3301" max="3301" width="10.28515625" style="1" bestFit="1" customWidth="1"/>
    <col min="3302" max="3302" width="9.5703125" style="1" bestFit="1" customWidth="1"/>
    <col min="3303" max="3303" width="18.5703125" style="1" customWidth="1"/>
    <col min="3304" max="3305" width="9.140625" style="1"/>
    <col min="3306" max="3308" width="12.140625" style="1" bestFit="1" customWidth="1"/>
    <col min="3309" max="3317" width="10.28515625" style="1" bestFit="1" customWidth="1"/>
    <col min="3318" max="3318" width="11.28515625" style="1" bestFit="1" customWidth="1"/>
    <col min="3319" max="3319" width="9.140625" style="1"/>
    <col min="3320" max="3320" width="19" style="1" customWidth="1"/>
    <col min="3321" max="3337" width="9.140625" style="1"/>
    <col min="3338" max="3348" width="11.28515625" style="1" bestFit="1" customWidth="1"/>
    <col min="3349" max="3349" width="10.28515625" style="1" bestFit="1" customWidth="1"/>
    <col min="3350" max="3350" width="12.85546875" style="1" bestFit="1" customWidth="1"/>
    <col min="3351" max="3473" width="9.140625" style="1"/>
    <col min="3474" max="3474" width="11" style="1" bestFit="1" customWidth="1"/>
    <col min="3475" max="3475" width="28.140625" style="1" bestFit="1" customWidth="1"/>
    <col min="3476" max="3476" width="14" style="1" bestFit="1" customWidth="1"/>
    <col min="3477" max="3477" width="9.140625" style="1"/>
    <col min="3478" max="3478" width="13.85546875" style="1" bestFit="1" customWidth="1"/>
    <col min="3479" max="3479" width="9.140625" style="1"/>
    <col min="3480" max="3480" width="14" style="1" customWidth="1"/>
    <col min="3481" max="3481" width="9.140625" style="1"/>
    <col min="3482" max="3482" width="12.85546875" style="1" bestFit="1" customWidth="1"/>
    <col min="3483" max="3483" width="10" style="1" customWidth="1"/>
    <col min="3484" max="3484" width="14" style="1" bestFit="1" customWidth="1"/>
    <col min="3485" max="3485" width="9.85546875" style="1" bestFit="1" customWidth="1"/>
    <col min="3486" max="3486" width="13.5703125" style="1" bestFit="1" customWidth="1"/>
    <col min="3487" max="3487" width="9.85546875" style="1" bestFit="1" customWidth="1"/>
    <col min="3488" max="3488" width="12.85546875" style="1" bestFit="1" customWidth="1"/>
    <col min="3489" max="3500" width="10.5703125" style="1" customWidth="1"/>
    <col min="3501" max="3501" width="11.140625" style="1" bestFit="1" customWidth="1"/>
    <col min="3502" max="3502" width="2.7109375" style="1" customWidth="1"/>
    <col min="3503" max="3503" width="9.85546875" style="1" bestFit="1" customWidth="1"/>
    <col min="3504" max="3505" width="9.140625" style="1"/>
    <col min="3506" max="3506" width="24" style="1" customWidth="1"/>
    <col min="3507" max="3509" width="9.140625" style="1"/>
    <col min="3510" max="3510" width="9" style="1" bestFit="1" customWidth="1"/>
    <col min="3511" max="3520" width="9.28515625" style="1" bestFit="1" customWidth="1"/>
    <col min="3521" max="3521" width="10.28515625" style="1" bestFit="1" customWidth="1"/>
    <col min="3522" max="3522" width="11.28515625" style="1" bestFit="1" customWidth="1"/>
    <col min="3523" max="3523" width="11.7109375" style="1" customWidth="1"/>
    <col min="3524" max="3524" width="9.140625" style="1"/>
    <col min="3525" max="3525" width="22.28515625" style="1" customWidth="1"/>
    <col min="3526" max="3526" width="9.140625" style="1"/>
    <col min="3527" max="3527" width="9.28515625" style="1" bestFit="1" customWidth="1"/>
    <col min="3528" max="3528" width="9.42578125" style="1" bestFit="1" customWidth="1"/>
    <col min="3529" max="3529" width="9.28515625" style="1" bestFit="1" customWidth="1"/>
    <col min="3530" max="3530" width="10.28515625" style="1" bestFit="1" customWidth="1"/>
    <col min="3531" max="3532" width="9.28515625" style="1" bestFit="1" customWidth="1"/>
    <col min="3533" max="3534" width="10.28515625" style="1" bestFit="1" customWidth="1"/>
    <col min="3535" max="3539" width="9.28515625" style="1" bestFit="1" customWidth="1"/>
    <col min="3540" max="3540" width="10.42578125" style="1" bestFit="1" customWidth="1"/>
    <col min="3541" max="3541" width="9.140625" style="1"/>
    <col min="3542" max="3542" width="24.85546875" style="1" customWidth="1"/>
    <col min="3543" max="3543" width="9.140625" style="1"/>
    <col min="3544" max="3556" width="9.28515625" style="1" bestFit="1" customWidth="1"/>
    <col min="3557" max="3557" width="10.28515625" style="1" bestFit="1" customWidth="1"/>
    <col min="3558" max="3558" width="9.5703125" style="1" bestFit="1" customWidth="1"/>
    <col min="3559" max="3559" width="18.5703125" style="1" customWidth="1"/>
    <col min="3560" max="3561" width="9.140625" style="1"/>
    <col min="3562" max="3564" width="12.140625" style="1" bestFit="1" customWidth="1"/>
    <col min="3565" max="3573" width="10.28515625" style="1" bestFit="1" customWidth="1"/>
    <col min="3574" max="3574" width="11.28515625" style="1" bestFit="1" customWidth="1"/>
    <col min="3575" max="3575" width="9.140625" style="1"/>
    <col min="3576" max="3576" width="19" style="1" customWidth="1"/>
    <col min="3577" max="3593" width="9.140625" style="1"/>
    <col min="3594" max="3604" width="11.28515625" style="1" bestFit="1" customWidth="1"/>
    <col min="3605" max="3605" width="10.28515625" style="1" bestFit="1" customWidth="1"/>
    <col min="3606" max="3606" width="12.85546875" style="1" bestFit="1" customWidth="1"/>
    <col min="3607" max="3729" width="9.140625" style="1"/>
    <col min="3730" max="3730" width="11" style="1" bestFit="1" customWidth="1"/>
    <col min="3731" max="3731" width="28.140625" style="1" bestFit="1" customWidth="1"/>
    <col min="3732" max="3732" width="14" style="1" bestFit="1" customWidth="1"/>
    <col min="3733" max="3733" width="9.140625" style="1"/>
    <col min="3734" max="3734" width="13.85546875" style="1" bestFit="1" customWidth="1"/>
    <col min="3735" max="3735" width="9.140625" style="1"/>
    <col min="3736" max="3736" width="14" style="1" customWidth="1"/>
    <col min="3737" max="3737" width="9.140625" style="1"/>
    <col min="3738" max="3738" width="12.85546875" style="1" bestFit="1" customWidth="1"/>
    <col min="3739" max="3739" width="10" style="1" customWidth="1"/>
    <col min="3740" max="3740" width="14" style="1" bestFit="1" customWidth="1"/>
    <col min="3741" max="3741" width="9.85546875" style="1" bestFit="1" customWidth="1"/>
    <col min="3742" max="3742" width="13.5703125" style="1" bestFit="1" customWidth="1"/>
    <col min="3743" max="3743" width="9.85546875" style="1" bestFit="1" customWidth="1"/>
    <col min="3744" max="3744" width="12.85546875" style="1" bestFit="1" customWidth="1"/>
    <col min="3745" max="3756" width="10.5703125" style="1" customWidth="1"/>
    <col min="3757" max="3757" width="11.140625" style="1" bestFit="1" customWidth="1"/>
    <col min="3758" max="3758" width="2.7109375" style="1" customWidth="1"/>
    <col min="3759" max="3759" width="9.85546875" style="1" bestFit="1" customWidth="1"/>
    <col min="3760" max="3761" width="9.140625" style="1"/>
    <col min="3762" max="3762" width="24" style="1" customWidth="1"/>
    <col min="3763" max="3765" width="9.140625" style="1"/>
    <col min="3766" max="3766" width="9" style="1" bestFit="1" customWidth="1"/>
    <col min="3767" max="3776" width="9.28515625" style="1" bestFit="1" customWidth="1"/>
    <col min="3777" max="3777" width="10.28515625" style="1" bestFit="1" customWidth="1"/>
    <col min="3778" max="3778" width="11.28515625" style="1" bestFit="1" customWidth="1"/>
    <col min="3779" max="3779" width="11.7109375" style="1" customWidth="1"/>
    <col min="3780" max="3780" width="9.140625" style="1"/>
    <col min="3781" max="3781" width="22.28515625" style="1" customWidth="1"/>
    <col min="3782" max="3782" width="9.140625" style="1"/>
    <col min="3783" max="3783" width="9.28515625" style="1" bestFit="1" customWidth="1"/>
    <col min="3784" max="3784" width="9.42578125" style="1" bestFit="1" customWidth="1"/>
    <col min="3785" max="3785" width="9.28515625" style="1" bestFit="1" customWidth="1"/>
    <col min="3786" max="3786" width="10.28515625" style="1" bestFit="1" customWidth="1"/>
    <col min="3787" max="3788" width="9.28515625" style="1" bestFit="1" customWidth="1"/>
    <col min="3789" max="3790" width="10.28515625" style="1" bestFit="1" customWidth="1"/>
    <col min="3791" max="3795" width="9.28515625" style="1" bestFit="1" customWidth="1"/>
    <col min="3796" max="3796" width="10.42578125" style="1" bestFit="1" customWidth="1"/>
    <col min="3797" max="3797" width="9.140625" style="1"/>
    <col min="3798" max="3798" width="24.85546875" style="1" customWidth="1"/>
    <col min="3799" max="3799" width="9.140625" style="1"/>
    <col min="3800" max="3812" width="9.28515625" style="1" bestFit="1" customWidth="1"/>
    <col min="3813" max="3813" width="10.28515625" style="1" bestFit="1" customWidth="1"/>
    <col min="3814" max="3814" width="9.5703125" style="1" bestFit="1" customWidth="1"/>
    <col min="3815" max="3815" width="18.5703125" style="1" customWidth="1"/>
    <col min="3816" max="3817" width="9.140625" style="1"/>
    <col min="3818" max="3820" width="12.140625" style="1" bestFit="1" customWidth="1"/>
    <col min="3821" max="3829" width="10.28515625" style="1" bestFit="1" customWidth="1"/>
    <col min="3830" max="3830" width="11.28515625" style="1" bestFit="1" customWidth="1"/>
    <col min="3831" max="3831" width="9.140625" style="1"/>
    <col min="3832" max="3832" width="19" style="1" customWidth="1"/>
    <col min="3833" max="3849" width="9.140625" style="1"/>
    <col min="3850" max="3860" width="11.28515625" style="1" bestFit="1" customWidth="1"/>
    <col min="3861" max="3861" width="10.28515625" style="1" bestFit="1" customWidth="1"/>
    <col min="3862" max="3862" width="12.85546875" style="1" bestFit="1" customWidth="1"/>
    <col min="3863" max="3985" width="9.140625" style="1"/>
    <col min="3986" max="3986" width="11" style="1" bestFit="1" customWidth="1"/>
    <col min="3987" max="3987" width="28.140625" style="1" bestFit="1" customWidth="1"/>
    <col min="3988" max="3988" width="14" style="1" bestFit="1" customWidth="1"/>
    <col min="3989" max="3989" width="9.140625" style="1"/>
    <col min="3990" max="3990" width="13.85546875" style="1" bestFit="1" customWidth="1"/>
    <col min="3991" max="3991" width="9.140625" style="1"/>
    <col min="3992" max="3992" width="14" style="1" customWidth="1"/>
    <col min="3993" max="3993" width="9.140625" style="1"/>
    <col min="3994" max="3994" width="12.85546875" style="1" bestFit="1" customWidth="1"/>
    <col min="3995" max="3995" width="10" style="1" customWidth="1"/>
    <col min="3996" max="3996" width="14" style="1" bestFit="1" customWidth="1"/>
    <col min="3997" max="3997" width="9.85546875" style="1" bestFit="1" customWidth="1"/>
    <col min="3998" max="3998" width="13.5703125" style="1" bestFit="1" customWidth="1"/>
    <col min="3999" max="3999" width="9.85546875" style="1" bestFit="1" customWidth="1"/>
    <col min="4000" max="4000" width="12.85546875" style="1" bestFit="1" customWidth="1"/>
    <col min="4001" max="4012" width="10.5703125" style="1" customWidth="1"/>
    <col min="4013" max="4013" width="11.140625" style="1" bestFit="1" customWidth="1"/>
    <col min="4014" max="4014" width="2.7109375" style="1" customWidth="1"/>
    <col min="4015" max="4015" width="9.85546875" style="1" bestFit="1" customWidth="1"/>
    <col min="4016" max="4017" width="9.140625" style="1"/>
    <col min="4018" max="4018" width="24" style="1" customWidth="1"/>
    <col min="4019" max="4021" width="9.140625" style="1"/>
    <col min="4022" max="4022" width="9" style="1" bestFit="1" customWidth="1"/>
    <col min="4023" max="4032" width="9.28515625" style="1" bestFit="1" customWidth="1"/>
    <col min="4033" max="4033" width="10.28515625" style="1" bestFit="1" customWidth="1"/>
    <col min="4034" max="4034" width="11.28515625" style="1" bestFit="1" customWidth="1"/>
    <col min="4035" max="4035" width="11.7109375" style="1" customWidth="1"/>
    <col min="4036" max="4036" width="9.140625" style="1"/>
    <col min="4037" max="4037" width="22.28515625" style="1" customWidth="1"/>
    <col min="4038" max="4038" width="9.140625" style="1"/>
    <col min="4039" max="4039" width="9.28515625" style="1" bestFit="1" customWidth="1"/>
    <col min="4040" max="4040" width="9.42578125" style="1" bestFit="1" customWidth="1"/>
    <col min="4041" max="4041" width="9.28515625" style="1" bestFit="1" customWidth="1"/>
    <col min="4042" max="4042" width="10.28515625" style="1" bestFit="1" customWidth="1"/>
    <col min="4043" max="4044" width="9.28515625" style="1" bestFit="1" customWidth="1"/>
    <col min="4045" max="4046" width="10.28515625" style="1" bestFit="1" customWidth="1"/>
    <col min="4047" max="4051" width="9.28515625" style="1" bestFit="1" customWidth="1"/>
    <col min="4052" max="4052" width="10.42578125" style="1" bestFit="1" customWidth="1"/>
    <col min="4053" max="4053" width="9.140625" style="1"/>
    <col min="4054" max="4054" width="24.85546875" style="1" customWidth="1"/>
    <col min="4055" max="4055" width="9.140625" style="1"/>
    <col min="4056" max="4068" width="9.28515625" style="1" bestFit="1" customWidth="1"/>
    <col min="4069" max="4069" width="10.28515625" style="1" bestFit="1" customWidth="1"/>
    <col min="4070" max="4070" width="9.5703125" style="1" bestFit="1" customWidth="1"/>
    <col min="4071" max="4071" width="18.5703125" style="1" customWidth="1"/>
    <col min="4072" max="4073" width="9.140625" style="1"/>
    <col min="4074" max="4076" width="12.140625" style="1" bestFit="1" customWidth="1"/>
    <col min="4077" max="4085" width="10.28515625" style="1" bestFit="1" customWidth="1"/>
    <col min="4086" max="4086" width="11.28515625" style="1" bestFit="1" customWidth="1"/>
    <col min="4087" max="4087" width="9.140625" style="1"/>
    <col min="4088" max="4088" width="19" style="1" customWidth="1"/>
    <col min="4089" max="4105" width="9.140625" style="1"/>
    <col min="4106" max="4116" width="11.28515625" style="1" bestFit="1" customWidth="1"/>
    <col min="4117" max="4117" width="10.28515625" style="1" bestFit="1" customWidth="1"/>
    <col min="4118" max="4118" width="12.85546875" style="1" bestFit="1" customWidth="1"/>
    <col min="4119" max="4241" width="9.140625" style="1"/>
    <col min="4242" max="4242" width="11" style="1" bestFit="1" customWidth="1"/>
    <col min="4243" max="4243" width="28.140625" style="1" bestFit="1" customWidth="1"/>
    <col min="4244" max="4244" width="14" style="1" bestFit="1" customWidth="1"/>
    <col min="4245" max="4245" width="9.140625" style="1"/>
    <col min="4246" max="4246" width="13.85546875" style="1" bestFit="1" customWidth="1"/>
    <col min="4247" max="4247" width="9.140625" style="1"/>
    <col min="4248" max="4248" width="14" style="1" customWidth="1"/>
    <col min="4249" max="4249" width="9.140625" style="1"/>
    <col min="4250" max="4250" width="12.85546875" style="1" bestFit="1" customWidth="1"/>
    <col min="4251" max="4251" width="10" style="1" customWidth="1"/>
    <col min="4252" max="4252" width="14" style="1" bestFit="1" customWidth="1"/>
    <col min="4253" max="4253" width="9.85546875" style="1" bestFit="1" customWidth="1"/>
    <col min="4254" max="4254" width="13.5703125" style="1" bestFit="1" customWidth="1"/>
    <col min="4255" max="4255" width="9.85546875" style="1" bestFit="1" customWidth="1"/>
    <col min="4256" max="4256" width="12.85546875" style="1" bestFit="1" customWidth="1"/>
    <col min="4257" max="4268" width="10.5703125" style="1" customWidth="1"/>
    <col min="4269" max="4269" width="11.140625" style="1" bestFit="1" customWidth="1"/>
    <col min="4270" max="4270" width="2.7109375" style="1" customWidth="1"/>
    <col min="4271" max="4271" width="9.85546875" style="1" bestFit="1" customWidth="1"/>
    <col min="4272" max="4273" width="9.140625" style="1"/>
    <col min="4274" max="4274" width="24" style="1" customWidth="1"/>
    <col min="4275" max="4277" width="9.140625" style="1"/>
    <col min="4278" max="4278" width="9" style="1" bestFit="1" customWidth="1"/>
    <col min="4279" max="4288" width="9.28515625" style="1" bestFit="1" customWidth="1"/>
    <col min="4289" max="4289" width="10.28515625" style="1" bestFit="1" customWidth="1"/>
    <col min="4290" max="4290" width="11.28515625" style="1" bestFit="1" customWidth="1"/>
    <col min="4291" max="4291" width="11.7109375" style="1" customWidth="1"/>
    <col min="4292" max="4292" width="9.140625" style="1"/>
    <col min="4293" max="4293" width="22.28515625" style="1" customWidth="1"/>
    <col min="4294" max="4294" width="9.140625" style="1"/>
    <col min="4295" max="4295" width="9.28515625" style="1" bestFit="1" customWidth="1"/>
    <col min="4296" max="4296" width="9.42578125" style="1" bestFit="1" customWidth="1"/>
    <col min="4297" max="4297" width="9.28515625" style="1" bestFit="1" customWidth="1"/>
    <col min="4298" max="4298" width="10.28515625" style="1" bestFit="1" customWidth="1"/>
    <col min="4299" max="4300" width="9.28515625" style="1" bestFit="1" customWidth="1"/>
    <col min="4301" max="4302" width="10.28515625" style="1" bestFit="1" customWidth="1"/>
    <col min="4303" max="4307" width="9.28515625" style="1" bestFit="1" customWidth="1"/>
    <col min="4308" max="4308" width="10.42578125" style="1" bestFit="1" customWidth="1"/>
    <col min="4309" max="4309" width="9.140625" style="1"/>
    <col min="4310" max="4310" width="24.85546875" style="1" customWidth="1"/>
    <col min="4311" max="4311" width="9.140625" style="1"/>
    <col min="4312" max="4324" width="9.28515625" style="1" bestFit="1" customWidth="1"/>
    <col min="4325" max="4325" width="10.28515625" style="1" bestFit="1" customWidth="1"/>
    <col min="4326" max="4326" width="9.5703125" style="1" bestFit="1" customWidth="1"/>
    <col min="4327" max="4327" width="18.5703125" style="1" customWidth="1"/>
    <col min="4328" max="4329" width="9.140625" style="1"/>
    <col min="4330" max="4332" width="12.140625" style="1" bestFit="1" customWidth="1"/>
    <col min="4333" max="4341" width="10.28515625" style="1" bestFit="1" customWidth="1"/>
    <col min="4342" max="4342" width="11.28515625" style="1" bestFit="1" customWidth="1"/>
    <col min="4343" max="4343" width="9.140625" style="1"/>
    <col min="4344" max="4344" width="19" style="1" customWidth="1"/>
    <col min="4345" max="4361" width="9.140625" style="1"/>
    <col min="4362" max="4372" width="11.28515625" style="1" bestFit="1" customWidth="1"/>
    <col min="4373" max="4373" width="10.28515625" style="1" bestFit="1" customWidth="1"/>
    <col min="4374" max="4374" width="12.85546875" style="1" bestFit="1" customWidth="1"/>
    <col min="4375" max="4497" width="9.140625" style="1"/>
    <col min="4498" max="4498" width="11" style="1" bestFit="1" customWidth="1"/>
    <col min="4499" max="4499" width="28.140625" style="1" bestFit="1" customWidth="1"/>
    <col min="4500" max="4500" width="14" style="1" bestFit="1" customWidth="1"/>
    <col min="4501" max="4501" width="9.140625" style="1"/>
    <col min="4502" max="4502" width="13.85546875" style="1" bestFit="1" customWidth="1"/>
    <col min="4503" max="4503" width="9.140625" style="1"/>
    <col min="4504" max="4504" width="14" style="1" customWidth="1"/>
    <col min="4505" max="4505" width="9.140625" style="1"/>
    <col min="4506" max="4506" width="12.85546875" style="1" bestFit="1" customWidth="1"/>
    <col min="4507" max="4507" width="10" style="1" customWidth="1"/>
    <col min="4508" max="4508" width="14" style="1" bestFit="1" customWidth="1"/>
    <col min="4509" max="4509" width="9.85546875" style="1" bestFit="1" customWidth="1"/>
    <col min="4510" max="4510" width="13.5703125" style="1" bestFit="1" customWidth="1"/>
    <col min="4511" max="4511" width="9.85546875" style="1" bestFit="1" customWidth="1"/>
    <col min="4512" max="4512" width="12.85546875" style="1" bestFit="1" customWidth="1"/>
    <col min="4513" max="4524" width="10.5703125" style="1" customWidth="1"/>
    <col min="4525" max="4525" width="11.140625" style="1" bestFit="1" customWidth="1"/>
    <col min="4526" max="4526" width="2.7109375" style="1" customWidth="1"/>
    <col min="4527" max="4527" width="9.85546875" style="1" bestFit="1" customWidth="1"/>
    <col min="4528" max="4529" width="9.140625" style="1"/>
    <col min="4530" max="4530" width="24" style="1" customWidth="1"/>
    <col min="4531" max="4533" width="9.140625" style="1"/>
    <col min="4534" max="4534" width="9" style="1" bestFit="1" customWidth="1"/>
    <col min="4535" max="4544" width="9.28515625" style="1" bestFit="1" customWidth="1"/>
    <col min="4545" max="4545" width="10.28515625" style="1" bestFit="1" customWidth="1"/>
    <col min="4546" max="4546" width="11.28515625" style="1" bestFit="1" customWidth="1"/>
    <col min="4547" max="4547" width="11.7109375" style="1" customWidth="1"/>
    <col min="4548" max="4548" width="9.140625" style="1"/>
    <col min="4549" max="4549" width="22.28515625" style="1" customWidth="1"/>
    <col min="4550" max="4550" width="9.140625" style="1"/>
    <col min="4551" max="4551" width="9.28515625" style="1" bestFit="1" customWidth="1"/>
    <col min="4552" max="4552" width="9.42578125" style="1" bestFit="1" customWidth="1"/>
    <col min="4553" max="4553" width="9.28515625" style="1" bestFit="1" customWidth="1"/>
    <col min="4554" max="4554" width="10.28515625" style="1" bestFit="1" customWidth="1"/>
    <col min="4555" max="4556" width="9.28515625" style="1" bestFit="1" customWidth="1"/>
    <col min="4557" max="4558" width="10.28515625" style="1" bestFit="1" customWidth="1"/>
    <col min="4559" max="4563" width="9.28515625" style="1" bestFit="1" customWidth="1"/>
    <col min="4564" max="4564" width="10.42578125" style="1" bestFit="1" customWidth="1"/>
    <col min="4565" max="4565" width="9.140625" style="1"/>
    <col min="4566" max="4566" width="24.85546875" style="1" customWidth="1"/>
    <col min="4567" max="4567" width="9.140625" style="1"/>
    <col min="4568" max="4580" width="9.28515625" style="1" bestFit="1" customWidth="1"/>
    <col min="4581" max="4581" width="10.28515625" style="1" bestFit="1" customWidth="1"/>
    <col min="4582" max="4582" width="9.5703125" style="1" bestFit="1" customWidth="1"/>
    <col min="4583" max="4583" width="18.5703125" style="1" customWidth="1"/>
    <col min="4584" max="4585" width="9.140625" style="1"/>
    <col min="4586" max="4588" width="12.140625" style="1" bestFit="1" customWidth="1"/>
    <col min="4589" max="4597" width="10.28515625" style="1" bestFit="1" customWidth="1"/>
    <col min="4598" max="4598" width="11.28515625" style="1" bestFit="1" customWidth="1"/>
    <col min="4599" max="4599" width="9.140625" style="1"/>
    <col min="4600" max="4600" width="19" style="1" customWidth="1"/>
    <col min="4601" max="4617" width="9.140625" style="1"/>
    <col min="4618" max="4628" width="11.28515625" style="1" bestFit="1" customWidth="1"/>
    <col min="4629" max="4629" width="10.28515625" style="1" bestFit="1" customWidth="1"/>
    <col min="4630" max="4630" width="12.85546875" style="1" bestFit="1" customWidth="1"/>
    <col min="4631" max="4753" width="9.140625" style="1"/>
    <col min="4754" max="4754" width="11" style="1" bestFit="1" customWidth="1"/>
    <col min="4755" max="4755" width="28.140625" style="1" bestFit="1" customWidth="1"/>
    <col min="4756" max="4756" width="14" style="1" bestFit="1" customWidth="1"/>
    <col min="4757" max="4757" width="9.140625" style="1"/>
    <col min="4758" max="4758" width="13.85546875" style="1" bestFit="1" customWidth="1"/>
    <col min="4759" max="4759" width="9.140625" style="1"/>
    <col min="4760" max="4760" width="14" style="1" customWidth="1"/>
    <col min="4761" max="4761" width="9.140625" style="1"/>
    <col min="4762" max="4762" width="12.85546875" style="1" bestFit="1" customWidth="1"/>
    <col min="4763" max="4763" width="10" style="1" customWidth="1"/>
    <col min="4764" max="4764" width="14" style="1" bestFit="1" customWidth="1"/>
    <col min="4765" max="4765" width="9.85546875" style="1" bestFit="1" customWidth="1"/>
    <col min="4766" max="4766" width="13.5703125" style="1" bestFit="1" customWidth="1"/>
    <col min="4767" max="4767" width="9.85546875" style="1" bestFit="1" customWidth="1"/>
    <col min="4768" max="4768" width="12.85546875" style="1" bestFit="1" customWidth="1"/>
    <col min="4769" max="4780" width="10.5703125" style="1" customWidth="1"/>
    <col min="4781" max="4781" width="11.140625" style="1" bestFit="1" customWidth="1"/>
    <col min="4782" max="4782" width="2.7109375" style="1" customWidth="1"/>
    <col min="4783" max="4783" width="9.85546875" style="1" bestFit="1" customWidth="1"/>
    <col min="4784" max="4785" width="9.140625" style="1"/>
    <col min="4786" max="4786" width="24" style="1" customWidth="1"/>
    <col min="4787" max="4789" width="9.140625" style="1"/>
    <col min="4790" max="4790" width="9" style="1" bestFit="1" customWidth="1"/>
    <col min="4791" max="4800" width="9.28515625" style="1" bestFit="1" customWidth="1"/>
    <col min="4801" max="4801" width="10.28515625" style="1" bestFit="1" customWidth="1"/>
    <col min="4802" max="4802" width="11.28515625" style="1" bestFit="1" customWidth="1"/>
    <col min="4803" max="4803" width="11.7109375" style="1" customWidth="1"/>
    <col min="4804" max="4804" width="9.140625" style="1"/>
    <col min="4805" max="4805" width="22.28515625" style="1" customWidth="1"/>
    <col min="4806" max="4806" width="9.140625" style="1"/>
    <col min="4807" max="4807" width="9.28515625" style="1" bestFit="1" customWidth="1"/>
    <col min="4808" max="4808" width="9.42578125" style="1" bestFit="1" customWidth="1"/>
    <col min="4809" max="4809" width="9.28515625" style="1" bestFit="1" customWidth="1"/>
    <col min="4810" max="4810" width="10.28515625" style="1" bestFit="1" customWidth="1"/>
    <col min="4811" max="4812" width="9.28515625" style="1" bestFit="1" customWidth="1"/>
    <col min="4813" max="4814" width="10.28515625" style="1" bestFit="1" customWidth="1"/>
    <col min="4815" max="4819" width="9.28515625" style="1" bestFit="1" customWidth="1"/>
    <col min="4820" max="4820" width="10.42578125" style="1" bestFit="1" customWidth="1"/>
    <col min="4821" max="4821" width="9.140625" style="1"/>
    <col min="4822" max="4822" width="24.85546875" style="1" customWidth="1"/>
    <col min="4823" max="4823" width="9.140625" style="1"/>
    <col min="4824" max="4836" width="9.28515625" style="1" bestFit="1" customWidth="1"/>
    <col min="4837" max="4837" width="10.28515625" style="1" bestFit="1" customWidth="1"/>
    <col min="4838" max="4838" width="9.5703125" style="1" bestFit="1" customWidth="1"/>
    <col min="4839" max="4839" width="18.5703125" style="1" customWidth="1"/>
    <col min="4840" max="4841" width="9.140625" style="1"/>
    <col min="4842" max="4844" width="12.140625" style="1" bestFit="1" customWidth="1"/>
    <col min="4845" max="4853" width="10.28515625" style="1" bestFit="1" customWidth="1"/>
    <col min="4854" max="4854" width="11.28515625" style="1" bestFit="1" customWidth="1"/>
    <col min="4855" max="4855" width="9.140625" style="1"/>
    <col min="4856" max="4856" width="19" style="1" customWidth="1"/>
    <col min="4857" max="4873" width="9.140625" style="1"/>
    <col min="4874" max="4884" width="11.28515625" style="1" bestFit="1" customWidth="1"/>
    <col min="4885" max="4885" width="10.28515625" style="1" bestFit="1" customWidth="1"/>
    <col min="4886" max="4886" width="12.85546875" style="1" bestFit="1" customWidth="1"/>
    <col min="4887" max="5009" width="9.140625" style="1"/>
    <col min="5010" max="5010" width="11" style="1" bestFit="1" customWidth="1"/>
    <col min="5011" max="5011" width="28.140625" style="1" bestFit="1" customWidth="1"/>
    <col min="5012" max="5012" width="14" style="1" bestFit="1" customWidth="1"/>
    <col min="5013" max="5013" width="9.140625" style="1"/>
    <col min="5014" max="5014" width="13.85546875" style="1" bestFit="1" customWidth="1"/>
    <col min="5015" max="5015" width="9.140625" style="1"/>
    <col min="5016" max="5016" width="14" style="1" customWidth="1"/>
    <col min="5017" max="5017" width="9.140625" style="1"/>
    <col min="5018" max="5018" width="12.85546875" style="1" bestFit="1" customWidth="1"/>
    <col min="5019" max="5019" width="10" style="1" customWidth="1"/>
    <col min="5020" max="5020" width="14" style="1" bestFit="1" customWidth="1"/>
    <col min="5021" max="5021" width="9.85546875" style="1" bestFit="1" customWidth="1"/>
    <col min="5022" max="5022" width="13.5703125" style="1" bestFit="1" customWidth="1"/>
    <col min="5023" max="5023" width="9.85546875" style="1" bestFit="1" customWidth="1"/>
    <col min="5024" max="5024" width="12.85546875" style="1" bestFit="1" customWidth="1"/>
    <col min="5025" max="5036" width="10.5703125" style="1" customWidth="1"/>
    <col min="5037" max="5037" width="11.140625" style="1" bestFit="1" customWidth="1"/>
    <col min="5038" max="5038" width="2.7109375" style="1" customWidth="1"/>
    <col min="5039" max="5039" width="9.85546875" style="1" bestFit="1" customWidth="1"/>
    <col min="5040" max="5041" width="9.140625" style="1"/>
    <col min="5042" max="5042" width="24" style="1" customWidth="1"/>
    <col min="5043" max="5045" width="9.140625" style="1"/>
    <col min="5046" max="5046" width="9" style="1" bestFit="1" customWidth="1"/>
    <col min="5047" max="5056" width="9.28515625" style="1" bestFit="1" customWidth="1"/>
    <col min="5057" max="5057" width="10.28515625" style="1" bestFit="1" customWidth="1"/>
    <col min="5058" max="5058" width="11.28515625" style="1" bestFit="1" customWidth="1"/>
    <col min="5059" max="5059" width="11.7109375" style="1" customWidth="1"/>
    <col min="5060" max="5060" width="9.140625" style="1"/>
    <col min="5061" max="5061" width="22.28515625" style="1" customWidth="1"/>
    <col min="5062" max="5062" width="9.140625" style="1"/>
    <col min="5063" max="5063" width="9.28515625" style="1" bestFit="1" customWidth="1"/>
    <col min="5064" max="5064" width="9.42578125" style="1" bestFit="1" customWidth="1"/>
    <col min="5065" max="5065" width="9.28515625" style="1" bestFit="1" customWidth="1"/>
    <col min="5066" max="5066" width="10.28515625" style="1" bestFit="1" customWidth="1"/>
    <col min="5067" max="5068" width="9.28515625" style="1" bestFit="1" customWidth="1"/>
    <col min="5069" max="5070" width="10.28515625" style="1" bestFit="1" customWidth="1"/>
    <col min="5071" max="5075" width="9.28515625" style="1" bestFit="1" customWidth="1"/>
    <col min="5076" max="5076" width="10.42578125" style="1" bestFit="1" customWidth="1"/>
    <col min="5077" max="5077" width="9.140625" style="1"/>
    <col min="5078" max="5078" width="24.85546875" style="1" customWidth="1"/>
    <col min="5079" max="5079" width="9.140625" style="1"/>
    <col min="5080" max="5092" width="9.28515625" style="1" bestFit="1" customWidth="1"/>
    <col min="5093" max="5093" width="10.28515625" style="1" bestFit="1" customWidth="1"/>
    <col min="5094" max="5094" width="9.5703125" style="1" bestFit="1" customWidth="1"/>
    <col min="5095" max="5095" width="18.5703125" style="1" customWidth="1"/>
    <col min="5096" max="5097" width="9.140625" style="1"/>
    <col min="5098" max="5100" width="12.140625" style="1" bestFit="1" customWidth="1"/>
    <col min="5101" max="5109" width="10.28515625" style="1" bestFit="1" customWidth="1"/>
    <col min="5110" max="5110" width="11.28515625" style="1" bestFit="1" customWidth="1"/>
    <col min="5111" max="5111" width="9.140625" style="1"/>
    <col min="5112" max="5112" width="19" style="1" customWidth="1"/>
    <col min="5113" max="5129" width="9.140625" style="1"/>
    <col min="5130" max="5140" width="11.28515625" style="1" bestFit="1" customWidth="1"/>
    <col min="5141" max="5141" width="10.28515625" style="1" bestFit="1" customWidth="1"/>
    <col min="5142" max="5142" width="12.85546875" style="1" bestFit="1" customWidth="1"/>
    <col min="5143" max="5265" width="9.140625" style="1"/>
    <col min="5266" max="5266" width="11" style="1" bestFit="1" customWidth="1"/>
    <col min="5267" max="5267" width="28.140625" style="1" bestFit="1" customWidth="1"/>
    <col min="5268" max="5268" width="14" style="1" bestFit="1" customWidth="1"/>
    <col min="5269" max="5269" width="9.140625" style="1"/>
    <col min="5270" max="5270" width="13.85546875" style="1" bestFit="1" customWidth="1"/>
    <col min="5271" max="5271" width="9.140625" style="1"/>
    <col min="5272" max="5272" width="14" style="1" customWidth="1"/>
    <col min="5273" max="5273" width="9.140625" style="1"/>
    <col min="5274" max="5274" width="12.85546875" style="1" bestFit="1" customWidth="1"/>
    <col min="5275" max="5275" width="10" style="1" customWidth="1"/>
    <col min="5276" max="5276" width="14" style="1" bestFit="1" customWidth="1"/>
    <col min="5277" max="5277" width="9.85546875" style="1" bestFit="1" customWidth="1"/>
    <col min="5278" max="5278" width="13.5703125" style="1" bestFit="1" customWidth="1"/>
    <col min="5279" max="5279" width="9.85546875" style="1" bestFit="1" customWidth="1"/>
    <col min="5280" max="5280" width="12.85546875" style="1" bestFit="1" customWidth="1"/>
    <col min="5281" max="5292" width="10.5703125" style="1" customWidth="1"/>
    <col min="5293" max="5293" width="11.140625" style="1" bestFit="1" customWidth="1"/>
    <col min="5294" max="5294" width="2.7109375" style="1" customWidth="1"/>
    <col min="5295" max="5295" width="9.85546875" style="1" bestFit="1" customWidth="1"/>
    <col min="5296" max="5297" width="9.140625" style="1"/>
    <col min="5298" max="5298" width="24" style="1" customWidth="1"/>
    <col min="5299" max="5301" width="9.140625" style="1"/>
    <col min="5302" max="5302" width="9" style="1" bestFit="1" customWidth="1"/>
    <col min="5303" max="5312" width="9.28515625" style="1" bestFit="1" customWidth="1"/>
    <col min="5313" max="5313" width="10.28515625" style="1" bestFit="1" customWidth="1"/>
    <col min="5314" max="5314" width="11.28515625" style="1" bestFit="1" customWidth="1"/>
    <col min="5315" max="5315" width="11.7109375" style="1" customWidth="1"/>
    <col min="5316" max="5316" width="9.140625" style="1"/>
    <col min="5317" max="5317" width="22.28515625" style="1" customWidth="1"/>
    <col min="5318" max="5318" width="9.140625" style="1"/>
    <col min="5319" max="5319" width="9.28515625" style="1" bestFit="1" customWidth="1"/>
    <col min="5320" max="5320" width="9.42578125" style="1" bestFit="1" customWidth="1"/>
    <col min="5321" max="5321" width="9.28515625" style="1" bestFit="1" customWidth="1"/>
    <col min="5322" max="5322" width="10.28515625" style="1" bestFit="1" customWidth="1"/>
    <col min="5323" max="5324" width="9.28515625" style="1" bestFit="1" customWidth="1"/>
    <col min="5325" max="5326" width="10.28515625" style="1" bestFit="1" customWidth="1"/>
    <col min="5327" max="5331" width="9.28515625" style="1" bestFit="1" customWidth="1"/>
    <col min="5332" max="5332" width="10.42578125" style="1" bestFit="1" customWidth="1"/>
    <col min="5333" max="5333" width="9.140625" style="1"/>
    <col min="5334" max="5334" width="24.85546875" style="1" customWidth="1"/>
    <col min="5335" max="5335" width="9.140625" style="1"/>
    <col min="5336" max="5348" width="9.28515625" style="1" bestFit="1" customWidth="1"/>
    <col min="5349" max="5349" width="10.28515625" style="1" bestFit="1" customWidth="1"/>
    <col min="5350" max="5350" width="9.5703125" style="1" bestFit="1" customWidth="1"/>
    <col min="5351" max="5351" width="18.5703125" style="1" customWidth="1"/>
    <col min="5352" max="5353" width="9.140625" style="1"/>
    <col min="5354" max="5356" width="12.140625" style="1" bestFit="1" customWidth="1"/>
    <col min="5357" max="5365" width="10.28515625" style="1" bestFit="1" customWidth="1"/>
    <col min="5366" max="5366" width="11.28515625" style="1" bestFit="1" customWidth="1"/>
    <col min="5367" max="5367" width="9.140625" style="1"/>
    <col min="5368" max="5368" width="19" style="1" customWidth="1"/>
    <col min="5369" max="5385" width="9.140625" style="1"/>
    <col min="5386" max="5396" width="11.28515625" style="1" bestFit="1" customWidth="1"/>
    <col min="5397" max="5397" width="10.28515625" style="1" bestFit="1" customWidth="1"/>
    <col min="5398" max="5398" width="12.85546875" style="1" bestFit="1" customWidth="1"/>
    <col min="5399" max="5521" width="9.140625" style="1"/>
    <col min="5522" max="5522" width="11" style="1" bestFit="1" customWidth="1"/>
    <col min="5523" max="5523" width="28.140625" style="1" bestFit="1" customWidth="1"/>
    <col min="5524" max="5524" width="14" style="1" bestFit="1" customWidth="1"/>
    <col min="5525" max="5525" width="9.140625" style="1"/>
    <col min="5526" max="5526" width="13.85546875" style="1" bestFit="1" customWidth="1"/>
    <col min="5527" max="5527" width="9.140625" style="1"/>
    <col min="5528" max="5528" width="14" style="1" customWidth="1"/>
    <col min="5529" max="5529" width="9.140625" style="1"/>
    <col min="5530" max="5530" width="12.85546875" style="1" bestFit="1" customWidth="1"/>
    <col min="5531" max="5531" width="10" style="1" customWidth="1"/>
    <col min="5532" max="5532" width="14" style="1" bestFit="1" customWidth="1"/>
    <col min="5533" max="5533" width="9.85546875" style="1" bestFit="1" customWidth="1"/>
    <col min="5534" max="5534" width="13.5703125" style="1" bestFit="1" customWidth="1"/>
    <col min="5535" max="5535" width="9.85546875" style="1" bestFit="1" customWidth="1"/>
    <col min="5536" max="5536" width="12.85546875" style="1" bestFit="1" customWidth="1"/>
    <col min="5537" max="5548" width="10.5703125" style="1" customWidth="1"/>
    <col min="5549" max="5549" width="11.140625" style="1" bestFit="1" customWidth="1"/>
    <col min="5550" max="5550" width="2.7109375" style="1" customWidth="1"/>
    <col min="5551" max="5551" width="9.85546875" style="1" bestFit="1" customWidth="1"/>
    <col min="5552" max="5553" width="9.140625" style="1"/>
    <col min="5554" max="5554" width="24" style="1" customWidth="1"/>
    <col min="5555" max="5557" width="9.140625" style="1"/>
    <col min="5558" max="5558" width="9" style="1" bestFit="1" customWidth="1"/>
    <col min="5559" max="5568" width="9.28515625" style="1" bestFit="1" customWidth="1"/>
    <col min="5569" max="5569" width="10.28515625" style="1" bestFit="1" customWidth="1"/>
    <col min="5570" max="5570" width="11.28515625" style="1" bestFit="1" customWidth="1"/>
    <col min="5571" max="5571" width="11.7109375" style="1" customWidth="1"/>
    <col min="5572" max="5572" width="9.140625" style="1"/>
    <col min="5573" max="5573" width="22.28515625" style="1" customWidth="1"/>
    <col min="5574" max="5574" width="9.140625" style="1"/>
    <col min="5575" max="5575" width="9.28515625" style="1" bestFit="1" customWidth="1"/>
    <col min="5576" max="5576" width="9.42578125" style="1" bestFit="1" customWidth="1"/>
    <col min="5577" max="5577" width="9.28515625" style="1" bestFit="1" customWidth="1"/>
    <col min="5578" max="5578" width="10.28515625" style="1" bestFit="1" customWidth="1"/>
    <col min="5579" max="5580" width="9.28515625" style="1" bestFit="1" customWidth="1"/>
    <col min="5581" max="5582" width="10.28515625" style="1" bestFit="1" customWidth="1"/>
    <col min="5583" max="5587" width="9.28515625" style="1" bestFit="1" customWidth="1"/>
    <col min="5588" max="5588" width="10.42578125" style="1" bestFit="1" customWidth="1"/>
    <col min="5589" max="5589" width="9.140625" style="1"/>
    <col min="5590" max="5590" width="24.85546875" style="1" customWidth="1"/>
    <col min="5591" max="5591" width="9.140625" style="1"/>
    <col min="5592" max="5604" width="9.28515625" style="1" bestFit="1" customWidth="1"/>
    <col min="5605" max="5605" width="10.28515625" style="1" bestFit="1" customWidth="1"/>
    <col min="5606" max="5606" width="9.5703125" style="1" bestFit="1" customWidth="1"/>
    <col min="5607" max="5607" width="18.5703125" style="1" customWidth="1"/>
    <col min="5608" max="5609" width="9.140625" style="1"/>
    <col min="5610" max="5612" width="12.140625" style="1" bestFit="1" customWidth="1"/>
    <col min="5613" max="5621" width="10.28515625" style="1" bestFit="1" customWidth="1"/>
    <col min="5622" max="5622" width="11.28515625" style="1" bestFit="1" customWidth="1"/>
    <col min="5623" max="5623" width="9.140625" style="1"/>
    <col min="5624" max="5624" width="19" style="1" customWidth="1"/>
    <col min="5625" max="5641" width="9.140625" style="1"/>
    <col min="5642" max="5652" width="11.28515625" style="1" bestFit="1" customWidth="1"/>
    <col min="5653" max="5653" width="10.28515625" style="1" bestFit="1" customWidth="1"/>
    <col min="5654" max="5654" width="12.85546875" style="1" bestFit="1" customWidth="1"/>
    <col min="5655" max="5777" width="9.140625" style="1"/>
    <col min="5778" max="5778" width="11" style="1" bestFit="1" customWidth="1"/>
    <col min="5779" max="5779" width="28.140625" style="1" bestFit="1" customWidth="1"/>
    <col min="5780" max="5780" width="14" style="1" bestFit="1" customWidth="1"/>
    <col min="5781" max="5781" width="9.140625" style="1"/>
    <col min="5782" max="5782" width="13.85546875" style="1" bestFit="1" customWidth="1"/>
    <col min="5783" max="5783" width="9.140625" style="1"/>
    <col min="5784" max="5784" width="14" style="1" customWidth="1"/>
    <col min="5785" max="5785" width="9.140625" style="1"/>
    <col min="5786" max="5786" width="12.85546875" style="1" bestFit="1" customWidth="1"/>
    <col min="5787" max="5787" width="10" style="1" customWidth="1"/>
    <col min="5788" max="5788" width="14" style="1" bestFit="1" customWidth="1"/>
    <col min="5789" max="5789" width="9.85546875" style="1" bestFit="1" customWidth="1"/>
    <col min="5790" max="5790" width="13.5703125" style="1" bestFit="1" customWidth="1"/>
    <col min="5791" max="5791" width="9.85546875" style="1" bestFit="1" customWidth="1"/>
    <col min="5792" max="5792" width="12.85546875" style="1" bestFit="1" customWidth="1"/>
    <col min="5793" max="5804" width="10.5703125" style="1" customWidth="1"/>
    <col min="5805" max="5805" width="11.140625" style="1" bestFit="1" customWidth="1"/>
    <col min="5806" max="5806" width="2.7109375" style="1" customWidth="1"/>
    <col min="5807" max="5807" width="9.85546875" style="1" bestFit="1" customWidth="1"/>
    <col min="5808" max="5809" width="9.140625" style="1"/>
    <col min="5810" max="5810" width="24" style="1" customWidth="1"/>
    <col min="5811" max="5813" width="9.140625" style="1"/>
    <col min="5814" max="5814" width="9" style="1" bestFit="1" customWidth="1"/>
    <col min="5815" max="5824" width="9.28515625" style="1" bestFit="1" customWidth="1"/>
    <col min="5825" max="5825" width="10.28515625" style="1" bestFit="1" customWidth="1"/>
    <col min="5826" max="5826" width="11.28515625" style="1" bestFit="1" customWidth="1"/>
    <col min="5827" max="5827" width="11.7109375" style="1" customWidth="1"/>
    <col min="5828" max="5828" width="9.140625" style="1"/>
    <col min="5829" max="5829" width="22.28515625" style="1" customWidth="1"/>
    <col min="5830" max="5830" width="9.140625" style="1"/>
    <col min="5831" max="5831" width="9.28515625" style="1" bestFit="1" customWidth="1"/>
    <col min="5832" max="5832" width="9.42578125" style="1" bestFit="1" customWidth="1"/>
    <col min="5833" max="5833" width="9.28515625" style="1" bestFit="1" customWidth="1"/>
    <col min="5834" max="5834" width="10.28515625" style="1" bestFit="1" customWidth="1"/>
    <col min="5835" max="5836" width="9.28515625" style="1" bestFit="1" customWidth="1"/>
    <col min="5837" max="5838" width="10.28515625" style="1" bestFit="1" customWidth="1"/>
    <col min="5839" max="5843" width="9.28515625" style="1" bestFit="1" customWidth="1"/>
    <col min="5844" max="5844" width="10.42578125" style="1" bestFit="1" customWidth="1"/>
    <col min="5845" max="5845" width="9.140625" style="1"/>
    <col min="5846" max="5846" width="24.85546875" style="1" customWidth="1"/>
    <col min="5847" max="5847" width="9.140625" style="1"/>
    <col min="5848" max="5860" width="9.28515625" style="1" bestFit="1" customWidth="1"/>
    <col min="5861" max="5861" width="10.28515625" style="1" bestFit="1" customWidth="1"/>
    <col min="5862" max="5862" width="9.5703125" style="1" bestFit="1" customWidth="1"/>
    <col min="5863" max="5863" width="18.5703125" style="1" customWidth="1"/>
    <col min="5864" max="5865" width="9.140625" style="1"/>
    <col min="5866" max="5868" width="12.140625" style="1" bestFit="1" customWidth="1"/>
    <col min="5869" max="5877" width="10.28515625" style="1" bestFit="1" customWidth="1"/>
    <col min="5878" max="5878" width="11.28515625" style="1" bestFit="1" customWidth="1"/>
    <col min="5879" max="5879" width="9.140625" style="1"/>
    <col min="5880" max="5880" width="19" style="1" customWidth="1"/>
    <col min="5881" max="5897" width="9.140625" style="1"/>
    <col min="5898" max="5908" width="11.28515625" style="1" bestFit="1" customWidth="1"/>
    <col min="5909" max="5909" width="10.28515625" style="1" bestFit="1" customWidth="1"/>
    <col min="5910" max="5910" width="12.85546875" style="1" bestFit="1" customWidth="1"/>
    <col min="5911" max="6033" width="9.140625" style="1"/>
    <col min="6034" max="6034" width="11" style="1" bestFit="1" customWidth="1"/>
    <col min="6035" max="6035" width="28.140625" style="1" bestFit="1" customWidth="1"/>
    <col min="6036" max="6036" width="14" style="1" bestFit="1" customWidth="1"/>
    <col min="6037" max="6037" width="9.140625" style="1"/>
    <col min="6038" max="6038" width="13.85546875" style="1" bestFit="1" customWidth="1"/>
    <col min="6039" max="6039" width="9.140625" style="1"/>
    <col min="6040" max="6040" width="14" style="1" customWidth="1"/>
    <col min="6041" max="6041" width="9.140625" style="1"/>
    <col min="6042" max="6042" width="12.85546875" style="1" bestFit="1" customWidth="1"/>
    <col min="6043" max="6043" width="10" style="1" customWidth="1"/>
    <col min="6044" max="6044" width="14" style="1" bestFit="1" customWidth="1"/>
    <col min="6045" max="6045" width="9.85546875" style="1" bestFit="1" customWidth="1"/>
    <col min="6046" max="6046" width="13.5703125" style="1" bestFit="1" customWidth="1"/>
    <col min="6047" max="6047" width="9.85546875" style="1" bestFit="1" customWidth="1"/>
    <col min="6048" max="6048" width="12.85546875" style="1" bestFit="1" customWidth="1"/>
    <col min="6049" max="6060" width="10.5703125" style="1" customWidth="1"/>
    <col min="6061" max="6061" width="11.140625" style="1" bestFit="1" customWidth="1"/>
    <col min="6062" max="6062" width="2.7109375" style="1" customWidth="1"/>
    <col min="6063" max="6063" width="9.85546875" style="1" bestFit="1" customWidth="1"/>
    <col min="6064" max="6065" width="9.140625" style="1"/>
    <col min="6066" max="6066" width="24" style="1" customWidth="1"/>
    <col min="6067" max="6069" width="9.140625" style="1"/>
    <col min="6070" max="6070" width="9" style="1" bestFit="1" customWidth="1"/>
    <col min="6071" max="6080" width="9.28515625" style="1" bestFit="1" customWidth="1"/>
    <col min="6081" max="6081" width="10.28515625" style="1" bestFit="1" customWidth="1"/>
    <col min="6082" max="6082" width="11.28515625" style="1" bestFit="1" customWidth="1"/>
    <col min="6083" max="6083" width="11.7109375" style="1" customWidth="1"/>
    <col min="6084" max="6084" width="9.140625" style="1"/>
    <col min="6085" max="6085" width="22.28515625" style="1" customWidth="1"/>
    <col min="6086" max="6086" width="9.140625" style="1"/>
    <col min="6087" max="6087" width="9.28515625" style="1" bestFit="1" customWidth="1"/>
    <col min="6088" max="6088" width="9.42578125" style="1" bestFit="1" customWidth="1"/>
    <col min="6089" max="6089" width="9.28515625" style="1" bestFit="1" customWidth="1"/>
    <col min="6090" max="6090" width="10.28515625" style="1" bestFit="1" customWidth="1"/>
    <col min="6091" max="6092" width="9.28515625" style="1" bestFit="1" customWidth="1"/>
    <col min="6093" max="6094" width="10.28515625" style="1" bestFit="1" customWidth="1"/>
    <col min="6095" max="6099" width="9.28515625" style="1" bestFit="1" customWidth="1"/>
    <col min="6100" max="6100" width="10.42578125" style="1" bestFit="1" customWidth="1"/>
    <col min="6101" max="6101" width="9.140625" style="1"/>
    <col min="6102" max="6102" width="24.85546875" style="1" customWidth="1"/>
    <col min="6103" max="6103" width="9.140625" style="1"/>
    <col min="6104" max="6116" width="9.28515625" style="1" bestFit="1" customWidth="1"/>
    <col min="6117" max="6117" width="10.28515625" style="1" bestFit="1" customWidth="1"/>
    <col min="6118" max="6118" width="9.5703125" style="1" bestFit="1" customWidth="1"/>
    <col min="6119" max="6119" width="18.5703125" style="1" customWidth="1"/>
    <col min="6120" max="6121" width="9.140625" style="1"/>
    <col min="6122" max="6124" width="12.140625" style="1" bestFit="1" customWidth="1"/>
    <col min="6125" max="6133" width="10.28515625" style="1" bestFit="1" customWidth="1"/>
    <col min="6134" max="6134" width="11.28515625" style="1" bestFit="1" customWidth="1"/>
    <col min="6135" max="6135" width="9.140625" style="1"/>
    <col min="6136" max="6136" width="19" style="1" customWidth="1"/>
    <col min="6137" max="6153" width="9.140625" style="1"/>
    <col min="6154" max="6164" width="11.28515625" style="1" bestFit="1" customWidth="1"/>
    <col min="6165" max="6165" width="10.28515625" style="1" bestFit="1" customWidth="1"/>
    <col min="6166" max="6166" width="12.85546875" style="1" bestFit="1" customWidth="1"/>
    <col min="6167" max="6289" width="9.140625" style="1"/>
    <col min="6290" max="6290" width="11" style="1" bestFit="1" customWidth="1"/>
    <col min="6291" max="6291" width="28.140625" style="1" bestFit="1" customWidth="1"/>
    <col min="6292" max="6292" width="14" style="1" bestFit="1" customWidth="1"/>
    <col min="6293" max="6293" width="9.140625" style="1"/>
    <col min="6294" max="6294" width="13.85546875" style="1" bestFit="1" customWidth="1"/>
    <col min="6295" max="6295" width="9.140625" style="1"/>
    <col min="6296" max="6296" width="14" style="1" customWidth="1"/>
    <col min="6297" max="6297" width="9.140625" style="1"/>
    <col min="6298" max="6298" width="12.85546875" style="1" bestFit="1" customWidth="1"/>
    <col min="6299" max="6299" width="10" style="1" customWidth="1"/>
    <col min="6300" max="6300" width="14" style="1" bestFit="1" customWidth="1"/>
    <col min="6301" max="6301" width="9.85546875" style="1" bestFit="1" customWidth="1"/>
    <col min="6302" max="6302" width="13.5703125" style="1" bestFit="1" customWidth="1"/>
    <col min="6303" max="6303" width="9.85546875" style="1" bestFit="1" customWidth="1"/>
    <col min="6304" max="6304" width="12.85546875" style="1" bestFit="1" customWidth="1"/>
    <col min="6305" max="6316" width="10.5703125" style="1" customWidth="1"/>
    <col min="6317" max="6317" width="11.140625" style="1" bestFit="1" customWidth="1"/>
    <col min="6318" max="6318" width="2.7109375" style="1" customWidth="1"/>
    <col min="6319" max="6319" width="9.85546875" style="1" bestFit="1" customWidth="1"/>
    <col min="6320" max="6321" width="9.140625" style="1"/>
    <col min="6322" max="6322" width="24" style="1" customWidth="1"/>
    <col min="6323" max="6325" width="9.140625" style="1"/>
    <col min="6326" max="6326" width="9" style="1" bestFit="1" customWidth="1"/>
    <col min="6327" max="6336" width="9.28515625" style="1" bestFit="1" customWidth="1"/>
    <col min="6337" max="6337" width="10.28515625" style="1" bestFit="1" customWidth="1"/>
    <col min="6338" max="6338" width="11.28515625" style="1" bestFit="1" customWidth="1"/>
    <col min="6339" max="6339" width="11.7109375" style="1" customWidth="1"/>
    <col min="6340" max="6340" width="9.140625" style="1"/>
    <col min="6341" max="6341" width="22.28515625" style="1" customWidth="1"/>
    <col min="6342" max="6342" width="9.140625" style="1"/>
    <col min="6343" max="6343" width="9.28515625" style="1" bestFit="1" customWidth="1"/>
    <col min="6344" max="6344" width="9.42578125" style="1" bestFit="1" customWidth="1"/>
    <col min="6345" max="6345" width="9.28515625" style="1" bestFit="1" customWidth="1"/>
    <col min="6346" max="6346" width="10.28515625" style="1" bestFit="1" customWidth="1"/>
    <col min="6347" max="6348" width="9.28515625" style="1" bestFit="1" customWidth="1"/>
    <col min="6349" max="6350" width="10.28515625" style="1" bestFit="1" customWidth="1"/>
    <col min="6351" max="6355" width="9.28515625" style="1" bestFit="1" customWidth="1"/>
    <col min="6356" max="6356" width="10.42578125" style="1" bestFit="1" customWidth="1"/>
    <col min="6357" max="6357" width="9.140625" style="1"/>
    <col min="6358" max="6358" width="24.85546875" style="1" customWidth="1"/>
    <col min="6359" max="6359" width="9.140625" style="1"/>
    <col min="6360" max="6372" width="9.28515625" style="1" bestFit="1" customWidth="1"/>
    <col min="6373" max="6373" width="10.28515625" style="1" bestFit="1" customWidth="1"/>
    <col min="6374" max="6374" width="9.5703125" style="1" bestFit="1" customWidth="1"/>
    <col min="6375" max="6375" width="18.5703125" style="1" customWidth="1"/>
    <col min="6376" max="6377" width="9.140625" style="1"/>
    <col min="6378" max="6380" width="12.140625" style="1" bestFit="1" customWidth="1"/>
    <col min="6381" max="6389" width="10.28515625" style="1" bestFit="1" customWidth="1"/>
    <col min="6390" max="6390" width="11.28515625" style="1" bestFit="1" customWidth="1"/>
    <col min="6391" max="6391" width="9.140625" style="1"/>
    <col min="6392" max="6392" width="19" style="1" customWidth="1"/>
    <col min="6393" max="6409" width="9.140625" style="1"/>
    <col min="6410" max="6420" width="11.28515625" style="1" bestFit="1" customWidth="1"/>
    <col min="6421" max="6421" width="10.28515625" style="1" bestFit="1" customWidth="1"/>
    <col min="6422" max="6422" width="12.85546875" style="1" bestFit="1" customWidth="1"/>
    <col min="6423" max="6545" width="9.140625" style="1"/>
    <col min="6546" max="6546" width="11" style="1" bestFit="1" customWidth="1"/>
    <col min="6547" max="6547" width="28.140625" style="1" bestFit="1" customWidth="1"/>
    <col min="6548" max="6548" width="14" style="1" bestFit="1" customWidth="1"/>
    <col min="6549" max="6549" width="9.140625" style="1"/>
    <col min="6550" max="6550" width="13.85546875" style="1" bestFit="1" customWidth="1"/>
    <col min="6551" max="6551" width="9.140625" style="1"/>
    <col min="6552" max="6552" width="14" style="1" customWidth="1"/>
    <col min="6553" max="6553" width="9.140625" style="1"/>
    <col min="6554" max="6554" width="12.85546875" style="1" bestFit="1" customWidth="1"/>
    <col min="6555" max="6555" width="10" style="1" customWidth="1"/>
    <col min="6556" max="6556" width="14" style="1" bestFit="1" customWidth="1"/>
    <col min="6557" max="6557" width="9.85546875" style="1" bestFit="1" customWidth="1"/>
    <col min="6558" max="6558" width="13.5703125" style="1" bestFit="1" customWidth="1"/>
    <col min="6559" max="6559" width="9.85546875" style="1" bestFit="1" customWidth="1"/>
    <col min="6560" max="6560" width="12.85546875" style="1" bestFit="1" customWidth="1"/>
    <col min="6561" max="6572" width="10.5703125" style="1" customWidth="1"/>
    <col min="6573" max="6573" width="11.140625" style="1" bestFit="1" customWidth="1"/>
    <col min="6574" max="6574" width="2.7109375" style="1" customWidth="1"/>
    <col min="6575" max="6575" width="9.85546875" style="1" bestFit="1" customWidth="1"/>
    <col min="6576" max="6577" width="9.140625" style="1"/>
    <col min="6578" max="6578" width="24" style="1" customWidth="1"/>
    <col min="6579" max="6581" width="9.140625" style="1"/>
    <col min="6582" max="6582" width="9" style="1" bestFit="1" customWidth="1"/>
    <col min="6583" max="6592" width="9.28515625" style="1" bestFit="1" customWidth="1"/>
    <col min="6593" max="6593" width="10.28515625" style="1" bestFit="1" customWidth="1"/>
    <col min="6594" max="6594" width="11.28515625" style="1" bestFit="1" customWidth="1"/>
    <col min="6595" max="6595" width="11.7109375" style="1" customWidth="1"/>
    <col min="6596" max="6596" width="9.140625" style="1"/>
    <col min="6597" max="6597" width="22.28515625" style="1" customWidth="1"/>
    <col min="6598" max="6598" width="9.140625" style="1"/>
    <col min="6599" max="6599" width="9.28515625" style="1" bestFit="1" customWidth="1"/>
    <col min="6600" max="6600" width="9.42578125" style="1" bestFit="1" customWidth="1"/>
    <col min="6601" max="6601" width="9.28515625" style="1" bestFit="1" customWidth="1"/>
    <col min="6602" max="6602" width="10.28515625" style="1" bestFit="1" customWidth="1"/>
    <col min="6603" max="6604" width="9.28515625" style="1" bestFit="1" customWidth="1"/>
    <col min="6605" max="6606" width="10.28515625" style="1" bestFit="1" customWidth="1"/>
    <col min="6607" max="6611" width="9.28515625" style="1" bestFit="1" customWidth="1"/>
    <col min="6612" max="6612" width="10.42578125" style="1" bestFit="1" customWidth="1"/>
    <col min="6613" max="6613" width="9.140625" style="1"/>
    <col min="6614" max="6614" width="24.85546875" style="1" customWidth="1"/>
    <col min="6615" max="6615" width="9.140625" style="1"/>
    <col min="6616" max="6628" width="9.28515625" style="1" bestFit="1" customWidth="1"/>
    <col min="6629" max="6629" width="10.28515625" style="1" bestFit="1" customWidth="1"/>
    <col min="6630" max="6630" width="9.5703125" style="1" bestFit="1" customWidth="1"/>
    <col min="6631" max="6631" width="18.5703125" style="1" customWidth="1"/>
    <col min="6632" max="6633" width="9.140625" style="1"/>
    <col min="6634" max="6636" width="12.140625" style="1" bestFit="1" customWidth="1"/>
    <col min="6637" max="6645" width="10.28515625" style="1" bestFit="1" customWidth="1"/>
    <col min="6646" max="6646" width="11.28515625" style="1" bestFit="1" customWidth="1"/>
    <col min="6647" max="6647" width="9.140625" style="1"/>
    <col min="6648" max="6648" width="19" style="1" customWidth="1"/>
    <col min="6649" max="6665" width="9.140625" style="1"/>
    <col min="6666" max="6676" width="11.28515625" style="1" bestFit="1" customWidth="1"/>
    <col min="6677" max="6677" width="10.28515625" style="1" bestFit="1" customWidth="1"/>
    <col min="6678" max="6678" width="12.85546875" style="1" bestFit="1" customWidth="1"/>
    <col min="6679" max="6801" width="9.140625" style="1"/>
    <col min="6802" max="6802" width="11" style="1" bestFit="1" customWidth="1"/>
    <col min="6803" max="6803" width="28.140625" style="1" bestFit="1" customWidth="1"/>
    <col min="6804" max="6804" width="14" style="1" bestFit="1" customWidth="1"/>
    <col min="6805" max="6805" width="9.140625" style="1"/>
    <col min="6806" max="6806" width="13.85546875" style="1" bestFit="1" customWidth="1"/>
    <col min="6807" max="6807" width="9.140625" style="1"/>
    <col min="6808" max="6808" width="14" style="1" customWidth="1"/>
    <col min="6809" max="6809" width="9.140625" style="1"/>
    <col min="6810" max="6810" width="12.85546875" style="1" bestFit="1" customWidth="1"/>
    <col min="6811" max="6811" width="10" style="1" customWidth="1"/>
    <col min="6812" max="6812" width="14" style="1" bestFit="1" customWidth="1"/>
    <col min="6813" max="6813" width="9.85546875" style="1" bestFit="1" customWidth="1"/>
    <col min="6814" max="6814" width="13.5703125" style="1" bestFit="1" customWidth="1"/>
    <col min="6815" max="6815" width="9.85546875" style="1" bestFit="1" customWidth="1"/>
    <col min="6816" max="6816" width="12.85546875" style="1" bestFit="1" customWidth="1"/>
    <col min="6817" max="6828" width="10.5703125" style="1" customWidth="1"/>
    <col min="6829" max="6829" width="11.140625" style="1" bestFit="1" customWidth="1"/>
    <col min="6830" max="6830" width="2.7109375" style="1" customWidth="1"/>
    <col min="6831" max="6831" width="9.85546875" style="1" bestFit="1" customWidth="1"/>
    <col min="6832" max="6833" width="9.140625" style="1"/>
    <col min="6834" max="6834" width="24" style="1" customWidth="1"/>
    <col min="6835" max="6837" width="9.140625" style="1"/>
    <col min="6838" max="6838" width="9" style="1" bestFit="1" customWidth="1"/>
    <col min="6839" max="6848" width="9.28515625" style="1" bestFit="1" customWidth="1"/>
    <col min="6849" max="6849" width="10.28515625" style="1" bestFit="1" customWidth="1"/>
    <col min="6850" max="6850" width="11.28515625" style="1" bestFit="1" customWidth="1"/>
    <col min="6851" max="6851" width="11.7109375" style="1" customWidth="1"/>
    <col min="6852" max="6852" width="9.140625" style="1"/>
    <col min="6853" max="6853" width="22.28515625" style="1" customWidth="1"/>
    <col min="6854" max="6854" width="9.140625" style="1"/>
    <col min="6855" max="6855" width="9.28515625" style="1" bestFit="1" customWidth="1"/>
    <col min="6856" max="6856" width="9.42578125" style="1" bestFit="1" customWidth="1"/>
    <col min="6857" max="6857" width="9.28515625" style="1" bestFit="1" customWidth="1"/>
    <col min="6858" max="6858" width="10.28515625" style="1" bestFit="1" customWidth="1"/>
    <col min="6859" max="6860" width="9.28515625" style="1" bestFit="1" customWidth="1"/>
    <col min="6861" max="6862" width="10.28515625" style="1" bestFit="1" customWidth="1"/>
    <col min="6863" max="6867" width="9.28515625" style="1" bestFit="1" customWidth="1"/>
    <col min="6868" max="6868" width="10.42578125" style="1" bestFit="1" customWidth="1"/>
    <col min="6869" max="6869" width="9.140625" style="1"/>
    <col min="6870" max="6870" width="24.85546875" style="1" customWidth="1"/>
    <col min="6871" max="6871" width="9.140625" style="1"/>
    <col min="6872" max="6884" width="9.28515625" style="1" bestFit="1" customWidth="1"/>
    <col min="6885" max="6885" width="10.28515625" style="1" bestFit="1" customWidth="1"/>
    <col min="6886" max="6886" width="9.5703125" style="1" bestFit="1" customWidth="1"/>
    <col min="6887" max="6887" width="18.5703125" style="1" customWidth="1"/>
    <col min="6888" max="6889" width="9.140625" style="1"/>
    <col min="6890" max="6892" width="12.140625" style="1" bestFit="1" customWidth="1"/>
    <col min="6893" max="6901" width="10.28515625" style="1" bestFit="1" customWidth="1"/>
    <col min="6902" max="6902" width="11.28515625" style="1" bestFit="1" customWidth="1"/>
    <col min="6903" max="6903" width="9.140625" style="1"/>
    <col min="6904" max="6904" width="19" style="1" customWidth="1"/>
    <col min="6905" max="6921" width="9.140625" style="1"/>
    <col min="6922" max="6932" width="11.28515625" style="1" bestFit="1" customWidth="1"/>
    <col min="6933" max="6933" width="10.28515625" style="1" bestFit="1" customWidth="1"/>
    <col min="6934" max="6934" width="12.85546875" style="1" bestFit="1" customWidth="1"/>
    <col min="6935" max="7057" width="9.140625" style="1"/>
    <col min="7058" max="7058" width="11" style="1" bestFit="1" customWidth="1"/>
    <col min="7059" max="7059" width="28.140625" style="1" bestFit="1" customWidth="1"/>
    <col min="7060" max="7060" width="14" style="1" bestFit="1" customWidth="1"/>
    <col min="7061" max="7061" width="9.140625" style="1"/>
    <col min="7062" max="7062" width="13.85546875" style="1" bestFit="1" customWidth="1"/>
    <col min="7063" max="7063" width="9.140625" style="1"/>
    <col min="7064" max="7064" width="14" style="1" customWidth="1"/>
    <col min="7065" max="7065" width="9.140625" style="1"/>
    <col min="7066" max="7066" width="12.85546875" style="1" bestFit="1" customWidth="1"/>
    <col min="7067" max="7067" width="10" style="1" customWidth="1"/>
    <col min="7068" max="7068" width="14" style="1" bestFit="1" customWidth="1"/>
    <col min="7069" max="7069" width="9.85546875" style="1" bestFit="1" customWidth="1"/>
    <col min="7070" max="7070" width="13.5703125" style="1" bestFit="1" customWidth="1"/>
    <col min="7071" max="7071" width="9.85546875" style="1" bestFit="1" customWidth="1"/>
    <col min="7072" max="7072" width="12.85546875" style="1" bestFit="1" customWidth="1"/>
    <col min="7073" max="7084" width="10.5703125" style="1" customWidth="1"/>
    <col min="7085" max="7085" width="11.140625" style="1" bestFit="1" customWidth="1"/>
    <col min="7086" max="7086" width="2.7109375" style="1" customWidth="1"/>
    <col min="7087" max="7087" width="9.85546875" style="1" bestFit="1" customWidth="1"/>
    <col min="7088" max="7089" width="9.140625" style="1"/>
    <col min="7090" max="7090" width="24" style="1" customWidth="1"/>
    <col min="7091" max="7093" width="9.140625" style="1"/>
    <col min="7094" max="7094" width="9" style="1" bestFit="1" customWidth="1"/>
    <col min="7095" max="7104" width="9.28515625" style="1" bestFit="1" customWidth="1"/>
    <col min="7105" max="7105" width="10.28515625" style="1" bestFit="1" customWidth="1"/>
    <col min="7106" max="7106" width="11.28515625" style="1" bestFit="1" customWidth="1"/>
    <col min="7107" max="7107" width="11.7109375" style="1" customWidth="1"/>
    <col min="7108" max="7108" width="9.140625" style="1"/>
    <col min="7109" max="7109" width="22.28515625" style="1" customWidth="1"/>
    <col min="7110" max="7110" width="9.140625" style="1"/>
    <col min="7111" max="7111" width="9.28515625" style="1" bestFit="1" customWidth="1"/>
    <col min="7112" max="7112" width="9.42578125" style="1" bestFit="1" customWidth="1"/>
    <col min="7113" max="7113" width="9.28515625" style="1" bestFit="1" customWidth="1"/>
    <col min="7114" max="7114" width="10.28515625" style="1" bestFit="1" customWidth="1"/>
    <col min="7115" max="7116" width="9.28515625" style="1" bestFit="1" customWidth="1"/>
    <col min="7117" max="7118" width="10.28515625" style="1" bestFit="1" customWidth="1"/>
    <col min="7119" max="7123" width="9.28515625" style="1" bestFit="1" customWidth="1"/>
    <col min="7124" max="7124" width="10.42578125" style="1" bestFit="1" customWidth="1"/>
    <col min="7125" max="7125" width="9.140625" style="1"/>
    <col min="7126" max="7126" width="24.85546875" style="1" customWidth="1"/>
    <col min="7127" max="7127" width="9.140625" style="1"/>
    <col min="7128" max="7140" width="9.28515625" style="1" bestFit="1" customWidth="1"/>
    <col min="7141" max="7141" width="10.28515625" style="1" bestFit="1" customWidth="1"/>
    <col min="7142" max="7142" width="9.5703125" style="1" bestFit="1" customWidth="1"/>
    <col min="7143" max="7143" width="18.5703125" style="1" customWidth="1"/>
    <col min="7144" max="7145" width="9.140625" style="1"/>
    <col min="7146" max="7148" width="12.140625" style="1" bestFit="1" customWidth="1"/>
    <col min="7149" max="7157" width="10.28515625" style="1" bestFit="1" customWidth="1"/>
    <col min="7158" max="7158" width="11.28515625" style="1" bestFit="1" customWidth="1"/>
    <col min="7159" max="7159" width="9.140625" style="1"/>
    <col min="7160" max="7160" width="19" style="1" customWidth="1"/>
    <col min="7161" max="7177" width="9.140625" style="1"/>
    <col min="7178" max="7188" width="11.28515625" style="1" bestFit="1" customWidth="1"/>
    <col min="7189" max="7189" width="10.28515625" style="1" bestFit="1" customWidth="1"/>
    <col min="7190" max="7190" width="12.85546875" style="1" bestFit="1" customWidth="1"/>
    <col min="7191" max="7313" width="9.140625" style="1"/>
    <col min="7314" max="7314" width="11" style="1" bestFit="1" customWidth="1"/>
    <col min="7315" max="7315" width="28.140625" style="1" bestFit="1" customWidth="1"/>
    <col min="7316" max="7316" width="14" style="1" bestFit="1" customWidth="1"/>
    <col min="7317" max="7317" width="9.140625" style="1"/>
    <col min="7318" max="7318" width="13.85546875" style="1" bestFit="1" customWidth="1"/>
    <col min="7319" max="7319" width="9.140625" style="1"/>
    <col min="7320" max="7320" width="14" style="1" customWidth="1"/>
    <col min="7321" max="7321" width="9.140625" style="1"/>
    <col min="7322" max="7322" width="12.85546875" style="1" bestFit="1" customWidth="1"/>
    <col min="7323" max="7323" width="10" style="1" customWidth="1"/>
    <col min="7324" max="7324" width="14" style="1" bestFit="1" customWidth="1"/>
    <col min="7325" max="7325" width="9.85546875" style="1" bestFit="1" customWidth="1"/>
    <col min="7326" max="7326" width="13.5703125" style="1" bestFit="1" customWidth="1"/>
    <col min="7327" max="7327" width="9.85546875" style="1" bestFit="1" customWidth="1"/>
    <col min="7328" max="7328" width="12.85546875" style="1" bestFit="1" customWidth="1"/>
    <col min="7329" max="7340" width="10.5703125" style="1" customWidth="1"/>
    <col min="7341" max="7341" width="11.140625" style="1" bestFit="1" customWidth="1"/>
    <col min="7342" max="7342" width="2.7109375" style="1" customWidth="1"/>
    <col min="7343" max="7343" width="9.85546875" style="1" bestFit="1" customWidth="1"/>
    <col min="7344" max="7345" width="9.140625" style="1"/>
    <col min="7346" max="7346" width="24" style="1" customWidth="1"/>
    <col min="7347" max="7349" width="9.140625" style="1"/>
    <col min="7350" max="7350" width="9" style="1" bestFit="1" customWidth="1"/>
    <col min="7351" max="7360" width="9.28515625" style="1" bestFit="1" customWidth="1"/>
    <col min="7361" max="7361" width="10.28515625" style="1" bestFit="1" customWidth="1"/>
    <col min="7362" max="7362" width="11.28515625" style="1" bestFit="1" customWidth="1"/>
    <col min="7363" max="7363" width="11.7109375" style="1" customWidth="1"/>
    <col min="7364" max="7364" width="9.140625" style="1"/>
    <col min="7365" max="7365" width="22.28515625" style="1" customWidth="1"/>
    <col min="7366" max="7366" width="9.140625" style="1"/>
    <col min="7367" max="7367" width="9.28515625" style="1" bestFit="1" customWidth="1"/>
    <col min="7368" max="7368" width="9.42578125" style="1" bestFit="1" customWidth="1"/>
    <col min="7369" max="7369" width="9.28515625" style="1" bestFit="1" customWidth="1"/>
    <col min="7370" max="7370" width="10.28515625" style="1" bestFit="1" customWidth="1"/>
    <col min="7371" max="7372" width="9.28515625" style="1" bestFit="1" customWidth="1"/>
    <col min="7373" max="7374" width="10.28515625" style="1" bestFit="1" customWidth="1"/>
    <col min="7375" max="7379" width="9.28515625" style="1" bestFit="1" customWidth="1"/>
    <col min="7380" max="7380" width="10.42578125" style="1" bestFit="1" customWidth="1"/>
    <col min="7381" max="7381" width="9.140625" style="1"/>
    <col min="7382" max="7382" width="24.85546875" style="1" customWidth="1"/>
    <col min="7383" max="7383" width="9.140625" style="1"/>
    <col min="7384" max="7396" width="9.28515625" style="1" bestFit="1" customWidth="1"/>
    <col min="7397" max="7397" width="10.28515625" style="1" bestFit="1" customWidth="1"/>
    <col min="7398" max="7398" width="9.5703125" style="1" bestFit="1" customWidth="1"/>
    <col min="7399" max="7399" width="18.5703125" style="1" customWidth="1"/>
    <col min="7400" max="7401" width="9.140625" style="1"/>
    <col min="7402" max="7404" width="12.140625" style="1" bestFit="1" customWidth="1"/>
    <col min="7405" max="7413" width="10.28515625" style="1" bestFit="1" customWidth="1"/>
    <col min="7414" max="7414" width="11.28515625" style="1" bestFit="1" customWidth="1"/>
    <col min="7415" max="7415" width="9.140625" style="1"/>
    <col min="7416" max="7416" width="19" style="1" customWidth="1"/>
    <col min="7417" max="7433" width="9.140625" style="1"/>
    <col min="7434" max="7444" width="11.28515625" style="1" bestFit="1" customWidth="1"/>
    <col min="7445" max="7445" width="10.28515625" style="1" bestFit="1" customWidth="1"/>
    <col min="7446" max="7446" width="12.85546875" style="1" bestFit="1" customWidth="1"/>
    <col min="7447" max="7569" width="9.140625" style="1"/>
    <col min="7570" max="7570" width="11" style="1" bestFit="1" customWidth="1"/>
    <col min="7571" max="7571" width="28.140625" style="1" bestFit="1" customWidth="1"/>
    <col min="7572" max="7572" width="14" style="1" bestFit="1" customWidth="1"/>
    <col min="7573" max="7573" width="9.140625" style="1"/>
    <col min="7574" max="7574" width="13.85546875" style="1" bestFit="1" customWidth="1"/>
    <col min="7575" max="7575" width="9.140625" style="1"/>
    <col min="7576" max="7576" width="14" style="1" customWidth="1"/>
    <col min="7577" max="7577" width="9.140625" style="1"/>
    <col min="7578" max="7578" width="12.85546875" style="1" bestFit="1" customWidth="1"/>
    <col min="7579" max="7579" width="10" style="1" customWidth="1"/>
    <col min="7580" max="7580" width="14" style="1" bestFit="1" customWidth="1"/>
    <col min="7581" max="7581" width="9.85546875" style="1" bestFit="1" customWidth="1"/>
    <col min="7582" max="7582" width="13.5703125" style="1" bestFit="1" customWidth="1"/>
    <col min="7583" max="7583" width="9.85546875" style="1" bestFit="1" customWidth="1"/>
    <col min="7584" max="7584" width="12.85546875" style="1" bestFit="1" customWidth="1"/>
    <col min="7585" max="7596" width="10.5703125" style="1" customWidth="1"/>
    <col min="7597" max="7597" width="11.140625" style="1" bestFit="1" customWidth="1"/>
    <col min="7598" max="7598" width="2.7109375" style="1" customWidth="1"/>
    <col min="7599" max="7599" width="9.85546875" style="1" bestFit="1" customWidth="1"/>
    <col min="7600" max="7601" width="9.140625" style="1"/>
    <col min="7602" max="7602" width="24" style="1" customWidth="1"/>
    <col min="7603" max="7605" width="9.140625" style="1"/>
    <col min="7606" max="7606" width="9" style="1" bestFit="1" customWidth="1"/>
    <col min="7607" max="7616" width="9.28515625" style="1" bestFit="1" customWidth="1"/>
    <col min="7617" max="7617" width="10.28515625" style="1" bestFit="1" customWidth="1"/>
    <col min="7618" max="7618" width="11.28515625" style="1" bestFit="1" customWidth="1"/>
    <col min="7619" max="7619" width="11.7109375" style="1" customWidth="1"/>
    <col min="7620" max="7620" width="9.140625" style="1"/>
    <col min="7621" max="7621" width="22.28515625" style="1" customWidth="1"/>
    <col min="7622" max="7622" width="9.140625" style="1"/>
    <col min="7623" max="7623" width="9.28515625" style="1" bestFit="1" customWidth="1"/>
    <col min="7624" max="7624" width="9.42578125" style="1" bestFit="1" customWidth="1"/>
    <col min="7625" max="7625" width="9.28515625" style="1" bestFit="1" customWidth="1"/>
    <col min="7626" max="7626" width="10.28515625" style="1" bestFit="1" customWidth="1"/>
    <col min="7627" max="7628" width="9.28515625" style="1" bestFit="1" customWidth="1"/>
    <col min="7629" max="7630" width="10.28515625" style="1" bestFit="1" customWidth="1"/>
    <col min="7631" max="7635" width="9.28515625" style="1" bestFit="1" customWidth="1"/>
    <col min="7636" max="7636" width="10.42578125" style="1" bestFit="1" customWidth="1"/>
    <col min="7637" max="7637" width="9.140625" style="1"/>
    <col min="7638" max="7638" width="24.85546875" style="1" customWidth="1"/>
    <col min="7639" max="7639" width="9.140625" style="1"/>
    <col min="7640" max="7652" width="9.28515625" style="1" bestFit="1" customWidth="1"/>
    <col min="7653" max="7653" width="10.28515625" style="1" bestFit="1" customWidth="1"/>
    <col min="7654" max="7654" width="9.5703125" style="1" bestFit="1" customWidth="1"/>
    <col min="7655" max="7655" width="18.5703125" style="1" customWidth="1"/>
    <col min="7656" max="7657" width="9.140625" style="1"/>
    <col min="7658" max="7660" width="12.140625" style="1" bestFit="1" customWidth="1"/>
    <col min="7661" max="7669" width="10.28515625" style="1" bestFit="1" customWidth="1"/>
    <col min="7670" max="7670" width="11.28515625" style="1" bestFit="1" customWidth="1"/>
    <col min="7671" max="7671" width="9.140625" style="1"/>
    <col min="7672" max="7672" width="19" style="1" customWidth="1"/>
    <col min="7673" max="7689" width="9.140625" style="1"/>
    <col min="7690" max="7700" width="11.28515625" style="1" bestFit="1" customWidth="1"/>
    <col min="7701" max="7701" width="10.28515625" style="1" bestFit="1" customWidth="1"/>
    <col min="7702" max="7702" width="12.85546875" style="1" bestFit="1" customWidth="1"/>
    <col min="7703" max="7825" width="9.140625" style="1"/>
    <col min="7826" max="7826" width="11" style="1" bestFit="1" customWidth="1"/>
    <col min="7827" max="7827" width="28.140625" style="1" bestFit="1" customWidth="1"/>
    <col min="7828" max="7828" width="14" style="1" bestFit="1" customWidth="1"/>
    <col min="7829" max="7829" width="9.140625" style="1"/>
    <col min="7830" max="7830" width="13.85546875" style="1" bestFit="1" customWidth="1"/>
    <col min="7831" max="7831" width="9.140625" style="1"/>
    <col min="7832" max="7832" width="14" style="1" customWidth="1"/>
    <col min="7833" max="7833" width="9.140625" style="1"/>
    <col min="7834" max="7834" width="12.85546875" style="1" bestFit="1" customWidth="1"/>
    <col min="7835" max="7835" width="10" style="1" customWidth="1"/>
    <col min="7836" max="7836" width="14" style="1" bestFit="1" customWidth="1"/>
    <col min="7837" max="7837" width="9.85546875" style="1" bestFit="1" customWidth="1"/>
    <col min="7838" max="7838" width="13.5703125" style="1" bestFit="1" customWidth="1"/>
    <col min="7839" max="7839" width="9.85546875" style="1" bestFit="1" customWidth="1"/>
    <col min="7840" max="7840" width="12.85546875" style="1" bestFit="1" customWidth="1"/>
    <col min="7841" max="7852" width="10.5703125" style="1" customWidth="1"/>
    <col min="7853" max="7853" width="11.140625" style="1" bestFit="1" customWidth="1"/>
    <col min="7854" max="7854" width="2.7109375" style="1" customWidth="1"/>
    <col min="7855" max="7855" width="9.85546875" style="1" bestFit="1" customWidth="1"/>
    <col min="7856" max="7857" width="9.140625" style="1"/>
    <col min="7858" max="7858" width="24" style="1" customWidth="1"/>
    <col min="7859" max="7861" width="9.140625" style="1"/>
    <col min="7862" max="7862" width="9" style="1" bestFit="1" customWidth="1"/>
    <col min="7863" max="7872" width="9.28515625" style="1" bestFit="1" customWidth="1"/>
    <col min="7873" max="7873" width="10.28515625" style="1" bestFit="1" customWidth="1"/>
    <col min="7874" max="7874" width="11.28515625" style="1" bestFit="1" customWidth="1"/>
    <col min="7875" max="7875" width="11.7109375" style="1" customWidth="1"/>
    <col min="7876" max="7876" width="9.140625" style="1"/>
    <col min="7877" max="7877" width="22.28515625" style="1" customWidth="1"/>
    <col min="7878" max="7878" width="9.140625" style="1"/>
    <col min="7879" max="7879" width="9.28515625" style="1" bestFit="1" customWidth="1"/>
    <col min="7880" max="7880" width="9.42578125" style="1" bestFit="1" customWidth="1"/>
    <col min="7881" max="7881" width="9.28515625" style="1" bestFit="1" customWidth="1"/>
    <col min="7882" max="7882" width="10.28515625" style="1" bestFit="1" customWidth="1"/>
    <col min="7883" max="7884" width="9.28515625" style="1" bestFit="1" customWidth="1"/>
    <col min="7885" max="7886" width="10.28515625" style="1" bestFit="1" customWidth="1"/>
    <col min="7887" max="7891" width="9.28515625" style="1" bestFit="1" customWidth="1"/>
    <col min="7892" max="7892" width="10.42578125" style="1" bestFit="1" customWidth="1"/>
    <col min="7893" max="7893" width="9.140625" style="1"/>
    <col min="7894" max="7894" width="24.85546875" style="1" customWidth="1"/>
    <col min="7895" max="7895" width="9.140625" style="1"/>
    <col min="7896" max="7908" width="9.28515625" style="1" bestFit="1" customWidth="1"/>
    <col min="7909" max="7909" width="10.28515625" style="1" bestFit="1" customWidth="1"/>
    <col min="7910" max="7910" width="9.5703125" style="1" bestFit="1" customWidth="1"/>
    <col min="7911" max="7911" width="18.5703125" style="1" customWidth="1"/>
    <col min="7912" max="7913" width="9.140625" style="1"/>
    <col min="7914" max="7916" width="12.140625" style="1" bestFit="1" customWidth="1"/>
    <col min="7917" max="7925" width="10.28515625" style="1" bestFit="1" customWidth="1"/>
    <col min="7926" max="7926" width="11.28515625" style="1" bestFit="1" customWidth="1"/>
    <col min="7927" max="7927" width="9.140625" style="1"/>
    <col min="7928" max="7928" width="19" style="1" customWidth="1"/>
    <col min="7929" max="7945" width="9.140625" style="1"/>
    <col min="7946" max="7956" width="11.28515625" style="1" bestFit="1" customWidth="1"/>
    <col min="7957" max="7957" width="10.28515625" style="1" bestFit="1" customWidth="1"/>
    <col min="7958" max="7958" width="12.85546875" style="1" bestFit="1" customWidth="1"/>
    <col min="7959" max="8081" width="9.140625" style="1"/>
    <col min="8082" max="8082" width="11" style="1" bestFit="1" customWidth="1"/>
    <col min="8083" max="8083" width="28.140625" style="1" bestFit="1" customWidth="1"/>
    <col min="8084" max="8084" width="14" style="1" bestFit="1" customWidth="1"/>
    <col min="8085" max="8085" width="9.140625" style="1"/>
    <col min="8086" max="8086" width="13.85546875" style="1" bestFit="1" customWidth="1"/>
    <col min="8087" max="8087" width="9.140625" style="1"/>
    <col min="8088" max="8088" width="14" style="1" customWidth="1"/>
    <col min="8089" max="8089" width="9.140625" style="1"/>
    <col min="8090" max="8090" width="12.85546875" style="1" bestFit="1" customWidth="1"/>
    <col min="8091" max="8091" width="10" style="1" customWidth="1"/>
    <col min="8092" max="8092" width="14" style="1" bestFit="1" customWidth="1"/>
    <col min="8093" max="8093" width="9.85546875" style="1" bestFit="1" customWidth="1"/>
    <col min="8094" max="8094" width="13.5703125" style="1" bestFit="1" customWidth="1"/>
    <col min="8095" max="8095" width="9.85546875" style="1" bestFit="1" customWidth="1"/>
    <col min="8096" max="8096" width="12.85546875" style="1" bestFit="1" customWidth="1"/>
    <col min="8097" max="8108" width="10.5703125" style="1" customWidth="1"/>
    <col min="8109" max="8109" width="11.140625" style="1" bestFit="1" customWidth="1"/>
    <col min="8110" max="8110" width="2.7109375" style="1" customWidth="1"/>
    <col min="8111" max="8111" width="9.85546875" style="1" bestFit="1" customWidth="1"/>
    <col min="8112" max="8113" width="9.140625" style="1"/>
    <col min="8114" max="8114" width="24" style="1" customWidth="1"/>
    <col min="8115" max="8117" width="9.140625" style="1"/>
    <col min="8118" max="8118" width="9" style="1" bestFit="1" customWidth="1"/>
    <col min="8119" max="8128" width="9.28515625" style="1" bestFit="1" customWidth="1"/>
    <col min="8129" max="8129" width="10.28515625" style="1" bestFit="1" customWidth="1"/>
    <col min="8130" max="8130" width="11.28515625" style="1" bestFit="1" customWidth="1"/>
    <col min="8131" max="8131" width="11.7109375" style="1" customWidth="1"/>
    <col min="8132" max="8132" width="9.140625" style="1"/>
    <col min="8133" max="8133" width="22.28515625" style="1" customWidth="1"/>
    <col min="8134" max="8134" width="9.140625" style="1"/>
    <col min="8135" max="8135" width="9.28515625" style="1" bestFit="1" customWidth="1"/>
    <col min="8136" max="8136" width="9.42578125" style="1" bestFit="1" customWidth="1"/>
    <col min="8137" max="8137" width="9.28515625" style="1" bestFit="1" customWidth="1"/>
    <col min="8138" max="8138" width="10.28515625" style="1" bestFit="1" customWidth="1"/>
    <col min="8139" max="8140" width="9.28515625" style="1" bestFit="1" customWidth="1"/>
    <col min="8141" max="8142" width="10.28515625" style="1" bestFit="1" customWidth="1"/>
    <col min="8143" max="8147" width="9.28515625" style="1" bestFit="1" customWidth="1"/>
    <col min="8148" max="8148" width="10.42578125" style="1" bestFit="1" customWidth="1"/>
    <col min="8149" max="8149" width="9.140625" style="1"/>
    <col min="8150" max="8150" width="24.85546875" style="1" customWidth="1"/>
    <col min="8151" max="8151" width="9.140625" style="1"/>
    <col min="8152" max="8164" width="9.28515625" style="1" bestFit="1" customWidth="1"/>
    <col min="8165" max="8165" width="10.28515625" style="1" bestFit="1" customWidth="1"/>
    <col min="8166" max="8166" width="9.5703125" style="1" bestFit="1" customWidth="1"/>
    <col min="8167" max="8167" width="18.5703125" style="1" customWidth="1"/>
    <col min="8168" max="8169" width="9.140625" style="1"/>
    <col min="8170" max="8172" width="12.140625" style="1" bestFit="1" customWidth="1"/>
    <col min="8173" max="8181" width="10.28515625" style="1" bestFit="1" customWidth="1"/>
    <col min="8182" max="8182" width="11.28515625" style="1" bestFit="1" customWidth="1"/>
    <col min="8183" max="8183" width="9.140625" style="1"/>
    <col min="8184" max="8184" width="19" style="1" customWidth="1"/>
    <col min="8185" max="8201" width="9.140625" style="1"/>
    <col min="8202" max="8212" width="11.28515625" style="1" bestFit="1" customWidth="1"/>
    <col min="8213" max="8213" width="10.28515625" style="1" bestFit="1" customWidth="1"/>
    <col min="8214" max="8214" width="12.85546875" style="1" bestFit="1" customWidth="1"/>
    <col min="8215" max="8337" width="9.140625" style="1"/>
    <col min="8338" max="8338" width="11" style="1" bestFit="1" customWidth="1"/>
    <col min="8339" max="8339" width="28.140625" style="1" bestFit="1" customWidth="1"/>
    <col min="8340" max="8340" width="14" style="1" bestFit="1" customWidth="1"/>
    <col min="8341" max="8341" width="9.140625" style="1"/>
    <col min="8342" max="8342" width="13.85546875" style="1" bestFit="1" customWidth="1"/>
    <col min="8343" max="8343" width="9.140625" style="1"/>
    <col min="8344" max="8344" width="14" style="1" customWidth="1"/>
    <col min="8345" max="8345" width="9.140625" style="1"/>
    <col min="8346" max="8346" width="12.85546875" style="1" bestFit="1" customWidth="1"/>
    <col min="8347" max="8347" width="10" style="1" customWidth="1"/>
    <col min="8348" max="8348" width="14" style="1" bestFit="1" customWidth="1"/>
    <col min="8349" max="8349" width="9.85546875" style="1" bestFit="1" customWidth="1"/>
    <col min="8350" max="8350" width="13.5703125" style="1" bestFit="1" customWidth="1"/>
    <col min="8351" max="8351" width="9.85546875" style="1" bestFit="1" customWidth="1"/>
    <col min="8352" max="8352" width="12.85546875" style="1" bestFit="1" customWidth="1"/>
    <col min="8353" max="8364" width="10.5703125" style="1" customWidth="1"/>
    <col min="8365" max="8365" width="11.140625" style="1" bestFit="1" customWidth="1"/>
    <col min="8366" max="8366" width="2.7109375" style="1" customWidth="1"/>
    <col min="8367" max="8367" width="9.85546875" style="1" bestFit="1" customWidth="1"/>
    <col min="8368" max="8369" width="9.140625" style="1"/>
    <col min="8370" max="8370" width="24" style="1" customWidth="1"/>
    <col min="8371" max="8373" width="9.140625" style="1"/>
    <col min="8374" max="8374" width="9" style="1" bestFit="1" customWidth="1"/>
    <col min="8375" max="8384" width="9.28515625" style="1" bestFit="1" customWidth="1"/>
    <col min="8385" max="8385" width="10.28515625" style="1" bestFit="1" customWidth="1"/>
    <col min="8386" max="8386" width="11.28515625" style="1" bestFit="1" customWidth="1"/>
    <col min="8387" max="8387" width="11.7109375" style="1" customWidth="1"/>
    <col min="8388" max="8388" width="9.140625" style="1"/>
    <col min="8389" max="8389" width="22.28515625" style="1" customWidth="1"/>
    <col min="8390" max="8390" width="9.140625" style="1"/>
    <col min="8391" max="8391" width="9.28515625" style="1" bestFit="1" customWidth="1"/>
    <col min="8392" max="8392" width="9.42578125" style="1" bestFit="1" customWidth="1"/>
    <col min="8393" max="8393" width="9.28515625" style="1" bestFit="1" customWidth="1"/>
    <col min="8394" max="8394" width="10.28515625" style="1" bestFit="1" customWidth="1"/>
    <col min="8395" max="8396" width="9.28515625" style="1" bestFit="1" customWidth="1"/>
    <col min="8397" max="8398" width="10.28515625" style="1" bestFit="1" customWidth="1"/>
    <col min="8399" max="8403" width="9.28515625" style="1" bestFit="1" customWidth="1"/>
    <col min="8404" max="8404" width="10.42578125" style="1" bestFit="1" customWidth="1"/>
    <col min="8405" max="8405" width="9.140625" style="1"/>
    <col min="8406" max="8406" width="24.85546875" style="1" customWidth="1"/>
    <col min="8407" max="8407" width="9.140625" style="1"/>
    <col min="8408" max="8420" width="9.28515625" style="1" bestFit="1" customWidth="1"/>
    <col min="8421" max="8421" width="10.28515625" style="1" bestFit="1" customWidth="1"/>
    <col min="8422" max="8422" width="9.5703125" style="1" bestFit="1" customWidth="1"/>
    <col min="8423" max="8423" width="18.5703125" style="1" customWidth="1"/>
    <col min="8424" max="8425" width="9.140625" style="1"/>
    <col min="8426" max="8428" width="12.140625" style="1" bestFit="1" customWidth="1"/>
    <col min="8429" max="8437" width="10.28515625" style="1" bestFit="1" customWidth="1"/>
    <col min="8438" max="8438" width="11.28515625" style="1" bestFit="1" customWidth="1"/>
    <col min="8439" max="8439" width="9.140625" style="1"/>
    <col min="8440" max="8440" width="19" style="1" customWidth="1"/>
    <col min="8441" max="8457" width="9.140625" style="1"/>
    <col min="8458" max="8468" width="11.28515625" style="1" bestFit="1" customWidth="1"/>
    <col min="8469" max="8469" width="10.28515625" style="1" bestFit="1" customWidth="1"/>
    <col min="8470" max="8470" width="12.85546875" style="1" bestFit="1" customWidth="1"/>
    <col min="8471" max="8593" width="9.140625" style="1"/>
    <col min="8594" max="8594" width="11" style="1" bestFit="1" customWidth="1"/>
    <col min="8595" max="8595" width="28.140625" style="1" bestFit="1" customWidth="1"/>
    <col min="8596" max="8596" width="14" style="1" bestFit="1" customWidth="1"/>
    <col min="8597" max="8597" width="9.140625" style="1"/>
    <col min="8598" max="8598" width="13.85546875" style="1" bestFit="1" customWidth="1"/>
    <col min="8599" max="8599" width="9.140625" style="1"/>
    <col min="8600" max="8600" width="14" style="1" customWidth="1"/>
    <col min="8601" max="8601" width="9.140625" style="1"/>
    <col min="8602" max="8602" width="12.85546875" style="1" bestFit="1" customWidth="1"/>
    <col min="8603" max="8603" width="10" style="1" customWidth="1"/>
    <col min="8604" max="8604" width="14" style="1" bestFit="1" customWidth="1"/>
    <col min="8605" max="8605" width="9.85546875" style="1" bestFit="1" customWidth="1"/>
    <col min="8606" max="8606" width="13.5703125" style="1" bestFit="1" customWidth="1"/>
    <col min="8607" max="8607" width="9.85546875" style="1" bestFit="1" customWidth="1"/>
    <col min="8608" max="8608" width="12.85546875" style="1" bestFit="1" customWidth="1"/>
    <col min="8609" max="8620" width="10.5703125" style="1" customWidth="1"/>
    <col min="8621" max="8621" width="11.140625" style="1" bestFit="1" customWidth="1"/>
    <col min="8622" max="8622" width="2.7109375" style="1" customWidth="1"/>
    <col min="8623" max="8623" width="9.85546875" style="1" bestFit="1" customWidth="1"/>
    <col min="8624" max="8625" width="9.140625" style="1"/>
    <col min="8626" max="8626" width="24" style="1" customWidth="1"/>
    <col min="8627" max="8629" width="9.140625" style="1"/>
    <col min="8630" max="8630" width="9" style="1" bestFit="1" customWidth="1"/>
    <col min="8631" max="8640" width="9.28515625" style="1" bestFit="1" customWidth="1"/>
    <col min="8641" max="8641" width="10.28515625" style="1" bestFit="1" customWidth="1"/>
    <col min="8642" max="8642" width="11.28515625" style="1" bestFit="1" customWidth="1"/>
    <col min="8643" max="8643" width="11.7109375" style="1" customWidth="1"/>
    <col min="8644" max="8644" width="9.140625" style="1"/>
    <col min="8645" max="8645" width="22.28515625" style="1" customWidth="1"/>
    <col min="8646" max="8646" width="9.140625" style="1"/>
    <col min="8647" max="8647" width="9.28515625" style="1" bestFit="1" customWidth="1"/>
    <col min="8648" max="8648" width="9.42578125" style="1" bestFit="1" customWidth="1"/>
    <col min="8649" max="8649" width="9.28515625" style="1" bestFit="1" customWidth="1"/>
    <col min="8650" max="8650" width="10.28515625" style="1" bestFit="1" customWidth="1"/>
    <col min="8651" max="8652" width="9.28515625" style="1" bestFit="1" customWidth="1"/>
    <col min="8653" max="8654" width="10.28515625" style="1" bestFit="1" customWidth="1"/>
    <col min="8655" max="8659" width="9.28515625" style="1" bestFit="1" customWidth="1"/>
    <col min="8660" max="8660" width="10.42578125" style="1" bestFit="1" customWidth="1"/>
    <col min="8661" max="8661" width="9.140625" style="1"/>
    <col min="8662" max="8662" width="24.85546875" style="1" customWidth="1"/>
    <col min="8663" max="8663" width="9.140625" style="1"/>
    <col min="8664" max="8676" width="9.28515625" style="1" bestFit="1" customWidth="1"/>
    <col min="8677" max="8677" width="10.28515625" style="1" bestFit="1" customWidth="1"/>
    <col min="8678" max="8678" width="9.5703125" style="1" bestFit="1" customWidth="1"/>
    <col min="8679" max="8679" width="18.5703125" style="1" customWidth="1"/>
    <col min="8680" max="8681" width="9.140625" style="1"/>
    <col min="8682" max="8684" width="12.140625" style="1" bestFit="1" customWidth="1"/>
    <col min="8685" max="8693" width="10.28515625" style="1" bestFit="1" customWidth="1"/>
    <col min="8694" max="8694" width="11.28515625" style="1" bestFit="1" customWidth="1"/>
    <col min="8695" max="8695" width="9.140625" style="1"/>
    <col min="8696" max="8696" width="19" style="1" customWidth="1"/>
    <col min="8697" max="8713" width="9.140625" style="1"/>
    <col min="8714" max="8724" width="11.28515625" style="1" bestFit="1" customWidth="1"/>
    <col min="8725" max="8725" width="10.28515625" style="1" bestFit="1" customWidth="1"/>
    <col min="8726" max="8726" width="12.85546875" style="1" bestFit="1" customWidth="1"/>
    <col min="8727" max="8849" width="9.140625" style="1"/>
    <col min="8850" max="8850" width="11" style="1" bestFit="1" customWidth="1"/>
    <col min="8851" max="8851" width="28.140625" style="1" bestFit="1" customWidth="1"/>
    <col min="8852" max="8852" width="14" style="1" bestFit="1" customWidth="1"/>
    <col min="8853" max="8853" width="9.140625" style="1"/>
    <col min="8854" max="8854" width="13.85546875" style="1" bestFit="1" customWidth="1"/>
    <col min="8855" max="8855" width="9.140625" style="1"/>
    <col min="8856" max="8856" width="14" style="1" customWidth="1"/>
    <col min="8857" max="8857" width="9.140625" style="1"/>
    <col min="8858" max="8858" width="12.85546875" style="1" bestFit="1" customWidth="1"/>
    <col min="8859" max="8859" width="10" style="1" customWidth="1"/>
    <col min="8860" max="8860" width="14" style="1" bestFit="1" customWidth="1"/>
    <col min="8861" max="8861" width="9.85546875" style="1" bestFit="1" customWidth="1"/>
    <col min="8862" max="8862" width="13.5703125" style="1" bestFit="1" customWidth="1"/>
    <col min="8863" max="8863" width="9.85546875" style="1" bestFit="1" customWidth="1"/>
    <col min="8864" max="8864" width="12.85546875" style="1" bestFit="1" customWidth="1"/>
    <col min="8865" max="8876" width="10.5703125" style="1" customWidth="1"/>
    <col min="8877" max="8877" width="11.140625" style="1" bestFit="1" customWidth="1"/>
    <col min="8878" max="8878" width="2.7109375" style="1" customWidth="1"/>
    <col min="8879" max="8879" width="9.85546875" style="1" bestFit="1" customWidth="1"/>
    <col min="8880" max="8881" width="9.140625" style="1"/>
    <col min="8882" max="8882" width="24" style="1" customWidth="1"/>
    <col min="8883" max="8885" width="9.140625" style="1"/>
    <col min="8886" max="8886" width="9" style="1" bestFit="1" customWidth="1"/>
    <col min="8887" max="8896" width="9.28515625" style="1" bestFit="1" customWidth="1"/>
    <col min="8897" max="8897" width="10.28515625" style="1" bestFit="1" customWidth="1"/>
    <col min="8898" max="8898" width="11.28515625" style="1" bestFit="1" customWidth="1"/>
    <col min="8899" max="8899" width="11.7109375" style="1" customWidth="1"/>
    <col min="8900" max="8900" width="9.140625" style="1"/>
    <col min="8901" max="8901" width="22.28515625" style="1" customWidth="1"/>
    <col min="8902" max="8902" width="9.140625" style="1"/>
    <col min="8903" max="8903" width="9.28515625" style="1" bestFit="1" customWidth="1"/>
    <col min="8904" max="8904" width="9.42578125" style="1" bestFit="1" customWidth="1"/>
    <col min="8905" max="8905" width="9.28515625" style="1" bestFit="1" customWidth="1"/>
    <col min="8906" max="8906" width="10.28515625" style="1" bestFit="1" customWidth="1"/>
    <col min="8907" max="8908" width="9.28515625" style="1" bestFit="1" customWidth="1"/>
    <col min="8909" max="8910" width="10.28515625" style="1" bestFit="1" customWidth="1"/>
    <col min="8911" max="8915" width="9.28515625" style="1" bestFit="1" customWidth="1"/>
    <col min="8916" max="8916" width="10.42578125" style="1" bestFit="1" customWidth="1"/>
    <col min="8917" max="8917" width="9.140625" style="1"/>
    <col min="8918" max="8918" width="24.85546875" style="1" customWidth="1"/>
    <col min="8919" max="8919" width="9.140625" style="1"/>
    <col min="8920" max="8932" width="9.28515625" style="1" bestFit="1" customWidth="1"/>
    <col min="8933" max="8933" width="10.28515625" style="1" bestFit="1" customWidth="1"/>
    <col min="8934" max="8934" width="9.5703125" style="1" bestFit="1" customWidth="1"/>
    <col min="8935" max="8935" width="18.5703125" style="1" customWidth="1"/>
    <col min="8936" max="8937" width="9.140625" style="1"/>
    <col min="8938" max="8940" width="12.140625" style="1" bestFit="1" customWidth="1"/>
    <col min="8941" max="8949" width="10.28515625" style="1" bestFit="1" customWidth="1"/>
    <col min="8950" max="8950" width="11.28515625" style="1" bestFit="1" customWidth="1"/>
    <col min="8951" max="8951" width="9.140625" style="1"/>
    <col min="8952" max="8952" width="19" style="1" customWidth="1"/>
    <col min="8953" max="8969" width="9.140625" style="1"/>
    <col min="8970" max="8980" width="11.28515625" style="1" bestFit="1" customWidth="1"/>
    <col min="8981" max="8981" width="10.28515625" style="1" bestFit="1" customWidth="1"/>
    <col min="8982" max="8982" width="12.85546875" style="1" bestFit="1" customWidth="1"/>
    <col min="8983" max="9105" width="9.140625" style="1"/>
    <col min="9106" max="9106" width="11" style="1" bestFit="1" customWidth="1"/>
    <col min="9107" max="9107" width="28.140625" style="1" bestFit="1" customWidth="1"/>
    <col min="9108" max="9108" width="14" style="1" bestFit="1" customWidth="1"/>
    <col min="9109" max="9109" width="9.140625" style="1"/>
    <col min="9110" max="9110" width="13.85546875" style="1" bestFit="1" customWidth="1"/>
    <col min="9111" max="9111" width="9.140625" style="1"/>
    <col min="9112" max="9112" width="14" style="1" customWidth="1"/>
    <col min="9113" max="9113" width="9.140625" style="1"/>
    <col min="9114" max="9114" width="12.85546875" style="1" bestFit="1" customWidth="1"/>
    <col min="9115" max="9115" width="10" style="1" customWidth="1"/>
    <col min="9116" max="9116" width="14" style="1" bestFit="1" customWidth="1"/>
    <col min="9117" max="9117" width="9.85546875" style="1" bestFit="1" customWidth="1"/>
    <col min="9118" max="9118" width="13.5703125" style="1" bestFit="1" customWidth="1"/>
    <col min="9119" max="9119" width="9.85546875" style="1" bestFit="1" customWidth="1"/>
    <col min="9120" max="9120" width="12.85546875" style="1" bestFit="1" customWidth="1"/>
    <col min="9121" max="9132" width="10.5703125" style="1" customWidth="1"/>
    <col min="9133" max="9133" width="11.140625" style="1" bestFit="1" customWidth="1"/>
    <col min="9134" max="9134" width="2.7109375" style="1" customWidth="1"/>
    <col min="9135" max="9135" width="9.85546875" style="1" bestFit="1" customWidth="1"/>
    <col min="9136" max="9137" width="9.140625" style="1"/>
    <col min="9138" max="9138" width="24" style="1" customWidth="1"/>
    <col min="9139" max="9141" width="9.140625" style="1"/>
    <col min="9142" max="9142" width="9" style="1" bestFit="1" customWidth="1"/>
    <col min="9143" max="9152" width="9.28515625" style="1" bestFit="1" customWidth="1"/>
    <col min="9153" max="9153" width="10.28515625" style="1" bestFit="1" customWidth="1"/>
    <col min="9154" max="9154" width="11.28515625" style="1" bestFit="1" customWidth="1"/>
    <col min="9155" max="9155" width="11.7109375" style="1" customWidth="1"/>
    <col min="9156" max="9156" width="9.140625" style="1"/>
    <col min="9157" max="9157" width="22.28515625" style="1" customWidth="1"/>
    <col min="9158" max="9158" width="9.140625" style="1"/>
    <col min="9159" max="9159" width="9.28515625" style="1" bestFit="1" customWidth="1"/>
    <col min="9160" max="9160" width="9.42578125" style="1" bestFit="1" customWidth="1"/>
    <col min="9161" max="9161" width="9.28515625" style="1" bestFit="1" customWidth="1"/>
    <col min="9162" max="9162" width="10.28515625" style="1" bestFit="1" customWidth="1"/>
    <col min="9163" max="9164" width="9.28515625" style="1" bestFit="1" customWidth="1"/>
    <col min="9165" max="9166" width="10.28515625" style="1" bestFit="1" customWidth="1"/>
    <col min="9167" max="9171" width="9.28515625" style="1" bestFit="1" customWidth="1"/>
    <col min="9172" max="9172" width="10.42578125" style="1" bestFit="1" customWidth="1"/>
    <col min="9173" max="9173" width="9.140625" style="1"/>
    <col min="9174" max="9174" width="24.85546875" style="1" customWidth="1"/>
    <col min="9175" max="9175" width="9.140625" style="1"/>
    <col min="9176" max="9188" width="9.28515625" style="1" bestFit="1" customWidth="1"/>
    <col min="9189" max="9189" width="10.28515625" style="1" bestFit="1" customWidth="1"/>
    <col min="9190" max="9190" width="9.5703125" style="1" bestFit="1" customWidth="1"/>
    <col min="9191" max="9191" width="18.5703125" style="1" customWidth="1"/>
    <col min="9192" max="9193" width="9.140625" style="1"/>
    <col min="9194" max="9196" width="12.140625" style="1" bestFit="1" customWidth="1"/>
    <col min="9197" max="9205" width="10.28515625" style="1" bestFit="1" customWidth="1"/>
    <col min="9206" max="9206" width="11.28515625" style="1" bestFit="1" customWidth="1"/>
    <col min="9207" max="9207" width="9.140625" style="1"/>
    <col min="9208" max="9208" width="19" style="1" customWidth="1"/>
    <col min="9209" max="9225" width="9.140625" style="1"/>
    <col min="9226" max="9236" width="11.28515625" style="1" bestFit="1" customWidth="1"/>
    <col min="9237" max="9237" width="10.28515625" style="1" bestFit="1" customWidth="1"/>
    <col min="9238" max="9238" width="12.85546875" style="1" bestFit="1" customWidth="1"/>
    <col min="9239" max="9361" width="9.140625" style="1"/>
    <col min="9362" max="9362" width="11" style="1" bestFit="1" customWidth="1"/>
    <col min="9363" max="9363" width="28.140625" style="1" bestFit="1" customWidth="1"/>
    <col min="9364" max="9364" width="14" style="1" bestFit="1" customWidth="1"/>
    <col min="9365" max="9365" width="9.140625" style="1"/>
    <col min="9366" max="9366" width="13.85546875" style="1" bestFit="1" customWidth="1"/>
    <col min="9367" max="9367" width="9.140625" style="1"/>
    <col min="9368" max="9368" width="14" style="1" customWidth="1"/>
    <col min="9369" max="9369" width="9.140625" style="1"/>
    <col min="9370" max="9370" width="12.85546875" style="1" bestFit="1" customWidth="1"/>
    <col min="9371" max="9371" width="10" style="1" customWidth="1"/>
    <col min="9372" max="9372" width="14" style="1" bestFit="1" customWidth="1"/>
    <col min="9373" max="9373" width="9.85546875" style="1" bestFit="1" customWidth="1"/>
    <col min="9374" max="9374" width="13.5703125" style="1" bestFit="1" customWidth="1"/>
    <col min="9375" max="9375" width="9.85546875" style="1" bestFit="1" customWidth="1"/>
    <col min="9376" max="9376" width="12.85546875" style="1" bestFit="1" customWidth="1"/>
    <col min="9377" max="9388" width="10.5703125" style="1" customWidth="1"/>
    <col min="9389" max="9389" width="11.140625" style="1" bestFit="1" customWidth="1"/>
    <col min="9390" max="9390" width="2.7109375" style="1" customWidth="1"/>
    <col min="9391" max="9391" width="9.85546875" style="1" bestFit="1" customWidth="1"/>
    <col min="9392" max="9393" width="9.140625" style="1"/>
    <col min="9394" max="9394" width="24" style="1" customWidth="1"/>
    <col min="9395" max="9397" width="9.140625" style="1"/>
    <col min="9398" max="9398" width="9" style="1" bestFit="1" customWidth="1"/>
    <col min="9399" max="9408" width="9.28515625" style="1" bestFit="1" customWidth="1"/>
    <col min="9409" max="9409" width="10.28515625" style="1" bestFit="1" customWidth="1"/>
    <col min="9410" max="9410" width="11.28515625" style="1" bestFit="1" customWidth="1"/>
    <col min="9411" max="9411" width="11.7109375" style="1" customWidth="1"/>
    <col min="9412" max="9412" width="9.140625" style="1"/>
    <col min="9413" max="9413" width="22.28515625" style="1" customWidth="1"/>
    <col min="9414" max="9414" width="9.140625" style="1"/>
    <col min="9415" max="9415" width="9.28515625" style="1" bestFit="1" customWidth="1"/>
    <col min="9416" max="9416" width="9.42578125" style="1" bestFit="1" customWidth="1"/>
    <col min="9417" max="9417" width="9.28515625" style="1" bestFit="1" customWidth="1"/>
    <col min="9418" max="9418" width="10.28515625" style="1" bestFit="1" customWidth="1"/>
    <col min="9419" max="9420" width="9.28515625" style="1" bestFit="1" customWidth="1"/>
    <col min="9421" max="9422" width="10.28515625" style="1" bestFit="1" customWidth="1"/>
    <col min="9423" max="9427" width="9.28515625" style="1" bestFit="1" customWidth="1"/>
    <col min="9428" max="9428" width="10.42578125" style="1" bestFit="1" customWidth="1"/>
    <col min="9429" max="9429" width="9.140625" style="1"/>
    <col min="9430" max="9430" width="24.85546875" style="1" customWidth="1"/>
    <col min="9431" max="9431" width="9.140625" style="1"/>
    <col min="9432" max="9444" width="9.28515625" style="1" bestFit="1" customWidth="1"/>
    <col min="9445" max="9445" width="10.28515625" style="1" bestFit="1" customWidth="1"/>
    <col min="9446" max="9446" width="9.5703125" style="1" bestFit="1" customWidth="1"/>
    <col min="9447" max="9447" width="18.5703125" style="1" customWidth="1"/>
    <col min="9448" max="9449" width="9.140625" style="1"/>
    <col min="9450" max="9452" width="12.140625" style="1" bestFit="1" customWidth="1"/>
    <col min="9453" max="9461" width="10.28515625" style="1" bestFit="1" customWidth="1"/>
    <col min="9462" max="9462" width="11.28515625" style="1" bestFit="1" customWidth="1"/>
    <col min="9463" max="9463" width="9.140625" style="1"/>
    <col min="9464" max="9464" width="19" style="1" customWidth="1"/>
    <col min="9465" max="9481" width="9.140625" style="1"/>
    <col min="9482" max="9492" width="11.28515625" style="1" bestFit="1" customWidth="1"/>
    <col min="9493" max="9493" width="10.28515625" style="1" bestFit="1" customWidth="1"/>
    <col min="9494" max="9494" width="12.85546875" style="1" bestFit="1" customWidth="1"/>
    <col min="9495" max="9617" width="9.140625" style="1"/>
    <col min="9618" max="9618" width="11" style="1" bestFit="1" customWidth="1"/>
    <col min="9619" max="9619" width="28.140625" style="1" bestFit="1" customWidth="1"/>
    <col min="9620" max="9620" width="14" style="1" bestFit="1" customWidth="1"/>
    <col min="9621" max="9621" width="9.140625" style="1"/>
    <col min="9622" max="9622" width="13.85546875" style="1" bestFit="1" customWidth="1"/>
    <col min="9623" max="9623" width="9.140625" style="1"/>
    <col min="9624" max="9624" width="14" style="1" customWidth="1"/>
    <col min="9625" max="9625" width="9.140625" style="1"/>
    <col min="9626" max="9626" width="12.85546875" style="1" bestFit="1" customWidth="1"/>
    <col min="9627" max="9627" width="10" style="1" customWidth="1"/>
    <col min="9628" max="9628" width="14" style="1" bestFit="1" customWidth="1"/>
    <col min="9629" max="9629" width="9.85546875" style="1" bestFit="1" customWidth="1"/>
    <col min="9630" max="9630" width="13.5703125" style="1" bestFit="1" customWidth="1"/>
    <col min="9631" max="9631" width="9.85546875" style="1" bestFit="1" customWidth="1"/>
    <col min="9632" max="9632" width="12.85546875" style="1" bestFit="1" customWidth="1"/>
    <col min="9633" max="9644" width="10.5703125" style="1" customWidth="1"/>
    <col min="9645" max="9645" width="11.140625" style="1" bestFit="1" customWidth="1"/>
    <col min="9646" max="9646" width="2.7109375" style="1" customWidth="1"/>
    <col min="9647" max="9647" width="9.85546875" style="1" bestFit="1" customWidth="1"/>
    <col min="9648" max="9649" width="9.140625" style="1"/>
    <col min="9650" max="9650" width="24" style="1" customWidth="1"/>
    <col min="9651" max="9653" width="9.140625" style="1"/>
    <col min="9654" max="9654" width="9" style="1" bestFit="1" customWidth="1"/>
    <col min="9655" max="9664" width="9.28515625" style="1" bestFit="1" customWidth="1"/>
    <col min="9665" max="9665" width="10.28515625" style="1" bestFit="1" customWidth="1"/>
    <col min="9666" max="9666" width="11.28515625" style="1" bestFit="1" customWidth="1"/>
    <col min="9667" max="9667" width="11.7109375" style="1" customWidth="1"/>
    <col min="9668" max="9668" width="9.140625" style="1"/>
    <col min="9669" max="9669" width="22.28515625" style="1" customWidth="1"/>
    <col min="9670" max="9670" width="9.140625" style="1"/>
    <col min="9671" max="9671" width="9.28515625" style="1" bestFit="1" customWidth="1"/>
    <col min="9672" max="9672" width="9.42578125" style="1" bestFit="1" customWidth="1"/>
    <col min="9673" max="9673" width="9.28515625" style="1" bestFit="1" customWidth="1"/>
    <col min="9674" max="9674" width="10.28515625" style="1" bestFit="1" customWidth="1"/>
    <col min="9675" max="9676" width="9.28515625" style="1" bestFit="1" customWidth="1"/>
    <col min="9677" max="9678" width="10.28515625" style="1" bestFit="1" customWidth="1"/>
    <col min="9679" max="9683" width="9.28515625" style="1" bestFit="1" customWidth="1"/>
    <col min="9684" max="9684" width="10.42578125" style="1" bestFit="1" customWidth="1"/>
    <col min="9685" max="9685" width="9.140625" style="1"/>
    <col min="9686" max="9686" width="24.85546875" style="1" customWidth="1"/>
    <col min="9687" max="9687" width="9.140625" style="1"/>
    <col min="9688" max="9700" width="9.28515625" style="1" bestFit="1" customWidth="1"/>
    <col min="9701" max="9701" width="10.28515625" style="1" bestFit="1" customWidth="1"/>
    <col min="9702" max="9702" width="9.5703125" style="1" bestFit="1" customWidth="1"/>
    <col min="9703" max="9703" width="18.5703125" style="1" customWidth="1"/>
    <col min="9704" max="9705" width="9.140625" style="1"/>
    <col min="9706" max="9708" width="12.140625" style="1" bestFit="1" customWidth="1"/>
    <col min="9709" max="9717" width="10.28515625" style="1" bestFit="1" customWidth="1"/>
    <col min="9718" max="9718" width="11.28515625" style="1" bestFit="1" customWidth="1"/>
    <col min="9719" max="9719" width="9.140625" style="1"/>
    <col min="9720" max="9720" width="19" style="1" customWidth="1"/>
    <col min="9721" max="9737" width="9.140625" style="1"/>
    <col min="9738" max="9748" width="11.28515625" style="1" bestFit="1" customWidth="1"/>
    <col min="9749" max="9749" width="10.28515625" style="1" bestFit="1" customWidth="1"/>
    <col min="9750" max="9750" width="12.85546875" style="1" bestFit="1" customWidth="1"/>
    <col min="9751" max="9873" width="9.140625" style="1"/>
    <col min="9874" max="9874" width="11" style="1" bestFit="1" customWidth="1"/>
    <col min="9875" max="9875" width="28.140625" style="1" bestFit="1" customWidth="1"/>
    <col min="9876" max="9876" width="14" style="1" bestFit="1" customWidth="1"/>
    <col min="9877" max="9877" width="9.140625" style="1"/>
    <col min="9878" max="9878" width="13.85546875" style="1" bestFit="1" customWidth="1"/>
    <col min="9879" max="9879" width="9.140625" style="1"/>
    <col min="9880" max="9880" width="14" style="1" customWidth="1"/>
    <col min="9881" max="9881" width="9.140625" style="1"/>
    <col min="9882" max="9882" width="12.85546875" style="1" bestFit="1" customWidth="1"/>
    <col min="9883" max="9883" width="10" style="1" customWidth="1"/>
    <col min="9884" max="9884" width="14" style="1" bestFit="1" customWidth="1"/>
    <col min="9885" max="9885" width="9.85546875" style="1" bestFit="1" customWidth="1"/>
    <col min="9886" max="9886" width="13.5703125" style="1" bestFit="1" customWidth="1"/>
    <col min="9887" max="9887" width="9.85546875" style="1" bestFit="1" customWidth="1"/>
    <col min="9888" max="9888" width="12.85546875" style="1" bestFit="1" customWidth="1"/>
    <col min="9889" max="9900" width="10.5703125" style="1" customWidth="1"/>
    <col min="9901" max="9901" width="11.140625" style="1" bestFit="1" customWidth="1"/>
    <col min="9902" max="9902" width="2.7109375" style="1" customWidth="1"/>
    <col min="9903" max="9903" width="9.85546875" style="1" bestFit="1" customWidth="1"/>
    <col min="9904" max="9905" width="9.140625" style="1"/>
    <col min="9906" max="9906" width="24" style="1" customWidth="1"/>
    <col min="9907" max="9909" width="9.140625" style="1"/>
    <col min="9910" max="9910" width="9" style="1" bestFit="1" customWidth="1"/>
    <col min="9911" max="9920" width="9.28515625" style="1" bestFit="1" customWidth="1"/>
    <col min="9921" max="9921" width="10.28515625" style="1" bestFit="1" customWidth="1"/>
    <col min="9922" max="9922" width="11.28515625" style="1" bestFit="1" customWidth="1"/>
    <col min="9923" max="9923" width="11.7109375" style="1" customWidth="1"/>
    <col min="9924" max="9924" width="9.140625" style="1"/>
    <col min="9925" max="9925" width="22.28515625" style="1" customWidth="1"/>
    <col min="9926" max="9926" width="9.140625" style="1"/>
    <col min="9927" max="9927" width="9.28515625" style="1" bestFit="1" customWidth="1"/>
    <col min="9928" max="9928" width="9.42578125" style="1" bestFit="1" customWidth="1"/>
    <col min="9929" max="9929" width="9.28515625" style="1" bestFit="1" customWidth="1"/>
    <col min="9930" max="9930" width="10.28515625" style="1" bestFit="1" customWidth="1"/>
    <col min="9931" max="9932" width="9.28515625" style="1" bestFit="1" customWidth="1"/>
    <col min="9933" max="9934" width="10.28515625" style="1" bestFit="1" customWidth="1"/>
    <col min="9935" max="9939" width="9.28515625" style="1" bestFit="1" customWidth="1"/>
    <col min="9940" max="9940" width="10.42578125" style="1" bestFit="1" customWidth="1"/>
    <col min="9941" max="9941" width="9.140625" style="1"/>
    <col min="9942" max="9942" width="24.85546875" style="1" customWidth="1"/>
    <col min="9943" max="9943" width="9.140625" style="1"/>
    <col min="9944" max="9956" width="9.28515625" style="1" bestFit="1" customWidth="1"/>
    <col min="9957" max="9957" width="10.28515625" style="1" bestFit="1" customWidth="1"/>
    <col min="9958" max="9958" width="9.5703125" style="1" bestFit="1" customWidth="1"/>
    <col min="9959" max="9959" width="18.5703125" style="1" customWidth="1"/>
    <col min="9960" max="9961" width="9.140625" style="1"/>
    <col min="9962" max="9964" width="12.140625" style="1" bestFit="1" customWidth="1"/>
    <col min="9965" max="9973" width="10.28515625" style="1" bestFit="1" customWidth="1"/>
    <col min="9974" max="9974" width="11.28515625" style="1" bestFit="1" customWidth="1"/>
    <col min="9975" max="9975" width="9.140625" style="1"/>
    <col min="9976" max="9976" width="19" style="1" customWidth="1"/>
    <col min="9977" max="9993" width="9.140625" style="1"/>
    <col min="9994" max="10004" width="11.28515625" style="1" bestFit="1" customWidth="1"/>
    <col min="10005" max="10005" width="10.28515625" style="1" bestFit="1" customWidth="1"/>
    <col min="10006" max="10006" width="12.85546875" style="1" bestFit="1" customWidth="1"/>
    <col min="10007" max="10129" width="9.140625" style="1"/>
    <col min="10130" max="10130" width="11" style="1" bestFit="1" customWidth="1"/>
    <col min="10131" max="10131" width="28.140625" style="1" bestFit="1" customWidth="1"/>
    <col min="10132" max="10132" width="14" style="1" bestFit="1" customWidth="1"/>
    <col min="10133" max="10133" width="9.140625" style="1"/>
    <col min="10134" max="10134" width="13.85546875" style="1" bestFit="1" customWidth="1"/>
    <col min="10135" max="10135" width="9.140625" style="1"/>
    <col min="10136" max="10136" width="14" style="1" customWidth="1"/>
    <col min="10137" max="10137" width="9.140625" style="1"/>
    <col min="10138" max="10138" width="12.85546875" style="1" bestFit="1" customWidth="1"/>
    <col min="10139" max="10139" width="10" style="1" customWidth="1"/>
    <col min="10140" max="10140" width="14" style="1" bestFit="1" customWidth="1"/>
    <col min="10141" max="10141" width="9.85546875" style="1" bestFit="1" customWidth="1"/>
    <col min="10142" max="10142" width="13.5703125" style="1" bestFit="1" customWidth="1"/>
    <col min="10143" max="10143" width="9.85546875" style="1" bestFit="1" customWidth="1"/>
    <col min="10144" max="10144" width="12.85546875" style="1" bestFit="1" customWidth="1"/>
    <col min="10145" max="10156" width="10.5703125" style="1" customWidth="1"/>
    <col min="10157" max="10157" width="11.140625" style="1" bestFit="1" customWidth="1"/>
    <col min="10158" max="10158" width="2.7109375" style="1" customWidth="1"/>
    <col min="10159" max="10159" width="9.85546875" style="1" bestFit="1" customWidth="1"/>
    <col min="10160" max="10161" width="9.140625" style="1"/>
    <col min="10162" max="10162" width="24" style="1" customWidth="1"/>
    <col min="10163" max="10165" width="9.140625" style="1"/>
    <col min="10166" max="10166" width="9" style="1" bestFit="1" customWidth="1"/>
    <col min="10167" max="10176" width="9.28515625" style="1" bestFit="1" customWidth="1"/>
    <col min="10177" max="10177" width="10.28515625" style="1" bestFit="1" customWidth="1"/>
    <col min="10178" max="10178" width="11.28515625" style="1" bestFit="1" customWidth="1"/>
    <col min="10179" max="10179" width="11.7109375" style="1" customWidth="1"/>
    <col min="10180" max="10180" width="9.140625" style="1"/>
    <col min="10181" max="10181" width="22.28515625" style="1" customWidth="1"/>
    <col min="10182" max="10182" width="9.140625" style="1"/>
    <col min="10183" max="10183" width="9.28515625" style="1" bestFit="1" customWidth="1"/>
    <col min="10184" max="10184" width="9.42578125" style="1" bestFit="1" customWidth="1"/>
    <col min="10185" max="10185" width="9.28515625" style="1" bestFit="1" customWidth="1"/>
    <col min="10186" max="10186" width="10.28515625" style="1" bestFit="1" customWidth="1"/>
    <col min="10187" max="10188" width="9.28515625" style="1" bestFit="1" customWidth="1"/>
    <col min="10189" max="10190" width="10.28515625" style="1" bestFit="1" customWidth="1"/>
    <col min="10191" max="10195" width="9.28515625" style="1" bestFit="1" customWidth="1"/>
    <col min="10196" max="10196" width="10.42578125" style="1" bestFit="1" customWidth="1"/>
    <col min="10197" max="10197" width="9.140625" style="1"/>
    <col min="10198" max="10198" width="24.85546875" style="1" customWidth="1"/>
    <col min="10199" max="10199" width="9.140625" style="1"/>
    <col min="10200" max="10212" width="9.28515625" style="1" bestFit="1" customWidth="1"/>
    <col min="10213" max="10213" width="10.28515625" style="1" bestFit="1" customWidth="1"/>
    <col min="10214" max="10214" width="9.5703125" style="1" bestFit="1" customWidth="1"/>
    <col min="10215" max="10215" width="18.5703125" style="1" customWidth="1"/>
    <col min="10216" max="10217" width="9.140625" style="1"/>
    <col min="10218" max="10220" width="12.140625" style="1" bestFit="1" customWidth="1"/>
    <col min="10221" max="10229" width="10.28515625" style="1" bestFit="1" customWidth="1"/>
    <col min="10230" max="10230" width="11.28515625" style="1" bestFit="1" customWidth="1"/>
    <col min="10231" max="10231" width="9.140625" style="1"/>
    <col min="10232" max="10232" width="19" style="1" customWidth="1"/>
    <col min="10233" max="10249" width="9.140625" style="1"/>
    <col min="10250" max="10260" width="11.28515625" style="1" bestFit="1" customWidth="1"/>
    <col min="10261" max="10261" width="10.28515625" style="1" bestFit="1" customWidth="1"/>
    <col min="10262" max="10262" width="12.85546875" style="1" bestFit="1" customWidth="1"/>
    <col min="10263" max="10385" width="9.140625" style="1"/>
    <col min="10386" max="10386" width="11" style="1" bestFit="1" customWidth="1"/>
    <col min="10387" max="10387" width="28.140625" style="1" bestFit="1" customWidth="1"/>
    <col min="10388" max="10388" width="14" style="1" bestFit="1" customWidth="1"/>
    <col min="10389" max="10389" width="9.140625" style="1"/>
    <col min="10390" max="10390" width="13.85546875" style="1" bestFit="1" customWidth="1"/>
    <col min="10391" max="10391" width="9.140625" style="1"/>
    <col min="10392" max="10392" width="14" style="1" customWidth="1"/>
    <col min="10393" max="10393" width="9.140625" style="1"/>
    <col min="10394" max="10394" width="12.85546875" style="1" bestFit="1" customWidth="1"/>
    <col min="10395" max="10395" width="10" style="1" customWidth="1"/>
    <col min="10396" max="10396" width="14" style="1" bestFit="1" customWidth="1"/>
    <col min="10397" max="10397" width="9.85546875" style="1" bestFit="1" customWidth="1"/>
    <col min="10398" max="10398" width="13.5703125" style="1" bestFit="1" customWidth="1"/>
    <col min="10399" max="10399" width="9.85546875" style="1" bestFit="1" customWidth="1"/>
    <col min="10400" max="10400" width="12.85546875" style="1" bestFit="1" customWidth="1"/>
    <col min="10401" max="10412" width="10.5703125" style="1" customWidth="1"/>
    <col min="10413" max="10413" width="11.140625" style="1" bestFit="1" customWidth="1"/>
    <col min="10414" max="10414" width="2.7109375" style="1" customWidth="1"/>
    <col min="10415" max="10415" width="9.85546875" style="1" bestFit="1" customWidth="1"/>
    <col min="10416" max="10417" width="9.140625" style="1"/>
    <col min="10418" max="10418" width="24" style="1" customWidth="1"/>
    <col min="10419" max="10421" width="9.140625" style="1"/>
    <col min="10422" max="10422" width="9" style="1" bestFit="1" customWidth="1"/>
    <col min="10423" max="10432" width="9.28515625" style="1" bestFit="1" customWidth="1"/>
    <col min="10433" max="10433" width="10.28515625" style="1" bestFit="1" customWidth="1"/>
    <col min="10434" max="10434" width="11.28515625" style="1" bestFit="1" customWidth="1"/>
    <col min="10435" max="10435" width="11.7109375" style="1" customWidth="1"/>
    <col min="10436" max="10436" width="9.140625" style="1"/>
    <col min="10437" max="10437" width="22.28515625" style="1" customWidth="1"/>
    <col min="10438" max="10438" width="9.140625" style="1"/>
    <col min="10439" max="10439" width="9.28515625" style="1" bestFit="1" customWidth="1"/>
    <col min="10440" max="10440" width="9.42578125" style="1" bestFit="1" customWidth="1"/>
    <col min="10441" max="10441" width="9.28515625" style="1" bestFit="1" customWidth="1"/>
    <col min="10442" max="10442" width="10.28515625" style="1" bestFit="1" customWidth="1"/>
    <col min="10443" max="10444" width="9.28515625" style="1" bestFit="1" customWidth="1"/>
    <col min="10445" max="10446" width="10.28515625" style="1" bestFit="1" customWidth="1"/>
    <col min="10447" max="10451" width="9.28515625" style="1" bestFit="1" customWidth="1"/>
    <col min="10452" max="10452" width="10.42578125" style="1" bestFit="1" customWidth="1"/>
    <col min="10453" max="10453" width="9.140625" style="1"/>
    <col min="10454" max="10454" width="24.85546875" style="1" customWidth="1"/>
    <col min="10455" max="10455" width="9.140625" style="1"/>
    <col min="10456" max="10468" width="9.28515625" style="1" bestFit="1" customWidth="1"/>
    <col min="10469" max="10469" width="10.28515625" style="1" bestFit="1" customWidth="1"/>
    <col min="10470" max="10470" width="9.5703125" style="1" bestFit="1" customWidth="1"/>
    <col min="10471" max="10471" width="18.5703125" style="1" customWidth="1"/>
    <col min="10472" max="10473" width="9.140625" style="1"/>
    <col min="10474" max="10476" width="12.140625" style="1" bestFit="1" customWidth="1"/>
    <col min="10477" max="10485" width="10.28515625" style="1" bestFit="1" customWidth="1"/>
    <col min="10486" max="10486" width="11.28515625" style="1" bestFit="1" customWidth="1"/>
    <col min="10487" max="10487" width="9.140625" style="1"/>
    <col min="10488" max="10488" width="19" style="1" customWidth="1"/>
    <col min="10489" max="10505" width="9.140625" style="1"/>
    <col min="10506" max="10516" width="11.28515625" style="1" bestFit="1" customWidth="1"/>
    <col min="10517" max="10517" width="10.28515625" style="1" bestFit="1" customWidth="1"/>
    <col min="10518" max="10518" width="12.85546875" style="1" bestFit="1" customWidth="1"/>
    <col min="10519" max="10641" width="9.140625" style="1"/>
    <col min="10642" max="10642" width="11" style="1" bestFit="1" customWidth="1"/>
    <col min="10643" max="10643" width="28.140625" style="1" bestFit="1" customWidth="1"/>
    <col min="10644" max="10644" width="14" style="1" bestFit="1" customWidth="1"/>
    <col min="10645" max="10645" width="9.140625" style="1"/>
    <col min="10646" max="10646" width="13.85546875" style="1" bestFit="1" customWidth="1"/>
    <col min="10647" max="10647" width="9.140625" style="1"/>
    <col min="10648" max="10648" width="14" style="1" customWidth="1"/>
    <col min="10649" max="10649" width="9.140625" style="1"/>
    <col min="10650" max="10650" width="12.85546875" style="1" bestFit="1" customWidth="1"/>
    <col min="10651" max="10651" width="10" style="1" customWidth="1"/>
    <col min="10652" max="10652" width="14" style="1" bestFit="1" customWidth="1"/>
    <col min="10653" max="10653" width="9.85546875" style="1" bestFit="1" customWidth="1"/>
    <col min="10654" max="10654" width="13.5703125" style="1" bestFit="1" customWidth="1"/>
    <col min="10655" max="10655" width="9.85546875" style="1" bestFit="1" customWidth="1"/>
    <col min="10656" max="10656" width="12.85546875" style="1" bestFit="1" customWidth="1"/>
    <col min="10657" max="10668" width="10.5703125" style="1" customWidth="1"/>
    <col min="10669" max="10669" width="11.140625" style="1" bestFit="1" customWidth="1"/>
    <col min="10670" max="10670" width="2.7109375" style="1" customWidth="1"/>
    <col min="10671" max="10671" width="9.85546875" style="1" bestFit="1" customWidth="1"/>
    <col min="10672" max="10673" width="9.140625" style="1"/>
    <col min="10674" max="10674" width="24" style="1" customWidth="1"/>
    <col min="10675" max="10677" width="9.140625" style="1"/>
    <col min="10678" max="10678" width="9" style="1" bestFit="1" customWidth="1"/>
    <col min="10679" max="10688" width="9.28515625" style="1" bestFit="1" customWidth="1"/>
    <col min="10689" max="10689" width="10.28515625" style="1" bestFit="1" customWidth="1"/>
    <col min="10690" max="10690" width="11.28515625" style="1" bestFit="1" customWidth="1"/>
    <col min="10691" max="10691" width="11.7109375" style="1" customWidth="1"/>
    <col min="10692" max="10692" width="9.140625" style="1"/>
    <col min="10693" max="10693" width="22.28515625" style="1" customWidth="1"/>
    <col min="10694" max="10694" width="9.140625" style="1"/>
    <col min="10695" max="10695" width="9.28515625" style="1" bestFit="1" customWidth="1"/>
    <col min="10696" max="10696" width="9.42578125" style="1" bestFit="1" customWidth="1"/>
    <col min="10697" max="10697" width="9.28515625" style="1" bestFit="1" customWidth="1"/>
    <col min="10698" max="10698" width="10.28515625" style="1" bestFit="1" customWidth="1"/>
    <col min="10699" max="10700" width="9.28515625" style="1" bestFit="1" customWidth="1"/>
    <col min="10701" max="10702" width="10.28515625" style="1" bestFit="1" customWidth="1"/>
    <col min="10703" max="10707" width="9.28515625" style="1" bestFit="1" customWidth="1"/>
    <col min="10708" max="10708" width="10.42578125" style="1" bestFit="1" customWidth="1"/>
    <col min="10709" max="10709" width="9.140625" style="1"/>
    <col min="10710" max="10710" width="24.85546875" style="1" customWidth="1"/>
    <col min="10711" max="10711" width="9.140625" style="1"/>
    <col min="10712" max="10724" width="9.28515625" style="1" bestFit="1" customWidth="1"/>
    <col min="10725" max="10725" width="10.28515625" style="1" bestFit="1" customWidth="1"/>
    <col min="10726" max="10726" width="9.5703125" style="1" bestFit="1" customWidth="1"/>
    <col min="10727" max="10727" width="18.5703125" style="1" customWidth="1"/>
    <col min="10728" max="10729" width="9.140625" style="1"/>
    <col min="10730" max="10732" width="12.140625" style="1" bestFit="1" customWidth="1"/>
    <col min="10733" max="10741" width="10.28515625" style="1" bestFit="1" customWidth="1"/>
    <col min="10742" max="10742" width="11.28515625" style="1" bestFit="1" customWidth="1"/>
    <col min="10743" max="10743" width="9.140625" style="1"/>
    <col min="10744" max="10744" width="19" style="1" customWidth="1"/>
    <col min="10745" max="10761" width="9.140625" style="1"/>
    <col min="10762" max="10772" width="11.28515625" style="1" bestFit="1" customWidth="1"/>
    <col min="10773" max="10773" width="10.28515625" style="1" bestFit="1" customWidth="1"/>
    <col min="10774" max="10774" width="12.85546875" style="1" bestFit="1" customWidth="1"/>
    <col min="10775" max="10897" width="9.140625" style="1"/>
    <col min="10898" max="10898" width="11" style="1" bestFit="1" customWidth="1"/>
    <col min="10899" max="10899" width="28.140625" style="1" bestFit="1" customWidth="1"/>
    <col min="10900" max="10900" width="14" style="1" bestFit="1" customWidth="1"/>
    <col min="10901" max="10901" width="9.140625" style="1"/>
    <col min="10902" max="10902" width="13.85546875" style="1" bestFit="1" customWidth="1"/>
    <col min="10903" max="10903" width="9.140625" style="1"/>
    <col min="10904" max="10904" width="14" style="1" customWidth="1"/>
    <col min="10905" max="10905" width="9.140625" style="1"/>
    <col min="10906" max="10906" width="12.85546875" style="1" bestFit="1" customWidth="1"/>
    <col min="10907" max="10907" width="10" style="1" customWidth="1"/>
    <col min="10908" max="10908" width="14" style="1" bestFit="1" customWidth="1"/>
    <col min="10909" max="10909" width="9.85546875" style="1" bestFit="1" customWidth="1"/>
    <col min="10910" max="10910" width="13.5703125" style="1" bestFit="1" customWidth="1"/>
    <col min="10911" max="10911" width="9.85546875" style="1" bestFit="1" customWidth="1"/>
    <col min="10912" max="10912" width="12.85546875" style="1" bestFit="1" customWidth="1"/>
    <col min="10913" max="10924" width="10.5703125" style="1" customWidth="1"/>
    <col min="10925" max="10925" width="11.140625" style="1" bestFit="1" customWidth="1"/>
    <col min="10926" max="10926" width="2.7109375" style="1" customWidth="1"/>
    <col min="10927" max="10927" width="9.85546875" style="1" bestFit="1" customWidth="1"/>
    <col min="10928" max="10929" width="9.140625" style="1"/>
    <col min="10930" max="10930" width="24" style="1" customWidth="1"/>
    <col min="10931" max="10933" width="9.140625" style="1"/>
    <col min="10934" max="10934" width="9" style="1" bestFit="1" customWidth="1"/>
    <col min="10935" max="10944" width="9.28515625" style="1" bestFit="1" customWidth="1"/>
    <col min="10945" max="10945" width="10.28515625" style="1" bestFit="1" customWidth="1"/>
    <col min="10946" max="10946" width="11.28515625" style="1" bestFit="1" customWidth="1"/>
    <col min="10947" max="10947" width="11.7109375" style="1" customWidth="1"/>
    <col min="10948" max="10948" width="9.140625" style="1"/>
    <col min="10949" max="10949" width="22.28515625" style="1" customWidth="1"/>
    <col min="10950" max="10950" width="9.140625" style="1"/>
    <col min="10951" max="10951" width="9.28515625" style="1" bestFit="1" customWidth="1"/>
    <col min="10952" max="10952" width="9.42578125" style="1" bestFit="1" customWidth="1"/>
    <col min="10953" max="10953" width="9.28515625" style="1" bestFit="1" customWidth="1"/>
    <col min="10954" max="10954" width="10.28515625" style="1" bestFit="1" customWidth="1"/>
    <col min="10955" max="10956" width="9.28515625" style="1" bestFit="1" customWidth="1"/>
    <col min="10957" max="10958" width="10.28515625" style="1" bestFit="1" customWidth="1"/>
    <col min="10959" max="10963" width="9.28515625" style="1" bestFit="1" customWidth="1"/>
    <col min="10964" max="10964" width="10.42578125" style="1" bestFit="1" customWidth="1"/>
    <col min="10965" max="10965" width="9.140625" style="1"/>
    <col min="10966" max="10966" width="24.85546875" style="1" customWidth="1"/>
    <col min="10967" max="10967" width="9.140625" style="1"/>
    <col min="10968" max="10980" width="9.28515625" style="1" bestFit="1" customWidth="1"/>
    <col min="10981" max="10981" width="10.28515625" style="1" bestFit="1" customWidth="1"/>
    <col min="10982" max="10982" width="9.5703125" style="1" bestFit="1" customWidth="1"/>
    <col min="10983" max="10983" width="18.5703125" style="1" customWidth="1"/>
    <col min="10984" max="10985" width="9.140625" style="1"/>
    <col min="10986" max="10988" width="12.140625" style="1" bestFit="1" customWidth="1"/>
    <col min="10989" max="10997" width="10.28515625" style="1" bestFit="1" customWidth="1"/>
    <col min="10998" max="10998" width="11.28515625" style="1" bestFit="1" customWidth="1"/>
    <col min="10999" max="10999" width="9.140625" style="1"/>
    <col min="11000" max="11000" width="19" style="1" customWidth="1"/>
    <col min="11001" max="11017" width="9.140625" style="1"/>
    <col min="11018" max="11028" width="11.28515625" style="1" bestFit="1" customWidth="1"/>
    <col min="11029" max="11029" width="10.28515625" style="1" bestFit="1" customWidth="1"/>
    <col min="11030" max="11030" width="12.85546875" style="1" bestFit="1" customWidth="1"/>
    <col min="11031" max="11153" width="9.140625" style="1"/>
    <col min="11154" max="11154" width="11" style="1" bestFit="1" customWidth="1"/>
    <col min="11155" max="11155" width="28.140625" style="1" bestFit="1" customWidth="1"/>
    <col min="11156" max="11156" width="14" style="1" bestFit="1" customWidth="1"/>
    <col min="11157" max="11157" width="9.140625" style="1"/>
    <col min="11158" max="11158" width="13.85546875" style="1" bestFit="1" customWidth="1"/>
    <col min="11159" max="11159" width="9.140625" style="1"/>
    <col min="11160" max="11160" width="14" style="1" customWidth="1"/>
    <col min="11161" max="11161" width="9.140625" style="1"/>
    <col min="11162" max="11162" width="12.85546875" style="1" bestFit="1" customWidth="1"/>
    <col min="11163" max="11163" width="10" style="1" customWidth="1"/>
    <col min="11164" max="11164" width="14" style="1" bestFit="1" customWidth="1"/>
    <col min="11165" max="11165" width="9.85546875" style="1" bestFit="1" customWidth="1"/>
    <col min="11166" max="11166" width="13.5703125" style="1" bestFit="1" customWidth="1"/>
    <col min="11167" max="11167" width="9.85546875" style="1" bestFit="1" customWidth="1"/>
    <col min="11168" max="11168" width="12.85546875" style="1" bestFit="1" customWidth="1"/>
    <col min="11169" max="11180" width="10.5703125" style="1" customWidth="1"/>
    <col min="11181" max="11181" width="11.140625" style="1" bestFit="1" customWidth="1"/>
    <col min="11182" max="11182" width="2.7109375" style="1" customWidth="1"/>
    <col min="11183" max="11183" width="9.85546875" style="1" bestFit="1" customWidth="1"/>
    <col min="11184" max="11185" width="9.140625" style="1"/>
    <col min="11186" max="11186" width="24" style="1" customWidth="1"/>
    <col min="11187" max="11189" width="9.140625" style="1"/>
    <col min="11190" max="11190" width="9" style="1" bestFit="1" customWidth="1"/>
    <col min="11191" max="11200" width="9.28515625" style="1" bestFit="1" customWidth="1"/>
    <col min="11201" max="11201" width="10.28515625" style="1" bestFit="1" customWidth="1"/>
    <col min="11202" max="11202" width="11.28515625" style="1" bestFit="1" customWidth="1"/>
    <col min="11203" max="11203" width="11.7109375" style="1" customWidth="1"/>
    <col min="11204" max="11204" width="9.140625" style="1"/>
    <col min="11205" max="11205" width="22.28515625" style="1" customWidth="1"/>
    <col min="11206" max="11206" width="9.140625" style="1"/>
    <col min="11207" max="11207" width="9.28515625" style="1" bestFit="1" customWidth="1"/>
    <col min="11208" max="11208" width="9.42578125" style="1" bestFit="1" customWidth="1"/>
    <col min="11209" max="11209" width="9.28515625" style="1" bestFit="1" customWidth="1"/>
    <col min="11210" max="11210" width="10.28515625" style="1" bestFit="1" customWidth="1"/>
    <col min="11211" max="11212" width="9.28515625" style="1" bestFit="1" customWidth="1"/>
    <col min="11213" max="11214" width="10.28515625" style="1" bestFit="1" customWidth="1"/>
    <col min="11215" max="11219" width="9.28515625" style="1" bestFit="1" customWidth="1"/>
    <col min="11220" max="11220" width="10.42578125" style="1" bestFit="1" customWidth="1"/>
    <col min="11221" max="11221" width="9.140625" style="1"/>
    <col min="11222" max="11222" width="24.85546875" style="1" customWidth="1"/>
    <col min="11223" max="11223" width="9.140625" style="1"/>
    <col min="11224" max="11236" width="9.28515625" style="1" bestFit="1" customWidth="1"/>
    <col min="11237" max="11237" width="10.28515625" style="1" bestFit="1" customWidth="1"/>
    <col min="11238" max="11238" width="9.5703125" style="1" bestFit="1" customWidth="1"/>
    <col min="11239" max="11239" width="18.5703125" style="1" customWidth="1"/>
    <col min="11240" max="11241" width="9.140625" style="1"/>
    <col min="11242" max="11244" width="12.140625" style="1" bestFit="1" customWidth="1"/>
    <col min="11245" max="11253" width="10.28515625" style="1" bestFit="1" customWidth="1"/>
    <col min="11254" max="11254" width="11.28515625" style="1" bestFit="1" customWidth="1"/>
    <col min="11255" max="11255" width="9.140625" style="1"/>
    <col min="11256" max="11256" width="19" style="1" customWidth="1"/>
    <col min="11257" max="11273" width="9.140625" style="1"/>
    <col min="11274" max="11284" width="11.28515625" style="1" bestFit="1" customWidth="1"/>
    <col min="11285" max="11285" width="10.28515625" style="1" bestFit="1" customWidth="1"/>
    <col min="11286" max="11286" width="12.85546875" style="1" bestFit="1" customWidth="1"/>
    <col min="11287" max="11409" width="9.140625" style="1"/>
    <col min="11410" max="11410" width="11" style="1" bestFit="1" customWidth="1"/>
    <col min="11411" max="11411" width="28.140625" style="1" bestFit="1" customWidth="1"/>
    <col min="11412" max="11412" width="14" style="1" bestFit="1" customWidth="1"/>
    <col min="11413" max="11413" width="9.140625" style="1"/>
    <col min="11414" max="11414" width="13.85546875" style="1" bestFit="1" customWidth="1"/>
    <col min="11415" max="11415" width="9.140625" style="1"/>
    <col min="11416" max="11416" width="14" style="1" customWidth="1"/>
    <col min="11417" max="11417" width="9.140625" style="1"/>
    <col min="11418" max="11418" width="12.85546875" style="1" bestFit="1" customWidth="1"/>
    <col min="11419" max="11419" width="10" style="1" customWidth="1"/>
    <col min="11420" max="11420" width="14" style="1" bestFit="1" customWidth="1"/>
    <col min="11421" max="11421" width="9.85546875" style="1" bestFit="1" customWidth="1"/>
    <col min="11422" max="11422" width="13.5703125" style="1" bestFit="1" customWidth="1"/>
    <col min="11423" max="11423" width="9.85546875" style="1" bestFit="1" customWidth="1"/>
    <col min="11424" max="11424" width="12.85546875" style="1" bestFit="1" customWidth="1"/>
    <col min="11425" max="11436" width="10.5703125" style="1" customWidth="1"/>
    <col min="11437" max="11437" width="11.140625" style="1" bestFit="1" customWidth="1"/>
    <col min="11438" max="11438" width="2.7109375" style="1" customWidth="1"/>
    <col min="11439" max="11439" width="9.85546875" style="1" bestFit="1" customWidth="1"/>
    <col min="11440" max="11441" width="9.140625" style="1"/>
    <col min="11442" max="11442" width="24" style="1" customWidth="1"/>
    <col min="11443" max="11445" width="9.140625" style="1"/>
    <col min="11446" max="11446" width="9" style="1" bestFit="1" customWidth="1"/>
    <col min="11447" max="11456" width="9.28515625" style="1" bestFit="1" customWidth="1"/>
    <col min="11457" max="11457" width="10.28515625" style="1" bestFit="1" customWidth="1"/>
    <col min="11458" max="11458" width="11.28515625" style="1" bestFit="1" customWidth="1"/>
    <col min="11459" max="11459" width="11.7109375" style="1" customWidth="1"/>
    <col min="11460" max="11460" width="9.140625" style="1"/>
    <col min="11461" max="11461" width="22.28515625" style="1" customWidth="1"/>
    <col min="11462" max="11462" width="9.140625" style="1"/>
    <col min="11463" max="11463" width="9.28515625" style="1" bestFit="1" customWidth="1"/>
    <col min="11464" max="11464" width="9.42578125" style="1" bestFit="1" customWidth="1"/>
    <col min="11465" max="11465" width="9.28515625" style="1" bestFit="1" customWidth="1"/>
    <col min="11466" max="11466" width="10.28515625" style="1" bestFit="1" customWidth="1"/>
    <col min="11467" max="11468" width="9.28515625" style="1" bestFit="1" customWidth="1"/>
    <col min="11469" max="11470" width="10.28515625" style="1" bestFit="1" customWidth="1"/>
    <col min="11471" max="11475" width="9.28515625" style="1" bestFit="1" customWidth="1"/>
    <col min="11476" max="11476" width="10.42578125" style="1" bestFit="1" customWidth="1"/>
    <col min="11477" max="11477" width="9.140625" style="1"/>
    <col min="11478" max="11478" width="24.85546875" style="1" customWidth="1"/>
    <col min="11479" max="11479" width="9.140625" style="1"/>
    <col min="11480" max="11492" width="9.28515625" style="1" bestFit="1" customWidth="1"/>
    <col min="11493" max="11493" width="10.28515625" style="1" bestFit="1" customWidth="1"/>
    <col min="11494" max="11494" width="9.5703125" style="1" bestFit="1" customWidth="1"/>
    <col min="11495" max="11495" width="18.5703125" style="1" customWidth="1"/>
    <col min="11496" max="11497" width="9.140625" style="1"/>
    <col min="11498" max="11500" width="12.140625" style="1" bestFit="1" customWidth="1"/>
    <col min="11501" max="11509" width="10.28515625" style="1" bestFit="1" customWidth="1"/>
    <col min="11510" max="11510" width="11.28515625" style="1" bestFit="1" customWidth="1"/>
    <col min="11511" max="11511" width="9.140625" style="1"/>
    <col min="11512" max="11512" width="19" style="1" customWidth="1"/>
    <col min="11513" max="11529" width="9.140625" style="1"/>
    <col min="11530" max="11540" width="11.28515625" style="1" bestFit="1" customWidth="1"/>
    <col min="11541" max="11541" width="10.28515625" style="1" bestFit="1" customWidth="1"/>
    <col min="11542" max="11542" width="12.85546875" style="1" bestFit="1" customWidth="1"/>
    <col min="11543" max="11665" width="9.140625" style="1"/>
    <col min="11666" max="11666" width="11" style="1" bestFit="1" customWidth="1"/>
    <col min="11667" max="11667" width="28.140625" style="1" bestFit="1" customWidth="1"/>
    <col min="11668" max="11668" width="14" style="1" bestFit="1" customWidth="1"/>
    <col min="11669" max="11669" width="9.140625" style="1"/>
    <col min="11670" max="11670" width="13.85546875" style="1" bestFit="1" customWidth="1"/>
    <col min="11671" max="11671" width="9.140625" style="1"/>
    <col min="11672" max="11672" width="14" style="1" customWidth="1"/>
    <col min="11673" max="11673" width="9.140625" style="1"/>
    <col min="11674" max="11674" width="12.85546875" style="1" bestFit="1" customWidth="1"/>
    <col min="11675" max="11675" width="10" style="1" customWidth="1"/>
    <col min="11676" max="11676" width="14" style="1" bestFit="1" customWidth="1"/>
    <col min="11677" max="11677" width="9.85546875" style="1" bestFit="1" customWidth="1"/>
    <col min="11678" max="11678" width="13.5703125" style="1" bestFit="1" customWidth="1"/>
    <col min="11679" max="11679" width="9.85546875" style="1" bestFit="1" customWidth="1"/>
    <col min="11680" max="11680" width="12.85546875" style="1" bestFit="1" customWidth="1"/>
    <col min="11681" max="11692" width="10.5703125" style="1" customWidth="1"/>
    <col min="11693" max="11693" width="11.140625" style="1" bestFit="1" customWidth="1"/>
    <col min="11694" max="11694" width="2.7109375" style="1" customWidth="1"/>
    <col min="11695" max="11695" width="9.85546875" style="1" bestFit="1" customWidth="1"/>
    <col min="11696" max="11697" width="9.140625" style="1"/>
    <col min="11698" max="11698" width="24" style="1" customWidth="1"/>
    <col min="11699" max="11701" width="9.140625" style="1"/>
    <col min="11702" max="11702" width="9" style="1" bestFit="1" customWidth="1"/>
    <col min="11703" max="11712" width="9.28515625" style="1" bestFit="1" customWidth="1"/>
    <col min="11713" max="11713" width="10.28515625" style="1" bestFit="1" customWidth="1"/>
    <col min="11714" max="11714" width="11.28515625" style="1" bestFit="1" customWidth="1"/>
    <col min="11715" max="11715" width="11.7109375" style="1" customWidth="1"/>
    <col min="11716" max="11716" width="9.140625" style="1"/>
    <col min="11717" max="11717" width="22.28515625" style="1" customWidth="1"/>
    <col min="11718" max="11718" width="9.140625" style="1"/>
    <col min="11719" max="11719" width="9.28515625" style="1" bestFit="1" customWidth="1"/>
    <col min="11720" max="11720" width="9.42578125" style="1" bestFit="1" customWidth="1"/>
    <col min="11721" max="11721" width="9.28515625" style="1" bestFit="1" customWidth="1"/>
    <col min="11722" max="11722" width="10.28515625" style="1" bestFit="1" customWidth="1"/>
    <col min="11723" max="11724" width="9.28515625" style="1" bestFit="1" customWidth="1"/>
    <col min="11725" max="11726" width="10.28515625" style="1" bestFit="1" customWidth="1"/>
    <col min="11727" max="11731" width="9.28515625" style="1" bestFit="1" customWidth="1"/>
    <col min="11732" max="11732" width="10.42578125" style="1" bestFit="1" customWidth="1"/>
    <col min="11733" max="11733" width="9.140625" style="1"/>
    <col min="11734" max="11734" width="24.85546875" style="1" customWidth="1"/>
    <col min="11735" max="11735" width="9.140625" style="1"/>
    <col min="11736" max="11748" width="9.28515625" style="1" bestFit="1" customWidth="1"/>
    <col min="11749" max="11749" width="10.28515625" style="1" bestFit="1" customWidth="1"/>
    <col min="11750" max="11750" width="9.5703125" style="1" bestFit="1" customWidth="1"/>
    <col min="11751" max="11751" width="18.5703125" style="1" customWidth="1"/>
    <col min="11752" max="11753" width="9.140625" style="1"/>
    <col min="11754" max="11756" width="12.140625" style="1" bestFit="1" customWidth="1"/>
    <col min="11757" max="11765" width="10.28515625" style="1" bestFit="1" customWidth="1"/>
    <col min="11766" max="11766" width="11.28515625" style="1" bestFit="1" customWidth="1"/>
    <col min="11767" max="11767" width="9.140625" style="1"/>
    <col min="11768" max="11768" width="19" style="1" customWidth="1"/>
    <col min="11769" max="11785" width="9.140625" style="1"/>
    <col min="11786" max="11796" width="11.28515625" style="1" bestFit="1" customWidth="1"/>
    <col min="11797" max="11797" width="10.28515625" style="1" bestFit="1" customWidth="1"/>
    <col min="11798" max="11798" width="12.85546875" style="1" bestFit="1" customWidth="1"/>
    <col min="11799" max="11921" width="9.140625" style="1"/>
    <col min="11922" max="11922" width="11" style="1" bestFit="1" customWidth="1"/>
    <col min="11923" max="11923" width="28.140625" style="1" bestFit="1" customWidth="1"/>
    <col min="11924" max="11924" width="14" style="1" bestFit="1" customWidth="1"/>
    <col min="11925" max="11925" width="9.140625" style="1"/>
    <col min="11926" max="11926" width="13.85546875" style="1" bestFit="1" customWidth="1"/>
    <col min="11927" max="11927" width="9.140625" style="1"/>
    <col min="11928" max="11928" width="14" style="1" customWidth="1"/>
    <col min="11929" max="11929" width="9.140625" style="1"/>
    <col min="11930" max="11930" width="12.85546875" style="1" bestFit="1" customWidth="1"/>
    <col min="11931" max="11931" width="10" style="1" customWidth="1"/>
    <col min="11932" max="11932" width="14" style="1" bestFit="1" customWidth="1"/>
    <col min="11933" max="11933" width="9.85546875" style="1" bestFit="1" customWidth="1"/>
    <col min="11934" max="11934" width="13.5703125" style="1" bestFit="1" customWidth="1"/>
    <col min="11935" max="11935" width="9.85546875" style="1" bestFit="1" customWidth="1"/>
    <col min="11936" max="11936" width="12.85546875" style="1" bestFit="1" customWidth="1"/>
    <col min="11937" max="11948" width="10.5703125" style="1" customWidth="1"/>
    <col min="11949" max="11949" width="11.140625" style="1" bestFit="1" customWidth="1"/>
    <col min="11950" max="11950" width="2.7109375" style="1" customWidth="1"/>
    <col min="11951" max="11951" width="9.85546875" style="1" bestFit="1" customWidth="1"/>
    <col min="11952" max="11953" width="9.140625" style="1"/>
    <col min="11954" max="11954" width="24" style="1" customWidth="1"/>
    <col min="11955" max="11957" width="9.140625" style="1"/>
    <col min="11958" max="11958" width="9" style="1" bestFit="1" customWidth="1"/>
    <col min="11959" max="11968" width="9.28515625" style="1" bestFit="1" customWidth="1"/>
    <col min="11969" max="11969" width="10.28515625" style="1" bestFit="1" customWidth="1"/>
    <col min="11970" max="11970" width="11.28515625" style="1" bestFit="1" customWidth="1"/>
    <col min="11971" max="11971" width="11.7109375" style="1" customWidth="1"/>
    <col min="11972" max="11972" width="9.140625" style="1"/>
    <col min="11973" max="11973" width="22.28515625" style="1" customWidth="1"/>
    <col min="11974" max="11974" width="9.140625" style="1"/>
    <col min="11975" max="11975" width="9.28515625" style="1" bestFit="1" customWidth="1"/>
    <col min="11976" max="11976" width="9.42578125" style="1" bestFit="1" customWidth="1"/>
    <col min="11977" max="11977" width="9.28515625" style="1" bestFit="1" customWidth="1"/>
    <col min="11978" max="11978" width="10.28515625" style="1" bestFit="1" customWidth="1"/>
    <col min="11979" max="11980" width="9.28515625" style="1" bestFit="1" customWidth="1"/>
    <col min="11981" max="11982" width="10.28515625" style="1" bestFit="1" customWidth="1"/>
    <col min="11983" max="11987" width="9.28515625" style="1" bestFit="1" customWidth="1"/>
    <col min="11988" max="11988" width="10.42578125" style="1" bestFit="1" customWidth="1"/>
    <col min="11989" max="11989" width="9.140625" style="1"/>
    <col min="11990" max="11990" width="24.85546875" style="1" customWidth="1"/>
    <col min="11991" max="11991" width="9.140625" style="1"/>
    <col min="11992" max="12004" width="9.28515625" style="1" bestFit="1" customWidth="1"/>
    <col min="12005" max="12005" width="10.28515625" style="1" bestFit="1" customWidth="1"/>
    <col min="12006" max="12006" width="9.5703125" style="1" bestFit="1" customWidth="1"/>
    <col min="12007" max="12007" width="18.5703125" style="1" customWidth="1"/>
    <col min="12008" max="12009" width="9.140625" style="1"/>
    <col min="12010" max="12012" width="12.140625" style="1" bestFit="1" customWidth="1"/>
    <col min="12013" max="12021" width="10.28515625" style="1" bestFit="1" customWidth="1"/>
    <col min="12022" max="12022" width="11.28515625" style="1" bestFit="1" customWidth="1"/>
    <col min="12023" max="12023" width="9.140625" style="1"/>
    <col min="12024" max="12024" width="19" style="1" customWidth="1"/>
    <col min="12025" max="12041" width="9.140625" style="1"/>
    <col min="12042" max="12052" width="11.28515625" style="1" bestFit="1" customWidth="1"/>
    <col min="12053" max="12053" width="10.28515625" style="1" bestFit="1" customWidth="1"/>
    <col min="12054" max="12054" width="12.85546875" style="1" bestFit="1" customWidth="1"/>
    <col min="12055" max="12177" width="9.140625" style="1"/>
    <col min="12178" max="12178" width="11" style="1" bestFit="1" customWidth="1"/>
    <col min="12179" max="12179" width="28.140625" style="1" bestFit="1" customWidth="1"/>
    <col min="12180" max="12180" width="14" style="1" bestFit="1" customWidth="1"/>
    <col min="12181" max="12181" width="9.140625" style="1"/>
    <col min="12182" max="12182" width="13.85546875" style="1" bestFit="1" customWidth="1"/>
    <col min="12183" max="12183" width="9.140625" style="1"/>
    <col min="12184" max="12184" width="14" style="1" customWidth="1"/>
    <col min="12185" max="12185" width="9.140625" style="1"/>
    <col min="12186" max="12186" width="12.85546875" style="1" bestFit="1" customWidth="1"/>
    <col min="12187" max="12187" width="10" style="1" customWidth="1"/>
    <col min="12188" max="12188" width="14" style="1" bestFit="1" customWidth="1"/>
    <col min="12189" max="12189" width="9.85546875" style="1" bestFit="1" customWidth="1"/>
    <col min="12190" max="12190" width="13.5703125" style="1" bestFit="1" customWidth="1"/>
    <col min="12191" max="12191" width="9.85546875" style="1" bestFit="1" customWidth="1"/>
    <col min="12192" max="12192" width="12.85546875" style="1" bestFit="1" customWidth="1"/>
    <col min="12193" max="12204" width="10.5703125" style="1" customWidth="1"/>
    <col min="12205" max="12205" width="11.140625" style="1" bestFit="1" customWidth="1"/>
    <col min="12206" max="12206" width="2.7109375" style="1" customWidth="1"/>
    <col min="12207" max="12207" width="9.85546875" style="1" bestFit="1" customWidth="1"/>
    <col min="12208" max="12209" width="9.140625" style="1"/>
    <col min="12210" max="12210" width="24" style="1" customWidth="1"/>
    <col min="12211" max="12213" width="9.140625" style="1"/>
    <col min="12214" max="12214" width="9" style="1" bestFit="1" customWidth="1"/>
    <col min="12215" max="12224" width="9.28515625" style="1" bestFit="1" customWidth="1"/>
    <col min="12225" max="12225" width="10.28515625" style="1" bestFit="1" customWidth="1"/>
    <col min="12226" max="12226" width="11.28515625" style="1" bestFit="1" customWidth="1"/>
    <col min="12227" max="12227" width="11.7109375" style="1" customWidth="1"/>
    <col min="12228" max="12228" width="9.140625" style="1"/>
    <col min="12229" max="12229" width="22.28515625" style="1" customWidth="1"/>
    <col min="12230" max="12230" width="9.140625" style="1"/>
    <col min="12231" max="12231" width="9.28515625" style="1" bestFit="1" customWidth="1"/>
    <col min="12232" max="12232" width="9.42578125" style="1" bestFit="1" customWidth="1"/>
    <col min="12233" max="12233" width="9.28515625" style="1" bestFit="1" customWidth="1"/>
    <col min="12234" max="12234" width="10.28515625" style="1" bestFit="1" customWidth="1"/>
    <col min="12235" max="12236" width="9.28515625" style="1" bestFit="1" customWidth="1"/>
    <col min="12237" max="12238" width="10.28515625" style="1" bestFit="1" customWidth="1"/>
    <col min="12239" max="12243" width="9.28515625" style="1" bestFit="1" customWidth="1"/>
    <col min="12244" max="12244" width="10.42578125" style="1" bestFit="1" customWidth="1"/>
    <col min="12245" max="12245" width="9.140625" style="1"/>
    <col min="12246" max="12246" width="24.85546875" style="1" customWidth="1"/>
    <col min="12247" max="12247" width="9.140625" style="1"/>
    <col min="12248" max="12260" width="9.28515625" style="1" bestFit="1" customWidth="1"/>
    <col min="12261" max="12261" width="10.28515625" style="1" bestFit="1" customWidth="1"/>
    <col min="12262" max="12262" width="9.5703125" style="1" bestFit="1" customWidth="1"/>
    <col min="12263" max="12263" width="18.5703125" style="1" customWidth="1"/>
    <col min="12264" max="12265" width="9.140625" style="1"/>
    <col min="12266" max="12268" width="12.140625" style="1" bestFit="1" customWidth="1"/>
    <col min="12269" max="12277" width="10.28515625" style="1" bestFit="1" customWidth="1"/>
    <col min="12278" max="12278" width="11.28515625" style="1" bestFit="1" customWidth="1"/>
    <col min="12279" max="12279" width="9.140625" style="1"/>
    <col min="12280" max="12280" width="19" style="1" customWidth="1"/>
    <col min="12281" max="12297" width="9.140625" style="1"/>
    <col min="12298" max="12308" width="11.28515625" style="1" bestFit="1" customWidth="1"/>
    <col min="12309" max="12309" width="10.28515625" style="1" bestFit="1" customWidth="1"/>
    <col min="12310" max="12310" width="12.85546875" style="1" bestFit="1" customWidth="1"/>
    <col min="12311" max="12433" width="9.140625" style="1"/>
    <col min="12434" max="12434" width="11" style="1" bestFit="1" customWidth="1"/>
    <col min="12435" max="12435" width="28.140625" style="1" bestFit="1" customWidth="1"/>
    <col min="12436" max="12436" width="14" style="1" bestFit="1" customWidth="1"/>
    <col min="12437" max="12437" width="9.140625" style="1"/>
    <col min="12438" max="12438" width="13.85546875" style="1" bestFit="1" customWidth="1"/>
    <col min="12439" max="12439" width="9.140625" style="1"/>
    <col min="12440" max="12440" width="14" style="1" customWidth="1"/>
    <col min="12441" max="12441" width="9.140625" style="1"/>
    <col min="12442" max="12442" width="12.85546875" style="1" bestFit="1" customWidth="1"/>
    <col min="12443" max="12443" width="10" style="1" customWidth="1"/>
    <col min="12444" max="12444" width="14" style="1" bestFit="1" customWidth="1"/>
    <col min="12445" max="12445" width="9.85546875" style="1" bestFit="1" customWidth="1"/>
    <col min="12446" max="12446" width="13.5703125" style="1" bestFit="1" customWidth="1"/>
    <col min="12447" max="12447" width="9.85546875" style="1" bestFit="1" customWidth="1"/>
    <col min="12448" max="12448" width="12.85546875" style="1" bestFit="1" customWidth="1"/>
    <col min="12449" max="12460" width="10.5703125" style="1" customWidth="1"/>
    <col min="12461" max="12461" width="11.140625" style="1" bestFit="1" customWidth="1"/>
    <col min="12462" max="12462" width="2.7109375" style="1" customWidth="1"/>
    <col min="12463" max="12463" width="9.85546875" style="1" bestFit="1" customWidth="1"/>
    <col min="12464" max="12465" width="9.140625" style="1"/>
    <col min="12466" max="12466" width="24" style="1" customWidth="1"/>
    <col min="12467" max="12469" width="9.140625" style="1"/>
    <col min="12470" max="12470" width="9" style="1" bestFit="1" customWidth="1"/>
    <col min="12471" max="12480" width="9.28515625" style="1" bestFit="1" customWidth="1"/>
    <col min="12481" max="12481" width="10.28515625" style="1" bestFit="1" customWidth="1"/>
    <col min="12482" max="12482" width="11.28515625" style="1" bestFit="1" customWidth="1"/>
    <col min="12483" max="12483" width="11.7109375" style="1" customWidth="1"/>
    <col min="12484" max="12484" width="9.140625" style="1"/>
    <col min="12485" max="12485" width="22.28515625" style="1" customWidth="1"/>
    <col min="12486" max="12486" width="9.140625" style="1"/>
    <col min="12487" max="12487" width="9.28515625" style="1" bestFit="1" customWidth="1"/>
    <col min="12488" max="12488" width="9.42578125" style="1" bestFit="1" customWidth="1"/>
    <col min="12489" max="12489" width="9.28515625" style="1" bestFit="1" customWidth="1"/>
    <col min="12490" max="12490" width="10.28515625" style="1" bestFit="1" customWidth="1"/>
    <col min="12491" max="12492" width="9.28515625" style="1" bestFit="1" customWidth="1"/>
    <col min="12493" max="12494" width="10.28515625" style="1" bestFit="1" customWidth="1"/>
    <col min="12495" max="12499" width="9.28515625" style="1" bestFit="1" customWidth="1"/>
    <col min="12500" max="12500" width="10.42578125" style="1" bestFit="1" customWidth="1"/>
    <col min="12501" max="12501" width="9.140625" style="1"/>
    <col min="12502" max="12502" width="24.85546875" style="1" customWidth="1"/>
    <col min="12503" max="12503" width="9.140625" style="1"/>
    <col min="12504" max="12516" width="9.28515625" style="1" bestFit="1" customWidth="1"/>
    <col min="12517" max="12517" width="10.28515625" style="1" bestFit="1" customWidth="1"/>
    <col min="12518" max="12518" width="9.5703125" style="1" bestFit="1" customWidth="1"/>
    <col min="12519" max="12519" width="18.5703125" style="1" customWidth="1"/>
    <col min="12520" max="12521" width="9.140625" style="1"/>
    <col min="12522" max="12524" width="12.140625" style="1" bestFit="1" customWidth="1"/>
    <col min="12525" max="12533" width="10.28515625" style="1" bestFit="1" customWidth="1"/>
    <col min="12534" max="12534" width="11.28515625" style="1" bestFit="1" customWidth="1"/>
    <col min="12535" max="12535" width="9.140625" style="1"/>
    <col min="12536" max="12536" width="19" style="1" customWidth="1"/>
    <col min="12537" max="12553" width="9.140625" style="1"/>
    <col min="12554" max="12564" width="11.28515625" style="1" bestFit="1" customWidth="1"/>
    <col min="12565" max="12565" width="10.28515625" style="1" bestFit="1" customWidth="1"/>
    <col min="12566" max="12566" width="12.85546875" style="1" bestFit="1" customWidth="1"/>
    <col min="12567" max="12689" width="9.140625" style="1"/>
    <col min="12690" max="12690" width="11" style="1" bestFit="1" customWidth="1"/>
    <col min="12691" max="12691" width="28.140625" style="1" bestFit="1" customWidth="1"/>
    <col min="12692" max="12692" width="14" style="1" bestFit="1" customWidth="1"/>
    <col min="12693" max="12693" width="9.140625" style="1"/>
    <col min="12694" max="12694" width="13.85546875" style="1" bestFit="1" customWidth="1"/>
    <col min="12695" max="12695" width="9.140625" style="1"/>
    <col min="12696" max="12696" width="14" style="1" customWidth="1"/>
    <col min="12697" max="12697" width="9.140625" style="1"/>
    <col min="12698" max="12698" width="12.85546875" style="1" bestFit="1" customWidth="1"/>
    <col min="12699" max="12699" width="10" style="1" customWidth="1"/>
    <col min="12700" max="12700" width="14" style="1" bestFit="1" customWidth="1"/>
    <col min="12701" max="12701" width="9.85546875" style="1" bestFit="1" customWidth="1"/>
    <col min="12702" max="12702" width="13.5703125" style="1" bestFit="1" customWidth="1"/>
    <col min="12703" max="12703" width="9.85546875" style="1" bestFit="1" customWidth="1"/>
    <col min="12704" max="12704" width="12.85546875" style="1" bestFit="1" customWidth="1"/>
    <col min="12705" max="12716" width="10.5703125" style="1" customWidth="1"/>
    <col min="12717" max="12717" width="11.140625" style="1" bestFit="1" customWidth="1"/>
    <col min="12718" max="12718" width="2.7109375" style="1" customWidth="1"/>
    <col min="12719" max="12719" width="9.85546875" style="1" bestFit="1" customWidth="1"/>
    <col min="12720" max="12721" width="9.140625" style="1"/>
    <col min="12722" max="12722" width="24" style="1" customWidth="1"/>
    <col min="12723" max="12725" width="9.140625" style="1"/>
    <col min="12726" max="12726" width="9" style="1" bestFit="1" customWidth="1"/>
    <col min="12727" max="12736" width="9.28515625" style="1" bestFit="1" customWidth="1"/>
    <col min="12737" max="12737" width="10.28515625" style="1" bestFit="1" customWidth="1"/>
    <col min="12738" max="12738" width="11.28515625" style="1" bestFit="1" customWidth="1"/>
    <col min="12739" max="12739" width="11.7109375" style="1" customWidth="1"/>
    <col min="12740" max="12740" width="9.140625" style="1"/>
    <col min="12741" max="12741" width="22.28515625" style="1" customWidth="1"/>
    <col min="12742" max="12742" width="9.140625" style="1"/>
    <col min="12743" max="12743" width="9.28515625" style="1" bestFit="1" customWidth="1"/>
    <col min="12744" max="12744" width="9.42578125" style="1" bestFit="1" customWidth="1"/>
    <col min="12745" max="12745" width="9.28515625" style="1" bestFit="1" customWidth="1"/>
    <col min="12746" max="12746" width="10.28515625" style="1" bestFit="1" customWidth="1"/>
    <col min="12747" max="12748" width="9.28515625" style="1" bestFit="1" customWidth="1"/>
    <col min="12749" max="12750" width="10.28515625" style="1" bestFit="1" customWidth="1"/>
    <col min="12751" max="12755" width="9.28515625" style="1" bestFit="1" customWidth="1"/>
    <col min="12756" max="12756" width="10.42578125" style="1" bestFit="1" customWidth="1"/>
    <col min="12757" max="12757" width="9.140625" style="1"/>
    <col min="12758" max="12758" width="24.85546875" style="1" customWidth="1"/>
    <col min="12759" max="12759" width="9.140625" style="1"/>
    <col min="12760" max="12772" width="9.28515625" style="1" bestFit="1" customWidth="1"/>
    <col min="12773" max="12773" width="10.28515625" style="1" bestFit="1" customWidth="1"/>
    <col min="12774" max="12774" width="9.5703125" style="1" bestFit="1" customWidth="1"/>
    <col min="12775" max="12775" width="18.5703125" style="1" customWidth="1"/>
    <col min="12776" max="12777" width="9.140625" style="1"/>
    <col min="12778" max="12780" width="12.140625" style="1" bestFit="1" customWidth="1"/>
    <col min="12781" max="12789" width="10.28515625" style="1" bestFit="1" customWidth="1"/>
    <col min="12790" max="12790" width="11.28515625" style="1" bestFit="1" customWidth="1"/>
    <col min="12791" max="12791" width="9.140625" style="1"/>
    <col min="12792" max="12792" width="19" style="1" customWidth="1"/>
    <col min="12793" max="12809" width="9.140625" style="1"/>
    <col min="12810" max="12820" width="11.28515625" style="1" bestFit="1" customWidth="1"/>
    <col min="12821" max="12821" width="10.28515625" style="1" bestFit="1" customWidth="1"/>
    <col min="12822" max="12822" width="12.85546875" style="1" bestFit="1" customWidth="1"/>
    <col min="12823" max="12945" width="9.140625" style="1"/>
    <col min="12946" max="12946" width="11" style="1" bestFit="1" customWidth="1"/>
    <col min="12947" max="12947" width="28.140625" style="1" bestFit="1" customWidth="1"/>
    <col min="12948" max="12948" width="14" style="1" bestFit="1" customWidth="1"/>
    <col min="12949" max="12949" width="9.140625" style="1"/>
    <col min="12950" max="12950" width="13.85546875" style="1" bestFit="1" customWidth="1"/>
    <col min="12951" max="12951" width="9.140625" style="1"/>
    <col min="12952" max="12952" width="14" style="1" customWidth="1"/>
    <col min="12953" max="12953" width="9.140625" style="1"/>
    <col min="12954" max="12954" width="12.85546875" style="1" bestFit="1" customWidth="1"/>
    <col min="12955" max="12955" width="10" style="1" customWidth="1"/>
    <col min="12956" max="12956" width="14" style="1" bestFit="1" customWidth="1"/>
    <col min="12957" max="12957" width="9.85546875" style="1" bestFit="1" customWidth="1"/>
    <col min="12958" max="12958" width="13.5703125" style="1" bestFit="1" customWidth="1"/>
    <col min="12959" max="12959" width="9.85546875" style="1" bestFit="1" customWidth="1"/>
    <col min="12960" max="12960" width="12.85546875" style="1" bestFit="1" customWidth="1"/>
    <col min="12961" max="12972" width="10.5703125" style="1" customWidth="1"/>
    <col min="12973" max="12973" width="11.140625" style="1" bestFit="1" customWidth="1"/>
    <col min="12974" max="12974" width="2.7109375" style="1" customWidth="1"/>
    <col min="12975" max="12975" width="9.85546875" style="1" bestFit="1" customWidth="1"/>
    <col min="12976" max="12977" width="9.140625" style="1"/>
    <col min="12978" max="12978" width="24" style="1" customWidth="1"/>
    <col min="12979" max="12981" width="9.140625" style="1"/>
    <col min="12982" max="12982" width="9" style="1" bestFit="1" customWidth="1"/>
    <col min="12983" max="12992" width="9.28515625" style="1" bestFit="1" customWidth="1"/>
    <col min="12993" max="12993" width="10.28515625" style="1" bestFit="1" customWidth="1"/>
    <col min="12994" max="12994" width="11.28515625" style="1" bestFit="1" customWidth="1"/>
    <col min="12995" max="12995" width="11.7109375" style="1" customWidth="1"/>
    <col min="12996" max="12996" width="9.140625" style="1"/>
    <col min="12997" max="12997" width="22.28515625" style="1" customWidth="1"/>
    <col min="12998" max="12998" width="9.140625" style="1"/>
    <col min="12999" max="12999" width="9.28515625" style="1" bestFit="1" customWidth="1"/>
    <col min="13000" max="13000" width="9.42578125" style="1" bestFit="1" customWidth="1"/>
    <col min="13001" max="13001" width="9.28515625" style="1" bestFit="1" customWidth="1"/>
    <col min="13002" max="13002" width="10.28515625" style="1" bestFit="1" customWidth="1"/>
    <col min="13003" max="13004" width="9.28515625" style="1" bestFit="1" customWidth="1"/>
    <col min="13005" max="13006" width="10.28515625" style="1" bestFit="1" customWidth="1"/>
    <col min="13007" max="13011" width="9.28515625" style="1" bestFit="1" customWidth="1"/>
    <col min="13012" max="13012" width="10.42578125" style="1" bestFit="1" customWidth="1"/>
    <col min="13013" max="13013" width="9.140625" style="1"/>
    <col min="13014" max="13014" width="24.85546875" style="1" customWidth="1"/>
    <col min="13015" max="13015" width="9.140625" style="1"/>
    <col min="13016" max="13028" width="9.28515625" style="1" bestFit="1" customWidth="1"/>
    <col min="13029" max="13029" width="10.28515625" style="1" bestFit="1" customWidth="1"/>
    <col min="13030" max="13030" width="9.5703125" style="1" bestFit="1" customWidth="1"/>
    <col min="13031" max="13031" width="18.5703125" style="1" customWidth="1"/>
    <col min="13032" max="13033" width="9.140625" style="1"/>
    <col min="13034" max="13036" width="12.140625" style="1" bestFit="1" customWidth="1"/>
    <col min="13037" max="13045" width="10.28515625" style="1" bestFit="1" customWidth="1"/>
    <col min="13046" max="13046" width="11.28515625" style="1" bestFit="1" customWidth="1"/>
    <col min="13047" max="13047" width="9.140625" style="1"/>
    <col min="13048" max="13048" width="19" style="1" customWidth="1"/>
    <col min="13049" max="13065" width="9.140625" style="1"/>
    <col min="13066" max="13076" width="11.28515625" style="1" bestFit="1" customWidth="1"/>
    <col min="13077" max="13077" width="10.28515625" style="1" bestFit="1" customWidth="1"/>
    <col min="13078" max="13078" width="12.85546875" style="1" bestFit="1" customWidth="1"/>
    <col min="13079" max="13201" width="9.140625" style="1"/>
    <col min="13202" max="13202" width="11" style="1" bestFit="1" customWidth="1"/>
    <col min="13203" max="13203" width="28.140625" style="1" bestFit="1" customWidth="1"/>
    <col min="13204" max="13204" width="14" style="1" bestFit="1" customWidth="1"/>
    <col min="13205" max="13205" width="9.140625" style="1"/>
    <col min="13206" max="13206" width="13.85546875" style="1" bestFit="1" customWidth="1"/>
    <col min="13207" max="13207" width="9.140625" style="1"/>
    <col min="13208" max="13208" width="14" style="1" customWidth="1"/>
    <col min="13209" max="13209" width="9.140625" style="1"/>
    <col min="13210" max="13210" width="12.85546875" style="1" bestFit="1" customWidth="1"/>
    <col min="13211" max="13211" width="10" style="1" customWidth="1"/>
    <col min="13212" max="13212" width="14" style="1" bestFit="1" customWidth="1"/>
    <col min="13213" max="13213" width="9.85546875" style="1" bestFit="1" customWidth="1"/>
    <col min="13214" max="13214" width="13.5703125" style="1" bestFit="1" customWidth="1"/>
    <col min="13215" max="13215" width="9.85546875" style="1" bestFit="1" customWidth="1"/>
    <col min="13216" max="13216" width="12.85546875" style="1" bestFit="1" customWidth="1"/>
    <col min="13217" max="13228" width="10.5703125" style="1" customWidth="1"/>
    <col min="13229" max="13229" width="11.140625" style="1" bestFit="1" customWidth="1"/>
    <col min="13230" max="13230" width="2.7109375" style="1" customWidth="1"/>
    <col min="13231" max="13231" width="9.85546875" style="1" bestFit="1" customWidth="1"/>
    <col min="13232" max="13233" width="9.140625" style="1"/>
    <col min="13234" max="13234" width="24" style="1" customWidth="1"/>
    <col min="13235" max="13237" width="9.140625" style="1"/>
    <col min="13238" max="13238" width="9" style="1" bestFit="1" customWidth="1"/>
    <col min="13239" max="13248" width="9.28515625" style="1" bestFit="1" customWidth="1"/>
    <col min="13249" max="13249" width="10.28515625" style="1" bestFit="1" customWidth="1"/>
    <col min="13250" max="13250" width="11.28515625" style="1" bestFit="1" customWidth="1"/>
    <col min="13251" max="13251" width="11.7109375" style="1" customWidth="1"/>
    <col min="13252" max="13252" width="9.140625" style="1"/>
    <col min="13253" max="13253" width="22.28515625" style="1" customWidth="1"/>
    <col min="13254" max="13254" width="9.140625" style="1"/>
    <col min="13255" max="13255" width="9.28515625" style="1" bestFit="1" customWidth="1"/>
    <col min="13256" max="13256" width="9.42578125" style="1" bestFit="1" customWidth="1"/>
    <col min="13257" max="13257" width="9.28515625" style="1" bestFit="1" customWidth="1"/>
    <col min="13258" max="13258" width="10.28515625" style="1" bestFit="1" customWidth="1"/>
    <col min="13259" max="13260" width="9.28515625" style="1" bestFit="1" customWidth="1"/>
    <col min="13261" max="13262" width="10.28515625" style="1" bestFit="1" customWidth="1"/>
    <col min="13263" max="13267" width="9.28515625" style="1" bestFit="1" customWidth="1"/>
    <col min="13268" max="13268" width="10.42578125" style="1" bestFit="1" customWidth="1"/>
    <col min="13269" max="13269" width="9.140625" style="1"/>
    <col min="13270" max="13270" width="24.85546875" style="1" customWidth="1"/>
    <col min="13271" max="13271" width="9.140625" style="1"/>
    <col min="13272" max="13284" width="9.28515625" style="1" bestFit="1" customWidth="1"/>
    <col min="13285" max="13285" width="10.28515625" style="1" bestFit="1" customWidth="1"/>
    <col min="13286" max="13286" width="9.5703125" style="1" bestFit="1" customWidth="1"/>
    <col min="13287" max="13287" width="18.5703125" style="1" customWidth="1"/>
    <col min="13288" max="13289" width="9.140625" style="1"/>
    <col min="13290" max="13292" width="12.140625" style="1" bestFit="1" customWidth="1"/>
    <col min="13293" max="13301" width="10.28515625" style="1" bestFit="1" customWidth="1"/>
    <col min="13302" max="13302" width="11.28515625" style="1" bestFit="1" customWidth="1"/>
    <col min="13303" max="13303" width="9.140625" style="1"/>
    <col min="13304" max="13304" width="19" style="1" customWidth="1"/>
    <col min="13305" max="13321" width="9.140625" style="1"/>
    <col min="13322" max="13332" width="11.28515625" style="1" bestFit="1" customWidth="1"/>
    <col min="13333" max="13333" width="10.28515625" style="1" bestFit="1" customWidth="1"/>
    <col min="13334" max="13334" width="12.85546875" style="1" bestFit="1" customWidth="1"/>
    <col min="13335" max="13457" width="9.140625" style="1"/>
    <col min="13458" max="13458" width="11" style="1" bestFit="1" customWidth="1"/>
    <col min="13459" max="13459" width="28.140625" style="1" bestFit="1" customWidth="1"/>
    <col min="13460" max="13460" width="14" style="1" bestFit="1" customWidth="1"/>
    <col min="13461" max="13461" width="9.140625" style="1"/>
    <col min="13462" max="13462" width="13.85546875" style="1" bestFit="1" customWidth="1"/>
    <col min="13463" max="13463" width="9.140625" style="1"/>
    <col min="13464" max="13464" width="14" style="1" customWidth="1"/>
    <col min="13465" max="13465" width="9.140625" style="1"/>
    <col min="13466" max="13466" width="12.85546875" style="1" bestFit="1" customWidth="1"/>
    <col min="13467" max="13467" width="10" style="1" customWidth="1"/>
    <col min="13468" max="13468" width="14" style="1" bestFit="1" customWidth="1"/>
    <col min="13469" max="13469" width="9.85546875" style="1" bestFit="1" customWidth="1"/>
    <col min="13470" max="13470" width="13.5703125" style="1" bestFit="1" customWidth="1"/>
    <col min="13471" max="13471" width="9.85546875" style="1" bestFit="1" customWidth="1"/>
    <col min="13472" max="13472" width="12.85546875" style="1" bestFit="1" customWidth="1"/>
    <col min="13473" max="13484" width="10.5703125" style="1" customWidth="1"/>
    <col min="13485" max="13485" width="11.140625" style="1" bestFit="1" customWidth="1"/>
    <col min="13486" max="13486" width="2.7109375" style="1" customWidth="1"/>
    <col min="13487" max="13487" width="9.85546875" style="1" bestFit="1" customWidth="1"/>
    <col min="13488" max="13489" width="9.140625" style="1"/>
    <col min="13490" max="13490" width="24" style="1" customWidth="1"/>
    <col min="13491" max="13493" width="9.140625" style="1"/>
    <col min="13494" max="13494" width="9" style="1" bestFit="1" customWidth="1"/>
    <col min="13495" max="13504" width="9.28515625" style="1" bestFit="1" customWidth="1"/>
    <col min="13505" max="13505" width="10.28515625" style="1" bestFit="1" customWidth="1"/>
    <col min="13506" max="13506" width="11.28515625" style="1" bestFit="1" customWidth="1"/>
    <col min="13507" max="13507" width="11.7109375" style="1" customWidth="1"/>
    <col min="13508" max="13508" width="9.140625" style="1"/>
    <col min="13509" max="13509" width="22.28515625" style="1" customWidth="1"/>
    <col min="13510" max="13510" width="9.140625" style="1"/>
    <col min="13511" max="13511" width="9.28515625" style="1" bestFit="1" customWidth="1"/>
    <col min="13512" max="13512" width="9.42578125" style="1" bestFit="1" customWidth="1"/>
    <col min="13513" max="13513" width="9.28515625" style="1" bestFit="1" customWidth="1"/>
    <col min="13514" max="13514" width="10.28515625" style="1" bestFit="1" customWidth="1"/>
    <col min="13515" max="13516" width="9.28515625" style="1" bestFit="1" customWidth="1"/>
    <col min="13517" max="13518" width="10.28515625" style="1" bestFit="1" customWidth="1"/>
    <col min="13519" max="13523" width="9.28515625" style="1" bestFit="1" customWidth="1"/>
    <col min="13524" max="13524" width="10.42578125" style="1" bestFit="1" customWidth="1"/>
    <col min="13525" max="13525" width="9.140625" style="1"/>
    <col min="13526" max="13526" width="24.85546875" style="1" customWidth="1"/>
    <col min="13527" max="13527" width="9.140625" style="1"/>
    <col min="13528" max="13540" width="9.28515625" style="1" bestFit="1" customWidth="1"/>
    <col min="13541" max="13541" width="10.28515625" style="1" bestFit="1" customWidth="1"/>
    <col min="13542" max="13542" width="9.5703125" style="1" bestFit="1" customWidth="1"/>
    <col min="13543" max="13543" width="18.5703125" style="1" customWidth="1"/>
    <col min="13544" max="13545" width="9.140625" style="1"/>
    <col min="13546" max="13548" width="12.140625" style="1" bestFit="1" customWidth="1"/>
    <col min="13549" max="13557" width="10.28515625" style="1" bestFit="1" customWidth="1"/>
    <col min="13558" max="13558" width="11.28515625" style="1" bestFit="1" customWidth="1"/>
    <col min="13559" max="13559" width="9.140625" style="1"/>
    <col min="13560" max="13560" width="19" style="1" customWidth="1"/>
    <col min="13561" max="13577" width="9.140625" style="1"/>
    <col min="13578" max="13588" width="11.28515625" style="1" bestFit="1" customWidth="1"/>
    <col min="13589" max="13589" width="10.28515625" style="1" bestFit="1" customWidth="1"/>
    <col min="13590" max="13590" width="12.85546875" style="1" bestFit="1" customWidth="1"/>
    <col min="13591" max="13713" width="9.140625" style="1"/>
    <col min="13714" max="13714" width="11" style="1" bestFit="1" customWidth="1"/>
    <col min="13715" max="13715" width="28.140625" style="1" bestFit="1" customWidth="1"/>
    <col min="13716" max="13716" width="14" style="1" bestFit="1" customWidth="1"/>
    <col min="13717" max="13717" width="9.140625" style="1"/>
    <col min="13718" max="13718" width="13.85546875" style="1" bestFit="1" customWidth="1"/>
    <col min="13719" max="13719" width="9.140625" style="1"/>
    <col min="13720" max="13720" width="14" style="1" customWidth="1"/>
    <col min="13721" max="13721" width="9.140625" style="1"/>
    <col min="13722" max="13722" width="12.85546875" style="1" bestFit="1" customWidth="1"/>
    <col min="13723" max="13723" width="10" style="1" customWidth="1"/>
    <col min="13724" max="13724" width="14" style="1" bestFit="1" customWidth="1"/>
    <col min="13725" max="13725" width="9.85546875" style="1" bestFit="1" customWidth="1"/>
    <col min="13726" max="13726" width="13.5703125" style="1" bestFit="1" customWidth="1"/>
    <col min="13727" max="13727" width="9.85546875" style="1" bestFit="1" customWidth="1"/>
    <col min="13728" max="13728" width="12.85546875" style="1" bestFit="1" customWidth="1"/>
    <col min="13729" max="13740" width="10.5703125" style="1" customWidth="1"/>
    <col min="13741" max="13741" width="11.140625" style="1" bestFit="1" customWidth="1"/>
    <col min="13742" max="13742" width="2.7109375" style="1" customWidth="1"/>
    <col min="13743" max="13743" width="9.85546875" style="1" bestFit="1" customWidth="1"/>
    <col min="13744" max="13745" width="9.140625" style="1"/>
    <col min="13746" max="13746" width="24" style="1" customWidth="1"/>
    <col min="13747" max="13749" width="9.140625" style="1"/>
    <col min="13750" max="13750" width="9" style="1" bestFit="1" customWidth="1"/>
    <col min="13751" max="13760" width="9.28515625" style="1" bestFit="1" customWidth="1"/>
    <col min="13761" max="13761" width="10.28515625" style="1" bestFit="1" customWidth="1"/>
    <col min="13762" max="13762" width="11.28515625" style="1" bestFit="1" customWidth="1"/>
    <col min="13763" max="13763" width="11.7109375" style="1" customWidth="1"/>
    <col min="13764" max="13764" width="9.140625" style="1"/>
    <col min="13765" max="13765" width="22.28515625" style="1" customWidth="1"/>
    <col min="13766" max="13766" width="9.140625" style="1"/>
    <col min="13767" max="13767" width="9.28515625" style="1" bestFit="1" customWidth="1"/>
    <col min="13768" max="13768" width="9.42578125" style="1" bestFit="1" customWidth="1"/>
    <col min="13769" max="13769" width="9.28515625" style="1" bestFit="1" customWidth="1"/>
    <col min="13770" max="13770" width="10.28515625" style="1" bestFit="1" customWidth="1"/>
    <col min="13771" max="13772" width="9.28515625" style="1" bestFit="1" customWidth="1"/>
    <col min="13773" max="13774" width="10.28515625" style="1" bestFit="1" customWidth="1"/>
    <col min="13775" max="13779" width="9.28515625" style="1" bestFit="1" customWidth="1"/>
    <col min="13780" max="13780" width="10.42578125" style="1" bestFit="1" customWidth="1"/>
    <col min="13781" max="13781" width="9.140625" style="1"/>
    <col min="13782" max="13782" width="24.85546875" style="1" customWidth="1"/>
    <col min="13783" max="13783" width="9.140625" style="1"/>
    <col min="13784" max="13796" width="9.28515625" style="1" bestFit="1" customWidth="1"/>
    <col min="13797" max="13797" width="10.28515625" style="1" bestFit="1" customWidth="1"/>
    <col min="13798" max="13798" width="9.5703125" style="1" bestFit="1" customWidth="1"/>
    <col min="13799" max="13799" width="18.5703125" style="1" customWidth="1"/>
    <col min="13800" max="13801" width="9.140625" style="1"/>
    <col min="13802" max="13804" width="12.140625" style="1" bestFit="1" customWidth="1"/>
    <col min="13805" max="13813" width="10.28515625" style="1" bestFit="1" customWidth="1"/>
    <col min="13814" max="13814" width="11.28515625" style="1" bestFit="1" customWidth="1"/>
    <col min="13815" max="13815" width="9.140625" style="1"/>
    <col min="13816" max="13816" width="19" style="1" customWidth="1"/>
    <col min="13817" max="13833" width="9.140625" style="1"/>
    <col min="13834" max="13844" width="11.28515625" style="1" bestFit="1" customWidth="1"/>
    <col min="13845" max="13845" width="10.28515625" style="1" bestFit="1" customWidth="1"/>
    <col min="13846" max="13846" width="12.85546875" style="1" bestFit="1" customWidth="1"/>
    <col min="13847" max="13969" width="9.140625" style="1"/>
    <col min="13970" max="13970" width="11" style="1" bestFit="1" customWidth="1"/>
    <col min="13971" max="13971" width="28.140625" style="1" bestFit="1" customWidth="1"/>
    <col min="13972" max="13972" width="14" style="1" bestFit="1" customWidth="1"/>
    <col min="13973" max="13973" width="9.140625" style="1"/>
    <col min="13974" max="13974" width="13.85546875" style="1" bestFit="1" customWidth="1"/>
    <col min="13975" max="13975" width="9.140625" style="1"/>
    <col min="13976" max="13976" width="14" style="1" customWidth="1"/>
    <col min="13977" max="13977" width="9.140625" style="1"/>
    <col min="13978" max="13978" width="12.85546875" style="1" bestFit="1" customWidth="1"/>
    <col min="13979" max="13979" width="10" style="1" customWidth="1"/>
    <col min="13980" max="13980" width="14" style="1" bestFit="1" customWidth="1"/>
    <col min="13981" max="13981" width="9.85546875" style="1" bestFit="1" customWidth="1"/>
    <col min="13982" max="13982" width="13.5703125" style="1" bestFit="1" customWidth="1"/>
    <col min="13983" max="13983" width="9.85546875" style="1" bestFit="1" customWidth="1"/>
    <col min="13984" max="13984" width="12.85546875" style="1" bestFit="1" customWidth="1"/>
    <col min="13985" max="13996" width="10.5703125" style="1" customWidth="1"/>
    <col min="13997" max="13997" width="11.140625" style="1" bestFit="1" customWidth="1"/>
    <col min="13998" max="13998" width="2.7109375" style="1" customWidth="1"/>
    <col min="13999" max="13999" width="9.85546875" style="1" bestFit="1" customWidth="1"/>
    <col min="14000" max="14001" width="9.140625" style="1"/>
    <col min="14002" max="14002" width="24" style="1" customWidth="1"/>
    <col min="14003" max="14005" width="9.140625" style="1"/>
    <col min="14006" max="14006" width="9" style="1" bestFit="1" customWidth="1"/>
    <col min="14007" max="14016" width="9.28515625" style="1" bestFit="1" customWidth="1"/>
    <col min="14017" max="14017" width="10.28515625" style="1" bestFit="1" customWidth="1"/>
    <col min="14018" max="14018" width="11.28515625" style="1" bestFit="1" customWidth="1"/>
    <col min="14019" max="14019" width="11.7109375" style="1" customWidth="1"/>
    <col min="14020" max="14020" width="9.140625" style="1"/>
    <col min="14021" max="14021" width="22.28515625" style="1" customWidth="1"/>
    <col min="14022" max="14022" width="9.140625" style="1"/>
    <col min="14023" max="14023" width="9.28515625" style="1" bestFit="1" customWidth="1"/>
    <col min="14024" max="14024" width="9.42578125" style="1" bestFit="1" customWidth="1"/>
    <col min="14025" max="14025" width="9.28515625" style="1" bestFit="1" customWidth="1"/>
    <col min="14026" max="14026" width="10.28515625" style="1" bestFit="1" customWidth="1"/>
    <col min="14027" max="14028" width="9.28515625" style="1" bestFit="1" customWidth="1"/>
    <col min="14029" max="14030" width="10.28515625" style="1" bestFit="1" customWidth="1"/>
    <col min="14031" max="14035" width="9.28515625" style="1" bestFit="1" customWidth="1"/>
    <col min="14036" max="14036" width="10.42578125" style="1" bestFit="1" customWidth="1"/>
    <col min="14037" max="14037" width="9.140625" style="1"/>
    <col min="14038" max="14038" width="24.85546875" style="1" customWidth="1"/>
    <col min="14039" max="14039" width="9.140625" style="1"/>
    <col min="14040" max="14052" width="9.28515625" style="1" bestFit="1" customWidth="1"/>
    <col min="14053" max="14053" width="10.28515625" style="1" bestFit="1" customWidth="1"/>
    <col min="14054" max="14054" width="9.5703125" style="1" bestFit="1" customWidth="1"/>
    <col min="14055" max="14055" width="18.5703125" style="1" customWidth="1"/>
    <col min="14056" max="14057" width="9.140625" style="1"/>
    <col min="14058" max="14060" width="12.140625" style="1" bestFit="1" customWidth="1"/>
    <col min="14061" max="14069" width="10.28515625" style="1" bestFit="1" customWidth="1"/>
    <col min="14070" max="14070" width="11.28515625" style="1" bestFit="1" customWidth="1"/>
    <col min="14071" max="14071" width="9.140625" style="1"/>
    <col min="14072" max="14072" width="19" style="1" customWidth="1"/>
    <col min="14073" max="14089" width="9.140625" style="1"/>
    <col min="14090" max="14100" width="11.28515625" style="1" bestFit="1" customWidth="1"/>
    <col min="14101" max="14101" width="10.28515625" style="1" bestFit="1" customWidth="1"/>
    <col min="14102" max="14102" width="12.85546875" style="1" bestFit="1" customWidth="1"/>
    <col min="14103" max="14225" width="9.140625" style="1"/>
    <col min="14226" max="14226" width="11" style="1" bestFit="1" customWidth="1"/>
    <col min="14227" max="14227" width="28.140625" style="1" bestFit="1" customWidth="1"/>
    <col min="14228" max="14228" width="14" style="1" bestFit="1" customWidth="1"/>
    <col min="14229" max="14229" width="9.140625" style="1"/>
    <col min="14230" max="14230" width="13.85546875" style="1" bestFit="1" customWidth="1"/>
    <col min="14231" max="14231" width="9.140625" style="1"/>
    <col min="14232" max="14232" width="14" style="1" customWidth="1"/>
    <col min="14233" max="14233" width="9.140625" style="1"/>
    <col min="14234" max="14234" width="12.85546875" style="1" bestFit="1" customWidth="1"/>
    <col min="14235" max="14235" width="10" style="1" customWidth="1"/>
    <col min="14236" max="14236" width="14" style="1" bestFit="1" customWidth="1"/>
    <col min="14237" max="14237" width="9.85546875" style="1" bestFit="1" customWidth="1"/>
    <col min="14238" max="14238" width="13.5703125" style="1" bestFit="1" customWidth="1"/>
    <col min="14239" max="14239" width="9.85546875" style="1" bestFit="1" customWidth="1"/>
    <col min="14240" max="14240" width="12.85546875" style="1" bestFit="1" customWidth="1"/>
    <col min="14241" max="14252" width="10.5703125" style="1" customWidth="1"/>
    <col min="14253" max="14253" width="11.140625" style="1" bestFit="1" customWidth="1"/>
    <col min="14254" max="14254" width="2.7109375" style="1" customWidth="1"/>
    <col min="14255" max="14255" width="9.85546875" style="1" bestFit="1" customWidth="1"/>
    <col min="14256" max="14257" width="9.140625" style="1"/>
    <col min="14258" max="14258" width="24" style="1" customWidth="1"/>
    <col min="14259" max="14261" width="9.140625" style="1"/>
    <col min="14262" max="14262" width="9" style="1" bestFit="1" customWidth="1"/>
    <col min="14263" max="14272" width="9.28515625" style="1" bestFit="1" customWidth="1"/>
    <col min="14273" max="14273" width="10.28515625" style="1" bestFit="1" customWidth="1"/>
    <col min="14274" max="14274" width="11.28515625" style="1" bestFit="1" customWidth="1"/>
    <col min="14275" max="14275" width="11.7109375" style="1" customWidth="1"/>
    <col min="14276" max="14276" width="9.140625" style="1"/>
    <col min="14277" max="14277" width="22.28515625" style="1" customWidth="1"/>
    <col min="14278" max="14278" width="9.140625" style="1"/>
    <col min="14279" max="14279" width="9.28515625" style="1" bestFit="1" customWidth="1"/>
    <col min="14280" max="14280" width="9.42578125" style="1" bestFit="1" customWidth="1"/>
    <col min="14281" max="14281" width="9.28515625" style="1" bestFit="1" customWidth="1"/>
    <col min="14282" max="14282" width="10.28515625" style="1" bestFit="1" customWidth="1"/>
    <col min="14283" max="14284" width="9.28515625" style="1" bestFit="1" customWidth="1"/>
    <col min="14285" max="14286" width="10.28515625" style="1" bestFit="1" customWidth="1"/>
    <col min="14287" max="14291" width="9.28515625" style="1" bestFit="1" customWidth="1"/>
    <col min="14292" max="14292" width="10.42578125" style="1" bestFit="1" customWidth="1"/>
    <col min="14293" max="14293" width="9.140625" style="1"/>
    <col min="14294" max="14294" width="24.85546875" style="1" customWidth="1"/>
    <col min="14295" max="14295" width="9.140625" style="1"/>
    <col min="14296" max="14308" width="9.28515625" style="1" bestFit="1" customWidth="1"/>
    <col min="14309" max="14309" width="10.28515625" style="1" bestFit="1" customWidth="1"/>
    <col min="14310" max="14310" width="9.5703125" style="1" bestFit="1" customWidth="1"/>
    <col min="14311" max="14311" width="18.5703125" style="1" customWidth="1"/>
    <col min="14312" max="14313" width="9.140625" style="1"/>
    <col min="14314" max="14316" width="12.140625" style="1" bestFit="1" customWidth="1"/>
    <col min="14317" max="14325" width="10.28515625" style="1" bestFit="1" customWidth="1"/>
    <col min="14326" max="14326" width="11.28515625" style="1" bestFit="1" customWidth="1"/>
    <col min="14327" max="14327" width="9.140625" style="1"/>
    <col min="14328" max="14328" width="19" style="1" customWidth="1"/>
    <col min="14329" max="14345" width="9.140625" style="1"/>
    <col min="14346" max="14356" width="11.28515625" style="1" bestFit="1" customWidth="1"/>
    <col min="14357" max="14357" width="10.28515625" style="1" bestFit="1" customWidth="1"/>
    <col min="14358" max="14358" width="12.85546875" style="1" bestFit="1" customWidth="1"/>
    <col min="14359" max="14481" width="9.140625" style="1"/>
    <col min="14482" max="14482" width="11" style="1" bestFit="1" customWidth="1"/>
    <col min="14483" max="14483" width="28.140625" style="1" bestFit="1" customWidth="1"/>
    <col min="14484" max="14484" width="14" style="1" bestFit="1" customWidth="1"/>
    <col min="14485" max="14485" width="9.140625" style="1"/>
    <col min="14486" max="14486" width="13.85546875" style="1" bestFit="1" customWidth="1"/>
    <col min="14487" max="14487" width="9.140625" style="1"/>
    <col min="14488" max="14488" width="14" style="1" customWidth="1"/>
    <col min="14489" max="14489" width="9.140625" style="1"/>
    <col min="14490" max="14490" width="12.85546875" style="1" bestFit="1" customWidth="1"/>
    <col min="14491" max="14491" width="10" style="1" customWidth="1"/>
    <col min="14492" max="14492" width="14" style="1" bestFit="1" customWidth="1"/>
    <col min="14493" max="14493" width="9.85546875" style="1" bestFit="1" customWidth="1"/>
    <col min="14494" max="14494" width="13.5703125" style="1" bestFit="1" customWidth="1"/>
    <col min="14495" max="14495" width="9.85546875" style="1" bestFit="1" customWidth="1"/>
    <col min="14496" max="14496" width="12.85546875" style="1" bestFit="1" customWidth="1"/>
    <col min="14497" max="14508" width="10.5703125" style="1" customWidth="1"/>
    <col min="14509" max="14509" width="11.140625" style="1" bestFit="1" customWidth="1"/>
    <col min="14510" max="14510" width="2.7109375" style="1" customWidth="1"/>
    <col min="14511" max="14511" width="9.85546875" style="1" bestFit="1" customWidth="1"/>
    <col min="14512" max="14513" width="9.140625" style="1"/>
    <col min="14514" max="14514" width="24" style="1" customWidth="1"/>
    <col min="14515" max="14517" width="9.140625" style="1"/>
    <col min="14518" max="14518" width="9" style="1" bestFit="1" customWidth="1"/>
    <col min="14519" max="14528" width="9.28515625" style="1" bestFit="1" customWidth="1"/>
    <col min="14529" max="14529" width="10.28515625" style="1" bestFit="1" customWidth="1"/>
    <col min="14530" max="14530" width="11.28515625" style="1" bestFit="1" customWidth="1"/>
    <col min="14531" max="14531" width="11.7109375" style="1" customWidth="1"/>
    <col min="14532" max="14532" width="9.140625" style="1"/>
    <col min="14533" max="14533" width="22.28515625" style="1" customWidth="1"/>
    <col min="14534" max="14534" width="9.140625" style="1"/>
    <col min="14535" max="14535" width="9.28515625" style="1" bestFit="1" customWidth="1"/>
    <col min="14536" max="14536" width="9.42578125" style="1" bestFit="1" customWidth="1"/>
    <col min="14537" max="14537" width="9.28515625" style="1" bestFit="1" customWidth="1"/>
    <col min="14538" max="14538" width="10.28515625" style="1" bestFit="1" customWidth="1"/>
    <col min="14539" max="14540" width="9.28515625" style="1" bestFit="1" customWidth="1"/>
    <col min="14541" max="14542" width="10.28515625" style="1" bestFit="1" customWidth="1"/>
    <col min="14543" max="14547" width="9.28515625" style="1" bestFit="1" customWidth="1"/>
    <col min="14548" max="14548" width="10.42578125" style="1" bestFit="1" customWidth="1"/>
    <col min="14549" max="14549" width="9.140625" style="1"/>
    <col min="14550" max="14550" width="24.85546875" style="1" customWidth="1"/>
    <col min="14551" max="14551" width="9.140625" style="1"/>
    <col min="14552" max="14564" width="9.28515625" style="1" bestFit="1" customWidth="1"/>
    <col min="14565" max="14565" width="10.28515625" style="1" bestFit="1" customWidth="1"/>
    <col min="14566" max="14566" width="9.5703125" style="1" bestFit="1" customWidth="1"/>
    <col min="14567" max="14567" width="18.5703125" style="1" customWidth="1"/>
    <col min="14568" max="14569" width="9.140625" style="1"/>
    <col min="14570" max="14572" width="12.140625" style="1" bestFit="1" customWidth="1"/>
    <col min="14573" max="14581" width="10.28515625" style="1" bestFit="1" customWidth="1"/>
    <col min="14582" max="14582" width="11.28515625" style="1" bestFit="1" customWidth="1"/>
    <col min="14583" max="14583" width="9.140625" style="1"/>
    <col min="14584" max="14584" width="19" style="1" customWidth="1"/>
    <col min="14585" max="14601" width="9.140625" style="1"/>
    <col min="14602" max="14612" width="11.28515625" style="1" bestFit="1" customWidth="1"/>
    <col min="14613" max="14613" width="10.28515625" style="1" bestFit="1" customWidth="1"/>
    <col min="14614" max="14614" width="12.85546875" style="1" bestFit="1" customWidth="1"/>
    <col min="14615" max="14737" width="9.140625" style="1"/>
    <col min="14738" max="14738" width="11" style="1" bestFit="1" customWidth="1"/>
    <col min="14739" max="14739" width="28.140625" style="1" bestFit="1" customWidth="1"/>
    <col min="14740" max="14740" width="14" style="1" bestFit="1" customWidth="1"/>
    <col min="14741" max="14741" width="9.140625" style="1"/>
    <col min="14742" max="14742" width="13.85546875" style="1" bestFit="1" customWidth="1"/>
    <col min="14743" max="14743" width="9.140625" style="1"/>
    <col min="14744" max="14744" width="14" style="1" customWidth="1"/>
    <col min="14745" max="14745" width="9.140625" style="1"/>
    <col min="14746" max="14746" width="12.85546875" style="1" bestFit="1" customWidth="1"/>
    <col min="14747" max="14747" width="10" style="1" customWidth="1"/>
    <col min="14748" max="14748" width="14" style="1" bestFit="1" customWidth="1"/>
    <col min="14749" max="14749" width="9.85546875" style="1" bestFit="1" customWidth="1"/>
    <col min="14750" max="14750" width="13.5703125" style="1" bestFit="1" customWidth="1"/>
    <col min="14751" max="14751" width="9.85546875" style="1" bestFit="1" customWidth="1"/>
    <col min="14752" max="14752" width="12.85546875" style="1" bestFit="1" customWidth="1"/>
    <col min="14753" max="14764" width="10.5703125" style="1" customWidth="1"/>
    <col min="14765" max="14765" width="11.140625" style="1" bestFit="1" customWidth="1"/>
    <col min="14766" max="14766" width="2.7109375" style="1" customWidth="1"/>
    <col min="14767" max="14767" width="9.85546875" style="1" bestFit="1" customWidth="1"/>
    <col min="14768" max="14769" width="9.140625" style="1"/>
    <col min="14770" max="14770" width="24" style="1" customWidth="1"/>
    <col min="14771" max="14773" width="9.140625" style="1"/>
    <col min="14774" max="14774" width="9" style="1" bestFit="1" customWidth="1"/>
    <col min="14775" max="14784" width="9.28515625" style="1" bestFit="1" customWidth="1"/>
    <col min="14785" max="14785" width="10.28515625" style="1" bestFit="1" customWidth="1"/>
    <col min="14786" max="14786" width="11.28515625" style="1" bestFit="1" customWidth="1"/>
    <col min="14787" max="14787" width="11.7109375" style="1" customWidth="1"/>
    <col min="14788" max="14788" width="9.140625" style="1"/>
    <col min="14789" max="14789" width="22.28515625" style="1" customWidth="1"/>
    <col min="14790" max="14790" width="9.140625" style="1"/>
    <col min="14791" max="14791" width="9.28515625" style="1" bestFit="1" customWidth="1"/>
    <col min="14792" max="14792" width="9.42578125" style="1" bestFit="1" customWidth="1"/>
    <col min="14793" max="14793" width="9.28515625" style="1" bestFit="1" customWidth="1"/>
    <col min="14794" max="14794" width="10.28515625" style="1" bestFit="1" customWidth="1"/>
    <col min="14795" max="14796" width="9.28515625" style="1" bestFit="1" customWidth="1"/>
    <col min="14797" max="14798" width="10.28515625" style="1" bestFit="1" customWidth="1"/>
    <col min="14799" max="14803" width="9.28515625" style="1" bestFit="1" customWidth="1"/>
    <col min="14804" max="14804" width="10.42578125" style="1" bestFit="1" customWidth="1"/>
    <col min="14805" max="14805" width="9.140625" style="1"/>
    <col min="14806" max="14806" width="24.85546875" style="1" customWidth="1"/>
    <col min="14807" max="14807" width="9.140625" style="1"/>
    <col min="14808" max="14820" width="9.28515625" style="1" bestFit="1" customWidth="1"/>
    <col min="14821" max="14821" width="10.28515625" style="1" bestFit="1" customWidth="1"/>
    <col min="14822" max="14822" width="9.5703125" style="1" bestFit="1" customWidth="1"/>
    <col min="14823" max="14823" width="18.5703125" style="1" customWidth="1"/>
    <col min="14824" max="14825" width="9.140625" style="1"/>
    <col min="14826" max="14828" width="12.140625" style="1" bestFit="1" customWidth="1"/>
    <col min="14829" max="14837" width="10.28515625" style="1" bestFit="1" customWidth="1"/>
    <col min="14838" max="14838" width="11.28515625" style="1" bestFit="1" customWidth="1"/>
    <col min="14839" max="14839" width="9.140625" style="1"/>
    <col min="14840" max="14840" width="19" style="1" customWidth="1"/>
    <col min="14841" max="14857" width="9.140625" style="1"/>
    <col min="14858" max="14868" width="11.28515625" style="1" bestFit="1" customWidth="1"/>
    <col min="14869" max="14869" width="10.28515625" style="1" bestFit="1" customWidth="1"/>
    <col min="14870" max="14870" width="12.85546875" style="1" bestFit="1" customWidth="1"/>
    <col min="14871" max="14993" width="9.140625" style="1"/>
    <col min="14994" max="14994" width="11" style="1" bestFit="1" customWidth="1"/>
    <col min="14995" max="14995" width="28.140625" style="1" bestFit="1" customWidth="1"/>
    <col min="14996" max="14996" width="14" style="1" bestFit="1" customWidth="1"/>
    <col min="14997" max="14997" width="9.140625" style="1"/>
    <col min="14998" max="14998" width="13.85546875" style="1" bestFit="1" customWidth="1"/>
    <col min="14999" max="14999" width="9.140625" style="1"/>
    <col min="15000" max="15000" width="14" style="1" customWidth="1"/>
    <col min="15001" max="15001" width="9.140625" style="1"/>
    <col min="15002" max="15002" width="12.85546875" style="1" bestFit="1" customWidth="1"/>
    <col min="15003" max="15003" width="10" style="1" customWidth="1"/>
    <col min="15004" max="15004" width="14" style="1" bestFit="1" customWidth="1"/>
    <col min="15005" max="15005" width="9.85546875" style="1" bestFit="1" customWidth="1"/>
    <col min="15006" max="15006" width="13.5703125" style="1" bestFit="1" customWidth="1"/>
    <col min="15007" max="15007" width="9.85546875" style="1" bestFit="1" customWidth="1"/>
    <col min="15008" max="15008" width="12.85546875" style="1" bestFit="1" customWidth="1"/>
    <col min="15009" max="15020" width="10.5703125" style="1" customWidth="1"/>
    <col min="15021" max="15021" width="11.140625" style="1" bestFit="1" customWidth="1"/>
    <col min="15022" max="15022" width="2.7109375" style="1" customWidth="1"/>
    <col min="15023" max="15023" width="9.85546875" style="1" bestFit="1" customWidth="1"/>
    <col min="15024" max="15025" width="9.140625" style="1"/>
    <col min="15026" max="15026" width="24" style="1" customWidth="1"/>
    <col min="15027" max="15029" width="9.140625" style="1"/>
    <col min="15030" max="15030" width="9" style="1" bestFit="1" customWidth="1"/>
    <col min="15031" max="15040" width="9.28515625" style="1" bestFit="1" customWidth="1"/>
    <col min="15041" max="15041" width="10.28515625" style="1" bestFit="1" customWidth="1"/>
    <col min="15042" max="15042" width="11.28515625" style="1" bestFit="1" customWidth="1"/>
    <col min="15043" max="15043" width="11.7109375" style="1" customWidth="1"/>
    <col min="15044" max="15044" width="9.140625" style="1"/>
    <col min="15045" max="15045" width="22.28515625" style="1" customWidth="1"/>
    <col min="15046" max="15046" width="9.140625" style="1"/>
    <col min="15047" max="15047" width="9.28515625" style="1" bestFit="1" customWidth="1"/>
    <col min="15048" max="15048" width="9.42578125" style="1" bestFit="1" customWidth="1"/>
    <col min="15049" max="15049" width="9.28515625" style="1" bestFit="1" customWidth="1"/>
    <col min="15050" max="15050" width="10.28515625" style="1" bestFit="1" customWidth="1"/>
    <col min="15051" max="15052" width="9.28515625" style="1" bestFit="1" customWidth="1"/>
    <col min="15053" max="15054" width="10.28515625" style="1" bestFit="1" customWidth="1"/>
    <col min="15055" max="15059" width="9.28515625" style="1" bestFit="1" customWidth="1"/>
    <col min="15060" max="15060" width="10.42578125" style="1" bestFit="1" customWidth="1"/>
    <col min="15061" max="15061" width="9.140625" style="1"/>
    <col min="15062" max="15062" width="24.85546875" style="1" customWidth="1"/>
    <col min="15063" max="15063" width="9.140625" style="1"/>
    <col min="15064" max="15076" width="9.28515625" style="1" bestFit="1" customWidth="1"/>
    <col min="15077" max="15077" width="10.28515625" style="1" bestFit="1" customWidth="1"/>
    <col min="15078" max="15078" width="9.5703125" style="1" bestFit="1" customWidth="1"/>
    <col min="15079" max="15079" width="18.5703125" style="1" customWidth="1"/>
    <col min="15080" max="15081" width="9.140625" style="1"/>
    <col min="15082" max="15084" width="12.140625" style="1" bestFit="1" customWidth="1"/>
    <col min="15085" max="15093" width="10.28515625" style="1" bestFit="1" customWidth="1"/>
    <col min="15094" max="15094" width="11.28515625" style="1" bestFit="1" customWidth="1"/>
    <col min="15095" max="15095" width="9.140625" style="1"/>
    <col min="15096" max="15096" width="19" style="1" customWidth="1"/>
    <col min="15097" max="15113" width="9.140625" style="1"/>
    <col min="15114" max="15124" width="11.28515625" style="1" bestFit="1" customWidth="1"/>
    <col min="15125" max="15125" width="10.28515625" style="1" bestFit="1" customWidth="1"/>
    <col min="15126" max="15126" width="12.85546875" style="1" bestFit="1" customWidth="1"/>
    <col min="15127" max="15249" width="9.140625" style="1"/>
    <col min="15250" max="15250" width="11" style="1" bestFit="1" customWidth="1"/>
    <col min="15251" max="15251" width="28.140625" style="1" bestFit="1" customWidth="1"/>
    <col min="15252" max="15252" width="14" style="1" bestFit="1" customWidth="1"/>
    <col min="15253" max="15253" width="9.140625" style="1"/>
    <col min="15254" max="15254" width="13.85546875" style="1" bestFit="1" customWidth="1"/>
    <col min="15255" max="15255" width="9.140625" style="1"/>
    <col min="15256" max="15256" width="14" style="1" customWidth="1"/>
    <col min="15257" max="15257" width="9.140625" style="1"/>
    <col min="15258" max="15258" width="12.85546875" style="1" bestFit="1" customWidth="1"/>
    <col min="15259" max="15259" width="10" style="1" customWidth="1"/>
    <col min="15260" max="15260" width="14" style="1" bestFit="1" customWidth="1"/>
    <col min="15261" max="15261" width="9.85546875" style="1" bestFit="1" customWidth="1"/>
    <col min="15262" max="15262" width="13.5703125" style="1" bestFit="1" customWidth="1"/>
    <col min="15263" max="15263" width="9.85546875" style="1" bestFit="1" customWidth="1"/>
    <col min="15264" max="15264" width="12.85546875" style="1" bestFit="1" customWidth="1"/>
    <col min="15265" max="15276" width="10.5703125" style="1" customWidth="1"/>
    <col min="15277" max="15277" width="11.140625" style="1" bestFit="1" customWidth="1"/>
    <col min="15278" max="15278" width="2.7109375" style="1" customWidth="1"/>
    <col min="15279" max="15279" width="9.85546875" style="1" bestFit="1" customWidth="1"/>
    <col min="15280" max="15281" width="9.140625" style="1"/>
    <col min="15282" max="15282" width="24" style="1" customWidth="1"/>
    <col min="15283" max="15285" width="9.140625" style="1"/>
    <col min="15286" max="15286" width="9" style="1" bestFit="1" customWidth="1"/>
    <col min="15287" max="15296" width="9.28515625" style="1" bestFit="1" customWidth="1"/>
    <col min="15297" max="15297" width="10.28515625" style="1" bestFit="1" customWidth="1"/>
    <col min="15298" max="15298" width="11.28515625" style="1" bestFit="1" customWidth="1"/>
    <col min="15299" max="15299" width="11.7109375" style="1" customWidth="1"/>
    <col min="15300" max="15300" width="9.140625" style="1"/>
    <col min="15301" max="15301" width="22.28515625" style="1" customWidth="1"/>
    <col min="15302" max="15302" width="9.140625" style="1"/>
    <col min="15303" max="15303" width="9.28515625" style="1" bestFit="1" customWidth="1"/>
    <col min="15304" max="15304" width="9.42578125" style="1" bestFit="1" customWidth="1"/>
    <col min="15305" max="15305" width="9.28515625" style="1" bestFit="1" customWidth="1"/>
    <col min="15306" max="15306" width="10.28515625" style="1" bestFit="1" customWidth="1"/>
    <col min="15307" max="15308" width="9.28515625" style="1" bestFit="1" customWidth="1"/>
    <col min="15309" max="15310" width="10.28515625" style="1" bestFit="1" customWidth="1"/>
    <col min="15311" max="15315" width="9.28515625" style="1" bestFit="1" customWidth="1"/>
    <col min="15316" max="15316" width="10.42578125" style="1" bestFit="1" customWidth="1"/>
    <col min="15317" max="15317" width="9.140625" style="1"/>
    <col min="15318" max="15318" width="24.85546875" style="1" customWidth="1"/>
    <col min="15319" max="15319" width="9.140625" style="1"/>
    <col min="15320" max="15332" width="9.28515625" style="1" bestFit="1" customWidth="1"/>
    <col min="15333" max="15333" width="10.28515625" style="1" bestFit="1" customWidth="1"/>
    <col min="15334" max="15334" width="9.5703125" style="1" bestFit="1" customWidth="1"/>
    <col min="15335" max="15335" width="18.5703125" style="1" customWidth="1"/>
    <col min="15336" max="15337" width="9.140625" style="1"/>
    <col min="15338" max="15340" width="12.140625" style="1" bestFit="1" customWidth="1"/>
    <col min="15341" max="15349" width="10.28515625" style="1" bestFit="1" customWidth="1"/>
    <col min="15350" max="15350" width="11.28515625" style="1" bestFit="1" customWidth="1"/>
    <col min="15351" max="15351" width="9.140625" style="1"/>
    <col min="15352" max="15352" width="19" style="1" customWidth="1"/>
    <col min="15353" max="15369" width="9.140625" style="1"/>
    <col min="15370" max="15380" width="11.28515625" style="1" bestFit="1" customWidth="1"/>
    <col min="15381" max="15381" width="10.28515625" style="1" bestFit="1" customWidth="1"/>
    <col min="15382" max="15382" width="12.85546875" style="1" bestFit="1" customWidth="1"/>
    <col min="15383" max="15505" width="9.140625" style="1"/>
    <col min="15506" max="15506" width="11" style="1" bestFit="1" customWidth="1"/>
    <col min="15507" max="15507" width="28.140625" style="1" bestFit="1" customWidth="1"/>
    <col min="15508" max="15508" width="14" style="1" bestFit="1" customWidth="1"/>
    <col min="15509" max="15509" width="9.140625" style="1"/>
    <col min="15510" max="15510" width="13.85546875" style="1" bestFit="1" customWidth="1"/>
    <col min="15511" max="15511" width="9.140625" style="1"/>
    <col min="15512" max="15512" width="14" style="1" customWidth="1"/>
    <col min="15513" max="15513" width="9.140625" style="1"/>
    <col min="15514" max="15514" width="12.85546875" style="1" bestFit="1" customWidth="1"/>
    <col min="15515" max="15515" width="10" style="1" customWidth="1"/>
    <col min="15516" max="15516" width="14" style="1" bestFit="1" customWidth="1"/>
    <col min="15517" max="15517" width="9.85546875" style="1" bestFit="1" customWidth="1"/>
    <col min="15518" max="15518" width="13.5703125" style="1" bestFit="1" customWidth="1"/>
    <col min="15519" max="15519" width="9.85546875" style="1" bestFit="1" customWidth="1"/>
    <col min="15520" max="15520" width="12.85546875" style="1" bestFit="1" customWidth="1"/>
    <col min="15521" max="15532" width="10.5703125" style="1" customWidth="1"/>
    <col min="15533" max="15533" width="11.140625" style="1" bestFit="1" customWidth="1"/>
    <col min="15534" max="15534" width="2.7109375" style="1" customWidth="1"/>
    <col min="15535" max="15535" width="9.85546875" style="1" bestFit="1" customWidth="1"/>
    <col min="15536" max="15537" width="9.140625" style="1"/>
    <col min="15538" max="15538" width="24" style="1" customWidth="1"/>
    <col min="15539" max="15541" width="9.140625" style="1"/>
    <col min="15542" max="15542" width="9" style="1" bestFit="1" customWidth="1"/>
    <col min="15543" max="15552" width="9.28515625" style="1" bestFit="1" customWidth="1"/>
    <col min="15553" max="15553" width="10.28515625" style="1" bestFit="1" customWidth="1"/>
    <col min="15554" max="15554" width="11.28515625" style="1" bestFit="1" customWidth="1"/>
    <col min="15555" max="15555" width="11.7109375" style="1" customWidth="1"/>
    <col min="15556" max="15556" width="9.140625" style="1"/>
    <col min="15557" max="15557" width="22.28515625" style="1" customWidth="1"/>
    <col min="15558" max="15558" width="9.140625" style="1"/>
    <col min="15559" max="15559" width="9.28515625" style="1" bestFit="1" customWidth="1"/>
    <col min="15560" max="15560" width="9.42578125" style="1" bestFit="1" customWidth="1"/>
    <col min="15561" max="15561" width="9.28515625" style="1" bestFit="1" customWidth="1"/>
    <col min="15562" max="15562" width="10.28515625" style="1" bestFit="1" customWidth="1"/>
    <col min="15563" max="15564" width="9.28515625" style="1" bestFit="1" customWidth="1"/>
    <col min="15565" max="15566" width="10.28515625" style="1" bestFit="1" customWidth="1"/>
    <col min="15567" max="15571" width="9.28515625" style="1" bestFit="1" customWidth="1"/>
    <col min="15572" max="15572" width="10.42578125" style="1" bestFit="1" customWidth="1"/>
    <col min="15573" max="15573" width="9.140625" style="1"/>
    <col min="15574" max="15574" width="24.85546875" style="1" customWidth="1"/>
    <col min="15575" max="15575" width="9.140625" style="1"/>
    <col min="15576" max="15588" width="9.28515625" style="1" bestFit="1" customWidth="1"/>
    <col min="15589" max="15589" width="10.28515625" style="1" bestFit="1" customWidth="1"/>
    <col min="15590" max="15590" width="9.5703125" style="1" bestFit="1" customWidth="1"/>
    <col min="15591" max="15591" width="18.5703125" style="1" customWidth="1"/>
    <col min="15592" max="15593" width="9.140625" style="1"/>
    <col min="15594" max="15596" width="12.140625" style="1" bestFit="1" customWidth="1"/>
    <col min="15597" max="15605" width="10.28515625" style="1" bestFit="1" customWidth="1"/>
    <col min="15606" max="15606" width="11.28515625" style="1" bestFit="1" customWidth="1"/>
    <col min="15607" max="15607" width="9.140625" style="1"/>
    <col min="15608" max="15608" width="19" style="1" customWidth="1"/>
    <col min="15609" max="15625" width="9.140625" style="1"/>
    <col min="15626" max="15636" width="11.28515625" style="1" bestFit="1" customWidth="1"/>
    <col min="15637" max="15637" width="10.28515625" style="1" bestFit="1" customWidth="1"/>
    <col min="15638" max="15638" width="12.85546875" style="1" bestFit="1" customWidth="1"/>
    <col min="15639" max="15761" width="9.140625" style="1"/>
    <col min="15762" max="15762" width="11" style="1" bestFit="1" customWidth="1"/>
    <col min="15763" max="15763" width="28.140625" style="1" bestFit="1" customWidth="1"/>
    <col min="15764" max="15764" width="14" style="1" bestFit="1" customWidth="1"/>
    <col min="15765" max="15765" width="9.140625" style="1"/>
    <col min="15766" max="15766" width="13.85546875" style="1" bestFit="1" customWidth="1"/>
    <col min="15767" max="15767" width="9.140625" style="1"/>
    <col min="15768" max="15768" width="14" style="1" customWidth="1"/>
    <col min="15769" max="15769" width="9.140625" style="1"/>
    <col min="15770" max="15770" width="12.85546875" style="1" bestFit="1" customWidth="1"/>
    <col min="15771" max="15771" width="10" style="1" customWidth="1"/>
    <col min="15772" max="15772" width="14" style="1" bestFit="1" customWidth="1"/>
    <col min="15773" max="15773" width="9.85546875" style="1" bestFit="1" customWidth="1"/>
    <col min="15774" max="15774" width="13.5703125" style="1" bestFit="1" customWidth="1"/>
    <col min="15775" max="15775" width="9.85546875" style="1" bestFit="1" customWidth="1"/>
    <col min="15776" max="15776" width="12.85546875" style="1" bestFit="1" customWidth="1"/>
    <col min="15777" max="15788" width="10.5703125" style="1" customWidth="1"/>
    <col min="15789" max="15789" width="11.140625" style="1" bestFit="1" customWidth="1"/>
    <col min="15790" max="15790" width="2.7109375" style="1" customWidth="1"/>
    <col min="15791" max="15791" width="9.85546875" style="1" bestFit="1" customWidth="1"/>
    <col min="15792" max="15793" width="9.140625" style="1"/>
    <col min="15794" max="15794" width="24" style="1" customWidth="1"/>
    <col min="15795" max="15797" width="9.140625" style="1"/>
    <col min="15798" max="15798" width="9" style="1" bestFit="1" customWidth="1"/>
    <col min="15799" max="15808" width="9.28515625" style="1" bestFit="1" customWidth="1"/>
    <col min="15809" max="15809" width="10.28515625" style="1" bestFit="1" customWidth="1"/>
    <col min="15810" max="15810" width="11.28515625" style="1" bestFit="1" customWidth="1"/>
    <col min="15811" max="15811" width="11.7109375" style="1" customWidth="1"/>
    <col min="15812" max="15812" width="9.140625" style="1"/>
    <col min="15813" max="15813" width="22.28515625" style="1" customWidth="1"/>
    <col min="15814" max="15814" width="9.140625" style="1"/>
    <col min="15815" max="15815" width="9.28515625" style="1" bestFit="1" customWidth="1"/>
    <col min="15816" max="15816" width="9.42578125" style="1" bestFit="1" customWidth="1"/>
    <col min="15817" max="15817" width="9.28515625" style="1" bestFit="1" customWidth="1"/>
    <col min="15818" max="15818" width="10.28515625" style="1" bestFit="1" customWidth="1"/>
    <col min="15819" max="15820" width="9.28515625" style="1" bestFit="1" customWidth="1"/>
    <col min="15821" max="15822" width="10.28515625" style="1" bestFit="1" customWidth="1"/>
    <col min="15823" max="15827" width="9.28515625" style="1" bestFit="1" customWidth="1"/>
    <col min="15828" max="15828" width="10.42578125" style="1" bestFit="1" customWidth="1"/>
    <col min="15829" max="15829" width="9.140625" style="1"/>
    <col min="15830" max="15830" width="24.85546875" style="1" customWidth="1"/>
    <col min="15831" max="15831" width="9.140625" style="1"/>
    <col min="15832" max="15844" width="9.28515625" style="1" bestFit="1" customWidth="1"/>
    <col min="15845" max="15845" width="10.28515625" style="1" bestFit="1" customWidth="1"/>
    <col min="15846" max="15846" width="9.5703125" style="1" bestFit="1" customWidth="1"/>
    <col min="15847" max="15847" width="18.5703125" style="1" customWidth="1"/>
    <col min="15848" max="15849" width="9.140625" style="1"/>
    <col min="15850" max="15852" width="12.140625" style="1" bestFit="1" customWidth="1"/>
    <col min="15853" max="15861" width="10.28515625" style="1" bestFit="1" customWidth="1"/>
    <col min="15862" max="15862" width="11.28515625" style="1" bestFit="1" customWidth="1"/>
    <col min="15863" max="15863" width="9.140625" style="1"/>
    <col min="15864" max="15864" width="19" style="1" customWidth="1"/>
    <col min="15865" max="15881" width="9.140625" style="1"/>
    <col min="15882" max="15892" width="11.28515625" style="1" bestFit="1" customWidth="1"/>
    <col min="15893" max="15893" width="10.28515625" style="1" bestFit="1" customWidth="1"/>
    <col min="15894" max="15894" width="12.85546875" style="1" bestFit="1" customWidth="1"/>
    <col min="15895" max="16017" width="9.140625" style="1"/>
    <col min="16018" max="16018" width="11" style="1" bestFit="1" customWidth="1"/>
    <col min="16019" max="16019" width="28.140625" style="1" bestFit="1" customWidth="1"/>
    <col min="16020" max="16020" width="14" style="1" bestFit="1" customWidth="1"/>
    <col min="16021" max="16021" width="9.140625" style="1"/>
    <col min="16022" max="16022" width="13.85546875" style="1" bestFit="1" customWidth="1"/>
    <col min="16023" max="16023" width="9.140625" style="1"/>
    <col min="16024" max="16024" width="14" style="1" customWidth="1"/>
    <col min="16025" max="16025" width="9.140625" style="1"/>
    <col min="16026" max="16026" width="12.85546875" style="1" bestFit="1" customWidth="1"/>
    <col min="16027" max="16027" width="10" style="1" customWidth="1"/>
    <col min="16028" max="16028" width="14" style="1" bestFit="1" customWidth="1"/>
    <col min="16029" max="16029" width="9.85546875" style="1" bestFit="1" customWidth="1"/>
    <col min="16030" max="16030" width="13.5703125" style="1" bestFit="1" customWidth="1"/>
    <col min="16031" max="16031" width="9.85546875" style="1" bestFit="1" customWidth="1"/>
    <col min="16032" max="16032" width="12.85546875" style="1" bestFit="1" customWidth="1"/>
    <col min="16033" max="16044" width="10.5703125" style="1" customWidth="1"/>
    <col min="16045" max="16045" width="11.140625" style="1" bestFit="1" customWidth="1"/>
    <col min="16046" max="16046" width="2.7109375" style="1" customWidth="1"/>
    <col min="16047" max="16047" width="9.85546875" style="1" bestFit="1" customWidth="1"/>
    <col min="16048" max="16049" width="9.140625" style="1"/>
    <col min="16050" max="16050" width="24" style="1" customWidth="1"/>
    <col min="16051" max="16053" width="9.140625" style="1"/>
    <col min="16054" max="16054" width="9" style="1" bestFit="1" customWidth="1"/>
    <col min="16055" max="16064" width="9.28515625" style="1" bestFit="1" customWidth="1"/>
    <col min="16065" max="16065" width="10.28515625" style="1" bestFit="1" customWidth="1"/>
    <col min="16066" max="16066" width="11.28515625" style="1" bestFit="1" customWidth="1"/>
    <col min="16067" max="16067" width="11.7109375" style="1" customWidth="1"/>
    <col min="16068" max="16068" width="9.140625" style="1"/>
    <col min="16069" max="16069" width="22.28515625" style="1" customWidth="1"/>
    <col min="16070" max="16070" width="9.140625" style="1"/>
    <col min="16071" max="16071" width="9.28515625" style="1" bestFit="1" customWidth="1"/>
    <col min="16072" max="16072" width="9.42578125" style="1" bestFit="1" customWidth="1"/>
    <col min="16073" max="16073" width="9.28515625" style="1" bestFit="1" customWidth="1"/>
    <col min="16074" max="16074" width="10.28515625" style="1" bestFit="1" customWidth="1"/>
    <col min="16075" max="16076" width="9.28515625" style="1" bestFit="1" customWidth="1"/>
    <col min="16077" max="16078" width="10.28515625" style="1" bestFit="1" customWidth="1"/>
    <col min="16079" max="16083" width="9.28515625" style="1" bestFit="1" customWidth="1"/>
    <col min="16084" max="16084" width="10.42578125" style="1" bestFit="1" customWidth="1"/>
    <col min="16085" max="16085" width="9.140625" style="1"/>
    <col min="16086" max="16086" width="24.85546875" style="1" customWidth="1"/>
    <col min="16087" max="16087" width="9.140625" style="1"/>
    <col min="16088" max="16100" width="9.28515625" style="1" bestFit="1" customWidth="1"/>
    <col min="16101" max="16101" width="10.28515625" style="1" bestFit="1" customWidth="1"/>
    <col min="16102" max="16102" width="9.5703125" style="1" bestFit="1" customWidth="1"/>
    <col min="16103" max="16103" width="18.5703125" style="1" customWidth="1"/>
    <col min="16104" max="16105" width="9.140625" style="1"/>
    <col min="16106" max="16108" width="12.140625" style="1" bestFit="1" customWidth="1"/>
    <col min="16109" max="16117" width="10.28515625" style="1" bestFit="1" customWidth="1"/>
    <col min="16118" max="16118" width="11.28515625" style="1" bestFit="1" customWidth="1"/>
    <col min="16119" max="16119" width="9.140625" style="1"/>
    <col min="16120" max="16120" width="19" style="1" customWidth="1"/>
    <col min="16121" max="16137" width="9.140625" style="1"/>
    <col min="16138" max="16148" width="11.28515625" style="1" bestFit="1" customWidth="1"/>
    <col min="16149" max="16149" width="10.28515625" style="1" bestFit="1" customWidth="1"/>
    <col min="16150" max="16150" width="12.85546875" style="1" bestFit="1" customWidth="1"/>
    <col min="16151" max="16384" width="9.140625" style="1"/>
  </cols>
  <sheetData>
    <row r="1" spans="1:22" x14ac:dyDescent="0.2">
      <c r="F1" s="39" t="s">
        <v>49</v>
      </c>
      <c r="G1" s="39" t="s">
        <v>48</v>
      </c>
      <c r="H1" s="39" t="s">
        <v>47</v>
      </c>
      <c r="I1" s="39" t="s">
        <v>46</v>
      </c>
      <c r="J1" s="39" t="s">
        <v>45</v>
      </c>
      <c r="K1" s="39" t="s">
        <v>44</v>
      </c>
      <c r="L1" s="39" t="s">
        <v>43</v>
      </c>
      <c r="M1" s="39" t="s">
        <v>42</v>
      </c>
      <c r="N1" s="39" t="s">
        <v>41</v>
      </c>
      <c r="O1" s="39" t="s">
        <v>40</v>
      </c>
      <c r="P1" s="39" t="s">
        <v>39</v>
      </c>
      <c r="Q1" s="39" t="s">
        <v>38</v>
      </c>
      <c r="R1" s="39" t="s">
        <v>37</v>
      </c>
    </row>
    <row r="2" spans="1:22" x14ac:dyDescent="0.2">
      <c r="B2" s="35" t="s">
        <v>237</v>
      </c>
      <c r="C2" s="6">
        <f>STATS!D25</f>
        <v>85</v>
      </c>
      <c r="F2" s="131">
        <f>'MO STATS'!E21</f>
        <v>8</v>
      </c>
      <c r="G2" s="131">
        <f>'MO STATS'!F21</f>
        <v>1</v>
      </c>
      <c r="H2" s="131">
        <f>'MO STATS'!G21</f>
        <v>7</v>
      </c>
      <c r="I2" s="131">
        <f>'MO STATS'!H21</f>
        <v>8</v>
      </c>
      <c r="J2" s="131">
        <f>'MO STATS'!I21</f>
        <v>7</v>
      </c>
      <c r="K2" s="131">
        <f>'MO STATS'!J21</f>
        <v>6</v>
      </c>
      <c r="L2" s="131">
        <f>'MO STATS'!K21</f>
        <v>8</v>
      </c>
      <c r="M2" s="131">
        <f>'MO STATS'!L21</f>
        <v>7</v>
      </c>
      <c r="N2" s="131">
        <f>'MO STATS'!M21</f>
        <v>6</v>
      </c>
      <c r="O2" s="131">
        <f>'MO STATS'!N21</f>
        <v>10</v>
      </c>
      <c r="P2" s="131">
        <f>'MO STATS'!O21</f>
        <v>14</v>
      </c>
      <c r="Q2" s="131">
        <f>'MO STATS'!P21</f>
        <v>3</v>
      </c>
      <c r="R2" s="101">
        <f>SUM(F2:Q2)</f>
        <v>85</v>
      </c>
      <c r="S2" s="34"/>
      <c r="T2" s="34">
        <f>C2-R2</f>
        <v>0</v>
      </c>
      <c r="U2" s="34"/>
      <c r="V2" s="34"/>
    </row>
    <row r="3" spans="1:22" x14ac:dyDescent="0.2">
      <c r="B3" s="35" t="s">
        <v>239</v>
      </c>
      <c r="C3" s="6">
        <f>STATS!D26</f>
        <v>490</v>
      </c>
      <c r="F3" s="131">
        <f>'MO STATS'!E22</f>
        <v>43</v>
      </c>
      <c r="G3" s="131">
        <f>'MO STATS'!F22</f>
        <v>49</v>
      </c>
      <c r="H3" s="131">
        <f>'MO STATS'!G22</f>
        <v>29</v>
      </c>
      <c r="I3" s="131">
        <f>'MO STATS'!H22</f>
        <v>31</v>
      </c>
      <c r="J3" s="131">
        <f>'MO STATS'!I22</f>
        <v>45</v>
      </c>
      <c r="K3" s="131">
        <f>'MO STATS'!J22</f>
        <v>38</v>
      </c>
      <c r="L3" s="131">
        <f>'MO STATS'!K22</f>
        <v>40</v>
      </c>
      <c r="M3" s="131">
        <f>'MO STATS'!L22</f>
        <v>52</v>
      </c>
      <c r="N3" s="131">
        <f>'MO STATS'!M22</f>
        <v>38</v>
      </c>
      <c r="O3" s="131">
        <f>'MO STATS'!N22</f>
        <v>38</v>
      </c>
      <c r="P3" s="131">
        <f>'MO STATS'!O22</f>
        <v>49</v>
      </c>
      <c r="Q3" s="131">
        <f>'MO STATS'!P22</f>
        <v>38</v>
      </c>
      <c r="R3" s="101">
        <f t="shared" ref="R3:R4" si="0">SUM(F3:Q3)</f>
        <v>490</v>
      </c>
      <c r="S3" s="34"/>
      <c r="T3" s="34">
        <f t="shared" ref="T3:T4" si="1">C3-R3</f>
        <v>0</v>
      </c>
      <c r="U3" s="34"/>
      <c r="V3" s="34"/>
    </row>
    <row r="4" spans="1:22" x14ac:dyDescent="0.2">
      <c r="B4" s="35" t="s">
        <v>241</v>
      </c>
      <c r="C4" s="6">
        <f>C2+C3</f>
        <v>575</v>
      </c>
      <c r="F4" s="131">
        <f>'MO STATS'!E23</f>
        <v>51</v>
      </c>
      <c r="G4" s="131">
        <f>'MO STATS'!F23</f>
        <v>50</v>
      </c>
      <c r="H4" s="131">
        <f>'MO STATS'!G23</f>
        <v>36</v>
      </c>
      <c r="I4" s="131">
        <f>'MO STATS'!H23</f>
        <v>39</v>
      </c>
      <c r="J4" s="131">
        <f>'MO STATS'!I23</f>
        <v>52</v>
      </c>
      <c r="K4" s="131">
        <f>'MO STATS'!J23</f>
        <v>44</v>
      </c>
      <c r="L4" s="131">
        <f>'MO STATS'!K23</f>
        <v>48</v>
      </c>
      <c r="M4" s="131">
        <f>'MO STATS'!L23</f>
        <v>59</v>
      </c>
      <c r="N4" s="131">
        <f>'MO STATS'!M23</f>
        <v>44</v>
      </c>
      <c r="O4" s="131">
        <f>'MO STATS'!N23</f>
        <v>48</v>
      </c>
      <c r="P4" s="131">
        <f>'MO STATS'!O23</f>
        <v>63</v>
      </c>
      <c r="Q4" s="131">
        <f>'MO STATS'!P23</f>
        <v>41</v>
      </c>
      <c r="R4" s="101">
        <f t="shared" si="0"/>
        <v>575</v>
      </c>
      <c r="S4" s="34"/>
      <c r="T4" s="34">
        <f t="shared" si="1"/>
        <v>0</v>
      </c>
      <c r="U4" s="34"/>
      <c r="V4" s="34"/>
    </row>
    <row r="5" spans="1:22" x14ac:dyDescent="0.2">
      <c r="B5" s="35" t="s">
        <v>242</v>
      </c>
      <c r="C5" s="6">
        <f>STATS!D28</f>
        <v>28768</v>
      </c>
      <c r="F5" s="131">
        <f>'MO STATS'!E24</f>
        <v>2351</v>
      </c>
      <c r="G5" s="131">
        <f>'MO STATS'!F24</f>
        <v>2380</v>
      </c>
      <c r="H5" s="131">
        <f>'MO STATS'!G24</f>
        <v>1526</v>
      </c>
      <c r="I5" s="131">
        <f>'MO STATS'!H24</f>
        <v>1707</v>
      </c>
      <c r="J5" s="131">
        <f>'MO STATS'!I24</f>
        <v>2437</v>
      </c>
      <c r="K5" s="131">
        <f>'MO STATS'!J24</f>
        <v>2081</v>
      </c>
      <c r="L5" s="131">
        <f>'MO STATS'!K24</f>
        <v>2234</v>
      </c>
      <c r="M5" s="131">
        <f>'MO STATS'!L24</f>
        <v>3316</v>
      </c>
      <c r="N5" s="131">
        <f>'MO STATS'!M24</f>
        <v>2559</v>
      </c>
      <c r="O5" s="131">
        <f>'MO STATS'!N24</f>
        <v>2492</v>
      </c>
      <c r="P5" s="131">
        <f>'MO STATS'!O24</f>
        <v>3613</v>
      </c>
      <c r="Q5" s="131">
        <f>'MO STATS'!P24</f>
        <v>2072</v>
      </c>
      <c r="R5" s="101">
        <f>SUM(F5:Q5)</f>
        <v>28768</v>
      </c>
      <c r="S5" s="34"/>
      <c r="T5" s="34">
        <f>C5-R5</f>
        <v>0</v>
      </c>
      <c r="U5" s="34"/>
      <c r="V5" s="34"/>
    </row>
    <row r="6" spans="1:22" x14ac:dyDescent="0.2">
      <c r="B6" s="35"/>
      <c r="C6" s="6"/>
      <c r="F6" s="100"/>
      <c r="G6" s="100"/>
      <c r="H6" s="100"/>
      <c r="I6" s="100"/>
      <c r="J6" s="100"/>
      <c r="K6" s="100"/>
      <c r="L6" s="100"/>
      <c r="M6" s="100"/>
      <c r="N6" s="100"/>
      <c r="O6" s="100"/>
      <c r="P6" s="100"/>
      <c r="Q6" s="100"/>
      <c r="R6" s="101"/>
      <c r="S6" s="34"/>
      <c r="T6" s="34"/>
      <c r="U6" s="34"/>
      <c r="V6" s="34"/>
    </row>
    <row r="7" spans="1:22" x14ac:dyDescent="0.2">
      <c r="A7" s="711" t="s">
        <v>35</v>
      </c>
      <c r="B7" s="711"/>
      <c r="C7" s="711"/>
      <c r="D7" s="711"/>
      <c r="E7" s="93"/>
    </row>
    <row r="8" spans="1:22" ht="26.25" customHeight="1" x14ac:dyDescent="0.2">
      <c r="A8" s="21"/>
      <c r="B8" s="10" t="s">
        <v>385</v>
      </c>
      <c r="C8" s="103" t="s">
        <v>379</v>
      </c>
      <c r="D8" s="102" t="s">
        <v>382</v>
      </c>
      <c r="E8" s="103"/>
      <c r="F8" s="39" t="s">
        <v>49</v>
      </c>
      <c r="G8" s="39" t="s">
        <v>48</v>
      </c>
      <c r="H8" s="39" t="s">
        <v>47</v>
      </c>
      <c r="I8" s="39" t="s">
        <v>46</v>
      </c>
      <c r="J8" s="39" t="s">
        <v>45</v>
      </c>
      <c r="K8" s="39" t="s">
        <v>44</v>
      </c>
      <c r="L8" s="39" t="s">
        <v>43</v>
      </c>
      <c r="M8" s="39" t="s">
        <v>42</v>
      </c>
      <c r="N8" s="39" t="s">
        <v>41</v>
      </c>
      <c r="O8" s="39" t="s">
        <v>40</v>
      </c>
      <c r="P8" s="39" t="s">
        <v>39</v>
      </c>
      <c r="Q8" s="39" t="s">
        <v>38</v>
      </c>
      <c r="R8" s="39" t="s">
        <v>37</v>
      </c>
    </row>
    <row r="9" spans="1:22" x14ac:dyDescent="0.2">
      <c r="A9" s="16"/>
      <c r="B9" s="29" t="s">
        <v>352</v>
      </c>
      <c r="C9" s="28">
        <f>C$2*D9</f>
        <v>21930</v>
      </c>
      <c r="D9" s="13">
        <f>[5]Recovery!$J$10</f>
        <v>258</v>
      </c>
      <c r="E9" s="7"/>
      <c r="F9" s="375">
        <f>$D9*F$2</f>
        <v>2064</v>
      </c>
      <c r="G9" s="375">
        <f t="shared" ref="G9:Q15" si="2">$D9*G$2</f>
        <v>258</v>
      </c>
      <c r="H9" s="375">
        <f t="shared" si="2"/>
        <v>1806</v>
      </c>
      <c r="I9" s="375">
        <f t="shared" si="2"/>
        <v>2064</v>
      </c>
      <c r="J9" s="375">
        <f t="shared" si="2"/>
        <v>1806</v>
      </c>
      <c r="K9" s="375">
        <f t="shared" si="2"/>
        <v>1548</v>
      </c>
      <c r="L9" s="375">
        <f t="shared" si="2"/>
        <v>2064</v>
      </c>
      <c r="M9" s="375">
        <f t="shared" si="2"/>
        <v>1806</v>
      </c>
      <c r="N9" s="375">
        <f t="shared" si="2"/>
        <v>1548</v>
      </c>
      <c r="O9" s="375">
        <f t="shared" si="2"/>
        <v>2580</v>
      </c>
      <c r="P9" s="375">
        <f t="shared" si="2"/>
        <v>3612</v>
      </c>
      <c r="Q9" s="375">
        <f t="shared" si="2"/>
        <v>774</v>
      </c>
      <c r="R9" s="109">
        <f>SUM(F9:Q9)</f>
        <v>21930</v>
      </c>
      <c r="T9" s="3">
        <f>C9-R9</f>
        <v>0</v>
      </c>
    </row>
    <row r="10" spans="1:22" x14ac:dyDescent="0.2">
      <c r="A10" s="16"/>
      <c r="B10" s="29" t="s">
        <v>353</v>
      </c>
      <c r="C10" s="28">
        <f t="shared" ref="C10:C23" si="3">C$2*D10</f>
        <v>1218.3333333333335</v>
      </c>
      <c r="D10" s="13">
        <f>[5]Recovery!$J$11</f>
        <v>14.333333333333334</v>
      </c>
      <c r="E10" s="7"/>
      <c r="F10" s="375">
        <f t="shared" ref="F10:Q23" si="4">$D10*F$2</f>
        <v>114.66666666666667</v>
      </c>
      <c r="G10" s="375">
        <f t="shared" si="2"/>
        <v>14.333333333333334</v>
      </c>
      <c r="H10" s="375">
        <f t="shared" si="2"/>
        <v>100.33333333333334</v>
      </c>
      <c r="I10" s="375">
        <f t="shared" si="2"/>
        <v>114.66666666666667</v>
      </c>
      <c r="J10" s="375">
        <f t="shared" si="2"/>
        <v>100.33333333333334</v>
      </c>
      <c r="K10" s="375">
        <f t="shared" si="2"/>
        <v>86</v>
      </c>
      <c r="L10" s="375">
        <f t="shared" si="2"/>
        <v>114.66666666666667</v>
      </c>
      <c r="M10" s="375">
        <f t="shared" si="2"/>
        <v>100.33333333333334</v>
      </c>
      <c r="N10" s="375">
        <f t="shared" si="2"/>
        <v>86</v>
      </c>
      <c r="O10" s="375">
        <f t="shared" si="2"/>
        <v>143.33333333333334</v>
      </c>
      <c r="P10" s="375">
        <f t="shared" si="2"/>
        <v>200.66666666666669</v>
      </c>
      <c r="Q10" s="375">
        <f t="shared" si="2"/>
        <v>43</v>
      </c>
      <c r="R10" s="109">
        <f t="shared" ref="R10:R16" si="5">SUM(F10:Q10)</f>
        <v>1218.3333333333335</v>
      </c>
      <c r="T10" s="3">
        <f t="shared" ref="T10:T33" si="6">C10-R10</f>
        <v>0</v>
      </c>
    </row>
    <row r="11" spans="1:22" x14ac:dyDescent="0.2">
      <c r="A11" s="16"/>
      <c r="B11" s="29" t="s">
        <v>355</v>
      </c>
      <c r="C11" s="28">
        <f t="shared" si="3"/>
        <v>8528.3333333333321</v>
      </c>
      <c r="D11" s="13">
        <f>[5]Recovery!$J$12</f>
        <v>100.33333333333333</v>
      </c>
      <c r="E11" s="7"/>
      <c r="F11" s="375">
        <f t="shared" si="4"/>
        <v>802.66666666666663</v>
      </c>
      <c r="G11" s="375">
        <f t="shared" si="2"/>
        <v>100.33333333333333</v>
      </c>
      <c r="H11" s="375">
        <f t="shared" si="2"/>
        <v>702.33333333333326</v>
      </c>
      <c r="I11" s="375">
        <f t="shared" si="2"/>
        <v>802.66666666666663</v>
      </c>
      <c r="J11" s="375">
        <f t="shared" si="2"/>
        <v>702.33333333333326</v>
      </c>
      <c r="K11" s="375">
        <f t="shared" si="2"/>
        <v>602</v>
      </c>
      <c r="L11" s="375">
        <f t="shared" si="2"/>
        <v>802.66666666666663</v>
      </c>
      <c r="M11" s="375">
        <f t="shared" si="2"/>
        <v>702.33333333333326</v>
      </c>
      <c r="N11" s="375">
        <f t="shared" si="2"/>
        <v>602</v>
      </c>
      <c r="O11" s="375">
        <f t="shared" si="2"/>
        <v>1003.3333333333333</v>
      </c>
      <c r="P11" s="375">
        <f t="shared" si="2"/>
        <v>1404.6666666666665</v>
      </c>
      <c r="Q11" s="375">
        <f t="shared" si="2"/>
        <v>301</v>
      </c>
      <c r="R11" s="109">
        <f t="shared" si="5"/>
        <v>8528.3333333333321</v>
      </c>
      <c r="T11" s="3">
        <f t="shared" si="6"/>
        <v>0</v>
      </c>
    </row>
    <row r="12" spans="1:22" x14ac:dyDescent="0.2">
      <c r="A12" s="16"/>
      <c r="B12" s="29" t="s">
        <v>370</v>
      </c>
      <c r="C12" s="28">
        <f t="shared" si="3"/>
        <v>0</v>
      </c>
      <c r="D12" s="13"/>
      <c r="E12" s="7"/>
      <c r="F12" s="375">
        <f t="shared" si="4"/>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109">
        <f t="shared" si="5"/>
        <v>0</v>
      </c>
      <c r="T12" s="3">
        <f t="shared" si="6"/>
        <v>0</v>
      </c>
    </row>
    <row r="13" spans="1:22" x14ac:dyDescent="0.2">
      <c r="A13" s="16"/>
      <c r="B13" s="29" t="s">
        <v>356</v>
      </c>
      <c r="C13" s="28">
        <f t="shared" si="3"/>
        <v>3655</v>
      </c>
      <c r="D13" s="13">
        <f>[5]Recovery!$J$13+[5]Recovery!$J$14</f>
        <v>43</v>
      </c>
      <c r="E13" s="7"/>
      <c r="F13" s="375">
        <f t="shared" si="4"/>
        <v>344</v>
      </c>
      <c r="G13" s="375">
        <f t="shared" si="2"/>
        <v>43</v>
      </c>
      <c r="H13" s="375">
        <f t="shared" si="2"/>
        <v>301</v>
      </c>
      <c r="I13" s="375">
        <f t="shared" si="2"/>
        <v>344</v>
      </c>
      <c r="J13" s="375">
        <f t="shared" si="2"/>
        <v>301</v>
      </c>
      <c r="K13" s="375">
        <f t="shared" si="2"/>
        <v>258</v>
      </c>
      <c r="L13" s="375">
        <f t="shared" si="2"/>
        <v>344</v>
      </c>
      <c r="M13" s="375">
        <f t="shared" si="2"/>
        <v>301</v>
      </c>
      <c r="N13" s="375">
        <f t="shared" si="2"/>
        <v>258</v>
      </c>
      <c r="O13" s="375">
        <f t="shared" si="2"/>
        <v>430</v>
      </c>
      <c r="P13" s="375">
        <f t="shared" si="2"/>
        <v>602</v>
      </c>
      <c r="Q13" s="375">
        <f t="shared" si="2"/>
        <v>129</v>
      </c>
      <c r="R13" s="109">
        <f t="shared" si="5"/>
        <v>3655</v>
      </c>
      <c r="T13" s="3">
        <f t="shared" si="6"/>
        <v>0</v>
      </c>
    </row>
    <row r="14" spans="1:22" x14ac:dyDescent="0.2">
      <c r="A14" s="16"/>
      <c r="B14" s="29" t="s">
        <v>354</v>
      </c>
      <c r="C14" s="28">
        <f t="shared" si="3"/>
        <v>4873.3333333333339</v>
      </c>
      <c r="D14" s="13">
        <f>[5]Recovery!$J$15</f>
        <v>57.333333333333336</v>
      </c>
      <c r="E14" s="7"/>
      <c r="F14" s="375">
        <f t="shared" si="4"/>
        <v>458.66666666666669</v>
      </c>
      <c r="G14" s="375">
        <f t="shared" si="2"/>
        <v>57.333333333333336</v>
      </c>
      <c r="H14" s="375">
        <f t="shared" si="2"/>
        <v>401.33333333333337</v>
      </c>
      <c r="I14" s="375">
        <f t="shared" si="2"/>
        <v>458.66666666666669</v>
      </c>
      <c r="J14" s="375">
        <f t="shared" si="2"/>
        <v>401.33333333333337</v>
      </c>
      <c r="K14" s="375">
        <f t="shared" si="2"/>
        <v>344</v>
      </c>
      <c r="L14" s="375">
        <f t="shared" si="2"/>
        <v>458.66666666666669</v>
      </c>
      <c r="M14" s="375">
        <f t="shared" si="2"/>
        <v>401.33333333333337</v>
      </c>
      <c r="N14" s="375">
        <f t="shared" si="2"/>
        <v>344</v>
      </c>
      <c r="O14" s="375">
        <f t="shared" si="2"/>
        <v>573.33333333333337</v>
      </c>
      <c r="P14" s="375">
        <f t="shared" si="2"/>
        <v>802.66666666666674</v>
      </c>
      <c r="Q14" s="375">
        <f t="shared" si="2"/>
        <v>172</v>
      </c>
      <c r="R14" s="109">
        <f t="shared" si="5"/>
        <v>4873.3333333333339</v>
      </c>
      <c r="T14" s="3">
        <f t="shared" si="6"/>
        <v>0</v>
      </c>
    </row>
    <row r="15" spans="1:22" x14ac:dyDescent="0.2">
      <c r="A15" s="16"/>
      <c r="B15" s="29" t="s">
        <v>357</v>
      </c>
      <c r="C15" s="28">
        <f t="shared" si="3"/>
        <v>3655</v>
      </c>
      <c r="D15" s="13">
        <f>[5]Recovery!$J$16</f>
        <v>43</v>
      </c>
      <c r="E15" s="7"/>
      <c r="F15" s="375">
        <f t="shared" si="4"/>
        <v>344</v>
      </c>
      <c r="G15" s="375">
        <f t="shared" si="2"/>
        <v>43</v>
      </c>
      <c r="H15" s="375">
        <f t="shared" si="2"/>
        <v>301</v>
      </c>
      <c r="I15" s="375">
        <f t="shared" si="2"/>
        <v>344</v>
      </c>
      <c r="J15" s="375">
        <f t="shared" si="2"/>
        <v>301</v>
      </c>
      <c r="K15" s="375">
        <f t="shared" si="2"/>
        <v>258</v>
      </c>
      <c r="L15" s="375">
        <f t="shared" si="2"/>
        <v>344</v>
      </c>
      <c r="M15" s="375">
        <f t="shared" si="2"/>
        <v>301</v>
      </c>
      <c r="N15" s="375">
        <f t="shared" si="2"/>
        <v>258</v>
      </c>
      <c r="O15" s="375">
        <f t="shared" si="2"/>
        <v>430</v>
      </c>
      <c r="P15" s="375">
        <f t="shared" si="2"/>
        <v>602</v>
      </c>
      <c r="Q15" s="375">
        <f t="shared" si="2"/>
        <v>129</v>
      </c>
      <c r="R15" s="109">
        <f t="shared" si="5"/>
        <v>3655</v>
      </c>
      <c r="T15" s="3">
        <f t="shared" si="6"/>
        <v>0</v>
      </c>
    </row>
    <row r="16" spans="1:22" x14ac:dyDescent="0.2">
      <c r="A16" s="87">
        <v>31110.011999999999</v>
      </c>
      <c r="B16" s="161" t="s">
        <v>387</v>
      </c>
      <c r="C16" s="293">
        <f>SUM(C9:C15)</f>
        <v>43860</v>
      </c>
      <c r="D16" s="292"/>
      <c r="E16" s="292"/>
      <c r="F16" s="369">
        <f>SUM(F9:F15)</f>
        <v>4128</v>
      </c>
      <c r="G16" s="369">
        <f t="shared" ref="G16:Q16" si="7">SUM(G9:G15)</f>
        <v>516</v>
      </c>
      <c r="H16" s="369">
        <f t="shared" si="7"/>
        <v>3612</v>
      </c>
      <c r="I16" s="369">
        <f t="shared" si="7"/>
        <v>4128</v>
      </c>
      <c r="J16" s="369">
        <f t="shared" si="7"/>
        <v>3612</v>
      </c>
      <c r="K16" s="369">
        <f t="shared" si="7"/>
        <v>3096</v>
      </c>
      <c r="L16" s="369">
        <f t="shared" si="7"/>
        <v>4128</v>
      </c>
      <c r="M16" s="369">
        <f t="shared" si="7"/>
        <v>3612</v>
      </c>
      <c r="N16" s="369">
        <f t="shared" si="7"/>
        <v>3096</v>
      </c>
      <c r="O16" s="369">
        <f t="shared" si="7"/>
        <v>5160</v>
      </c>
      <c r="P16" s="369">
        <f t="shared" si="7"/>
        <v>7224</v>
      </c>
      <c r="Q16" s="369">
        <f t="shared" si="7"/>
        <v>1548</v>
      </c>
      <c r="R16" s="369">
        <f t="shared" si="5"/>
        <v>43860</v>
      </c>
      <c r="S16" s="297"/>
      <c r="T16" s="291">
        <f t="shared" si="6"/>
        <v>0</v>
      </c>
    </row>
    <row r="17" spans="1:22" x14ac:dyDescent="0.2">
      <c r="A17" s="87"/>
      <c r="B17" s="29" t="s">
        <v>424</v>
      </c>
      <c r="C17" s="28">
        <f t="shared" si="3"/>
        <v>0</v>
      </c>
      <c r="D17" s="13">
        <v>0</v>
      </c>
      <c r="E17" s="7"/>
      <c r="F17" s="375">
        <f t="shared" si="4"/>
        <v>0</v>
      </c>
      <c r="G17" s="375">
        <f t="shared" si="4"/>
        <v>0</v>
      </c>
      <c r="H17" s="375">
        <f t="shared" si="4"/>
        <v>0</v>
      </c>
      <c r="I17" s="375">
        <f t="shared" si="4"/>
        <v>0</v>
      </c>
      <c r="J17" s="375">
        <f t="shared" si="4"/>
        <v>0</v>
      </c>
      <c r="K17" s="375">
        <f t="shared" si="4"/>
        <v>0</v>
      </c>
      <c r="L17" s="375">
        <f t="shared" si="4"/>
        <v>0</v>
      </c>
      <c r="M17" s="375">
        <f t="shared" si="4"/>
        <v>0</v>
      </c>
      <c r="N17" s="375">
        <f t="shared" si="4"/>
        <v>0</v>
      </c>
      <c r="O17" s="375">
        <f t="shared" si="4"/>
        <v>0</v>
      </c>
      <c r="P17" s="375">
        <f t="shared" si="4"/>
        <v>0</v>
      </c>
      <c r="Q17" s="375">
        <f t="shared" si="4"/>
        <v>0</v>
      </c>
      <c r="R17" s="109">
        <f t="shared" ref="R17:R23" si="8">SUM(F17:Q17)</f>
        <v>0</v>
      </c>
      <c r="T17" s="3">
        <f t="shared" ref="T17:T23" si="9">C17-R17</f>
        <v>0</v>
      </c>
    </row>
    <row r="18" spans="1:22" x14ac:dyDescent="0.2">
      <c r="A18" s="87"/>
      <c r="B18" s="29" t="s">
        <v>425</v>
      </c>
      <c r="C18" s="28">
        <f t="shared" si="3"/>
        <v>0</v>
      </c>
      <c r="D18" s="13">
        <f>[9]RECOVERY!$M$22</f>
        <v>0</v>
      </c>
      <c r="E18" s="7"/>
      <c r="F18" s="375">
        <f t="shared" si="4"/>
        <v>0</v>
      </c>
      <c r="G18" s="375">
        <f t="shared" si="4"/>
        <v>0</v>
      </c>
      <c r="H18" s="375">
        <f t="shared" si="4"/>
        <v>0</v>
      </c>
      <c r="I18" s="375">
        <f t="shared" si="4"/>
        <v>0</v>
      </c>
      <c r="J18" s="375">
        <f t="shared" si="4"/>
        <v>0</v>
      </c>
      <c r="K18" s="375">
        <f t="shared" si="4"/>
        <v>0</v>
      </c>
      <c r="L18" s="375">
        <f t="shared" si="4"/>
        <v>0</v>
      </c>
      <c r="M18" s="375">
        <f t="shared" si="4"/>
        <v>0</v>
      </c>
      <c r="N18" s="375">
        <f t="shared" si="4"/>
        <v>0</v>
      </c>
      <c r="O18" s="375">
        <f t="shared" si="4"/>
        <v>0</v>
      </c>
      <c r="P18" s="375">
        <f t="shared" si="4"/>
        <v>0</v>
      </c>
      <c r="Q18" s="375">
        <f t="shared" si="4"/>
        <v>0</v>
      </c>
      <c r="R18" s="109">
        <f t="shared" si="8"/>
        <v>0</v>
      </c>
      <c r="T18" s="3">
        <f t="shared" si="9"/>
        <v>0</v>
      </c>
    </row>
    <row r="19" spans="1:22" x14ac:dyDescent="0.2">
      <c r="A19" s="87"/>
      <c r="B19" s="29" t="s">
        <v>426</v>
      </c>
      <c r="C19" s="28">
        <f t="shared" si="3"/>
        <v>0</v>
      </c>
      <c r="D19" s="13">
        <f>[9]RECOVERY!$M$23</f>
        <v>0</v>
      </c>
      <c r="E19" s="7"/>
      <c r="F19" s="375">
        <f t="shared" si="4"/>
        <v>0</v>
      </c>
      <c r="G19" s="375">
        <f t="shared" si="4"/>
        <v>0</v>
      </c>
      <c r="H19" s="375">
        <f t="shared" si="4"/>
        <v>0</v>
      </c>
      <c r="I19" s="375">
        <f t="shared" si="4"/>
        <v>0</v>
      </c>
      <c r="J19" s="375">
        <f t="shared" si="4"/>
        <v>0</v>
      </c>
      <c r="K19" s="375">
        <f t="shared" si="4"/>
        <v>0</v>
      </c>
      <c r="L19" s="375">
        <f t="shared" si="4"/>
        <v>0</v>
      </c>
      <c r="M19" s="375">
        <f t="shared" si="4"/>
        <v>0</v>
      </c>
      <c r="N19" s="375">
        <f t="shared" si="4"/>
        <v>0</v>
      </c>
      <c r="O19" s="375">
        <f t="shared" si="4"/>
        <v>0</v>
      </c>
      <c r="P19" s="375">
        <f t="shared" si="4"/>
        <v>0</v>
      </c>
      <c r="Q19" s="375">
        <f t="shared" si="4"/>
        <v>0</v>
      </c>
      <c r="R19" s="109">
        <f t="shared" si="8"/>
        <v>0</v>
      </c>
      <c r="T19" s="3">
        <f t="shared" si="9"/>
        <v>0</v>
      </c>
    </row>
    <row r="20" spans="1:22" x14ac:dyDescent="0.2">
      <c r="A20" s="87"/>
      <c r="B20" s="29" t="s">
        <v>427</v>
      </c>
      <c r="C20" s="28">
        <f t="shared" si="3"/>
        <v>0</v>
      </c>
      <c r="D20" s="13">
        <v>0</v>
      </c>
      <c r="E20" s="7"/>
      <c r="F20" s="375">
        <f t="shared" si="4"/>
        <v>0</v>
      </c>
      <c r="G20" s="375">
        <f t="shared" si="4"/>
        <v>0</v>
      </c>
      <c r="H20" s="375">
        <f t="shared" si="4"/>
        <v>0</v>
      </c>
      <c r="I20" s="375">
        <f t="shared" si="4"/>
        <v>0</v>
      </c>
      <c r="J20" s="375">
        <f t="shared" si="4"/>
        <v>0</v>
      </c>
      <c r="K20" s="375">
        <f t="shared" si="4"/>
        <v>0</v>
      </c>
      <c r="L20" s="375">
        <f t="shared" si="4"/>
        <v>0</v>
      </c>
      <c r="M20" s="375">
        <f t="shared" si="4"/>
        <v>0</v>
      </c>
      <c r="N20" s="375">
        <f t="shared" si="4"/>
        <v>0</v>
      </c>
      <c r="O20" s="375">
        <f t="shared" si="4"/>
        <v>0</v>
      </c>
      <c r="P20" s="375">
        <f t="shared" si="4"/>
        <v>0</v>
      </c>
      <c r="Q20" s="375">
        <f t="shared" si="4"/>
        <v>0</v>
      </c>
      <c r="R20" s="109">
        <f t="shared" si="8"/>
        <v>0</v>
      </c>
      <c r="T20" s="3">
        <f t="shared" si="9"/>
        <v>0</v>
      </c>
    </row>
    <row r="21" spans="1:22" x14ac:dyDescent="0.2">
      <c r="A21" s="87"/>
      <c r="B21" s="29" t="s">
        <v>428</v>
      </c>
      <c r="C21" s="28">
        <f t="shared" si="3"/>
        <v>0</v>
      </c>
      <c r="D21" s="13">
        <f>[9]RECOVERY!$M$24</f>
        <v>0</v>
      </c>
      <c r="E21" s="7"/>
      <c r="F21" s="375">
        <f t="shared" si="4"/>
        <v>0</v>
      </c>
      <c r="G21" s="375">
        <f t="shared" si="4"/>
        <v>0</v>
      </c>
      <c r="H21" s="375">
        <f t="shared" si="4"/>
        <v>0</v>
      </c>
      <c r="I21" s="375">
        <f t="shared" si="4"/>
        <v>0</v>
      </c>
      <c r="J21" s="375">
        <f t="shared" si="4"/>
        <v>0</v>
      </c>
      <c r="K21" s="375">
        <f t="shared" si="4"/>
        <v>0</v>
      </c>
      <c r="L21" s="375">
        <f t="shared" si="4"/>
        <v>0</v>
      </c>
      <c r="M21" s="375">
        <f t="shared" si="4"/>
        <v>0</v>
      </c>
      <c r="N21" s="375">
        <f t="shared" si="4"/>
        <v>0</v>
      </c>
      <c r="O21" s="375">
        <f t="shared" si="4"/>
        <v>0</v>
      </c>
      <c r="P21" s="375">
        <f t="shared" si="4"/>
        <v>0</v>
      </c>
      <c r="Q21" s="375">
        <f t="shared" si="4"/>
        <v>0</v>
      </c>
      <c r="R21" s="109">
        <f t="shared" si="8"/>
        <v>0</v>
      </c>
      <c r="T21" s="3">
        <f t="shared" si="9"/>
        <v>0</v>
      </c>
    </row>
    <row r="22" spans="1:22" x14ac:dyDescent="0.2">
      <c r="A22" s="87"/>
      <c r="B22" s="29" t="s">
        <v>429</v>
      </c>
      <c r="C22" s="28">
        <f t="shared" si="3"/>
        <v>0</v>
      </c>
      <c r="D22" s="13">
        <f>[9]RECOVERY!$M$25</f>
        <v>0</v>
      </c>
      <c r="E22" s="7"/>
      <c r="F22" s="375">
        <f t="shared" si="4"/>
        <v>0</v>
      </c>
      <c r="G22" s="375">
        <f t="shared" si="4"/>
        <v>0</v>
      </c>
      <c r="H22" s="375">
        <f t="shared" si="4"/>
        <v>0</v>
      </c>
      <c r="I22" s="375">
        <f t="shared" si="4"/>
        <v>0</v>
      </c>
      <c r="J22" s="375">
        <f t="shared" si="4"/>
        <v>0</v>
      </c>
      <c r="K22" s="375">
        <f t="shared" si="4"/>
        <v>0</v>
      </c>
      <c r="L22" s="375">
        <f t="shared" si="4"/>
        <v>0</v>
      </c>
      <c r="M22" s="375">
        <f t="shared" si="4"/>
        <v>0</v>
      </c>
      <c r="N22" s="375">
        <f t="shared" si="4"/>
        <v>0</v>
      </c>
      <c r="O22" s="375">
        <f t="shared" si="4"/>
        <v>0</v>
      </c>
      <c r="P22" s="375">
        <f t="shared" si="4"/>
        <v>0</v>
      </c>
      <c r="Q22" s="375">
        <f t="shared" si="4"/>
        <v>0</v>
      </c>
      <c r="R22" s="109">
        <f t="shared" si="8"/>
        <v>0</v>
      </c>
      <c r="T22" s="3">
        <f t="shared" si="9"/>
        <v>0</v>
      </c>
    </row>
    <row r="23" spans="1:22" x14ac:dyDescent="0.2">
      <c r="A23" s="87"/>
      <c r="B23" s="29" t="s">
        <v>430</v>
      </c>
      <c r="C23" s="28">
        <f t="shared" si="3"/>
        <v>0</v>
      </c>
      <c r="D23" s="13">
        <f>[9]RECOVERY!$M$26</f>
        <v>0</v>
      </c>
      <c r="E23" s="7"/>
      <c r="F23" s="375">
        <f t="shared" si="4"/>
        <v>0</v>
      </c>
      <c r="G23" s="375">
        <f t="shared" si="4"/>
        <v>0</v>
      </c>
      <c r="H23" s="375">
        <f t="shared" si="4"/>
        <v>0</v>
      </c>
      <c r="I23" s="375">
        <f t="shared" si="4"/>
        <v>0</v>
      </c>
      <c r="J23" s="375">
        <f t="shared" si="4"/>
        <v>0</v>
      </c>
      <c r="K23" s="375">
        <f t="shared" si="4"/>
        <v>0</v>
      </c>
      <c r="L23" s="375">
        <f t="shared" si="4"/>
        <v>0</v>
      </c>
      <c r="M23" s="375">
        <f t="shared" si="4"/>
        <v>0</v>
      </c>
      <c r="N23" s="375">
        <f t="shared" si="4"/>
        <v>0</v>
      </c>
      <c r="O23" s="375">
        <f t="shared" si="4"/>
        <v>0</v>
      </c>
      <c r="P23" s="375">
        <f t="shared" si="4"/>
        <v>0</v>
      </c>
      <c r="Q23" s="375">
        <f t="shared" si="4"/>
        <v>0</v>
      </c>
      <c r="R23" s="109">
        <f t="shared" si="8"/>
        <v>0</v>
      </c>
      <c r="T23" s="3">
        <f t="shared" si="9"/>
        <v>0</v>
      </c>
    </row>
    <row r="24" spans="1:22" s="5" customFormat="1" ht="13.5" customHeight="1" x14ac:dyDescent="0.2">
      <c r="A24" s="87">
        <v>31111.011999999999</v>
      </c>
      <c r="B24" s="161" t="s">
        <v>388</v>
      </c>
      <c r="C24" s="293">
        <f>SUM(C17:C23)</f>
        <v>0</v>
      </c>
      <c r="D24" s="292"/>
      <c r="E24" s="292"/>
      <c r="F24" s="369">
        <f>SUM(F17:F23)</f>
        <v>0</v>
      </c>
      <c r="G24" s="369">
        <f t="shared" ref="G24:Q24" si="10">SUM(G17:G23)</f>
        <v>0</v>
      </c>
      <c r="H24" s="369">
        <f t="shared" si="10"/>
        <v>0</v>
      </c>
      <c r="I24" s="369">
        <f t="shared" si="10"/>
        <v>0</v>
      </c>
      <c r="J24" s="369">
        <f t="shared" si="10"/>
        <v>0</v>
      </c>
      <c r="K24" s="369">
        <f t="shared" si="10"/>
        <v>0</v>
      </c>
      <c r="L24" s="369">
        <f t="shared" si="10"/>
        <v>0</v>
      </c>
      <c r="M24" s="369">
        <f t="shared" si="10"/>
        <v>0</v>
      </c>
      <c r="N24" s="369">
        <f t="shared" si="10"/>
        <v>0</v>
      </c>
      <c r="O24" s="369">
        <f t="shared" si="10"/>
        <v>0</v>
      </c>
      <c r="P24" s="369">
        <f t="shared" si="10"/>
        <v>0</v>
      </c>
      <c r="Q24" s="369">
        <f t="shared" si="10"/>
        <v>0</v>
      </c>
      <c r="R24" s="369">
        <f>SUM(F24:Q24)</f>
        <v>0</v>
      </c>
      <c r="S24" s="298"/>
      <c r="T24" s="291">
        <f t="shared" si="6"/>
        <v>0</v>
      </c>
      <c r="U24" s="6"/>
      <c r="V24" s="6"/>
    </row>
    <row r="25" spans="1:22" x14ac:dyDescent="0.2">
      <c r="A25" s="16"/>
      <c r="B25" s="29" t="s">
        <v>358</v>
      </c>
      <c r="C25" s="28">
        <f>C$3*D25</f>
        <v>121668.57142857142</v>
      </c>
      <c r="D25" s="13">
        <f>[5]Recovery!$J$30</f>
        <v>248.30320699708454</v>
      </c>
      <c r="E25" s="7"/>
      <c r="F25" s="375">
        <f>$D25*F$3</f>
        <v>10677.037900874635</v>
      </c>
      <c r="G25" s="375">
        <f t="shared" ref="G25:Q31" si="11">$D25*G$3</f>
        <v>12166.857142857143</v>
      </c>
      <c r="H25" s="375">
        <f t="shared" si="11"/>
        <v>7200.7930029154522</v>
      </c>
      <c r="I25" s="375">
        <f t="shared" si="11"/>
        <v>7697.3994169096204</v>
      </c>
      <c r="J25" s="375">
        <f t="shared" si="11"/>
        <v>11173.644314868805</v>
      </c>
      <c r="K25" s="375">
        <f t="shared" si="11"/>
        <v>9435.5218658892118</v>
      </c>
      <c r="L25" s="375">
        <f t="shared" si="11"/>
        <v>9932.1282798833818</v>
      </c>
      <c r="M25" s="375">
        <f t="shared" si="11"/>
        <v>12911.766763848396</v>
      </c>
      <c r="N25" s="375">
        <f t="shared" si="11"/>
        <v>9435.5218658892118</v>
      </c>
      <c r="O25" s="375">
        <f t="shared" si="11"/>
        <v>9435.5218658892118</v>
      </c>
      <c r="P25" s="375">
        <f t="shared" si="11"/>
        <v>12166.857142857143</v>
      </c>
      <c r="Q25" s="375">
        <f t="shared" si="11"/>
        <v>9435.5218658892118</v>
      </c>
      <c r="R25" s="109">
        <f t="shared" ref="R25:R31" si="12">SUM(F25:Q25)</f>
        <v>121668.57142857142</v>
      </c>
      <c r="T25" s="3">
        <f t="shared" si="6"/>
        <v>0</v>
      </c>
    </row>
    <row r="26" spans="1:22" x14ac:dyDescent="0.2">
      <c r="A26" s="16"/>
      <c r="B26" s="29" t="s">
        <v>359</v>
      </c>
      <c r="C26" s="28">
        <f t="shared" ref="C26:C31" si="13">C$3*D26</f>
        <v>11180</v>
      </c>
      <c r="D26" s="13">
        <f>[5]Recovery!$J$31</f>
        <v>22.816326530612244</v>
      </c>
      <c r="E26" s="7"/>
      <c r="F26" s="375">
        <f t="shared" ref="F26:F31" si="14">$D26*F$3</f>
        <v>981.10204081632651</v>
      </c>
      <c r="G26" s="375">
        <f t="shared" si="11"/>
        <v>1118</v>
      </c>
      <c r="H26" s="375">
        <f t="shared" si="11"/>
        <v>661.67346938775506</v>
      </c>
      <c r="I26" s="375">
        <f t="shared" si="11"/>
        <v>707.30612244897952</v>
      </c>
      <c r="J26" s="375">
        <f t="shared" si="11"/>
        <v>1026.7346938775511</v>
      </c>
      <c r="K26" s="375">
        <f t="shared" si="11"/>
        <v>867.0204081632653</v>
      </c>
      <c r="L26" s="375">
        <f t="shared" si="11"/>
        <v>912.65306122448976</v>
      </c>
      <c r="M26" s="375">
        <f t="shared" si="11"/>
        <v>1186.4489795918366</v>
      </c>
      <c r="N26" s="375">
        <f t="shared" si="11"/>
        <v>867.0204081632653</v>
      </c>
      <c r="O26" s="375">
        <f t="shared" si="11"/>
        <v>867.0204081632653</v>
      </c>
      <c r="P26" s="375">
        <f t="shared" si="11"/>
        <v>1118</v>
      </c>
      <c r="Q26" s="375">
        <f t="shared" si="11"/>
        <v>867.0204081632653</v>
      </c>
      <c r="R26" s="109">
        <f t="shared" si="12"/>
        <v>11180</v>
      </c>
      <c r="T26" s="3">
        <f t="shared" si="6"/>
        <v>0</v>
      </c>
    </row>
    <row r="27" spans="1:22" x14ac:dyDescent="0.2">
      <c r="A27" s="16"/>
      <c r="B27" s="29" t="s">
        <v>390</v>
      </c>
      <c r="C27" s="28">
        <f t="shared" si="13"/>
        <v>59500</v>
      </c>
      <c r="D27" s="13">
        <f>[5]Recovery!$J$32</f>
        <v>121.42857142857143</v>
      </c>
      <c r="E27" s="7"/>
      <c r="F27" s="375">
        <f t="shared" si="14"/>
        <v>5221.4285714285716</v>
      </c>
      <c r="G27" s="375">
        <f t="shared" si="11"/>
        <v>5950</v>
      </c>
      <c r="H27" s="375">
        <f t="shared" si="11"/>
        <v>3521.4285714285716</v>
      </c>
      <c r="I27" s="375">
        <f t="shared" si="11"/>
        <v>3764.2857142857142</v>
      </c>
      <c r="J27" s="375">
        <f t="shared" si="11"/>
        <v>5464.2857142857147</v>
      </c>
      <c r="K27" s="375">
        <f t="shared" si="11"/>
        <v>4614.2857142857147</v>
      </c>
      <c r="L27" s="375">
        <f t="shared" si="11"/>
        <v>4857.1428571428569</v>
      </c>
      <c r="M27" s="375">
        <f t="shared" si="11"/>
        <v>6314.2857142857147</v>
      </c>
      <c r="N27" s="375">
        <f t="shared" si="11"/>
        <v>4614.2857142857147</v>
      </c>
      <c r="O27" s="375">
        <f t="shared" si="11"/>
        <v>4614.2857142857147</v>
      </c>
      <c r="P27" s="375">
        <f t="shared" si="11"/>
        <v>5950</v>
      </c>
      <c r="Q27" s="375">
        <f t="shared" si="11"/>
        <v>4614.2857142857147</v>
      </c>
      <c r="R27" s="109">
        <f t="shared" si="12"/>
        <v>59500.000000000015</v>
      </c>
      <c r="T27" s="3">
        <f t="shared" si="6"/>
        <v>0</v>
      </c>
    </row>
    <row r="28" spans="1:22" x14ac:dyDescent="0.2">
      <c r="A28" s="16"/>
      <c r="B28" s="29" t="s">
        <v>373</v>
      </c>
      <c r="C28" s="28">
        <f t="shared" si="13"/>
        <v>0</v>
      </c>
      <c r="D28" s="13"/>
      <c r="E28" s="7"/>
      <c r="F28" s="375">
        <f t="shared" si="14"/>
        <v>0</v>
      </c>
      <c r="G28" s="375">
        <f t="shared" si="11"/>
        <v>0</v>
      </c>
      <c r="H28" s="375">
        <f t="shared" si="11"/>
        <v>0</v>
      </c>
      <c r="I28" s="375">
        <f t="shared" si="11"/>
        <v>0</v>
      </c>
      <c r="J28" s="375">
        <f t="shared" si="11"/>
        <v>0</v>
      </c>
      <c r="K28" s="375">
        <f t="shared" si="11"/>
        <v>0</v>
      </c>
      <c r="L28" s="375">
        <f t="shared" si="11"/>
        <v>0</v>
      </c>
      <c r="M28" s="375">
        <f t="shared" si="11"/>
        <v>0</v>
      </c>
      <c r="N28" s="375">
        <f t="shared" si="11"/>
        <v>0</v>
      </c>
      <c r="O28" s="375">
        <f t="shared" si="11"/>
        <v>0</v>
      </c>
      <c r="P28" s="375">
        <f t="shared" si="11"/>
        <v>0</v>
      </c>
      <c r="Q28" s="375">
        <f t="shared" si="11"/>
        <v>0</v>
      </c>
      <c r="R28" s="109">
        <f t="shared" si="12"/>
        <v>0</v>
      </c>
      <c r="T28" s="3">
        <f t="shared" si="6"/>
        <v>0</v>
      </c>
    </row>
    <row r="29" spans="1:22" x14ac:dyDescent="0.2">
      <c r="A29" s="16"/>
      <c r="B29" s="29" t="s">
        <v>361</v>
      </c>
      <c r="C29" s="28">
        <f t="shared" si="13"/>
        <v>13291.428571428571</v>
      </c>
      <c r="D29" s="13">
        <f>[5]Recovery!$J$34</f>
        <v>27.125364431486879</v>
      </c>
      <c r="E29" s="7"/>
      <c r="F29" s="375">
        <f t="shared" si="14"/>
        <v>1166.3906705539357</v>
      </c>
      <c r="G29" s="375">
        <f t="shared" si="11"/>
        <v>1329.1428571428571</v>
      </c>
      <c r="H29" s="375">
        <f t="shared" si="11"/>
        <v>786.63556851311955</v>
      </c>
      <c r="I29" s="375">
        <f t="shared" si="11"/>
        <v>840.88629737609324</v>
      </c>
      <c r="J29" s="375">
        <f t="shared" si="11"/>
        <v>1220.6413994169095</v>
      </c>
      <c r="K29" s="375">
        <f t="shared" si="11"/>
        <v>1030.7638483965013</v>
      </c>
      <c r="L29" s="375">
        <f t="shared" si="11"/>
        <v>1085.0145772594751</v>
      </c>
      <c r="M29" s="375">
        <f t="shared" si="11"/>
        <v>1410.5189504373177</v>
      </c>
      <c r="N29" s="375">
        <f t="shared" si="11"/>
        <v>1030.7638483965013</v>
      </c>
      <c r="O29" s="375">
        <f t="shared" si="11"/>
        <v>1030.7638483965013</v>
      </c>
      <c r="P29" s="375">
        <f t="shared" si="11"/>
        <v>1329.1428571428571</v>
      </c>
      <c r="Q29" s="375">
        <f t="shared" si="11"/>
        <v>1030.7638483965013</v>
      </c>
      <c r="R29" s="109">
        <f t="shared" si="12"/>
        <v>13291.428571428572</v>
      </c>
      <c r="T29" s="3">
        <f t="shared" si="6"/>
        <v>0</v>
      </c>
    </row>
    <row r="30" spans="1:22" x14ac:dyDescent="0.2">
      <c r="A30" s="16"/>
      <c r="B30" s="29" t="s">
        <v>360</v>
      </c>
      <c r="C30" s="28">
        <f t="shared" si="13"/>
        <v>100080</v>
      </c>
      <c r="D30" s="13">
        <f>[5]Recovery!$J$35</f>
        <v>204.24489795918367</v>
      </c>
      <c r="E30" s="7"/>
      <c r="F30" s="375">
        <f t="shared" si="14"/>
        <v>8782.5306122448983</v>
      </c>
      <c r="G30" s="375">
        <f t="shared" si="11"/>
        <v>10008</v>
      </c>
      <c r="H30" s="375">
        <f t="shared" si="11"/>
        <v>5923.1020408163267</v>
      </c>
      <c r="I30" s="375">
        <f t="shared" si="11"/>
        <v>6331.591836734694</v>
      </c>
      <c r="J30" s="375">
        <f t="shared" si="11"/>
        <v>9191.0204081632655</v>
      </c>
      <c r="K30" s="375">
        <f t="shared" si="11"/>
        <v>7761.3061224489793</v>
      </c>
      <c r="L30" s="375">
        <f t="shared" si="11"/>
        <v>8169.7959183673465</v>
      </c>
      <c r="M30" s="375">
        <f t="shared" si="11"/>
        <v>10620.734693877552</v>
      </c>
      <c r="N30" s="375">
        <f t="shared" si="11"/>
        <v>7761.3061224489793</v>
      </c>
      <c r="O30" s="375">
        <f t="shared" si="11"/>
        <v>7761.3061224489793</v>
      </c>
      <c r="P30" s="375">
        <f t="shared" si="11"/>
        <v>10008</v>
      </c>
      <c r="Q30" s="375">
        <f t="shared" si="11"/>
        <v>7761.3061224489793</v>
      </c>
      <c r="R30" s="109">
        <f t="shared" si="12"/>
        <v>100080</v>
      </c>
      <c r="T30" s="3">
        <f t="shared" si="6"/>
        <v>0</v>
      </c>
    </row>
    <row r="31" spans="1:22" x14ac:dyDescent="0.2">
      <c r="A31" s="16"/>
      <c r="B31" s="29" t="s">
        <v>362</v>
      </c>
      <c r="C31" s="28">
        <f t="shared" si="13"/>
        <v>10242.857142857141</v>
      </c>
      <c r="D31" s="13">
        <f>[5]Recovery!$J$36</f>
        <v>20.903790087463555</v>
      </c>
      <c r="E31" s="7"/>
      <c r="F31" s="375">
        <f t="shared" si="14"/>
        <v>898.86297376093285</v>
      </c>
      <c r="G31" s="375">
        <f t="shared" si="11"/>
        <v>1024.2857142857142</v>
      </c>
      <c r="H31" s="375">
        <f t="shared" si="11"/>
        <v>606.20991253644308</v>
      </c>
      <c r="I31" s="375">
        <f t="shared" si="11"/>
        <v>648.01749271137021</v>
      </c>
      <c r="J31" s="375">
        <f t="shared" si="11"/>
        <v>940.67055393585997</v>
      </c>
      <c r="K31" s="375">
        <f t="shared" si="11"/>
        <v>794.34402332361515</v>
      </c>
      <c r="L31" s="375">
        <f t="shared" si="11"/>
        <v>836.15160349854227</v>
      </c>
      <c r="M31" s="375">
        <f t="shared" si="11"/>
        <v>1086.9970845481048</v>
      </c>
      <c r="N31" s="375">
        <f t="shared" si="11"/>
        <v>794.34402332361515</v>
      </c>
      <c r="O31" s="375">
        <f t="shared" si="11"/>
        <v>794.34402332361515</v>
      </c>
      <c r="P31" s="375">
        <f t="shared" si="11"/>
        <v>1024.2857142857142</v>
      </c>
      <c r="Q31" s="375">
        <f t="shared" si="11"/>
        <v>794.34402332361515</v>
      </c>
      <c r="R31" s="109">
        <f t="shared" si="12"/>
        <v>10242.857142857141</v>
      </c>
      <c r="T31" s="3">
        <f t="shared" si="6"/>
        <v>0</v>
      </c>
    </row>
    <row r="32" spans="1:22" s="5" customFormat="1" x14ac:dyDescent="0.2">
      <c r="A32" s="90">
        <v>31200.011999999999</v>
      </c>
      <c r="B32" s="161" t="s">
        <v>389</v>
      </c>
      <c r="C32" s="293">
        <f>SUM(C25:C31)</f>
        <v>315962.85714285716</v>
      </c>
      <c r="D32" s="292"/>
      <c r="E32" s="292"/>
      <c r="F32" s="369">
        <f t="shared" ref="F32:Q32" si="15">SUM(F25:F31)</f>
        <v>27727.352769679299</v>
      </c>
      <c r="G32" s="369">
        <f t="shared" si="15"/>
        <v>31596.285714285717</v>
      </c>
      <c r="H32" s="369">
        <f t="shared" si="15"/>
        <v>18699.842565597672</v>
      </c>
      <c r="I32" s="369">
        <f t="shared" si="15"/>
        <v>19989.486880466469</v>
      </c>
      <c r="J32" s="369">
        <f t="shared" si="15"/>
        <v>29016.997084548104</v>
      </c>
      <c r="K32" s="369">
        <f t="shared" si="15"/>
        <v>24503.241982507287</v>
      </c>
      <c r="L32" s="369">
        <f t="shared" si="15"/>
        <v>25792.886297376095</v>
      </c>
      <c r="M32" s="369">
        <f t="shared" si="15"/>
        <v>33530.752186588921</v>
      </c>
      <c r="N32" s="369">
        <f t="shared" si="15"/>
        <v>24503.241982507287</v>
      </c>
      <c r="O32" s="369">
        <f t="shared" si="15"/>
        <v>24503.241982507287</v>
      </c>
      <c r="P32" s="369">
        <f t="shared" si="15"/>
        <v>31596.285714285717</v>
      </c>
      <c r="Q32" s="369">
        <f t="shared" si="15"/>
        <v>24503.241982507287</v>
      </c>
      <c r="R32" s="369">
        <f>SUM(F32:Q32)</f>
        <v>315962.85714285716</v>
      </c>
      <c r="S32" s="298"/>
      <c r="T32" s="291">
        <f t="shared" si="6"/>
        <v>0</v>
      </c>
      <c r="U32" s="6"/>
      <c r="V32" s="6"/>
    </row>
    <row r="33" spans="1:22" s="5" customFormat="1" x14ac:dyDescent="0.2">
      <c r="A33" s="11"/>
      <c r="B33" s="10" t="s">
        <v>0</v>
      </c>
      <c r="C33" s="293">
        <f>C16+C24+C32</f>
        <v>359822.85714285716</v>
      </c>
      <c r="D33" s="299">
        <f>C33/C4</f>
        <v>625.77888198757762</v>
      </c>
      <c r="E33" s="299"/>
      <c r="F33" s="369">
        <f>SUM(F24+F32+F16)</f>
        <v>31855.352769679299</v>
      </c>
      <c r="G33" s="369">
        <f t="shared" ref="G33:Q33" si="16">SUM(G24+G32+G16)</f>
        <v>32112.285714285717</v>
      </c>
      <c r="H33" s="369">
        <f t="shared" si="16"/>
        <v>22311.842565597672</v>
      </c>
      <c r="I33" s="369">
        <f t="shared" si="16"/>
        <v>24117.486880466469</v>
      </c>
      <c r="J33" s="369">
        <f t="shared" si="16"/>
        <v>32628.997084548104</v>
      </c>
      <c r="K33" s="369">
        <f t="shared" si="16"/>
        <v>27599.241982507287</v>
      </c>
      <c r="L33" s="369">
        <f t="shared" si="16"/>
        <v>29920.886297376095</v>
      </c>
      <c r="M33" s="369">
        <f t="shared" si="16"/>
        <v>37142.752186588921</v>
      </c>
      <c r="N33" s="369">
        <f t="shared" si="16"/>
        <v>27599.241982507287</v>
      </c>
      <c r="O33" s="369">
        <f t="shared" si="16"/>
        <v>29663.241982507287</v>
      </c>
      <c r="P33" s="369">
        <f t="shared" si="16"/>
        <v>38820.285714285717</v>
      </c>
      <c r="Q33" s="369">
        <f t="shared" si="16"/>
        <v>26051.241982507287</v>
      </c>
      <c r="R33" s="369">
        <f>SUM(F33:Q33)</f>
        <v>359822.85714285716</v>
      </c>
      <c r="S33" s="298"/>
      <c r="T33" s="291">
        <f t="shared" si="6"/>
        <v>0</v>
      </c>
      <c r="U33" s="6"/>
      <c r="V33" s="6"/>
    </row>
    <row r="34" spans="1:22" x14ac:dyDescent="0.2">
      <c r="A34" s="711" t="s">
        <v>25</v>
      </c>
      <c r="B34" s="711"/>
      <c r="C34" s="711"/>
      <c r="D34" s="711"/>
      <c r="E34" s="37"/>
      <c r="F34" s="375"/>
      <c r="G34" s="375"/>
      <c r="H34" s="375"/>
      <c r="I34" s="375"/>
      <c r="J34" s="375"/>
      <c r="K34" s="375"/>
      <c r="L34" s="375"/>
      <c r="M34" s="375"/>
      <c r="N34" s="376"/>
      <c r="O34" s="376"/>
      <c r="P34" s="376"/>
      <c r="Q34" s="376"/>
      <c r="R34" s="109"/>
    </row>
    <row r="35" spans="1:22" ht="25.5" customHeight="1" x14ac:dyDescent="0.2">
      <c r="A35" s="21"/>
      <c r="B35" s="10" t="s">
        <v>385</v>
      </c>
      <c r="C35" s="20"/>
      <c r="F35" s="375"/>
      <c r="G35" s="375"/>
      <c r="H35" s="375"/>
      <c r="I35" s="375"/>
      <c r="J35" s="375"/>
      <c r="K35" s="375"/>
      <c r="L35" s="375"/>
      <c r="M35" s="375"/>
      <c r="N35" s="376"/>
      <c r="O35" s="376"/>
      <c r="P35" s="376"/>
      <c r="Q35" s="376"/>
      <c r="R35" s="109"/>
    </row>
    <row r="36" spans="1:22" s="12" customFormat="1" x14ac:dyDescent="0.2">
      <c r="A36" s="87">
        <v>41101.012000000002</v>
      </c>
      <c r="B36" s="15" t="s">
        <v>22</v>
      </c>
      <c r="C36" s="14"/>
      <c r="D36" s="13">
        <f>C36/C$4</f>
        <v>0</v>
      </c>
      <c r="E36" s="7"/>
      <c r="F36" s="375">
        <f>$D36*F$4</f>
        <v>0</v>
      </c>
      <c r="G36" s="375">
        <f t="shared" ref="G36:Q44" si="17">$D36*G$4</f>
        <v>0</v>
      </c>
      <c r="H36" s="375">
        <f t="shared" si="17"/>
        <v>0</v>
      </c>
      <c r="I36" s="375">
        <f t="shared" si="17"/>
        <v>0</v>
      </c>
      <c r="J36" s="375">
        <f t="shared" si="17"/>
        <v>0</v>
      </c>
      <c r="K36" s="375">
        <f t="shared" si="17"/>
        <v>0</v>
      </c>
      <c r="L36" s="375">
        <f t="shared" si="17"/>
        <v>0</v>
      </c>
      <c r="M36" s="375">
        <f t="shared" si="17"/>
        <v>0</v>
      </c>
      <c r="N36" s="375">
        <f t="shared" si="17"/>
        <v>0</v>
      </c>
      <c r="O36" s="375">
        <f t="shared" si="17"/>
        <v>0</v>
      </c>
      <c r="P36" s="375">
        <f t="shared" si="17"/>
        <v>0</v>
      </c>
      <c r="Q36" s="375">
        <f t="shared" si="17"/>
        <v>0</v>
      </c>
      <c r="R36" s="109">
        <f t="shared" ref="R36:R49" si="18">SUM(F36:Q36)</f>
        <v>0</v>
      </c>
      <c r="S36" s="4"/>
      <c r="T36" s="7">
        <f>C36-R36</f>
        <v>0</v>
      </c>
      <c r="U36" s="4"/>
      <c r="V36" s="4"/>
    </row>
    <row r="37" spans="1:22" x14ac:dyDescent="0.2">
      <c r="A37" s="87">
        <v>41110.012000000002</v>
      </c>
      <c r="B37" s="15" t="s">
        <v>21</v>
      </c>
      <c r="C37" s="14"/>
      <c r="D37" s="13">
        <f t="shared" ref="D37:D48" si="19">C37/C$4</f>
        <v>0</v>
      </c>
      <c r="E37" s="7"/>
      <c r="F37" s="375">
        <f t="shared" ref="F37:Q48" si="20">$D37*F$4</f>
        <v>0</v>
      </c>
      <c r="G37" s="375">
        <f t="shared" si="17"/>
        <v>0</v>
      </c>
      <c r="H37" s="375">
        <f t="shared" si="17"/>
        <v>0</v>
      </c>
      <c r="I37" s="375">
        <f t="shared" si="17"/>
        <v>0</v>
      </c>
      <c r="J37" s="375">
        <f t="shared" si="17"/>
        <v>0</v>
      </c>
      <c r="K37" s="375">
        <f t="shared" si="17"/>
        <v>0</v>
      </c>
      <c r="L37" s="375">
        <f t="shared" si="17"/>
        <v>0</v>
      </c>
      <c r="M37" s="375">
        <f t="shared" si="17"/>
        <v>0</v>
      </c>
      <c r="N37" s="375">
        <f t="shared" si="17"/>
        <v>0</v>
      </c>
      <c r="O37" s="375">
        <f t="shared" si="17"/>
        <v>0</v>
      </c>
      <c r="P37" s="375">
        <f t="shared" si="17"/>
        <v>0</v>
      </c>
      <c r="Q37" s="375">
        <f t="shared" si="17"/>
        <v>0</v>
      </c>
      <c r="R37" s="109">
        <f t="shared" si="18"/>
        <v>0</v>
      </c>
      <c r="T37" s="7">
        <f t="shared" ref="T37:T49" si="21">C37-R37</f>
        <v>0</v>
      </c>
    </row>
    <row r="38" spans="1:22" x14ac:dyDescent="0.2">
      <c r="A38" s="87">
        <v>41150.012000000002</v>
      </c>
      <c r="B38" s="15" t="s">
        <v>19</v>
      </c>
      <c r="C38" s="14"/>
      <c r="D38" s="13">
        <f t="shared" si="19"/>
        <v>0</v>
      </c>
      <c r="E38" s="7"/>
      <c r="F38" s="375">
        <f t="shared" si="20"/>
        <v>0</v>
      </c>
      <c r="G38" s="375">
        <f t="shared" si="17"/>
        <v>0</v>
      </c>
      <c r="H38" s="375">
        <f t="shared" si="17"/>
        <v>0</v>
      </c>
      <c r="I38" s="375">
        <f t="shared" si="17"/>
        <v>0</v>
      </c>
      <c r="J38" s="375">
        <f t="shared" si="17"/>
        <v>0</v>
      </c>
      <c r="K38" s="375">
        <f t="shared" si="17"/>
        <v>0</v>
      </c>
      <c r="L38" s="375">
        <f t="shared" si="17"/>
        <v>0</v>
      </c>
      <c r="M38" s="375">
        <f t="shared" si="17"/>
        <v>0</v>
      </c>
      <c r="N38" s="375">
        <f t="shared" si="17"/>
        <v>0</v>
      </c>
      <c r="O38" s="375">
        <f t="shared" si="17"/>
        <v>0</v>
      </c>
      <c r="P38" s="375">
        <f t="shared" si="17"/>
        <v>0</v>
      </c>
      <c r="Q38" s="375">
        <f t="shared" si="17"/>
        <v>0</v>
      </c>
      <c r="R38" s="109">
        <f t="shared" si="18"/>
        <v>0</v>
      </c>
      <c r="T38" s="7">
        <f t="shared" si="21"/>
        <v>0</v>
      </c>
    </row>
    <row r="39" spans="1:22" x14ac:dyDescent="0.2">
      <c r="A39" s="87">
        <v>41237.012000000002</v>
      </c>
      <c r="B39" s="15" t="s">
        <v>17</v>
      </c>
      <c r="C39" s="14">
        <f>[6]Recovery!$I$15</f>
        <v>1600</v>
      </c>
      <c r="D39" s="13">
        <f t="shared" si="19"/>
        <v>2.7826086956521738</v>
      </c>
      <c r="E39" s="7"/>
      <c r="F39" s="375">
        <f t="shared" si="20"/>
        <v>141.91304347826087</v>
      </c>
      <c r="G39" s="375">
        <f t="shared" si="17"/>
        <v>139.13043478260869</v>
      </c>
      <c r="H39" s="375">
        <f t="shared" si="17"/>
        <v>100.17391304347825</v>
      </c>
      <c r="I39" s="375">
        <f t="shared" si="17"/>
        <v>108.52173913043478</v>
      </c>
      <c r="J39" s="375">
        <f t="shared" si="17"/>
        <v>144.69565217391303</v>
      </c>
      <c r="K39" s="375">
        <f t="shared" si="17"/>
        <v>122.43478260869566</v>
      </c>
      <c r="L39" s="375">
        <f t="shared" si="17"/>
        <v>133.56521739130434</v>
      </c>
      <c r="M39" s="375">
        <f t="shared" si="17"/>
        <v>164.17391304347825</v>
      </c>
      <c r="N39" s="375">
        <f t="shared" si="17"/>
        <v>122.43478260869566</v>
      </c>
      <c r="O39" s="375">
        <f t="shared" si="17"/>
        <v>133.56521739130434</v>
      </c>
      <c r="P39" s="375">
        <f t="shared" si="17"/>
        <v>175.30434782608694</v>
      </c>
      <c r="Q39" s="375">
        <f t="shared" si="17"/>
        <v>114.08695652173913</v>
      </c>
      <c r="R39" s="109">
        <f t="shared" si="18"/>
        <v>1600</v>
      </c>
      <c r="T39" s="7">
        <f t="shared" si="21"/>
        <v>0</v>
      </c>
    </row>
    <row r="40" spans="1:22" x14ac:dyDescent="0.2">
      <c r="A40" s="87">
        <v>41246.012000000002</v>
      </c>
      <c r="B40" s="15" t="s">
        <v>16</v>
      </c>
      <c r="C40" s="14"/>
      <c r="D40" s="13">
        <f t="shared" si="19"/>
        <v>0</v>
      </c>
      <c r="E40" s="7"/>
      <c r="F40" s="375">
        <f t="shared" si="20"/>
        <v>0</v>
      </c>
      <c r="G40" s="375">
        <f t="shared" si="17"/>
        <v>0</v>
      </c>
      <c r="H40" s="375">
        <f t="shared" si="17"/>
        <v>0</v>
      </c>
      <c r="I40" s="375">
        <f t="shared" si="17"/>
        <v>0</v>
      </c>
      <c r="J40" s="375">
        <f t="shared" si="17"/>
        <v>0</v>
      </c>
      <c r="K40" s="375">
        <f t="shared" si="17"/>
        <v>0</v>
      </c>
      <c r="L40" s="375">
        <f t="shared" si="17"/>
        <v>0</v>
      </c>
      <c r="M40" s="375">
        <f t="shared" si="17"/>
        <v>0</v>
      </c>
      <c r="N40" s="375">
        <f t="shared" si="17"/>
        <v>0</v>
      </c>
      <c r="O40" s="375">
        <f t="shared" si="17"/>
        <v>0</v>
      </c>
      <c r="P40" s="375">
        <f t="shared" si="17"/>
        <v>0</v>
      </c>
      <c r="Q40" s="375">
        <f t="shared" si="17"/>
        <v>0</v>
      </c>
      <c r="R40" s="109">
        <f t="shared" si="18"/>
        <v>0</v>
      </c>
      <c r="T40" s="7">
        <f t="shared" si="21"/>
        <v>0</v>
      </c>
    </row>
    <row r="41" spans="1:22" x14ac:dyDescent="0.2">
      <c r="A41" s="87">
        <v>41250.012000000002</v>
      </c>
      <c r="B41" s="15" t="s">
        <v>15</v>
      </c>
      <c r="C41" s="14"/>
      <c r="D41" s="13">
        <f t="shared" si="19"/>
        <v>0</v>
      </c>
      <c r="E41" s="7"/>
      <c r="F41" s="375">
        <f t="shared" si="20"/>
        <v>0</v>
      </c>
      <c r="G41" s="375">
        <f t="shared" si="17"/>
        <v>0</v>
      </c>
      <c r="H41" s="375">
        <f t="shared" si="17"/>
        <v>0</v>
      </c>
      <c r="I41" s="375">
        <f t="shared" si="17"/>
        <v>0</v>
      </c>
      <c r="J41" s="375">
        <f t="shared" si="17"/>
        <v>0</v>
      </c>
      <c r="K41" s="375">
        <f t="shared" si="17"/>
        <v>0</v>
      </c>
      <c r="L41" s="375">
        <f t="shared" si="17"/>
        <v>0</v>
      </c>
      <c r="M41" s="375">
        <f t="shared" si="17"/>
        <v>0</v>
      </c>
      <c r="N41" s="375">
        <f t="shared" si="17"/>
        <v>0</v>
      </c>
      <c r="O41" s="375">
        <f t="shared" si="17"/>
        <v>0</v>
      </c>
      <c r="P41" s="375">
        <f t="shared" si="17"/>
        <v>0</v>
      </c>
      <c r="Q41" s="375">
        <f t="shared" si="17"/>
        <v>0</v>
      </c>
      <c r="R41" s="109">
        <f t="shared" si="18"/>
        <v>0</v>
      </c>
      <c r="T41" s="7">
        <f t="shared" si="21"/>
        <v>0</v>
      </c>
    </row>
    <row r="42" spans="1:22" x14ac:dyDescent="0.2">
      <c r="A42" s="87">
        <v>41260.012000000002</v>
      </c>
      <c r="B42" s="15" t="s">
        <v>14</v>
      </c>
      <c r="C42" s="14"/>
      <c r="D42" s="13">
        <f t="shared" si="19"/>
        <v>0</v>
      </c>
      <c r="E42" s="7"/>
      <c r="F42" s="375">
        <f t="shared" si="20"/>
        <v>0</v>
      </c>
      <c r="G42" s="375">
        <f t="shared" si="17"/>
        <v>0</v>
      </c>
      <c r="H42" s="375">
        <f t="shared" si="17"/>
        <v>0</v>
      </c>
      <c r="I42" s="375">
        <f t="shared" si="17"/>
        <v>0</v>
      </c>
      <c r="J42" s="375">
        <f t="shared" si="17"/>
        <v>0</v>
      </c>
      <c r="K42" s="375">
        <f t="shared" si="17"/>
        <v>0</v>
      </c>
      <c r="L42" s="375">
        <f t="shared" si="17"/>
        <v>0</v>
      </c>
      <c r="M42" s="375">
        <f t="shared" si="17"/>
        <v>0</v>
      </c>
      <c r="N42" s="375">
        <f t="shared" si="17"/>
        <v>0</v>
      </c>
      <c r="O42" s="375">
        <f t="shared" si="17"/>
        <v>0</v>
      </c>
      <c r="P42" s="375">
        <f t="shared" si="17"/>
        <v>0</v>
      </c>
      <c r="Q42" s="375">
        <f t="shared" si="17"/>
        <v>0</v>
      </c>
      <c r="R42" s="109">
        <f t="shared" si="18"/>
        <v>0</v>
      </c>
      <c r="T42" s="7">
        <f t="shared" si="21"/>
        <v>0</v>
      </c>
    </row>
    <row r="43" spans="1:22" x14ac:dyDescent="0.2">
      <c r="A43" s="132">
        <v>41365.012000000002</v>
      </c>
      <c r="B43" s="15" t="s">
        <v>10</v>
      </c>
      <c r="C43" s="14"/>
      <c r="D43" s="13">
        <f t="shared" si="19"/>
        <v>0</v>
      </c>
      <c r="E43" s="7"/>
      <c r="F43" s="375">
        <f t="shared" si="20"/>
        <v>0</v>
      </c>
      <c r="G43" s="375">
        <f t="shared" si="17"/>
        <v>0</v>
      </c>
      <c r="H43" s="375">
        <f t="shared" si="17"/>
        <v>0</v>
      </c>
      <c r="I43" s="375">
        <f t="shared" si="17"/>
        <v>0</v>
      </c>
      <c r="J43" s="375">
        <f t="shared" si="17"/>
        <v>0</v>
      </c>
      <c r="K43" s="375">
        <f t="shared" si="17"/>
        <v>0</v>
      </c>
      <c r="L43" s="375">
        <f t="shared" si="17"/>
        <v>0</v>
      </c>
      <c r="M43" s="375">
        <f t="shared" si="17"/>
        <v>0</v>
      </c>
      <c r="N43" s="375">
        <f t="shared" si="17"/>
        <v>0</v>
      </c>
      <c r="O43" s="375">
        <f t="shared" si="17"/>
        <v>0</v>
      </c>
      <c r="P43" s="375">
        <f t="shared" si="17"/>
        <v>0</v>
      </c>
      <c r="Q43" s="375">
        <f t="shared" si="17"/>
        <v>0</v>
      </c>
      <c r="R43" s="109">
        <f t="shared" si="18"/>
        <v>0</v>
      </c>
      <c r="T43" s="7">
        <f t="shared" si="21"/>
        <v>0</v>
      </c>
    </row>
    <row r="44" spans="1:22" x14ac:dyDescent="0.2">
      <c r="A44" s="87">
        <v>41426.012000000002</v>
      </c>
      <c r="B44" s="15" t="s">
        <v>8</v>
      </c>
      <c r="C44" s="14"/>
      <c r="D44" s="13">
        <f t="shared" si="19"/>
        <v>0</v>
      </c>
      <c r="E44" s="7"/>
      <c r="F44" s="375">
        <f t="shared" si="20"/>
        <v>0</v>
      </c>
      <c r="G44" s="375">
        <f t="shared" si="17"/>
        <v>0</v>
      </c>
      <c r="H44" s="375">
        <f t="shared" si="17"/>
        <v>0</v>
      </c>
      <c r="I44" s="375">
        <f t="shared" si="17"/>
        <v>0</v>
      </c>
      <c r="J44" s="375">
        <f t="shared" si="17"/>
        <v>0</v>
      </c>
      <c r="K44" s="375">
        <f t="shared" si="17"/>
        <v>0</v>
      </c>
      <c r="L44" s="375">
        <f t="shared" si="17"/>
        <v>0</v>
      </c>
      <c r="M44" s="375">
        <f t="shared" si="17"/>
        <v>0</v>
      </c>
      <c r="N44" s="375">
        <f t="shared" si="17"/>
        <v>0</v>
      </c>
      <c r="O44" s="375">
        <f t="shared" si="17"/>
        <v>0</v>
      </c>
      <c r="P44" s="375">
        <f t="shared" si="17"/>
        <v>0</v>
      </c>
      <c r="Q44" s="375">
        <f t="shared" si="17"/>
        <v>0</v>
      </c>
      <c r="R44" s="109">
        <f t="shared" si="18"/>
        <v>0</v>
      </c>
      <c r="T44" s="7">
        <f t="shared" si="21"/>
        <v>0</v>
      </c>
    </row>
    <row r="45" spans="1:22" x14ac:dyDescent="0.2">
      <c r="A45" s="87">
        <v>41490.012000000002</v>
      </c>
      <c r="B45" s="15" t="s">
        <v>367</v>
      </c>
      <c r="C45" s="14"/>
      <c r="D45" s="13">
        <f t="shared" si="19"/>
        <v>0</v>
      </c>
      <c r="E45" s="7"/>
      <c r="F45" s="375">
        <f t="shared" si="20"/>
        <v>0</v>
      </c>
      <c r="G45" s="375">
        <f t="shared" si="20"/>
        <v>0</v>
      </c>
      <c r="H45" s="375">
        <f t="shared" si="20"/>
        <v>0</v>
      </c>
      <c r="I45" s="375">
        <f t="shared" si="20"/>
        <v>0</v>
      </c>
      <c r="J45" s="375">
        <f t="shared" si="20"/>
        <v>0</v>
      </c>
      <c r="K45" s="375">
        <f t="shared" si="20"/>
        <v>0</v>
      </c>
      <c r="L45" s="375">
        <f t="shared" si="20"/>
        <v>0</v>
      </c>
      <c r="M45" s="375">
        <f t="shared" si="20"/>
        <v>0</v>
      </c>
      <c r="N45" s="375">
        <f t="shared" si="20"/>
        <v>0</v>
      </c>
      <c r="O45" s="375">
        <f t="shared" si="20"/>
        <v>0</v>
      </c>
      <c r="P45" s="375">
        <f t="shared" si="20"/>
        <v>0</v>
      </c>
      <c r="Q45" s="375">
        <f t="shared" si="20"/>
        <v>0</v>
      </c>
      <c r="R45" s="109">
        <f t="shared" si="18"/>
        <v>0</v>
      </c>
      <c r="T45" s="7">
        <f t="shared" si="21"/>
        <v>0</v>
      </c>
    </row>
    <row r="46" spans="1:22" x14ac:dyDescent="0.2">
      <c r="A46" s="87">
        <v>41509.012000000002</v>
      </c>
      <c r="B46" s="15" t="s">
        <v>3</v>
      </c>
      <c r="C46" s="14"/>
      <c r="D46" s="13">
        <f t="shared" si="19"/>
        <v>0</v>
      </c>
      <c r="E46" s="7"/>
      <c r="F46" s="375">
        <f t="shared" si="20"/>
        <v>0</v>
      </c>
      <c r="G46" s="375">
        <f t="shared" si="20"/>
        <v>0</v>
      </c>
      <c r="H46" s="375">
        <f t="shared" si="20"/>
        <v>0</v>
      </c>
      <c r="I46" s="375">
        <f t="shared" si="20"/>
        <v>0</v>
      </c>
      <c r="J46" s="375">
        <f t="shared" si="20"/>
        <v>0</v>
      </c>
      <c r="K46" s="375">
        <f t="shared" si="20"/>
        <v>0</v>
      </c>
      <c r="L46" s="375">
        <f t="shared" si="20"/>
        <v>0</v>
      </c>
      <c r="M46" s="375">
        <f t="shared" si="20"/>
        <v>0</v>
      </c>
      <c r="N46" s="375">
        <f t="shared" si="20"/>
        <v>0</v>
      </c>
      <c r="O46" s="375">
        <f t="shared" si="20"/>
        <v>0</v>
      </c>
      <c r="P46" s="375">
        <f t="shared" si="20"/>
        <v>0</v>
      </c>
      <c r="Q46" s="375">
        <f t="shared" si="20"/>
        <v>0</v>
      </c>
      <c r="R46" s="109">
        <f t="shared" si="18"/>
        <v>0</v>
      </c>
      <c r="T46" s="7">
        <f t="shared" si="21"/>
        <v>0</v>
      </c>
    </row>
    <row r="47" spans="1:22" x14ac:dyDescent="0.2">
      <c r="A47" s="87">
        <v>41570.012000000002</v>
      </c>
      <c r="B47" s="15" t="s">
        <v>2</v>
      </c>
      <c r="C47" s="14"/>
      <c r="D47" s="13">
        <f t="shared" si="19"/>
        <v>0</v>
      </c>
      <c r="E47" s="7"/>
      <c r="F47" s="375">
        <f t="shared" si="20"/>
        <v>0</v>
      </c>
      <c r="G47" s="375">
        <f t="shared" si="20"/>
        <v>0</v>
      </c>
      <c r="H47" s="375">
        <f t="shared" si="20"/>
        <v>0</v>
      </c>
      <c r="I47" s="375">
        <f t="shared" si="20"/>
        <v>0</v>
      </c>
      <c r="J47" s="375">
        <f t="shared" si="20"/>
        <v>0</v>
      </c>
      <c r="K47" s="375">
        <f t="shared" si="20"/>
        <v>0</v>
      </c>
      <c r="L47" s="375">
        <f t="shared" si="20"/>
        <v>0</v>
      </c>
      <c r="M47" s="375">
        <f t="shared" si="20"/>
        <v>0</v>
      </c>
      <c r="N47" s="375">
        <f t="shared" si="20"/>
        <v>0</v>
      </c>
      <c r="O47" s="375">
        <f t="shared" si="20"/>
        <v>0</v>
      </c>
      <c r="P47" s="375">
        <f t="shared" si="20"/>
        <v>0</v>
      </c>
      <c r="Q47" s="375">
        <f t="shared" si="20"/>
        <v>0</v>
      </c>
      <c r="R47" s="109">
        <f t="shared" si="18"/>
        <v>0</v>
      </c>
      <c r="T47" s="7">
        <f t="shared" si="21"/>
        <v>0</v>
      </c>
    </row>
    <row r="48" spans="1:22" x14ac:dyDescent="0.2">
      <c r="A48" s="87">
        <v>41571.012000000002</v>
      </c>
      <c r="B48" s="15" t="s">
        <v>1</v>
      </c>
      <c r="C48" s="14">
        <f>[6]Recovery!$I$16</f>
        <v>350</v>
      </c>
      <c r="D48" s="13">
        <f t="shared" si="19"/>
        <v>0.60869565217391308</v>
      </c>
      <c r="E48" s="7"/>
      <c r="F48" s="375">
        <f t="shared" si="20"/>
        <v>31.043478260869566</v>
      </c>
      <c r="G48" s="375">
        <f t="shared" si="20"/>
        <v>30.434782608695656</v>
      </c>
      <c r="H48" s="375">
        <f t="shared" si="20"/>
        <v>21.913043478260871</v>
      </c>
      <c r="I48" s="375">
        <f t="shared" si="20"/>
        <v>23.739130434782609</v>
      </c>
      <c r="J48" s="375">
        <f t="shared" si="20"/>
        <v>31.65217391304348</v>
      </c>
      <c r="K48" s="375">
        <f t="shared" si="20"/>
        <v>26.782608695652176</v>
      </c>
      <c r="L48" s="375">
        <f t="shared" si="20"/>
        <v>29.217391304347828</v>
      </c>
      <c r="M48" s="375">
        <f t="shared" si="20"/>
        <v>35.913043478260875</v>
      </c>
      <c r="N48" s="375">
        <f t="shared" si="20"/>
        <v>26.782608695652176</v>
      </c>
      <c r="O48" s="375">
        <f t="shared" si="20"/>
        <v>29.217391304347828</v>
      </c>
      <c r="P48" s="375">
        <f t="shared" si="20"/>
        <v>38.347826086956523</v>
      </c>
      <c r="Q48" s="375">
        <f t="shared" si="20"/>
        <v>24.956521739130437</v>
      </c>
      <c r="R48" s="109">
        <f t="shared" si="18"/>
        <v>350</v>
      </c>
      <c r="T48" s="7">
        <f t="shared" si="21"/>
        <v>0</v>
      </c>
    </row>
    <row r="49" spans="1:20" x14ac:dyDescent="0.2">
      <c r="A49" s="31"/>
      <c r="B49" s="77" t="s">
        <v>0</v>
      </c>
      <c r="C49" s="88">
        <f>SUM(C36:C48)</f>
        <v>1950</v>
      </c>
      <c r="F49" s="379">
        <f>SUM(F36:F48)</f>
        <v>172.95652173913044</v>
      </c>
      <c r="G49" s="379">
        <f t="shared" ref="G49:Q49" si="22">SUM(G36:G48)</f>
        <v>169.56521739130434</v>
      </c>
      <c r="H49" s="379">
        <f t="shared" si="22"/>
        <v>122.08695652173913</v>
      </c>
      <c r="I49" s="379">
        <f t="shared" si="22"/>
        <v>132.26086956521738</v>
      </c>
      <c r="J49" s="379">
        <f t="shared" si="22"/>
        <v>176.3478260869565</v>
      </c>
      <c r="K49" s="379">
        <f t="shared" si="22"/>
        <v>149.21739130434784</v>
      </c>
      <c r="L49" s="379">
        <f t="shared" si="22"/>
        <v>162.78260869565219</v>
      </c>
      <c r="M49" s="379">
        <f t="shared" si="22"/>
        <v>200.08695652173913</v>
      </c>
      <c r="N49" s="379">
        <f t="shared" si="22"/>
        <v>149.21739130434784</v>
      </c>
      <c r="O49" s="379">
        <f t="shared" si="22"/>
        <v>162.78260869565219</v>
      </c>
      <c r="P49" s="379">
        <f t="shared" si="22"/>
        <v>213.65217391304347</v>
      </c>
      <c r="Q49" s="379">
        <f t="shared" si="22"/>
        <v>139.04347826086956</v>
      </c>
      <c r="R49" s="109">
        <f t="shared" si="18"/>
        <v>1950</v>
      </c>
      <c r="T49" s="7">
        <f t="shared" si="21"/>
        <v>0</v>
      </c>
    </row>
    <row r="50" spans="1:20" x14ac:dyDescent="0.2">
      <c r="A50" s="4"/>
      <c r="B50" s="4"/>
      <c r="C50" s="7">
        <f>C49-C33</f>
        <v>-357872.85714285716</v>
      </c>
    </row>
    <row r="51" spans="1:20" x14ac:dyDescent="0.2">
      <c r="C51" s="3"/>
    </row>
    <row r="52" spans="1:20" x14ac:dyDescent="0.2">
      <c r="C52" s="3"/>
    </row>
    <row r="53" spans="1:20" x14ac:dyDescent="0.2">
      <c r="C53" s="96"/>
    </row>
    <row r="55" spans="1:20" x14ac:dyDescent="0.2">
      <c r="C55" s="3"/>
    </row>
    <row r="57" spans="1:20" x14ac:dyDescent="0.2">
      <c r="C57" s="96"/>
    </row>
  </sheetData>
  <mergeCells count="2">
    <mergeCell ref="A7:D7"/>
    <mergeCell ref="A34:D34"/>
  </mergeCells>
  <printOptions gridLines="1"/>
  <pageMargins left="0.25" right="0.25" top="0.75" bottom="0.75" header="0.3" footer="0.3"/>
  <pageSetup scale="53" orientation="landscape" r:id="rId1"/>
  <headerFooter alignWithMargins="0">
    <oddHeader xml:space="preserve">&amp;C&amp;"Arial,Bold"&amp;14DOCTORS MEMORIAL HOSPITAL
FY 2017 BUDGET
</oddHeader>
    <oddFooter xml:space="preserve">&amp;R&amp;A
</oddFooter>
  </headerFooter>
  <ignoredErrors>
    <ignoredError sqref="C16 F16:Q16"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X59"/>
  <sheetViews>
    <sheetView zoomScale="80" zoomScaleNormal="80" workbookViewId="0">
      <pane xSplit="2" ySplit="3" topLeftCell="C19" activePane="bottomRight" state="frozen"/>
      <selection pane="topRight" activeCell="C1" sqref="C1"/>
      <selection pane="bottomLeft" activeCell="A4" sqref="A4"/>
      <selection pane="bottomRight" activeCell="C39" sqref="C39"/>
    </sheetView>
  </sheetViews>
  <sheetFormatPr defaultRowHeight="12.75" x14ac:dyDescent="0.2"/>
  <cols>
    <col min="1" max="1" width="10.28515625" style="2" bestFit="1" customWidth="1"/>
    <col min="2" max="2" width="25.5703125" style="2" customWidth="1"/>
    <col min="3" max="3" width="13.7109375" style="4" bestFit="1" customWidth="1"/>
    <col min="4" max="4" width="13" style="4" bestFit="1" customWidth="1"/>
    <col min="5" max="5" width="3.28515625" style="4" customWidth="1"/>
    <col min="6" max="7" width="14.85546875" style="100" bestFit="1" customWidth="1"/>
    <col min="8" max="8" width="14.140625" style="100" bestFit="1" customWidth="1"/>
    <col min="9" max="9" width="14.7109375" style="100" bestFit="1" customWidth="1"/>
    <col min="10" max="10" width="14.85546875" style="100" bestFit="1" customWidth="1"/>
    <col min="11" max="11" width="14.7109375" style="100" bestFit="1" customWidth="1"/>
    <col min="12" max="12" width="14.85546875" style="100" bestFit="1" customWidth="1"/>
    <col min="13" max="13" width="15.42578125" style="100" bestFit="1" customWidth="1"/>
    <col min="14" max="14" width="14.85546875" style="100" bestFit="1" customWidth="1"/>
    <col min="15" max="15" width="14.7109375" style="100" bestFit="1" customWidth="1"/>
    <col min="16" max="16" width="15.85546875" style="100" bestFit="1" customWidth="1"/>
    <col min="17" max="17" width="15.140625" style="100" bestFit="1" customWidth="1"/>
    <col min="18" max="18" width="18.28515625" style="101" bestFit="1" customWidth="1"/>
    <col min="19" max="19" width="10" style="34" bestFit="1" customWidth="1"/>
    <col min="20" max="50" width="9.140625" style="2"/>
    <col min="51" max="256" width="9.140625" style="1"/>
    <col min="257" max="257" width="9.5703125" style="1" bestFit="1" customWidth="1"/>
    <col min="258" max="258" width="28" style="1" bestFit="1" customWidth="1"/>
    <col min="259" max="259" width="15.85546875" style="1" customWidth="1"/>
    <col min="260" max="260" width="10.85546875" style="1" customWidth="1"/>
    <col min="261" max="261" width="13" style="1" customWidth="1"/>
    <col min="262" max="273" width="10.5703125" style="1" customWidth="1"/>
    <col min="274" max="274" width="11.140625" style="1" bestFit="1" customWidth="1"/>
    <col min="275" max="512" width="9.140625" style="1"/>
    <col min="513" max="513" width="9.5703125" style="1" bestFit="1" customWidth="1"/>
    <col min="514" max="514" width="28" style="1" bestFit="1" customWidth="1"/>
    <col min="515" max="515" width="15.85546875" style="1" customWidth="1"/>
    <col min="516" max="516" width="10.85546875" style="1" customWidth="1"/>
    <col min="517" max="517" width="13" style="1" customWidth="1"/>
    <col min="518" max="529" width="10.5703125" style="1" customWidth="1"/>
    <col min="530" max="530" width="11.140625" style="1" bestFit="1" customWidth="1"/>
    <col min="531" max="768" width="9.140625" style="1"/>
    <col min="769" max="769" width="9.5703125" style="1" bestFit="1" customWidth="1"/>
    <col min="770" max="770" width="28" style="1" bestFit="1" customWidth="1"/>
    <col min="771" max="771" width="15.85546875" style="1" customWidth="1"/>
    <col min="772" max="772" width="10.85546875" style="1" customWidth="1"/>
    <col min="773" max="773" width="13" style="1" customWidth="1"/>
    <col min="774" max="785" width="10.5703125" style="1" customWidth="1"/>
    <col min="786" max="786" width="11.140625" style="1" bestFit="1" customWidth="1"/>
    <col min="787" max="1024" width="9.140625" style="1"/>
    <col min="1025" max="1025" width="9.5703125" style="1" bestFit="1" customWidth="1"/>
    <col min="1026" max="1026" width="28" style="1" bestFit="1" customWidth="1"/>
    <col min="1027" max="1027" width="15.85546875" style="1" customWidth="1"/>
    <col min="1028" max="1028" width="10.85546875" style="1" customWidth="1"/>
    <col min="1029" max="1029" width="13" style="1" customWidth="1"/>
    <col min="1030" max="1041" width="10.5703125" style="1" customWidth="1"/>
    <col min="1042" max="1042" width="11.140625" style="1" bestFit="1" customWidth="1"/>
    <col min="1043" max="1280" width="9.140625" style="1"/>
    <col min="1281" max="1281" width="9.5703125" style="1" bestFit="1" customWidth="1"/>
    <col min="1282" max="1282" width="28" style="1" bestFit="1" customWidth="1"/>
    <col min="1283" max="1283" width="15.85546875" style="1" customWidth="1"/>
    <col min="1284" max="1284" width="10.85546875" style="1" customWidth="1"/>
    <col min="1285" max="1285" width="13" style="1" customWidth="1"/>
    <col min="1286" max="1297" width="10.5703125" style="1" customWidth="1"/>
    <col min="1298" max="1298" width="11.140625" style="1" bestFit="1" customWidth="1"/>
    <col min="1299" max="1536" width="9.140625" style="1"/>
    <col min="1537" max="1537" width="9.5703125" style="1" bestFit="1" customWidth="1"/>
    <col min="1538" max="1538" width="28" style="1" bestFit="1" customWidth="1"/>
    <col min="1539" max="1539" width="15.85546875" style="1" customWidth="1"/>
    <col min="1540" max="1540" width="10.85546875" style="1" customWidth="1"/>
    <col min="1541" max="1541" width="13" style="1" customWidth="1"/>
    <col min="1542" max="1553" width="10.5703125" style="1" customWidth="1"/>
    <col min="1554" max="1554" width="11.140625" style="1" bestFit="1" customWidth="1"/>
    <col min="1555" max="1792" width="9.140625" style="1"/>
    <col min="1793" max="1793" width="9.5703125" style="1" bestFit="1" customWidth="1"/>
    <col min="1794" max="1794" width="28" style="1" bestFit="1" customWidth="1"/>
    <col min="1795" max="1795" width="15.85546875" style="1" customWidth="1"/>
    <col min="1796" max="1796" width="10.85546875" style="1" customWidth="1"/>
    <col min="1797" max="1797" width="13" style="1" customWidth="1"/>
    <col min="1798" max="1809" width="10.5703125" style="1" customWidth="1"/>
    <col min="1810" max="1810" width="11.140625" style="1" bestFit="1" customWidth="1"/>
    <col min="1811" max="2048" width="9.140625" style="1"/>
    <col min="2049" max="2049" width="9.5703125" style="1" bestFit="1" customWidth="1"/>
    <col min="2050" max="2050" width="28" style="1" bestFit="1" customWidth="1"/>
    <col min="2051" max="2051" width="15.85546875" style="1" customWidth="1"/>
    <col min="2052" max="2052" width="10.85546875" style="1" customWidth="1"/>
    <col min="2053" max="2053" width="13" style="1" customWidth="1"/>
    <col min="2054" max="2065" width="10.5703125" style="1" customWidth="1"/>
    <col min="2066" max="2066" width="11.140625" style="1" bestFit="1" customWidth="1"/>
    <col min="2067" max="2304" width="9.140625" style="1"/>
    <col min="2305" max="2305" width="9.5703125" style="1" bestFit="1" customWidth="1"/>
    <col min="2306" max="2306" width="28" style="1" bestFit="1" customWidth="1"/>
    <col min="2307" max="2307" width="15.85546875" style="1" customWidth="1"/>
    <col min="2308" max="2308" width="10.85546875" style="1" customWidth="1"/>
    <col min="2309" max="2309" width="13" style="1" customWidth="1"/>
    <col min="2310" max="2321" width="10.5703125" style="1" customWidth="1"/>
    <col min="2322" max="2322" width="11.140625" style="1" bestFit="1" customWidth="1"/>
    <col min="2323" max="2560" width="9.140625" style="1"/>
    <col min="2561" max="2561" width="9.5703125" style="1" bestFit="1" customWidth="1"/>
    <col min="2562" max="2562" width="28" style="1" bestFit="1" customWidth="1"/>
    <col min="2563" max="2563" width="15.85546875" style="1" customWidth="1"/>
    <col min="2564" max="2564" width="10.85546875" style="1" customWidth="1"/>
    <col min="2565" max="2565" width="13" style="1" customWidth="1"/>
    <col min="2566" max="2577" width="10.5703125" style="1" customWidth="1"/>
    <col min="2578" max="2578" width="11.140625" style="1" bestFit="1" customWidth="1"/>
    <col min="2579" max="2816" width="9.140625" style="1"/>
    <col min="2817" max="2817" width="9.5703125" style="1" bestFit="1" customWidth="1"/>
    <col min="2818" max="2818" width="28" style="1" bestFit="1" customWidth="1"/>
    <col min="2819" max="2819" width="15.85546875" style="1" customWidth="1"/>
    <col min="2820" max="2820" width="10.85546875" style="1" customWidth="1"/>
    <col min="2821" max="2821" width="13" style="1" customWidth="1"/>
    <col min="2822" max="2833" width="10.5703125" style="1" customWidth="1"/>
    <col min="2834" max="2834" width="11.140625" style="1" bestFit="1" customWidth="1"/>
    <col min="2835" max="3072" width="9.140625" style="1"/>
    <col min="3073" max="3073" width="9.5703125" style="1" bestFit="1" customWidth="1"/>
    <col min="3074" max="3074" width="28" style="1" bestFit="1" customWidth="1"/>
    <col min="3075" max="3075" width="15.85546875" style="1" customWidth="1"/>
    <col min="3076" max="3076" width="10.85546875" style="1" customWidth="1"/>
    <col min="3077" max="3077" width="13" style="1" customWidth="1"/>
    <col min="3078" max="3089" width="10.5703125" style="1" customWidth="1"/>
    <col min="3090" max="3090" width="11.140625" style="1" bestFit="1" customWidth="1"/>
    <col min="3091" max="3328" width="9.140625" style="1"/>
    <col min="3329" max="3329" width="9.5703125" style="1" bestFit="1" customWidth="1"/>
    <col min="3330" max="3330" width="28" style="1" bestFit="1" customWidth="1"/>
    <col min="3331" max="3331" width="15.85546875" style="1" customWidth="1"/>
    <col min="3332" max="3332" width="10.85546875" style="1" customWidth="1"/>
    <col min="3333" max="3333" width="13" style="1" customWidth="1"/>
    <col min="3334" max="3345" width="10.5703125" style="1" customWidth="1"/>
    <col min="3346" max="3346" width="11.140625" style="1" bestFit="1" customWidth="1"/>
    <col min="3347" max="3584" width="9.140625" style="1"/>
    <col min="3585" max="3585" width="9.5703125" style="1" bestFit="1" customWidth="1"/>
    <col min="3586" max="3586" width="28" style="1" bestFit="1" customWidth="1"/>
    <col min="3587" max="3587" width="15.85546875" style="1" customWidth="1"/>
    <col min="3588" max="3588" width="10.85546875" style="1" customWidth="1"/>
    <col min="3589" max="3589" width="13" style="1" customWidth="1"/>
    <col min="3590" max="3601" width="10.5703125" style="1" customWidth="1"/>
    <col min="3602" max="3602" width="11.140625" style="1" bestFit="1" customWidth="1"/>
    <col min="3603" max="3840" width="9.140625" style="1"/>
    <col min="3841" max="3841" width="9.5703125" style="1" bestFit="1" customWidth="1"/>
    <col min="3842" max="3842" width="28" style="1" bestFit="1" customWidth="1"/>
    <col min="3843" max="3843" width="15.85546875" style="1" customWidth="1"/>
    <col min="3844" max="3844" width="10.85546875" style="1" customWidth="1"/>
    <col min="3845" max="3845" width="13" style="1" customWidth="1"/>
    <col min="3846" max="3857" width="10.5703125" style="1" customWidth="1"/>
    <col min="3858" max="3858" width="11.140625" style="1" bestFit="1" customWidth="1"/>
    <col min="3859" max="4096" width="9.140625" style="1"/>
    <col min="4097" max="4097" width="9.5703125" style="1" bestFit="1" customWidth="1"/>
    <col min="4098" max="4098" width="28" style="1" bestFit="1" customWidth="1"/>
    <col min="4099" max="4099" width="15.85546875" style="1" customWidth="1"/>
    <col min="4100" max="4100" width="10.85546875" style="1" customWidth="1"/>
    <col min="4101" max="4101" width="13" style="1" customWidth="1"/>
    <col min="4102" max="4113" width="10.5703125" style="1" customWidth="1"/>
    <col min="4114" max="4114" width="11.140625" style="1" bestFit="1" customWidth="1"/>
    <col min="4115" max="4352" width="9.140625" style="1"/>
    <col min="4353" max="4353" width="9.5703125" style="1" bestFit="1" customWidth="1"/>
    <col min="4354" max="4354" width="28" style="1" bestFit="1" customWidth="1"/>
    <col min="4355" max="4355" width="15.85546875" style="1" customWidth="1"/>
    <col min="4356" max="4356" width="10.85546875" style="1" customWidth="1"/>
    <col min="4357" max="4357" width="13" style="1" customWidth="1"/>
    <col min="4358" max="4369" width="10.5703125" style="1" customWidth="1"/>
    <col min="4370" max="4370" width="11.140625" style="1" bestFit="1" customWidth="1"/>
    <col min="4371" max="4608" width="9.140625" style="1"/>
    <col min="4609" max="4609" width="9.5703125" style="1" bestFit="1" customWidth="1"/>
    <col min="4610" max="4610" width="28" style="1" bestFit="1" customWidth="1"/>
    <col min="4611" max="4611" width="15.85546875" style="1" customWidth="1"/>
    <col min="4612" max="4612" width="10.85546875" style="1" customWidth="1"/>
    <col min="4613" max="4613" width="13" style="1" customWidth="1"/>
    <col min="4614" max="4625" width="10.5703125" style="1" customWidth="1"/>
    <col min="4626" max="4626" width="11.140625" style="1" bestFit="1" customWidth="1"/>
    <col min="4627" max="4864" width="9.140625" style="1"/>
    <col min="4865" max="4865" width="9.5703125" style="1" bestFit="1" customWidth="1"/>
    <col min="4866" max="4866" width="28" style="1" bestFit="1" customWidth="1"/>
    <col min="4867" max="4867" width="15.85546875" style="1" customWidth="1"/>
    <col min="4868" max="4868" width="10.85546875" style="1" customWidth="1"/>
    <col min="4869" max="4869" width="13" style="1" customWidth="1"/>
    <col min="4870" max="4881" width="10.5703125" style="1" customWidth="1"/>
    <col min="4882" max="4882" width="11.140625" style="1" bestFit="1" customWidth="1"/>
    <col min="4883" max="5120" width="9.140625" style="1"/>
    <col min="5121" max="5121" width="9.5703125" style="1" bestFit="1" customWidth="1"/>
    <col min="5122" max="5122" width="28" style="1" bestFit="1" customWidth="1"/>
    <col min="5123" max="5123" width="15.85546875" style="1" customWidth="1"/>
    <col min="5124" max="5124" width="10.85546875" style="1" customWidth="1"/>
    <col min="5125" max="5125" width="13" style="1" customWidth="1"/>
    <col min="5126" max="5137" width="10.5703125" style="1" customWidth="1"/>
    <col min="5138" max="5138" width="11.140625" style="1" bestFit="1" customWidth="1"/>
    <col min="5139" max="5376" width="9.140625" style="1"/>
    <col min="5377" max="5377" width="9.5703125" style="1" bestFit="1" customWidth="1"/>
    <col min="5378" max="5378" width="28" style="1" bestFit="1" customWidth="1"/>
    <col min="5379" max="5379" width="15.85546875" style="1" customWidth="1"/>
    <col min="5380" max="5380" width="10.85546875" style="1" customWidth="1"/>
    <col min="5381" max="5381" width="13" style="1" customWidth="1"/>
    <col min="5382" max="5393" width="10.5703125" style="1" customWidth="1"/>
    <col min="5394" max="5394" width="11.140625" style="1" bestFit="1" customWidth="1"/>
    <col min="5395" max="5632" width="9.140625" style="1"/>
    <col min="5633" max="5633" width="9.5703125" style="1" bestFit="1" customWidth="1"/>
    <col min="5634" max="5634" width="28" style="1" bestFit="1" customWidth="1"/>
    <col min="5635" max="5635" width="15.85546875" style="1" customWidth="1"/>
    <col min="5636" max="5636" width="10.85546875" style="1" customWidth="1"/>
    <col min="5637" max="5637" width="13" style="1" customWidth="1"/>
    <col min="5638" max="5649" width="10.5703125" style="1" customWidth="1"/>
    <col min="5650" max="5650" width="11.140625" style="1" bestFit="1" customWidth="1"/>
    <col min="5651" max="5888" width="9.140625" style="1"/>
    <col min="5889" max="5889" width="9.5703125" style="1" bestFit="1" customWidth="1"/>
    <col min="5890" max="5890" width="28" style="1" bestFit="1" customWidth="1"/>
    <col min="5891" max="5891" width="15.85546875" style="1" customWidth="1"/>
    <col min="5892" max="5892" width="10.85546875" style="1" customWidth="1"/>
    <col min="5893" max="5893" width="13" style="1" customWidth="1"/>
    <col min="5894" max="5905" width="10.5703125" style="1" customWidth="1"/>
    <col min="5906" max="5906" width="11.140625" style="1" bestFit="1" customWidth="1"/>
    <col min="5907" max="6144" width="9.140625" style="1"/>
    <col min="6145" max="6145" width="9.5703125" style="1" bestFit="1" customWidth="1"/>
    <col min="6146" max="6146" width="28" style="1" bestFit="1" customWidth="1"/>
    <col min="6147" max="6147" width="15.85546875" style="1" customWidth="1"/>
    <col min="6148" max="6148" width="10.85546875" style="1" customWidth="1"/>
    <col min="6149" max="6149" width="13" style="1" customWidth="1"/>
    <col min="6150" max="6161" width="10.5703125" style="1" customWidth="1"/>
    <col min="6162" max="6162" width="11.140625" style="1" bestFit="1" customWidth="1"/>
    <col min="6163" max="6400" width="9.140625" style="1"/>
    <col min="6401" max="6401" width="9.5703125" style="1" bestFit="1" customWidth="1"/>
    <col min="6402" max="6402" width="28" style="1" bestFit="1" customWidth="1"/>
    <col min="6403" max="6403" width="15.85546875" style="1" customWidth="1"/>
    <col min="6404" max="6404" width="10.85546875" style="1" customWidth="1"/>
    <col min="6405" max="6405" width="13" style="1" customWidth="1"/>
    <col min="6406" max="6417" width="10.5703125" style="1" customWidth="1"/>
    <col min="6418" max="6418" width="11.140625" style="1" bestFit="1" customWidth="1"/>
    <col min="6419" max="6656" width="9.140625" style="1"/>
    <col min="6657" max="6657" width="9.5703125" style="1" bestFit="1" customWidth="1"/>
    <col min="6658" max="6658" width="28" style="1" bestFit="1" customWidth="1"/>
    <col min="6659" max="6659" width="15.85546875" style="1" customWidth="1"/>
    <col min="6660" max="6660" width="10.85546875" style="1" customWidth="1"/>
    <col min="6661" max="6661" width="13" style="1" customWidth="1"/>
    <col min="6662" max="6673" width="10.5703125" style="1" customWidth="1"/>
    <col min="6674" max="6674" width="11.140625" style="1" bestFit="1" customWidth="1"/>
    <col min="6675" max="6912" width="9.140625" style="1"/>
    <col min="6913" max="6913" width="9.5703125" style="1" bestFit="1" customWidth="1"/>
    <col min="6914" max="6914" width="28" style="1" bestFit="1" customWidth="1"/>
    <col min="6915" max="6915" width="15.85546875" style="1" customWidth="1"/>
    <col min="6916" max="6916" width="10.85546875" style="1" customWidth="1"/>
    <col min="6917" max="6917" width="13" style="1" customWidth="1"/>
    <col min="6918" max="6929" width="10.5703125" style="1" customWidth="1"/>
    <col min="6930" max="6930" width="11.140625" style="1" bestFit="1" customWidth="1"/>
    <col min="6931" max="7168" width="9.140625" style="1"/>
    <col min="7169" max="7169" width="9.5703125" style="1" bestFit="1" customWidth="1"/>
    <col min="7170" max="7170" width="28" style="1" bestFit="1" customWidth="1"/>
    <col min="7171" max="7171" width="15.85546875" style="1" customWidth="1"/>
    <col min="7172" max="7172" width="10.85546875" style="1" customWidth="1"/>
    <col min="7173" max="7173" width="13" style="1" customWidth="1"/>
    <col min="7174" max="7185" width="10.5703125" style="1" customWidth="1"/>
    <col min="7186" max="7186" width="11.140625" style="1" bestFit="1" customWidth="1"/>
    <col min="7187" max="7424" width="9.140625" style="1"/>
    <col min="7425" max="7425" width="9.5703125" style="1" bestFit="1" customWidth="1"/>
    <col min="7426" max="7426" width="28" style="1" bestFit="1" customWidth="1"/>
    <col min="7427" max="7427" width="15.85546875" style="1" customWidth="1"/>
    <col min="7428" max="7428" width="10.85546875" style="1" customWidth="1"/>
    <col min="7429" max="7429" width="13" style="1" customWidth="1"/>
    <col min="7430" max="7441" width="10.5703125" style="1" customWidth="1"/>
    <col min="7442" max="7442" width="11.140625" style="1" bestFit="1" customWidth="1"/>
    <col min="7443" max="7680" width="9.140625" style="1"/>
    <col min="7681" max="7681" width="9.5703125" style="1" bestFit="1" customWidth="1"/>
    <col min="7682" max="7682" width="28" style="1" bestFit="1" customWidth="1"/>
    <col min="7683" max="7683" width="15.85546875" style="1" customWidth="1"/>
    <col min="7684" max="7684" width="10.85546875" style="1" customWidth="1"/>
    <col min="7685" max="7685" width="13" style="1" customWidth="1"/>
    <col min="7686" max="7697" width="10.5703125" style="1" customWidth="1"/>
    <col min="7698" max="7698" width="11.140625" style="1" bestFit="1" customWidth="1"/>
    <col min="7699" max="7936" width="9.140625" style="1"/>
    <col min="7937" max="7937" width="9.5703125" style="1" bestFit="1" customWidth="1"/>
    <col min="7938" max="7938" width="28" style="1" bestFit="1" customWidth="1"/>
    <col min="7939" max="7939" width="15.85546875" style="1" customWidth="1"/>
    <col min="7940" max="7940" width="10.85546875" style="1" customWidth="1"/>
    <col min="7941" max="7941" width="13" style="1" customWidth="1"/>
    <col min="7942" max="7953" width="10.5703125" style="1" customWidth="1"/>
    <col min="7954" max="7954" width="11.140625" style="1" bestFit="1" customWidth="1"/>
    <col min="7955" max="8192" width="9.140625" style="1"/>
    <col min="8193" max="8193" width="9.5703125" style="1" bestFit="1" customWidth="1"/>
    <col min="8194" max="8194" width="28" style="1" bestFit="1" customWidth="1"/>
    <col min="8195" max="8195" width="15.85546875" style="1" customWidth="1"/>
    <col min="8196" max="8196" width="10.85546875" style="1" customWidth="1"/>
    <col min="8197" max="8197" width="13" style="1" customWidth="1"/>
    <col min="8198" max="8209" width="10.5703125" style="1" customWidth="1"/>
    <col min="8210" max="8210" width="11.140625" style="1" bestFit="1" customWidth="1"/>
    <col min="8211" max="8448" width="9.140625" style="1"/>
    <col min="8449" max="8449" width="9.5703125" style="1" bestFit="1" customWidth="1"/>
    <col min="8450" max="8450" width="28" style="1" bestFit="1" customWidth="1"/>
    <col min="8451" max="8451" width="15.85546875" style="1" customWidth="1"/>
    <col min="8452" max="8452" width="10.85546875" style="1" customWidth="1"/>
    <col min="8453" max="8453" width="13" style="1" customWidth="1"/>
    <col min="8454" max="8465" width="10.5703125" style="1" customWidth="1"/>
    <col min="8466" max="8466" width="11.140625" style="1" bestFit="1" customWidth="1"/>
    <col min="8467" max="8704" width="9.140625" style="1"/>
    <col min="8705" max="8705" width="9.5703125" style="1" bestFit="1" customWidth="1"/>
    <col min="8706" max="8706" width="28" style="1" bestFit="1" customWidth="1"/>
    <col min="8707" max="8707" width="15.85546875" style="1" customWidth="1"/>
    <col min="8708" max="8708" width="10.85546875" style="1" customWidth="1"/>
    <col min="8709" max="8709" width="13" style="1" customWidth="1"/>
    <col min="8710" max="8721" width="10.5703125" style="1" customWidth="1"/>
    <col min="8722" max="8722" width="11.140625" style="1" bestFit="1" customWidth="1"/>
    <col min="8723" max="8960" width="9.140625" style="1"/>
    <col min="8961" max="8961" width="9.5703125" style="1" bestFit="1" customWidth="1"/>
    <col min="8962" max="8962" width="28" style="1" bestFit="1" customWidth="1"/>
    <col min="8963" max="8963" width="15.85546875" style="1" customWidth="1"/>
    <col min="8964" max="8964" width="10.85546875" style="1" customWidth="1"/>
    <col min="8965" max="8965" width="13" style="1" customWidth="1"/>
    <col min="8966" max="8977" width="10.5703125" style="1" customWidth="1"/>
    <col min="8978" max="8978" width="11.140625" style="1" bestFit="1" customWidth="1"/>
    <col min="8979" max="9216" width="9.140625" style="1"/>
    <col min="9217" max="9217" width="9.5703125" style="1" bestFit="1" customWidth="1"/>
    <col min="9218" max="9218" width="28" style="1" bestFit="1" customWidth="1"/>
    <col min="9219" max="9219" width="15.85546875" style="1" customWidth="1"/>
    <col min="9220" max="9220" width="10.85546875" style="1" customWidth="1"/>
    <col min="9221" max="9221" width="13" style="1" customWidth="1"/>
    <col min="9222" max="9233" width="10.5703125" style="1" customWidth="1"/>
    <col min="9234" max="9234" width="11.140625" style="1" bestFit="1" customWidth="1"/>
    <col min="9235" max="9472" width="9.140625" style="1"/>
    <col min="9473" max="9473" width="9.5703125" style="1" bestFit="1" customWidth="1"/>
    <col min="9474" max="9474" width="28" style="1" bestFit="1" customWidth="1"/>
    <col min="9475" max="9475" width="15.85546875" style="1" customWidth="1"/>
    <col min="9476" max="9476" width="10.85546875" style="1" customWidth="1"/>
    <col min="9477" max="9477" width="13" style="1" customWidth="1"/>
    <col min="9478" max="9489" width="10.5703125" style="1" customWidth="1"/>
    <col min="9490" max="9490" width="11.140625" style="1" bestFit="1" customWidth="1"/>
    <col min="9491" max="9728" width="9.140625" style="1"/>
    <col min="9729" max="9729" width="9.5703125" style="1" bestFit="1" customWidth="1"/>
    <col min="9730" max="9730" width="28" style="1" bestFit="1" customWidth="1"/>
    <col min="9731" max="9731" width="15.85546875" style="1" customWidth="1"/>
    <col min="9732" max="9732" width="10.85546875" style="1" customWidth="1"/>
    <col min="9733" max="9733" width="13" style="1" customWidth="1"/>
    <col min="9734" max="9745" width="10.5703125" style="1" customWidth="1"/>
    <col min="9746" max="9746" width="11.140625" style="1" bestFit="1" customWidth="1"/>
    <col min="9747" max="9984" width="9.140625" style="1"/>
    <col min="9985" max="9985" width="9.5703125" style="1" bestFit="1" customWidth="1"/>
    <col min="9986" max="9986" width="28" style="1" bestFit="1" customWidth="1"/>
    <col min="9987" max="9987" width="15.85546875" style="1" customWidth="1"/>
    <col min="9988" max="9988" width="10.85546875" style="1" customWidth="1"/>
    <col min="9989" max="9989" width="13" style="1" customWidth="1"/>
    <col min="9990" max="10001" width="10.5703125" style="1" customWidth="1"/>
    <col min="10002" max="10002" width="11.140625" style="1" bestFit="1" customWidth="1"/>
    <col min="10003" max="10240" width="9.140625" style="1"/>
    <col min="10241" max="10241" width="9.5703125" style="1" bestFit="1" customWidth="1"/>
    <col min="10242" max="10242" width="28" style="1" bestFit="1" customWidth="1"/>
    <col min="10243" max="10243" width="15.85546875" style="1" customWidth="1"/>
    <col min="10244" max="10244" width="10.85546875" style="1" customWidth="1"/>
    <col min="10245" max="10245" width="13" style="1" customWidth="1"/>
    <col min="10246" max="10257" width="10.5703125" style="1" customWidth="1"/>
    <col min="10258" max="10258" width="11.140625" style="1" bestFit="1" customWidth="1"/>
    <col min="10259" max="10496" width="9.140625" style="1"/>
    <col min="10497" max="10497" width="9.5703125" style="1" bestFit="1" customWidth="1"/>
    <col min="10498" max="10498" width="28" style="1" bestFit="1" customWidth="1"/>
    <col min="10499" max="10499" width="15.85546875" style="1" customWidth="1"/>
    <col min="10500" max="10500" width="10.85546875" style="1" customWidth="1"/>
    <col min="10501" max="10501" width="13" style="1" customWidth="1"/>
    <col min="10502" max="10513" width="10.5703125" style="1" customWidth="1"/>
    <col min="10514" max="10514" width="11.140625" style="1" bestFit="1" customWidth="1"/>
    <col min="10515" max="10752" width="9.140625" style="1"/>
    <col min="10753" max="10753" width="9.5703125" style="1" bestFit="1" customWidth="1"/>
    <col min="10754" max="10754" width="28" style="1" bestFit="1" customWidth="1"/>
    <col min="10755" max="10755" width="15.85546875" style="1" customWidth="1"/>
    <col min="10756" max="10756" width="10.85546875" style="1" customWidth="1"/>
    <col min="10757" max="10757" width="13" style="1" customWidth="1"/>
    <col min="10758" max="10769" width="10.5703125" style="1" customWidth="1"/>
    <col min="10770" max="10770" width="11.140625" style="1" bestFit="1" customWidth="1"/>
    <col min="10771" max="11008" width="9.140625" style="1"/>
    <col min="11009" max="11009" width="9.5703125" style="1" bestFit="1" customWidth="1"/>
    <col min="11010" max="11010" width="28" style="1" bestFit="1" customWidth="1"/>
    <col min="11011" max="11011" width="15.85546875" style="1" customWidth="1"/>
    <col min="11012" max="11012" width="10.85546875" style="1" customWidth="1"/>
    <col min="11013" max="11013" width="13" style="1" customWidth="1"/>
    <col min="11014" max="11025" width="10.5703125" style="1" customWidth="1"/>
    <col min="11026" max="11026" width="11.140625" style="1" bestFit="1" customWidth="1"/>
    <col min="11027" max="11264" width="9.140625" style="1"/>
    <col min="11265" max="11265" width="9.5703125" style="1" bestFit="1" customWidth="1"/>
    <col min="11266" max="11266" width="28" style="1" bestFit="1" customWidth="1"/>
    <col min="11267" max="11267" width="15.85546875" style="1" customWidth="1"/>
    <col min="11268" max="11268" width="10.85546875" style="1" customWidth="1"/>
    <col min="11269" max="11269" width="13" style="1" customWidth="1"/>
    <col min="11270" max="11281" width="10.5703125" style="1" customWidth="1"/>
    <col min="11282" max="11282" width="11.140625" style="1" bestFit="1" customWidth="1"/>
    <col min="11283" max="11520" width="9.140625" style="1"/>
    <col min="11521" max="11521" width="9.5703125" style="1" bestFit="1" customWidth="1"/>
    <col min="11522" max="11522" width="28" style="1" bestFit="1" customWidth="1"/>
    <col min="11523" max="11523" width="15.85546875" style="1" customWidth="1"/>
    <col min="11524" max="11524" width="10.85546875" style="1" customWidth="1"/>
    <col min="11525" max="11525" width="13" style="1" customWidth="1"/>
    <col min="11526" max="11537" width="10.5703125" style="1" customWidth="1"/>
    <col min="11538" max="11538" width="11.140625" style="1" bestFit="1" customWidth="1"/>
    <col min="11539" max="11776" width="9.140625" style="1"/>
    <col min="11777" max="11777" width="9.5703125" style="1" bestFit="1" customWidth="1"/>
    <col min="11778" max="11778" width="28" style="1" bestFit="1" customWidth="1"/>
    <col min="11779" max="11779" width="15.85546875" style="1" customWidth="1"/>
    <col min="11780" max="11780" width="10.85546875" style="1" customWidth="1"/>
    <col min="11781" max="11781" width="13" style="1" customWidth="1"/>
    <col min="11782" max="11793" width="10.5703125" style="1" customWidth="1"/>
    <col min="11794" max="11794" width="11.140625" style="1" bestFit="1" customWidth="1"/>
    <col min="11795" max="12032" width="9.140625" style="1"/>
    <col min="12033" max="12033" width="9.5703125" style="1" bestFit="1" customWidth="1"/>
    <col min="12034" max="12034" width="28" style="1" bestFit="1" customWidth="1"/>
    <col min="12035" max="12035" width="15.85546875" style="1" customWidth="1"/>
    <col min="12036" max="12036" width="10.85546875" style="1" customWidth="1"/>
    <col min="12037" max="12037" width="13" style="1" customWidth="1"/>
    <col min="12038" max="12049" width="10.5703125" style="1" customWidth="1"/>
    <col min="12050" max="12050" width="11.140625" style="1" bestFit="1" customWidth="1"/>
    <col min="12051" max="12288" width="9.140625" style="1"/>
    <col min="12289" max="12289" width="9.5703125" style="1" bestFit="1" customWidth="1"/>
    <col min="12290" max="12290" width="28" style="1" bestFit="1" customWidth="1"/>
    <col min="12291" max="12291" width="15.85546875" style="1" customWidth="1"/>
    <col min="12292" max="12292" width="10.85546875" style="1" customWidth="1"/>
    <col min="12293" max="12293" width="13" style="1" customWidth="1"/>
    <col min="12294" max="12305" width="10.5703125" style="1" customWidth="1"/>
    <col min="12306" max="12306" width="11.140625" style="1" bestFit="1" customWidth="1"/>
    <col min="12307" max="12544" width="9.140625" style="1"/>
    <col min="12545" max="12545" width="9.5703125" style="1" bestFit="1" customWidth="1"/>
    <col min="12546" max="12546" width="28" style="1" bestFit="1" customWidth="1"/>
    <col min="12547" max="12547" width="15.85546875" style="1" customWidth="1"/>
    <col min="12548" max="12548" width="10.85546875" style="1" customWidth="1"/>
    <col min="12549" max="12549" width="13" style="1" customWidth="1"/>
    <col min="12550" max="12561" width="10.5703125" style="1" customWidth="1"/>
    <col min="12562" max="12562" width="11.140625" style="1" bestFit="1" customWidth="1"/>
    <col min="12563" max="12800" width="9.140625" style="1"/>
    <col min="12801" max="12801" width="9.5703125" style="1" bestFit="1" customWidth="1"/>
    <col min="12802" max="12802" width="28" style="1" bestFit="1" customWidth="1"/>
    <col min="12803" max="12803" width="15.85546875" style="1" customWidth="1"/>
    <col min="12804" max="12804" width="10.85546875" style="1" customWidth="1"/>
    <col min="12805" max="12805" width="13" style="1" customWidth="1"/>
    <col min="12806" max="12817" width="10.5703125" style="1" customWidth="1"/>
    <col min="12818" max="12818" width="11.140625" style="1" bestFit="1" customWidth="1"/>
    <col min="12819" max="13056" width="9.140625" style="1"/>
    <col min="13057" max="13057" width="9.5703125" style="1" bestFit="1" customWidth="1"/>
    <col min="13058" max="13058" width="28" style="1" bestFit="1" customWidth="1"/>
    <col min="13059" max="13059" width="15.85546875" style="1" customWidth="1"/>
    <col min="13060" max="13060" width="10.85546875" style="1" customWidth="1"/>
    <col min="13061" max="13061" width="13" style="1" customWidth="1"/>
    <col min="13062" max="13073" width="10.5703125" style="1" customWidth="1"/>
    <col min="13074" max="13074" width="11.140625" style="1" bestFit="1" customWidth="1"/>
    <col min="13075" max="13312" width="9.140625" style="1"/>
    <col min="13313" max="13313" width="9.5703125" style="1" bestFit="1" customWidth="1"/>
    <col min="13314" max="13314" width="28" style="1" bestFit="1" customWidth="1"/>
    <col min="13315" max="13315" width="15.85546875" style="1" customWidth="1"/>
    <col min="13316" max="13316" width="10.85546875" style="1" customWidth="1"/>
    <col min="13317" max="13317" width="13" style="1" customWidth="1"/>
    <col min="13318" max="13329" width="10.5703125" style="1" customWidth="1"/>
    <col min="13330" max="13330" width="11.140625" style="1" bestFit="1" customWidth="1"/>
    <col min="13331" max="13568" width="9.140625" style="1"/>
    <col min="13569" max="13569" width="9.5703125" style="1" bestFit="1" customWidth="1"/>
    <col min="13570" max="13570" width="28" style="1" bestFit="1" customWidth="1"/>
    <col min="13571" max="13571" width="15.85546875" style="1" customWidth="1"/>
    <col min="13572" max="13572" width="10.85546875" style="1" customWidth="1"/>
    <col min="13573" max="13573" width="13" style="1" customWidth="1"/>
    <col min="13574" max="13585" width="10.5703125" style="1" customWidth="1"/>
    <col min="13586" max="13586" width="11.140625" style="1" bestFit="1" customWidth="1"/>
    <col min="13587" max="13824" width="9.140625" style="1"/>
    <col min="13825" max="13825" width="9.5703125" style="1" bestFit="1" customWidth="1"/>
    <col min="13826" max="13826" width="28" style="1" bestFit="1" customWidth="1"/>
    <col min="13827" max="13827" width="15.85546875" style="1" customWidth="1"/>
    <col min="13828" max="13828" width="10.85546875" style="1" customWidth="1"/>
    <col min="13829" max="13829" width="13" style="1" customWidth="1"/>
    <col min="13830" max="13841" width="10.5703125" style="1" customWidth="1"/>
    <col min="13842" max="13842" width="11.140625" style="1" bestFit="1" customWidth="1"/>
    <col min="13843" max="14080" width="9.140625" style="1"/>
    <col min="14081" max="14081" width="9.5703125" style="1" bestFit="1" customWidth="1"/>
    <col min="14082" max="14082" width="28" style="1" bestFit="1" customWidth="1"/>
    <col min="14083" max="14083" width="15.85546875" style="1" customWidth="1"/>
    <col min="14084" max="14084" width="10.85546875" style="1" customWidth="1"/>
    <col min="14085" max="14085" width="13" style="1" customWidth="1"/>
    <col min="14086" max="14097" width="10.5703125" style="1" customWidth="1"/>
    <col min="14098" max="14098" width="11.140625" style="1" bestFit="1" customWidth="1"/>
    <col min="14099" max="14336" width="9.140625" style="1"/>
    <col min="14337" max="14337" width="9.5703125" style="1" bestFit="1" customWidth="1"/>
    <col min="14338" max="14338" width="28" style="1" bestFit="1" customWidth="1"/>
    <col min="14339" max="14339" width="15.85546875" style="1" customWidth="1"/>
    <col min="14340" max="14340" width="10.85546875" style="1" customWidth="1"/>
    <col min="14341" max="14341" width="13" style="1" customWidth="1"/>
    <col min="14342" max="14353" width="10.5703125" style="1" customWidth="1"/>
    <col min="14354" max="14354" width="11.140625" style="1" bestFit="1" customWidth="1"/>
    <col min="14355" max="14592" width="9.140625" style="1"/>
    <col min="14593" max="14593" width="9.5703125" style="1" bestFit="1" customWidth="1"/>
    <col min="14594" max="14594" width="28" style="1" bestFit="1" customWidth="1"/>
    <col min="14595" max="14595" width="15.85546875" style="1" customWidth="1"/>
    <col min="14596" max="14596" width="10.85546875" style="1" customWidth="1"/>
    <col min="14597" max="14597" width="13" style="1" customWidth="1"/>
    <col min="14598" max="14609" width="10.5703125" style="1" customWidth="1"/>
    <col min="14610" max="14610" width="11.140625" style="1" bestFit="1" customWidth="1"/>
    <col min="14611" max="14848" width="9.140625" style="1"/>
    <col min="14849" max="14849" width="9.5703125" style="1" bestFit="1" customWidth="1"/>
    <col min="14850" max="14850" width="28" style="1" bestFit="1" customWidth="1"/>
    <col min="14851" max="14851" width="15.85546875" style="1" customWidth="1"/>
    <col min="14852" max="14852" width="10.85546875" style="1" customWidth="1"/>
    <col min="14853" max="14853" width="13" style="1" customWidth="1"/>
    <col min="14854" max="14865" width="10.5703125" style="1" customWidth="1"/>
    <col min="14866" max="14866" width="11.140625" style="1" bestFit="1" customWidth="1"/>
    <col min="14867" max="15104" width="9.140625" style="1"/>
    <col min="15105" max="15105" width="9.5703125" style="1" bestFit="1" customWidth="1"/>
    <col min="15106" max="15106" width="28" style="1" bestFit="1" customWidth="1"/>
    <col min="15107" max="15107" width="15.85546875" style="1" customWidth="1"/>
    <col min="15108" max="15108" width="10.85546875" style="1" customWidth="1"/>
    <col min="15109" max="15109" width="13" style="1" customWidth="1"/>
    <col min="15110" max="15121" width="10.5703125" style="1" customWidth="1"/>
    <col min="15122" max="15122" width="11.140625" style="1" bestFit="1" customWidth="1"/>
    <col min="15123" max="15360" width="9.140625" style="1"/>
    <col min="15361" max="15361" width="9.5703125" style="1" bestFit="1" customWidth="1"/>
    <col min="15362" max="15362" width="28" style="1" bestFit="1" customWidth="1"/>
    <col min="15363" max="15363" width="15.85546875" style="1" customWidth="1"/>
    <col min="15364" max="15364" width="10.85546875" style="1" customWidth="1"/>
    <col min="15365" max="15365" width="13" style="1" customWidth="1"/>
    <col min="15366" max="15377" width="10.5703125" style="1" customWidth="1"/>
    <col min="15378" max="15378" width="11.140625" style="1" bestFit="1" customWidth="1"/>
    <col min="15379" max="15616" width="9.140625" style="1"/>
    <col min="15617" max="15617" width="9.5703125" style="1" bestFit="1" customWidth="1"/>
    <col min="15618" max="15618" width="28" style="1" bestFit="1" customWidth="1"/>
    <col min="15619" max="15619" width="15.85546875" style="1" customWidth="1"/>
    <col min="15620" max="15620" width="10.85546875" style="1" customWidth="1"/>
    <col min="15621" max="15621" width="13" style="1" customWidth="1"/>
    <col min="15622" max="15633" width="10.5703125" style="1" customWidth="1"/>
    <col min="15634" max="15634" width="11.140625" style="1" bestFit="1" customWidth="1"/>
    <col min="15635" max="15872" width="9.140625" style="1"/>
    <col min="15873" max="15873" width="9.5703125" style="1" bestFit="1" customWidth="1"/>
    <col min="15874" max="15874" width="28" style="1" bestFit="1" customWidth="1"/>
    <col min="15875" max="15875" width="15.85546875" style="1" customWidth="1"/>
    <col min="15876" max="15876" width="10.85546875" style="1" customWidth="1"/>
    <col min="15877" max="15877" width="13" style="1" customWidth="1"/>
    <col min="15878" max="15889" width="10.5703125" style="1" customWidth="1"/>
    <col min="15890" max="15890" width="11.140625" style="1" bestFit="1" customWidth="1"/>
    <col min="15891" max="16128" width="9.140625" style="1"/>
    <col min="16129" max="16129" width="9.5703125" style="1" bestFit="1" customWidth="1"/>
    <col min="16130" max="16130" width="28" style="1" bestFit="1" customWidth="1"/>
    <col min="16131" max="16131" width="15.85546875" style="1" customWidth="1"/>
    <col min="16132" max="16132" width="10.85546875" style="1" customWidth="1"/>
    <col min="16133" max="16133" width="13" style="1" customWidth="1"/>
    <col min="16134" max="16145" width="10.5703125" style="1" customWidth="1"/>
    <col min="16146" max="16146" width="11.140625" style="1" bestFit="1" customWidth="1"/>
    <col min="16147" max="16384" width="9.140625" style="1"/>
  </cols>
  <sheetData>
    <row r="1" spans="1:50" x14ac:dyDescent="0.2">
      <c r="F1" s="112" t="s">
        <v>49</v>
      </c>
      <c r="G1" s="112" t="s">
        <v>48</v>
      </c>
      <c r="H1" s="112" t="s">
        <v>47</v>
      </c>
      <c r="I1" s="112" t="s">
        <v>46</v>
      </c>
      <c r="J1" s="112" t="s">
        <v>45</v>
      </c>
      <c r="K1" s="112" t="s">
        <v>44</v>
      </c>
      <c r="L1" s="112" t="s">
        <v>43</v>
      </c>
      <c r="M1" s="112" t="s">
        <v>42</v>
      </c>
      <c r="N1" s="112" t="s">
        <v>41</v>
      </c>
      <c r="O1" s="112" t="s">
        <v>40</v>
      </c>
      <c r="P1" s="112" t="s">
        <v>39</v>
      </c>
      <c r="Q1" s="112" t="s">
        <v>38</v>
      </c>
      <c r="R1" s="112" t="s">
        <v>37</v>
      </c>
    </row>
    <row r="2" spans="1:50" x14ac:dyDescent="0.2">
      <c r="B2" s="35" t="s">
        <v>244</v>
      </c>
      <c r="C2" s="111">
        <f>STATS!D29</f>
        <v>575</v>
      </c>
      <c r="F2" s="131">
        <f>'MO STATS'!E25</f>
        <v>53</v>
      </c>
      <c r="G2" s="131">
        <f>'MO STATS'!F25</f>
        <v>54</v>
      </c>
      <c r="H2" s="131">
        <f>'MO STATS'!G25</f>
        <v>35</v>
      </c>
      <c r="I2" s="131">
        <f>'MO STATS'!H25</f>
        <v>40</v>
      </c>
      <c r="J2" s="131">
        <f>'MO STATS'!I25</f>
        <v>54</v>
      </c>
      <c r="K2" s="131">
        <f>'MO STATS'!J25</f>
        <v>46</v>
      </c>
      <c r="L2" s="131">
        <f>'MO STATS'!K25</f>
        <v>47</v>
      </c>
      <c r="M2" s="131">
        <f>'MO STATS'!L25</f>
        <v>61</v>
      </c>
      <c r="N2" s="131">
        <f>'MO STATS'!M25</f>
        <v>42</v>
      </c>
      <c r="O2" s="131">
        <f>'MO STATS'!N25</f>
        <v>48</v>
      </c>
      <c r="P2" s="131">
        <f>'MO STATS'!O25</f>
        <v>55</v>
      </c>
      <c r="Q2" s="131">
        <f>'MO STATS'!P25</f>
        <v>40</v>
      </c>
      <c r="R2" s="101">
        <f>SUM(F2:Q2)</f>
        <v>575</v>
      </c>
      <c r="S2" s="34">
        <f>C2-R2</f>
        <v>0</v>
      </c>
    </row>
    <row r="3" spans="1:50" x14ac:dyDescent="0.2">
      <c r="B3" s="35" t="s">
        <v>246</v>
      </c>
      <c r="C3" s="111">
        <f>STATS!D30</f>
        <v>26058</v>
      </c>
      <c r="F3" s="131">
        <f>'MO STATS'!E26</f>
        <v>1939</v>
      </c>
      <c r="G3" s="131">
        <f>'MO STATS'!F26</f>
        <v>2207</v>
      </c>
      <c r="H3" s="131">
        <f>'MO STATS'!G26</f>
        <v>1521</v>
      </c>
      <c r="I3" s="131">
        <f>'MO STATS'!H26</f>
        <v>1988</v>
      </c>
      <c r="J3" s="131">
        <f>'MO STATS'!I26</f>
        <v>2081</v>
      </c>
      <c r="K3" s="131">
        <f>'MO STATS'!J26</f>
        <v>2525</v>
      </c>
      <c r="L3" s="131">
        <f>'MO STATS'!K26</f>
        <v>1709</v>
      </c>
      <c r="M3" s="131">
        <f>'MO STATS'!L26</f>
        <v>2662</v>
      </c>
      <c r="N3" s="131">
        <f>'MO STATS'!M26</f>
        <v>2487</v>
      </c>
      <c r="O3" s="131">
        <f>'MO STATS'!N26</f>
        <v>2080</v>
      </c>
      <c r="P3" s="131">
        <f>'MO STATS'!O26</f>
        <v>3126</v>
      </c>
      <c r="Q3" s="131">
        <f>'MO STATS'!P26</f>
        <v>1733</v>
      </c>
      <c r="R3" s="101">
        <f>SUM(F3:Q3)</f>
        <v>26058</v>
      </c>
      <c r="S3" s="34">
        <f>C3-R3</f>
        <v>0</v>
      </c>
    </row>
    <row r="4" spans="1:50" x14ac:dyDescent="0.2">
      <c r="B4" s="72"/>
      <c r="C4" s="111"/>
    </row>
    <row r="5" spans="1:50" x14ac:dyDescent="0.2">
      <c r="A5" s="711" t="s">
        <v>35</v>
      </c>
      <c r="B5" s="711"/>
      <c r="C5" s="711"/>
      <c r="D5" s="711"/>
    </row>
    <row r="6" spans="1:50" s="108" customFormat="1" x14ac:dyDescent="0.2">
      <c r="A6" s="20"/>
      <c r="B6" s="113" t="s">
        <v>391</v>
      </c>
      <c r="C6" s="78"/>
      <c r="D6" s="114" t="s">
        <v>392</v>
      </c>
      <c r="E6" s="7"/>
      <c r="F6" s="39" t="s">
        <v>49</v>
      </c>
      <c r="G6" s="39" t="s">
        <v>48</v>
      </c>
      <c r="H6" s="39" t="s">
        <v>47</v>
      </c>
      <c r="I6" s="39" t="s">
        <v>46</v>
      </c>
      <c r="J6" s="39" t="s">
        <v>45</v>
      </c>
      <c r="K6" s="39" t="s">
        <v>44</v>
      </c>
      <c r="L6" s="39" t="s">
        <v>43</v>
      </c>
      <c r="M6" s="39" t="s">
        <v>42</v>
      </c>
      <c r="N6" s="39" t="s">
        <v>41</v>
      </c>
      <c r="O6" s="39" t="s">
        <v>40</v>
      </c>
      <c r="P6" s="39" t="s">
        <v>39</v>
      </c>
      <c r="Q6" s="39" t="s">
        <v>38</v>
      </c>
      <c r="R6" s="39" t="s">
        <v>37</v>
      </c>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s="108" customFormat="1" x14ac:dyDescent="0.2">
      <c r="A7" s="115"/>
      <c r="B7" s="116" t="s">
        <v>352</v>
      </c>
      <c r="C7" s="28">
        <f>C$3*D7</f>
        <v>55080.68263473054</v>
      </c>
      <c r="D7" s="13">
        <f>[5]Anesthesia!$J$10</f>
        <v>2.1137724550898205</v>
      </c>
      <c r="E7" s="7"/>
      <c r="F7" s="375">
        <f>$D7*F$3</f>
        <v>4098.6047904191619</v>
      </c>
      <c r="G7" s="375">
        <f t="shared" ref="G7:Q13" si="0">$D7*G$3</f>
        <v>4665.0958083832338</v>
      </c>
      <c r="H7" s="375">
        <f t="shared" si="0"/>
        <v>3215.0479041916169</v>
      </c>
      <c r="I7" s="375">
        <f t="shared" si="0"/>
        <v>4202.179640718563</v>
      </c>
      <c r="J7" s="375">
        <f t="shared" si="0"/>
        <v>4398.7604790419164</v>
      </c>
      <c r="K7" s="375">
        <f t="shared" si="0"/>
        <v>5337.2754491017968</v>
      </c>
      <c r="L7" s="375">
        <f t="shared" si="0"/>
        <v>3612.4371257485031</v>
      </c>
      <c r="M7" s="375">
        <f t="shared" si="0"/>
        <v>5626.8622754491025</v>
      </c>
      <c r="N7" s="375">
        <f t="shared" si="0"/>
        <v>5256.9520958083831</v>
      </c>
      <c r="O7" s="375">
        <f t="shared" si="0"/>
        <v>4396.6467065868264</v>
      </c>
      <c r="P7" s="375">
        <f t="shared" si="0"/>
        <v>6607.6526946107788</v>
      </c>
      <c r="Q7" s="375">
        <f t="shared" si="0"/>
        <v>3663.1676646706587</v>
      </c>
      <c r="R7" s="109">
        <f>SUM(F7:Q7)</f>
        <v>55080.68263473054</v>
      </c>
      <c r="S7" s="3">
        <f>C7-R7</f>
        <v>0</v>
      </c>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s="108" customFormat="1" x14ac:dyDescent="0.2">
      <c r="A8" s="115"/>
      <c r="B8" s="116" t="s">
        <v>353</v>
      </c>
      <c r="C8" s="28">
        <f t="shared" ref="C8:C29" si="1">C$3*D8</f>
        <v>3804.6207160147792</v>
      </c>
      <c r="D8" s="13">
        <f>[5]Anesthesia!$J$11</f>
        <v>0.14600586061918716</v>
      </c>
      <c r="E8" s="7"/>
      <c r="F8" s="375">
        <f t="shared" ref="F8:Q29" si="2">$D8*F$3</f>
        <v>283.10536374060388</v>
      </c>
      <c r="G8" s="375">
        <f t="shared" si="0"/>
        <v>322.23493438654606</v>
      </c>
      <c r="H8" s="375">
        <f t="shared" si="0"/>
        <v>222.07491400178367</v>
      </c>
      <c r="I8" s="375">
        <f t="shared" si="0"/>
        <v>290.25965091094406</v>
      </c>
      <c r="J8" s="375">
        <f t="shared" si="0"/>
        <v>303.83819594852849</v>
      </c>
      <c r="K8" s="375">
        <f t="shared" si="0"/>
        <v>368.66479806344756</v>
      </c>
      <c r="L8" s="375">
        <f t="shared" si="0"/>
        <v>249.52401579819085</v>
      </c>
      <c r="M8" s="375">
        <f t="shared" si="0"/>
        <v>388.66760096827625</v>
      </c>
      <c r="N8" s="375">
        <f t="shared" si="0"/>
        <v>363.11657535991844</v>
      </c>
      <c r="O8" s="375">
        <f t="shared" si="0"/>
        <v>303.6921900879093</v>
      </c>
      <c r="P8" s="375">
        <f t="shared" si="0"/>
        <v>456.41432029557905</v>
      </c>
      <c r="Q8" s="375">
        <f t="shared" si="0"/>
        <v>253.02815645305134</v>
      </c>
      <c r="R8" s="109">
        <f t="shared" ref="R8:R31" si="3">SUM(F8:Q8)</f>
        <v>3804.6207160147787</v>
      </c>
      <c r="S8" s="3">
        <f t="shared" ref="S8:S31" si="4">C8-R8</f>
        <v>0</v>
      </c>
      <c r="T8" s="3"/>
      <c r="U8" s="3" t="s">
        <v>393</v>
      </c>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s="108" customFormat="1" x14ac:dyDescent="0.2">
      <c r="A9" s="115"/>
      <c r="B9" s="116" t="s">
        <v>355</v>
      </c>
      <c r="C9" s="28">
        <f t="shared" si="1"/>
        <v>24338.284877054404</v>
      </c>
      <c r="D9" s="13">
        <f>[5]Anesthesia!$J$12</f>
        <v>0.93400433176200792</v>
      </c>
      <c r="E9" s="7"/>
      <c r="F9" s="375">
        <f t="shared" si="2"/>
        <v>1811.0343992865335</v>
      </c>
      <c r="G9" s="375">
        <f t="shared" si="0"/>
        <v>2061.3475601987516</v>
      </c>
      <c r="H9" s="375">
        <f t="shared" si="0"/>
        <v>1420.620588610014</v>
      </c>
      <c r="I9" s="375">
        <f t="shared" si="0"/>
        <v>1856.8006115428718</v>
      </c>
      <c r="J9" s="375">
        <f t="shared" si="0"/>
        <v>1943.6630143967384</v>
      </c>
      <c r="K9" s="375">
        <f t="shared" si="0"/>
        <v>2358.3609376990698</v>
      </c>
      <c r="L9" s="375">
        <f t="shared" si="0"/>
        <v>1596.2134029812714</v>
      </c>
      <c r="M9" s="375">
        <f t="shared" si="0"/>
        <v>2486.3195311504651</v>
      </c>
      <c r="N9" s="375">
        <f t="shared" si="0"/>
        <v>2322.8687730921138</v>
      </c>
      <c r="O9" s="375">
        <f t="shared" si="0"/>
        <v>1942.7290100649766</v>
      </c>
      <c r="P9" s="375">
        <f t="shared" si="0"/>
        <v>2919.6975410880368</v>
      </c>
      <c r="Q9" s="375">
        <f t="shared" si="0"/>
        <v>1618.6295069435598</v>
      </c>
      <c r="R9" s="109">
        <f t="shared" si="3"/>
        <v>24338.284877054404</v>
      </c>
      <c r="S9" s="3">
        <f t="shared" si="4"/>
        <v>0</v>
      </c>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s="108" customFormat="1" x14ac:dyDescent="0.2">
      <c r="A10" s="115"/>
      <c r="B10" s="116" t="s">
        <v>370</v>
      </c>
      <c r="C10" s="28">
        <f t="shared" si="1"/>
        <v>0</v>
      </c>
      <c r="D10" s="13"/>
      <c r="E10" s="7"/>
      <c r="F10" s="375">
        <f t="shared" si="2"/>
        <v>0</v>
      </c>
      <c r="G10" s="375">
        <f t="shared" si="0"/>
        <v>0</v>
      </c>
      <c r="H10" s="375">
        <f t="shared" si="0"/>
        <v>0</v>
      </c>
      <c r="I10" s="375">
        <f t="shared" si="0"/>
        <v>0</v>
      </c>
      <c r="J10" s="375">
        <f t="shared" si="0"/>
        <v>0</v>
      </c>
      <c r="K10" s="375">
        <f t="shared" si="0"/>
        <v>0</v>
      </c>
      <c r="L10" s="375">
        <f t="shared" si="0"/>
        <v>0</v>
      </c>
      <c r="M10" s="375">
        <f t="shared" si="0"/>
        <v>0</v>
      </c>
      <c r="N10" s="375">
        <f t="shared" si="0"/>
        <v>0</v>
      </c>
      <c r="O10" s="375">
        <f t="shared" si="0"/>
        <v>0</v>
      </c>
      <c r="P10" s="375">
        <f t="shared" si="0"/>
        <v>0</v>
      </c>
      <c r="Q10" s="375">
        <f t="shared" si="0"/>
        <v>0</v>
      </c>
      <c r="R10" s="109">
        <f t="shared" si="3"/>
        <v>0</v>
      </c>
      <c r="S10" s="3">
        <f t="shared" si="4"/>
        <v>0</v>
      </c>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s="108" customFormat="1" x14ac:dyDescent="0.2">
      <c r="A11" s="115"/>
      <c r="B11" s="116" t="s">
        <v>356</v>
      </c>
      <c r="C11" s="28">
        <f t="shared" si="1"/>
        <v>9016.8846986877306</v>
      </c>
      <c r="D11" s="13">
        <f>[5]Anesthesia!$J$13+[5]Anesthesia!$J$14</f>
        <v>0.3460313415721748</v>
      </c>
      <c r="E11" s="7"/>
      <c r="F11" s="375">
        <f t="shared" si="2"/>
        <v>670.95477130844699</v>
      </c>
      <c r="G11" s="375">
        <f t="shared" si="0"/>
        <v>763.69117084978973</v>
      </c>
      <c r="H11" s="375">
        <f t="shared" si="0"/>
        <v>526.31367053127792</v>
      </c>
      <c r="I11" s="375">
        <f t="shared" si="0"/>
        <v>687.91030704548348</v>
      </c>
      <c r="J11" s="375">
        <f t="shared" si="0"/>
        <v>720.09122181169573</v>
      </c>
      <c r="K11" s="375">
        <f t="shared" si="0"/>
        <v>873.72913746974132</v>
      </c>
      <c r="L11" s="375">
        <f t="shared" si="0"/>
        <v>591.36756274684672</v>
      </c>
      <c r="M11" s="375">
        <f t="shared" si="0"/>
        <v>921.13543126512934</v>
      </c>
      <c r="N11" s="375">
        <f t="shared" si="0"/>
        <v>860.57994648999875</v>
      </c>
      <c r="O11" s="375">
        <f t="shared" si="0"/>
        <v>719.74519047012359</v>
      </c>
      <c r="P11" s="375">
        <f t="shared" si="0"/>
        <v>1081.6939737546184</v>
      </c>
      <c r="Q11" s="375">
        <f t="shared" si="0"/>
        <v>599.67231494457894</v>
      </c>
      <c r="R11" s="109">
        <f t="shared" si="3"/>
        <v>9016.8846986877306</v>
      </c>
      <c r="S11" s="3">
        <f t="shared" si="4"/>
        <v>0</v>
      </c>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s="108" customFormat="1" x14ac:dyDescent="0.2">
      <c r="A12" s="115"/>
      <c r="B12" s="116" t="s">
        <v>354</v>
      </c>
      <c r="C12" s="28">
        <f t="shared" si="1"/>
        <v>13485.488087654478</v>
      </c>
      <c r="D12" s="13">
        <f>[5]Anesthesia!$J$15</f>
        <v>0.51751815517900368</v>
      </c>
      <c r="E12" s="7"/>
      <c r="F12" s="375">
        <f t="shared" si="2"/>
        <v>1003.4677028920881</v>
      </c>
      <c r="G12" s="375">
        <f t="shared" si="0"/>
        <v>1142.1625684800611</v>
      </c>
      <c r="H12" s="375">
        <f t="shared" si="0"/>
        <v>787.14511402726464</v>
      </c>
      <c r="I12" s="375">
        <f t="shared" si="0"/>
        <v>1028.8260924958593</v>
      </c>
      <c r="J12" s="375">
        <f t="shared" si="0"/>
        <v>1076.9552809275067</v>
      </c>
      <c r="K12" s="375">
        <f t="shared" si="0"/>
        <v>1306.7333418269843</v>
      </c>
      <c r="L12" s="375">
        <f t="shared" si="0"/>
        <v>884.43852720091729</v>
      </c>
      <c r="M12" s="375">
        <f t="shared" si="0"/>
        <v>1377.6333290865077</v>
      </c>
      <c r="N12" s="375">
        <f t="shared" si="0"/>
        <v>1287.0676519301821</v>
      </c>
      <c r="O12" s="375">
        <f t="shared" si="0"/>
        <v>1076.4377627723277</v>
      </c>
      <c r="P12" s="375">
        <f t="shared" si="0"/>
        <v>1617.7617530895654</v>
      </c>
      <c r="Q12" s="375">
        <f t="shared" si="0"/>
        <v>896.8589629252134</v>
      </c>
      <c r="R12" s="109">
        <f t="shared" si="3"/>
        <v>13485.488087654478</v>
      </c>
      <c r="S12" s="3">
        <f t="shared" si="4"/>
        <v>0</v>
      </c>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s="108" customFormat="1" x14ac:dyDescent="0.2">
      <c r="A13" s="115"/>
      <c r="B13" s="116" t="s">
        <v>357</v>
      </c>
      <c r="C13" s="28">
        <f t="shared" si="1"/>
        <v>7260.6505287297741</v>
      </c>
      <c r="D13" s="13">
        <f>[5]Anesthesia!$J$16</f>
        <v>0.2786342209198624</v>
      </c>
      <c r="E13" s="7"/>
      <c r="F13" s="375">
        <f t="shared" si="2"/>
        <v>540.27175436361324</v>
      </c>
      <c r="G13" s="375">
        <f t="shared" si="0"/>
        <v>614.94572557013635</v>
      </c>
      <c r="H13" s="375">
        <f t="shared" si="0"/>
        <v>423.80265001911073</v>
      </c>
      <c r="I13" s="375">
        <f t="shared" si="0"/>
        <v>553.92483118868643</v>
      </c>
      <c r="J13" s="375">
        <f t="shared" si="0"/>
        <v>579.83781373423369</v>
      </c>
      <c r="K13" s="375">
        <f t="shared" si="0"/>
        <v>703.55140782265255</v>
      </c>
      <c r="L13" s="375">
        <f t="shared" si="0"/>
        <v>476.18588355204486</v>
      </c>
      <c r="M13" s="375">
        <f t="shared" si="0"/>
        <v>741.72429608867367</v>
      </c>
      <c r="N13" s="375">
        <f t="shared" si="0"/>
        <v>692.96330742769783</v>
      </c>
      <c r="O13" s="375">
        <f t="shared" si="0"/>
        <v>579.55917951331378</v>
      </c>
      <c r="P13" s="375">
        <f t="shared" si="0"/>
        <v>871.01057459548986</v>
      </c>
      <c r="Q13" s="375">
        <f t="shared" si="0"/>
        <v>482.87310485412155</v>
      </c>
      <c r="R13" s="109">
        <f t="shared" si="3"/>
        <v>7260.6505287297741</v>
      </c>
      <c r="S13" s="3">
        <f t="shared" si="4"/>
        <v>0</v>
      </c>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s="108" customFormat="1" x14ac:dyDescent="0.2">
      <c r="A14" s="117">
        <v>31110.012999999999</v>
      </c>
      <c r="B14" s="118" t="s">
        <v>395</v>
      </c>
      <c r="C14" s="293">
        <f>SUM(C7:C13)</f>
        <v>112986.61154287172</v>
      </c>
      <c r="D14" s="292"/>
      <c r="E14" s="292"/>
      <c r="F14" s="369">
        <f>SUM(F7:F13)</f>
        <v>8407.4387820104475</v>
      </c>
      <c r="G14" s="369">
        <f t="shared" ref="G14:Q14" si="5">SUM(G7:G13)</f>
        <v>9569.4777678685186</v>
      </c>
      <c r="H14" s="369">
        <f t="shared" si="5"/>
        <v>6595.0048413810682</v>
      </c>
      <c r="I14" s="369">
        <f t="shared" si="5"/>
        <v>8619.9011339024073</v>
      </c>
      <c r="J14" s="369">
        <f t="shared" si="5"/>
        <v>9023.146005860619</v>
      </c>
      <c r="K14" s="369">
        <f t="shared" si="5"/>
        <v>10948.315071983694</v>
      </c>
      <c r="L14" s="369">
        <f t="shared" si="5"/>
        <v>7410.1665180277741</v>
      </c>
      <c r="M14" s="369">
        <f t="shared" si="5"/>
        <v>11542.342464008154</v>
      </c>
      <c r="N14" s="369">
        <f t="shared" si="5"/>
        <v>10783.548350108293</v>
      </c>
      <c r="O14" s="369">
        <f t="shared" si="5"/>
        <v>9018.8100394954763</v>
      </c>
      <c r="P14" s="369">
        <f t="shared" si="5"/>
        <v>13554.23085743407</v>
      </c>
      <c r="Q14" s="369">
        <f t="shared" si="5"/>
        <v>7514.2297107911836</v>
      </c>
      <c r="R14" s="369">
        <f t="shared" si="3"/>
        <v>112986.6115428717</v>
      </c>
      <c r="S14" s="291">
        <f t="shared" si="4"/>
        <v>0</v>
      </c>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s="108" customFormat="1" x14ac:dyDescent="0.2">
      <c r="A15" s="117"/>
      <c r="B15" s="29" t="s">
        <v>424</v>
      </c>
      <c r="C15" s="28">
        <f t="shared" si="1"/>
        <v>0</v>
      </c>
      <c r="D15" s="13">
        <v>0</v>
      </c>
      <c r="E15" s="7"/>
      <c r="F15" s="375">
        <f t="shared" si="2"/>
        <v>0</v>
      </c>
      <c r="G15" s="375">
        <f t="shared" si="2"/>
        <v>0</v>
      </c>
      <c r="H15" s="375">
        <f t="shared" si="2"/>
        <v>0</v>
      </c>
      <c r="I15" s="375">
        <f t="shared" si="2"/>
        <v>0</v>
      </c>
      <c r="J15" s="375">
        <f t="shared" si="2"/>
        <v>0</v>
      </c>
      <c r="K15" s="375">
        <f t="shared" si="2"/>
        <v>0</v>
      </c>
      <c r="L15" s="375">
        <f t="shared" si="2"/>
        <v>0</v>
      </c>
      <c r="M15" s="375">
        <f t="shared" si="2"/>
        <v>0</v>
      </c>
      <c r="N15" s="375">
        <f t="shared" si="2"/>
        <v>0</v>
      </c>
      <c r="O15" s="375">
        <f t="shared" si="2"/>
        <v>0</v>
      </c>
      <c r="P15" s="375">
        <f t="shared" si="2"/>
        <v>0</v>
      </c>
      <c r="Q15" s="375">
        <f t="shared" si="2"/>
        <v>0</v>
      </c>
      <c r="R15" s="109">
        <f t="shared" ref="R15:R21" si="6">SUM(F15:Q15)</f>
        <v>0</v>
      </c>
      <c r="S15" s="3">
        <f t="shared" ref="S15:S21" si="7">C15-R15</f>
        <v>0</v>
      </c>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s="108" customFormat="1" x14ac:dyDescent="0.2">
      <c r="A16" s="117"/>
      <c r="B16" s="29" t="s">
        <v>425</v>
      </c>
      <c r="C16" s="28">
        <f t="shared" si="1"/>
        <v>0</v>
      </c>
      <c r="D16" s="13">
        <v>0</v>
      </c>
      <c r="E16" s="7"/>
      <c r="F16" s="375">
        <f t="shared" si="2"/>
        <v>0</v>
      </c>
      <c r="G16" s="375">
        <f t="shared" si="2"/>
        <v>0</v>
      </c>
      <c r="H16" s="375">
        <f t="shared" si="2"/>
        <v>0</v>
      </c>
      <c r="I16" s="375">
        <f t="shared" si="2"/>
        <v>0</v>
      </c>
      <c r="J16" s="375">
        <f t="shared" si="2"/>
        <v>0</v>
      </c>
      <c r="K16" s="375">
        <f t="shared" si="2"/>
        <v>0</v>
      </c>
      <c r="L16" s="375">
        <f t="shared" si="2"/>
        <v>0</v>
      </c>
      <c r="M16" s="375">
        <f t="shared" si="2"/>
        <v>0</v>
      </c>
      <c r="N16" s="375">
        <f t="shared" si="2"/>
        <v>0</v>
      </c>
      <c r="O16" s="375">
        <f t="shared" si="2"/>
        <v>0</v>
      </c>
      <c r="P16" s="375">
        <f t="shared" si="2"/>
        <v>0</v>
      </c>
      <c r="Q16" s="375">
        <f t="shared" si="2"/>
        <v>0</v>
      </c>
      <c r="R16" s="109">
        <f t="shared" si="6"/>
        <v>0</v>
      </c>
      <c r="S16" s="3">
        <f t="shared" si="7"/>
        <v>0</v>
      </c>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s="108" customFormat="1" x14ac:dyDescent="0.2">
      <c r="A17" s="117"/>
      <c r="B17" s="29" t="s">
        <v>426</v>
      </c>
      <c r="C17" s="28">
        <f t="shared" si="1"/>
        <v>0</v>
      </c>
      <c r="D17" s="13">
        <v>0</v>
      </c>
      <c r="E17" s="7"/>
      <c r="F17" s="375">
        <f t="shared" si="2"/>
        <v>0</v>
      </c>
      <c r="G17" s="375">
        <f t="shared" si="2"/>
        <v>0</v>
      </c>
      <c r="H17" s="375">
        <f t="shared" si="2"/>
        <v>0</v>
      </c>
      <c r="I17" s="375">
        <f t="shared" si="2"/>
        <v>0</v>
      </c>
      <c r="J17" s="375">
        <f t="shared" si="2"/>
        <v>0</v>
      </c>
      <c r="K17" s="375">
        <f t="shared" si="2"/>
        <v>0</v>
      </c>
      <c r="L17" s="375">
        <f t="shared" si="2"/>
        <v>0</v>
      </c>
      <c r="M17" s="375">
        <f t="shared" si="2"/>
        <v>0</v>
      </c>
      <c r="N17" s="375">
        <f t="shared" si="2"/>
        <v>0</v>
      </c>
      <c r="O17" s="375">
        <f t="shared" si="2"/>
        <v>0</v>
      </c>
      <c r="P17" s="375">
        <f t="shared" si="2"/>
        <v>0</v>
      </c>
      <c r="Q17" s="375">
        <f t="shared" si="2"/>
        <v>0</v>
      </c>
      <c r="R17" s="109">
        <f t="shared" si="6"/>
        <v>0</v>
      </c>
      <c r="S17" s="3">
        <f t="shared" si="7"/>
        <v>0</v>
      </c>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s="108" customFormat="1" x14ac:dyDescent="0.2">
      <c r="A18" s="117"/>
      <c r="B18" s="29" t="s">
        <v>427</v>
      </c>
      <c r="C18" s="28">
        <f t="shared" si="1"/>
        <v>0</v>
      </c>
      <c r="D18" s="13">
        <v>0</v>
      </c>
      <c r="E18" s="7"/>
      <c r="F18" s="375">
        <f t="shared" si="2"/>
        <v>0</v>
      </c>
      <c r="G18" s="375">
        <f t="shared" si="2"/>
        <v>0</v>
      </c>
      <c r="H18" s="375">
        <f t="shared" si="2"/>
        <v>0</v>
      </c>
      <c r="I18" s="375">
        <f t="shared" si="2"/>
        <v>0</v>
      </c>
      <c r="J18" s="375">
        <f t="shared" si="2"/>
        <v>0</v>
      </c>
      <c r="K18" s="375">
        <f t="shared" si="2"/>
        <v>0</v>
      </c>
      <c r="L18" s="375">
        <f t="shared" si="2"/>
        <v>0</v>
      </c>
      <c r="M18" s="375">
        <f t="shared" si="2"/>
        <v>0</v>
      </c>
      <c r="N18" s="375">
        <f t="shared" si="2"/>
        <v>0</v>
      </c>
      <c r="O18" s="375">
        <f t="shared" si="2"/>
        <v>0</v>
      </c>
      <c r="P18" s="375">
        <f t="shared" si="2"/>
        <v>0</v>
      </c>
      <c r="Q18" s="375">
        <f t="shared" si="2"/>
        <v>0</v>
      </c>
      <c r="R18" s="109">
        <f t="shared" si="6"/>
        <v>0</v>
      </c>
      <c r="S18" s="3">
        <f t="shared" si="7"/>
        <v>0</v>
      </c>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s="108" customFormat="1" x14ac:dyDescent="0.2">
      <c r="A19" s="117"/>
      <c r="B19" s="29" t="s">
        <v>428</v>
      </c>
      <c r="C19" s="28">
        <f t="shared" si="1"/>
        <v>0</v>
      </c>
      <c r="D19" s="13">
        <v>0</v>
      </c>
      <c r="E19" s="7"/>
      <c r="F19" s="375">
        <f t="shared" si="2"/>
        <v>0</v>
      </c>
      <c r="G19" s="375">
        <f t="shared" si="2"/>
        <v>0</v>
      </c>
      <c r="H19" s="375">
        <f t="shared" si="2"/>
        <v>0</v>
      </c>
      <c r="I19" s="375">
        <f t="shared" si="2"/>
        <v>0</v>
      </c>
      <c r="J19" s="375">
        <f t="shared" si="2"/>
        <v>0</v>
      </c>
      <c r="K19" s="375">
        <f t="shared" si="2"/>
        <v>0</v>
      </c>
      <c r="L19" s="375">
        <f t="shared" si="2"/>
        <v>0</v>
      </c>
      <c r="M19" s="375">
        <f t="shared" si="2"/>
        <v>0</v>
      </c>
      <c r="N19" s="375">
        <f t="shared" si="2"/>
        <v>0</v>
      </c>
      <c r="O19" s="375">
        <f t="shared" si="2"/>
        <v>0</v>
      </c>
      <c r="P19" s="375">
        <f t="shared" si="2"/>
        <v>0</v>
      </c>
      <c r="Q19" s="375">
        <f t="shared" si="2"/>
        <v>0</v>
      </c>
      <c r="R19" s="109">
        <f t="shared" si="6"/>
        <v>0</v>
      </c>
      <c r="S19" s="3">
        <f t="shared" si="7"/>
        <v>0</v>
      </c>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s="108" customFormat="1" x14ac:dyDescent="0.2">
      <c r="A20" s="117"/>
      <c r="B20" s="29" t="s">
        <v>429</v>
      </c>
      <c r="C20" s="28">
        <f t="shared" si="1"/>
        <v>0</v>
      </c>
      <c r="D20" s="13">
        <v>0</v>
      </c>
      <c r="E20" s="7"/>
      <c r="F20" s="375">
        <f t="shared" si="2"/>
        <v>0</v>
      </c>
      <c r="G20" s="375">
        <f t="shared" si="2"/>
        <v>0</v>
      </c>
      <c r="H20" s="375">
        <f t="shared" si="2"/>
        <v>0</v>
      </c>
      <c r="I20" s="375">
        <f t="shared" si="2"/>
        <v>0</v>
      </c>
      <c r="J20" s="375">
        <f t="shared" si="2"/>
        <v>0</v>
      </c>
      <c r="K20" s="375">
        <f t="shared" si="2"/>
        <v>0</v>
      </c>
      <c r="L20" s="375">
        <f t="shared" si="2"/>
        <v>0</v>
      </c>
      <c r="M20" s="375">
        <f t="shared" si="2"/>
        <v>0</v>
      </c>
      <c r="N20" s="375">
        <f t="shared" si="2"/>
        <v>0</v>
      </c>
      <c r="O20" s="375">
        <f t="shared" si="2"/>
        <v>0</v>
      </c>
      <c r="P20" s="375">
        <f t="shared" si="2"/>
        <v>0</v>
      </c>
      <c r="Q20" s="375">
        <f t="shared" si="2"/>
        <v>0</v>
      </c>
      <c r="R20" s="109">
        <f t="shared" si="6"/>
        <v>0</v>
      </c>
      <c r="S20" s="3">
        <f t="shared" si="7"/>
        <v>0</v>
      </c>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s="108" customFormat="1" x14ac:dyDescent="0.2">
      <c r="A21" s="117"/>
      <c r="B21" s="29" t="s">
        <v>430</v>
      </c>
      <c r="C21" s="28">
        <f t="shared" si="1"/>
        <v>0</v>
      </c>
      <c r="D21" s="13">
        <v>0</v>
      </c>
      <c r="E21" s="7"/>
      <c r="F21" s="375">
        <f t="shared" si="2"/>
        <v>0</v>
      </c>
      <c r="G21" s="375">
        <f t="shared" si="2"/>
        <v>0</v>
      </c>
      <c r="H21" s="375">
        <f t="shared" si="2"/>
        <v>0</v>
      </c>
      <c r="I21" s="375">
        <f t="shared" si="2"/>
        <v>0</v>
      </c>
      <c r="J21" s="375">
        <f t="shared" si="2"/>
        <v>0</v>
      </c>
      <c r="K21" s="375">
        <f t="shared" si="2"/>
        <v>0</v>
      </c>
      <c r="L21" s="375">
        <f t="shared" si="2"/>
        <v>0</v>
      </c>
      <c r="M21" s="375">
        <f t="shared" si="2"/>
        <v>0</v>
      </c>
      <c r="N21" s="375">
        <f t="shared" si="2"/>
        <v>0</v>
      </c>
      <c r="O21" s="375">
        <f t="shared" si="2"/>
        <v>0</v>
      </c>
      <c r="P21" s="375">
        <f t="shared" si="2"/>
        <v>0</v>
      </c>
      <c r="Q21" s="375">
        <f t="shared" si="2"/>
        <v>0</v>
      </c>
      <c r="R21" s="109">
        <f t="shared" si="6"/>
        <v>0</v>
      </c>
      <c r="S21" s="3">
        <f t="shared" si="7"/>
        <v>0</v>
      </c>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s="109" customFormat="1" x14ac:dyDescent="0.2">
      <c r="A22" s="117">
        <v>31111.012999999999</v>
      </c>
      <c r="B22" s="118" t="s">
        <v>396</v>
      </c>
      <c r="C22" s="293">
        <f>SUM(C15:C21)</f>
        <v>0</v>
      </c>
      <c r="D22" s="291"/>
      <c r="E22" s="291"/>
      <c r="F22" s="293">
        <f>SUM(F15:F21)</f>
        <v>0</v>
      </c>
      <c r="G22" s="292">
        <f t="shared" ref="G22:Q22" si="8">SUM(G15:G21)</f>
        <v>0</v>
      </c>
      <c r="H22" s="292">
        <f t="shared" si="8"/>
        <v>0</v>
      </c>
      <c r="I22" s="369">
        <f t="shared" si="8"/>
        <v>0</v>
      </c>
      <c r="J22" s="369">
        <f t="shared" si="8"/>
        <v>0</v>
      </c>
      <c r="K22" s="369">
        <f t="shared" si="8"/>
        <v>0</v>
      </c>
      <c r="L22" s="369">
        <f t="shared" si="8"/>
        <v>0</v>
      </c>
      <c r="M22" s="369">
        <f t="shared" si="8"/>
        <v>0</v>
      </c>
      <c r="N22" s="369">
        <f t="shared" si="8"/>
        <v>0</v>
      </c>
      <c r="O22" s="369">
        <f t="shared" si="8"/>
        <v>0</v>
      </c>
      <c r="P22" s="369">
        <f t="shared" si="8"/>
        <v>0</v>
      </c>
      <c r="Q22" s="369">
        <f t="shared" si="8"/>
        <v>0</v>
      </c>
      <c r="R22" s="369">
        <f t="shared" si="3"/>
        <v>0</v>
      </c>
      <c r="S22" s="369">
        <f>C22-R22</f>
        <v>0</v>
      </c>
      <c r="T22" s="379"/>
      <c r="U22" s="379"/>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row>
    <row r="23" spans="1:50" s="108" customFormat="1" x14ac:dyDescent="0.2">
      <c r="A23" s="115"/>
      <c r="B23" s="116" t="s">
        <v>358</v>
      </c>
      <c r="C23" s="28">
        <f t="shared" si="1"/>
        <v>372729.99337495223</v>
      </c>
      <c r="D23" s="13">
        <f>[5]Anesthesia!$J$29</f>
        <v>14.303860364377627</v>
      </c>
      <c r="E23" s="7"/>
      <c r="F23" s="375">
        <f t="shared" si="2"/>
        <v>27735.185246528217</v>
      </c>
      <c r="G23" s="375">
        <f t="shared" si="2"/>
        <v>31568.619824181424</v>
      </c>
      <c r="H23" s="375">
        <f t="shared" si="2"/>
        <v>21756.171614218372</v>
      </c>
      <c r="I23" s="375">
        <f t="shared" si="2"/>
        <v>28436.074404382722</v>
      </c>
      <c r="J23" s="375">
        <f t="shared" si="2"/>
        <v>29766.333418269842</v>
      </c>
      <c r="K23" s="375">
        <f t="shared" si="2"/>
        <v>36117.247420053507</v>
      </c>
      <c r="L23" s="375">
        <f t="shared" si="2"/>
        <v>24445.297362721365</v>
      </c>
      <c r="M23" s="375">
        <f t="shared" si="2"/>
        <v>38076.876289973246</v>
      </c>
      <c r="N23" s="375">
        <f t="shared" si="2"/>
        <v>35573.700726207157</v>
      </c>
      <c r="O23" s="375">
        <f t="shared" si="2"/>
        <v>29752.029557905465</v>
      </c>
      <c r="P23" s="375">
        <f t="shared" si="2"/>
        <v>44713.867499044463</v>
      </c>
      <c r="Q23" s="375">
        <f t="shared" si="2"/>
        <v>24788.590011466429</v>
      </c>
      <c r="R23" s="109">
        <f t="shared" si="3"/>
        <v>372729.99337495212</v>
      </c>
      <c r="S23" s="3">
        <f t="shared" si="4"/>
        <v>0</v>
      </c>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s="108" customFormat="1" x14ac:dyDescent="0.2">
      <c r="A24" s="115"/>
      <c r="B24" s="116" t="s">
        <v>359</v>
      </c>
      <c r="C24" s="28">
        <f t="shared" si="1"/>
        <v>33487.966110332527</v>
      </c>
      <c r="D24" s="13">
        <f>[5]Anesthesia!$J$30</f>
        <v>1.2851318639317111</v>
      </c>
      <c r="E24" s="7"/>
      <c r="F24" s="375">
        <f t="shared" si="2"/>
        <v>2491.8706841635876</v>
      </c>
      <c r="G24" s="375">
        <f t="shared" si="2"/>
        <v>2836.2860236972865</v>
      </c>
      <c r="H24" s="375">
        <f t="shared" si="2"/>
        <v>1954.6855650401326</v>
      </c>
      <c r="I24" s="375">
        <f t="shared" si="2"/>
        <v>2554.8421454962418</v>
      </c>
      <c r="J24" s="375">
        <f t="shared" si="2"/>
        <v>2674.3594088418909</v>
      </c>
      <c r="K24" s="375">
        <f t="shared" si="2"/>
        <v>3244.9579564275705</v>
      </c>
      <c r="L24" s="375">
        <f t="shared" si="2"/>
        <v>2196.2903554592945</v>
      </c>
      <c r="M24" s="375">
        <f t="shared" si="2"/>
        <v>3421.021021786215</v>
      </c>
      <c r="N24" s="375">
        <f t="shared" si="2"/>
        <v>3196.1229455981656</v>
      </c>
      <c r="O24" s="375">
        <f t="shared" si="2"/>
        <v>2673.074276977959</v>
      </c>
      <c r="P24" s="375">
        <f t="shared" si="2"/>
        <v>4017.3222066505286</v>
      </c>
      <c r="Q24" s="375">
        <f t="shared" si="2"/>
        <v>2227.1335201936554</v>
      </c>
      <c r="R24" s="109">
        <f t="shared" si="3"/>
        <v>33487.966110332534</v>
      </c>
      <c r="S24" s="3">
        <f t="shared" si="4"/>
        <v>0</v>
      </c>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s="108" customFormat="1" x14ac:dyDescent="0.2">
      <c r="A25" s="115"/>
      <c r="B25" s="116" t="s">
        <v>372</v>
      </c>
      <c r="C25" s="28">
        <f t="shared" si="1"/>
        <v>215176.8648235444</v>
      </c>
      <c r="D25" s="13">
        <f>[5]Anesthesia!$J$31</f>
        <v>8.2576124347050577</v>
      </c>
      <c r="E25" s="7"/>
      <c r="F25" s="375">
        <f t="shared" si="2"/>
        <v>16011.510510893107</v>
      </c>
      <c r="G25" s="375">
        <f t="shared" si="2"/>
        <v>18224.550643394061</v>
      </c>
      <c r="H25" s="375">
        <f t="shared" si="2"/>
        <v>12559.828513186392</v>
      </c>
      <c r="I25" s="375">
        <f t="shared" si="2"/>
        <v>16416.133520193656</v>
      </c>
      <c r="J25" s="375">
        <f t="shared" si="2"/>
        <v>17184.091476621226</v>
      </c>
      <c r="K25" s="375">
        <f t="shared" si="2"/>
        <v>20850.47139763027</v>
      </c>
      <c r="L25" s="375">
        <f t="shared" si="2"/>
        <v>14112.259650910944</v>
      </c>
      <c r="M25" s="375">
        <f t="shared" si="2"/>
        <v>21981.764301184863</v>
      </c>
      <c r="N25" s="375">
        <f t="shared" si="2"/>
        <v>20536.682125111478</v>
      </c>
      <c r="O25" s="375">
        <f t="shared" si="2"/>
        <v>17175.833864186519</v>
      </c>
      <c r="P25" s="375">
        <f t="shared" si="2"/>
        <v>25813.29647088801</v>
      </c>
      <c r="Q25" s="375">
        <f t="shared" si="2"/>
        <v>14310.442349343864</v>
      </c>
      <c r="R25" s="109">
        <f t="shared" si="3"/>
        <v>215176.8648235444</v>
      </c>
      <c r="S25" s="3">
        <f t="shared" si="4"/>
        <v>0</v>
      </c>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s="108" customFormat="1" x14ac:dyDescent="0.2">
      <c r="A26" s="115"/>
      <c r="B26" s="116" t="s">
        <v>373</v>
      </c>
      <c r="C26" s="28">
        <f t="shared" si="1"/>
        <v>0</v>
      </c>
      <c r="D26" s="13">
        <v>0</v>
      </c>
      <c r="E26" s="7"/>
      <c r="F26" s="375">
        <f t="shared" si="2"/>
        <v>0</v>
      </c>
      <c r="G26" s="375">
        <f t="shared" si="2"/>
        <v>0</v>
      </c>
      <c r="H26" s="375">
        <f t="shared" si="2"/>
        <v>0</v>
      </c>
      <c r="I26" s="375">
        <f t="shared" si="2"/>
        <v>0</v>
      </c>
      <c r="J26" s="375">
        <f t="shared" si="2"/>
        <v>0</v>
      </c>
      <c r="K26" s="375">
        <f t="shared" si="2"/>
        <v>0</v>
      </c>
      <c r="L26" s="375">
        <f t="shared" si="2"/>
        <v>0</v>
      </c>
      <c r="M26" s="375">
        <f t="shared" si="2"/>
        <v>0</v>
      </c>
      <c r="N26" s="375">
        <f t="shared" si="2"/>
        <v>0</v>
      </c>
      <c r="O26" s="375">
        <f t="shared" si="2"/>
        <v>0</v>
      </c>
      <c r="P26" s="375">
        <f t="shared" si="2"/>
        <v>0</v>
      </c>
      <c r="Q26" s="375">
        <f t="shared" si="2"/>
        <v>0</v>
      </c>
      <c r="R26" s="109">
        <f t="shared" si="3"/>
        <v>0</v>
      </c>
      <c r="S26" s="3">
        <f t="shared" si="4"/>
        <v>0</v>
      </c>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s="108" customFormat="1" x14ac:dyDescent="0.2">
      <c r="A27" s="115"/>
      <c r="B27" s="116" t="s">
        <v>361</v>
      </c>
      <c r="C27" s="28">
        <f t="shared" si="1"/>
        <v>45519.332144222193</v>
      </c>
      <c r="D27" s="13">
        <f>[5]Anesthesia!$J$33</f>
        <v>1.7468467320677794</v>
      </c>
      <c r="E27" s="7"/>
      <c r="F27" s="375">
        <f t="shared" si="2"/>
        <v>3387.1358134794241</v>
      </c>
      <c r="G27" s="375">
        <f t="shared" si="2"/>
        <v>3855.2907376735893</v>
      </c>
      <c r="H27" s="375">
        <f t="shared" si="2"/>
        <v>2656.9538794750924</v>
      </c>
      <c r="I27" s="375">
        <f t="shared" si="2"/>
        <v>3472.7313033507453</v>
      </c>
      <c r="J27" s="375">
        <f t="shared" si="2"/>
        <v>3635.1880494330489</v>
      </c>
      <c r="K27" s="375">
        <f t="shared" si="2"/>
        <v>4410.7879984711426</v>
      </c>
      <c r="L27" s="375">
        <f t="shared" si="2"/>
        <v>2985.3610651038348</v>
      </c>
      <c r="M27" s="375">
        <f t="shared" si="2"/>
        <v>4650.1060007644292</v>
      </c>
      <c r="N27" s="375">
        <f t="shared" si="2"/>
        <v>4344.4078226525671</v>
      </c>
      <c r="O27" s="375">
        <f t="shared" si="2"/>
        <v>3633.4412027009812</v>
      </c>
      <c r="P27" s="375">
        <f t="shared" si="2"/>
        <v>5460.6428844438788</v>
      </c>
      <c r="Q27" s="375">
        <f t="shared" si="2"/>
        <v>3027.2853866734617</v>
      </c>
      <c r="R27" s="109">
        <f t="shared" si="3"/>
        <v>45519.3321442222</v>
      </c>
      <c r="S27" s="3">
        <f t="shared" si="4"/>
        <v>0</v>
      </c>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s="108" customFormat="1" x14ac:dyDescent="0.2">
      <c r="A28" s="115"/>
      <c r="B28" s="116" t="s">
        <v>360</v>
      </c>
      <c r="C28" s="28">
        <f t="shared" si="1"/>
        <v>330578.71333927888</v>
      </c>
      <c r="D28" s="13">
        <f>[5]Anesthesia!$J$34</f>
        <v>12.686265766339661</v>
      </c>
      <c r="E28" s="7"/>
      <c r="F28" s="375">
        <f t="shared" si="2"/>
        <v>24598.6693209326</v>
      </c>
      <c r="G28" s="375">
        <f t="shared" si="2"/>
        <v>27998.588546311632</v>
      </c>
      <c r="H28" s="375">
        <f t="shared" si="2"/>
        <v>19295.810230602623</v>
      </c>
      <c r="I28" s="375">
        <f t="shared" si="2"/>
        <v>25220.296343483245</v>
      </c>
      <c r="J28" s="375">
        <f t="shared" si="2"/>
        <v>26400.119059752833</v>
      </c>
      <c r="K28" s="375">
        <f t="shared" si="2"/>
        <v>32032.821060007642</v>
      </c>
      <c r="L28" s="375">
        <f t="shared" si="2"/>
        <v>21680.828194674479</v>
      </c>
      <c r="M28" s="375">
        <f t="shared" si="2"/>
        <v>33770.839469996179</v>
      </c>
      <c r="N28" s="375">
        <f t="shared" si="2"/>
        <v>31550.742960886735</v>
      </c>
      <c r="O28" s="375">
        <f t="shared" si="2"/>
        <v>26387.432793986496</v>
      </c>
      <c r="P28" s="375">
        <f t="shared" si="2"/>
        <v>39657.266785577776</v>
      </c>
      <c r="Q28" s="375">
        <f t="shared" si="2"/>
        <v>21985.298573066633</v>
      </c>
      <c r="R28" s="109">
        <f t="shared" si="3"/>
        <v>330578.71333927894</v>
      </c>
      <c r="S28" s="3">
        <f t="shared" si="4"/>
        <v>0</v>
      </c>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s="108" customFormat="1" x14ac:dyDescent="0.2">
      <c r="A29" s="115"/>
      <c r="B29" s="116" t="s">
        <v>362</v>
      </c>
      <c r="C29" s="28">
        <f t="shared" si="1"/>
        <v>30031.936297617533</v>
      </c>
      <c r="D29" s="13">
        <f>[5]Anesthesia!$J$35</f>
        <v>1.1525035036310358</v>
      </c>
      <c r="E29" s="7"/>
      <c r="F29" s="375">
        <f t="shared" si="2"/>
        <v>2234.7042935405784</v>
      </c>
      <c r="G29" s="375">
        <f t="shared" si="2"/>
        <v>2543.5752325136959</v>
      </c>
      <c r="H29" s="375">
        <f t="shared" si="2"/>
        <v>1752.9578290228055</v>
      </c>
      <c r="I29" s="375">
        <f t="shared" si="2"/>
        <v>2291.1769652184994</v>
      </c>
      <c r="J29" s="375">
        <f t="shared" si="2"/>
        <v>2398.3597910561857</v>
      </c>
      <c r="K29" s="375">
        <f t="shared" si="2"/>
        <v>2910.0713466683655</v>
      </c>
      <c r="L29" s="375">
        <f t="shared" si="2"/>
        <v>1969.6284877054402</v>
      </c>
      <c r="M29" s="375">
        <f t="shared" si="2"/>
        <v>3067.9643266658172</v>
      </c>
      <c r="N29" s="375">
        <f t="shared" si="2"/>
        <v>2866.276213530386</v>
      </c>
      <c r="O29" s="375">
        <f t="shared" si="2"/>
        <v>2397.2072875525546</v>
      </c>
      <c r="P29" s="375">
        <f t="shared" si="2"/>
        <v>3602.7259523506182</v>
      </c>
      <c r="Q29" s="375">
        <f t="shared" si="2"/>
        <v>1997.2885717925851</v>
      </c>
      <c r="R29" s="109">
        <f t="shared" si="3"/>
        <v>30031.936297617533</v>
      </c>
      <c r="S29" s="3">
        <f t="shared" si="4"/>
        <v>0</v>
      </c>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s="109" customFormat="1" x14ac:dyDescent="0.2">
      <c r="A30" s="117">
        <v>31200.012999999999</v>
      </c>
      <c r="B30" s="118" t="s">
        <v>397</v>
      </c>
      <c r="C30" s="293">
        <f>SUM(C23:C29)</f>
        <v>1027524.8060899478</v>
      </c>
      <c r="D30" s="292">
        <v>0</v>
      </c>
      <c r="E30" s="292"/>
      <c r="F30" s="369">
        <f>SUM(F23:F29)</f>
        <v>76459.075869537512</v>
      </c>
      <c r="G30" s="369">
        <f t="shared" ref="G30:Q30" si="9">SUM(G23:G29)</f>
        <v>87026.91100777169</v>
      </c>
      <c r="H30" s="369">
        <f t="shared" si="9"/>
        <v>59976.407631545415</v>
      </c>
      <c r="I30" s="369">
        <f t="shared" si="9"/>
        <v>78391.254682125116</v>
      </c>
      <c r="J30" s="369">
        <f t="shared" si="9"/>
        <v>82058.451203975026</v>
      </c>
      <c r="K30" s="369">
        <f t="shared" si="9"/>
        <v>99566.357179258499</v>
      </c>
      <c r="L30" s="369">
        <f t="shared" si="9"/>
        <v>67389.665116575357</v>
      </c>
      <c r="M30" s="369">
        <f t="shared" si="9"/>
        <v>104968.57141037076</v>
      </c>
      <c r="N30" s="369">
        <f t="shared" si="9"/>
        <v>98067.932793986489</v>
      </c>
      <c r="O30" s="369">
        <f t="shared" si="9"/>
        <v>82019.018983309972</v>
      </c>
      <c r="P30" s="369">
        <f t="shared" si="9"/>
        <v>123265.12179895528</v>
      </c>
      <c r="Q30" s="369">
        <f t="shared" si="9"/>
        <v>68336.038412536625</v>
      </c>
      <c r="R30" s="369">
        <f t="shared" si="3"/>
        <v>1027524.8060899477</v>
      </c>
      <c r="S30" s="292">
        <f>C30-R30</f>
        <v>0</v>
      </c>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row>
    <row r="31" spans="1:50" s="109" customFormat="1" x14ac:dyDescent="0.2">
      <c r="A31" s="118"/>
      <c r="B31" s="113" t="s">
        <v>0</v>
      </c>
      <c r="C31" s="293">
        <f>C22+C30+C14</f>
        <v>1140511.4176328196</v>
      </c>
      <c r="D31" s="292">
        <f>C31/C$3</f>
        <v>43.768187030194937</v>
      </c>
      <c r="E31" s="292"/>
      <c r="F31" s="369">
        <f>F22+F30+F14</f>
        <v>84866.514651547957</v>
      </c>
      <c r="G31" s="369">
        <f t="shared" ref="G31:Q31" si="10">G22+G30+G14</f>
        <v>96596.388775640211</v>
      </c>
      <c r="H31" s="369">
        <f t="shared" si="10"/>
        <v>66571.412472926488</v>
      </c>
      <c r="I31" s="369">
        <f t="shared" si="10"/>
        <v>87011.155816027516</v>
      </c>
      <c r="J31" s="369">
        <f t="shared" si="10"/>
        <v>91081.597209835643</v>
      </c>
      <c r="K31" s="369">
        <f t="shared" si="10"/>
        <v>110514.6722512422</v>
      </c>
      <c r="L31" s="369">
        <f t="shared" si="10"/>
        <v>74799.831634603135</v>
      </c>
      <c r="M31" s="369">
        <f t="shared" si="10"/>
        <v>116510.91387437891</v>
      </c>
      <c r="N31" s="369">
        <f t="shared" si="10"/>
        <v>108851.48114409478</v>
      </c>
      <c r="O31" s="369">
        <f t="shared" si="10"/>
        <v>91037.829022805454</v>
      </c>
      <c r="P31" s="369">
        <f t="shared" si="10"/>
        <v>136819.35265638935</v>
      </c>
      <c r="Q31" s="369">
        <f t="shared" si="10"/>
        <v>75850.268123327813</v>
      </c>
      <c r="R31" s="369">
        <f t="shared" si="3"/>
        <v>1140511.4176328194</v>
      </c>
      <c r="S31" s="291">
        <f t="shared" si="4"/>
        <v>0</v>
      </c>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row>
    <row r="32" spans="1:50" s="109" customFormat="1" x14ac:dyDescent="0.2">
      <c r="A32" s="118"/>
      <c r="B32" s="113"/>
      <c r="C32" s="88"/>
      <c r="D32" s="104"/>
      <c r="E32" s="104"/>
      <c r="F32" s="379"/>
      <c r="G32" s="379"/>
      <c r="H32" s="379"/>
      <c r="I32" s="379"/>
      <c r="J32" s="379"/>
      <c r="K32" s="379"/>
      <c r="L32" s="379"/>
      <c r="M32" s="379"/>
      <c r="N32" s="379"/>
      <c r="O32" s="379"/>
      <c r="P32" s="379"/>
      <c r="Q32" s="379"/>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row>
    <row r="33" spans="1:50" s="108" customFormat="1" x14ac:dyDescent="0.2">
      <c r="A33" s="713" t="s">
        <v>25</v>
      </c>
      <c r="B33" s="713"/>
      <c r="C33" s="713"/>
      <c r="D33" s="713"/>
      <c r="E33" s="7"/>
      <c r="F33" s="375"/>
      <c r="G33" s="375"/>
      <c r="H33" s="375"/>
      <c r="I33" s="375"/>
      <c r="J33" s="375"/>
      <c r="K33" s="375"/>
      <c r="L33" s="375"/>
      <c r="M33" s="375"/>
      <c r="N33" s="375"/>
      <c r="O33" s="375"/>
      <c r="P33" s="375"/>
      <c r="Q33" s="375"/>
      <c r="R33" s="109"/>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s="122" customFormat="1" x14ac:dyDescent="0.2">
      <c r="A34" s="20"/>
      <c r="B34" s="113" t="s">
        <v>391</v>
      </c>
      <c r="C34" s="14"/>
      <c r="D34" s="114" t="s">
        <v>392</v>
      </c>
      <c r="E34" s="120"/>
      <c r="F34" s="405" t="s">
        <v>49</v>
      </c>
      <c r="G34" s="405" t="s">
        <v>48</v>
      </c>
      <c r="H34" s="405" t="s">
        <v>47</v>
      </c>
      <c r="I34" s="405" t="s">
        <v>46</v>
      </c>
      <c r="J34" s="405" t="s">
        <v>45</v>
      </c>
      <c r="K34" s="405" t="s">
        <v>44</v>
      </c>
      <c r="L34" s="405" t="s">
        <v>43</v>
      </c>
      <c r="M34" s="405" t="s">
        <v>42</v>
      </c>
      <c r="N34" s="405" t="s">
        <v>41</v>
      </c>
      <c r="O34" s="405" t="s">
        <v>40</v>
      </c>
      <c r="P34" s="405" t="s">
        <v>39</v>
      </c>
      <c r="Q34" s="405" t="s">
        <v>38</v>
      </c>
      <c r="R34" s="405" t="s">
        <v>37</v>
      </c>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row>
    <row r="35" spans="1:50" s="125" customFormat="1" x14ac:dyDescent="0.2">
      <c r="A35" s="117">
        <v>41237.012999999999</v>
      </c>
      <c r="B35" s="123" t="s">
        <v>17</v>
      </c>
      <c r="C35" s="14">
        <f>[6]Anesthesia!$I$15</f>
        <v>700</v>
      </c>
      <c r="D35" s="329">
        <f>$C35/C$3</f>
        <v>2.6863151431422212E-2</v>
      </c>
      <c r="E35" s="120"/>
      <c r="F35" s="406">
        <f>$D35*F$3</f>
        <v>52.087650625527672</v>
      </c>
      <c r="G35" s="406">
        <f t="shared" ref="G35:Q42" si="11">$D35*G$3</f>
        <v>59.286975209148821</v>
      </c>
      <c r="H35" s="406">
        <f t="shared" si="11"/>
        <v>40.858853327193188</v>
      </c>
      <c r="I35" s="406">
        <f t="shared" si="11"/>
        <v>53.403945045667356</v>
      </c>
      <c r="J35" s="406">
        <f t="shared" si="11"/>
        <v>55.90221812878962</v>
      </c>
      <c r="K35" s="406">
        <f t="shared" si="11"/>
        <v>67.829457364341081</v>
      </c>
      <c r="L35" s="406">
        <f t="shared" si="11"/>
        <v>45.909125796300557</v>
      </c>
      <c r="M35" s="406">
        <f t="shared" si="11"/>
        <v>71.509709110445925</v>
      </c>
      <c r="N35" s="406">
        <f t="shared" si="11"/>
        <v>66.808657609947048</v>
      </c>
      <c r="O35" s="406">
        <f t="shared" si="11"/>
        <v>55.875354977358199</v>
      </c>
      <c r="P35" s="406">
        <f t="shared" si="11"/>
        <v>83.974211374625838</v>
      </c>
      <c r="Q35" s="406">
        <f t="shared" si="11"/>
        <v>46.553841430654693</v>
      </c>
      <c r="R35" s="109">
        <f t="shared" ref="R35:R44" si="12">SUM(F35:Q35)</f>
        <v>699.99999999999989</v>
      </c>
      <c r="S35" s="96">
        <f>C35-R35</f>
        <v>0</v>
      </c>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row>
    <row r="36" spans="1:50" s="125" customFormat="1" x14ac:dyDescent="0.2">
      <c r="A36" s="117">
        <v>41426.012999999999</v>
      </c>
      <c r="B36" s="123" t="s">
        <v>16</v>
      </c>
      <c r="C36" s="14"/>
      <c r="D36" s="329">
        <f t="shared" ref="D36:D42" si="13">$C36/C$3</f>
        <v>0</v>
      </c>
      <c r="E36" s="120"/>
      <c r="F36" s="406">
        <f t="shared" ref="F36:F42" si="14">$D36*F$3</f>
        <v>0</v>
      </c>
      <c r="G36" s="406">
        <f t="shared" si="11"/>
        <v>0</v>
      </c>
      <c r="H36" s="406">
        <f t="shared" si="11"/>
        <v>0</v>
      </c>
      <c r="I36" s="406">
        <f t="shared" si="11"/>
        <v>0</v>
      </c>
      <c r="J36" s="406">
        <f t="shared" si="11"/>
        <v>0</v>
      </c>
      <c r="K36" s="406">
        <f t="shared" si="11"/>
        <v>0</v>
      </c>
      <c r="L36" s="406">
        <f t="shared" si="11"/>
        <v>0</v>
      </c>
      <c r="M36" s="406">
        <f t="shared" si="11"/>
        <v>0</v>
      </c>
      <c r="N36" s="406">
        <f t="shared" si="11"/>
        <v>0</v>
      </c>
      <c r="O36" s="406">
        <f t="shared" si="11"/>
        <v>0</v>
      </c>
      <c r="P36" s="406">
        <f t="shared" si="11"/>
        <v>0</v>
      </c>
      <c r="Q36" s="406">
        <f t="shared" si="11"/>
        <v>0</v>
      </c>
      <c r="R36" s="109">
        <f t="shared" si="12"/>
        <v>0</v>
      </c>
      <c r="S36" s="96">
        <f t="shared" ref="S36:S44" si="15">C36-R36</f>
        <v>0</v>
      </c>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row>
    <row r="37" spans="1:50" s="125" customFormat="1" x14ac:dyDescent="0.2">
      <c r="A37" s="117">
        <v>41250.012999999999</v>
      </c>
      <c r="B37" s="123" t="s">
        <v>15</v>
      </c>
      <c r="C37" s="14"/>
      <c r="D37" s="329">
        <f t="shared" si="13"/>
        <v>0</v>
      </c>
      <c r="E37" s="120"/>
      <c r="F37" s="406">
        <f t="shared" si="14"/>
        <v>0</v>
      </c>
      <c r="G37" s="406">
        <f t="shared" si="11"/>
        <v>0</v>
      </c>
      <c r="H37" s="406">
        <f t="shared" si="11"/>
        <v>0</v>
      </c>
      <c r="I37" s="406">
        <f t="shared" si="11"/>
        <v>0</v>
      </c>
      <c r="J37" s="406">
        <f t="shared" si="11"/>
        <v>0</v>
      </c>
      <c r="K37" s="406">
        <f t="shared" si="11"/>
        <v>0</v>
      </c>
      <c r="L37" s="406">
        <f t="shared" si="11"/>
        <v>0</v>
      </c>
      <c r="M37" s="406">
        <f t="shared" si="11"/>
        <v>0</v>
      </c>
      <c r="N37" s="406">
        <f t="shared" si="11"/>
        <v>0</v>
      </c>
      <c r="O37" s="406">
        <f t="shared" si="11"/>
        <v>0</v>
      </c>
      <c r="P37" s="406">
        <f t="shared" si="11"/>
        <v>0</v>
      </c>
      <c r="Q37" s="406">
        <f t="shared" si="11"/>
        <v>0</v>
      </c>
      <c r="R37" s="109">
        <f t="shared" si="12"/>
        <v>0</v>
      </c>
      <c r="S37" s="96">
        <f t="shared" si="15"/>
        <v>0</v>
      </c>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row>
    <row r="38" spans="1:50" s="125" customFormat="1" x14ac:dyDescent="0.2">
      <c r="A38" s="117">
        <v>41313.012999999999</v>
      </c>
      <c r="B38" s="123" t="s">
        <v>394</v>
      </c>
      <c r="C38" s="14">
        <f>[6]Anesthesia!$I$16</f>
        <v>166400</v>
      </c>
      <c r="D38" s="329">
        <f t="shared" si="13"/>
        <v>6.3857548545552234</v>
      </c>
      <c r="E38" s="120"/>
      <c r="F38" s="406">
        <f t="shared" si="14"/>
        <v>12381.978662982578</v>
      </c>
      <c r="G38" s="406">
        <f t="shared" si="11"/>
        <v>14093.360964003377</v>
      </c>
      <c r="H38" s="406">
        <f t="shared" si="11"/>
        <v>9712.7331337784944</v>
      </c>
      <c r="I38" s="406">
        <f t="shared" si="11"/>
        <v>12694.880650855785</v>
      </c>
      <c r="J38" s="406">
        <f t="shared" si="11"/>
        <v>13288.755852329419</v>
      </c>
      <c r="K38" s="406">
        <f t="shared" si="11"/>
        <v>16124.031007751939</v>
      </c>
      <c r="L38" s="406">
        <f t="shared" si="11"/>
        <v>10913.255046434877</v>
      </c>
      <c r="M38" s="406">
        <f t="shared" si="11"/>
        <v>16998.879422826005</v>
      </c>
      <c r="N38" s="406">
        <f t="shared" si="11"/>
        <v>15881.37232327884</v>
      </c>
      <c r="O38" s="406">
        <f t="shared" si="11"/>
        <v>13282.370097474864</v>
      </c>
      <c r="P38" s="406">
        <f t="shared" si="11"/>
        <v>19961.869675339629</v>
      </c>
      <c r="Q38" s="406">
        <f t="shared" si="11"/>
        <v>11066.513162944202</v>
      </c>
      <c r="R38" s="109">
        <f t="shared" si="12"/>
        <v>166400.00000000003</v>
      </c>
      <c r="S38" s="96">
        <f t="shared" si="15"/>
        <v>0</v>
      </c>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row>
    <row r="39" spans="1:50" s="125" customFormat="1" x14ac:dyDescent="0.2">
      <c r="A39" s="117">
        <v>41365.012999999999</v>
      </c>
      <c r="B39" s="123" t="s">
        <v>398</v>
      </c>
      <c r="C39" s="14"/>
      <c r="D39" s="329">
        <f t="shared" si="13"/>
        <v>0</v>
      </c>
      <c r="E39" s="120"/>
      <c r="F39" s="406">
        <f t="shared" si="14"/>
        <v>0</v>
      </c>
      <c r="G39" s="406">
        <f t="shared" si="11"/>
        <v>0</v>
      </c>
      <c r="H39" s="406">
        <f t="shared" si="11"/>
        <v>0</v>
      </c>
      <c r="I39" s="406">
        <f t="shared" si="11"/>
        <v>0</v>
      </c>
      <c r="J39" s="406">
        <f t="shared" si="11"/>
        <v>0</v>
      </c>
      <c r="K39" s="406">
        <f t="shared" si="11"/>
        <v>0</v>
      </c>
      <c r="L39" s="406">
        <f t="shared" si="11"/>
        <v>0</v>
      </c>
      <c r="M39" s="406">
        <f t="shared" si="11"/>
        <v>0</v>
      </c>
      <c r="N39" s="406">
        <f t="shared" si="11"/>
        <v>0</v>
      </c>
      <c r="O39" s="406">
        <f t="shared" si="11"/>
        <v>0</v>
      </c>
      <c r="P39" s="406">
        <f t="shared" si="11"/>
        <v>0</v>
      </c>
      <c r="Q39" s="406">
        <f t="shared" si="11"/>
        <v>0</v>
      </c>
      <c r="R39" s="109">
        <f t="shared" si="12"/>
        <v>0</v>
      </c>
      <c r="S39" s="96">
        <f t="shared" si="15"/>
        <v>0</v>
      </c>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row>
    <row r="40" spans="1:50" s="125" customFormat="1" x14ac:dyDescent="0.2">
      <c r="A40" s="117">
        <v>41509.012999999999</v>
      </c>
      <c r="B40" s="123" t="s">
        <v>399</v>
      </c>
      <c r="C40" s="14">
        <f>[6]Anesthesia!$I$17</f>
        <v>1900</v>
      </c>
      <c r="D40" s="329">
        <f t="shared" si="13"/>
        <v>7.2914268171003147E-2</v>
      </c>
      <c r="E40" s="120"/>
      <c r="F40" s="406">
        <f t="shared" si="14"/>
        <v>141.38076598357509</v>
      </c>
      <c r="G40" s="406">
        <f t="shared" si="11"/>
        <v>160.92178985340394</v>
      </c>
      <c r="H40" s="406">
        <f t="shared" si="11"/>
        <v>110.90260188809579</v>
      </c>
      <c r="I40" s="406">
        <f t="shared" si="11"/>
        <v>144.95356512395426</v>
      </c>
      <c r="J40" s="406">
        <f t="shared" si="11"/>
        <v>151.73459206385755</v>
      </c>
      <c r="K40" s="406">
        <f t="shared" si="11"/>
        <v>184.10852713178295</v>
      </c>
      <c r="L40" s="406">
        <f t="shared" si="11"/>
        <v>124.61048430424438</v>
      </c>
      <c r="M40" s="406">
        <f t="shared" si="11"/>
        <v>194.09778187121037</v>
      </c>
      <c r="N40" s="406">
        <f t="shared" si="11"/>
        <v>181.33778494128484</v>
      </c>
      <c r="O40" s="406">
        <f t="shared" si="11"/>
        <v>151.66167779568656</v>
      </c>
      <c r="P40" s="406">
        <f t="shared" si="11"/>
        <v>227.93000230255583</v>
      </c>
      <c r="Q40" s="406">
        <f t="shared" si="11"/>
        <v>126.36042674034846</v>
      </c>
      <c r="R40" s="109">
        <f t="shared" si="12"/>
        <v>1899.9999999999998</v>
      </c>
      <c r="S40" s="96">
        <f t="shared" si="15"/>
        <v>0</v>
      </c>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row>
    <row r="41" spans="1:50" s="125" customFormat="1" ht="12" customHeight="1" x14ac:dyDescent="0.2">
      <c r="A41" s="117">
        <v>41570.012999999999</v>
      </c>
      <c r="B41" s="123" t="s">
        <v>2</v>
      </c>
      <c r="C41" s="14">
        <v>0</v>
      </c>
      <c r="D41" s="329">
        <f t="shared" si="13"/>
        <v>0</v>
      </c>
      <c r="E41" s="120"/>
      <c r="F41" s="406">
        <f t="shared" si="14"/>
        <v>0</v>
      </c>
      <c r="G41" s="406">
        <f t="shared" si="11"/>
        <v>0</v>
      </c>
      <c r="H41" s="406">
        <f t="shared" si="11"/>
        <v>0</v>
      </c>
      <c r="I41" s="406">
        <f t="shared" si="11"/>
        <v>0</v>
      </c>
      <c r="J41" s="406">
        <f t="shared" si="11"/>
        <v>0</v>
      </c>
      <c r="K41" s="406">
        <f t="shared" si="11"/>
        <v>0</v>
      </c>
      <c r="L41" s="406">
        <f t="shared" si="11"/>
        <v>0</v>
      </c>
      <c r="M41" s="406">
        <f t="shared" si="11"/>
        <v>0</v>
      </c>
      <c r="N41" s="406">
        <f t="shared" si="11"/>
        <v>0</v>
      </c>
      <c r="O41" s="406">
        <f t="shared" si="11"/>
        <v>0</v>
      </c>
      <c r="P41" s="406">
        <f t="shared" si="11"/>
        <v>0</v>
      </c>
      <c r="Q41" s="406">
        <f t="shared" si="11"/>
        <v>0</v>
      </c>
      <c r="R41" s="109">
        <f t="shared" si="12"/>
        <v>0</v>
      </c>
      <c r="S41" s="96">
        <f t="shared" si="15"/>
        <v>0</v>
      </c>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row>
    <row r="42" spans="1:50" s="125" customFormat="1" x14ac:dyDescent="0.2">
      <c r="A42" s="117">
        <v>41571.012999999999</v>
      </c>
      <c r="B42" s="123" t="s">
        <v>1</v>
      </c>
      <c r="C42" s="14">
        <f>[6]Anesthesia!$I$18</f>
        <v>445</v>
      </c>
      <c r="D42" s="329">
        <f t="shared" si="13"/>
        <v>1.7077289124261263E-2</v>
      </c>
      <c r="E42" s="120"/>
      <c r="F42" s="406">
        <f t="shared" si="14"/>
        <v>33.112863611942586</v>
      </c>
      <c r="G42" s="406">
        <f t="shared" si="11"/>
        <v>37.689577097244609</v>
      </c>
      <c r="H42" s="406">
        <f t="shared" si="11"/>
        <v>25.974556758001381</v>
      </c>
      <c r="I42" s="406">
        <f t="shared" si="11"/>
        <v>33.949650779031394</v>
      </c>
      <c r="J42" s="406">
        <f t="shared" si="11"/>
        <v>35.537838667587692</v>
      </c>
      <c r="K42" s="406">
        <f t="shared" si="11"/>
        <v>43.120155038759691</v>
      </c>
      <c r="L42" s="406">
        <f t="shared" si="11"/>
        <v>29.185087113362499</v>
      </c>
      <c r="M42" s="406">
        <f t="shared" si="11"/>
        <v>45.45974364878348</v>
      </c>
      <c r="N42" s="406">
        <f t="shared" si="11"/>
        <v>42.471218052037763</v>
      </c>
      <c r="O42" s="406">
        <f t="shared" si="11"/>
        <v>35.520761378463426</v>
      </c>
      <c r="P42" s="406">
        <f t="shared" si="11"/>
        <v>53.383605802440712</v>
      </c>
      <c r="Q42" s="406">
        <f t="shared" si="11"/>
        <v>29.59494205234477</v>
      </c>
      <c r="R42" s="109">
        <f t="shared" si="12"/>
        <v>445</v>
      </c>
      <c r="S42" s="96">
        <f t="shared" si="15"/>
        <v>0</v>
      </c>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row>
    <row r="43" spans="1:50" s="130" customFormat="1" x14ac:dyDescent="0.2">
      <c r="A43" s="126"/>
      <c r="B43" s="127" t="s">
        <v>0</v>
      </c>
      <c r="C43" s="88">
        <f>SUM(C35:C42)</f>
        <v>169445</v>
      </c>
      <c r="D43" s="128">
        <f>C43/C$3</f>
        <v>6.5026095632819096</v>
      </c>
      <c r="E43" s="128"/>
      <c r="F43" s="407">
        <f>SUM(F35:F42)</f>
        <v>12608.559943203623</v>
      </c>
      <c r="G43" s="407">
        <f t="shared" ref="G43:Q43" si="16">SUM(G35:G42)</f>
        <v>14351.259306163174</v>
      </c>
      <c r="H43" s="407">
        <f t="shared" si="16"/>
        <v>9890.4691457517856</v>
      </c>
      <c r="I43" s="407">
        <f t="shared" si="16"/>
        <v>12927.187811804439</v>
      </c>
      <c r="J43" s="407">
        <f t="shared" si="16"/>
        <v>13531.930501189654</v>
      </c>
      <c r="K43" s="407">
        <f t="shared" si="16"/>
        <v>16419.089147286824</v>
      </c>
      <c r="L43" s="407">
        <f t="shared" si="16"/>
        <v>11112.959743648786</v>
      </c>
      <c r="M43" s="407">
        <f t="shared" si="16"/>
        <v>17309.946657456443</v>
      </c>
      <c r="N43" s="407">
        <f t="shared" si="16"/>
        <v>16171.989983882109</v>
      </c>
      <c r="O43" s="407">
        <f t="shared" si="16"/>
        <v>13525.427891626372</v>
      </c>
      <c r="P43" s="407">
        <f t="shared" si="16"/>
        <v>20327.15749481925</v>
      </c>
      <c r="Q43" s="407">
        <f t="shared" si="16"/>
        <v>11269.022373167549</v>
      </c>
      <c r="R43" s="109">
        <f t="shared" si="12"/>
        <v>169445</v>
      </c>
      <c r="S43" s="96">
        <f t="shared" si="15"/>
        <v>0</v>
      </c>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row>
    <row r="44" spans="1:50" s="108" customFormat="1" x14ac:dyDescent="0.2">
      <c r="A44" s="7"/>
      <c r="B44" s="7"/>
      <c r="C44" s="7">
        <f>C43-C31</f>
        <v>-971066.41763281962</v>
      </c>
      <c r="D44" s="7"/>
      <c r="E44" s="7"/>
      <c r="F44" s="375"/>
      <c r="G44" s="375"/>
      <c r="H44" s="375"/>
      <c r="I44" s="375"/>
      <c r="J44" s="375"/>
      <c r="K44" s="375"/>
      <c r="L44" s="375"/>
      <c r="M44" s="375"/>
      <c r="N44" s="375"/>
      <c r="O44" s="375"/>
      <c r="P44" s="375"/>
      <c r="Q44" s="375"/>
      <c r="R44" s="109">
        <f t="shared" si="12"/>
        <v>0</v>
      </c>
      <c r="S44" s="124">
        <f t="shared" si="15"/>
        <v>-971066.41763281962</v>
      </c>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s="108" customFormat="1" x14ac:dyDescent="0.2">
      <c r="A45" s="115"/>
      <c r="B45" s="7"/>
      <c r="C45" s="7"/>
      <c r="D45" s="7"/>
      <c r="E45" s="7"/>
      <c r="F45" s="7"/>
      <c r="G45" s="7"/>
      <c r="H45" s="7"/>
      <c r="I45" s="7"/>
      <c r="J45" s="7"/>
      <c r="K45" s="7"/>
      <c r="L45" s="7"/>
      <c r="M45" s="7"/>
      <c r="N45" s="7"/>
      <c r="O45" s="7"/>
      <c r="P45" s="7"/>
      <c r="Q45" s="7"/>
      <c r="R45" s="96"/>
      <c r="S45" s="124"/>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s="108" customFormat="1" x14ac:dyDescent="0.2">
      <c r="A46" s="115"/>
      <c r="B46" s="3"/>
      <c r="C46" s="7"/>
      <c r="D46" s="7"/>
      <c r="E46" s="7"/>
      <c r="F46" s="7"/>
      <c r="G46" s="7"/>
      <c r="H46" s="7"/>
      <c r="I46" s="7"/>
      <c r="J46" s="7"/>
      <c r="K46" s="7"/>
      <c r="L46" s="7"/>
      <c r="M46" s="7"/>
      <c r="N46" s="7"/>
      <c r="O46" s="7"/>
      <c r="P46" s="7"/>
      <c r="Q46" s="7"/>
      <c r="R46" s="96"/>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s="108" customFormat="1" x14ac:dyDescent="0.2">
      <c r="A47" s="3"/>
      <c r="B47" s="3"/>
      <c r="C47" s="7"/>
      <c r="D47" s="7"/>
      <c r="E47" s="7"/>
      <c r="F47" s="7"/>
      <c r="G47" s="7"/>
      <c r="H47" s="7"/>
      <c r="I47" s="7"/>
      <c r="J47" s="7"/>
      <c r="K47" s="7"/>
      <c r="L47" s="7"/>
      <c r="M47" s="7"/>
      <c r="N47" s="7"/>
      <c r="O47" s="7"/>
      <c r="P47" s="7"/>
      <c r="Q47" s="7"/>
      <c r="R47" s="96"/>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s="108" customFormat="1" x14ac:dyDescent="0.2">
      <c r="A48" s="115"/>
      <c r="B48" s="3"/>
      <c r="C48" s="7"/>
      <c r="D48" s="7"/>
      <c r="E48" s="7"/>
      <c r="F48" s="7"/>
      <c r="G48" s="7"/>
      <c r="H48" s="7"/>
      <c r="I48" s="7"/>
      <c r="J48" s="7"/>
      <c r="K48" s="7"/>
      <c r="L48" s="7"/>
      <c r="M48" s="7"/>
      <c r="N48" s="7"/>
      <c r="O48" s="7"/>
      <c r="P48" s="7"/>
      <c r="Q48" s="7"/>
      <c r="R48" s="96"/>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s="108" customFormat="1" x14ac:dyDescent="0.2">
      <c r="A49" s="3"/>
      <c r="B49" s="3"/>
      <c r="C49" s="7"/>
      <c r="D49" s="7"/>
      <c r="E49" s="7"/>
      <c r="F49" s="7"/>
      <c r="G49" s="7"/>
      <c r="H49" s="7"/>
      <c r="I49" s="7"/>
      <c r="J49" s="7"/>
      <c r="K49" s="7"/>
      <c r="L49" s="7"/>
      <c r="M49" s="7"/>
      <c r="N49" s="7"/>
      <c r="O49" s="7"/>
      <c r="P49" s="7"/>
      <c r="Q49" s="7"/>
      <c r="R49" s="96"/>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s="108" customFormat="1" x14ac:dyDescent="0.2">
      <c r="A50" s="3"/>
      <c r="B50" s="3"/>
      <c r="C50" s="104"/>
      <c r="D50" s="7"/>
      <c r="E50" s="7"/>
      <c r="F50" s="104"/>
      <c r="G50" s="104"/>
      <c r="H50" s="104"/>
      <c r="I50" s="104"/>
      <c r="J50" s="104"/>
      <c r="K50" s="104"/>
      <c r="L50" s="104"/>
      <c r="M50" s="104"/>
      <c r="N50" s="104"/>
      <c r="O50" s="104"/>
      <c r="P50" s="104"/>
      <c r="Q50" s="104"/>
      <c r="R50" s="96"/>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s="108" customFormat="1" x14ac:dyDescent="0.2">
      <c r="A51" s="3"/>
      <c r="B51" s="3"/>
      <c r="C51" s="7"/>
      <c r="D51" s="7"/>
      <c r="E51" s="7"/>
      <c r="F51" s="7"/>
      <c r="G51" s="7"/>
      <c r="H51" s="7"/>
      <c r="I51" s="7"/>
      <c r="J51" s="7"/>
      <c r="K51" s="7"/>
      <c r="L51" s="7"/>
      <c r="M51" s="7"/>
      <c r="N51" s="7"/>
      <c r="O51" s="7"/>
      <c r="P51" s="7"/>
      <c r="Q51" s="7"/>
      <c r="R51" s="96"/>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s="108" customFormat="1" x14ac:dyDescent="0.2">
      <c r="A52" s="3"/>
      <c r="B52" s="3"/>
      <c r="C52" s="7"/>
      <c r="D52" s="7"/>
      <c r="E52" s="7"/>
      <c r="F52" s="7"/>
      <c r="G52" s="7"/>
      <c r="H52" s="7"/>
      <c r="I52" s="7"/>
      <c r="J52" s="7"/>
      <c r="K52" s="7"/>
      <c r="L52" s="7"/>
      <c r="M52" s="7"/>
      <c r="N52" s="7"/>
      <c r="O52" s="7"/>
      <c r="P52" s="7"/>
      <c r="Q52" s="7"/>
      <c r="R52" s="96"/>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s="108" customFormat="1" x14ac:dyDescent="0.2">
      <c r="A53" s="3"/>
      <c r="B53" s="3"/>
      <c r="C53" s="7"/>
      <c r="D53" s="7"/>
      <c r="E53" s="7"/>
      <c r="F53" s="7"/>
      <c r="G53" s="7"/>
      <c r="H53" s="7"/>
      <c r="I53" s="7"/>
      <c r="J53" s="7"/>
      <c r="K53" s="7"/>
      <c r="L53" s="7"/>
      <c r="M53" s="7"/>
      <c r="N53" s="7"/>
      <c r="O53" s="7"/>
      <c r="P53" s="7"/>
      <c r="Q53" s="7"/>
      <c r="R53" s="96"/>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s="108" customFormat="1" x14ac:dyDescent="0.2">
      <c r="A54" s="3"/>
      <c r="B54" s="3"/>
      <c r="C54" s="7"/>
      <c r="D54" s="7"/>
      <c r="E54" s="7"/>
      <c r="F54" s="7"/>
      <c r="G54" s="7"/>
      <c r="H54" s="7"/>
      <c r="I54" s="7"/>
      <c r="J54" s="7"/>
      <c r="K54" s="7"/>
      <c r="L54" s="7"/>
      <c r="M54" s="7"/>
      <c r="N54" s="7"/>
      <c r="O54" s="7"/>
      <c r="P54" s="7"/>
      <c r="Q54" s="7"/>
      <c r="R54" s="96"/>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s="108" customFormat="1" x14ac:dyDescent="0.2">
      <c r="A55" s="3"/>
      <c r="B55" s="3"/>
      <c r="C55" s="7"/>
      <c r="D55" s="7"/>
      <c r="E55" s="7"/>
      <c r="F55" s="7"/>
      <c r="G55" s="7"/>
      <c r="H55" s="7"/>
      <c r="I55" s="7"/>
      <c r="J55" s="7"/>
      <c r="K55" s="7"/>
      <c r="L55" s="7"/>
      <c r="M55" s="7"/>
      <c r="N55" s="7"/>
      <c r="O55" s="7"/>
      <c r="P55" s="7"/>
      <c r="Q55" s="7"/>
      <c r="R55" s="96"/>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s="108" customFormat="1" x14ac:dyDescent="0.2">
      <c r="A56" s="3"/>
      <c r="B56" s="3"/>
      <c r="C56" s="7"/>
      <c r="D56" s="7"/>
      <c r="E56" s="7"/>
      <c r="F56" s="7"/>
      <c r="G56" s="7"/>
      <c r="H56" s="7"/>
      <c r="I56" s="7"/>
      <c r="J56" s="7"/>
      <c r="K56" s="7"/>
      <c r="L56" s="7"/>
      <c r="M56" s="7"/>
      <c r="N56" s="7"/>
      <c r="O56" s="7"/>
      <c r="P56" s="7"/>
      <c r="Q56" s="7"/>
      <c r="R56" s="96"/>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s="108" customFormat="1" x14ac:dyDescent="0.2">
      <c r="A57" s="3"/>
      <c r="B57" s="3"/>
      <c r="C57" s="7"/>
      <c r="D57" s="7"/>
      <c r="E57" s="7"/>
      <c r="F57" s="7"/>
      <c r="G57" s="7"/>
      <c r="H57" s="7"/>
      <c r="I57" s="7"/>
      <c r="J57" s="7"/>
      <c r="K57" s="7"/>
      <c r="L57" s="7"/>
      <c r="M57" s="7"/>
      <c r="N57" s="7"/>
      <c r="O57" s="7"/>
      <c r="P57" s="7"/>
      <c r="Q57" s="7"/>
      <c r="R57" s="96"/>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s="108" customFormat="1" x14ac:dyDescent="0.2">
      <c r="A58" s="3"/>
      <c r="B58" s="3"/>
      <c r="C58" s="7"/>
      <c r="D58" s="7"/>
      <c r="E58" s="7"/>
      <c r="F58" s="7"/>
      <c r="G58" s="7"/>
      <c r="H58" s="7"/>
      <c r="I58" s="7"/>
      <c r="J58" s="7"/>
      <c r="K58" s="7"/>
      <c r="L58" s="7"/>
      <c r="M58" s="7"/>
      <c r="N58" s="7"/>
      <c r="O58" s="7"/>
      <c r="P58" s="7"/>
      <c r="Q58" s="7"/>
      <c r="R58" s="96"/>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s="108" customFormat="1" x14ac:dyDescent="0.2">
      <c r="A59" s="3"/>
      <c r="B59" s="3"/>
      <c r="C59" s="7"/>
      <c r="D59" s="7"/>
      <c r="E59" s="7"/>
      <c r="F59" s="7"/>
      <c r="G59" s="7"/>
      <c r="H59" s="7"/>
      <c r="I59" s="7"/>
      <c r="J59" s="7"/>
      <c r="K59" s="7"/>
      <c r="L59" s="7"/>
      <c r="M59" s="7"/>
      <c r="N59" s="7"/>
      <c r="O59" s="7"/>
      <c r="P59" s="7"/>
      <c r="Q59" s="7"/>
      <c r="R59" s="96"/>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sheetData>
  <mergeCells count="2">
    <mergeCell ref="A5:D5"/>
    <mergeCell ref="A33:D33"/>
  </mergeCells>
  <printOptions gridLines="1"/>
  <pageMargins left="0.25" right="0.25" top="0.75" bottom="0.75" header="0.3" footer="0.3"/>
  <pageSetup scale="51" orientation="landscape" r:id="rId1"/>
  <headerFooter alignWithMargins="0">
    <oddHeader xml:space="preserve">&amp;C&amp;"Arial,Bold"&amp;14DOCTORS MEMORIAL HOSPITAL
FY 2017 BUDGET
</oddHeader>
    <oddFooter xml:space="preserve">&amp;R&amp;A
</oddFooter>
  </headerFooter>
  <ignoredErrors>
    <ignoredError sqref="F14:Q14 F22:Q2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53"/>
  <sheetViews>
    <sheetView zoomScale="80" zoomScaleNormal="80" workbookViewId="0">
      <pane xSplit="2" ySplit="4" topLeftCell="C14" activePane="bottomRight" state="frozen"/>
      <selection pane="topRight" activeCell="C1" sqref="C1"/>
      <selection pane="bottomLeft" activeCell="A5" sqref="A5"/>
      <selection pane="bottomRight" activeCell="C40" sqref="C40"/>
    </sheetView>
  </sheetViews>
  <sheetFormatPr defaultRowHeight="12.75" x14ac:dyDescent="0.2"/>
  <cols>
    <col min="1" max="1" width="11" style="2" bestFit="1" customWidth="1"/>
    <col min="2" max="2" width="28.140625" style="2" bestFit="1" customWidth="1"/>
    <col min="3" max="3" width="14" style="2" bestFit="1" customWidth="1"/>
    <col min="4" max="4" width="9.140625" style="4"/>
    <col min="5" max="5" width="1.7109375" style="4" customWidth="1"/>
    <col min="6" max="10" width="13.28515625" style="7" bestFit="1" customWidth="1"/>
    <col min="11" max="11" width="7.7109375" style="7" bestFit="1" customWidth="1"/>
    <col min="12" max="12" width="13.28515625" style="7" bestFit="1" customWidth="1"/>
    <col min="13" max="13" width="7.7109375" style="7" bestFit="1" customWidth="1"/>
    <col min="14" max="14" width="13.7109375" style="3" bestFit="1" customWidth="1"/>
    <col min="15" max="15" width="13.42578125" style="3" bestFit="1" customWidth="1"/>
    <col min="16" max="16" width="13.7109375" style="3" bestFit="1" customWidth="1"/>
    <col min="17" max="17" width="13.28515625" style="3" bestFit="1" customWidth="1"/>
    <col min="18" max="18" width="14.7109375" style="96" bestFit="1" customWidth="1"/>
    <col min="19" max="19" width="2.7109375" style="2" customWidth="1"/>
    <col min="20" max="20" width="9.85546875" style="2" bestFit="1" customWidth="1"/>
    <col min="21" max="22" width="9.140625" style="2"/>
    <col min="23" max="145" width="9.140625" style="1"/>
    <col min="146" max="146" width="11" style="1" bestFit="1" customWidth="1"/>
    <col min="147" max="147" width="28.140625" style="1" bestFit="1" customWidth="1"/>
    <col min="148" max="148" width="14" style="1" bestFit="1" customWidth="1"/>
    <col min="149" max="149" width="9.140625" style="1"/>
    <col min="150" max="150" width="13.85546875" style="1" bestFit="1" customWidth="1"/>
    <col min="151" max="151" width="9.140625" style="1"/>
    <col min="152" max="152" width="14" style="1" customWidth="1"/>
    <col min="153" max="153" width="9.140625" style="1"/>
    <col min="154" max="154" width="12.85546875" style="1" bestFit="1" customWidth="1"/>
    <col min="155" max="155" width="10" style="1" customWidth="1"/>
    <col min="156" max="156" width="14" style="1" bestFit="1" customWidth="1"/>
    <col min="157" max="157" width="9.85546875" style="1" bestFit="1" customWidth="1"/>
    <col min="158" max="158" width="13.5703125" style="1" bestFit="1" customWidth="1"/>
    <col min="159" max="159" width="9.85546875" style="1" bestFit="1" customWidth="1"/>
    <col min="160" max="160" width="12.85546875" style="1" bestFit="1" customWidth="1"/>
    <col min="161" max="172" width="10.5703125" style="1" customWidth="1"/>
    <col min="173" max="173" width="11.140625" style="1" bestFit="1" customWidth="1"/>
    <col min="174" max="174" width="2.7109375" style="1" customWidth="1"/>
    <col min="175" max="175" width="9.85546875" style="1" bestFit="1" customWidth="1"/>
    <col min="176" max="177" width="9.140625" style="1"/>
    <col min="178" max="178" width="24" style="1" customWidth="1"/>
    <col min="179" max="181" width="9.140625" style="1"/>
    <col min="182" max="182" width="9" style="1" bestFit="1" customWidth="1"/>
    <col min="183" max="192" width="9.28515625" style="1" bestFit="1" customWidth="1"/>
    <col min="193" max="193" width="10.28515625" style="1" bestFit="1" customWidth="1"/>
    <col min="194" max="194" width="11.28515625" style="1" bestFit="1" customWidth="1"/>
    <col min="195" max="195" width="11.7109375" style="1" customWidth="1"/>
    <col min="196" max="196" width="9.140625" style="1"/>
    <col min="197" max="197" width="22.28515625" style="1" customWidth="1"/>
    <col min="198" max="198" width="9.140625" style="1"/>
    <col min="199" max="199" width="9.28515625" style="1" bestFit="1" customWidth="1"/>
    <col min="200" max="200" width="9.42578125" style="1" bestFit="1" customWidth="1"/>
    <col min="201" max="201" width="9.28515625" style="1" bestFit="1" customWidth="1"/>
    <col min="202" max="202" width="10.28515625" style="1" bestFit="1" customWidth="1"/>
    <col min="203" max="204" width="9.28515625" style="1" bestFit="1" customWidth="1"/>
    <col min="205" max="206" width="10.28515625" style="1" bestFit="1" customWidth="1"/>
    <col min="207" max="211" width="9.28515625" style="1" bestFit="1" customWidth="1"/>
    <col min="212" max="212" width="10.42578125" style="1" bestFit="1" customWidth="1"/>
    <col min="213" max="213" width="9.140625" style="1"/>
    <col min="214" max="214" width="24.85546875" style="1" customWidth="1"/>
    <col min="215" max="215" width="9.140625" style="1"/>
    <col min="216" max="228" width="9.28515625" style="1" bestFit="1" customWidth="1"/>
    <col min="229" max="229" width="10.28515625" style="1" bestFit="1" customWidth="1"/>
    <col min="230" max="230" width="9.5703125" style="1" bestFit="1" customWidth="1"/>
    <col min="231" max="231" width="18.5703125" style="1" customWidth="1"/>
    <col min="232" max="233" width="9.140625" style="1"/>
    <col min="234" max="236" width="12.140625" style="1" bestFit="1" customWidth="1"/>
    <col min="237" max="245" width="10.28515625" style="1" bestFit="1" customWidth="1"/>
    <col min="246" max="246" width="11.28515625" style="1" bestFit="1" customWidth="1"/>
    <col min="247" max="247" width="9.140625" style="1"/>
    <col min="248" max="248" width="19" style="1" customWidth="1"/>
    <col min="249" max="265" width="9.140625" style="1"/>
    <col min="266" max="276" width="11.28515625" style="1" bestFit="1" customWidth="1"/>
    <col min="277" max="277" width="10.28515625" style="1" bestFit="1" customWidth="1"/>
    <col min="278" max="278" width="12.85546875" style="1" bestFit="1" customWidth="1"/>
    <col min="279" max="401" width="9.140625" style="1"/>
    <col min="402" max="402" width="11" style="1" bestFit="1" customWidth="1"/>
    <col min="403" max="403" width="28.140625" style="1" bestFit="1" customWidth="1"/>
    <col min="404" max="404" width="14" style="1" bestFit="1" customWidth="1"/>
    <col min="405" max="405" width="9.140625" style="1"/>
    <col min="406" max="406" width="13.85546875" style="1" bestFit="1" customWidth="1"/>
    <col min="407" max="407" width="9.140625" style="1"/>
    <col min="408" max="408" width="14" style="1" customWidth="1"/>
    <col min="409" max="409" width="9.140625" style="1"/>
    <col min="410" max="410" width="12.85546875" style="1" bestFit="1" customWidth="1"/>
    <col min="411" max="411" width="10" style="1" customWidth="1"/>
    <col min="412" max="412" width="14" style="1" bestFit="1" customWidth="1"/>
    <col min="413" max="413" width="9.85546875" style="1" bestFit="1" customWidth="1"/>
    <col min="414" max="414" width="13.5703125" style="1" bestFit="1" customWidth="1"/>
    <col min="415" max="415" width="9.85546875" style="1" bestFit="1" customWidth="1"/>
    <col min="416" max="416" width="12.85546875" style="1" bestFit="1" customWidth="1"/>
    <col min="417" max="428" width="10.5703125" style="1" customWidth="1"/>
    <col min="429" max="429" width="11.140625" style="1" bestFit="1" customWidth="1"/>
    <col min="430" max="430" width="2.7109375" style="1" customWidth="1"/>
    <col min="431" max="431" width="9.85546875" style="1" bestFit="1" customWidth="1"/>
    <col min="432" max="433" width="9.140625" style="1"/>
    <col min="434" max="434" width="24" style="1" customWidth="1"/>
    <col min="435" max="437" width="9.140625" style="1"/>
    <col min="438" max="438" width="9" style="1" bestFit="1" customWidth="1"/>
    <col min="439" max="448" width="9.28515625" style="1" bestFit="1" customWidth="1"/>
    <col min="449" max="449" width="10.28515625" style="1" bestFit="1" customWidth="1"/>
    <col min="450" max="450" width="11.28515625" style="1" bestFit="1" customWidth="1"/>
    <col min="451" max="451" width="11.7109375" style="1" customWidth="1"/>
    <col min="452" max="452" width="9.140625" style="1"/>
    <col min="453" max="453" width="22.28515625" style="1" customWidth="1"/>
    <col min="454" max="454" width="9.140625" style="1"/>
    <col min="455" max="455" width="9.28515625" style="1" bestFit="1" customWidth="1"/>
    <col min="456" max="456" width="9.42578125" style="1" bestFit="1" customWidth="1"/>
    <col min="457" max="457" width="9.28515625" style="1" bestFit="1" customWidth="1"/>
    <col min="458" max="458" width="10.28515625" style="1" bestFit="1" customWidth="1"/>
    <col min="459" max="460" width="9.28515625" style="1" bestFit="1" customWidth="1"/>
    <col min="461" max="462" width="10.28515625" style="1" bestFit="1" customWidth="1"/>
    <col min="463" max="467" width="9.28515625" style="1" bestFit="1" customWidth="1"/>
    <col min="468" max="468" width="10.42578125" style="1" bestFit="1" customWidth="1"/>
    <col min="469" max="469" width="9.140625" style="1"/>
    <col min="470" max="470" width="24.85546875" style="1" customWidth="1"/>
    <col min="471" max="471" width="9.140625" style="1"/>
    <col min="472" max="484" width="9.28515625" style="1" bestFit="1" customWidth="1"/>
    <col min="485" max="485" width="10.28515625" style="1" bestFit="1" customWidth="1"/>
    <col min="486" max="486" width="9.5703125" style="1" bestFit="1" customWidth="1"/>
    <col min="487" max="487" width="18.5703125" style="1" customWidth="1"/>
    <col min="488" max="489" width="9.140625" style="1"/>
    <col min="490" max="492" width="12.140625" style="1" bestFit="1" customWidth="1"/>
    <col min="493" max="501" width="10.28515625" style="1" bestFit="1" customWidth="1"/>
    <col min="502" max="502" width="11.28515625" style="1" bestFit="1" customWidth="1"/>
    <col min="503" max="503" width="9.140625" style="1"/>
    <col min="504" max="504" width="19" style="1" customWidth="1"/>
    <col min="505" max="521" width="9.140625" style="1"/>
    <col min="522" max="532" width="11.28515625" style="1" bestFit="1" customWidth="1"/>
    <col min="533" max="533" width="10.28515625" style="1" bestFit="1" customWidth="1"/>
    <col min="534" max="534" width="12.85546875" style="1" bestFit="1" customWidth="1"/>
    <col min="535" max="657" width="9.140625" style="1"/>
    <col min="658" max="658" width="11" style="1" bestFit="1" customWidth="1"/>
    <col min="659" max="659" width="28.140625" style="1" bestFit="1" customWidth="1"/>
    <col min="660" max="660" width="14" style="1" bestFit="1" customWidth="1"/>
    <col min="661" max="661" width="9.140625" style="1"/>
    <col min="662" max="662" width="13.85546875" style="1" bestFit="1" customWidth="1"/>
    <col min="663" max="663" width="9.140625" style="1"/>
    <col min="664" max="664" width="14" style="1" customWidth="1"/>
    <col min="665" max="665" width="9.140625" style="1"/>
    <col min="666" max="666" width="12.85546875" style="1" bestFit="1" customWidth="1"/>
    <col min="667" max="667" width="10" style="1" customWidth="1"/>
    <col min="668" max="668" width="14" style="1" bestFit="1" customWidth="1"/>
    <col min="669" max="669" width="9.85546875" style="1" bestFit="1" customWidth="1"/>
    <col min="670" max="670" width="13.5703125" style="1" bestFit="1" customWidth="1"/>
    <col min="671" max="671" width="9.85546875" style="1" bestFit="1" customWidth="1"/>
    <col min="672" max="672" width="12.85546875" style="1" bestFit="1" customWidth="1"/>
    <col min="673" max="684" width="10.5703125" style="1" customWidth="1"/>
    <col min="685" max="685" width="11.140625" style="1" bestFit="1" customWidth="1"/>
    <col min="686" max="686" width="2.7109375" style="1" customWidth="1"/>
    <col min="687" max="687" width="9.85546875" style="1" bestFit="1" customWidth="1"/>
    <col min="688" max="689" width="9.140625" style="1"/>
    <col min="690" max="690" width="24" style="1" customWidth="1"/>
    <col min="691" max="693" width="9.140625" style="1"/>
    <col min="694" max="694" width="9" style="1" bestFit="1" customWidth="1"/>
    <col min="695" max="704" width="9.28515625" style="1" bestFit="1" customWidth="1"/>
    <col min="705" max="705" width="10.28515625" style="1" bestFit="1" customWidth="1"/>
    <col min="706" max="706" width="11.28515625" style="1" bestFit="1" customWidth="1"/>
    <col min="707" max="707" width="11.7109375" style="1" customWidth="1"/>
    <col min="708" max="708" width="9.140625" style="1"/>
    <col min="709" max="709" width="22.28515625" style="1" customWidth="1"/>
    <col min="710" max="710" width="9.140625" style="1"/>
    <col min="711" max="711" width="9.28515625" style="1" bestFit="1" customWidth="1"/>
    <col min="712" max="712" width="9.42578125" style="1" bestFit="1" customWidth="1"/>
    <col min="713" max="713" width="9.28515625" style="1" bestFit="1" customWidth="1"/>
    <col min="714" max="714" width="10.28515625" style="1" bestFit="1" customWidth="1"/>
    <col min="715" max="716" width="9.28515625" style="1" bestFit="1" customWidth="1"/>
    <col min="717" max="718" width="10.28515625" style="1" bestFit="1" customWidth="1"/>
    <col min="719" max="723" width="9.28515625" style="1" bestFit="1" customWidth="1"/>
    <col min="724" max="724" width="10.42578125" style="1" bestFit="1" customWidth="1"/>
    <col min="725" max="725" width="9.140625" style="1"/>
    <col min="726" max="726" width="24.85546875" style="1" customWidth="1"/>
    <col min="727" max="727" width="9.140625" style="1"/>
    <col min="728" max="740" width="9.28515625" style="1" bestFit="1" customWidth="1"/>
    <col min="741" max="741" width="10.28515625" style="1" bestFit="1" customWidth="1"/>
    <col min="742" max="742" width="9.5703125" style="1" bestFit="1" customWidth="1"/>
    <col min="743" max="743" width="18.5703125" style="1" customWidth="1"/>
    <col min="744" max="745" width="9.140625" style="1"/>
    <col min="746" max="748" width="12.140625" style="1" bestFit="1" customWidth="1"/>
    <col min="749" max="757" width="10.28515625" style="1" bestFit="1" customWidth="1"/>
    <col min="758" max="758" width="11.28515625" style="1" bestFit="1" customWidth="1"/>
    <col min="759" max="759" width="9.140625" style="1"/>
    <col min="760" max="760" width="19" style="1" customWidth="1"/>
    <col min="761" max="777" width="9.140625" style="1"/>
    <col min="778" max="788" width="11.28515625" style="1" bestFit="1" customWidth="1"/>
    <col min="789" max="789" width="10.28515625" style="1" bestFit="1" customWidth="1"/>
    <col min="790" max="790" width="12.85546875" style="1" bestFit="1" customWidth="1"/>
    <col min="791" max="913" width="9.140625" style="1"/>
    <col min="914" max="914" width="11" style="1" bestFit="1" customWidth="1"/>
    <col min="915" max="915" width="28.140625" style="1" bestFit="1" customWidth="1"/>
    <col min="916" max="916" width="14" style="1" bestFit="1" customWidth="1"/>
    <col min="917" max="917" width="9.140625" style="1"/>
    <col min="918" max="918" width="13.85546875" style="1" bestFit="1" customWidth="1"/>
    <col min="919" max="919" width="9.140625" style="1"/>
    <col min="920" max="920" width="14" style="1" customWidth="1"/>
    <col min="921" max="921" width="9.140625" style="1"/>
    <col min="922" max="922" width="12.85546875" style="1" bestFit="1" customWidth="1"/>
    <col min="923" max="923" width="10" style="1" customWidth="1"/>
    <col min="924" max="924" width="14" style="1" bestFit="1" customWidth="1"/>
    <col min="925" max="925" width="9.85546875" style="1" bestFit="1" customWidth="1"/>
    <col min="926" max="926" width="13.5703125" style="1" bestFit="1" customWidth="1"/>
    <col min="927" max="927" width="9.85546875" style="1" bestFit="1" customWidth="1"/>
    <col min="928" max="928" width="12.85546875" style="1" bestFit="1" customWidth="1"/>
    <col min="929" max="940" width="10.5703125" style="1" customWidth="1"/>
    <col min="941" max="941" width="11.140625" style="1" bestFit="1" customWidth="1"/>
    <col min="942" max="942" width="2.7109375" style="1" customWidth="1"/>
    <col min="943" max="943" width="9.85546875" style="1" bestFit="1" customWidth="1"/>
    <col min="944" max="945" width="9.140625" style="1"/>
    <col min="946" max="946" width="24" style="1" customWidth="1"/>
    <col min="947" max="949" width="9.140625" style="1"/>
    <col min="950" max="950" width="9" style="1" bestFit="1" customWidth="1"/>
    <col min="951" max="960" width="9.28515625" style="1" bestFit="1" customWidth="1"/>
    <col min="961" max="961" width="10.28515625" style="1" bestFit="1" customWidth="1"/>
    <col min="962" max="962" width="11.28515625" style="1" bestFit="1" customWidth="1"/>
    <col min="963" max="963" width="11.7109375" style="1" customWidth="1"/>
    <col min="964" max="964" width="9.140625" style="1"/>
    <col min="965" max="965" width="22.28515625" style="1" customWidth="1"/>
    <col min="966" max="966" width="9.140625" style="1"/>
    <col min="967" max="967" width="9.28515625" style="1" bestFit="1" customWidth="1"/>
    <col min="968" max="968" width="9.42578125" style="1" bestFit="1" customWidth="1"/>
    <col min="969" max="969" width="9.28515625" style="1" bestFit="1" customWidth="1"/>
    <col min="970" max="970" width="10.28515625" style="1" bestFit="1" customWidth="1"/>
    <col min="971" max="972" width="9.28515625" style="1" bestFit="1" customWidth="1"/>
    <col min="973" max="974" width="10.28515625" style="1" bestFit="1" customWidth="1"/>
    <col min="975" max="979" width="9.28515625" style="1" bestFit="1" customWidth="1"/>
    <col min="980" max="980" width="10.42578125" style="1" bestFit="1" customWidth="1"/>
    <col min="981" max="981" width="9.140625" style="1"/>
    <col min="982" max="982" width="24.85546875" style="1" customWidth="1"/>
    <col min="983" max="983" width="9.140625" style="1"/>
    <col min="984" max="996" width="9.28515625" style="1" bestFit="1" customWidth="1"/>
    <col min="997" max="997" width="10.28515625" style="1" bestFit="1" customWidth="1"/>
    <col min="998" max="998" width="9.5703125" style="1" bestFit="1" customWidth="1"/>
    <col min="999" max="999" width="18.5703125" style="1" customWidth="1"/>
    <col min="1000" max="1001" width="9.140625" style="1"/>
    <col min="1002" max="1004" width="12.140625" style="1" bestFit="1" customWidth="1"/>
    <col min="1005" max="1013" width="10.28515625" style="1" bestFit="1" customWidth="1"/>
    <col min="1014" max="1014" width="11.28515625" style="1" bestFit="1" customWidth="1"/>
    <col min="1015" max="1015" width="9.140625" style="1"/>
    <col min="1016" max="1016" width="19" style="1" customWidth="1"/>
    <col min="1017" max="1033" width="9.140625" style="1"/>
    <col min="1034" max="1044" width="11.28515625" style="1" bestFit="1" customWidth="1"/>
    <col min="1045" max="1045" width="10.28515625" style="1" bestFit="1" customWidth="1"/>
    <col min="1046" max="1046" width="12.85546875" style="1" bestFit="1" customWidth="1"/>
    <col min="1047" max="1169" width="9.140625" style="1"/>
    <col min="1170" max="1170" width="11" style="1" bestFit="1" customWidth="1"/>
    <col min="1171" max="1171" width="28.140625" style="1" bestFit="1" customWidth="1"/>
    <col min="1172" max="1172" width="14" style="1" bestFit="1" customWidth="1"/>
    <col min="1173" max="1173" width="9.140625" style="1"/>
    <col min="1174" max="1174" width="13.85546875" style="1" bestFit="1" customWidth="1"/>
    <col min="1175" max="1175" width="9.140625" style="1"/>
    <col min="1176" max="1176" width="14" style="1" customWidth="1"/>
    <col min="1177" max="1177" width="9.140625" style="1"/>
    <col min="1178" max="1178" width="12.85546875" style="1" bestFit="1" customWidth="1"/>
    <col min="1179" max="1179" width="10" style="1" customWidth="1"/>
    <col min="1180" max="1180" width="14" style="1" bestFit="1" customWidth="1"/>
    <col min="1181" max="1181" width="9.85546875" style="1" bestFit="1" customWidth="1"/>
    <col min="1182" max="1182" width="13.5703125" style="1" bestFit="1" customWidth="1"/>
    <col min="1183" max="1183" width="9.85546875" style="1" bestFit="1" customWidth="1"/>
    <col min="1184" max="1184" width="12.85546875" style="1" bestFit="1" customWidth="1"/>
    <col min="1185" max="1196" width="10.5703125" style="1" customWidth="1"/>
    <col min="1197" max="1197" width="11.140625" style="1" bestFit="1" customWidth="1"/>
    <col min="1198" max="1198" width="2.7109375" style="1" customWidth="1"/>
    <col min="1199" max="1199" width="9.85546875" style="1" bestFit="1" customWidth="1"/>
    <col min="1200" max="1201" width="9.140625" style="1"/>
    <col min="1202" max="1202" width="24" style="1" customWidth="1"/>
    <col min="1203" max="1205" width="9.140625" style="1"/>
    <col min="1206" max="1206" width="9" style="1" bestFit="1" customWidth="1"/>
    <col min="1207" max="1216" width="9.28515625" style="1" bestFit="1" customWidth="1"/>
    <col min="1217" max="1217" width="10.28515625" style="1" bestFit="1" customWidth="1"/>
    <col min="1218" max="1218" width="11.28515625" style="1" bestFit="1" customWidth="1"/>
    <col min="1219" max="1219" width="11.7109375" style="1" customWidth="1"/>
    <col min="1220" max="1220" width="9.140625" style="1"/>
    <col min="1221" max="1221" width="22.28515625" style="1" customWidth="1"/>
    <col min="1222" max="1222" width="9.140625" style="1"/>
    <col min="1223" max="1223" width="9.28515625" style="1" bestFit="1" customWidth="1"/>
    <col min="1224" max="1224" width="9.42578125" style="1" bestFit="1" customWidth="1"/>
    <col min="1225" max="1225" width="9.28515625" style="1" bestFit="1" customWidth="1"/>
    <col min="1226" max="1226" width="10.28515625" style="1" bestFit="1" customWidth="1"/>
    <col min="1227" max="1228" width="9.28515625" style="1" bestFit="1" customWidth="1"/>
    <col min="1229" max="1230" width="10.28515625" style="1" bestFit="1" customWidth="1"/>
    <col min="1231" max="1235" width="9.28515625" style="1" bestFit="1" customWidth="1"/>
    <col min="1236" max="1236" width="10.42578125" style="1" bestFit="1" customWidth="1"/>
    <col min="1237" max="1237" width="9.140625" style="1"/>
    <col min="1238" max="1238" width="24.85546875" style="1" customWidth="1"/>
    <col min="1239" max="1239" width="9.140625" style="1"/>
    <col min="1240" max="1252" width="9.28515625" style="1" bestFit="1" customWidth="1"/>
    <col min="1253" max="1253" width="10.28515625" style="1" bestFit="1" customWidth="1"/>
    <col min="1254" max="1254" width="9.5703125" style="1" bestFit="1" customWidth="1"/>
    <col min="1255" max="1255" width="18.5703125" style="1" customWidth="1"/>
    <col min="1256" max="1257" width="9.140625" style="1"/>
    <col min="1258" max="1260" width="12.140625" style="1" bestFit="1" customWidth="1"/>
    <col min="1261" max="1269" width="10.28515625" style="1" bestFit="1" customWidth="1"/>
    <col min="1270" max="1270" width="11.28515625" style="1" bestFit="1" customWidth="1"/>
    <col min="1271" max="1271" width="9.140625" style="1"/>
    <col min="1272" max="1272" width="19" style="1" customWidth="1"/>
    <col min="1273" max="1289" width="9.140625" style="1"/>
    <col min="1290" max="1300" width="11.28515625" style="1" bestFit="1" customWidth="1"/>
    <col min="1301" max="1301" width="10.28515625" style="1" bestFit="1" customWidth="1"/>
    <col min="1302" max="1302" width="12.85546875" style="1" bestFit="1" customWidth="1"/>
    <col min="1303" max="1425" width="9.140625" style="1"/>
    <col min="1426" max="1426" width="11" style="1" bestFit="1" customWidth="1"/>
    <col min="1427" max="1427" width="28.140625" style="1" bestFit="1" customWidth="1"/>
    <col min="1428" max="1428" width="14" style="1" bestFit="1" customWidth="1"/>
    <col min="1429" max="1429" width="9.140625" style="1"/>
    <col min="1430" max="1430" width="13.85546875" style="1" bestFit="1" customWidth="1"/>
    <col min="1431" max="1431" width="9.140625" style="1"/>
    <col min="1432" max="1432" width="14" style="1" customWidth="1"/>
    <col min="1433" max="1433" width="9.140625" style="1"/>
    <col min="1434" max="1434" width="12.85546875" style="1" bestFit="1" customWidth="1"/>
    <col min="1435" max="1435" width="10" style="1" customWidth="1"/>
    <col min="1436" max="1436" width="14" style="1" bestFit="1" customWidth="1"/>
    <col min="1437" max="1437" width="9.85546875" style="1" bestFit="1" customWidth="1"/>
    <col min="1438" max="1438" width="13.5703125" style="1" bestFit="1" customWidth="1"/>
    <col min="1439" max="1439" width="9.85546875" style="1" bestFit="1" customWidth="1"/>
    <col min="1440" max="1440" width="12.85546875" style="1" bestFit="1" customWidth="1"/>
    <col min="1441" max="1452" width="10.5703125" style="1" customWidth="1"/>
    <col min="1453" max="1453" width="11.140625" style="1" bestFit="1" customWidth="1"/>
    <col min="1454" max="1454" width="2.7109375" style="1" customWidth="1"/>
    <col min="1455" max="1455" width="9.85546875" style="1" bestFit="1" customWidth="1"/>
    <col min="1456" max="1457" width="9.140625" style="1"/>
    <col min="1458" max="1458" width="24" style="1" customWidth="1"/>
    <col min="1459" max="1461" width="9.140625" style="1"/>
    <col min="1462" max="1462" width="9" style="1" bestFit="1" customWidth="1"/>
    <col min="1463" max="1472" width="9.28515625" style="1" bestFit="1" customWidth="1"/>
    <col min="1473" max="1473" width="10.28515625" style="1" bestFit="1" customWidth="1"/>
    <col min="1474" max="1474" width="11.28515625" style="1" bestFit="1" customWidth="1"/>
    <col min="1475" max="1475" width="11.7109375" style="1" customWidth="1"/>
    <col min="1476" max="1476" width="9.140625" style="1"/>
    <col min="1477" max="1477" width="22.28515625" style="1" customWidth="1"/>
    <col min="1478" max="1478" width="9.140625" style="1"/>
    <col min="1479" max="1479" width="9.28515625" style="1" bestFit="1" customWidth="1"/>
    <col min="1480" max="1480" width="9.42578125" style="1" bestFit="1" customWidth="1"/>
    <col min="1481" max="1481" width="9.28515625" style="1" bestFit="1" customWidth="1"/>
    <col min="1482" max="1482" width="10.28515625" style="1" bestFit="1" customWidth="1"/>
    <col min="1483" max="1484" width="9.28515625" style="1" bestFit="1" customWidth="1"/>
    <col min="1485" max="1486" width="10.28515625" style="1" bestFit="1" customWidth="1"/>
    <col min="1487" max="1491" width="9.28515625" style="1" bestFit="1" customWidth="1"/>
    <col min="1492" max="1492" width="10.42578125" style="1" bestFit="1" customWidth="1"/>
    <col min="1493" max="1493" width="9.140625" style="1"/>
    <col min="1494" max="1494" width="24.85546875" style="1" customWidth="1"/>
    <col min="1495" max="1495" width="9.140625" style="1"/>
    <col min="1496" max="1508" width="9.28515625" style="1" bestFit="1" customWidth="1"/>
    <col min="1509" max="1509" width="10.28515625" style="1" bestFit="1" customWidth="1"/>
    <col min="1510" max="1510" width="9.5703125" style="1" bestFit="1" customWidth="1"/>
    <col min="1511" max="1511" width="18.5703125" style="1" customWidth="1"/>
    <col min="1512" max="1513" width="9.140625" style="1"/>
    <col min="1514" max="1516" width="12.140625" style="1" bestFit="1" customWidth="1"/>
    <col min="1517" max="1525" width="10.28515625" style="1" bestFit="1" customWidth="1"/>
    <col min="1526" max="1526" width="11.28515625" style="1" bestFit="1" customWidth="1"/>
    <col min="1527" max="1527" width="9.140625" style="1"/>
    <col min="1528" max="1528" width="19" style="1" customWidth="1"/>
    <col min="1529" max="1545" width="9.140625" style="1"/>
    <col min="1546" max="1556" width="11.28515625" style="1" bestFit="1" customWidth="1"/>
    <col min="1557" max="1557" width="10.28515625" style="1" bestFit="1" customWidth="1"/>
    <col min="1558" max="1558" width="12.85546875" style="1" bestFit="1" customWidth="1"/>
    <col min="1559" max="1681" width="9.140625" style="1"/>
    <col min="1682" max="1682" width="11" style="1" bestFit="1" customWidth="1"/>
    <col min="1683" max="1683" width="28.140625" style="1" bestFit="1" customWidth="1"/>
    <col min="1684" max="1684" width="14" style="1" bestFit="1" customWidth="1"/>
    <col min="1685" max="1685" width="9.140625" style="1"/>
    <col min="1686" max="1686" width="13.85546875" style="1" bestFit="1" customWidth="1"/>
    <col min="1687" max="1687" width="9.140625" style="1"/>
    <col min="1688" max="1688" width="14" style="1" customWidth="1"/>
    <col min="1689" max="1689" width="9.140625" style="1"/>
    <col min="1690" max="1690" width="12.85546875" style="1" bestFit="1" customWidth="1"/>
    <col min="1691" max="1691" width="10" style="1" customWidth="1"/>
    <col min="1692" max="1692" width="14" style="1" bestFit="1" customWidth="1"/>
    <col min="1693" max="1693" width="9.85546875" style="1" bestFit="1" customWidth="1"/>
    <col min="1694" max="1694" width="13.5703125" style="1" bestFit="1" customWidth="1"/>
    <col min="1695" max="1695" width="9.85546875" style="1" bestFit="1" customWidth="1"/>
    <col min="1696" max="1696" width="12.85546875" style="1" bestFit="1" customWidth="1"/>
    <col min="1697" max="1708" width="10.5703125" style="1" customWidth="1"/>
    <col min="1709" max="1709" width="11.140625" style="1" bestFit="1" customWidth="1"/>
    <col min="1710" max="1710" width="2.7109375" style="1" customWidth="1"/>
    <col min="1711" max="1711" width="9.85546875" style="1" bestFit="1" customWidth="1"/>
    <col min="1712" max="1713" width="9.140625" style="1"/>
    <col min="1714" max="1714" width="24" style="1" customWidth="1"/>
    <col min="1715" max="1717" width="9.140625" style="1"/>
    <col min="1718" max="1718" width="9" style="1" bestFit="1" customWidth="1"/>
    <col min="1719" max="1728" width="9.28515625" style="1" bestFit="1" customWidth="1"/>
    <col min="1729" max="1729" width="10.28515625" style="1" bestFit="1" customWidth="1"/>
    <col min="1730" max="1730" width="11.28515625" style="1" bestFit="1" customWidth="1"/>
    <col min="1731" max="1731" width="11.7109375" style="1" customWidth="1"/>
    <col min="1732" max="1732" width="9.140625" style="1"/>
    <col min="1733" max="1733" width="22.28515625" style="1" customWidth="1"/>
    <col min="1734" max="1734" width="9.140625" style="1"/>
    <col min="1735" max="1735" width="9.28515625" style="1" bestFit="1" customWidth="1"/>
    <col min="1736" max="1736" width="9.42578125" style="1" bestFit="1" customWidth="1"/>
    <col min="1737" max="1737" width="9.28515625" style="1" bestFit="1" customWidth="1"/>
    <col min="1738" max="1738" width="10.28515625" style="1" bestFit="1" customWidth="1"/>
    <col min="1739" max="1740" width="9.28515625" style="1" bestFit="1" customWidth="1"/>
    <col min="1741" max="1742" width="10.28515625" style="1" bestFit="1" customWidth="1"/>
    <col min="1743" max="1747" width="9.28515625" style="1" bestFit="1" customWidth="1"/>
    <col min="1748" max="1748" width="10.42578125" style="1" bestFit="1" customWidth="1"/>
    <col min="1749" max="1749" width="9.140625" style="1"/>
    <col min="1750" max="1750" width="24.85546875" style="1" customWidth="1"/>
    <col min="1751" max="1751" width="9.140625" style="1"/>
    <col min="1752" max="1764" width="9.28515625" style="1" bestFit="1" customWidth="1"/>
    <col min="1765" max="1765" width="10.28515625" style="1" bestFit="1" customWidth="1"/>
    <col min="1766" max="1766" width="9.5703125" style="1" bestFit="1" customWidth="1"/>
    <col min="1767" max="1767" width="18.5703125" style="1" customWidth="1"/>
    <col min="1768" max="1769" width="9.140625" style="1"/>
    <col min="1770" max="1772" width="12.140625" style="1" bestFit="1" customWidth="1"/>
    <col min="1773" max="1781" width="10.28515625" style="1" bestFit="1" customWidth="1"/>
    <col min="1782" max="1782" width="11.28515625" style="1" bestFit="1" customWidth="1"/>
    <col min="1783" max="1783" width="9.140625" style="1"/>
    <col min="1784" max="1784" width="19" style="1" customWidth="1"/>
    <col min="1785" max="1801" width="9.140625" style="1"/>
    <col min="1802" max="1812" width="11.28515625" style="1" bestFit="1" customWidth="1"/>
    <col min="1813" max="1813" width="10.28515625" style="1" bestFit="1" customWidth="1"/>
    <col min="1814" max="1814" width="12.85546875" style="1" bestFit="1" customWidth="1"/>
    <col min="1815" max="1937" width="9.140625" style="1"/>
    <col min="1938" max="1938" width="11" style="1" bestFit="1" customWidth="1"/>
    <col min="1939" max="1939" width="28.140625" style="1" bestFit="1" customWidth="1"/>
    <col min="1940" max="1940" width="14" style="1" bestFit="1" customWidth="1"/>
    <col min="1941" max="1941" width="9.140625" style="1"/>
    <col min="1942" max="1942" width="13.85546875" style="1" bestFit="1" customWidth="1"/>
    <col min="1943" max="1943" width="9.140625" style="1"/>
    <col min="1944" max="1944" width="14" style="1" customWidth="1"/>
    <col min="1945" max="1945" width="9.140625" style="1"/>
    <col min="1946" max="1946" width="12.85546875" style="1" bestFit="1" customWidth="1"/>
    <col min="1947" max="1947" width="10" style="1" customWidth="1"/>
    <col min="1948" max="1948" width="14" style="1" bestFit="1" customWidth="1"/>
    <col min="1949" max="1949" width="9.85546875" style="1" bestFit="1" customWidth="1"/>
    <col min="1950" max="1950" width="13.5703125" style="1" bestFit="1" customWidth="1"/>
    <col min="1951" max="1951" width="9.85546875" style="1" bestFit="1" customWidth="1"/>
    <col min="1952" max="1952" width="12.85546875" style="1" bestFit="1" customWidth="1"/>
    <col min="1953" max="1964" width="10.5703125" style="1" customWidth="1"/>
    <col min="1965" max="1965" width="11.140625" style="1" bestFit="1" customWidth="1"/>
    <col min="1966" max="1966" width="2.7109375" style="1" customWidth="1"/>
    <col min="1967" max="1967" width="9.85546875" style="1" bestFit="1" customWidth="1"/>
    <col min="1968" max="1969" width="9.140625" style="1"/>
    <col min="1970" max="1970" width="24" style="1" customWidth="1"/>
    <col min="1971" max="1973" width="9.140625" style="1"/>
    <col min="1974" max="1974" width="9" style="1" bestFit="1" customWidth="1"/>
    <col min="1975" max="1984" width="9.28515625" style="1" bestFit="1" customWidth="1"/>
    <col min="1985" max="1985" width="10.28515625" style="1" bestFit="1" customWidth="1"/>
    <col min="1986" max="1986" width="11.28515625" style="1" bestFit="1" customWidth="1"/>
    <col min="1987" max="1987" width="11.7109375" style="1" customWidth="1"/>
    <col min="1988" max="1988" width="9.140625" style="1"/>
    <col min="1989" max="1989" width="22.28515625" style="1" customWidth="1"/>
    <col min="1990" max="1990" width="9.140625" style="1"/>
    <col min="1991" max="1991" width="9.28515625" style="1" bestFit="1" customWidth="1"/>
    <col min="1992" max="1992" width="9.42578125" style="1" bestFit="1" customWidth="1"/>
    <col min="1993" max="1993" width="9.28515625" style="1" bestFit="1" customWidth="1"/>
    <col min="1994" max="1994" width="10.28515625" style="1" bestFit="1" customWidth="1"/>
    <col min="1995" max="1996" width="9.28515625" style="1" bestFit="1" customWidth="1"/>
    <col min="1997" max="1998" width="10.28515625" style="1" bestFit="1" customWidth="1"/>
    <col min="1999" max="2003" width="9.28515625" style="1" bestFit="1" customWidth="1"/>
    <col min="2004" max="2004" width="10.42578125" style="1" bestFit="1" customWidth="1"/>
    <col min="2005" max="2005" width="9.140625" style="1"/>
    <col min="2006" max="2006" width="24.85546875" style="1" customWidth="1"/>
    <col min="2007" max="2007" width="9.140625" style="1"/>
    <col min="2008" max="2020" width="9.28515625" style="1" bestFit="1" customWidth="1"/>
    <col min="2021" max="2021" width="10.28515625" style="1" bestFit="1" customWidth="1"/>
    <col min="2022" max="2022" width="9.5703125" style="1" bestFit="1" customWidth="1"/>
    <col min="2023" max="2023" width="18.5703125" style="1" customWidth="1"/>
    <col min="2024" max="2025" width="9.140625" style="1"/>
    <col min="2026" max="2028" width="12.140625" style="1" bestFit="1" customWidth="1"/>
    <col min="2029" max="2037" width="10.28515625" style="1" bestFit="1" customWidth="1"/>
    <col min="2038" max="2038" width="11.28515625" style="1" bestFit="1" customWidth="1"/>
    <col min="2039" max="2039" width="9.140625" style="1"/>
    <col min="2040" max="2040" width="19" style="1" customWidth="1"/>
    <col min="2041" max="2057" width="9.140625" style="1"/>
    <col min="2058" max="2068" width="11.28515625" style="1" bestFit="1" customWidth="1"/>
    <col min="2069" max="2069" width="10.28515625" style="1" bestFit="1" customWidth="1"/>
    <col min="2070" max="2070" width="12.85546875" style="1" bestFit="1" customWidth="1"/>
    <col min="2071" max="2193" width="9.140625" style="1"/>
    <col min="2194" max="2194" width="11" style="1" bestFit="1" customWidth="1"/>
    <col min="2195" max="2195" width="28.140625" style="1" bestFit="1" customWidth="1"/>
    <col min="2196" max="2196" width="14" style="1" bestFit="1" customWidth="1"/>
    <col min="2197" max="2197" width="9.140625" style="1"/>
    <col min="2198" max="2198" width="13.85546875" style="1" bestFit="1" customWidth="1"/>
    <col min="2199" max="2199" width="9.140625" style="1"/>
    <col min="2200" max="2200" width="14" style="1" customWidth="1"/>
    <col min="2201" max="2201" width="9.140625" style="1"/>
    <col min="2202" max="2202" width="12.85546875" style="1" bestFit="1" customWidth="1"/>
    <col min="2203" max="2203" width="10" style="1" customWidth="1"/>
    <col min="2204" max="2204" width="14" style="1" bestFit="1" customWidth="1"/>
    <col min="2205" max="2205" width="9.85546875" style="1" bestFit="1" customWidth="1"/>
    <col min="2206" max="2206" width="13.5703125" style="1" bestFit="1" customWidth="1"/>
    <col min="2207" max="2207" width="9.85546875" style="1" bestFit="1" customWidth="1"/>
    <col min="2208" max="2208" width="12.85546875" style="1" bestFit="1" customWidth="1"/>
    <col min="2209" max="2220" width="10.5703125" style="1" customWidth="1"/>
    <col min="2221" max="2221" width="11.140625" style="1" bestFit="1" customWidth="1"/>
    <col min="2222" max="2222" width="2.7109375" style="1" customWidth="1"/>
    <col min="2223" max="2223" width="9.85546875" style="1" bestFit="1" customWidth="1"/>
    <col min="2224" max="2225" width="9.140625" style="1"/>
    <col min="2226" max="2226" width="24" style="1" customWidth="1"/>
    <col min="2227" max="2229" width="9.140625" style="1"/>
    <col min="2230" max="2230" width="9" style="1" bestFit="1" customWidth="1"/>
    <col min="2231" max="2240" width="9.28515625" style="1" bestFit="1" customWidth="1"/>
    <col min="2241" max="2241" width="10.28515625" style="1" bestFit="1" customWidth="1"/>
    <col min="2242" max="2242" width="11.28515625" style="1" bestFit="1" customWidth="1"/>
    <col min="2243" max="2243" width="11.7109375" style="1" customWidth="1"/>
    <col min="2244" max="2244" width="9.140625" style="1"/>
    <col min="2245" max="2245" width="22.28515625" style="1" customWidth="1"/>
    <col min="2246" max="2246" width="9.140625" style="1"/>
    <col min="2247" max="2247" width="9.28515625" style="1" bestFit="1" customWidth="1"/>
    <col min="2248" max="2248" width="9.42578125" style="1" bestFit="1" customWidth="1"/>
    <col min="2249" max="2249" width="9.28515625" style="1" bestFit="1" customWidth="1"/>
    <col min="2250" max="2250" width="10.28515625" style="1" bestFit="1" customWidth="1"/>
    <col min="2251" max="2252" width="9.28515625" style="1" bestFit="1" customWidth="1"/>
    <col min="2253" max="2254" width="10.28515625" style="1" bestFit="1" customWidth="1"/>
    <col min="2255" max="2259" width="9.28515625" style="1" bestFit="1" customWidth="1"/>
    <col min="2260" max="2260" width="10.42578125" style="1" bestFit="1" customWidth="1"/>
    <col min="2261" max="2261" width="9.140625" style="1"/>
    <col min="2262" max="2262" width="24.85546875" style="1" customWidth="1"/>
    <col min="2263" max="2263" width="9.140625" style="1"/>
    <col min="2264" max="2276" width="9.28515625" style="1" bestFit="1" customWidth="1"/>
    <col min="2277" max="2277" width="10.28515625" style="1" bestFit="1" customWidth="1"/>
    <col min="2278" max="2278" width="9.5703125" style="1" bestFit="1" customWidth="1"/>
    <col min="2279" max="2279" width="18.5703125" style="1" customWidth="1"/>
    <col min="2280" max="2281" width="9.140625" style="1"/>
    <col min="2282" max="2284" width="12.140625" style="1" bestFit="1" customWidth="1"/>
    <col min="2285" max="2293" width="10.28515625" style="1" bestFit="1" customWidth="1"/>
    <col min="2294" max="2294" width="11.28515625" style="1" bestFit="1" customWidth="1"/>
    <col min="2295" max="2295" width="9.140625" style="1"/>
    <col min="2296" max="2296" width="19" style="1" customWidth="1"/>
    <col min="2297" max="2313" width="9.140625" style="1"/>
    <col min="2314" max="2324" width="11.28515625" style="1" bestFit="1" customWidth="1"/>
    <col min="2325" max="2325" width="10.28515625" style="1" bestFit="1" customWidth="1"/>
    <col min="2326" max="2326" width="12.85546875" style="1" bestFit="1" customWidth="1"/>
    <col min="2327" max="2449" width="9.140625" style="1"/>
    <col min="2450" max="2450" width="11" style="1" bestFit="1" customWidth="1"/>
    <col min="2451" max="2451" width="28.140625" style="1" bestFit="1" customWidth="1"/>
    <col min="2452" max="2452" width="14" style="1" bestFit="1" customWidth="1"/>
    <col min="2453" max="2453" width="9.140625" style="1"/>
    <col min="2454" max="2454" width="13.85546875" style="1" bestFit="1" customWidth="1"/>
    <col min="2455" max="2455" width="9.140625" style="1"/>
    <col min="2456" max="2456" width="14" style="1" customWidth="1"/>
    <col min="2457" max="2457" width="9.140625" style="1"/>
    <col min="2458" max="2458" width="12.85546875" style="1" bestFit="1" customWidth="1"/>
    <col min="2459" max="2459" width="10" style="1" customWidth="1"/>
    <col min="2460" max="2460" width="14" style="1" bestFit="1" customWidth="1"/>
    <col min="2461" max="2461" width="9.85546875" style="1" bestFit="1" customWidth="1"/>
    <col min="2462" max="2462" width="13.5703125" style="1" bestFit="1" customWidth="1"/>
    <col min="2463" max="2463" width="9.85546875" style="1" bestFit="1" customWidth="1"/>
    <col min="2464" max="2464" width="12.85546875" style="1" bestFit="1" customWidth="1"/>
    <col min="2465" max="2476" width="10.5703125" style="1" customWidth="1"/>
    <col min="2477" max="2477" width="11.140625" style="1" bestFit="1" customWidth="1"/>
    <col min="2478" max="2478" width="2.7109375" style="1" customWidth="1"/>
    <col min="2479" max="2479" width="9.85546875" style="1" bestFit="1" customWidth="1"/>
    <col min="2480" max="2481" width="9.140625" style="1"/>
    <col min="2482" max="2482" width="24" style="1" customWidth="1"/>
    <col min="2483" max="2485" width="9.140625" style="1"/>
    <col min="2486" max="2486" width="9" style="1" bestFit="1" customWidth="1"/>
    <col min="2487" max="2496" width="9.28515625" style="1" bestFit="1" customWidth="1"/>
    <col min="2497" max="2497" width="10.28515625" style="1" bestFit="1" customWidth="1"/>
    <col min="2498" max="2498" width="11.28515625" style="1" bestFit="1" customWidth="1"/>
    <col min="2499" max="2499" width="11.7109375" style="1" customWidth="1"/>
    <col min="2500" max="2500" width="9.140625" style="1"/>
    <col min="2501" max="2501" width="22.28515625" style="1" customWidth="1"/>
    <col min="2502" max="2502" width="9.140625" style="1"/>
    <col min="2503" max="2503" width="9.28515625" style="1" bestFit="1" customWidth="1"/>
    <col min="2504" max="2504" width="9.42578125" style="1" bestFit="1" customWidth="1"/>
    <col min="2505" max="2505" width="9.28515625" style="1" bestFit="1" customWidth="1"/>
    <col min="2506" max="2506" width="10.28515625" style="1" bestFit="1" customWidth="1"/>
    <col min="2507" max="2508" width="9.28515625" style="1" bestFit="1" customWidth="1"/>
    <col min="2509" max="2510" width="10.28515625" style="1" bestFit="1" customWidth="1"/>
    <col min="2511" max="2515" width="9.28515625" style="1" bestFit="1" customWidth="1"/>
    <col min="2516" max="2516" width="10.42578125" style="1" bestFit="1" customWidth="1"/>
    <col min="2517" max="2517" width="9.140625" style="1"/>
    <col min="2518" max="2518" width="24.85546875" style="1" customWidth="1"/>
    <col min="2519" max="2519" width="9.140625" style="1"/>
    <col min="2520" max="2532" width="9.28515625" style="1" bestFit="1" customWidth="1"/>
    <col min="2533" max="2533" width="10.28515625" style="1" bestFit="1" customWidth="1"/>
    <col min="2534" max="2534" width="9.5703125" style="1" bestFit="1" customWidth="1"/>
    <col min="2535" max="2535" width="18.5703125" style="1" customWidth="1"/>
    <col min="2536" max="2537" width="9.140625" style="1"/>
    <col min="2538" max="2540" width="12.140625" style="1" bestFit="1" customWidth="1"/>
    <col min="2541" max="2549" width="10.28515625" style="1" bestFit="1" customWidth="1"/>
    <col min="2550" max="2550" width="11.28515625" style="1" bestFit="1" customWidth="1"/>
    <col min="2551" max="2551" width="9.140625" style="1"/>
    <col min="2552" max="2552" width="19" style="1" customWidth="1"/>
    <col min="2553" max="2569" width="9.140625" style="1"/>
    <col min="2570" max="2580" width="11.28515625" style="1" bestFit="1" customWidth="1"/>
    <col min="2581" max="2581" width="10.28515625" style="1" bestFit="1" customWidth="1"/>
    <col min="2582" max="2582" width="12.85546875" style="1" bestFit="1" customWidth="1"/>
    <col min="2583" max="2705" width="9.140625" style="1"/>
    <col min="2706" max="2706" width="11" style="1" bestFit="1" customWidth="1"/>
    <col min="2707" max="2707" width="28.140625" style="1" bestFit="1" customWidth="1"/>
    <col min="2708" max="2708" width="14" style="1" bestFit="1" customWidth="1"/>
    <col min="2709" max="2709" width="9.140625" style="1"/>
    <col min="2710" max="2710" width="13.85546875" style="1" bestFit="1" customWidth="1"/>
    <col min="2711" max="2711" width="9.140625" style="1"/>
    <col min="2712" max="2712" width="14" style="1" customWidth="1"/>
    <col min="2713" max="2713" width="9.140625" style="1"/>
    <col min="2714" max="2714" width="12.85546875" style="1" bestFit="1" customWidth="1"/>
    <col min="2715" max="2715" width="10" style="1" customWidth="1"/>
    <col min="2716" max="2716" width="14" style="1" bestFit="1" customWidth="1"/>
    <col min="2717" max="2717" width="9.85546875" style="1" bestFit="1" customWidth="1"/>
    <col min="2718" max="2718" width="13.5703125" style="1" bestFit="1" customWidth="1"/>
    <col min="2719" max="2719" width="9.85546875" style="1" bestFit="1" customWidth="1"/>
    <col min="2720" max="2720" width="12.85546875" style="1" bestFit="1" customWidth="1"/>
    <col min="2721" max="2732" width="10.5703125" style="1" customWidth="1"/>
    <col min="2733" max="2733" width="11.140625" style="1" bestFit="1" customWidth="1"/>
    <col min="2734" max="2734" width="2.7109375" style="1" customWidth="1"/>
    <col min="2735" max="2735" width="9.85546875" style="1" bestFit="1" customWidth="1"/>
    <col min="2736" max="2737" width="9.140625" style="1"/>
    <col min="2738" max="2738" width="24" style="1" customWidth="1"/>
    <col min="2739" max="2741" width="9.140625" style="1"/>
    <col min="2742" max="2742" width="9" style="1" bestFit="1" customWidth="1"/>
    <col min="2743" max="2752" width="9.28515625" style="1" bestFit="1" customWidth="1"/>
    <col min="2753" max="2753" width="10.28515625" style="1" bestFit="1" customWidth="1"/>
    <col min="2754" max="2754" width="11.28515625" style="1" bestFit="1" customWidth="1"/>
    <col min="2755" max="2755" width="11.7109375" style="1" customWidth="1"/>
    <col min="2756" max="2756" width="9.140625" style="1"/>
    <col min="2757" max="2757" width="22.28515625" style="1" customWidth="1"/>
    <col min="2758" max="2758" width="9.140625" style="1"/>
    <col min="2759" max="2759" width="9.28515625" style="1" bestFit="1" customWidth="1"/>
    <col min="2760" max="2760" width="9.42578125" style="1" bestFit="1" customWidth="1"/>
    <col min="2761" max="2761" width="9.28515625" style="1" bestFit="1" customWidth="1"/>
    <col min="2762" max="2762" width="10.28515625" style="1" bestFit="1" customWidth="1"/>
    <col min="2763" max="2764" width="9.28515625" style="1" bestFit="1" customWidth="1"/>
    <col min="2765" max="2766" width="10.28515625" style="1" bestFit="1" customWidth="1"/>
    <col min="2767" max="2771" width="9.28515625" style="1" bestFit="1" customWidth="1"/>
    <col min="2772" max="2772" width="10.42578125" style="1" bestFit="1" customWidth="1"/>
    <col min="2773" max="2773" width="9.140625" style="1"/>
    <col min="2774" max="2774" width="24.85546875" style="1" customWidth="1"/>
    <col min="2775" max="2775" width="9.140625" style="1"/>
    <col min="2776" max="2788" width="9.28515625" style="1" bestFit="1" customWidth="1"/>
    <col min="2789" max="2789" width="10.28515625" style="1" bestFit="1" customWidth="1"/>
    <col min="2790" max="2790" width="9.5703125" style="1" bestFit="1" customWidth="1"/>
    <col min="2791" max="2791" width="18.5703125" style="1" customWidth="1"/>
    <col min="2792" max="2793" width="9.140625" style="1"/>
    <col min="2794" max="2796" width="12.140625" style="1" bestFit="1" customWidth="1"/>
    <col min="2797" max="2805" width="10.28515625" style="1" bestFit="1" customWidth="1"/>
    <col min="2806" max="2806" width="11.28515625" style="1" bestFit="1" customWidth="1"/>
    <col min="2807" max="2807" width="9.140625" style="1"/>
    <col min="2808" max="2808" width="19" style="1" customWidth="1"/>
    <col min="2809" max="2825" width="9.140625" style="1"/>
    <col min="2826" max="2836" width="11.28515625" style="1" bestFit="1" customWidth="1"/>
    <col min="2837" max="2837" width="10.28515625" style="1" bestFit="1" customWidth="1"/>
    <col min="2838" max="2838" width="12.85546875" style="1" bestFit="1" customWidth="1"/>
    <col min="2839" max="2961" width="9.140625" style="1"/>
    <col min="2962" max="2962" width="11" style="1" bestFit="1" customWidth="1"/>
    <col min="2963" max="2963" width="28.140625" style="1" bestFit="1" customWidth="1"/>
    <col min="2964" max="2964" width="14" style="1" bestFit="1" customWidth="1"/>
    <col min="2965" max="2965" width="9.140625" style="1"/>
    <col min="2966" max="2966" width="13.85546875" style="1" bestFit="1" customWidth="1"/>
    <col min="2967" max="2967" width="9.140625" style="1"/>
    <col min="2968" max="2968" width="14" style="1" customWidth="1"/>
    <col min="2969" max="2969" width="9.140625" style="1"/>
    <col min="2970" max="2970" width="12.85546875" style="1" bestFit="1" customWidth="1"/>
    <col min="2971" max="2971" width="10" style="1" customWidth="1"/>
    <col min="2972" max="2972" width="14" style="1" bestFit="1" customWidth="1"/>
    <col min="2973" max="2973" width="9.85546875" style="1" bestFit="1" customWidth="1"/>
    <col min="2974" max="2974" width="13.5703125" style="1" bestFit="1" customWidth="1"/>
    <col min="2975" max="2975" width="9.85546875" style="1" bestFit="1" customWidth="1"/>
    <col min="2976" max="2976" width="12.85546875" style="1" bestFit="1" customWidth="1"/>
    <col min="2977" max="2988" width="10.5703125" style="1" customWidth="1"/>
    <col min="2989" max="2989" width="11.140625" style="1" bestFit="1" customWidth="1"/>
    <col min="2990" max="2990" width="2.7109375" style="1" customWidth="1"/>
    <col min="2991" max="2991" width="9.85546875" style="1" bestFit="1" customWidth="1"/>
    <col min="2992" max="2993" width="9.140625" style="1"/>
    <col min="2994" max="2994" width="24" style="1" customWidth="1"/>
    <col min="2995" max="2997" width="9.140625" style="1"/>
    <col min="2998" max="2998" width="9" style="1" bestFit="1" customWidth="1"/>
    <col min="2999" max="3008" width="9.28515625" style="1" bestFit="1" customWidth="1"/>
    <col min="3009" max="3009" width="10.28515625" style="1" bestFit="1" customWidth="1"/>
    <col min="3010" max="3010" width="11.28515625" style="1" bestFit="1" customWidth="1"/>
    <col min="3011" max="3011" width="11.7109375" style="1" customWidth="1"/>
    <col min="3012" max="3012" width="9.140625" style="1"/>
    <col min="3013" max="3013" width="22.28515625" style="1" customWidth="1"/>
    <col min="3014" max="3014" width="9.140625" style="1"/>
    <col min="3015" max="3015" width="9.28515625" style="1" bestFit="1" customWidth="1"/>
    <col min="3016" max="3016" width="9.42578125" style="1" bestFit="1" customWidth="1"/>
    <col min="3017" max="3017" width="9.28515625" style="1" bestFit="1" customWidth="1"/>
    <col min="3018" max="3018" width="10.28515625" style="1" bestFit="1" customWidth="1"/>
    <col min="3019" max="3020" width="9.28515625" style="1" bestFit="1" customWidth="1"/>
    <col min="3021" max="3022" width="10.28515625" style="1" bestFit="1" customWidth="1"/>
    <col min="3023" max="3027" width="9.28515625" style="1" bestFit="1" customWidth="1"/>
    <col min="3028" max="3028" width="10.42578125" style="1" bestFit="1" customWidth="1"/>
    <col min="3029" max="3029" width="9.140625" style="1"/>
    <col min="3030" max="3030" width="24.85546875" style="1" customWidth="1"/>
    <col min="3031" max="3031" width="9.140625" style="1"/>
    <col min="3032" max="3044" width="9.28515625" style="1" bestFit="1" customWidth="1"/>
    <col min="3045" max="3045" width="10.28515625" style="1" bestFit="1" customWidth="1"/>
    <col min="3046" max="3046" width="9.5703125" style="1" bestFit="1" customWidth="1"/>
    <col min="3047" max="3047" width="18.5703125" style="1" customWidth="1"/>
    <col min="3048" max="3049" width="9.140625" style="1"/>
    <col min="3050" max="3052" width="12.140625" style="1" bestFit="1" customWidth="1"/>
    <col min="3053" max="3061" width="10.28515625" style="1" bestFit="1" customWidth="1"/>
    <col min="3062" max="3062" width="11.28515625" style="1" bestFit="1" customWidth="1"/>
    <col min="3063" max="3063" width="9.140625" style="1"/>
    <col min="3064" max="3064" width="19" style="1" customWidth="1"/>
    <col min="3065" max="3081" width="9.140625" style="1"/>
    <col min="3082" max="3092" width="11.28515625" style="1" bestFit="1" customWidth="1"/>
    <col min="3093" max="3093" width="10.28515625" style="1" bestFit="1" customWidth="1"/>
    <col min="3094" max="3094" width="12.85546875" style="1" bestFit="1" customWidth="1"/>
    <col min="3095" max="3217" width="9.140625" style="1"/>
    <col min="3218" max="3218" width="11" style="1" bestFit="1" customWidth="1"/>
    <col min="3219" max="3219" width="28.140625" style="1" bestFit="1" customWidth="1"/>
    <col min="3220" max="3220" width="14" style="1" bestFit="1" customWidth="1"/>
    <col min="3221" max="3221" width="9.140625" style="1"/>
    <col min="3222" max="3222" width="13.85546875" style="1" bestFit="1" customWidth="1"/>
    <col min="3223" max="3223" width="9.140625" style="1"/>
    <col min="3224" max="3224" width="14" style="1" customWidth="1"/>
    <col min="3225" max="3225" width="9.140625" style="1"/>
    <col min="3226" max="3226" width="12.85546875" style="1" bestFit="1" customWidth="1"/>
    <col min="3227" max="3227" width="10" style="1" customWidth="1"/>
    <col min="3228" max="3228" width="14" style="1" bestFit="1" customWidth="1"/>
    <col min="3229" max="3229" width="9.85546875" style="1" bestFit="1" customWidth="1"/>
    <col min="3230" max="3230" width="13.5703125" style="1" bestFit="1" customWidth="1"/>
    <col min="3231" max="3231" width="9.85546875" style="1" bestFit="1" customWidth="1"/>
    <col min="3232" max="3232" width="12.85546875" style="1" bestFit="1" customWidth="1"/>
    <col min="3233" max="3244" width="10.5703125" style="1" customWidth="1"/>
    <col min="3245" max="3245" width="11.140625" style="1" bestFit="1" customWidth="1"/>
    <col min="3246" max="3246" width="2.7109375" style="1" customWidth="1"/>
    <col min="3247" max="3247" width="9.85546875" style="1" bestFit="1" customWidth="1"/>
    <col min="3248" max="3249" width="9.140625" style="1"/>
    <col min="3250" max="3250" width="24" style="1" customWidth="1"/>
    <col min="3251" max="3253" width="9.140625" style="1"/>
    <col min="3254" max="3254" width="9" style="1" bestFit="1" customWidth="1"/>
    <col min="3255" max="3264" width="9.28515625" style="1" bestFit="1" customWidth="1"/>
    <col min="3265" max="3265" width="10.28515625" style="1" bestFit="1" customWidth="1"/>
    <col min="3266" max="3266" width="11.28515625" style="1" bestFit="1" customWidth="1"/>
    <col min="3267" max="3267" width="11.7109375" style="1" customWidth="1"/>
    <col min="3268" max="3268" width="9.140625" style="1"/>
    <col min="3269" max="3269" width="22.28515625" style="1" customWidth="1"/>
    <col min="3270" max="3270" width="9.140625" style="1"/>
    <col min="3271" max="3271" width="9.28515625" style="1" bestFit="1" customWidth="1"/>
    <col min="3272" max="3272" width="9.42578125" style="1" bestFit="1" customWidth="1"/>
    <col min="3273" max="3273" width="9.28515625" style="1" bestFit="1" customWidth="1"/>
    <col min="3274" max="3274" width="10.28515625" style="1" bestFit="1" customWidth="1"/>
    <col min="3275" max="3276" width="9.28515625" style="1" bestFit="1" customWidth="1"/>
    <col min="3277" max="3278" width="10.28515625" style="1" bestFit="1" customWidth="1"/>
    <col min="3279" max="3283" width="9.28515625" style="1" bestFit="1" customWidth="1"/>
    <col min="3284" max="3284" width="10.42578125" style="1" bestFit="1" customWidth="1"/>
    <col min="3285" max="3285" width="9.140625" style="1"/>
    <col min="3286" max="3286" width="24.85546875" style="1" customWidth="1"/>
    <col min="3287" max="3287" width="9.140625" style="1"/>
    <col min="3288" max="3300" width="9.28515625" style="1" bestFit="1" customWidth="1"/>
    <col min="3301" max="3301" width="10.28515625" style="1" bestFit="1" customWidth="1"/>
    <col min="3302" max="3302" width="9.5703125" style="1" bestFit="1" customWidth="1"/>
    <col min="3303" max="3303" width="18.5703125" style="1" customWidth="1"/>
    <col min="3304" max="3305" width="9.140625" style="1"/>
    <col min="3306" max="3308" width="12.140625" style="1" bestFit="1" customWidth="1"/>
    <col min="3309" max="3317" width="10.28515625" style="1" bestFit="1" customWidth="1"/>
    <col min="3318" max="3318" width="11.28515625" style="1" bestFit="1" customWidth="1"/>
    <col min="3319" max="3319" width="9.140625" style="1"/>
    <col min="3320" max="3320" width="19" style="1" customWidth="1"/>
    <col min="3321" max="3337" width="9.140625" style="1"/>
    <col min="3338" max="3348" width="11.28515625" style="1" bestFit="1" customWidth="1"/>
    <col min="3349" max="3349" width="10.28515625" style="1" bestFit="1" customWidth="1"/>
    <col min="3350" max="3350" width="12.85546875" style="1" bestFit="1" customWidth="1"/>
    <col min="3351" max="3473" width="9.140625" style="1"/>
    <col min="3474" max="3474" width="11" style="1" bestFit="1" customWidth="1"/>
    <col min="3475" max="3475" width="28.140625" style="1" bestFit="1" customWidth="1"/>
    <col min="3476" max="3476" width="14" style="1" bestFit="1" customWidth="1"/>
    <col min="3477" max="3477" width="9.140625" style="1"/>
    <col min="3478" max="3478" width="13.85546875" style="1" bestFit="1" customWidth="1"/>
    <col min="3479" max="3479" width="9.140625" style="1"/>
    <col min="3480" max="3480" width="14" style="1" customWidth="1"/>
    <col min="3481" max="3481" width="9.140625" style="1"/>
    <col min="3482" max="3482" width="12.85546875" style="1" bestFit="1" customWidth="1"/>
    <col min="3483" max="3483" width="10" style="1" customWidth="1"/>
    <col min="3484" max="3484" width="14" style="1" bestFit="1" customWidth="1"/>
    <col min="3485" max="3485" width="9.85546875" style="1" bestFit="1" customWidth="1"/>
    <col min="3486" max="3486" width="13.5703125" style="1" bestFit="1" customWidth="1"/>
    <col min="3487" max="3487" width="9.85546875" style="1" bestFit="1" customWidth="1"/>
    <col min="3488" max="3488" width="12.85546875" style="1" bestFit="1" customWidth="1"/>
    <col min="3489" max="3500" width="10.5703125" style="1" customWidth="1"/>
    <col min="3501" max="3501" width="11.140625" style="1" bestFit="1" customWidth="1"/>
    <col min="3502" max="3502" width="2.7109375" style="1" customWidth="1"/>
    <col min="3503" max="3503" width="9.85546875" style="1" bestFit="1" customWidth="1"/>
    <col min="3504" max="3505" width="9.140625" style="1"/>
    <col min="3506" max="3506" width="24" style="1" customWidth="1"/>
    <col min="3507" max="3509" width="9.140625" style="1"/>
    <col min="3510" max="3510" width="9" style="1" bestFit="1" customWidth="1"/>
    <col min="3511" max="3520" width="9.28515625" style="1" bestFit="1" customWidth="1"/>
    <col min="3521" max="3521" width="10.28515625" style="1" bestFit="1" customWidth="1"/>
    <col min="3522" max="3522" width="11.28515625" style="1" bestFit="1" customWidth="1"/>
    <col min="3523" max="3523" width="11.7109375" style="1" customWidth="1"/>
    <col min="3524" max="3524" width="9.140625" style="1"/>
    <col min="3525" max="3525" width="22.28515625" style="1" customWidth="1"/>
    <col min="3526" max="3526" width="9.140625" style="1"/>
    <col min="3527" max="3527" width="9.28515625" style="1" bestFit="1" customWidth="1"/>
    <col min="3528" max="3528" width="9.42578125" style="1" bestFit="1" customWidth="1"/>
    <col min="3529" max="3529" width="9.28515625" style="1" bestFit="1" customWidth="1"/>
    <col min="3530" max="3530" width="10.28515625" style="1" bestFit="1" customWidth="1"/>
    <col min="3531" max="3532" width="9.28515625" style="1" bestFit="1" customWidth="1"/>
    <col min="3533" max="3534" width="10.28515625" style="1" bestFit="1" customWidth="1"/>
    <col min="3535" max="3539" width="9.28515625" style="1" bestFit="1" customWidth="1"/>
    <col min="3540" max="3540" width="10.42578125" style="1" bestFit="1" customWidth="1"/>
    <col min="3541" max="3541" width="9.140625" style="1"/>
    <col min="3542" max="3542" width="24.85546875" style="1" customWidth="1"/>
    <col min="3543" max="3543" width="9.140625" style="1"/>
    <col min="3544" max="3556" width="9.28515625" style="1" bestFit="1" customWidth="1"/>
    <col min="3557" max="3557" width="10.28515625" style="1" bestFit="1" customWidth="1"/>
    <col min="3558" max="3558" width="9.5703125" style="1" bestFit="1" customWidth="1"/>
    <col min="3559" max="3559" width="18.5703125" style="1" customWidth="1"/>
    <col min="3560" max="3561" width="9.140625" style="1"/>
    <col min="3562" max="3564" width="12.140625" style="1" bestFit="1" customWidth="1"/>
    <col min="3565" max="3573" width="10.28515625" style="1" bestFit="1" customWidth="1"/>
    <col min="3574" max="3574" width="11.28515625" style="1" bestFit="1" customWidth="1"/>
    <col min="3575" max="3575" width="9.140625" style="1"/>
    <col min="3576" max="3576" width="19" style="1" customWidth="1"/>
    <col min="3577" max="3593" width="9.140625" style="1"/>
    <col min="3594" max="3604" width="11.28515625" style="1" bestFit="1" customWidth="1"/>
    <col min="3605" max="3605" width="10.28515625" style="1" bestFit="1" customWidth="1"/>
    <col min="3606" max="3606" width="12.85546875" style="1" bestFit="1" customWidth="1"/>
    <col min="3607" max="3729" width="9.140625" style="1"/>
    <col min="3730" max="3730" width="11" style="1" bestFit="1" customWidth="1"/>
    <col min="3731" max="3731" width="28.140625" style="1" bestFit="1" customWidth="1"/>
    <col min="3732" max="3732" width="14" style="1" bestFit="1" customWidth="1"/>
    <col min="3733" max="3733" width="9.140625" style="1"/>
    <col min="3734" max="3734" width="13.85546875" style="1" bestFit="1" customWidth="1"/>
    <col min="3735" max="3735" width="9.140625" style="1"/>
    <col min="3736" max="3736" width="14" style="1" customWidth="1"/>
    <col min="3737" max="3737" width="9.140625" style="1"/>
    <col min="3738" max="3738" width="12.85546875" style="1" bestFit="1" customWidth="1"/>
    <col min="3739" max="3739" width="10" style="1" customWidth="1"/>
    <col min="3740" max="3740" width="14" style="1" bestFit="1" customWidth="1"/>
    <col min="3741" max="3741" width="9.85546875" style="1" bestFit="1" customWidth="1"/>
    <col min="3742" max="3742" width="13.5703125" style="1" bestFit="1" customWidth="1"/>
    <col min="3743" max="3743" width="9.85546875" style="1" bestFit="1" customWidth="1"/>
    <col min="3744" max="3744" width="12.85546875" style="1" bestFit="1" customWidth="1"/>
    <col min="3745" max="3756" width="10.5703125" style="1" customWidth="1"/>
    <col min="3757" max="3757" width="11.140625" style="1" bestFit="1" customWidth="1"/>
    <col min="3758" max="3758" width="2.7109375" style="1" customWidth="1"/>
    <col min="3759" max="3759" width="9.85546875" style="1" bestFit="1" customWidth="1"/>
    <col min="3760" max="3761" width="9.140625" style="1"/>
    <col min="3762" max="3762" width="24" style="1" customWidth="1"/>
    <col min="3763" max="3765" width="9.140625" style="1"/>
    <col min="3766" max="3766" width="9" style="1" bestFit="1" customWidth="1"/>
    <col min="3767" max="3776" width="9.28515625" style="1" bestFit="1" customWidth="1"/>
    <col min="3777" max="3777" width="10.28515625" style="1" bestFit="1" customWidth="1"/>
    <col min="3778" max="3778" width="11.28515625" style="1" bestFit="1" customWidth="1"/>
    <col min="3779" max="3779" width="11.7109375" style="1" customWidth="1"/>
    <col min="3780" max="3780" width="9.140625" style="1"/>
    <col min="3781" max="3781" width="22.28515625" style="1" customWidth="1"/>
    <col min="3782" max="3782" width="9.140625" style="1"/>
    <col min="3783" max="3783" width="9.28515625" style="1" bestFit="1" customWidth="1"/>
    <col min="3784" max="3784" width="9.42578125" style="1" bestFit="1" customWidth="1"/>
    <col min="3785" max="3785" width="9.28515625" style="1" bestFit="1" customWidth="1"/>
    <col min="3786" max="3786" width="10.28515625" style="1" bestFit="1" customWidth="1"/>
    <col min="3787" max="3788" width="9.28515625" style="1" bestFit="1" customWidth="1"/>
    <col min="3789" max="3790" width="10.28515625" style="1" bestFit="1" customWidth="1"/>
    <col min="3791" max="3795" width="9.28515625" style="1" bestFit="1" customWidth="1"/>
    <col min="3796" max="3796" width="10.42578125" style="1" bestFit="1" customWidth="1"/>
    <col min="3797" max="3797" width="9.140625" style="1"/>
    <col min="3798" max="3798" width="24.85546875" style="1" customWidth="1"/>
    <col min="3799" max="3799" width="9.140625" style="1"/>
    <col min="3800" max="3812" width="9.28515625" style="1" bestFit="1" customWidth="1"/>
    <col min="3813" max="3813" width="10.28515625" style="1" bestFit="1" customWidth="1"/>
    <col min="3814" max="3814" width="9.5703125" style="1" bestFit="1" customWidth="1"/>
    <col min="3815" max="3815" width="18.5703125" style="1" customWidth="1"/>
    <col min="3816" max="3817" width="9.140625" style="1"/>
    <col min="3818" max="3820" width="12.140625" style="1" bestFit="1" customWidth="1"/>
    <col min="3821" max="3829" width="10.28515625" style="1" bestFit="1" customWidth="1"/>
    <col min="3830" max="3830" width="11.28515625" style="1" bestFit="1" customWidth="1"/>
    <col min="3831" max="3831" width="9.140625" style="1"/>
    <col min="3832" max="3832" width="19" style="1" customWidth="1"/>
    <col min="3833" max="3849" width="9.140625" style="1"/>
    <col min="3850" max="3860" width="11.28515625" style="1" bestFit="1" customWidth="1"/>
    <col min="3861" max="3861" width="10.28515625" style="1" bestFit="1" customWidth="1"/>
    <col min="3862" max="3862" width="12.85546875" style="1" bestFit="1" customWidth="1"/>
    <col min="3863" max="3985" width="9.140625" style="1"/>
    <col min="3986" max="3986" width="11" style="1" bestFit="1" customWidth="1"/>
    <col min="3987" max="3987" width="28.140625" style="1" bestFit="1" customWidth="1"/>
    <col min="3988" max="3988" width="14" style="1" bestFit="1" customWidth="1"/>
    <col min="3989" max="3989" width="9.140625" style="1"/>
    <col min="3990" max="3990" width="13.85546875" style="1" bestFit="1" customWidth="1"/>
    <col min="3991" max="3991" width="9.140625" style="1"/>
    <col min="3992" max="3992" width="14" style="1" customWidth="1"/>
    <col min="3993" max="3993" width="9.140625" style="1"/>
    <col min="3994" max="3994" width="12.85546875" style="1" bestFit="1" customWidth="1"/>
    <col min="3995" max="3995" width="10" style="1" customWidth="1"/>
    <col min="3996" max="3996" width="14" style="1" bestFit="1" customWidth="1"/>
    <col min="3997" max="3997" width="9.85546875" style="1" bestFit="1" customWidth="1"/>
    <col min="3998" max="3998" width="13.5703125" style="1" bestFit="1" customWidth="1"/>
    <col min="3999" max="3999" width="9.85546875" style="1" bestFit="1" customWidth="1"/>
    <col min="4000" max="4000" width="12.85546875" style="1" bestFit="1" customWidth="1"/>
    <col min="4001" max="4012" width="10.5703125" style="1" customWidth="1"/>
    <col min="4013" max="4013" width="11.140625" style="1" bestFit="1" customWidth="1"/>
    <col min="4014" max="4014" width="2.7109375" style="1" customWidth="1"/>
    <col min="4015" max="4015" width="9.85546875" style="1" bestFit="1" customWidth="1"/>
    <col min="4016" max="4017" width="9.140625" style="1"/>
    <col min="4018" max="4018" width="24" style="1" customWidth="1"/>
    <col min="4019" max="4021" width="9.140625" style="1"/>
    <col min="4022" max="4022" width="9" style="1" bestFit="1" customWidth="1"/>
    <col min="4023" max="4032" width="9.28515625" style="1" bestFit="1" customWidth="1"/>
    <col min="4033" max="4033" width="10.28515625" style="1" bestFit="1" customWidth="1"/>
    <col min="4034" max="4034" width="11.28515625" style="1" bestFit="1" customWidth="1"/>
    <col min="4035" max="4035" width="11.7109375" style="1" customWidth="1"/>
    <col min="4036" max="4036" width="9.140625" style="1"/>
    <col min="4037" max="4037" width="22.28515625" style="1" customWidth="1"/>
    <col min="4038" max="4038" width="9.140625" style="1"/>
    <col min="4039" max="4039" width="9.28515625" style="1" bestFit="1" customWidth="1"/>
    <col min="4040" max="4040" width="9.42578125" style="1" bestFit="1" customWidth="1"/>
    <col min="4041" max="4041" width="9.28515625" style="1" bestFit="1" customWidth="1"/>
    <col min="4042" max="4042" width="10.28515625" style="1" bestFit="1" customWidth="1"/>
    <col min="4043" max="4044" width="9.28515625" style="1" bestFit="1" customWidth="1"/>
    <col min="4045" max="4046" width="10.28515625" style="1" bestFit="1" customWidth="1"/>
    <col min="4047" max="4051" width="9.28515625" style="1" bestFit="1" customWidth="1"/>
    <col min="4052" max="4052" width="10.42578125" style="1" bestFit="1" customWidth="1"/>
    <col min="4053" max="4053" width="9.140625" style="1"/>
    <col min="4054" max="4054" width="24.85546875" style="1" customWidth="1"/>
    <col min="4055" max="4055" width="9.140625" style="1"/>
    <col min="4056" max="4068" width="9.28515625" style="1" bestFit="1" customWidth="1"/>
    <col min="4069" max="4069" width="10.28515625" style="1" bestFit="1" customWidth="1"/>
    <col min="4070" max="4070" width="9.5703125" style="1" bestFit="1" customWidth="1"/>
    <col min="4071" max="4071" width="18.5703125" style="1" customWidth="1"/>
    <col min="4072" max="4073" width="9.140625" style="1"/>
    <col min="4074" max="4076" width="12.140625" style="1" bestFit="1" customWidth="1"/>
    <col min="4077" max="4085" width="10.28515625" style="1" bestFit="1" customWidth="1"/>
    <col min="4086" max="4086" width="11.28515625" style="1" bestFit="1" customWidth="1"/>
    <col min="4087" max="4087" width="9.140625" style="1"/>
    <col min="4088" max="4088" width="19" style="1" customWidth="1"/>
    <col min="4089" max="4105" width="9.140625" style="1"/>
    <col min="4106" max="4116" width="11.28515625" style="1" bestFit="1" customWidth="1"/>
    <col min="4117" max="4117" width="10.28515625" style="1" bestFit="1" customWidth="1"/>
    <col min="4118" max="4118" width="12.85546875" style="1" bestFit="1" customWidth="1"/>
    <col min="4119" max="4241" width="9.140625" style="1"/>
    <col min="4242" max="4242" width="11" style="1" bestFit="1" customWidth="1"/>
    <col min="4243" max="4243" width="28.140625" style="1" bestFit="1" customWidth="1"/>
    <col min="4244" max="4244" width="14" style="1" bestFit="1" customWidth="1"/>
    <col min="4245" max="4245" width="9.140625" style="1"/>
    <col min="4246" max="4246" width="13.85546875" style="1" bestFit="1" customWidth="1"/>
    <col min="4247" max="4247" width="9.140625" style="1"/>
    <col min="4248" max="4248" width="14" style="1" customWidth="1"/>
    <col min="4249" max="4249" width="9.140625" style="1"/>
    <col min="4250" max="4250" width="12.85546875" style="1" bestFit="1" customWidth="1"/>
    <col min="4251" max="4251" width="10" style="1" customWidth="1"/>
    <col min="4252" max="4252" width="14" style="1" bestFit="1" customWidth="1"/>
    <col min="4253" max="4253" width="9.85546875" style="1" bestFit="1" customWidth="1"/>
    <col min="4254" max="4254" width="13.5703125" style="1" bestFit="1" customWidth="1"/>
    <col min="4255" max="4255" width="9.85546875" style="1" bestFit="1" customWidth="1"/>
    <col min="4256" max="4256" width="12.85546875" style="1" bestFit="1" customWidth="1"/>
    <col min="4257" max="4268" width="10.5703125" style="1" customWidth="1"/>
    <col min="4269" max="4269" width="11.140625" style="1" bestFit="1" customWidth="1"/>
    <col min="4270" max="4270" width="2.7109375" style="1" customWidth="1"/>
    <col min="4271" max="4271" width="9.85546875" style="1" bestFit="1" customWidth="1"/>
    <col min="4272" max="4273" width="9.140625" style="1"/>
    <col min="4274" max="4274" width="24" style="1" customWidth="1"/>
    <col min="4275" max="4277" width="9.140625" style="1"/>
    <col min="4278" max="4278" width="9" style="1" bestFit="1" customWidth="1"/>
    <col min="4279" max="4288" width="9.28515625" style="1" bestFit="1" customWidth="1"/>
    <col min="4289" max="4289" width="10.28515625" style="1" bestFit="1" customWidth="1"/>
    <col min="4290" max="4290" width="11.28515625" style="1" bestFit="1" customWidth="1"/>
    <col min="4291" max="4291" width="11.7109375" style="1" customWidth="1"/>
    <col min="4292" max="4292" width="9.140625" style="1"/>
    <col min="4293" max="4293" width="22.28515625" style="1" customWidth="1"/>
    <col min="4294" max="4294" width="9.140625" style="1"/>
    <col min="4295" max="4295" width="9.28515625" style="1" bestFit="1" customWidth="1"/>
    <col min="4296" max="4296" width="9.42578125" style="1" bestFit="1" customWidth="1"/>
    <col min="4297" max="4297" width="9.28515625" style="1" bestFit="1" customWidth="1"/>
    <col min="4298" max="4298" width="10.28515625" style="1" bestFit="1" customWidth="1"/>
    <col min="4299" max="4300" width="9.28515625" style="1" bestFit="1" customWidth="1"/>
    <col min="4301" max="4302" width="10.28515625" style="1" bestFit="1" customWidth="1"/>
    <col min="4303" max="4307" width="9.28515625" style="1" bestFit="1" customWidth="1"/>
    <col min="4308" max="4308" width="10.42578125" style="1" bestFit="1" customWidth="1"/>
    <col min="4309" max="4309" width="9.140625" style="1"/>
    <col min="4310" max="4310" width="24.85546875" style="1" customWidth="1"/>
    <col min="4311" max="4311" width="9.140625" style="1"/>
    <col min="4312" max="4324" width="9.28515625" style="1" bestFit="1" customWidth="1"/>
    <col min="4325" max="4325" width="10.28515625" style="1" bestFit="1" customWidth="1"/>
    <col min="4326" max="4326" width="9.5703125" style="1" bestFit="1" customWidth="1"/>
    <col min="4327" max="4327" width="18.5703125" style="1" customWidth="1"/>
    <col min="4328" max="4329" width="9.140625" style="1"/>
    <col min="4330" max="4332" width="12.140625" style="1" bestFit="1" customWidth="1"/>
    <col min="4333" max="4341" width="10.28515625" style="1" bestFit="1" customWidth="1"/>
    <col min="4342" max="4342" width="11.28515625" style="1" bestFit="1" customWidth="1"/>
    <col min="4343" max="4343" width="9.140625" style="1"/>
    <col min="4344" max="4344" width="19" style="1" customWidth="1"/>
    <col min="4345" max="4361" width="9.140625" style="1"/>
    <col min="4362" max="4372" width="11.28515625" style="1" bestFit="1" customWidth="1"/>
    <col min="4373" max="4373" width="10.28515625" style="1" bestFit="1" customWidth="1"/>
    <col min="4374" max="4374" width="12.85546875" style="1" bestFit="1" customWidth="1"/>
    <col min="4375" max="4497" width="9.140625" style="1"/>
    <col min="4498" max="4498" width="11" style="1" bestFit="1" customWidth="1"/>
    <col min="4499" max="4499" width="28.140625" style="1" bestFit="1" customWidth="1"/>
    <col min="4500" max="4500" width="14" style="1" bestFit="1" customWidth="1"/>
    <col min="4501" max="4501" width="9.140625" style="1"/>
    <col min="4502" max="4502" width="13.85546875" style="1" bestFit="1" customWidth="1"/>
    <col min="4503" max="4503" width="9.140625" style="1"/>
    <col min="4504" max="4504" width="14" style="1" customWidth="1"/>
    <col min="4505" max="4505" width="9.140625" style="1"/>
    <col min="4506" max="4506" width="12.85546875" style="1" bestFit="1" customWidth="1"/>
    <col min="4507" max="4507" width="10" style="1" customWidth="1"/>
    <col min="4508" max="4508" width="14" style="1" bestFit="1" customWidth="1"/>
    <col min="4509" max="4509" width="9.85546875" style="1" bestFit="1" customWidth="1"/>
    <col min="4510" max="4510" width="13.5703125" style="1" bestFit="1" customWidth="1"/>
    <col min="4511" max="4511" width="9.85546875" style="1" bestFit="1" customWidth="1"/>
    <col min="4512" max="4512" width="12.85546875" style="1" bestFit="1" customWidth="1"/>
    <col min="4513" max="4524" width="10.5703125" style="1" customWidth="1"/>
    <col min="4525" max="4525" width="11.140625" style="1" bestFit="1" customWidth="1"/>
    <col min="4526" max="4526" width="2.7109375" style="1" customWidth="1"/>
    <col min="4527" max="4527" width="9.85546875" style="1" bestFit="1" customWidth="1"/>
    <col min="4528" max="4529" width="9.140625" style="1"/>
    <col min="4530" max="4530" width="24" style="1" customWidth="1"/>
    <col min="4531" max="4533" width="9.140625" style="1"/>
    <col min="4534" max="4534" width="9" style="1" bestFit="1" customWidth="1"/>
    <col min="4535" max="4544" width="9.28515625" style="1" bestFit="1" customWidth="1"/>
    <col min="4545" max="4545" width="10.28515625" style="1" bestFit="1" customWidth="1"/>
    <col min="4546" max="4546" width="11.28515625" style="1" bestFit="1" customWidth="1"/>
    <col min="4547" max="4547" width="11.7109375" style="1" customWidth="1"/>
    <col min="4548" max="4548" width="9.140625" style="1"/>
    <col min="4549" max="4549" width="22.28515625" style="1" customWidth="1"/>
    <col min="4550" max="4550" width="9.140625" style="1"/>
    <col min="4551" max="4551" width="9.28515625" style="1" bestFit="1" customWidth="1"/>
    <col min="4552" max="4552" width="9.42578125" style="1" bestFit="1" customWidth="1"/>
    <col min="4553" max="4553" width="9.28515625" style="1" bestFit="1" customWidth="1"/>
    <col min="4554" max="4554" width="10.28515625" style="1" bestFit="1" customWidth="1"/>
    <col min="4555" max="4556" width="9.28515625" style="1" bestFit="1" customWidth="1"/>
    <col min="4557" max="4558" width="10.28515625" style="1" bestFit="1" customWidth="1"/>
    <col min="4559" max="4563" width="9.28515625" style="1" bestFit="1" customWidth="1"/>
    <col min="4564" max="4564" width="10.42578125" style="1" bestFit="1" customWidth="1"/>
    <col min="4565" max="4565" width="9.140625" style="1"/>
    <col min="4566" max="4566" width="24.85546875" style="1" customWidth="1"/>
    <col min="4567" max="4567" width="9.140625" style="1"/>
    <col min="4568" max="4580" width="9.28515625" style="1" bestFit="1" customWidth="1"/>
    <col min="4581" max="4581" width="10.28515625" style="1" bestFit="1" customWidth="1"/>
    <col min="4582" max="4582" width="9.5703125" style="1" bestFit="1" customWidth="1"/>
    <col min="4583" max="4583" width="18.5703125" style="1" customWidth="1"/>
    <col min="4584" max="4585" width="9.140625" style="1"/>
    <col min="4586" max="4588" width="12.140625" style="1" bestFit="1" customWidth="1"/>
    <col min="4589" max="4597" width="10.28515625" style="1" bestFit="1" customWidth="1"/>
    <col min="4598" max="4598" width="11.28515625" style="1" bestFit="1" customWidth="1"/>
    <col min="4599" max="4599" width="9.140625" style="1"/>
    <col min="4600" max="4600" width="19" style="1" customWidth="1"/>
    <col min="4601" max="4617" width="9.140625" style="1"/>
    <col min="4618" max="4628" width="11.28515625" style="1" bestFit="1" customWidth="1"/>
    <col min="4629" max="4629" width="10.28515625" style="1" bestFit="1" customWidth="1"/>
    <col min="4630" max="4630" width="12.85546875" style="1" bestFit="1" customWidth="1"/>
    <col min="4631" max="4753" width="9.140625" style="1"/>
    <col min="4754" max="4754" width="11" style="1" bestFit="1" customWidth="1"/>
    <col min="4755" max="4755" width="28.140625" style="1" bestFit="1" customWidth="1"/>
    <col min="4756" max="4756" width="14" style="1" bestFit="1" customWidth="1"/>
    <col min="4757" max="4757" width="9.140625" style="1"/>
    <col min="4758" max="4758" width="13.85546875" style="1" bestFit="1" customWidth="1"/>
    <col min="4759" max="4759" width="9.140625" style="1"/>
    <col min="4760" max="4760" width="14" style="1" customWidth="1"/>
    <col min="4761" max="4761" width="9.140625" style="1"/>
    <col min="4762" max="4762" width="12.85546875" style="1" bestFit="1" customWidth="1"/>
    <col min="4763" max="4763" width="10" style="1" customWidth="1"/>
    <col min="4764" max="4764" width="14" style="1" bestFit="1" customWidth="1"/>
    <col min="4765" max="4765" width="9.85546875" style="1" bestFit="1" customWidth="1"/>
    <col min="4766" max="4766" width="13.5703125" style="1" bestFit="1" customWidth="1"/>
    <col min="4767" max="4767" width="9.85546875" style="1" bestFit="1" customWidth="1"/>
    <col min="4768" max="4768" width="12.85546875" style="1" bestFit="1" customWidth="1"/>
    <col min="4769" max="4780" width="10.5703125" style="1" customWidth="1"/>
    <col min="4781" max="4781" width="11.140625" style="1" bestFit="1" customWidth="1"/>
    <col min="4782" max="4782" width="2.7109375" style="1" customWidth="1"/>
    <col min="4783" max="4783" width="9.85546875" style="1" bestFit="1" customWidth="1"/>
    <col min="4784" max="4785" width="9.140625" style="1"/>
    <col min="4786" max="4786" width="24" style="1" customWidth="1"/>
    <col min="4787" max="4789" width="9.140625" style="1"/>
    <col min="4790" max="4790" width="9" style="1" bestFit="1" customWidth="1"/>
    <col min="4791" max="4800" width="9.28515625" style="1" bestFit="1" customWidth="1"/>
    <col min="4801" max="4801" width="10.28515625" style="1" bestFit="1" customWidth="1"/>
    <col min="4802" max="4802" width="11.28515625" style="1" bestFit="1" customWidth="1"/>
    <col min="4803" max="4803" width="11.7109375" style="1" customWidth="1"/>
    <col min="4804" max="4804" width="9.140625" style="1"/>
    <col min="4805" max="4805" width="22.28515625" style="1" customWidth="1"/>
    <col min="4806" max="4806" width="9.140625" style="1"/>
    <col min="4807" max="4807" width="9.28515625" style="1" bestFit="1" customWidth="1"/>
    <col min="4808" max="4808" width="9.42578125" style="1" bestFit="1" customWidth="1"/>
    <col min="4809" max="4809" width="9.28515625" style="1" bestFit="1" customWidth="1"/>
    <col min="4810" max="4810" width="10.28515625" style="1" bestFit="1" customWidth="1"/>
    <col min="4811" max="4812" width="9.28515625" style="1" bestFit="1" customWidth="1"/>
    <col min="4813" max="4814" width="10.28515625" style="1" bestFit="1" customWidth="1"/>
    <col min="4815" max="4819" width="9.28515625" style="1" bestFit="1" customWidth="1"/>
    <col min="4820" max="4820" width="10.42578125" style="1" bestFit="1" customWidth="1"/>
    <col min="4821" max="4821" width="9.140625" style="1"/>
    <col min="4822" max="4822" width="24.85546875" style="1" customWidth="1"/>
    <col min="4823" max="4823" width="9.140625" style="1"/>
    <col min="4824" max="4836" width="9.28515625" style="1" bestFit="1" customWidth="1"/>
    <col min="4837" max="4837" width="10.28515625" style="1" bestFit="1" customWidth="1"/>
    <col min="4838" max="4838" width="9.5703125" style="1" bestFit="1" customWidth="1"/>
    <col min="4839" max="4839" width="18.5703125" style="1" customWidth="1"/>
    <col min="4840" max="4841" width="9.140625" style="1"/>
    <col min="4842" max="4844" width="12.140625" style="1" bestFit="1" customWidth="1"/>
    <col min="4845" max="4853" width="10.28515625" style="1" bestFit="1" customWidth="1"/>
    <col min="4854" max="4854" width="11.28515625" style="1" bestFit="1" customWidth="1"/>
    <col min="4855" max="4855" width="9.140625" style="1"/>
    <col min="4856" max="4856" width="19" style="1" customWidth="1"/>
    <col min="4857" max="4873" width="9.140625" style="1"/>
    <col min="4874" max="4884" width="11.28515625" style="1" bestFit="1" customWidth="1"/>
    <col min="4885" max="4885" width="10.28515625" style="1" bestFit="1" customWidth="1"/>
    <col min="4886" max="4886" width="12.85546875" style="1" bestFit="1" customWidth="1"/>
    <col min="4887" max="5009" width="9.140625" style="1"/>
    <col min="5010" max="5010" width="11" style="1" bestFit="1" customWidth="1"/>
    <col min="5011" max="5011" width="28.140625" style="1" bestFit="1" customWidth="1"/>
    <col min="5012" max="5012" width="14" style="1" bestFit="1" customWidth="1"/>
    <col min="5013" max="5013" width="9.140625" style="1"/>
    <col min="5014" max="5014" width="13.85546875" style="1" bestFit="1" customWidth="1"/>
    <col min="5015" max="5015" width="9.140625" style="1"/>
    <col min="5016" max="5016" width="14" style="1" customWidth="1"/>
    <col min="5017" max="5017" width="9.140625" style="1"/>
    <col min="5018" max="5018" width="12.85546875" style="1" bestFit="1" customWidth="1"/>
    <col min="5019" max="5019" width="10" style="1" customWidth="1"/>
    <col min="5020" max="5020" width="14" style="1" bestFit="1" customWidth="1"/>
    <col min="5021" max="5021" width="9.85546875" style="1" bestFit="1" customWidth="1"/>
    <col min="5022" max="5022" width="13.5703125" style="1" bestFit="1" customWidth="1"/>
    <col min="5023" max="5023" width="9.85546875" style="1" bestFit="1" customWidth="1"/>
    <col min="5024" max="5024" width="12.85546875" style="1" bestFit="1" customWidth="1"/>
    <col min="5025" max="5036" width="10.5703125" style="1" customWidth="1"/>
    <col min="5037" max="5037" width="11.140625" style="1" bestFit="1" customWidth="1"/>
    <col min="5038" max="5038" width="2.7109375" style="1" customWidth="1"/>
    <col min="5039" max="5039" width="9.85546875" style="1" bestFit="1" customWidth="1"/>
    <col min="5040" max="5041" width="9.140625" style="1"/>
    <col min="5042" max="5042" width="24" style="1" customWidth="1"/>
    <col min="5043" max="5045" width="9.140625" style="1"/>
    <col min="5046" max="5046" width="9" style="1" bestFit="1" customWidth="1"/>
    <col min="5047" max="5056" width="9.28515625" style="1" bestFit="1" customWidth="1"/>
    <col min="5057" max="5057" width="10.28515625" style="1" bestFit="1" customWidth="1"/>
    <col min="5058" max="5058" width="11.28515625" style="1" bestFit="1" customWidth="1"/>
    <col min="5059" max="5059" width="11.7109375" style="1" customWidth="1"/>
    <col min="5060" max="5060" width="9.140625" style="1"/>
    <col min="5061" max="5061" width="22.28515625" style="1" customWidth="1"/>
    <col min="5062" max="5062" width="9.140625" style="1"/>
    <col min="5063" max="5063" width="9.28515625" style="1" bestFit="1" customWidth="1"/>
    <col min="5064" max="5064" width="9.42578125" style="1" bestFit="1" customWidth="1"/>
    <col min="5065" max="5065" width="9.28515625" style="1" bestFit="1" customWidth="1"/>
    <col min="5066" max="5066" width="10.28515625" style="1" bestFit="1" customWidth="1"/>
    <col min="5067" max="5068" width="9.28515625" style="1" bestFit="1" customWidth="1"/>
    <col min="5069" max="5070" width="10.28515625" style="1" bestFit="1" customWidth="1"/>
    <col min="5071" max="5075" width="9.28515625" style="1" bestFit="1" customWidth="1"/>
    <col min="5076" max="5076" width="10.42578125" style="1" bestFit="1" customWidth="1"/>
    <col min="5077" max="5077" width="9.140625" style="1"/>
    <col min="5078" max="5078" width="24.85546875" style="1" customWidth="1"/>
    <col min="5079" max="5079" width="9.140625" style="1"/>
    <col min="5080" max="5092" width="9.28515625" style="1" bestFit="1" customWidth="1"/>
    <col min="5093" max="5093" width="10.28515625" style="1" bestFit="1" customWidth="1"/>
    <col min="5094" max="5094" width="9.5703125" style="1" bestFit="1" customWidth="1"/>
    <col min="5095" max="5095" width="18.5703125" style="1" customWidth="1"/>
    <col min="5096" max="5097" width="9.140625" style="1"/>
    <col min="5098" max="5100" width="12.140625" style="1" bestFit="1" customWidth="1"/>
    <col min="5101" max="5109" width="10.28515625" style="1" bestFit="1" customWidth="1"/>
    <col min="5110" max="5110" width="11.28515625" style="1" bestFit="1" customWidth="1"/>
    <col min="5111" max="5111" width="9.140625" style="1"/>
    <col min="5112" max="5112" width="19" style="1" customWidth="1"/>
    <col min="5113" max="5129" width="9.140625" style="1"/>
    <col min="5130" max="5140" width="11.28515625" style="1" bestFit="1" customWidth="1"/>
    <col min="5141" max="5141" width="10.28515625" style="1" bestFit="1" customWidth="1"/>
    <col min="5142" max="5142" width="12.85546875" style="1" bestFit="1" customWidth="1"/>
    <col min="5143" max="5265" width="9.140625" style="1"/>
    <col min="5266" max="5266" width="11" style="1" bestFit="1" customWidth="1"/>
    <col min="5267" max="5267" width="28.140625" style="1" bestFit="1" customWidth="1"/>
    <col min="5268" max="5268" width="14" style="1" bestFit="1" customWidth="1"/>
    <col min="5269" max="5269" width="9.140625" style="1"/>
    <col min="5270" max="5270" width="13.85546875" style="1" bestFit="1" customWidth="1"/>
    <col min="5271" max="5271" width="9.140625" style="1"/>
    <col min="5272" max="5272" width="14" style="1" customWidth="1"/>
    <col min="5273" max="5273" width="9.140625" style="1"/>
    <col min="5274" max="5274" width="12.85546875" style="1" bestFit="1" customWidth="1"/>
    <col min="5275" max="5275" width="10" style="1" customWidth="1"/>
    <col min="5276" max="5276" width="14" style="1" bestFit="1" customWidth="1"/>
    <col min="5277" max="5277" width="9.85546875" style="1" bestFit="1" customWidth="1"/>
    <col min="5278" max="5278" width="13.5703125" style="1" bestFit="1" customWidth="1"/>
    <col min="5279" max="5279" width="9.85546875" style="1" bestFit="1" customWidth="1"/>
    <col min="5280" max="5280" width="12.85546875" style="1" bestFit="1" customWidth="1"/>
    <col min="5281" max="5292" width="10.5703125" style="1" customWidth="1"/>
    <col min="5293" max="5293" width="11.140625" style="1" bestFit="1" customWidth="1"/>
    <col min="5294" max="5294" width="2.7109375" style="1" customWidth="1"/>
    <col min="5295" max="5295" width="9.85546875" style="1" bestFit="1" customWidth="1"/>
    <col min="5296" max="5297" width="9.140625" style="1"/>
    <col min="5298" max="5298" width="24" style="1" customWidth="1"/>
    <col min="5299" max="5301" width="9.140625" style="1"/>
    <col min="5302" max="5302" width="9" style="1" bestFit="1" customWidth="1"/>
    <col min="5303" max="5312" width="9.28515625" style="1" bestFit="1" customWidth="1"/>
    <col min="5313" max="5313" width="10.28515625" style="1" bestFit="1" customWidth="1"/>
    <col min="5314" max="5314" width="11.28515625" style="1" bestFit="1" customWidth="1"/>
    <col min="5315" max="5315" width="11.7109375" style="1" customWidth="1"/>
    <col min="5316" max="5316" width="9.140625" style="1"/>
    <col min="5317" max="5317" width="22.28515625" style="1" customWidth="1"/>
    <col min="5318" max="5318" width="9.140625" style="1"/>
    <col min="5319" max="5319" width="9.28515625" style="1" bestFit="1" customWidth="1"/>
    <col min="5320" max="5320" width="9.42578125" style="1" bestFit="1" customWidth="1"/>
    <col min="5321" max="5321" width="9.28515625" style="1" bestFit="1" customWidth="1"/>
    <col min="5322" max="5322" width="10.28515625" style="1" bestFit="1" customWidth="1"/>
    <col min="5323" max="5324" width="9.28515625" style="1" bestFit="1" customWidth="1"/>
    <col min="5325" max="5326" width="10.28515625" style="1" bestFit="1" customWidth="1"/>
    <col min="5327" max="5331" width="9.28515625" style="1" bestFit="1" customWidth="1"/>
    <col min="5332" max="5332" width="10.42578125" style="1" bestFit="1" customWidth="1"/>
    <col min="5333" max="5333" width="9.140625" style="1"/>
    <col min="5334" max="5334" width="24.85546875" style="1" customWidth="1"/>
    <col min="5335" max="5335" width="9.140625" style="1"/>
    <col min="5336" max="5348" width="9.28515625" style="1" bestFit="1" customWidth="1"/>
    <col min="5349" max="5349" width="10.28515625" style="1" bestFit="1" customWidth="1"/>
    <col min="5350" max="5350" width="9.5703125" style="1" bestFit="1" customWidth="1"/>
    <col min="5351" max="5351" width="18.5703125" style="1" customWidth="1"/>
    <col min="5352" max="5353" width="9.140625" style="1"/>
    <col min="5354" max="5356" width="12.140625" style="1" bestFit="1" customWidth="1"/>
    <col min="5357" max="5365" width="10.28515625" style="1" bestFit="1" customWidth="1"/>
    <col min="5366" max="5366" width="11.28515625" style="1" bestFit="1" customWidth="1"/>
    <col min="5367" max="5367" width="9.140625" style="1"/>
    <col min="5368" max="5368" width="19" style="1" customWidth="1"/>
    <col min="5369" max="5385" width="9.140625" style="1"/>
    <col min="5386" max="5396" width="11.28515625" style="1" bestFit="1" customWidth="1"/>
    <col min="5397" max="5397" width="10.28515625" style="1" bestFit="1" customWidth="1"/>
    <col min="5398" max="5398" width="12.85546875" style="1" bestFit="1" customWidth="1"/>
    <col min="5399" max="5521" width="9.140625" style="1"/>
    <col min="5522" max="5522" width="11" style="1" bestFit="1" customWidth="1"/>
    <col min="5523" max="5523" width="28.140625" style="1" bestFit="1" customWidth="1"/>
    <col min="5524" max="5524" width="14" style="1" bestFit="1" customWidth="1"/>
    <col min="5525" max="5525" width="9.140625" style="1"/>
    <col min="5526" max="5526" width="13.85546875" style="1" bestFit="1" customWidth="1"/>
    <col min="5527" max="5527" width="9.140625" style="1"/>
    <col min="5528" max="5528" width="14" style="1" customWidth="1"/>
    <col min="5529" max="5529" width="9.140625" style="1"/>
    <col min="5530" max="5530" width="12.85546875" style="1" bestFit="1" customWidth="1"/>
    <col min="5531" max="5531" width="10" style="1" customWidth="1"/>
    <col min="5532" max="5532" width="14" style="1" bestFit="1" customWidth="1"/>
    <col min="5533" max="5533" width="9.85546875" style="1" bestFit="1" customWidth="1"/>
    <col min="5534" max="5534" width="13.5703125" style="1" bestFit="1" customWidth="1"/>
    <col min="5535" max="5535" width="9.85546875" style="1" bestFit="1" customWidth="1"/>
    <col min="5536" max="5536" width="12.85546875" style="1" bestFit="1" customWidth="1"/>
    <col min="5537" max="5548" width="10.5703125" style="1" customWidth="1"/>
    <col min="5549" max="5549" width="11.140625" style="1" bestFit="1" customWidth="1"/>
    <col min="5550" max="5550" width="2.7109375" style="1" customWidth="1"/>
    <col min="5551" max="5551" width="9.85546875" style="1" bestFit="1" customWidth="1"/>
    <col min="5552" max="5553" width="9.140625" style="1"/>
    <col min="5554" max="5554" width="24" style="1" customWidth="1"/>
    <col min="5555" max="5557" width="9.140625" style="1"/>
    <col min="5558" max="5558" width="9" style="1" bestFit="1" customWidth="1"/>
    <col min="5559" max="5568" width="9.28515625" style="1" bestFit="1" customWidth="1"/>
    <col min="5569" max="5569" width="10.28515625" style="1" bestFit="1" customWidth="1"/>
    <col min="5570" max="5570" width="11.28515625" style="1" bestFit="1" customWidth="1"/>
    <col min="5571" max="5571" width="11.7109375" style="1" customWidth="1"/>
    <col min="5572" max="5572" width="9.140625" style="1"/>
    <col min="5573" max="5573" width="22.28515625" style="1" customWidth="1"/>
    <col min="5574" max="5574" width="9.140625" style="1"/>
    <col min="5575" max="5575" width="9.28515625" style="1" bestFit="1" customWidth="1"/>
    <col min="5576" max="5576" width="9.42578125" style="1" bestFit="1" customWidth="1"/>
    <col min="5577" max="5577" width="9.28515625" style="1" bestFit="1" customWidth="1"/>
    <col min="5578" max="5578" width="10.28515625" style="1" bestFit="1" customWidth="1"/>
    <col min="5579" max="5580" width="9.28515625" style="1" bestFit="1" customWidth="1"/>
    <col min="5581" max="5582" width="10.28515625" style="1" bestFit="1" customWidth="1"/>
    <col min="5583" max="5587" width="9.28515625" style="1" bestFit="1" customWidth="1"/>
    <col min="5588" max="5588" width="10.42578125" style="1" bestFit="1" customWidth="1"/>
    <col min="5589" max="5589" width="9.140625" style="1"/>
    <col min="5590" max="5590" width="24.85546875" style="1" customWidth="1"/>
    <col min="5591" max="5591" width="9.140625" style="1"/>
    <col min="5592" max="5604" width="9.28515625" style="1" bestFit="1" customWidth="1"/>
    <col min="5605" max="5605" width="10.28515625" style="1" bestFit="1" customWidth="1"/>
    <col min="5606" max="5606" width="9.5703125" style="1" bestFit="1" customWidth="1"/>
    <col min="5607" max="5607" width="18.5703125" style="1" customWidth="1"/>
    <col min="5608" max="5609" width="9.140625" style="1"/>
    <col min="5610" max="5612" width="12.140625" style="1" bestFit="1" customWidth="1"/>
    <col min="5613" max="5621" width="10.28515625" style="1" bestFit="1" customWidth="1"/>
    <col min="5622" max="5622" width="11.28515625" style="1" bestFit="1" customWidth="1"/>
    <col min="5623" max="5623" width="9.140625" style="1"/>
    <col min="5624" max="5624" width="19" style="1" customWidth="1"/>
    <col min="5625" max="5641" width="9.140625" style="1"/>
    <col min="5642" max="5652" width="11.28515625" style="1" bestFit="1" customWidth="1"/>
    <col min="5653" max="5653" width="10.28515625" style="1" bestFit="1" customWidth="1"/>
    <col min="5654" max="5654" width="12.85546875" style="1" bestFit="1" customWidth="1"/>
    <col min="5655" max="5777" width="9.140625" style="1"/>
    <col min="5778" max="5778" width="11" style="1" bestFit="1" customWidth="1"/>
    <col min="5779" max="5779" width="28.140625" style="1" bestFit="1" customWidth="1"/>
    <col min="5780" max="5780" width="14" style="1" bestFit="1" customWidth="1"/>
    <col min="5781" max="5781" width="9.140625" style="1"/>
    <col min="5782" max="5782" width="13.85546875" style="1" bestFit="1" customWidth="1"/>
    <col min="5783" max="5783" width="9.140625" style="1"/>
    <col min="5784" max="5784" width="14" style="1" customWidth="1"/>
    <col min="5785" max="5785" width="9.140625" style="1"/>
    <col min="5786" max="5786" width="12.85546875" style="1" bestFit="1" customWidth="1"/>
    <col min="5787" max="5787" width="10" style="1" customWidth="1"/>
    <col min="5788" max="5788" width="14" style="1" bestFit="1" customWidth="1"/>
    <col min="5789" max="5789" width="9.85546875" style="1" bestFit="1" customWidth="1"/>
    <col min="5790" max="5790" width="13.5703125" style="1" bestFit="1" customWidth="1"/>
    <col min="5791" max="5791" width="9.85546875" style="1" bestFit="1" customWidth="1"/>
    <col min="5792" max="5792" width="12.85546875" style="1" bestFit="1" customWidth="1"/>
    <col min="5793" max="5804" width="10.5703125" style="1" customWidth="1"/>
    <col min="5805" max="5805" width="11.140625" style="1" bestFit="1" customWidth="1"/>
    <col min="5806" max="5806" width="2.7109375" style="1" customWidth="1"/>
    <col min="5807" max="5807" width="9.85546875" style="1" bestFit="1" customWidth="1"/>
    <col min="5808" max="5809" width="9.140625" style="1"/>
    <col min="5810" max="5810" width="24" style="1" customWidth="1"/>
    <col min="5811" max="5813" width="9.140625" style="1"/>
    <col min="5814" max="5814" width="9" style="1" bestFit="1" customWidth="1"/>
    <col min="5815" max="5824" width="9.28515625" style="1" bestFit="1" customWidth="1"/>
    <col min="5825" max="5825" width="10.28515625" style="1" bestFit="1" customWidth="1"/>
    <col min="5826" max="5826" width="11.28515625" style="1" bestFit="1" customWidth="1"/>
    <col min="5827" max="5827" width="11.7109375" style="1" customWidth="1"/>
    <col min="5828" max="5828" width="9.140625" style="1"/>
    <col min="5829" max="5829" width="22.28515625" style="1" customWidth="1"/>
    <col min="5830" max="5830" width="9.140625" style="1"/>
    <col min="5831" max="5831" width="9.28515625" style="1" bestFit="1" customWidth="1"/>
    <col min="5832" max="5832" width="9.42578125" style="1" bestFit="1" customWidth="1"/>
    <col min="5833" max="5833" width="9.28515625" style="1" bestFit="1" customWidth="1"/>
    <col min="5834" max="5834" width="10.28515625" style="1" bestFit="1" customWidth="1"/>
    <col min="5835" max="5836" width="9.28515625" style="1" bestFit="1" customWidth="1"/>
    <col min="5837" max="5838" width="10.28515625" style="1" bestFit="1" customWidth="1"/>
    <col min="5839" max="5843" width="9.28515625" style="1" bestFit="1" customWidth="1"/>
    <col min="5844" max="5844" width="10.42578125" style="1" bestFit="1" customWidth="1"/>
    <col min="5845" max="5845" width="9.140625" style="1"/>
    <col min="5846" max="5846" width="24.85546875" style="1" customWidth="1"/>
    <col min="5847" max="5847" width="9.140625" style="1"/>
    <col min="5848" max="5860" width="9.28515625" style="1" bestFit="1" customWidth="1"/>
    <col min="5861" max="5861" width="10.28515625" style="1" bestFit="1" customWidth="1"/>
    <col min="5862" max="5862" width="9.5703125" style="1" bestFit="1" customWidth="1"/>
    <col min="5863" max="5863" width="18.5703125" style="1" customWidth="1"/>
    <col min="5864" max="5865" width="9.140625" style="1"/>
    <col min="5866" max="5868" width="12.140625" style="1" bestFit="1" customWidth="1"/>
    <col min="5869" max="5877" width="10.28515625" style="1" bestFit="1" customWidth="1"/>
    <col min="5878" max="5878" width="11.28515625" style="1" bestFit="1" customWidth="1"/>
    <col min="5879" max="5879" width="9.140625" style="1"/>
    <col min="5880" max="5880" width="19" style="1" customWidth="1"/>
    <col min="5881" max="5897" width="9.140625" style="1"/>
    <col min="5898" max="5908" width="11.28515625" style="1" bestFit="1" customWidth="1"/>
    <col min="5909" max="5909" width="10.28515625" style="1" bestFit="1" customWidth="1"/>
    <col min="5910" max="5910" width="12.85546875" style="1" bestFit="1" customWidth="1"/>
    <col min="5911" max="6033" width="9.140625" style="1"/>
    <col min="6034" max="6034" width="11" style="1" bestFit="1" customWidth="1"/>
    <col min="6035" max="6035" width="28.140625" style="1" bestFit="1" customWidth="1"/>
    <col min="6036" max="6036" width="14" style="1" bestFit="1" customWidth="1"/>
    <col min="6037" max="6037" width="9.140625" style="1"/>
    <col min="6038" max="6038" width="13.85546875" style="1" bestFit="1" customWidth="1"/>
    <col min="6039" max="6039" width="9.140625" style="1"/>
    <col min="6040" max="6040" width="14" style="1" customWidth="1"/>
    <col min="6041" max="6041" width="9.140625" style="1"/>
    <col min="6042" max="6042" width="12.85546875" style="1" bestFit="1" customWidth="1"/>
    <col min="6043" max="6043" width="10" style="1" customWidth="1"/>
    <col min="6044" max="6044" width="14" style="1" bestFit="1" customWidth="1"/>
    <col min="6045" max="6045" width="9.85546875" style="1" bestFit="1" customWidth="1"/>
    <col min="6046" max="6046" width="13.5703125" style="1" bestFit="1" customWidth="1"/>
    <col min="6047" max="6047" width="9.85546875" style="1" bestFit="1" customWidth="1"/>
    <col min="6048" max="6048" width="12.85546875" style="1" bestFit="1" customWidth="1"/>
    <col min="6049" max="6060" width="10.5703125" style="1" customWidth="1"/>
    <col min="6061" max="6061" width="11.140625" style="1" bestFit="1" customWidth="1"/>
    <col min="6062" max="6062" width="2.7109375" style="1" customWidth="1"/>
    <col min="6063" max="6063" width="9.85546875" style="1" bestFit="1" customWidth="1"/>
    <col min="6064" max="6065" width="9.140625" style="1"/>
    <col min="6066" max="6066" width="24" style="1" customWidth="1"/>
    <col min="6067" max="6069" width="9.140625" style="1"/>
    <col min="6070" max="6070" width="9" style="1" bestFit="1" customWidth="1"/>
    <col min="6071" max="6080" width="9.28515625" style="1" bestFit="1" customWidth="1"/>
    <col min="6081" max="6081" width="10.28515625" style="1" bestFit="1" customWidth="1"/>
    <col min="6082" max="6082" width="11.28515625" style="1" bestFit="1" customWidth="1"/>
    <col min="6083" max="6083" width="11.7109375" style="1" customWidth="1"/>
    <col min="6084" max="6084" width="9.140625" style="1"/>
    <col min="6085" max="6085" width="22.28515625" style="1" customWidth="1"/>
    <col min="6086" max="6086" width="9.140625" style="1"/>
    <col min="6087" max="6087" width="9.28515625" style="1" bestFit="1" customWidth="1"/>
    <col min="6088" max="6088" width="9.42578125" style="1" bestFit="1" customWidth="1"/>
    <col min="6089" max="6089" width="9.28515625" style="1" bestFit="1" customWidth="1"/>
    <col min="6090" max="6090" width="10.28515625" style="1" bestFit="1" customWidth="1"/>
    <col min="6091" max="6092" width="9.28515625" style="1" bestFit="1" customWidth="1"/>
    <col min="6093" max="6094" width="10.28515625" style="1" bestFit="1" customWidth="1"/>
    <col min="6095" max="6099" width="9.28515625" style="1" bestFit="1" customWidth="1"/>
    <col min="6100" max="6100" width="10.42578125" style="1" bestFit="1" customWidth="1"/>
    <col min="6101" max="6101" width="9.140625" style="1"/>
    <col min="6102" max="6102" width="24.85546875" style="1" customWidth="1"/>
    <col min="6103" max="6103" width="9.140625" style="1"/>
    <col min="6104" max="6116" width="9.28515625" style="1" bestFit="1" customWidth="1"/>
    <col min="6117" max="6117" width="10.28515625" style="1" bestFit="1" customWidth="1"/>
    <col min="6118" max="6118" width="9.5703125" style="1" bestFit="1" customWidth="1"/>
    <col min="6119" max="6119" width="18.5703125" style="1" customWidth="1"/>
    <col min="6120" max="6121" width="9.140625" style="1"/>
    <col min="6122" max="6124" width="12.140625" style="1" bestFit="1" customWidth="1"/>
    <col min="6125" max="6133" width="10.28515625" style="1" bestFit="1" customWidth="1"/>
    <col min="6134" max="6134" width="11.28515625" style="1" bestFit="1" customWidth="1"/>
    <col min="6135" max="6135" width="9.140625" style="1"/>
    <col min="6136" max="6136" width="19" style="1" customWidth="1"/>
    <col min="6137" max="6153" width="9.140625" style="1"/>
    <col min="6154" max="6164" width="11.28515625" style="1" bestFit="1" customWidth="1"/>
    <col min="6165" max="6165" width="10.28515625" style="1" bestFit="1" customWidth="1"/>
    <col min="6166" max="6166" width="12.85546875" style="1" bestFit="1" customWidth="1"/>
    <col min="6167" max="6289" width="9.140625" style="1"/>
    <col min="6290" max="6290" width="11" style="1" bestFit="1" customWidth="1"/>
    <col min="6291" max="6291" width="28.140625" style="1" bestFit="1" customWidth="1"/>
    <col min="6292" max="6292" width="14" style="1" bestFit="1" customWidth="1"/>
    <col min="6293" max="6293" width="9.140625" style="1"/>
    <col min="6294" max="6294" width="13.85546875" style="1" bestFit="1" customWidth="1"/>
    <col min="6295" max="6295" width="9.140625" style="1"/>
    <col min="6296" max="6296" width="14" style="1" customWidth="1"/>
    <col min="6297" max="6297" width="9.140625" style="1"/>
    <col min="6298" max="6298" width="12.85546875" style="1" bestFit="1" customWidth="1"/>
    <col min="6299" max="6299" width="10" style="1" customWidth="1"/>
    <col min="6300" max="6300" width="14" style="1" bestFit="1" customWidth="1"/>
    <col min="6301" max="6301" width="9.85546875" style="1" bestFit="1" customWidth="1"/>
    <col min="6302" max="6302" width="13.5703125" style="1" bestFit="1" customWidth="1"/>
    <col min="6303" max="6303" width="9.85546875" style="1" bestFit="1" customWidth="1"/>
    <col min="6304" max="6304" width="12.85546875" style="1" bestFit="1" customWidth="1"/>
    <col min="6305" max="6316" width="10.5703125" style="1" customWidth="1"/>
    <col min="6317" max="6317" width="11.140625" style="1" bestFit="1" customWidth="1"/>
    <col min="6318" max="6318" width="2.7109375" style="1" customWidth="1"/>
    <col min="6319" max="6319" width="9.85546875" style="1" bestFit="1" customWidth="1"/>
    <col min="6320" max="6321" width="9.140625" style="1"/>
    <col min="6322" max="6322" width="24" style="1" customWidth="1"/>
    <col min="6323" max="6325" width="9.140625" style="1"/>
    <col min="6326" max="6326" width="9" style="1" bestFit="1" customWidth="1"/>
    <col min="6327" max="6336" width="9.28515625" style="1" bestFit="1" customWidth="1"/>
    <col min="6337" max="6337" width="10.28515625" style="1" bestFit="1" customWidth="1"/>
    <col min="6338" max="6338" width="11.28515625" style="1" bestFit="1" customWidth="1"/>
    <col min="6339" max="6339" width="11.7109375" style="1" customWidth="1"/>
    <col min="6340" max="6340" width="9.140625" style="1"/>
    <col min="6341" max="6341" width="22.28515625" style="1" customWidth="1"/>
    <col min="6342" max="6342" width="9.140625" style="1"/>
    <col min="6343" max="6343" width="9.28515625" style="1" bestFit="1" customWidth="1"/>
    <col min="6344" max="6344" width="9.42578125" style="1" bestFit="1" customWidth="1"/>
    <col min="6345" max="6345" width="9.28515625" style="1" bestFit="1" customWidth="1"/>
    <col min="6346" max="6346" width="10.28515625" style="1" bestFit="1" customWidth="1"/>
    <col min="6347" max="6348" width="9.28515625" style="1" bestFit="1" customWidth="1"/>
    <col min="6349" max="6350" width="10.28515625" style="1" bestFit="1" customWidth="1"/>
    <col min="6351" max="6355" width="9.28515625" style="1" bestFit="1" customWidth="1"/>
    <col min="6356" max="6356" width="10.42578125" style="1" bestFit="1" customWidth="1"/>
    <col min="6357" max="6357" width="9.140625" style="1"/>
    <col min="6358" max="6358" width="24.85546875" style="1" customWidth="1"/>
    <col min="6359" max="6359" width="9.140625" style="1"/>
    <col min="6360" max="6372" width="9.28515625" style="1" bestFit="1" customWidth="1"/>
    <col min="6373" max="6373" width="10.28515625" style="1" bestFit="1" customWidth="1"/>
    <col min="6374" max="6374" width="9.5703125" style="1" bestFit="1" customWidth="1"/>
    <col min="6375" max="6375" width="18.5703125" style="1" customWidth="1"/>
    <col min="6376" max="6377" width="9.140625" style="1"/>
    <col min="6378" max="6380" width="12.140625" style="1" bestFit="1" customWidth="1"/>
    <col min="6381" max="6389" width="10.28515625" style="1" bestFit="1" customWidth="1"/>
    <col min="6390" max="6390" width="11.28515625" style="1" bestFit="1" customWidth="1"/>
    <col min="6391" max="6391" width="9.140625" style="1"/>
    <col min="6392" max="6392" width="19" style="1" customWidth="1"/>
    <col min="6393" max="6409" width="9.140625" style="1"/>
    <col min="6410" max="6420" width="11.28515625" style="1" bestFit="1" customWidth="1"/>
    <col min="6421" max="6421" width="10.28515625" style="1" bestFit="1" customWidth="1"/>
    <col min="6422" max="6422" width="12.85546875" style="1" bestFit="1" customWidth="1"/>
    <col min="6423" max="6545" width="9.140625" style="1"/>
    <col min="6546" max="6546" width="11" style="1" bestFit="1" customWidth="1"/>
    <col min="6547" max="6547" width="28.140625" style="1" bestFit="1" customWidth="1"/>
    <col min="6548" max="6548" width="14" style="1" bestFit="1" customWidth="1"/>
    <col min="6549" max="6549" width="9.140625" style="1"/>
    <col min="6550" max="6550" width="13.85546875" style="1" bestFit="1" customWidth="1"/>
    <col min="6551" max="6551" width="9.140625" style="1"/>
    <col min="6552" max="6552" width="14" style="1" customWidth="1"/>
    <col min="6553" max="6553" width="9.140625" style="1"/>
    <col min="6554" max="6554" width="12.85546875" style="1" bestFit="1" customWidth="1"/>
    <col min="6555" max="6555" width="10" style="1" customWidth="1"/>
    <col min="6556" max="6556" width="14" style="1" bestFit="1" customWidth="1"/>
    <col min="6557" max="6557" width="9.85546875" style="1" bestFit="1" customWidth="1"/>
    <col min="6558" max="6558" width="13.5703125" style="1" bestFit="1" customWidth="1"/>
    <col min="6559" max="6559" width="9.85546875" style="1" bestFit="1" customWidth="1"/>
    <col min="6560" max="6560" width="12.85546875" style="1" bestFit="1" customWidth="1"/>
    <col min="6561" max="6572" width="10.5703125" style="1" customWidth="1"/>
    <col min="6573" max="6573" width="11.140625" style="1" bestFit="1" customWidth="1"/>
    <col min="6574" max="6574" width="2.7109375" style="1" customWidth="1"/>
    <col min="6575" max="6575" width="9.85546875" style="1" bestFit="1" customWidth="1"/>
    <col min="6576" max="6577" width="9.140625" style="1"/>
    <col min="6578" max="6578" width="24" style="1" customWidth="1"/>
    <col min="6579" max="6581" width="9.140625" style="1"/>
    <col min="6582" max="6582" width="9" style="1" bestFit="1" customWidth="1"/>
    <col min="6583" max="6592" width="9.28515625" style="1" bestFit="1" customWidth="1"/>
    <col min="6593" max="6593" width="10.28515625" style="1" bestFit="1" customWidth="1"/>
    <col min="6594" max="6594" width="11.28515625" style="1" bestFit="1" customWidth="1"/>
    <col min="6595" max="6595" width="11.7109375" style="1" customWidth="1"/>
    <col min="6596" max="6596" width="9.140625" style="1"/>
    <col min="6597" max="6597" width="22.28515625" style="1" customWidth="1"/>
    <col min="6598" max="6598" width="9.140625" style="1"/>
    <col min="6599" max="6599" width="9.28515625" style="1" bestFit="1" customWidth="1"/>
    <col min="6600" max="6600" width="9.42578125" style="1" bestFit="1" customWidth="1"/>
    <col min="6601" max="6601" width="9.28515625" style="1" bestFit="1" customWidth="1"/>
    <col min="6602" max="6602" width="10.28515625" style="1" bestFit="1" customWidth="1"/>
    <col min="6603" max="6604" width="9.28515625" style="1" bestFit="1" customWidth="1"/>
    <col min="6605" max="6606" width="10.28515625" style="1" bestFit="1" customWidth="1"/>
    <col min="6607" max="6611" width="9.28515625" style="1" bestFit="1" customWidth="1"/>
    <col min="6612" max="6612" width="10.42578125" style="1" bestFit="1" customWidth="1"/>
    <col min="6613" max="6613" width="9.140625" style="1"/>
    <col min="6614" max="6614" width="24.85546875" style="1" customWidth="1"/>
    <col min="6615" max="6615" width="9.140625" style="1"/>
    <col min="6616" max="6628" width="9.28515625" style="1" bestFit="1" customWidth="1"/>
    <col min="6629" max="6629" width="10.28515625" style="1" bestFit="1" customWidth="1"/>
    <col min="6630" max="6630" width="9.5703125" style="1" bestFit="1" customWidth="1"/>
    <col min="6631" max="6631" width="18.5703125" style="1" customWidth="1"/>
    <col min="6632" max="6633" width="9.140625" style="1"/>
    <col min="6634" max="6636" width="12.140625" style="1" bestFit="1" customWidth="1"/>
    <col min="6637" max="6645" width="10.28515625" style="1" bestFit="1" customWidth="1"/>
    <col min="6646" max="6646" width="11.28515625" style="1" bestFit="1" customWidth="1"/>
    <col min="6647" max="6647" width="9.140625" style="1"/>
    <col min="6648" max="6648" width="19" style="1" customWidth="1"/>
    <col min="6649" max="6665" width="9.140625" style="1"/>
    <col min="6666" max="6676" width="11.28515625" style="1" bestFit="1" customWidth="1"/>
    <col min="6677" max="6677" width="10.28515625" style="1" bestFit="1" customWidth="1"/>
    <col min="6678" max="6678" width="12.85546875" style="1" bestFit="1" customWidth="1"/>
    <col min="6679" max="6801" width="9.140625" style="1"/>
    <col min="6802" max="6802" width="11" style="1" bestFit="1" customWidth="1"/>
    <col min="6803" max="6803" width="28.140625" style="1" bestFit="1" customWidth="1"/>
    <col min="6804" max="6804" width="14" style="1" bestFit="1" customWidth="1"/>
    <col min="6805" max="6805" width="9.140625" style="1"/>
    <col min="6806" max="6806" width="13.85546875" style="1" bestFit="1" customWidth="1"/>
    <col min="6807" max="6807" width="9.140625" style="1"/>
    <col min="6808" max="6808" width="14" style="1" customWidth="1"/>
    <col min="6809" max="6809" width="9.140625" style="1"/>
    <col min="6810" max="6810" width="12.85546875" style="1" bestFit="1" customWidth="1"/>
    <col min="6811" max="6811" width="10" style="1" customWidth="1"/>
    <col min="6812" max="6812" width="14" style="1" bestFit="1" customWidth="1"/>
    <col min="6813" max="6813" width="9.85546875" style="1" bestFit="1" customWidth="1"/>
    <col min="6814" max="6814" width="13.5703125" style="1" bestFit="1" customWidth="1"/>
    <col min="6815" max="6815" width="9.85546875" style="1" bestFit="1" customWidth="1"/>
    <col min="6816" max="6816" width="12.85546875" style="1" bestFit="1" customWidth="1"/>
    <col min="6817" max="6828" width="10.5703125" style="1" customWidth="1"/>
    <col min="6829" max="6829" width="11.140625" style="1" bestFit="1" customWidth="1"/>
    <col min="6830" max="6830" width="2.7109375" style="1" customWidth="1"/>
    <col min="6831" max="6831" width="9.85546875" style="1" bestFit="1" customWidth="1"/>
    <col min="6832" max="6833" width="9.140625" style="1"/>
    <col min="6834" max="6834" width="24" style="1" customWidth="1"/>
    <col min="6835" max="6837" width="9.140625" style="1"/>
    <col min="6838" max="6838" width="9" style="1" bestFit="1" customWidth="1"/>
    <col min="6839" max="6848" width="9.28515625" style="1" bestFit="1" customWidth="1"/>
    <col min="6849" max="6849" width="10.28515625" style="1" bestFit="1" customWidth="1"/>
    <col min="6850" max="6850" width="11.28515625" style="1" bestFit="1" customWidth="1"/>
    <col min="6851" max="6851" width="11.7109375" style="1" customWidth="1"/>
    <col min="6852" max="6852" width="9.140625" style="1"/>
    <col min="6853" max="6853" width="22.28515625" style="1" customWidth="1"/>
    <col min="6854" max="6854" width="9.140625" style="1"/>
    <col min="6855" max="6855" width="9.28515625" style="1" bestFit="1" customWidth="1"/>
    <col min="6856" max="6856" width="9.42578125" style="1" bestFit="1" customWidth="1"/>
    <col min="6857" max="6857" width="9.28515625" style="1" bestFit="1" customWidth="1"/>
    <col min="6858" max="6858" width="10.28515625" style="1" bestFit="1" customWidth="1"/>
    <col min="6859" max="6860" width="9.28515625" style="1" bestFit="1" customWidth="1"/>
    <col min="6861" max="6862" width="10.28515625" style="1" bestFit="1" customWidth="1"/>
    <col min="6863" max="6867" width="9.28515625" style="1" bestFit="1" customWidth="1"/>
    <col min="6868" max="6868" width="10.42578125" style="1" bestFit="1" customWidth="1"/>
    <col min="6869" max="6869" width="9.140625" style="1"/>
    <col min="6870" max="6870" width="24.85546875" style="1" customWidth="1"/>
    <col min="6871" max="6871" width="9.140625" style="1"/>
    <col min="6872" max="6884" width="9.28515625" style="1" bestFit="1" customWidth="1"/>
    <col min="6885" max="6885" width="10.28515625" style="1" bestFit="1" customWidth="1"/>
    <col min="6886" max="6886" width="9.5703125" style="1" bestFit="1" customWidth="1"/>
    <col min="6887" max="6887" width="18.5703125" style="1" customWidth="1"/>
    <col min="6888" max="6889" width="9.140625" style="1"/>
    <col min="6890" max="6892" width="12.140625" style="1" bestFit="1" customWidth="1"/>
    <col min="6893" max="6901" width="10.28515625" style="1" bestFit="1" customWidth="1"/>
    <col min="6902" max="6902" width="11.28515625" style="1" bestFit="1" customWidth="1"/>
    <col min="6903" max="6903" width="9.140625" style="1"/>
    <col min="6904" max="6904" width="19" style="1" customWidth="1"/>
    <col min="6905" max="6921" width="9.140625" style="1"/>
    <col min="6922" max="6932" width="11.28515625" style="1" bestFit="1" customWidth="1"/>
    <col min="6933" max="6933" width="10.28515625" style="1" bestFit="1" customWidth="1"/>
    <col min="6934" max="6934" width="12.85546875" style="1" bestFit="1" customWidth="1"/>
    <col min="6935" max="7057" width="9.140625" style="1"/>
    <col min="7058" max="7058" width="11" style="1" bestFit="1" customWidth="1"/>
    <col min="7059" max="7059" width="28.140625" style="1" bestFit="1" customWidth="1"/>
    <col min="7060" max="7060" width="14" style="1" bestFit="1" customWidth="1"/>
    <col min="7061" max="7061" width="9.140625" style="1"/>
    <col min="7062" max="7062" width="13.85546875" style="1" bestFit="1" customWidth="1"/>
    <col min="7063" max="7063" width="9.140625" style="1"/>
    <col min="7064" max="7064" width="14" style="1" customWidth="1"/>
    <col min="7065" max="7065" width="9.140625" style="1"/>
    <col min="7066" max="7066" width="12.85546875" style="1" bestFit="1" customWidth="1"/>
    <col min="7067" max="7067" width="10" style="1" customWidth="1"/>
    <col min="7068" max="7068" width="14" style="1" bestFit="1" customWidth="1"/>
    <col min="7069" max="7069" width="9.85546875" style="1" bestFit="1" customWidth="1"/>
    <col min="7070" max="7070" width="13.5703125" style="1" bestFit="1" customWidth="1"/>
    <col min="7071" max="7071" width="9.85546875" style="1" bestFit="1" customWidth="1"/>
    <col min="7072" max="7072" width="12.85546875" style="1" bestFit="1" customWidth="1"/>
    <col min="7073" max="7084" width="10.5703125" style="1" customWidth="1"/>
    <col min="7085" max="7085" width="11.140625" style="1" bestFit="1" customWidth="1"/>
    <col min="7086" max="7086" width="2.7109375" style="1" customWidth="1"/>
    <col min="7087" max="7087" width="9.85546875" style="1" bestFit="1" customWidth="1"/>
    <col min="7088" max="7089" width="9.140625" style="1"/>
    <col min="7090" max="7090" width="24" style="1" customWidth="1"/>
    <col min="7091" max="7093" width="9.140625" style="1"/>
    <col min="7094" max="7094" width="9" style="1" bestFit="1" customWidth="1"/>
    <col min="7095" max="7104" width="9.28515625" style="1" bestFit="1" customWidth="1"/>
    <col min="7105" max="7105" width="10.28515625" style="1" bestFit="1" customWidth="1"/>
    <col min="7106" max="7106" width="11.28515625" style="1" bestFit="1" customWidth="1"/>
    <col min="7107" max="7107" width="11.7109375" style="1" customWidth="1"/>
    <col min="7108" max="7108" width="9.140625" style="1"/>
    <col min="7109" max="7109" width="22.28515625" style="1" customWidth="1"/>
    <col min="7110" max="7110" width="9.140625" style="1"/>
    <col min="7111" max="7111" width="9.28515625" style="1" bestFit="1" customWidth="1"/>
    <col min="7112" max="7112" width="9.42578125" style="1" bestFit="1" customWidth="1"/>
    <col min="7113" max="7113" width="9.28515625" style="1" bestFit="1" customWidth="1"/>
    <col min="7114" max="7114" width="10.28515625" style="1" bestFit="1" customWidth="1"/>
    <col min="7115" max="7116" width="9.28515625" style="1" bestFit="1" customWidth="1"/>
    <col min="7117" max="7118" width="10.28515625" style="1" bestFit="1" customWidth="1"/>
    <col min="7119" max="7123" width="9.28515625" style="1" bestFit="1" customWidth="1"/>
    <col min="7124" max="7124" width="10.42578125" style="1" bestFit="1" customWidth="1"/>
    <col min="7125" max="7125" width="9.140625" style="1"/>
    <col min="7126" max="7126" width="24.85546875" style="1" customWidth="1"/>
    <col min="7127" max="7127" width="9.140625" style="1"/>
    <col min="7128" max="7140" width="9.28515625" style="1" bestFit="1" customWidth="1"/>
    <col min="7141" max="7141" width="10.28515625" style="1" bestFit="1" customWidth="1"/>
    <col min="7142" max="7142" width="9.5703125" style="1" bestFit="1" customWidth="1"/>
    <col min="7143" max="7143" width="18.5703125" style="1" customWidth="1"/>
    <col min="7144" max="7145" width="9.140625" style="1"/>
    <col min="7146" max="7148" width="12.140625" style="1" bestFit="1" customWidth="1"/>
    <col min="7149" max="7157" width="10.28515625" style="1" bestFit="1" customWidth="1"/>
    <col min="7158" max="7158" width="11.28515625" style="1" bestFit="1" customWidth="1"/>
    <col min="7159" max="7159" width="9.140625" style="1"/>
    <col min="7160" max="7160" width="19" style="1" customWidth="1"/>
    <col min="7161" max="7177" width="9.140625" style="1"/>
    <col min="7178" max="7188" width="11.28515625" style="1" bestFit="1" customWidth="1"/>
    <col min="7189" max="7189" width="10.28515625" style="1" bestFit="1" customWidth="1"/>
    <col min="7190" max="7190" width="12.85546875" style="1" bestFit="1" customWidth="1"/>
    <col min="7191" max="7313" width="9.140625" style="1"/>
    <col min="7314" max="7314" width="11" style="1" bestFit="1" customWidth="1"/>
    <col min="7315" max="7315" width="28.140625" style="1" bestFit="1" customWidth="1"/>
    <col min="7316" max="7316" width="14" style="1" bestFit="1" customWidth="1"/>
    <col min="7317" max="7317" width="9.140625" style="1"/>
    <col min="7318" max="7318" width="13.85546875" style="1" bestFit="1" customWidth="1"/>
    <col min="7319" max="7319" width="9.140625" style="1"/>
    <col min="7320" max="7320" width="14" style="1" customWidth="1"/>
    <col min="7321" max="7321" width="9.140625" style="1"/>
    <col min="7322" max="7322" width="12.85546875" style="1" bestFit="1" customWidth="1"/>
    <col min="7323" max="7323" width="10" style="1" customWidth="1"/>
    <col min="7324" max="7324" width="14" style="1" bestFit="1" customWidth="1"/>
    <col min="7325" max="7325" width="9.85546875" style="1" bestFit="1" customWidth="1"/>
    <col min="7326" max="7326" width="13.5703125" style="1" bestFit="1" customWidth="1"/>
    <col min="7327" max="7327" width="9.85546875" style="1" bestFit="1" customWidth="1"/>
    <col min="7328" max="7328" width="12.85546875" style="1" bestFit="1" customWidth="1"/>
    <col min="7329" max="7340" width="10.5703125" style="1" customWidth="1"/>
    <col min="7341" max="7341" width="11.140625" style="1" bestFit="1" customWidth="1"/>
    <col min="7342" max="7342" width="2.7109375" style="1" customWidth="1"/>
    <col min="7343" max="7343" width="9.85546875" style="1" bestFit="1" customWidth="1"/>
    <col min="7344" max="7345" width="9.140625" style="1"/>
    <col min="7346" max="7346" width="24" style="1" customWidth="1"/>
    <col min="7347" max="7349" width="9.140625" style="1"/>
    <col min="7350" max="7350" width="9" style="1" bestFit="1" customWidth="1"/>
    <col min="7351" max="7360" width="9.28515625" style="1" bestFit="1" customWidth="1"/>
    <col min="7361" max="7361" width="10.28515625" style="1" bestFit="1" customWidth="1"/>
    <col min="7362" max="7362" width="11.28515625" style="1" bestFit="1" customWidth="1"/>
    <col min="7363" max="7363" width="11.7109375" style="1" customWidth="1"/>
    <col min="7364" max="7364" width="9.140625" style="1"/>
    <col min="7365" max="7365" width="22.28515625" style="1" customWidth="1"/>
    <col min="7366" max="7366" width="9.140625" style="1"/>
    <col min="7367" max="7367" width="9.28515625" style="1" bestFit="1" customWidth="1"/>
    <col min="7368" max="7368" width="9.42578125" style="1" bestFit="1" customWidth="1"/>
    <col min="7369" max="7369" width="9.28515625" style="1" bestFit="1" customWidth="1"/>
    <col min="7370" max="7370" width="10.28515625" style="1" bestFit="1" customWidth="1"/>
    <col min="7371" max="7372" width="9.28515625" style="1" bestFit="1" customWidth="1"/>
    <col min="7373" max="7374" width="10.28515625" style="1" bestFit="1" customWidth="1"/>
    <col min="7375" max="7379" width="9.28515625" style="1" bestFit="1" customWidth="1"/>
    <col min="7380" max="7380" width="10.42578125" style="1" bestFit="1" customWidth="1"/>
    <col min="7381" max="7381" width="9.140625" style="1"/>
    <col min="7382" max="7382" width="24.85546875" style="1" customWidth="1"/>
    <col min="7383" max="7383" width="9.140625" style="1"/>
    <col min="7384" max="7396" width="9.28515625" style="1" bestFit="1" customWidth="1"/>
    <col min="7397" max="7397" width="10.28515625" style="1" bestFit="1" customWidth="1"/>
    <col min="7398" max="7398" width="9.5703125" style="1" bestFit="1" customWidth="1"/>
    <col min="7399" max="7399" width="18.5703125" style="1" customWidth="1"/>
    <col min="7400" max="7401" width="9.140625" style="1"/>
    <col min="7402" max="7404" width="12.140625" style="1" bestFit="1" customWidth="1"/>
    <col min="7405" max="7413" width="10.28515625" style="1" bestFit="1" customWidth="1"/>
    <col min="7414" max="7414" width="11.28515625" style="1" bestFit="1" customWidth="1"/>
    <col min="7415" max="7415" width="9.140625" style="1"/>
    <col min="7416" max="7416" width="19" style="1" customWidth="1"/>
    <col min="7417" max="7433" width="9.140625" style="1"/>
    <col min="7434" max="7444" width="11.28515625" style="1" bestFit="1" customWidth="1"/>
    <col min="7445" max="7445" width="10.28515625" style="1" bestFit="1" customWidth="1"/>
    <col min="7446" max="7446" width="12.85546875" style="1" bestFit="1" customWidth="1"/>
    <col min="7447" max="7569" width="9.140625" style="1"/>
    <col min="7570" max="7570" width="11" style="1" bestFit="1" customWidth="1"/>
    <col min="7571" max="7571" width="28.140625" style="1" bestFit="1" customWidth="1"/>
    <col min="7572" max="7572" width="14" style="1" bestFit="1" customWidth="1"/>
    <col min="7573" max="7573" width="9.140625" style="1"/>
    <col min="7574" max="7574" width="13.85546875" style="1" bestFit="1" customWidth="1"/>
    <col min="7575" max="7575" width="9.140625" style="1"/>
    <col min="7576" max="7576" width="14" style="1" customWidth="1"/>
    <col min="7577" max="7577" width="9.140625" style="1"/>
    <col min="7578" max="7578" width="12.85546875" style="1" bestFit="1" customWidth="1"/>
    <col min="7579" max="7579" width="10" style="1" customWidth="1"/>
    <col min="7580" max="7580" width="14" style="1" bestFit="1" customWidth="1"/>
    <col min="7581" max="7581" width="9.85546875" style="1" bestFit="1" customWidth="1"/>
    <col min="7582" max="7582" width="13.5703125" style="1" bestFit="1" customWidth="1"/>
    <col min="7583" max="7583" width="9.85546875" style="1" bestFit="1" customWidth="1"/>
    <col min="7584" max="7584" width="12.85546875" style="1" bestFit="1" customWidth="1"/>
    <col min="7585" max="7596" width="10.5703125" style="1" customWidth="1"/>
    <col min="7597" max="7597" width="11.140625" style="1" bestFit="1" customWidth="1"/>
    <col min="7598" max="7598" width="2.7109375" style="1" customWidth="1"/>
    <col min="7599" max="7599" width="9.85546875" style="1" bestFit="1" customWidth="1"/>
    <col min="7600" max="7601" width="9.140625" style="1"/>
    <col min="7602" max="7602" width="24" style="1" customWidth="1"/>
    <col min="7603" max="7605" width="9.140625" style="1"/>
    <col min="7606" max="7606" width="9" style="1" bestFit="1" customWidth="1"/>
    <col min="7607" max="7616" width="9.28515625" style="1" bestFit="1" customWidth="1"/>
    <col min="7617" max="7617" width="10.28515625" style="1" bestFit="1" customWidth="1"/>
    <col min="7618" max="7618" width="11.28515625" style="1" bestFit="1" customWidth="1"/>
    <col min="7619" max="7619" width="11.7109375" style="1" customWidth="1"/>
    <col min="7620" max="7620" width="9.140625" style="1"/>
    <col min="7621" max="7621" width="22.28515625" style="1" customWidth="1"/>
    <col min="7622" max="7622" width="9.140625" style="1"/>
    <col min="7623" max="7623" width="9.28515625" style="1" bestFit="1" customWidth="1"/>
    <col min="7624" max="7624" width="9.42578125" style="1" bestFit="1" customWidth="1"/>
    <col min="7625" max="7625" width="9.28515625" style="1" bestFit="1" customWidth="1"/>
    <col min="7626" max="7626" width="10.28515625" style="1" bestFit="1" customWidth="1"/>
    <col min="7627" max="7628" width="9.28515625" style="1" bestFit="1" customWidth="1"/>
    <col min="7629" max="7630" width="10.28515625" style="1" bestFit="1" customWidth="1"/>
    <col min="7631" max="7635" width="9.28515625" style="1" bestFit="1" customWidth="1"/>
    <col min="7636" max="7636" width="10.42578125" style="1" bestFit="1" customWidth="1"/>
    <col min="7637" max="7637" width="9.140625" style="1"/>
    <col min="7638" max="7638" width="24.85546875" style="1" customWidth="1"/>
    <col min="7639" max="7639" width="9.140625" style="1"/>
    <col min="7640" max="7652" width="9.28515625" style="1" bestFit="1" customWidth="1"/>
    <col min="7653" max="7653" width="10.28515625" style="1" bestFit="1" customWidth="1"/>
    <col min="7654" max="7654" width="9.5703125" style="1" bestFit="1" customWidth="1"/>
    <col min="7655" max="7655" width="18.5703125" style="1" customWidth="1"/>
    <col min="7656" max="7657" width="9.140625" style="1"/>
    <col min="7658" max="7660" width="12.140625" style="1" bestFit="1" customWidth="1"/>
    <col min="7661" max="7669" width="10.28515625" style="1" bestFit="1" customWidth="1"/>
    <col min="7670" max="7670" width="11.28515625" style="1" bestFit="1" customWidth="1"/>
    <col min="7671" max="7671" width="9.140625" style="1"/>
    <col min="7672" max="7672" width="19" style="1" customWidth="1"/>
    <col min="7673" max="7689" width="9.140625" style="1"/>
    <col min="7690" max="7700" width="11.28515625" style="1" bestFit="1" customWidth="1"/>
    <col min="7701" max="7701" width="10.28515625" style="1" bestFit="1" customWidth="1"/>
    <col min="7702" max="7702" width="12.85546875" style="1" bestFit="1" customWidth="1"/>
    <col min="7703" max="7825" width="9.140625" style="1"/>
    <col min="7826" max="7826" width="11" style="1" bestFit="1" customWidth="1"/>
    <col min="7827" max="7827" width="28.140625" style="1" bestFit="1" customWidth="1"/>
    <col min="7828" max="7828" width="14" style="1" bestFit="1" customWidth="1"/>
    <col min="7829" max="7829" width="9.140625" style="1"/>
    <col min="7830" max="7830" width="13.85546875" style="1" bestFit="1" customWidth="1"/>
    <col min="7831" max="7831" width="9.140625" style="1"/>
    <col min="7832" max="7832" width="14" style="1" customWidth="1"/>
    <col min="7833" max="7833" width="9.140625" style="1"/>
    <col min="7834" max="7834" width="12.85546875" style="1" bestFit="1" customWidth="1"/>
    <col min="7835" max="7835" width="10" style="1" customWidth="1"/>
    <col min="7836" max="7836" width="14" style="1" bestFit="1" customWidth="1"/>
    <col min="7837" max="7837" width="9.85546875" style="1" bestFit="1" customWidth="1"/>
    <col min="7838" max="7838" width="13.5703125" style="1" bestFit="1" customWidth="1"/>
    <col min="7839" max="7839" width="9.85546875" style="1" bestFit="1" customWidth="1"/>
    <col min="7840" max="7840" width="12.85546875" style="1" bestFit="1" customWidth="1"/>
    <col min="7841" max="7852" width="10.5703125" style="1" customWidth="1"/>
    <col min="7853" max="7853" width="11.140625" style="1" bestFit="1" customWidth="1"/>
    <col min="7854" max="7854" width="2.7109375" style="1" customWidth="1"/>
    <col min="7855" max="7855" width="9.85546875" style="1" bestFit="1" customWidth="1"/>
    <col min="7856" max="7857" width="9.140625" style="1"/>
    <col min="7858" max="7858" width="24" style="1" customWidth="1"/>
    <col min="7859" max="7861" width="9.140625" style="1"/>
    <col min="7862" max="7862" width="9" style="1" bestFit="1" customWidth="1"/>
    <col min="7863" max="7872" width="9.28515625" style="1" bestFit="1" customWidth="1"/>
    <col min="7873" max="7873" width="10.28515625" style="1" bestFit="1" customWidth="1"/>
    <col min="7874" max="7874" width="11.28515625" style="1" bestFit="1" customWidth="1"/>
    <col min="7875" max="7875" width="11.7109375" style="1" customWidth="1"/>
    <col min="7876" max="7876" width="9.140625" style="1"/>
    <col min="7877" max="7877" width="22.28515625" style="1" customWidth="1"/>
    <col min="7878" max="7878" width="9.140625" style="1"/>
    <col min="7879" max="7879" width="9.28515625" style="1" bestFit="1" customWidth="1"/>
    <col min="7880" max="7880" width="9.42578125" style="1" bestFit="1" customWidth="1"/>
    <col min="7881" max="7881" width="9.28515625" style="1" bestFit="1" customWidth="1"/>
    <col min="7882" max="7882" width="10.28515625" style="1" bestFit="1" customWidth="1"/>
    <col min="7883" max="7884" width="9.28515625" style="1" bestFit="1" customWidth="1"/>
    <col min="7885" max="7886" width="10.28515625" style="1" bestFit="1" customWidth="1"/>
    <col min="7887" max="7891" width="9.28515625" style="1" bestFit="1" customWidth="1"/>
    <col min="7892" max="7892" width="10.42578125" style="1" bestFit="1" customWidth="1"/>
    <col min="7893" max="7893" width="9.140625" style="1"/>
    <col min="7894" max="7894" width="24.85546875" style="1" customWidth="1"/>
    <col min="7895" max="7895" width="9.140625" style="1"/>
    <col min="7896" max="7908" width="9.28515625" style="1" bestFit="1" customWidth="1"/>
    <col min="7909" max="7909" width="10.28515625" style="1" bestFit="1" customWidth="1"/>
    <col min="7910" max="7910" width="9.5703125" style="1" bestFit="1" customWidth="1"/>
    <col min="7911" max="7911" width="18.5703125" style="1" customWidth="1"/>
    <col min="7912" max="7913" width="9.140625" style="1"/>
    <col min="7914" max="7916" width="12.140625" style="1" bestFit="1" customWidth="1"/>
    <col min="7917" max="7925" width="10.28515625" style="1" bestFit="1" customWidth="1"/>
    <col min="7926" max="7926" width="11.28515625" style="1" bestFit="1" customWidth="1"/>
    <col min="7927" max="7927" width="9.140625" style="1"/>
    <col min="7928" max="7928" width="19" style="1" customWidth="1"/>
    <col min="7929" max="7945" width="9.140625" style="1"/>
    <col min="7946" max="7956" width="11.28515625" style="1" bestFit="1" customWidth="1"/>
    <col min="7957" max="7957" width="10.28515625" style="1" bestFit="1" customWidth="1"/>
    <col min="7958" max="7958" width="12.85546875" style="1" bestFit="1" customWidth="1"/>
    <col min="7959" max="8081" width="9.140625" style="1"/>
    <col min="8082" max="8082" width="11" style="1" bestFit="1" customWidth="1"/>
    <col min="8083" max="8083" width="28.140625" style="1" bestFit="1" customWidth="1"/>
    <col min="8084" max="8084" width="14" style="1" bestFit="1" customWidth="1"/>
    <col min="8085" max="8085" width="9.140625" style="1"/>
    <col min="8086" max="8086" width="13.85546875" style="1" bestFit="1" customWidth="1"/>
    <col min="8087" max="8087" width="9.140625" style="1"/>
    <col min="8088" max="8088" width="14" style="1" customWidth="1"/>
    <col min="8089" max="8089" width="9.140625" style="1"/>
    <col min="8090" max="8090" width="12.85546875" style="1" bestFit="1" customWidth="1"/>
    <col min="8091" max="8091" width="10" style="1" customWidth="1"/>
    <col min="8092" max="8092" width="14" style="1" bestFit="1" customWidth="1"/>
    <col min="8093" max="8093" width="9.85546875" style="1" bestFit="1" customWidth="1"/>
    <col min="8094" max="8094" width="13.5703125" style="1" bestFit="1" customWidth="1"/>
    <col min="8095" max="8095" width="9.85546875" style="1" bestFit="1" customWidth="1"/>
    <col min="8096" max="8096" width="12.85546875" style="1" bestFit="1" customWidth="1"/>
    <col min="8097" max="8108" width="10.5703125" style="1" customWidth="1"/>
    <col min="8109" max="8109" width="11.140625" style="1" bestFit="1" customWidth="1"/>
    <col min="8110" max="8110" width="2.7109375" style="1" customWidth="1"/>
    <col min="8111" max="8111" width="9.85546875" style="1" bestFit="1" customWidth="1"/>
    <col min="8112" max="8113" width="9.140625" style="1"/>
    <col min="8114" max="8114" width="24" style="1" customWidth="1"/>
    <col min="8115" max="8117" width="9.140625" style="1"/>
    <col min="8118" max="8118" width="9" style="1" bestFit="1" customWidth="1"/>
    <col min="8119" max="8128" width="9.28515625" style="1" bestFit="1" customWidth="1"/>
    <col min="8129" max="8129" width="10.28515625" style="1" bestFit="1" customWidth="1"/>
    <col min="8130" max="8130" width="11.28515625" style="1" bestFit="1" customWidth="1"/>
    <col min="8131" max="8131" width="11.7109375" style="1" customWidth="1"/>
    <col min="8132" max="8132" width="9.140625" style="1"/>
    <col min="8133" max="8133" width="22.28515625" style="1" customWidth="1"/>
    <col min="8134" max="8134" width="9.140625" style="1"/>
    <col min="8135" max="8135" width="9.28515625" style="1" bestFit="1" customWidth="1"/>
    <col min="8136" max="8136" width="9.42578125" style="1" bestFit="1" customWidth="1"/>
    <col min="8137" max="8137" width="9.28515625" style="1" bestFit="1" customWidth="1"/>
    <col min="8138" max="8138" width="10.28515625" style="1" bestFit="1" customWidth="1"/>
    <col min="8139" max="8140" width="9.28515625" style="1" bestFit="1" customWidth="1"/>
    <col min="8141" max="8142" width="10.28515625" style="1" bestFit="1" customWidth="1"/>
    <col min="8143" max="8147" width="9.28515625" style="1" bestFit="1" customWidth="1"/>
    <col min="8148" max="8148" width="10.42578125" style="1" bestFit="1" customWidth="1"/>
    <col min="8149" max="8149" width="9.140625" style="1"/>
    <col min="8150" max="8150" width="24.85546875" style="1" customWidth="1"/>
    <col min="8151" max="8151" width="9.140625" style="1"/>
    <col min="8152" max="8164" width="9.28515625" style="1" bestFit="1" customWidth="1"/>
    <col min="8165" max="8165" width="10.28515625" style="1" bestFit="1" customWidth="1"/>
    <col min="8166" max="8166" width="9.5703125" style="1" bestFit="1" customWidth="1"/>
    <col min="8167" max="8167" width="18.5703125" style="1" customWidth="1"/>
    <col min="8168" max="8169" width="9.140625" style="1"/>
    <col min="8170" max="8172" width="12.140625" style="1" bestFit="1" customWidth="1"/>
    <col min="8173" max="8181" width="10.28515625" style="1" bestFit="1" customWidth="1"/>
    <col min="8182" max="8182" width="11.28515625" style="1" bestFit="1" customWidth="1"/>
    <col min="8183" max="8183" width="9.140625" style="1"/>
    <col min="8184" max="8184" width="19" style="1" customWidth="1"/>
    <col min="8185" max="8201" width="9.140625" style="1"/>
    <col min="8202" max="8212" width="11.28515625" style="1" bestFit="1" customWidth="1"/>
    <col min="8213" max="8213" width="10.28515625" style="1" bestFit="1" customWidth="1"/>
    <col min="8214" max="8214" width="12.85546875" style="1" bestFit="1" customWidth="1"/>
    <col min="8215" max="8337" width="9.140625" style="1"/>
    <col min="8338" max="8338" width="11" style="1" bestFit="1" customWidth="1"/>
    <col min="8339" max="8339" width="28.140625" style="1" bestFit="1" customWidth="1"/>
    <col min="8340" max="8340" width="14" style="1" bestFit="1" customWidth="1"/>
    <col min="8341" max="8341" width="9.140625" style="1"/>
    <col min="8342" max="8342" width="13.85546875" style="1" bestFit="1" customWidth="1"/>
    <col min="8343" max="8343" width="9.140625" style="1"/>
    <col min="8344" max="8344" width="14" style="1" customWidth="1"/>
    <col min="8345" max="8345" width="9.140625" style="1"/>
    <col min="8346" max="8346" width="12.85546875" style="1" bestFit="1" customWidth="1"/>
    <col min="8347" max="8347" width="10" style="1" customWidth="1"/>
    <col min="8348" max="8348" width="14" style="1" bestFit="1" customWidth="1"/>
    <col min="8349" max="8349" width="9.85546875" style="1" bestFit="1" customWidth="1"/>
    <col min="8350" max="8350" width="13.5703125" style="1" bestFit="1" customWidth="1"/>
    <col min="8351" max="8351" width="9.85546875" style="1" bestFit="1" customWidth="1"/>
    <col min="8352" max="8352" width="12.85546875" style="1" bestFit="1" customWidth="1"/>
    <col min="8353" max="8364" width="10.5703125" style="1" customWidth="1"/>
    <col min="8365" max="8365" width="11.140625" style="1" bestFit="1" customWidth="1"/>
    <col min="8366" max="8366" width="2.7109375" style="1" customWidth="1"/>
    <col min="8367" max="8367" width="9.85546875" style="1" bestFit="1" customWidth="1"/>
    <col min="8368" max="8369" width="9.140625" style="1"/>
    <col min="8370" max="8370" width="24" style="1" customWidth="1"/>
    <col min="8371" max="8373" width="9.140625" style="1"/>
    <col min="8374" max="8374" width="9" style="1" bestFit="1" customWidth="1"/>
    <col min="8375" max="8384" width="9.28515625" style="1" bestFit="1" customWidth="1"/>
    <col min="8385" max="8385" width="10.28515625" style="1" bestFit="1" customWidth="1"/>
    <col min="8386" max="8386" width="11.28515625" style="1" bestFit="1" customWidth="1"/>
    <col min="8387" max="8387" width="11.7109375" style="1" customWidth="1"/>
    <col min="8388" max="8388" width="9.140625" style="1"/>
    <col min="8389" max="8389" width="22.28515625" style="1" customWidth="1"/>
    <col min="8390" max="8390" width="9.140625" style="1"/>
    <col min="8391" max="8391" width="9.28515625" style="1" bestFit="1" customWidth="1"/>
    <col min="8392" max="8392" width="9.42578125" style="1" bestFit="1" customWidth="1"/>
    <col min="8393" max="8393" width="9.28515625" style="1" bestFit="1" customWidth="1"/>
    <col min="8394" max="8394" width="10.28515625" style="1" bestFit="1" customWidth="1"/>
    <col min="8395" max="8396" width="9.28515625" style="1" bestFit="1" customWidth="1"/>
    <col min="8397" max="8398" width="10.28515625" style="1" bestFit="1" customWidth="1"/>
    <col min="8399" max="8403" width="9.28515625" style="1" bestFit="1" customWidth="1"/>
    <col min="8404" max="8404" width="10.42578125" style="1" bestFit="1" customWidth="1"/>
    <col min="8405" max="8405" width="9.140625" style="1"/>
    <col min="8406" max="8406" width="24.85546875" style="1" customWidth="1"/>
    <col min="8407" max="8407" width="9.140625" style="1"/>
    <col min="8408" max="8420" width="9.28515625" style="1" bestFit="1" customWidth="1"/>
    <col min="8421" max="8421" width="10.28515625" style="1" bestFit="1" customWidth="1"/>
    <col min="8422" max="8422" width="9.5703125" style="1" bestFit="1" customWidth="1"/>
    <col min="8423" max="8423" width="18.5703125" style="1" customWidth="1"/>
    <col min="8424" max="8425" width="9.140625" style="1"/>
    <col min="8426" max="8428" width="12.140625" style="1" bestFit="1" customWidth="1"/>
    <col min="8429" max="8437" width="10.28515625" style="1" bestFit="1" customWidth="1"/>
    <col min="8438" max="8438" width="11.28515625" style="1" bestFit="1" customWidth="1"/>
    <col min="8439" max="8439" width="9.140625" style="1"/>
    <col min="8440" max="8440" width="19" style="1" customWidth="1"/>
    <col min="8441" max="8457" width="9.140625" style="1"/>
    <col min="8458" max="8468" width="11.28515625" style="1" bestFit="1" customWidth="1"/>
    <col min="8469" max="8469" width="10.28515625" style="1" bestFit="1" customWidth="1"/>
    <col min="8470" max="8470" width="12.85546875" style="1" bestFit="1" customWidth="1"/>
    <col min="8471" max="8593" width="9.140625" style="1"/>
    <col min="8594" max="8594" width="11" style="1" bestFit="1" customWidth="1"/>
    <col min="8595" max="8595" width="28.140625" style="1" bestFit="1" customWidth="1"/>
    <col min="8596" max="8596" width="14" style="1" bestFit="1" customWidth="1"/>
    <col min="8597" max="8597" width="9.140625" style="1"/>
    <col min="8598" max="8598" width="13.85546875" style="1" bestFit="1" customWidth="1"/>
    <col min="8599" max="8599" width="9.140625" style="1"/>
    <col min="8600" max="8600" width="14" style="1" customWidth="1"/>
    <col min="8601" max="8601" width="9.140625" style="1"/>
    <col min="8602" max="8602" width="12.85546875" style="1" bestFit="1" customWidth="1"/>
    <col min="8603" max="8603" width="10" style="1" customWidth="1"/>
    <col min="8604" max="8604" width="14" style="1" bestFit="1" customWidth="1"/>
    <col min="8605" max="8605" width="9.85546875" style="1" bestFit="1" customWidth="1"/>
    <col min="8606" max="8606" width="13.5703125" style="1" bestFit="1" customWidth="1"/>
    <col min="8607" max="8607" width="9.85546875" style="1" bestFit="1" customWidth="1"/>
    <col min="8608" max="8608" width="12.85546875" style="1" bestFit="1" customWidth="1"/>
    <col min="8609" max="8620" width="10.5703125" style="1" customWidth="1"/>
    <col min="8621" max="8621" width="11.140625" style="1" bestFit="1" customWidth="1"/>
    <col min="8622" max="8622" width="2.7109375" style="1" customWidth="1"/>
    <col min="8623" max="8623" width="9.85546875" style="1" bestFit="1" customWidth="1"/>
    <col min="8624" max="8625" width="9.140625" style="1"/>
    <col min="8626" max="8626" width="24" style="1" customWidth="1"/>
    <col min="8627" max="8629" width="9.140625" style="1"/>
    <col min="8630" max="8630" width="9" style="1" bestFit="1" customWidth="1"/>
    <col min="8631" max="8640" width="9.28515625" style="1" bestFit="1" customWidth="1"/>
    <col min="8641" max="8641" width="10.28515625" style="1" bestFit="1" customWidth="1"/>
    <col min="8642" max="8642" width="11.28515625" style="1" bestFit="1" customWidth="1"/>
    <col min="8643" max="8643" width="11.7109375" style="1" customWidth="1"/>
    <col min="8644" max="8644" width="9.140625" style="1"/>
    <col min="8645" max="8645" width="22.28515625" style="1" customWidth="1"/>
    <col min="8646" max="8646" width="9.140625" style="1"/>
    <col min="8647" max="8647" width="9.28515625" style="1" bestFit="1" customWidth="1"/>
    <col min="8648" max="8648" width="9.42578125" style="1" bestFit="1" customWidth="1"/>
    <col min="8649" max="8649" width="9.28515625" style="1" bestFit="1" customWidth="1"/>
    <col min="8650" max="8650" width="10.28515625" style="1" bestFit="1" customWidth="1"/>
    <col min="8651" max="8652" width="9.28515625" style="1" bestFit="1" customWidth="1"/>
    <col min="8653" max="8654" width="10.28515625" style="1" bestFit="1" customWidth="1"/>
    <col min="8655" max="8659" width="9.28515625" style="1" bestFit="1" customWidth="1"/>
    <col min="8660" max="8660" width="10.42578125" style="1" bestFit="1" customWidth="1"/>
    <col min="8661" max="8661" width="9.140625" style="1"/>
    <col min="8662" max="8662" width="24.85546875" style="1" customWidth="1"/>
    <col min="8663" max="8663" width="9.140625" style="1"/>
    <col min="8664" max="8676" width="9.28515625" style="1" bestFit="1" customWidth="1"/>
    <col min="8677" max="8677" width="10.28515625" style="1" bestFit="1" customWidth="1"/>
    <col min="8678" max="8678" width="9.5703125" style="1" bestFit="1" customWidth="1"/>
    <col min="8679" max="8679" width="18.5703125" style="1" customWidth="1"/>
    <col min="8680" max="8681" width="9.140625" style="1"/>
    <col min="8682" max="8684" width="12.140625" style="1" bestFit="1" customWidth="1"/>
    <col min="8685" max="8693" width="10.28515625" style="1" bestFit="1" customWidth="1"/>
    <col min="8694" max="8694" width="11.28515625" style="1" bestFit="1" customWidth="1"/>
    <col min="8695" max="8695" width="9.140625" style="1"/>
    <col min="8696" max="8696" width="19" style="1" customWidth="1"/>
    <col min="8697" max="8713" width="9.140625" style="1"/>
    <col min="8714" max="8724" width="11.28515625" style="1" bestFit="1" customWidth="1"/>
    <col min="8725" max="8725" width="10.28515625" style="1" bestFit="1" customWidth="1"/>
    <col min="8726" max="8726" width="12.85546875" style="1" bestFit="1" customWidth="1"/>
    <col min="8727" max="8849" width="9.140625" style="1"/>
    <col min="8850" max="8850" width="11" style="1" bestFit="1" customWidth="1"/>
    <col min="8851" max="8851" width="28.140625" style="1" bestFit="1" customWidth="1"/>
    <col min="8852" max="8852" width="14" style="1" bestFit="1" customWidth="1"/>
    <col min="8853" max="8853" width="9.140625" style="1"/>
    <col min="8854" max="8854" width="13.85546875" style="1" bestFit="1" customWidth="1"/>
    <col min="8855" max="8855" width="9.140625" style="1"/>
    <col min="8856" max="8856" width="14" style="1" customWidth="1"/>
    <col min="8857" max="8857" width="9.140625" style="1"/>
    <col min="8858" max="8858" width="12.85546875" style="1" bestFit="1" customWidth="1"/>
    <col min="8859" max="8859" width="10" style="1" customWidth="1"/>
    <col min="8860" max="8860" width="14" style="1" bestFit="1" customWidth="1"/>
    <col min="8861" max="8861" width="9.85546875" style="1" bestFit="1" customWidth="1"/>
    <col min="8862" max="8862" width="13.5703125" style="1" bestFit="1" customWidth="1"/>
    <col min="8863" max="8863" width="9.85546875" style="1" bestFit="1" customWidth="1"/>
    <col min="8864" max="8864" width="12.85546875" style="1" bestFit="1" customWidth="1"/>
    <col min="8865" max="8876" width="10.5703125" style="1" customWidth="1"/>
    <col min="8877" max="8877" width="11.140625" style="1" bestFit="1" customWidth="1"/>
    <col min="8878" max="8878" width="2.7109375" style="1" customWidth="1"/>
    <col min="8879" max="8879" width="9.85546875" style="1" bestFit="1" customWidth="1"/>
    <col min="8880" max="8881" width="9.140625" style="1"/>
    <col min="8882" max="8882" width="24" style="1" customWidth="1"/>
    <col min="8883" max="8885" width="9.140625" style="1"/>
    <col min="8886" max="8886" width="9" style="1" bestFit="1" customWidth="1"/>
    <col min="8887" max="8896" width="9.28515625" style="1" bestFit="1" customWidth="1"/>
    <col min="8897" max="8897" width="10.28515625" style="1" bestFit="1" customWidth="1"/>
    <col min="8898" max="8898" width="11.28515625" style="1" bestFit="1" customWidth="1"/>
    <col min="8899" max="8899" width="11.7109375" style="1" customWidth="1"/>
    <col min="8900" max="8900" width="9.140625" style="1"/>
    <col min="8901" max="8901" width="22.28515625" style="1" customWidth="1"/>
    <col min="8902" max="8902" width="9.140625" style="1"/>
    <col min="8903" max="8903" width="9.28515625" style="1" bestFit="1" customWidth="1"/>
    <col min="8904" max="8904" width="9.42578125" style="1" bestFit="1" customWidth="1"/>
    <col min="8905" max="8905" width="9.28515625" style="1" bestFit="1" customWidth="1"/>
    <col min="8906" max="8906" width="10.28515625" style="1" bestFit="1" customWidth="1"/>
    <col min="8907" max="8908" width="9.28515625" style="1" bestFit="1" customWidth="1"/>
    <col min="8909" max="8910" width="10.28515625" style="1" bestFit="1" customWidth="1"/>
    <col min="8911" max="8915" width="9.28515625" style="1" bestFit="1" customWidth="1"/>
    <col min="8916" max="8916" width="10.42578125" style="1" bestFit="1" customWidth="1"/>
    <col min="8917" max="8917" width="9.140625" style="1"/>
    <col min="8918" max="8918" width="24.85546875" style="1" customWidth="1"/>
    <col min="8919" max="8919" width="9.140625" style="1"/>
    <col min="8920" max="8932" width="9.28515625" style="1" bestFit="1" customWidth="1"/>
    <col min="8933" max="8933" width="10.28515625" style="1" bestFit="1" customWidth="1"/>
    <col min="8934" max="8934" width="9.5703125" style="1" bestFit="1" customWidth="1"/>
    <col min="8935" max="8935" width="18.5703125" style="1" customWidth="1"/>
    <col min="8936" max="8937" width="9.140625" style="1"/>
    <col min="8938" max="8940" width="12.140625" style="1" bestFit="1" customWidth="1"/>
    <col min="8941" max="8949" width="10.28515625" style="1" bestFit="1" customWidth="1"/>
    <col min="8950" max="8950" width="11.28515625" style="1" bestFit="1" customWidth="1"/>
    <col min="8951" max="8951" width="9.140625" style="1"/>
    <col min="8952" max="8952" width="19" style="1" customWidth="1"/>
    <col min="8953" max="8969" width="9.140625" style="1"/>
    <col min="8970" max="8980" width="11.28515625" style="1" bestFit="1" customWidth="1"/>
    <col min="8981" max="8981" width="10.28515625" style="1" bestFit="1" customWidth="1"/>
    <col min="8982" max="8982" width="12.85546875" style="1" bestFit="1" customWidth="1"/>
    <col min="8983" max="9105" width="9.140625" style="1"/>
    <col min="9106" max="9106" width="11" style="1" bestFit="1" customWidth="1"/>
    <col min="9107" max="9107" width="28.140625" style="1" bestFit="1" customWidth="1"/>
    <col min="9108" max="9108" width="14" style="1" bestFit="1" customWidth="1"/>
    <col min="9109" max="9109" width="9.140625" style="1"/>
    <col min="9110" max="9110" width="13.85546875" style="1" bestFit="1" customWidth="1"/>
    <col min="9111" max="9111" width="9.140625" style="1"/>
    <col min="9112" max="9112" width="14" style="1" customWidth="1"/>
    <col min="9113" max="9113" width="9.140625" style="1"/>
    <col min="9114" max="9114" width="12.85546875" style="1" bestFit="1" customWidth="1"/>
    <col min="9115" max="9115" width="10" style="1" customWidth="1"/>
    <col min="9116" max="9116" width="14" style="1" bestFit="1" customWidth="1"/>
    <col min="9117" max="9117" width="9.85546875" style="1" bestFit="1" customWidth="1"/>
    <col min="9118" max="9118" width="13.5703125" style="1" bestFit="1" customWidth="1"/>
    <col min="9119" max="9119" width="9.85546875" style="1" bestFit="1" customWidth="1"/>
    <col min="9120" max="9120" width="12.85546875" style="1" bestFit="1" customWidth="1"/>
    <col min="9121" max="9132" width="10.5703125" style="1" customWidth="1"/>
    <col min="9133" max="9133" width="11.140625" style="1" bestFit="1" customWidth="1"/>
    <col min="9134" max="9134" width="2.7109375" style="1" customWidth="1"/>
    <col min="9135" max="9135" width="9.85546875" style="1" bestFit="1" customWidth="1"/>
    <col min="9136" max="9137" width="9.140625" style="1"/>
    <col min="9138" max="9138" width="24" style="1" customWidth="1"/>
    <col min="9139" max="9141" width="9.140625" style="1"/>
    <col min="9142" max="9142" width="9" style="1" bestFit="1" customWidth="1"/>
    <col min="9143" max="9152" width="9.28515625" style="1" bestFit="1" customWidth="1"/>
    <col min="9153" max="9153" width="10.28515625" style="1" bestFit="1" customWidth="1"/>
    <col min="9154" max="9154" width="11.28515625" style="1" bestFit="1" customWidth="1"/>
    <col min="9155" max="9155" width="11.7109375" style="1" customWidth="1"/>
    <col min="9156" max="9156" width="9.140625" style="1"/>
    <col min="9157" max="9157" width="22.28515625" style="1" customWidth="1"/>
    <col min="9158" max="9158" width="9.140625" style="1"/>
    <col min="9159" max="9159" width="9.28515625" style="1" bestFit="1" customWidth="1"/>
    <col min="9160" max="9160" width="9.42578125" style="1" bestFit="1" customWidth="1"/>
    <col min="9161" max="9161" width="9.28515625" style="1" bestFit="1" customWidth="1"/>
    <col min="9162" max="9162" width="10.28515625" style="1" bestFit="1" customWidth="1"/>
    <col min="9163" max="9164" width="9.28515625" style="1" bestFit="1" customWidth="1"/>
    <col min="9165" max="9166" width="10.28515625" style="1" bestFit="1" customWidth="1"/>
    <col min="9167" max="9171" width="9.28515625" style="1" bestFit="1" customWidth="1"/>
    <col min="9172" max="9172" width="10.42578125" style="1" bestFit="1" customWidth="1"/>
    <col min="9173" max="9173" width="9.140625" style="1"/>
    <col min="9174" max="9174" width="24.85546875" style="1" customWidth="1"/>
    <col min="9175" max="9175" width="9.140625" style="1"/>
    <col min="9176" max="9188" width="9.28515625" style="1" bestFit="1" customWidth="1"/>
    <col min="9189" max="9189" width="10.28515625" style="1" bestFit="1" customWidth="1"/>
    <col min="9190" max="9190" width="9.5703125" style="1" bestFit="1" customWidth="1"/>
    <col min="9191" max="9191" width="18.5703125" style="1" customWidth="1"/>
    <col min="9192" max="9193" width="9.140625" style="1"/>
    <col min="9194" max="9196" width="12.140625" style="1" bestFit="1" customWidth="1"/>
    <col min="9197" max="9205" width="10.28515625" style="1" bestFit="1" customWidth="1"/>
    <col min="9206" max="9206" width="11.28515625" style="1" bestFit="1" customWidth="1"/>
    <col min="9207" max="9207" width="9.140625" style="1"/>
    <col min="9208" max="9208" width="19" style="1" customWidth="1"/>
    <col min="9209" max="9225" width="9.140625" style="1"/>
    <col min="9226" max="9236" width="11.28515625" style="1" bestFit="1" customWidth="1"/>
    <col min="9237" max="9237" width="10.28515625" style="1" bestFit="1" customWidth="1"/>
    <col min="9238" max="9238" width="12.85546875" style="1" bestFit="1" customWidth="1"/>
    <col min="9239" max="9361" width="9.140625" style="1"/>
    <col min="9362" max="9362" width="11" style="1" bestFit="1" customWidth="1"/>
    <col min="9363" max="9363" width="28.140625" style="1" bestFit="1" customWidth="1"/>
    <col min="9364" max="9364" width="14" style="1" bestFit="1" customWidth="1"/>
    <col min="9365" max="9365" width="9.140625" style="1"/>
    <col min="9366" max="9366" width="13.85546875" style="1" bestFit="1" customWidth="1"/>
    <col min="9367" max="9367" width="9.140625" style="1"/>
    <col min="9368" max="9368" width="14" style="1" customWidth="1"/>
    <col min="9369" max="9369" width="9.140625" style="1"/>
    <col min="9370" max="9370" width="12.85546875" style="1" bestFit="1" customWidth="1"/>
    <col min="9371" max="9371" width="10" style="1" customWidth="1"/>
    <col min="9372" max="9372" width="14" style="1" bestFit="1" customWidth="1"/>
    <col min="9373" max="9373" width="9.85546875" style="1" bestFit="1" customWidth="1"/>
    <col min="9374" max="9374" width="13.5703125" style="1" bestFit="1" customWidth="1"/>
    <col min="9375" max="9375" width="9.85546875" style="1" bestFit="1" customWidth="1"/>
    <col min="9376" max="9376" width="12.85546875" style="1" bestFit="1" customWidth="1"/>
    <col min="9377" max="9388" width="10.5703125" style="1" customWidth="1"/>
    <col min="9389" max="9389" width="11.140625" style="1" bestFit="1" customWidth="1"/>
    <col min="9390" max="9390" width="2.7109375" style="1" customWidth="1"/>
    <col min="9391" max="9391" width="9.85546875" style="1" bestFit="1" customWidth="1"/>
    <col min="9392" max="9393" width="9.140625" style="1"/>
    <col min="9394" max="9394" width="24" style="1" customWidth="1"/>
    <col min="9395" max="9397" width="9.140625" style="1"/>
    <col min="9398" max="9398" width="9" style="1" bestFit="1" customWidth="1"/>
    <col min="9399" max="9408" width="9.28515625" style="1" bestFit="1" customWidth="1"/>
    <col min="9409" max="9409" width="10.28515625" style="1" bestFit="1" customWidth="1"/>
    <col min="9410" max="9410" width="11.28515625" style="1" bestFit="1" customWidth="1"/>
    <col min="9411" max="9411" width="11.7109375" style="1" customWidth="1"/>
    <col min="9412" max="9412" width="9.140625" style="1"/>
    <col min="9413" max="9413" width="22.28515625" style="1" customWidth="1"/>
    <col min="9414" max="9414" width="9.140625" style="1"/>
    <col min="9415" max="9415" width="9.28515625" style="1" bestFit="1" customWidth="1"/>
    <col min="9416" max="9416" width="9.42578125" style="1" bestFit="1" customWidth="1"/>
    <col min="9417" max="9417" width="9.28515625" style="1" bestFit="1" customWidth="1"/>
    <col min="9418" max="9418" width="10.28515625" style="1" bestFit="1" customWidth="1"/>
    <col min="9419" max="9420" width="9.28515625" style="1" bestFit="1" customWidth="1"/>
    <col min="9421" max="9422" width="10.28515625" style="1" bestFit="1" customWidth="1"/>
    <col min="9423" max="9427" width="9.28515625" style="1" bestFit="1" customWidth="1"/>
    <col min="9428" max="9428" width="10.42578125" style="1" bestFit="1" customWidth="1"/>
    <col min="9429" max="9429" width="9.140625" style="1"/>
    <col min="9430" max="9430" width="24.85546875" style="1" customWidth="1"/>
    <col min="9431" max="9431" width="9.140625" style="1"/>
    <col min="9432" max="9444" width="9.28515625" style="1" bestFit="1" customWidth="1"/>
    <col min="9445" max="9445" width="10.28515625" style="1" bestFit="1" customWidth="1"/>
    <col min="9446" max="9446" width="9.5703125" style="1" bestFit="1" customWidth="1"/>
    <col min="9447" max="9447" width="18.5703125" style="1" customWidth="1"/>
    <col min="9448" max="9449" width="9.140625" style="1"/>
    <col min="9450" max="9452" width="12.140625" style="1" bestFit="1" customWidth="1"/>
    <col min="9453" max="9461" width="10.28515625" style="1" bestFit="1" customWidth="1"/>
    <col min="9462" max="9462" width="11.28515625" style="1" bestFit="1" customWidth="1"/>
    <col min="9463" max="9463" width="9.140625" style="1"/>
    <col min="9464" max="9464" width="19" style="1" customWidth="1"/>
    <col min="9465" max="9481" width="9.140625" style="1"/>
    <col min="9482" max="9492" width="11.28515625" style="1" bestFit="1" customWidth="1"/>
    <col min="9493" max="9493" width="10.28515625" style="1" bestFit="1" customWidth="1"/>
    <col min="9494" max="9494" width="12.85546875" style="1" bestFit="1" customWidth="1"/>
    <col min="9495" max="9617" width="9.140625" style="1"/>
    <col min="9618" max="9618" width="11" style="1" bestFit="1" customWidth="1"/>
    <col min="9619" max="9619" width="28.140625" style="1" bestFit="1" customWidth="1"/>
    <col min="9620" max="9620" width="14" style="1" bestFit="1" customWidth="1"/>
    <col min="9621" max="9621" width="9.140625" style="1"/>
    <col min="9622" max="9622" width="13.85546875" style="1" bestFit="1" customWidth="1"/>
    <col min="9623" max="9623" width="9.140625" style="1"/>
    <col min="9624" max="9624" width="14" style="1" customWidth="1"/>
    <col min="9625" max="9625" width="9.140625" style="1"/>
    <col min="9626" max="9626" width="12.85546875" style="1" bestFit="1" customWidth="1"/>
    <col min="9627" max="9627" width="10" style="1" customWidth="1"/>
    <col min="9628" max="9628" width="14" style="1" bestFit="1" customWidth="1"/>
    <col min="9629" max="9629" width="9.85546875" style="1" bestFit="1" customWidth="1"/>
    <col min="9630" max="9630" width="13.5703125" style="1" bestFit="1" customWidth="1"/>
    <col min="9631" max="9631" width="9.85546875" style="1" bestFit="1" customWidth="1"/>
    <col min="9632" max="9632" width="12.85546875" style="1" bestFit="1" customWidth="1"/>
    <col min="9633" max="9644" width="10.5703125" style="1" customWidth="1"/>
    <col min="9645" max="9645" width="11.140625" style="1" bestFit="1" customWidth="1"/>
    <col min="9646" max="9646" width="2.7109375" style="1" customWidth="1"/>
    <col min="9647" max="9647" width="9.85546875" style="1" bestFit="1" customWidth="1"/>
    <col min="9648" max="9649" width="9.140625" style="1"/>
    <col min="9650" max="9650" width="24" style="1" customWidth="1"/>
    <col min="9651" max="9653" width="9.140625" style="1"/>
    <col min="9654" max="9654" width="9" style="1" bestFit="1" customWidth="1"/>
    <col min="9655" max="9664" width="9.28515625" style="1" bestFit="1" customWidth="1"/>
    <col min="9665" max="9665" width="10.28515625" style="1" bestFit="1" customWidth="1"/>
    <col min="9666" max="9666" width="11.28515625" style="1" bestFit="1" customWidth="1"/>
    <col min="9667" max="9667" width="11.7109375" style="1" customWidth="1"/>
    <col min="9668" max="9668" width="9.140625" style="1"/>
    <col min="9669" max="9669" width="22.28515625" style="1" customWidth="1"/>
    <col min="9670" max="9670" width="9.140625" style="1"/>
    <col min="9671" max="9671" width="9.28515625" style="1" bestFit="1" customWidth="1"/>
    <col min="9672" max="9672" width="9.42578125" style="1" bestFit="1" customWidth="1"/>
    <col min="9673" max="9673" width="9.28515625" style="1" bestFit="1" customWidth="1"/>
    <col min="9674" max="9674" width="10.28515625" style="1" bestFit="1" customWidth="1"/>
    <col min="9675" max="9676" width="9.28515625" style="1" bestFit="1" customWidth="1"/>
    <col min="9677" max="9678" width="10.28515625" style="1" bestFit="1" customWidth="1"/>
    <col min="9679" max="9683" width="9.28515625" style="1" bestFit="1" customWidth="1"/>
    <col min="9684" max="9684" width="10.42578125" style="1" bestFit="1" customWidth="1"/>
    <col min="9685" max="9685" width="9.140625" style="1"/>
    <col min="9686" max="9686" width="24.85546875" style="1" customWidth="1"/>
    <col min="9687" max="9687" width="9.140625" style="1"/>
    <col min="9688" max="9700" width="9.28515625" style="1" bestFit="1" customWidth="1"/>
    <col min="9701" max="9701" width="10.28515625" style="1" bestFit="1" customWidth="1"/>
    <col min="9702" max="9702" width="9.5703125" style="1" bestFit="1" customWidth="1"/>
    <col min="9703" max="9703" width="18.5703125" style="1" customWidth="1"/>
    <col min="9704" max="9705" width="9.140625" style="1"/>
    <col min="9706" max="9708" width="12.140625" style="1" bestFit="1" customWidth="1"/>
    <col min="9709" max="9717" width="10.28515625" style="1" bestFit="1" customWidth="1"/>
    <col min="9718" max="9718" width="11.28515625" style="1" bestFit="1" customWidth="1"/>
    <col min="9719" max="9719" width="9.140625" style="1"/>
    <col min="9720" max="9720" width="19" style="1" customWidth="1"/>
    <col min="9721" max="9737" width="9.140625" style="1"/>
    <col min="9738" max="9748" width="11.28515625" style="1" bestFit="1" customWidth="1"/>
    <col min="9749" max="9749" width="10.28515625" style="1" bestFit="1" customWidth="1"/>
    <col min="9750" max="9750" width="12.85546875" style="1" bestFit="1" customWidth="1"/>
    <col min="9751" max="9873" width="9.140625" style="1"/>
    <col min="9874" max="9874" width="11" style="1" bestFit="1" customWidth="1"/>
    <col min="9875" max="9875" width="28.140625" style="1" bestFit="1" customWidth="1"/>
    <col min="9876" max="9876" width="14" style="1" bestFit="1" customWidth="1"/>
    <col min="9877" max="9877" width="9.140625" style="1"/>
    <col min="9878" max="9878" width="13.85546875" style="1" bestFit="1" customWidth="1"/>
    <col min="9879" max="9879" width="9.140625" style="1"/>
    <col min="9880" max="9880" width="14" style="1" customWidth="1"/>
    <col min="9881" max="9881" width="9.140625" style="1"/>
    <col min="9882" max="9882" width="12.85546875" style="1" bestFit="1" customWidth="1"/>
    <col min="9883" max="9883" width="10" style="1" customWidth="1"/>
    <col min="9884" max="9884" width="14" style="1" bestFit="1" customWidth="1"/>
    <col min="9885" max="9885" width="9.85546875" style="1" bestFit="1" customWidth="1"/>
    <col min="9886" max="9886" width="13.5703125" style="1" bestFit="1" customWidth="1"/>
    <col min="9887" max="9887" width="9.85546875" style="1" bestFit="1" customWidth="1"/>
    <col min="9888" max="9888" width="12.85546875" style="1" bestFit="1" customWidth="1"/>
    <col min="9889" max="9900" width="10.5703125" style="1" customWidth="1"/>
    <col min="9901" max="9901" width="11.140625" style="1" bestFit="1" customWidth="1"/>
    <col min="9902" max="9902" width="2.7109375" style="1" customWidth="1"/>
    <col min="9903" max="9903" width="9.85546875" style="1" bestFit="1" customWidth="1"/>
    <col min="9904" max="9905" width="9.140625" style="1"/>
    <col min="9906" max="9906" width="24" style="1" customWidth="1"/>
    <col min="9907" max="9909" width="9.140625" style="1"/>
    <col min="9910" max="9910" width="9" style="1" bestFit="1" customWidth="1"/>
    <col min="9911" max="9920" width="9.28515625" style="1" bestFit="1" customWidth="1"/>
    <col min="9921" max="9921" width="10.28515625" style="1" bestFit="1" customWidth="1"/>
    <col min="9922" max="9922" width="11.28515625" style="1" bestFit="1" customWidth="1"/>
    <col min="9923" max="9923" width="11.7109375" style="1" customWidth="1"/>
    <col min="9924" max="9924" width="9.140625" style="1"/>
    <col min="9925" max="9925" width="22.28515625" style="1" customWidth="1"/>
    <col min="9926" max="9926" width="9.140625" style="1"/>
    <col min="9927" max="9927" width="9.28515625" style="1" bestFit="1" customWidth="1"/>
    <col min="9928" max="9928" width="9.42578125" style="1" bestFit="1" customWidth="1"/>
    <col min="9929" max="9929" width="9.28515625" style="1" bestFit="1" customWidth="1"/>
    <col min="9930" max="9930" width="10.28515625" style="1" bestFit="1" customWidth="1"/>
    <col min="9931" max="9932" width="9.28515625" style="1" bestFit="1" customWidth="1"/>
    <col min="9933" max="9934" width="10.28515625" style="1" bestFit="1" customWidth="1"/>
    <col min="9935" max="9939" width="9.28515625" style="1" bestFit="1" customWidth="1"/>
    <col min="9940" max="9940" width="10.42578125" style="1" bestFit="1" customWidth="1"/>
    <col min="9941" max="9941" width="9.140625" style="1"/>
    <col min="9942" max="9942" width="24.85546875" style="1" customWidth="1"/>
    <col min="9943" max="9943" width="9.140625" style="1"/>
    <col min="9944" max="9956" width="9.28515625" style="1" bestFit="1" customWidth="1"/>
    <col min="9957" max="9957" width="10.28515625" style="1" bestFit="1" customWidth="1"/>
    <col min="9958" max="9958" width="9.5703125" style="1" bestFit="1" customWidth="1"/>
    <col min="9959" max="9959" width="18.5703125" style="1" customWidth="1"/>
    <col min="9960" max="9961" width="9.140625" style="1"/>
    <col min="9962" max="9964" width="12.140625" style="1" bestFit="1" customWidth="1"/>
    <col min="9965" max="9973" width="10.28515625" style="1" bestFit="1" customWidth="1"/>
    <col min="9974" max="9974" width="11.28515625" style="1" bestFit="1" customWidth="1"/>
    <col min="9975" max="9975" width="9.140625" style="1"/>
    <col min="9976" max="9976" width="19" style="1" customWidth="1"/>
    <col min="9977" max="9993" width="9.140625" style="1"/>
    <col min="9994" max="10004" width="11.28515625" style="1" bestFit="1" customWidth="1"/>
    <col min="10005" max="10005" width="10.28515625" style="1" bestFit="1" customWidth="1"/>
    <col min="10006" max="10006" width="12.85546875" style="1" bestFit="1" customWidth="1"/>
    <col min="10007" max="10129" width="9.140625" style="1"/>
    <col min="10130" max="10130" width="11" style="1" bestFit="1" customWidth="1"/>
    <col min="10131" max="10131" width="28.140625" style="1" bestFit="1" customWidth="1"/>
    <col min="10132" max="10132" width="14" style="1" bestFit="1" customWidth="1"/>
    <col min="10133" max="10133" width="9.140625" style="1"/>
    <col min="10134" max="10134" width="13.85546875" style="1" bestFit="1" customWidth="1"/>
    <col min="10135" max="10135" width="9.140625" style="1"/>
    <col min="10136" max="10136" width="14" style="1" customWidth="1"/>
    <col min="10137" max="10137" width="9.140625" style="1"/>
    <col min="10138" max="10138" width="12.85546875" style="1" bestFit="1" customWidth="1"/>
    <col min="10139" max="10139" width="10" style="1" customWidth="1"/>
    <col min="10140" max="10140" width="14" style="1" bestFit="1" customWidth="1"/>
    <col min="10141" max="10141" width="9.85546875" style="1" bestFit="1" customWidth="1"/>
    <col min="10142" max="10142" width="13.5703125" style="1" bestFit="1" customWidth="1"/>
    <col min="10143" max="10143" width="9.85546875" style="1" bestFit="1" customWidth="1"/>
    <col min="10144" max="10144" width="12.85546875" style="1" bestFit="1" customWidth="1"/>
    <col min="10145" max="10156" width="10.5703125" style="1" customWidth="1"/>
    <col min="10157" max="10157" width="11.140625" style="1" bestFit="1" customWidth="1"/>
    <col min="10158" max="10158" width="2.7109375" style="1" customWidth="1"/>
    <col min="10159" max="10159" width="9.85546875" style="1" bestFit="1" customWidth="1"/>
    <col min="10160" max="10161" width="9.140625" style="1"/>
    <col min="10162" max="10162" width="24" style="1" customWidth="1"/>
    <col min="10163" max="10165" width="9.140625" style="1"/>
    <col min="10166" max="10166" width="9" style="1" bestFit="1" customWidth="1"/>
    <col min="10167" max="10176" width="9.28515625" style="1" bestFit="1" customWidth="1"/>
    <col min="10177" max="10177" width="10.28515625" style="1" bestFit="1" customWidth="1"/>
    <col min="10178" max="10178" width="11.28515625" style="1" bestFit="1" customWidth="1"/>
    <col min="10179" max="10179" width="11.7109375" style="1" customWidth="1"/>
    <col min="10180" max="10180" width="9.140625" style="1"/>
    <col min="10181" max="10181" width="22.28515625" style="1" customWidth="1"/>
    <col min="10182" max="10182" width="9.140625" style="1"/>
    <col min="10183" max="10183" width="9.28515625" style="1" bestFit="1" customWidth="1"/>
    <col min="10184" max="10184" width="9.42578125" style="1" bestFit="1" customWidth="1"/>
    <col min="10185" max="10185" width="9.28515625" style="1" bestFit="1" customWidth="1"/>
    <col min="10186" max="10186" width="10.28515625" style="1" bestFit="1" customWidth="1"/>
    <col min="10187" max="10188" width="9.28515625" style="1" bestFit="1" customWidth="1"/>
    <col min="10189" max="10190" width="10.28515625" style="1" bestFit="1" customWidth="1"/>
    <col min="10191" max="10195" width="9.28515625" style="1" bestFit="1" customWidth="1"/>
    <col min="10196" max="10196" width="10.42578125" style="1" bestFit="1" customWidth="1"/>
    <col min="10197" max="10197" width="9.140625" style="1"/>
    <col min="10198" max="10198" width="24.85546875" style="1" customWidth="1"/>
    <col min="10199" max="10199" width="9.140625" style="1"/>
    <col min="10200" max="10212" width="9.28515625" style="1" bestFit="1" customWidth="1"/>
    <col min="10213" max="10213" width="10.28515625" style="1" bestFit="1" customWidth="1"/>
    <col min="10214" max="10214" width="9.5703125" style="1" bestFit="1" customWidth="1"/>
    <col min="10215" max="10215" width="18.5703125" style="1" customWidth="1"/>
    <col min="10216" max="10217" width="9.140625" style="1"/>
    <col min="10218" max="10220" width="12.140625" style="1" bestFit="1" customWidth="1"/>
    <col min="10221" max="10229" width="10.28515625" style="1" bestFit="1" customWidth="1"/>
    <col min="10230" max="10230" width="11.28515625" style="1" bestFit="1" customWidth="1"/>
    <col min="10231" max="10231" width="9.140625" style="1"/>
    <col min="10232" max="10232" width="19" style="1" customWidth="1"/>
    <col min="10233" max="10249" width="9.140625" style="1"/>
    <col min="10250" max="10260" width="11.28515625" style="1" bestFit="1" customWidth="1"/>
    <col min="10261" max="10261" width="10.28515625" style="1" bestFit="1" customWidth="1"/>
    <col min="10262" max="10262" width="12.85546875" style="1" bestFit="1" customWidth="1"/>
    <col min="10263" max="10385" width="9.140625" style="1"/>
    <col min="10386" max="10386" width="11" style="1" bestFit="1" customWidth="1"/>
    <col min="10387" max="10387" width="28.140625" style="1" bestFit="1" customWidth="1"/>
    <col min="10388" max="10388" width="14" style="1" bestFit="1" customWidth="1"/>
    <col min="10389" max="10389" width="9.140625" style="1"/>
    <col min="10390" max="10390" width="13.85546875" style="1" bestFit="1" customWidth="1"/>
    <col min="10391" max="10391" width="9.140625" style="1"/>
    <col min="10392" max="10392" width="14" style="1" customWidth="1"/>
    <col min="10393" max="10393" width="9.140625" style="1"/>
    <col min="10394" max="10394" width="12.85546875" style="1" bestFit="1" customWidth="1"/>
    <col min="10395" max="10395" width="10" style="1" customWidth="1"/>
    <col min="10396" max="10396" width="14" style="1" bestFit="1" customWidth="1"/>
    <col min="10397" max="10397" width="9.85546875" style="1" bestFit="1" customWidth="1"/>
    <col min="10398" max="10398" width="13.5703125" style="1" bestFit="1" customWidth="1"/>
    <col min="10399" max="10399" width="9.85546875" style="1" bestFit="1" customWidth="1"/>
    <col min="10400" max="10400" width="12.85546875" style="1" bestFit="1" customWidth="1"/>
    <col min="10401" max="10412" width="10.5703125" style="1" customWidth="1"/>
    <col min="10413" max="10413" width="11.140625" style="1" bestFit="1" customWidth="1"/>
    <col min="10414" max="10414" width="2.7109375" style="1" customWidth="1"/>
    <col min="10415" max="10415" width="9.85546875" style="1" bestFit="1" customWidth="1"/>
    <col min="10416" max="10417" width="9.140625" style="1"/>
    <col min="10418" max="10418" width="24" style="1" customWidth="1"/>
    <col min="10419" max="10421" width="9.140625" style="1"/>
    <col min="10422" max="10422" width="9" style="1" bestFit="1" customWidth="1"/>
    <col min="10423" max="10432" width="9.28515625" style="1" bestFit="1" customWidth="1"/>
    <col min="10433" max="10433" width="10.28515625" style="1" bestFit="1" customWidth="1"/>
    <col min="10434" max="10434" width="11.28515625" style="1" bestFit="1" customWidth="1"/>
    <col min="10435" max="10435" width="11.7109375" style="1" customWidth="1"/>
    <col min="10436" max="10436" width="9.140625" style="1"/>
    <col min="10437" max="10437" width="22.28515625" style="1" customWidth="1"/>
    <col min="10438" max="10438" width="9.140625" style="1"/>
    <col min="10439" max="10439" width="9.28515625" style="1" bestFit="1" customWidth="1"/>
    <col min="10440" max="10440" width="9.42578125" style="1" bestFit="1" customWidth="1"/>
    <col min="10441" max="10441" width="9.28515625" style="1" bestFit="1" customWidth="1"/>
    <col min="10442" max="10442" width="10.28515625" style="1" bestFit="1" customWidth="1"/>
    <col min="10443" max="10444" width="9.28515625" style="1" bestFit="1" customWidth="1"/>
    <col min="10445" max="10446" width="10.28515625" style="1" bestFit="1" customWidth="1"/>
    <col min="10447" max="10451" width="9.28515625" style="1" bestFit="1" customWidth="1"/>
    <col min="10452" max="10452" width="10.42578125" style="1" bestFit="1" customWidth="1"/>
    <col min="10453" max="10453" width="9.140625" style="1"/>
    <col min="10454" max="10454" width="24.85546875" style="1" customWidth="1"/>
    <col min="10455" max="10455" width="9.140625" style="1"/>
    <col min="10456" max="10468" width="9.28515625" style="1" bestFit="1" customWidth="1"/>
    <col min="10469" max="10469" width="10.28515625" style="1" bestFit="1" customWidth="1"/>
    <col min="10470" max="10470" width="9.5703125" style="1" bestFit="1" customWidth="1"/>
    <col min="10471" max="10471" width="18.5703125" style="1" customWidth="1"/>
    <col min="10472" max="10473" width="9.140625" style="1"/>
    <col min="10474" max="10476" width="12.140625" style="1" bestFit="1" customWidth="1"/>
    <col min="10477" max="10485" width="10.28515625" style="1" bestFit="1" customWidth="1"/>
    <col min="10486" max="10486" width="11.28515625" style="1" bestFit="1" customWidth="1"/>
    <col min="10487" max="10487" width="9.140625" style="1"/>
    <col min="10488" max="10488" width="19" style="1" customWidth="1"/>
    <col min="10489" max="10505" width="9.140625" style="1"/>
    <col min="10506" max="10516" width="11.28515625" style="1" bestFit="1" customWidth="1"/>
    <col min="10517" max="10517" width="10.28515625" style="1" bestFit="1" customWidth="1"/>
    <col min="10518" max="10518" width="12.85546875" style="1" bestFit="1" customWidth="1"/>
    <col min="10519" max="10641" width="9.140625" style="1"/>
    <col min="10642" max="10642" width="11" style="1" bestFit="1" customWidth="1"/>
    <col min="10643" max="10643" width="28.140625" style="1" bestFit="1" customWidth="1"/>
    <col min="10644" max="10644" width="14" style="1" bestFit="1" customWidth="1"/>
    <col min="10645" max="10645" width="9.140625" style="1"/>
    <col min="10646" max="10646" width="13.85546875" style="1" bestFit="1" customWidth="1"/>
    <col min="10647" max="10647" width="9.140625" style="1"/>
    <col min="10648" max="10648" width="14" style="1" customWidth="1"/>
    <col min="10649" max="10649" width="9.140625" style="1"/>
    <col min="10650" max="10650" width="12.85546875" style="1" bestFit="1" customWidth="1"/>
    <col min="10651" max="10651" width="10" style="1" customWidth="1"/>
    <col min="10652" max="10652" width="14" style="1" bestFit="1" customWidth="1"/>
    <col min="10653" max="10653" width="9.85546875" style="1" bestFit="1" customWidth="1"/>
    <col min="10654" max="10654" width="13.5703125" style="1" bestFit="1" customWidth="1"/>
    <col min="10655" max="10655" width="9.85546875" style="1" bestFit="1" customWidth="1"/>
    <col min="10656" max="10656" width="12.85546875" style="1" bestFit="1" customWidth="1"/>
    <col min="10657" max="10668" width="10.5703125" style="1" customWidth="1"/>
    <col min="10669" max="10669" width="11.140625" style="1" bestFit="1" customWidth="1"/>
    <col min="10670" max="10670" width="2.7109375" style="1" customWidth="1"/>
    <col min="10671" max="10671" width="9.85546875" style="1" bestFit="1" customWidth="1"/>
    <col min="10672" max="10673" width="9.140625" style="1"/>
    <col min="10674" max="10674" width="24" style="1" customWidth="1"/>
    <col min="10675" max="10677" width="9.140625" style="1"/>
    <col min="10678" max="10678" width="9" style="1" bestFit="1" customWidth="1"/>
    <col min="10679" max="10688" width="9.28515625" style="1" bestFit="1" customWidth="1"/>
    <col min="10689" max="10689" width="10.28515625" style="1" bestFit="1" customWidth="1"/>
    <col min="10690" max="10690" width="11.28515625" style="1" bestFit="1" customWidth="1"/>
    <col min="10691" max="10691" width="11.7109375" style="1" customWidth="1"/>
    <col min="10692" max="10692" width="9.140625" style="1"/>
    <col min="10693" max="10693" width="22.28515625" style="1" customWidth="1"/>
    <col min="10694" max="10694" width="9.140625" style="1"/>
    <col min="10695" max="10695" width="9.28515625" style="1" bestFit="1" customWidth="1"/>
    <col min="10696" max="10696" width="9.42578125" style="1" bestFit="1" customWidth="1"/>
    <col min="10697" max="10697" width="9.28515625" style="1" bestFit="1" customWidth="1"/>
    <col min="10698" max="10698" width="10.28515625" style="1" bestFit="1" customWidth="1"/>
    <col min="10699" max="10700" width="9.28515625" style="1" bestFit="1" customWidth="1"/>
    <col min="10701" max="10702" width="10.28515625" style="1" bestFit="1" customWidth="1"/>
    <col min="10703" max="10707" width="9.28515625" style="1" bestFit="1" customWidth="1"/>
    <col min="10708" max="10708" width="10.42578125" style="1" bestFit="1" customWidth="1"/>
    <col min="10709" max="10709" width="9.140625" style="1"/>
    <col min="10710" max="10710" width="24.85546875" style="1" customWidth="1"/>
    <col min="10711" max="10711" width="9.140625" style="1"/>
    <col min="10712" max="10724" width="9.28515625" style="1" bestFit="1" customWidth="1"/>
    <col min="10725" max="10725" width="10.28515625" style="1" bestFit="1" customWidth="1"/>
    <col min="10726" max="10726" width="9.5703125" style="1" bestFit="1" customWidth="1"/>
    <col min="10727" max="10727" width="18.5703125" style="1" customWidth="1"/>
    <col min="10728" max="10729" width="9.140625" style="1"/>
    <col min="10730" max="10732" width="12.140625" style="1" bestFit="1" customWidth="1"/>
    <col min="10733" max="10741" width="10.28515625" style="1" bestFit="1" customWidth="1"/>
    <col min="10742" max="10742" width="11.28515625" style="1" bestFit="1" customWidth="1"/>
    <col min="10743" max="10743" width="9.140625" style="1"/>
    <col min="10744" max="10744" width="19" style="1" customWidth="1"/>
    <col min="10745" max="10761" width="9.140625" style="1"/>
    <col min="10762" max="10772" width="11.28515625" style="1" bestFit="1" customWidth="1"/>
    <col min="10773" max="10773" width="10.28515625" style="1" bestFit="1" customWidth="1"/>
    <col min="10774" max="10774" width="12.85546875" style="1" bestFit="1" customWidth="1"/>
    <col min="10775" max="10897" width="9.140625" style="1"/>
    <col min="10898" max="10898" width="11" style="1" bestFit="1" customWidth="1"/>
    <col min="10899" max="10899" width="28.140625" style="1" bestFit="1" customWidth="1"/>
    <col min="10900" max="10900" width="14" style="1" bestFit="1" customWidth="1"/>
    <col min="10901" max="10901" width="9.140625" style="1"/>
    <col min="10902" max="10902" width="13.85546875" style="1" bestFit="1" customWidth="1"/>
    <col min="10903" max="10903" width="9.140625" style="1"/>
    <col min="10904" max="10904" width="14" style="1" customWidth="1"/>
    <col min="10905" max="10905" width="9.140625" style="1"/>
    <col min="10906" max="10906" width="12.85546875" style="1" bestFit="1" customWidth="1"/>
    <col min="10907" max="10907" width="10" style="1" customWidth="1"/>
    <col min="10908" max="10908" width="14" style="1" bestFit="1" customWidth="1"/>
    <col min="10909" max="10909" width="9.85546875" style="1" bestFit="1" customWidth="1"/>
    <col min="10910" max="10910" width="13.5703125" style="1" bestFit="1" customWidth="1"/>
    <col min="10911" max="10911" width="9.85546875" style="1" bestFit="1" customWidth="1"/>
    <col min="10912" max="10912" width="12.85546875" style="1" bestFit="1" customWidth="1"/>
    <col min="10913" max="10924" width="10.5703125" style="1" customWidth="1"/>
    <col min="10925" max="10925" width="11.140625" style="1" bestFit="1" customWidth="1"/>
    <col min="10926" max="10926" width="2.7109375" style="1" customWidth="1"/>
    <col min="10927" max="10927" width="9.85546875" style="1" bestFit="1" customWidth="1"/>
    <col min="10928" max="10929" width="9.140625" style="1"/>
    <col min="10930" max="10930" width="24" style="1" customWidth="1"/>
    <col min="10931" max="10933" width="9.140625" style="1"/>
    <col min="10934" max="10934" width="9" style="1" bestFit="1" customWidth="1"/>
    <col min="10935" max="10944" width="9.28515625" style="1" bestFit="1" customWidth="1"/>
    <col min="10945" max="10945" width="10.28515625" style="1" bestFit="1" customWidth="1"/>
    <col min="10946" max="10946" width="11.28515625" style="1" bestFit="1" customWidth="1"/>
    <col min="10947" max="10947" width="11.7109375" style="1" customWidth="1"/>
    <col min="10948" max="10948" width="9.140625" style="1"/>
    <col min="10949" max="10949" width="22.28515625" style="1" customWidth="1"/>
    <col min="10950" max="10950" width="9.140625" style="1"/>
    <col min="10951" max="10951" width="9.28515625" style="1" bestFit="1" customWidth="1"/>
    <col min="10952" max="10952" width="9.42578125" style="1" bestFit="1" customWidth="1"/>
    <col min="10953" max="10953" width="9.28515625" style="1" bestFit="1" customWidth="1"/>
    <col min="10954" max="10954" width="10.28515625" style="1" bestFit="1" customWidth="1"/>
    <col min="10955" max="10956" width="9.28515625" style="1" bestFit="1" customWidth="1"/>
    <col min="10957" max="10958" width="10.28515625" style="1" bestFit="1" customWidth="1"/>
    <col min="10959" max="10963" width="9.28515625" style="1" bestFit="1" customWidth="1"/>
    <col min="10964" max="10964" width="10.42578125" style="1" bestFit="1" customWidth="1"/>
    <col min="10965" max="10965" width="9.140625" style="1"/>
    <col min="10966" max="10966" width="24.85546875" style="1" customWidth="1"/>
    <col min="10967" max="10967" width="9.140625" style="1"/>
    <col min="10968" max="10980" width="9.28515625" style="1" bestFit="1" customWidth="1"/>
    <col min="10981" max="10981" width="10.28515625" style="1" bestFit="1" customWidth="1"/>
    <col min="10982" max="10982" width="9.5703125" style="1" bestFit="1" customWidth="1"/>
    <col min="10983" max="10983" width="18.5703125" style="1" customWidth="1"/>
    <col min="10984" max="10985" width="9.140625" style="1"/>
    <col min="10986" max="10988" width="12.140625" style="1" bestFit="1" customWidth="1"/>
    <col min="10989" max="10997" width="10.28515625" style="1" bestFit="1" customWidth="1"/>
    <col min="10998" max="10998" width="11.28515625" style="1" bestFit="1" customWidth="1"/>
    <col min="10999" max="10999" width="9.140625" style="1"/>
    <col min="11000" max="11000" width="19" style="1" customWidth="1"/>
    <col min="11001" max="11017" width="9.140625" style="1"/>
    <col min="11018" max="11028" width="11.28515625" style="1" bestFit="1" customWidth="1"/>
    <col min="11029" max="11029" width="10.28515625" style="1" bestFit="1" customWidth="1"/>
    <col min="11030" max="11030" width="12.85546875" style="1" bestFit="1" customWidth="1"/>
    <col min="11031" max="11153" width="9.140625" style="1"/>
    <col min="11154" max="11154" width="11" style="1" bestFit="1" customWidth="1"/>
    <col min="11155" max="11155" width="28.140625" style="1" bestFit="1" customWidth="1"/>
    <col min="11156" max="11156" width="14" style="1" bestFit="1" customWidth="1"/>
    <col min="11157" max="11157" width="9.140625" style="1"/>
    <col min="11158" max="11158" width="13.85546875" style="1" bestFit="1" customWidth="1"/>
    <col min="11159" max="11159" width="9.140625" style="1"/>
    <col min="11160" max="11160" width="14" style="1" customWidth="1"/>
    <col min="11161" max="11161" width="9.140625" style="1"/>
    <col min="11162" max="11162" width="12.85546875" style="1" bestFit="1" customWidth="1"/>
    <col min="11163" max="11163" width="10" style="1" customWidth="1"/>
    <col min="11164" max="11164" width="14" style="1" bestFit="1" customWidth="1"/>
    <col min="11165" max="11165" width="9.85546875" style="1" bestFit="1" customWidth="1"/>
    <col min="11166" max="11166" width="13.5703125" style="1" bestFit="1" customWidth="1"/>
    <col min="11167" max="11167" width="9.85546875" style="1" bestFit="1" customWidth="1"/>
    <col min="11168" max="11168" width="12.85546875" style="1" bestFit="1" customWidth="1"/>
    <col min="11169" max="11180" width="10.5703125" style="1" customWidth="1"/>
    <col min="11181" max="11181" width="11.140625" style="1" bestFit="1" customWidth="1"/>
    <col min="11182" max="11182" width="2.7109375" style="1" customWidth="1"/>
    <col min="11183" max="11183" width="9.85546875" style="1" bestFit="1" customWidth="1"/>
    <col min="11184" max="11185" width="9.140625" style="1"/>
    <col min="11186" max="11186" width="24" style="1" customWidth="1"/>
    <col min="11187" max="11189" width="9.140625" style="1"/>
    <col min="11190" max="11190" width="9" style="1" bestFit="1" customWidth="1"/>
    <col min="11191" max="11200" width="9.28515625" style="1" bestFit="1" customWidth="1"/>
    <col min="11201" max="11201" width="10.28515625" style="1" bestFit="1" customWidth="1"/>
    <col min="11202" max="11202" width="11.28515625" style="1" bestFit="1" customWidth="1"/>
    <col min="11203" max="11203" width="11.7109375" style="1" customWidth="1"/>
    <col min="11204" max="11204" width="9.140625" style="1"/>
    <col min="11205" max="11205" width="22.28515625" style="1" customWidth="1"/>
    <col min="11206" max="11206" width="9.140625" style="1"/>
    <col min="11207" max="11207" width="9.28515625" style="1" bestFit="1" customWidth="1"/>
    <col min="11208" max="11208" width="9.42578125" style="1" bestFit="1" customWidth="1"/>
    <col min="11209" max="11209" width="9.28515625" style="1" bestFit="1" customWidth="1"/>
    <col min="11210" max="11210" width="10.28515625" style="1" bestFit="1" customWidth="1"/>
    <col min="11211" max="11212" width="9.28515625" style="1" bestFit="1" customWidth="1"/>
    <col min="11213" max="11214" width="10.28515625" style="1" bestFit="1" customWidth="1"/>
    <col min="11215" max="11219" width="9.28515625" style="1" bestFit="1" customWidth="1"/>
    <col min="11220" max="11220" width="10.42578125" style="1" bestFit="1" customWidth="1"/>
    <col min="11221" max="11221" width="9.140625" style="1"/>
    <col min="11222" max="11222" width="24.85546875" style="1" customWidth="1"/>
    <col min="11223" max="11223" width="9.140625" style="1"/>
    <col min="11224" max="11236" width="9.28515625" style="1" bestFit="1" customWidth="1"/>
    <col min="11237" max="11237" width="10.28515625" style="1" bestFit="1" customWidth="1"/>
    <col min="11238" max="11238" width="9.5703125" style="1" bestFit="1" customWidth="1"/>
    <col min="11239" max="11239" width="18.5703125" style="1" customWidth="1"/>
    <col min="11240" max="11241" width="9.140625" style="1"/>
    <col min="11242" max="11244" width="12.140625" style="1" bestFit="1" customWidth="1"/>
    <col min="11245" max="11253" width="10.28515625" style="1" bestFit="1" customWidth="1"/>
    <col min="11254" max="11254" width="11.28515625" style="1" bestFit="1" customWidth="1"/>
    <col min="11255" max="11255" width="9.140625" style="1"/>
    <col min="11256" max="11256" width="19" style="1" customWidth="1"/>
    <col min="11257" max="11273" width="9.140625" style="1"/>
    <col min="11274" max="11284" width="11.28515625" style="1" bestFit="1" customWidth="1"/>
    <col min="11285" max="11285" width="10.28515625" style="1" bestFit="1" customWidth="1"/>
    <col min="11286" max="11286" width="12.85546875" style="1" bestFit="1" customWidth="1"/>
    <col min="11287" max="11409" width="9.140625" style="1"/>
    <col min="11410" max="11410" width="11" style="1" bestFit="1" customWidth="1"/>
    <col min="11411" max="11411" width="28.140625" style="1" bestFit="1" customWidth="1"/>
    <col min="11412" max="11412" width="14" style="1" bestFit="1" customWidth="1"/>
    <col min="11413" max="11413" width="9.140625" style="1"/>
    <col min="11414" max="11414" width="13.85546875" style="1" bestFit="1" customWidth="1"/>
    <col min="11415" max="11415" width="9.140625" style="1"/>
    <col min="11416" max="11416" width="14" style="1" customWidth="1"/>
    <col min="11417" max="11417" width="9.140625" style="1"/>
    <col min="11418" max="11418" width="12.85546875" style="1" bestFit="1" customWidth="1"/>
    <col min="11419" max="11419" width="10" style="1" customWidth="1"/>
    <col min="11420" max="11420" width="14" style="1" bestFit="1" customWidth="1"/>
    <col min="11421" max="11421" width="9.85546875" style="1" bestFit="1" customWidth="1"/>
    <col min="11422" max="11422" width="13.5703125" style="1" bestFit="1" customWidth="1"/>
    <col min="11423" max="11423" width="9.85546875" style="1" bestFit="1" customWidth="1"/>
    <col min="11424" max="11424" width="12.85546875" style="1" bestFit="1" customWidth="1"/>
    <col min="11425" max="11436" width="10.5703125" style="1" customWidth="1"/>
    <col min="11437" max="11437" width="11.140625" style="1" bestFit="1" customWidth="1"/>
    <col min="11438" max="11438" width="2.7109375" style="1" customWidth="1"/>
    <col min="11439" max="11439" width="9.85546875" style="1" bestFit="1" customWidth="1"/>
    <col min="11440" max="11441" width="9.140625" style="1"/>
    <col min="11442" max="11442" width="24" style="1" customWidth="1"/>
    <col min="11443" max="11445" width="9.140625" style="1"/>
    <col min="11446" max="11446" width="9" style="1" bestFit="1" customWidth="1"/>
    <col min="11447" max="11456" width="9.28515625" style="1" bestFit="1" customWidth="1"/>
    <col min="11457" max="11457" width="10.28515625" style="1" bestFit="1" customWidth="1"/>
    <col min="11458" max="11458" width="11.28515625" style="1" bestFit="1" customWidth="1"/>
    <col min="11459" max="11459" width="11.7109375" style="1" customWidth="1"/>
    <col min="11460" max="11460" width="9.140625" style="1"/>
    <col min="11461" max="11461" width="22.28515625" style="1" customWidth="1"/>
    <col min="11462" max="11462" width="9.140625" style="1"/>
    <col min="11463" max="11463" width="9.28515625" style="1" bestFit="1" customWidth="1"/>
    <col min="11464" max="11464" width="9.42578125" style="1" bestFit="1" customWidth="1"/>
    <col min="11465" max="11465" width="9.28515625" style="1" bestFit="1" customWidth="1"/>
    <col min="11466" max="11466" width="10.28515625" style="1" bestFit="1" customWidth="1"/>
    <col min="11467" max="11468" width="9.28515625" style="1" bestFit="1" customWidth="1"/>
    <col min="11469" max="11470" width="10.28515625" style="1" bestFit="1" customWidth="1"/>
    <col min="11471" max="11475" width="9.28515625" style="1" bestFit="1" customWidth="1"/>
    <col min="11476" max="11476" width="10.42578125" style="1" bestFit="1" customWidth="1"/>
    <col min="11477" max="11477" width="9.140625" style="1"/>
    <col min="11478" max="11478" width="24.85546875" style="1" customWidth="1"/>
    <col min="11479" max="11479" width="9.140625" style="1"/>
    <col min="11480" max="11492" width="9.28515625" style="1" bestFit="1" customWidth="1"/>
    <col min="11493" max="11493" width="10.28515625" style="1" bestFit="1" customWidth="1"/>
    <col min="11494" max="11494" width="9.5703125" style="1" bestFit="1" customWidth="1"/>
    <col min="11495" max="11495" width="18.5703125" style="1" customWidth="1"/>
    <col min="11496" max="11497" width="9.140625" style="1"/>
    <col min="11498" max="11500" width="12.140625" style="1" bestFit="1" customWidth="1"/>
    <col min="11501" max="11509" width="10.28515625" style="1" bestFit="1" customWidth="1"/>
    <col min="11510" max="11510" width="11.28515625" style="1" bestFit="1" customWidth="1"/>
    <col min="11511" max="11511" width="9.140625" style="1"/>
    <col min="11512" max="11512" width="19" style="1" customWidth="1"/>
    <col min="11513" max="11529" width="9.140625" style="1"/>
    <col min="11530" max="11540" width="11.28515625" style="1" bestFit="1" customWidth="1"/>
    <col min="11541" max="11541" width="10.28515625" style="1" bestFit="1" customWidth="1"/>
    <col min="11542" max="11542" width="12.85546875" style="1" bestFit="1" customWidth="1"/>
    <col min="11543" max="11665" width="9.140625" style="1"/>
    <col min="11666" max="11666" width="11" style="1" bestFit="1" customWidth="1"/>
    <col min="11667" max="11667" width="28.140625" style="1" bestFit="1" customWidth="1"/>
    <col min="11668" max="11668" width="14" style="1" bestFit="1" customWidth="1"/>
    <col min="11669" max="11669" width="9.140625" style="1"/>
    <col min="11670" max="11670" width="13.85546875" style="1" bestFit="1" customWidth="1"/>
    <col min="11671" max="11671" width="9.140625" style="1"/>
    <col min="11672" max="11672" width="14" style="1" customWidth="1"/>
    <col min="11673" max="11673" width="9.140625" style="1"/>
    <col min="11674" max="11674" width="12.85546875" style="1" bestFit="1" customWidth="1"/>
    <col min="11675" max="11675" width="10" style="1" customWidth="1"/>
    <col min="11676" max="11676" width="14" style="1" bestFit="1" customWidth="1"/>
    <col min="11677" max="11677" width="9.85546875" style="1" bestFit="1" customWidth="1"/>
    <col min="11678" max="11678" width="13.5703125" style="1" bestFit="1" customWidth="1"/>
    <col min="11679" max="11679" width="9.85546875" style="1" bestFit="1" customWidth="1"/>
    <col min="11680" max="11680" width="12.85546875" style="1" bestFit="1" customWidth="1"/>
    <col min="11681" max="11692" width="10.5703125" style="1" customWidth="1"/>
    <col min="11693" max="11693" width="11.140625" style="1" bestFit="1" customWidth="1"/>
    <col min="11694" max="11694" width="2.7109375" style="1" customWidth="1"/>
    <col min="11695" max="11695" width="9.85546875" style="1" bestFit="1" customWidth="1"/>
    <col min="11696" max="11697" width="9.140625" style="1"/>
    <col min="11698" max="11698" width="24" style="1" customWidth="1"/>
    <col min="11699" max="11701" width="9.140625" style="1"/>
    <col min="11702" max="11702" width="9" style="1" bestFit="1" customWidth="1"/>
    <col min="11703" max="11712" width="9.28515625" style="1" bestFit="1" customWidth="1"/>
    <col min="11713" max="11713" width="10.28515625" style="1" bestFit="1" customWidth="1"/>
    <col min="11714" max="11714" width="11.28515625" style="1" bestFit="1" customWidth="1"/>
    <col min="11715" max="11715" width="11.7109375" style="1" customWidth="1"/>
    <col min="11716" max="11716" width="9.140625" style="1"/>
    <col min="11717" max="11717" width="22.28515625" style="1" customWidth="1"/>
    <col min="11718" max="11718" width="9.140625" style="1"/>
    <col min="11719" max="11719" width="9.28515625" style="1" bestFit="1" customWidth="1"/>
    <col min="11720" max="11720" width="9.42578125" style="1" bestFit="1" customWidth="1"/>
    <col min="11721" max="11721" width="9.28515625" style="1" bestFit="1" customWidth="1"/>
    <col min="11722" max="11722" width="10.28515625" style="1" bestFit="1" customWidth="1"/>
    <col min="11723" max="11724" width="9.28515625" style="1" bestFit="1" customWidth="1"/>
    <col min="11725" max="11726" width="10.28515625" style="1" bestFit="1" customWidth="1"/>
    <col min="11727" max="11731" width="9.28515625" style="1" bestFit="1" customWidth="1"/>
    <col min="11732" max="11732" width="10.42578125" style="1" bestFit="1" customWidth="1"/>
    <col min="11733" max="11733" width="9.140625" style="1"/>
    <col min="11734" max="11734" width="24.85546875" style="1" customWidth="1"/>
    <col min="11735" max="11735" width="9.140625" style="1"/>
    <col min="11736" max="11748" width="9.28515625" style="1" bestFit="1" customWidth="1"/>
    <col min="11749" max="11749" width="10.28515625" style="1" bestFit="1" customWidth="1"/>
    <col min="11750" max="11750" width="9.5703125" style="1" bestFit="1" customWidth="1"/>
    <col min="11751" max="11751" width="18.5703125" style="1" customWidth="1"/>
    <col min="11752" max="11753" width="9.140625" style="1"/>
    <col min="11754" max="11756" width="12.140625" style="1" bestFit="1" customWidth="1"/>
    <col min="11757" max="11765" width="10.28515625" style="1" bestFit="1" customWidth="1"/>
    <col min="11766" max="11766" width="11.28515625" style="1" bestFit="1" customWidth="1"/>
    <col min="11767" max="11767" width="9.140625" style="1"/>
    <col min="11768" max="11768" width="19" style="1" customWidth="1"/>
    <col min="11769" max="11785" width="9.140625" style="1"/>
    <col min="11786" max="11796" width="11.28515625" style="1" bestFit="1" customWidth="1"/>
    <col min="11797" max="11797" width="10.28515625" style="1" bestFit="1" customWidth="1"/>
    <col min="11798" max="11798" width="12.85546875" style="1" bestFit="1" customWidth="1"/>
    <col min="11799" max="11921" width="9.140625" style="1"/>
    <col min="11922" max="11922" width="11" style="1" bestFit="1" customWidth="1"/>
    <col min="11923" max="11923" width="28.140625" style="1" bestFit="1" customWidth="1"/>
    <col min="11924" max="11924" width="14" style="1" bestFit="1" customWidth="1"/>
    <col min="11925" max="11925" width="9.140625" style="1"/>
    <col min="11926" max="11926" width="13.85546875" style="1" bestFit="1" customWidth="1"/>
    <col min="11927" max="11927" width="9.140625" style="1"/>
    <col min="11928" max="11928" width="14" style="1" customWidth="1"/>
    <col min="11929" max="11929" width="9.140625" style="1"/>
    <col min="11930" max="11930" width="12.85546875" style="1" bestFit="1" customWidth="1"/>
    <col min="11931" max="11931" width="10" style="1" customWidth="1"/>
    <col min="11932" max="11932" width="14" style="1" bestFit="1" customWidth="1"/>
    <col min="11933" max="11933" width="9.85546875" style="1" bestFit="1" customWidth="1"/>
    <col min="11934" max="11934" width="13.5703125" style="1" bestFit="1" customWidth="1"/>
    <col min="11935" max="11935" width="9.85546875" style="1" bestFit="1" customWidth="1"/>
    <col min="11936" max="11936" width="12.85546875" style="1" bestFit="1" customWidth="1"/>
    <col min="11937" max="11948" width="10.5703125" style="1" customWidth="1"/>
    <col min="11949" max="11949" width="11.140625" style="1" bestFit="1" customWidth="1"/>
    <col min="11950" max="11950" width="2.7109375" style="1" customWidth="1"/>
    <col min="11951" max="11951" width="9.85546875" style="1" bestFit="1" customWidth="1"/>
    <col min="11952" max="11953" width="9.140625" style="1"/>
    <col min="11954" max="11954" width="24" style="1" customWidth="1"/>
    <col min="11955" max="11957" width="9.140625" style="1"/>
    <col min="11958" max="11958" width="9" style="1" bestFit="1" customWidth="1"/>
    <col min="11959" max="11968" width="9.28515625" style="1" bestFit="1" customWidth="1"/>
    <col min="11969" max="11969" width="10.28515625" style="1" bestFit="1" customWidth="1"/>
    <col min="11970" max="11970" width="11.28515625" style="1" bestFit="1" customWidth="1"/>
    <col min="11971" max="11971" width="11.7109375" style="1" customWidth="1"/>
    <col min="11972" max="11972" width="9.140625" style="1"/>
    <col min="11973" max="11973" width="22.28515625" style="1" customWidth="1"/>
    <col min="11974" max="11974" width="9.140625" style="1"/>
    <col min="11975" max="11975" width="9.28515625" style="1" bestFit="1" customWidth="1"/>
    <col min="11976" max="11976" width="9.42578125" style="1" bestFit="1" customWidth="1"/>
    <col min="11977" max="11977" width="9.28515625" style="1" bestFit="1" customWidth="1"/>
    <col min="11978" max="11978" width="10.28515625" style="1" bestFit="1" customWidth="1"/>
    <col min="11979" max="11980" width="9.28515625" style="1" bestFit="1" customWidth="1"/>
    <col min="11981" max="11982" width="10.28515625" style="1" bestFit="1" customWidth="1"/>
    <col min="11983" max="11987" width="9.28515625" style="1" bestFit="1" customWidth="1"/>
    <col min="11988" max="11988" width="10.42578125" style="1" bestFit="1" customWidth="1"/>
    <col min="11989" max="11989" width="9.140625" style="1"/>
    <col min="11990" max="11990" width="24.85546875" style="1" customWidth="1"/>
    <col min="11991" max="11991" width="9.140625" style="1"/>
    <col min="11992" max="12004" width="9.28515625" style="1" bestFit="1" customWidth="1"/>
    <col min="12005" max="12005" width="10.28515625" style="1" bestFit="1" customWidth="1"/>
    <col min="12006" max="12006" width="9.5703125" style="1" bestFit="1" customWidth="1"/>
    <col min="12007" max="12007" width="18.5703125" style="1" customWidth="1"/>
    <col min="12008" max="12009" width="9.140625" style="1"/>
    <col min="12010" max="12012" width="12.140625" style="1" bestFit="1" customWidth="1"/>
    <col min="12013" max="12021" width="10.28515625" style="1" bestFit="1" customWidth="1"/>
    <col min="12022" max="12022" width="11.28515625" style="1" bestFit="1" customWidth="1"/>
    <col min="12023" max="12023" width="9.140625" style="1"/>
    <col min="12024" max="12024" width="19" style="1" customWidth="1"/>
    <col min="12025" max="12041" width="9.140625" style="1"/>
    <col min="12042" max="12052" width="11.28515625" style="1" bestFit="1" customWidth="1"/>
    <col min="12053" max="12053" width="10.28515625" style="1" bestFit="1" customWidth="1"/>
    <col min="12054" max="12054" width="12.85546875" style="1" bestFit="1" customWidth="1"/>
    <col min="12055" max="12177" width="9.140625" style="1"/>
    <col min="12178" max="12178" width="11" style="1" bestFit="1" customWidth="1"/>
    <col min="12179" max="12179" width="28.140625" style="1" bestFit="1" customWidth="1"/>
    <col min="12180" max="12180" width="14" style="1" bestFit="1" customWidth="1"/>
    <col min="12181" max="12181" width="9.140625" style="1"/>
    <col min="12182" max="12182" width="13.85546875" style="1" bestFit="1" customWidth="1"/>
    <col min="12183" max="12183" width="9.140625" style="1"/>
    <col min="12184" max="12184" width="14" style="1" customWidth="1"/>
    <col min="12185" max="12185" width="9.140625" style="1"/>
    <col min="12186" max="12186" width="12.85546875" style="1" bestFit="1" customWidth="1"/>
    <col min="12187" max="12187" width="10" style="1" customWidth="1"/>
    <col min="12188" max="12188" width="14" style="1" bestFit="1" customWidth="1"/>
    <col min="12189" max="12189" width="9.85546875" style="1" bestFit="1" customWidth="1"/>
    <col min="12190" max="12190" width="13.5703125" style="1" bestFit="1" customWidth="1"/>
    <col min="12191" max="12191" width="9.85546875" style="1" bestFit="1" customWidth="1"/>
    <col min="12192" max="12192" width="12.85546875" style="1" bestFit="1" customWidth="1"/>
    <col min="12193" max="12204" width="10.5703125" style="1" customWidth="1"/>
    <col min="12205" max="12205" width="11.140625" style="1" bestFit="1" customWidth="1"/>
    <col min="12206" max="12206" width="2.7109375" style="1" customWidth="1"/>
    <col min="12207" max="12207" width="9.85546875" style="1" bestFit="1" customWidth="1"/>
    <col min="12208" max="12209" width="9.140625" style="1"/>
    <col min="12210" max="12210" width="24" style="1" customWidth="1"/>
    <col min="12211" max="12213" width="9.140625" style="1"/>
    <col min="12214" max="12214" width="9" style="1" bestFit="1" customWidth="1"/>
    <col min="12215" max="12224" width="9.28515625" style="1" bestFit="1" customWidth="1"/>
    <col min="12225" max="12225" width="10.28515625" style="1" bestFit="1" customWidth="1"/>
    <col min="12226" max="12226" width="11.28515625" style="1" bestFit="1" customWidth="1"/>
    <col min="12227" max="12227" width="11.7109375" style="1" customWidth="1"/>
    <col min="12228" max="12228" width="9.140625" style="1"/>
    <col min="12229" max="12229" width="22.28515625" style="1" customWidth="1"/>
    <col min="12230" max="12230" width="9.140625" style="1"/>
    <col min="12231" max="12231" width="9.28515625" style="1" bestFit="1" customWidth="1"/>
    <col min="12232" max="12232" width="9.42578125" style="1" bestFit="1" customWidth="1"/>
    <col min="12233" max="12233" width="9.28515625" style="1" bestFit="1" customWidth="1"/>
    <col min="12234" max="12234" width="10.28515625" style="1" bestFit="1" customWidth="1"/>
    <col min="12235" max="12236" width="9.28515625" style="1" bestFit="1" customWidth="1"/>
    <col min="12237" max="12238" width="10.28515625" style="1" bestFit="1" customWidth="1"/>
    <col min="12239" max="12243" width="9.28515625" style="1" bestFit="1" customWidth="1"/>
    <col min="12244" max="12244" width="10.42578125" style="1" bestFit="1" customWidth="1"/>
    <col min="12245" max="12245" width="9.140625" style="1"/>
    <col min="12246" max="12246" width="24.85546875" style="1" customWidth="1"/>
    <col min="12247" max="12247" width="9.140625" style="1"/>
    <col min="12248" max="12260" width="9.28515625" style="1" bestFit="1" customWidth="1"/>
    <col min="12261" max="12261" width="10.28515625" style="1" bestFit="1" customWidth="1"/>
    <col min="12262" max="12262" width="9.5703125" style="1" bestFit="1" customWidth="1"/>
    <col min="12263" max="12263" width="18.5703125" style="1" customWidth="1"/>
    <col min="12264" max="12265" width="9.140625" style="1"/>
    <col min="12266" max="12268" width="12.140625" style="1" bestFit="1" customWidth="1"/>
    <col min="12269" max="12277" width="10.28515625" style="1" bestFit="1" customWidth="1"/>
    <col min="12278" max="12278" width="11.28515625" style="1" bestFit="1" customWidth="1"/>
    <col min="12279" max="12279" width="9.140625" style="1"/>
    <col min="12280" max="12280" width="19" style="1" customWidth="1"/>
    <col min="12281" max="12297" width="9.140625" style="1"/>
    <col min="12298" max="12308" width="11.28515625" style="1" bestFit="1" customWidth="1"/>
    <col min="12309" max="12309" width="10.28515625" style="1" bestFit="1" customWidth="1"/>
    <col min="12310" max="12310" width="12.85546875" style="1" bestFit="1" customWidth="1"/>
    <col min="12311" max="12433" width="9.140625" style="1"/>
    <col min="12434" max="12434" width="11" style="1" bestFit="1" customWidth="1"/>
    <col min="12435" max="12435" width="28.140625" style="1" bestFit="1" customWidth="1"/>
    <col min="12436" max="12436" width="14" style="1" bestFit="1" customWidth="1"/>
    <col min="12437" max="12437" width="9.140625" style="1"/>
    <col min="12438" max="12438" width="13.85546875" style="1" bestFit="1" customWidth="1"/>
    <col min="12439" max="12439" width="9.140625" style="1"/>
    <col min="12440" max="12440" width="14" style="1" customWidth="1"/>
    <col min="12441" max="12441" width="9.140625" style="1"/>
    <col min="12442" max="12442" width="12.85546875" style="1" bestFit="1" customWidth="1"/>
    <col min="12443" max="12443" width="10" style="1" customWidth="1"/>
    <col min="12444" max="12444" width="14" style="1" bestFit="1" customWidth="1"/>
    <col min="12445" max="12445" width="9.85546875" style="1" bestFit="1" customWidth="1"/>
    <col min="12446" max="12446" width="13.5703125" style="1" bestFit="1" customWidth="1"/>
    <col min="12447" max="12447" width="9.85546875" style="1" bestFit="1" customWidth="1"/>
    <col min="12448" max="12448" width="12.85546875" style="1" bestFit="1" customWidth="1"/>
    <col min="12449" max="12460" width="10.5703125" style="1" customWidth="1"/>
    <col min="12461" max="12461" width="11.140625" style="1" bestFit="1" customWidth="1"/>
    <col min="12462" max="12462" width="2.7109375" style="1" customWidth="1"/>
    <col min="12463" max="12463" width="9.85546875" style="1" bestFit="1" customWidth="1"/>
    <col min="12464" max="12465" width="9.140625" style="1"/>
    <col min="12466" max="12466" width="24" style="1" customWidth="1"/>
    <col min="12467" max="12469" width="9.140625" style="1"/>
    <col min="12470" max="12470" width="9" style="1" bestFit="1" customWidth="1"/>
    <col min="12471" max="12480" width="9.28515625" style="1" bestFit="1" customWidth="1"/>
    <col min="12481" max="12481" width="10.28515625" style="1" bestFit="1" customWidth="1"/>
    <col min="12482" max="12482" width="11.28515625" style="1" bestFit="1" customWidth="1"/>
    <col min="12483" max="12483" width="11.7109375" style="1" customWidth="1"/>
    <col min="12484" max="12484" width="9.140625" style="1"/>
    <col min="12485" max="12485" width="22.28515625" style="1" customWidth="1"/>
    <col min="12486" max="12486" width="9.140625" style="1"/>
    <col min="12487" max="12487" width="9.28515625" style="1" bestFit="1" customWidth="1"/>
    <col min="12488" max="12488" width="9.42578125" style="1" bestFit="1" customWidth="1"/>
    <col min="12489" max="12489" width="9.28515625" style="1" bestFit="1" customWidth="1"/>
    <col min="12490" max="12490" width="10.28515625" style="1" bestFit="1" customWidth="1"/>
    <col min="12491" max="12492" width="9.28515625" style="1" bestFit="1" customWidth="1"/>
    <col min="12493" max="12494" width="10.28515625" style="1" bestFit="1" customWidth="1"/>
    <col min="12495" max="12499" width="9.28515625" style="1" bestFit="1" customWidth="1"/>
    <col min="12500" max="12500" width="10.42578125" style="1" bestFit="1" customWidth="1"/>
    <col min="12501" max="12501" width="9.140625" style="1"/>
    <col min="12502" max="12502" width="24.85546875" style="1" customWidth="1"/>
    <col min="12503" max="12503" width="9.140625" style="1"/>
    <col min="12504" max="12516" width="9.28515625" style="1" bestFit="1" customWidth="1"/>
    <col min="12517" max="12517" width="10.28515625" style="1" bestFit="1" customWidth="1"/>
    <col min="12518" max="12518" width="9.5703125" style="1" bestFit="1" customWidth="1"/>
    <col min="12519" max="12519" width="18.5703125" style="1" customWidth="1"/>
    <col min="12520" max="12521" width="9.140625" style="1"/>
    <col min="12522" max="12524" width="12.140625" style="1" bestFit="1" customWidth="1"/>
    <col min="12525" max="12533" width="10.28515625" style="1" bestFit="1" customWidth="1"/>
    <col min="12534" max="12534" width="11.28515625" style="1" bestFit="1" customWidth="1"/>
    <col min="12535" max="12535" width="9.140625" style="1"/>
    <col min="12536" max="12536" width="19" style="1" customWidth="1"/>
    <col min="12537" max="12553" width="9.140625" style="1"/>
    <col min="12554" max="12564" width="11.28515625" style="1" bestFit="1" customWidth="1"/>
    <col min="12565" max="12565" width="10.28515625" style="1" bestFit="1" customWidth="1"/>
    <col min="12566" max="12566" width="12.85546875" style="1" bestFit="1" customWidth="1"/>
    <col min="12567" max="12689" width="9.140625" style="1"/>
    <col min="12690" max="12690" width="11" style="1" bestFit="1" customWidth="1"/>
    <col min="12691" max="12691" width="28.140625" style="1" bestFit="1" customWidth="1"/>
    <col min="12692" max="12692" width="14" style="1" bestFit="1" customWidth="1"/>
    <col min="12693" max="12693" width="9.140625" style="1"/>
    <col min="12694" max="12694" width="13.85546875" style="1" bestFit="1" customWidth="1"/>
    <col min="12695" max="12695" width="9.140625" style="1"/>
    <col min="12696" max="12696" width="14" style="1" customWidth="1"/>
    <col min="12697" max="12697" width="9.140625" style="1"/>
    <col min="12698" max="12698" width="12.85546875" style="1" bestFit="1" customWidth="1"/>
    <col min="12699" max="12699" width="10" style="1" customWidth="1"/>
    <col min="12700" max="12700" width="14" style="1" bestFit="1" customWidth="1"/>
    <col min="12701" max="12701" width="9.85546875" style="1" bestFit="1" customWidth="1"/>
    <col min="12702" max="12702" width="13.5703125" style="1" bestFit="1" customWidth="1"/>
    <col min="12703" max="12703" width="9.85546875" style="1" bestFit="1" customWidth="1"/>
    <col min="12704" max="12704" width="12.85546875" style="1" bestFit="1" customWidth="1"/>
    <col min="12705" max="12716" width="10.5703125" style="1" customWidth="1"/>
    <col min="12717" max="12717" width="11.140625" style="1" bestFit="1" customWidth="1"/>
    <col min="12718" max="12718" width="2.7109375" style="1" customWidth="1"/>
    <col min="12719" max="12719" width="9.85546875" style="1" bestFit="1" customWidth="1"/>
    <col min="12720" max="12721" width="9.140625" style="1"/>
    <col min="12722" max="12722" width="24" style="1" customWidth="1"/>
    <col min="12723" max="12725" width="9.140625" style="1"/>
    <col min="12726" max="12726" width="9" style="1" bestFit="1" customWidth="1"/>
    <col min="12727" max="12736" width="9.28515625" style="1" bestFit="1" customWidth="1"/>
    <col min="12737" max="12737" width="10.28515625" style="1" bestFit="1" customWidth="1"/>
    <col min="12738" max="12738" width="11.28515625" style="1" bestFit="1" customWidth="1"/>
    <col min="12739" max="12739" width="11.7109375" style="1" customWidth="1"/>
    <col min="12740" max="12740" width="9.140625" style="1"/>
    <col min="12741" max="12741" width="22.28515625" style="1" customWidth="1"/>
    <col min="12742" max="12742" width="9.140625" style="1"/>
    <col min="12743" max="12743" width="9.28515625" style="1" bestFit="1" customWidth="1"/>
    <col min="12744" max="12744" width="9.42578125" style="1" bestFit="1" customWidth="1"/>
    <col min="12745" max="12745" width="9.28515625" style="1" bestFit="1" customWidth="1"/>
    <col min="12746" max="12746" width="10.28515625" style="1" bestFit="1" customWidth="1"/>
    <col min="12747" max="12748" width="9.28515625" style="1" bestFit="1" customWidth="1"/>
    <col min="12749" max="12750" width="10.28515625" style="1" bestFit="1" customWidth="1"/>
    <col min="12751" max="12755" width="9.28515625" style="1" bestFit="1" customWidth="1"/>
    <col min="12756" max="12756" width="10.42578125" style="1" bestFit="1" customWidth="1"/>
    <col min="12757" max="12757" width="9.140625" style="1"/>
    <col min="12758" max="12758" width="24.85546875" style="1" customWidth="1"/>
    <col min="12759" max="12759" width="9.140625" style="1"/>
    <col min="12760" max="12772" width="9.28515625" style="1" bestFit="1" customWidth="1"/>
    <col min="12773" max="12773" width="10.28515625" style="1" bestFit="1" customWidth="1"/>
    <col min="12774" max="12774" width="9.5703125" style="1" bestFit="1" customWidth="1"/>
    <col min="12775" max="12775" width="18.5703125" style="1" customWidth="1"/>
    <col min="12776" max="12777" width="9.140625" style="1"/>
    <col min="12778" max="12780" width="12.140625" style="1" bestFit="1" customWidth="1"/>
    <col min="12781" max="12789" width="10.28515625" style="1" bestFit="1" customWidth="1"/>
    <col min="12790" max="12790" width="11.28515625" style="1" bestFit="1" customWidth="1"/>
    <col min="12791" max="12791" width="9.140625" style="1"/>
    <col min="12792" max="12792" width="19" style="1" customWidth="1"/>
    <col min="12793" max="12809" width="9.140625" style="1"/>
    <col min="12810" max="12820" width="11.28515625" style="1" bestFit="1" customWidth="1"/>
    <col min="12821" max="12821" width="10.28515625" style="1" bestFit="1" customWidth="1"/>
    <col min="12822" max="12822" width="12.85546875" style="1" bestFit="1" customWidth="1"/>
    <col min="12823" max="12945" width="9.140625" style="1"/>
    <col min="12946" max="12946" width="11" style="1" bestFit="1" customWidth="1"/>
    <col min="12947" max="12947" width="28.140625" style="1" bestFit="1" customWidth="1"/>
    <col min="12948" max="12948" width="14" style="1" bestFit="1" customWidth="1"/>
    <col min="12949" max="12949" width="9.140625" style="1"/>
    <col min="12950" max="12950" width="13.85546875" style="1" bestFit="1" customWidth="1"/>
    <col min="12951" max="12951" width="9.140625" style="1"/>
    <col min="12952" max="12952" width="14" style="1" customWidth="1"/>
    <col min="12953" max="12953" width="9.140625" style="1"/>
    <col min="12954" max="12954" width="12.85546875" style="1" bestFit="1" customWidth="1"/>
    <col min="12955" max="12955" width="10" style="1" customWidth="1"/>
    <col min="12956" max="12956" width="14" style="1" bestFit="1" customWidth="1"/>
    <col min="12957" max="12957" width="9.85546875" style="1" bestFit="1" customWidth="1"/>
    <col min="12958" max="12958" width="13.5703125" style="1" bestFit="1" customWidth="1"/>
    <col min="12959" max="12959" width="9.85546875" style="1" bestFit="1" customWidth="1"/>
    <col min="12960" max="12960" width="12.85546875" style="1" bestFit="1" customWidth="1"/>
    <col min="12961" max="12972" width="10.5703125" style="1" customWidth="1"/>
    <col min="12973" max="12973" width="11.140625" style="1" bestFit="1" customWidth="1"/>
    <col min="12974" max="12974" width="2.7109375" style="1" customWidth="1"/>
    <col min="12975" max="12975" width="9.85546875" style="1" bestFit="1" customWidth="1"/>
    <col min="12976" max="12977" width="9.140625" style="1"/>
    <col min="12978" max="12978" width="24" style="1" customWidth="1"/>
    <col min="12979" max="12981" width="9.140625" style="1"/>
    <col min="12982" max="12982" width="9" style="1" bestFit="1" customWidth="1"/>
    <col min="12983" max="12992" width="9.28515625" style="1" bestFit="1" customWidth="1"/>
    <col min="12993" max="12993" width="10.28515625" style="1" bestFit="1" customWidth="1"/>
    <col min="12994" max="12994" width="11.28515625" style="1" bestFit="1" customWidth="1"/>
    <col min="12995" max="12995" width="11.7109375" style="1" customWidth="1"/>
    <col min="12996" max="12996" width="9.140625" style="1"/>
    <col min="12997" max="12997" width="22.28515625" style="1" customWidth="1"/>
    <col min="12998" max="12998" width="9.140625" style="1"/>
    <col min="12999" max="12999" width="9.28515625" style="1" bestFit="1" customWidth="1"/>
    <col min="13000" max="13000" width="9.42578125" style="1" bestFit="1" customWidth="1"/>
    <col min="13001" max="13001" width="9.28515625" style="1" bestFit="1" customWidth="1"/>
    <col min="13002" max="13002" width="10.28515625" style="1" bestFit="1" customWidth="1"/>
    <col min="13003" max="13004" width="9.28515625" style="1" bestFit="1" customWidth="1"/>
    <col min="13005" max="13006" width="10.28515625" style="1" bestFit="1" customWidth="1"/>
    <col min="13007" max="13011" width="9.28515625" style="1" bestFit="1" customWidth="1"/>
    <col min="13012" max="13012" width="10.42578125" style="1" bestFit="1" customWidth="1"/>
    <col min="13013" max="13013" width="9.140625" style="1"/>
    <col min="13014" max="13014" width="24.85546875" style="1" customWidth="1"/>
    <col min="13015" max="13015" width="9.140625" style="1"/>
    <col min="13016" max="13028" width="9.28515625" style="1" bestFit="1" customWidth="1"/>
    <col min="13029" max="13029" width="10.28515625" style="1" bestFit="1" customWidth="1"/>
    <col min="13030" max="13030" width="9.5703125" style="1" bestFit="1" customWidth="1"/>
    <col min="13031" max="13031" width="18.5703125" style="1" customWidth="1"/>
    <col min="13032" max="13033" width="9.140625" style="1"/>
    <col min="13034" max="13036" width="12.140625" style="1" bestFit="1" customWidth="1"/>
    <col min="13037" max="13045" width="10.28515625" style="1" bestFit="1" customWidth="1"/>
    <col min="13046" max="13046" width="11.28515625" style="1" bestFit="1" customWidth="1"/>
    <col min="13047" max="13047" width="9.140625" style="1"/>
    <col min="13048" max="13048" width="19" style="1" customWidth="1"/>
    <col min="13049" max="13065" width="9.140625" style="1"/>
    <col min="13066" max="13076" width="11.28515625" style="1" bestFit="1" customWidth="1"/>
    <col min="13077" max="13077" width="10.28515625" style="1" bestFit="1" customWidth="1"/>
    <col min="13078" max="13078" width="12.85546875" style="1" bestFit="1" customWidth="1"/>
    <col min="13079" max="13201" width="9.140625" style="1"/>
    <col min="13202" max="13202" width="11" style="1" bestFit="1" customWidth="1"/>
    <col min="13203" max="13203" width="28.140625" style="1" bestFit="1" customWidth="1"/>
    <col min="13204" max="13204" width="14" style="1" bestFit="1" customWidth="1"/>
    <col min="13205" max="13205" width="9.140625" style="1"/>
    <col min="13206" max="13206" width="13.85546875" style="1" bestFit="1" customWidth="1"/>
    <col min="13207" max="13207" width="9.140625" style="1"/>
    <col min="13208" max="13208" width="14" style="1" customWidth="1"/>
    <col min="13209" max="13209" width="9.140625" style="1"/>
    <col min="13210" max="13210" width="12.85546875" style="1" bestFit="1" customWidth="1"/>
    <col min="13211" max="13211" width="10" style="1" customWidth="1"/>
    <col min="13212" max="13212" width="14" style="1" bestFit="1" customWidth="1"/>
    <col min="13213" max="13213" width="9.85546875" style="1" bestFit="1" customWidth="1"/>
    <col min="13214" max="13214" width="13.5703125" style="1" bestFit="1" customWidth="1"/>
    <col min="13215" max="13215" width="9.85546875" style="1" bestFit="1" customWidth="1"/>
    <col min="13216" max="13216" width="12.85546875" style="1" bestFit="1" customWidth="1"/>
    <col min="13217" max="13228" width="10.5703125" style="1" customWidth="1"/>
    <col min="13229" max="13229" width="11.140625" style="1" bestFit="1" customWidth="1"/>
    <col min="13230" max="13230" width="2.7109375" style="1" customWidth="1"/>
    <col min="13231" max="13231" width="9.85546875" style="1" bestFit="1" customWidth="1"/>
    <col min="13232" max="13233" width="9.140625" style="1"/>
    <col min="13234" max="13234" width="24" style="1" customWidth="1"/>
    <col min="13235" max="13237" width="9.140625" style="1"/>
    <col min="13238" max="13238" width="9" style="1" bestFit="1" customWidth="1"/>
    <col min="13239" max="13248" width="9.28515625" style="1" bestFit="1" customWidth="1"/>
    <col min="13249" max="13249" width="10.28515625" style="1" bestFit="1" customWidth="1"/>
    <col min="13250" max="13250" width="11.28515625" style="1" bestFit="1" customWidth="1"/>
    <col min="13251" max="13251" width="11.7109375" style="1" customWidth="1"/>
    <col min="13252" max="13252" width="9.140625" style="1"/>
    <col min="13253" max="13253" width="22.28515625" style="1" customWidth="1"/>
    <col min="13254" max="13254" width="9.140625" style="1"/>
    <col min="13255" max="13255" width="9.28515625" style="1" bestFit="1" customWidth="1"/>
    <col min="13256" max="13256" width="9.42578125" style="1" bestFit="1" customWidth="1"/>
    <col min="13257" max="13257" width="9.28515625" style="1" bestFit="1" customWidth="1"/>
    <col min="13258" max="13258" width="10.28515625" style="1" bestFit="1" customWidth="1"/>
    <col min="13259" max="13260" width="9.28515625" style="1" bestFit="1" customWidth="1"/>
    <col min="13261" max="13262" width="10.28515625" style="1" bestFit="1" customWidth="1"/>
    <col min="13263" max="13267" width="9.28515625" style="1" bestFit="1" customWidth="1"/>
    <col min="13268" max="13268" width="10.42578125" style="1" bestFit="1" customWidth="1"/>
    <col min="13269" max="13269" width="9.140625" style="1"/>
    <col min="13270" max="13270" width="24.85546875" style="1" customWidth="1"/>
    <col min="13271" max="13271" width="9.140625" style="1"/>
    <col min="13272" max="13284" width="9.28515625" style="1" bestFit="1" customWidth="1"/>
    <col min="13285" max="13285" width="10.28515625" style="1" bestFit="1" customWidth="1"/>
    <col min="13286" max="13286" width="9.5703125" style="1" bestFit="1" customWidth="1"/>
    <col min="13287" max="13287" width="18.5703125" style="1" customWidth="1"/>
    <col min="13288" max="13289" width="9.140625" style="1"/>
    <col min="13290" max="13292" width="12.140625" style="1" bestFit="1" customWidth="1"/>
    <col min="13293" max="13301" width="10.28515625" style="1" bestFit="1" customWidth="1"/>
    <col min="13302" max="13302" width="11.28515625" style="1" bestFit="1" customWidth="1"/>
    <col min="13303" max="13303" width="9.140625" style="1"/>
    <col min="13304" max="13304" width="19" style="1" customWidth="1"/>
    <col min="13305" max="13321" width="9.140625" style="1"/>
    <col min="13322" max="13332" width="11.28515625" style="1" bestFit="1" customWidth="1"/>
    <col min="13333" max="13333" width="10.28515625" style="1" bestFit="1" customWidth="1"/>
    <col min="13334" max="13334" width="12.85546875" style="1" bestFit="1" customWidth="1"/>
    <col min="13335" max="13457" width="9.140625" style="1"/>
    <col min="13458" max="13458" width="11" style="1" bestFit="1" customWidth="1"/>
    <col min="13459" max="13459" width="28.140625" style="1" bestFit="1" customWidth="1"/>
    <col min="13460" max="13460" width="14" style="1" bestFit="1" customWidth="1"/>
    <col min="13461" max="13461" width="9.140625" style="1"/>
    <col min="13462" max="13462" width="13.85546875" style="1" bestFit="1" customWidth="1"/>
    <col min="13463" max="13463" width="9.140625" style="1"/>
    <col min="13464" max="13464" width="14" style="1" customWidth="1"/>
    <col min="13465" max="13465" width="9.140625" style="1"/>
    <col min="13466" max="13466" width="12.85546875" style="1" bestFit="1" customWidth="1"/>
    <col min="13467" max="13467" width="10" style="1" customWidth="1"/>
    <col min="13468" max="13468" width="14" style="1" bestFit="1" customWidth="1"/>
    <col min="13469" max="13469" width="9.85546875" style="1" bestFit="1" customWidth="1"/>
    <col min="13470" max="13470" width="13.5703125" style="1" bestFit="1" customWidth="1"/>
    <col min="13471" max="13471" width="9.85546875" style="1" bestFit="1" customWidth="1"/>
    <col min="13472" max="13472" width="12.85546875" style="1" bestFit="1" customWidth="1"/>
    <col min="13473" max="13484" width="10.5703125" style="1" customWidth="1"/>
    <col min="13485" max="13485" width="11.140625" style="1" bestFit="1" customWidth="1"/>
    <col min="13486" max="13486" width="2.7109375" style="1" customWidth="1"/>
    <col min="13487" max="13487" width="9.85546875" style="1" bestFit="1" customWidth="1"/>
    <col min="13488" max="13489" width="9.140625" style="1"/>
    <col min="13490" max="13490" width="24" style="1" customWidth="1"/>
    <col min="13491" max="13493" width="9.140625" style="1"/>
    <col min="13494" max="13494" width="9" style="1" bestFit="1" customWidth="1"/>
    <col min="13495" max="13504" width="9.28515625" style="1" bestFit="1" customWidth="1"/>
    <col min="13505" max="13505" width="10.28515625" style="1" bestFit="1" customWidth="1"/>
    <col min="13506" max="13506" width="11.28515625" style="1" bestFit="1" customWidth="1"/>
    <col min="13507" max="13507" width="11.7109375" style="1" customWidth="1"/>
    <col min="13508" max="13508" width="9.140625" style="1"/>
    <col min="13509" max="13509" width="22.28515625" style="1" customWidth="1"/>
    <col min="13510" max="13510" width="9.140625" style="1"/>
    <col min="13511" max="13511" width="9.28515625" style="1" bestFit="1" customWidth="1"/>
    <col min="13512" max="13512" width="9.42578125" style="1" bestFit="1" customWidth="1"/>
    <col min="13513" max="13513" width="9.28515625" style="1" bestFit="1" customWidth="1"/>
    <col min="13514" max="13514" width="10.28515625" style="1" bestFit="1" customWidth="1"/>
    <col min="13515" max="13516" width="9.28515625" style="1" bestFit="1" customWidth="1"/>
    <col min="13517" max="13518" width="10.28515625" style="1" bestFit="1" customWidth="1"/>
    <col min="13519" max="13523" width="9.28515625" style="1" bestFit="1" customWidth="1"/>
    <col min="13524" max="13524" width="10.42578125" style="1" bestFit="1" customWidth="1"/>
    <col min="13525" max="13525" width="9.140625" style="1"/>
    <col min="13526" max="13526" width="24.85546875" style="1" customWidth="1"/>
    <col min="13527" max="13527" width="9.140625" style="1"/>
    <col min="13528" max="13540" width="9.28515625" style="1" bestFit="1" customWidth="1"/>
    <col min="13541" max="13541" width="10.28515625" style="1" bestFit="1" customWidth="1"/>
    <col min="13542" max="13542" width="9.5703125" style="1" bestFit="1" customWidth="1"/>
    <col min="13543" max="13543" width="18.5703125" style="1" customWidth="1"/>
    <col min="13544" max="13545" width="9.140625" style="1"/>
    <col min="13546" max="13548" width="12.140625" style="1" bestFit="1" customWidth="1"/>
    <col min="13549" max="13557" width="10.28515625" style="1" bestFit="1" customWidth="1"/>
    <col min="13558" max="13558" width="11.28515625" style="1" bestFit="1" customWidth="1"/>
    <col min="13559" max="13559" width="9.140625" style="1"/>
    <col min="13560" max="13560" width="19" style="1" customWidth="1"/>
    <col min="13561" max="13577" width="9.140625" style="1"/>
    <col min="13578" max="13588" width="11.28515625" style="1" bestFit="1" customWidth="1"/>
    <col min="13589" max="13589" width="10.28515625" style="1" bestFit="1" customWidth="1"/>
    <col min="13590" max="13590" width="12.85546875" style="1" bestFit="1" customWidth="1"/>
    <col min="13591" max="13713" width="9.140625" style="1"/>
    <col min="13714" max="13714" width="11" style="1" bestFit="1" customWidth="1"/>
    <col min="13715" max="13715" width="28.140625" style="1" bestFit="1" customWidth="1"/>
    <col min="13716" max="13716" width="14" style="1" bestFit="1" customWidth="1"/>
    <col min="13717" max="13717" width="9.140625" style="1"/>
    <col min="13718" max="13718" width="13.85546875" style="1" bestFit="1" customWidth="1"/>
    <col min="13719" max="13719" width="9.140625" style="1"/>
    <col min="13720" max="13720" width="14" style="1" customWidth="1"/>
    <col min="13721" max="13721" width="9.140625" style="1"/>
    <col min="13722" max="13722" width="12.85546875" style="1" bestFit="1" customWidth="1"/>
    <col min="13723" max="13723" width="10" style="1" customWidth="1"/>
    <col min="13724" max="13724" width="14" style="1" bestFit="1" customWidth="1"/>
    <col min="13725" max="13725" width="9.85546875" style="1" bestFit="1" customWidth="1"/>
    <col min="13726" max="13726" width="13.5703125" style="1" bestFit="1" customWidth="1"/>
    <col min="13727" max="13727" width="9.85546875" style="1" bestFit="1" customWidth="1"/>
    <col min="13728" max="13728" width="12.85546875" style="1" bestFit="1" customWidth="1"/>
    <col min="13729" max="13740" width="10.5703125" style="1" customWidth="1"/>
    <col min="13741" max="13741" width="11.140625" style="1" bestFit="1" customWidth="1"/>
    <col min="13742" max="13742" width="2.7109375" style="1" customWidth="1"/>
    <col min="13743" max="13743" width="9.85546875" style="1" bestFit="1" customWidth="1"/>
    <col min="13744" max="13745" width="9.140625" style="1"/>
    <col min="13746" max="13746" width="24" style="1" customWidth="1"/>
    <col min="13747" max="13749" width="9.140625" style="1"/>
    <col min="13750" max="13750" width="9" style="1" bestFit="1" customWidth="1"/>
    <col min="13751" max="13760" width="9.28515625" style="1" bestFit="1" customWidth="1"/>
    <col min="13761" max="13761" width="10.28515625" style="1" bestFit="1" customWidth="1"/>
    <col min="13762" max="13762" width="11.28515625" style="1" bestFit="1" customWidth="1"/>
    <col min="13763" max="13763" width="11.7109375" style="1" customWidth="1"/>
    <col min="13764" max="13764" width="9.140625" style="1"/>
    <col min="13765" max="13765" width="22.28515625" style="1" customWidth="1"/>
    <col min="13766" max="13766" width="9.140625" style="1"/>
    <col min="13767" max="13767" width="9.28515625" style="1" bestFit="1" customWidth="1"/>
    <col min="13768" max="13768" width="9.42578125" style="1" bestFit="1" customWidth="1"/>
    <col min="13769" max="13769" width="9.28515625" style="1" bestFit="1" customWidth="1"/>
    <col min="13770" max="13770" width="10.28515625" style="1" bestFit="1" customWidth="1"/>
    <col min="13771" max="13772" width="9.28515625" style="1" bestFit="1" customWidth="1"/>
    <col min="13773" max="13774" width="10.28515625" style="1" bestFit="1" customWidth="1"/>
    <col min="13775" max="13779" width="9.28515625" style="1" bestFit="1" customWidth="1"/>
    <col min="13780" max="13780" width="10.42578125" style="1" bestFit="1" customWidth="1"/>
    <col min="13781" max="13781" width="9.140625" style="1"/>
    <col min="13782" max="13782" width="24.85546875" style="1" customWidth="1"/>
    <col min="13783" max="13783" width="9.140625" style="1"/>
    <col min="13784" max="13796" width="9.28515625" style="1" bestFit="1" customWidth="1"/>
    <col min="13797" max="13797" width="10.28515625" style="1" bestFit="1" customWidth="1"/>
    <col min="13798" max="13798" width="9.5703125" style="1" bestFit="1" customWidth="1"/>
    <col min="13799" max="13799" width="18.5703125" style="1" customWidth="1"/>
    <col min="13800" max="13801" width="9.140625" style="1"/>
    <col min="13802" max="13804" width="12.140625" style="1" bestFit="1" customWidth="1"/>
    <col min="13805" max="13813" width="10.28515625" style="1" bestFit="1" customWidth="1"/>
    <col min="13814" max="13814" width="11.28515625" style="1" bestFit="1" customWidth="1"/>
    <col min="13815" max="13815" width="9.140625" style="1"/>
    <col min="13816" max="13816" width="19" style="1" customWidth="1"/>
    <col min="13817" max="13833" width="9.140625" style="1"/>
    <col min="13834" max="13844" width="11.28515625" style="1" bestFit="1" customWidth="1"/>
    <col min="13845" max="13845" width="10.28515625" style="1" bestFit="1" customWidth="1"/>
    <col min="13846" max="13846" width="12.85546875" style="1" bestFit="1" customWidth="1"/>
    <col min="13847" max="13969" width="9.140625" style="1"/>
    <col min="13970" max="13970" width="11" style="1" bestFit="1" customWidth="1"/>
    <col min="13971" max="13971" width="28.140625" style="1" bestFit="1" customWidth="1"/>
    <col min="13972" max="13972" width="14" style="1" bestFit="1" customWidth="1"/>
    <col min="13973" max="13973" width="9.140625" style="1"/>
    <col min="13974" max="13974" width="13.85546875" style="1" bestFit="1" customWidth="1"/>
    <col min="13975" max="13975" width="9.140625" style="1"/>
    <col min="13976" max="13976" width="14" style="1" customWidth="1"/>
    <col min="13977" max="13977" width="9.140625" style="1"/>
    <col min="13978" max="13978" width="12.85546875" style="1" bestFit="1" customWidth="1"/>
    <col min="13979" max="13979" width="10" style="1" customWidth="1"/>
    <col min="13980" max="13980" width="14" style="1" bestFit="1" customWidth="1"/>
    <col min="13981" max="13981" width="9.85546875" style="1" bestFit="1" customWidth="1"/>
    <col min="13982" max="13982" width="13.5703125" style="1" bestFit="1" customWidth="1"/>
    <col min="13983" max="13983" width="9.85546875" style="1" bestFit="1" customWidth="1"/>
    <col min="13984" max="13984" width="12.85546875" style="1" bestFit="1" customWidth="1"/>
    <col min="13985" max="13996" width="10.5703125" style="1" customWidth="1"/>
    <col min="13997" max="13997" width="11.140625" style="1" bestFit="1" customWidth="1"/>
    <col min="13998" max="13998" width="2.7109375" style="1" customWidth="1"/>
    <col min="13999" max="13999" width="9.85546875" style="1" bestFit="1" customWidth="1"/>
    <col min="14000" max="14001" width="9.140625" style="1"/>
    <col min="14002" max="14002" width="24" style="1" customWidth="1"/>
    <col min="14003" max="14005" width="9.140625" style="1"/>
    <col min="14006" max="14006" width="9" style="1" bestFit="1" customWidth="1"/>
    <col min="14007" max="14016" width="9.28515625" style="1" bestFit="1" customWidth="1"/>
    <col min="14017" max="14017" width="10.28515625" style="1" bestFit="1" customWidth="1"/>
    <col min="14018" max="14018" width="11.28515625" style="1" bestFit="1" customWidth="1"/>
    <col min="14019" max="14019" width="11.7109375" style="1" customWidth="1"/>
    <col min="14020" max="14020" width="9.140625" style="1"/>
    <col min="14021" max="14021" width="22.28515625" style="1" customWidth="1"/>
    <col min="14022" max="14022" width="9.140625" style="1"/>
    <col min="14023" max="14023" width="9.28515625" style="1" bestFit="1" customWidth="1"/>
    <col min="14024" max="14024" width="9.42578125" style="1" bestFit="1" customWidth="1"/>
    <col min="14025" max="14025" width="9.28515625" style="1" bestFit="1" customWidth="1"/>
    <col min="14026" max="14026" width="10.28515625" style="1" bestFit="1" customWidth="1"/>
    <col min="14027" max="14028" width="9.28515625" style="1" bestFit="1" customWidth="1"/>
    <col min="14029" max="14030" width="10.28515625" style="1" bestFit="1" customWidth="1"/>
    <col min="14031" max="14035" width="9.28515625" style="1" bestFit="1" customWidth="1"/>
    <col min="14036" max="14036" width="10.42578125" style="1" bestFit="1" customWidth="1"/>
    <col min="14037" max="14037" width="9.140625" style="1"/>
    <col min="14038" max="14038" width="24.85546875" style="1" customWidth="1"/>
    <col min="14039" max="14039" width="9.140625" style="1"/>
    <col min="14040" max="14052" width="9.28515625" style="1" bestFit="1" customWidth="1"/>
    <col min="14053" max="14053" width="10.28515625" style="1" bestFit="1" customWidth="1"/>
    <col min="14054" max="14054" width="9.5703125" style="1" bestFit="1" customWidth="1"/>
    <col min="14055" max="14055" width="18.5703125" style="1" customWidth="1"/>
    <col min="14056" max="14057" width="9.140625" style="1"/>
    <col min="14058" max="14060" width="12.140625" style="1" bestFit="1" customWidth="1"/>
    <col min="14061" max="14069" width="10.28515625" style="1" bestFit="1" customWidth="1"/>
    <col min="14070" max="14070" width="11.28515625" style="1" bestFit="1" customWidth="1"/>
    <col min="14071" max="14071" width="9.140625" style="1"/>
    <col min="14072" max="14072" width="19" style="1" customWidth="1"/>
    <col min="14073" max="14089" width="9.140625" style="1"/>
    <col min="14090" max="14100" width="11.28515625" style="1" bestFit="1" customWidth="1"/>
    <col min="14101" max="14101" width="10.28515625" style="1" bestFit="1" customWidth="1"/>
    <col min="14102" max="14102" width="12.85546875" style="1" bestFit="1" customWidth="1"/>
    <col min="14103" max="14225" width="9.140625" style="1"/>
    <col min="14226" max="14226" width="11" style="1" bestFit="1" customWidth="1"/>
    <col min="14227" max="14227" width="28.140625" style="1" bestFit="1" customWidth="1"/>
    <col min="14228" max="14228" width="14" style="1" bestFit="1" customWidth="1"/>
    <col min="14229" max="14229" width="9.140625" style="1"/>
    <col min="14230" max="14230" width="13.85546875" style="1" bestFit="1" customWidth="1"/>
    <col min="14231" max="14231" width="9.140625" style="1"/>
    <col min="14232" max="14232" width="14" style="1" customWidth="1"/>
    <col min="14233" max="14233" width="9.140625" style="1"/>
    <col min="14234" max="14234" width="12.85546875" style="1" bestFit="1" customWidth="1"/>
    <col min="14235" max="14235" width="10" style="1" customWidth="1"/>
    <col min="14236" max="14236" width="14" style="1" bestFit="1" customWidth="1"/>
    <col min="14237" max="14237" width="9.85546875" style="1" bestFit="1" customWidth="1"/>
    <col min="14238" max="14238" width="13.5703125" style="1" bestFit="1" customWidth="1"/>
    <col min="14239" max="14239" width="9.85546875" style="1" bestFit="1" customWidth="1"/>
    <col min="14240" max="14240" width="12.85546875" style="1" bestFit="1" customWidth="1"/>
    <col min="14241" max="14252" width="10.5703125" style="1" customWidth="1"/>
    <col min="14253" max="14253" width="11.140625" style="1" bestFit="1" customWidth="1"/>
    <col min="14254" max="14254" width="2.7109375" style="1" customWidth="1"/>
    <col min="14255" max="14255" width="9.85546875" style="1" bestFit="1" customWidth="1"/>
    <col min="14256" max="14257" width="9.140625" style="1"/>
    <col min="14258" max="14258" width="24" style="1" customWidth="1"/>
    <col min="14259" max="14261" width="9.140625" style="1"/>
    <col min="14262" max="14262" width="9" style="1" bestFit="1" customWidth="1"/>
    <col min="14263" max="14272" width="9.28515625" style="1" bestFit="1" customWidth="1"/>
    <col min="14273" max="14273" width="10.28515625" style="1" bestFit="1" customWidth="1"/>
    <col min="14274" max="14274" width="11.28515625" style="1" bestFit="1" customWidth="1"/>
    <col min="14275" max="14275" width="11.7109375" style="1" customWidth="1"/>
    <col min="14276" max="14276" width="9.140625" style="1"/>
    <col min="14277" max="14277" width="22.28515625" style="1" customWidth="1"/>
    <col min="14278" max="14278" width="9.140625" style="1"/>
    <col min="14279" max="14279" width="9.28515625" style="1" bestFit="1" customWidth="1"/>
    <col min="14280" max="14280" width="9.42578125" style="1" bestFit="1" customWidth="1"/>
    <col min="14281" max="14281" width="9.28515625" style="1" bestFit="1" customWidth="1"/>
    <col min="14282" max="14282" width="10.28515625" style="1" bestFit="1" customWidth="1"/>
    <col min="14283" max="14284" width="9.28515625" style="1" bestFit="1" customWidth="1"/>
    <col min="14285" max="14286" width="10.28515625" style="1" bestFit="1" customWidth="1"/>
    <col min="14287" max="14291" width="9.28515625" style="1" bestFit="1" customWidth="1"/>
    <col min="14292" max="14292" width="10.42578125" style="1" bestFit="1" customWidth="1"/>
    <col min="14293" max="14293" width="9.140625" style="1"/>
    <col min="14294" max="14294" width="24.85546875" style="1" customWidth="1"/>
    <col min="14295" max="14295" width="9.140625" style="1"/>
    <col min="14296" max="14308" width="9.28515625" style="1" bestFit="1" customWidth="1"/>
    <col min="14309" max="14309" width="10.28515625" style="1" bestFit="1" customWidth="1"/>
    <col min="14310" max="14310" width="9.5703125" style="1" bestFit="1" customWidth="1"/>
    <col min="14311" max="14311" width="18.5703125" style="1" customWidth="1"/>
    <col min="14312" max="14313" width="9.140625" style="1"/>
    <col min="14314" max="14316" width="12.140625" style="1" bestFit="1" customWidth="1"/>
    <col min="14317" max="14325" width="10.28515625" style="1" bestFit="1" customWidth="1"/>
    <col min="14326" max="14326" width="11.28515625" style="1" bestFit="1" customWidth="1"/>
    <col min="14327" max="14327" width="9.140625" style="1"/>
    <col min="14328" max="14328" width="19" style="1" customWidth="1"/>
    <col min="14329" max="14345" width="9.140625" style="1"/>
    <col min="14346" max="14356" width="11.28515625" style="1" bestFit="1" customWidth="1"/>
    <col min="14357" max="14357" width="10.28515625" style="1" bestFit="1" customWidth="1"/>
    <col min="14358" max="14358" width="12.85546875" style="1" bestFit="1" customWidth="1"/>
    <col min="14359" max="14481" width="9.140625" style="1"/>
    <col min="14482" max="14482" width="11" style="1" bestFit="1" customWidth="1"/>
    <col min="14483" max="14483" width="28.140625" style="1" bestFit="1" customWidth="1"/>
    <col min="14484" max="14484" width="14" style="1" bestFit="1" customWidth="1"/>
    <col min="14485" max="14485" width="9.140625" style="1"/>
    <col min="14486" max="14486" width="13.85546875" style="1" bestFit="1" customWidth="1"/>
    <col min="14487" max="14487" width="9.140625" style="1"/>
    <col min="14488" max="14488" width="14" style="1" customWidth="1"/>
    <col min="14489" max="14489" width="9.140625" style="1"/>
    <col min="14490" max="14490" width="12.85546875" style="1" bestFit="1" customWidth="1"/>
    <col min="14491" max="14491" width="10" style="1" customWidth="1"/>
    <col min="14492" max="14492" width="14" style="1" bestFit="1" customWidth="1"/>
    <col min="14493" max="14493" width="9.85546875" style="1" bestFit="1" customWidth="1"/>
    <col min="14494" max="14494" width="13.5703125" style="1" bestFit="1" customWidth="1"/>
    <col min="14495" max="14495" width="9.85546875" style="1" bestFit="1" customWidth="1"/>
    <col min="14496" max="14496" width="12.85546875" style="1" bestFit="1" customWidth="1"/>
    <col min="14497" max="14508" width="10.5703125" style="1" customWidth="1"/>
    <col min="14509" max="14509" width="11.140625" style="1" bestFit="1" customWidth="1"/>
    <col min="14510" max="14510" width="2.7109375" style="1" customWidth="1"/>
    <col min="14511" max="14511" width="9.85546875" style="1" bestFit="1" customWidth="1"/>
    <col min="14512" max="14513" width="9.140625" style="1"/>
    <col min="14514" max="14514" width="24" style="1" customWidth="1"/>
    <col min="14515" max="14517" width="9.140625" style="1"/>
    <col min="14518" max="14518" width="9" style="1" bestFit="1" customWidth="1"/>
    <col min="14519" max="14528" width="9.28515625" style="1" bestFit="1" customWidth="1"/>
    <col min="14529" max="14529" width="10.28515625" style="1" bestFit="1" customWidth="1"/>
    <col min="14530" max="14530" width="11.28515625" style="1" bestFit="1" customWidth="1"/>
    <col min="14531" max="14531" width="11.7109375" style="1" customWidth="1"/>
    <col min="14532" max="14532" width="9.140625" style="1"/>
    <col min="14533" max="14533" width="22.28515625" style="1" customWidth="1"/>
    <col min="14534" max="14534" width="9.140625" style="1"/>
    <col min="14535" max="14535" width="9.28515625" style="1" bestFit="1" customWidth="1"/>
    <col min="14536" max="14536" width="9.42578125" style="1" bestFit="1" customWidth="1"/>
    <col min="14537" max="14537" width="9.28515625" style="1" bestFit="1" customWidth="1"/>
    <col min="14538" max="14538" width="10.28515625" style="1" bestFit="1" customWidth="1"/>
    <col min="14539" max="14540" width="9.28515625" style="1" bestFit="1" customWidth="1"/>
    <col min="14541" max="14542" width="10.28515625" style="1" bestFit="1" customWidth="1"/>
    <col min="14543" max="14547" width="9.28515625" style="1" bestFit="1" customWidth="1"/>
    <col min="14548" max="14548" width="10.42578125" style="1" bestFit="1" customWidth="1"/>
    <col min="14549" max="14549" width="9.140625" style="1"/>
    <col min="14550" max="14550" width="24.85546875" style="1" customWidth="1"/>
    <col min="14551" max="14551" width="9.140625" style="1"/>
    <col min="14552" max="14564" width="9.28515625" style="1" bestFit="1" customWidth="1"/>
    <col min="14565" max="14565" width="10.28515625" style="1" bestFit="1" customWidth="1"/>
    <col min="14566" max="14566" width="9.5703125" style="1" bestFit="1" customWidth="1"/>
    <col min="14567" max="14567" width="18.5703125" style="1" customWidth="1"/>
    <col min="14568" max="14569" width="9.140625" style="1"/>
    <col min="14570" max="14572" width="12.140625" style="1" bestFit="1" customWidth="1"/>
    <col min="14573" max="14581" width="10.28515625" style="1" bestFit="1" customWidth="1"/>
    <col min="14582" max="14582" width="11.28515625" style="1" bestFit="1" customWidth="1"/>
    <col min="14583" max="14583" width="9.140625" style="1"/>
    <col min="14584" max="14584" width="19" style="1" customWidth="1"/>
    <col min="14585" max="14601" width="9.140625" style="1"/>
    <col min="14602" max="14612" width="11.28515625" style="1" bestFit="1" customWidth="1"/>
    <col min="14613" max="14613" width="10.28515625" style="1" bestFit="1" customWidth="1"/>
    <col min="14614" max="14614" width="12.85546875" style="1" bestFit="1" customWidth="1"/>
    <col min="14615" max="14737" width="9.140625" style="1"/>
    <col min="14738" max="14738" width="11" style="1" bestFit="1" customWidth="1"/>
    <col min="14739" max="14739" width="28.140625" style="1" bestFit="1" customWidth="1"/>
    <col min="14740" max="14740" width="14" style="1" bestFit="1" customWidth="1"/>
    <col min="14741" max="14741" width="9.140625" style="1"/>
    <col min="14742" max="14742" width="13.85546875" style="1" bestFit="1" customWidth="1"/>
    <col min="14743" max="14743" width="9.140625" style="1"/>
    <col min="14744" max="14744" width="14" style="1" customWidth="1"/>
    <col min="14745" max="14745" width="9.140625" style="1"/>
    <col min="14746" max="14746" width="12.85546875" style="1" bestFit="1" customWidth="1"/>
    <col min="14747" max="14747" width="10" style="1" customWidth="1"/>
    <col min="14748" max="14748" width="14" style="1" bestFit="1" customWidth="1"/>
    <col min="14749" max="14749" width="9.85546875" style="1" bestFit="1" customWidth="1"/>
    <col min="14750" max="14750" width="13.5703125" style="1" bestFit="1" customWidth="1"/>
    <col min="14751" max="14751" width="9.85546875" style="1" bestFit="1" customWidth="1"/>
    <col min="14752" max="14752" width="12.85546875" style="1" bestFit="1" customWidth="1"/>
    <col min="14753" max="14764" width="10.5703125" style="1" customWidth="1"/>
    <col min="14765" max="14765" width="11.140625" style="1" bestFit="1" customWidth="1"/>
    <col min="14766" max="14766" width="2.7109375" style="1" customWidth="1"/>
    <col min="14767" max="14767" width="9.85546875" style="1" bestFit="1" customWidth="1"/>
    <col min="14768" max="14769" width="9.140625" style="1"/>
    <col min="14770" max="14770" width="24" style="1" customWidth="1"/>
    <col min="14771" max="14773" width="9.140625" style="1"/>
    <col min="14774" max="14774" width="9" style="1" bestFit="1" customWidth="1"/>
    <col min="14775" max="14784" width="9.28515625" style="1" bestFit="1" customWidth="1"/>
    <col min="14785" max="14785" width="10.28515625" style="1" bestFit="1" customWidth="1"/>
    <col min="14786" max="14786" width="11.28515625" style="1" bestFit="1" customWidth="1"/>
    <col min="14787" max="14787" width="11.7109375" style="1" customWidth="1"/>
    <col min="14788" max="14788" width="9.140625" style="1"/>
    <col min="14789" max="14789" width="22.28515625" style="1" customWidth="1"/>
    <col min="14790" max="14790" width="9.140625" style="1"/>
    <col min="14791" max="14791" width="9.28515625" style="1" bestFit="1" customWidth="1"/>
    <col min="14792" max="14792" width="9.42578125" style="1" bestFit="1" customWidth="1"/>
    <col min="14793" max="14793" width="9.28515625" style="1" bestFit="1" customWidth="1"/>
    <col min="14794" max="14794" width="10.28515625" style="1" bestFit="1" customWidth="1"/>
    <col min="14795" max="14796" width="9.28515625" style="1" bestFit="1" customWidth="1"/>
    <col min="14797" max="14798" width="10.28515625" style="1" bestFit="1" customWidth="1"/>
    <col min="14799" max="14803" width="9.28515625" style="1" bestFit="1" customWidth="1"/>
    <col min="14804" max="14804" width="10.42578125" style="1" bestFit="1" customWidth="1"/>
    <col min="14805" max="14805" width="9.140625" style="1"/>
    <col min="14806" max="14806" width="24.85546875" style="1" customWidth="1"/>
    <col min="14807" max="14807" width="9.140625" style="1"/>
    <col min="14808" max="14820" width="9.28515625" style="1" bestFit="1" customWidth="1"/>
    <col min="14821" max="14821" width="10.28515625" style="1" bestFit="1" customWidth="1"/>
    <col min="14822" max="14822" width="9.5703125" style="1" bestFit="1" customWidth="1"/>
    <col min="14823" max="14823" width="18.5703125" style="1" customWidth="1"/>
    <col min="14824" max="14825" width="9.140625" style="1"/>
    <col min="14826" max="14828" width="12.140625" style="1" bestFit="1" customWidth="1"/>
    <col min="14829" max="14837" width="10.28515625" style="1" bestFit="1" customWidth="1"/>
    <col min="14838" max="14838" width="11.28515625" style="1" bestFit="1" customWidth="1"/>
    <col min="14839" max="14839" width="9.140625" style="1"/>
    <col min="14840" max="14840" width="19" style="1" customWidth="1"/>
    <col min="14841" max="14857" width="9.140625" style="1"/>
    <col min="14858" max="14868" width="11.28515625" style="1" bestFit="1" customWidth="1"/>
    <col min="14869" max="14869" width="10.28515625" style="1" bestFit="1" customWidth="1"/>
    <col min="14870" max="14870" width="12.85546875" style="1" bestFit="1" customWidth="1"/>
    <col min="14871" max="14993" width="9.140625" style="1"/>
    <col min="14994" max="14994" width="11" style="1" bestFit="1" customWidth="1"/>
    <col min="14995" max="14995" width="28.140625" style="1" bestFit="1" customWidth="1"/>
    <col min="14996" max="14996" width="14" style="1" bestFit="1" customWidth="1"/>
    <col min="14997" max="14997" width="9.140625" style="1"/>
    <col min="14998" max="14998" width="13.85546875" style="1" bestFit="1" customWidth="1"/>
    <col min="14999" max="14999" width="9.140625" style="1"/>
    <col min="15000" max="15000" width="14" style="1" customWidth="1"/>
    <col min="15001" max="15001" width="9.140625" style="1"/>
    <col min="15002" max="15002" width="12.85546875" style="1" bestFit="1" customWidth="1"/>
    <col min="15003" max="15003" width="10" style="1" customWidth="1"/>
    <col min="15004" max="15004" width="14" style="1" bestFit="1" customWidth="1"/>
    <col min="15005" max="15005" width="9.85546875" style="1" bestFit="1" customWidth="1"/>
    <col min="15006" max="15006" width="13.5703125" style="1" bestFit="1" customWidth="1"/>
    <col min="15007" max="15007" width="9.85546875" style="1" bestFit="1" customWidth="1"/>
    <col min="15008" max="15008" width="12.85546875" style="1" bestFit="1" customWidth="1"/>
    <col min="15009" max="15020" width="10.5703125" style="1" customWidth="1"/>
    <col min="15021" max="15021" width="11.140625" style="1" bestFit="1" customWidth="1"/>
    <col min="15022" max="15022" width="2.7109375" style="1" customWidth="1"/>
    <col min="15023" max="15023" width="9.85546875" style="1" bestFit="1" customWidth="1"/>
    <col min="15024" max="15025" width="9.140625" style="1"/>
    <col min="15026" max="15026" width="24" style="1" customWidth="1"/>
    <col min="15027" max="15029" width="9.140625" style="1"/>
    <col min="15030" max="15030" width="9" style="1" bestFit="1" customWidth="1"/>
    <col min="15031" max="15040" width="9.28515625" style="1" bestFit="1" customWidth="1"/>
    <col min="15041" max="15041" width="10.28515625" style="1" bestFit="1" customWidth="1"/>
    <col min="15042" max="15042" width="11.28515625" style="1" bestFit="1" customWidth="1"/>
    <col min="15043" max="15043" width="11.7109375" style="1" customWidth="1"/>
    <col min="15044" max="15044" width="9.140625" style="1"/>
    <col min="15045" max="15045" width="22.28515625" style="1" customWidth="1"/>
    <col min="15046" max="15046" width="9.140625" style="1"/>
    <col min="15047" max="15047" width="9.28515625" style="1" bestFit="1" customWidth="1"/>
    <col min="15048" max="15048" width="9.42578125" style="1" bestFit="1" customWidth="1"/>
    <col min="15049" max="15049" width="9.28515625" style="1" bestFit="1" customWidth="1"/>
    <col min="15050" max="15050" width="10.28515625" style="1" bestFit="1" customWidth="1"/>
    <col min="15051" max="15052" width="9.28515625" style="1" bestFit="1" customWidth="1"/>
    <col min="15053" max="15054" width="10.28515625" style="1" bestFit="1" customWidth="1"/>
    <col min="15055" max="15059" width="9.28515625" style="1" bestFit="1" customWidth="1"/>
    <col min="15060" max="15060" width="10.42578125" style="1" bestFit="1" customWidth="1"/>
    <col min="15061" max="15061" width="9.140625" style="1"/>
    <col min="15062" max="15062" width="24.85546875" style="1" customWidth="1"/>
    <col min="15063" max="15063" width="9.140625" style="1"/>
    <col min="15064" max="15076" width="9.28515625" style="1" bestFit="1" customWidth="1"/>
    <col min="15077" max="15077" width="10.28515625" style="1" bestFit="1" customWidth="1"/>
    <col min="15078" max="15078" width="9.5703125" style="1" bestFit="1" customWidth="1"/>
    <col min="15079" max="15079" width="18.5703125" style="1" customWidth="1"/>
    <col min="15080" max="15081" width="9.140625" style="1"/>
    <col min="15082" max="15084" width="12.140625" style="1" bestFit="1" customWidth="1"/>
    <col min="15085" max="15093" width="10.28515625" style="1" bestFit="1" customWidth="1"/>
    <col min="15094" max="15094" width="11.28515625" style="1" bestFit="1" customWidth="1"/>
    <col min="15095" max="15095" width="9.140625" style="1"/>
    <col min="15096" max="15096" width="19" style="1" customWidth="1"/>
    <col min="15097" max="15113" width="9.140625" style="1"/>
    <col min="15114" max="15124" width="11.28515625" style="1" bestFit="1" customWidth="1"/>
    <col min="15125" max="15125" width="10.28515625" style="1" bestFit="1" customWidth="1"/>
    <col min="15126" max="15126" width="12.85546875" style="1" bestFit="1" customWidth="1"/>
    <col min="15127" max="15249" width="9.140625" style="1"/>
    <col min="15250" max="15250" width="11" style="1" bestFit="1" customWidth="1"/>
    <col min="15251" max="15251" width="28.140625" style="1" bestFit="1" customWidth="1"/>
    <col min="15252" max="15252" width="14" style="1" bestFit="1" customWidth="1"/>
    <col min="15253" max="15253" width="9.140625" style="1"/>
    <col min="15254" max="15254" width="13.85546875" style="1" bestFit="1" customWidth="1"/>
    <col min="15255" max="15255" width="9.140625" style="1"/>
    <col min="15256" max="15256" width="14" style="1" customWidth="1"/>
    <col min="15257" max="15257" width="9.140625" style="1"/>
    <col min="15258" max="15258" width="12.85546875" style="1" bestFit="1" customWidth="1"/>
    <col min="15259" max="15259" width="10" style="1" customWidth="1"/>
    <col min="15260" max="15260" width="14" style="1" bestFit="1" customWidth="1"/>
    <col min="15261" max="15261" width="9.85546875" style="1" bestFit="1" customWidth="1"/>
    <col min="15262" max="15262" width="13.5703125" style="1" bestFit="1" customWidth="1"/>
    <col min="15263" max="15263" width="9.85546875" style="1" bestFit="1" customWidth="1"/>
    <col min="15264" max="15264" width="12.85546875" style="1" bestFit="1" customWidth="1"/>
    <col min="15265" max="15276" width="10.5703125" style="1" customWidth="1"/>
    <col min="15277" max="15277" width="11.140625" style="1" bestFit="1" customWidth="1"/>
    <col min="15278" max="15278" width="2.7109375" style="1" customWidth="1"/>
    <col min="15279" max="15279" width="9.85546875" style="1" bestFit="1" customWidth="1"/>
    <col min="15280" max="15281" width="9.140625" style="1"/>
    <col min="15282" max="15282" width="24" style="1" customWidth="1"/>
    <col min="15283" max="15285" width="9.140625" style="1"/>
    <col min="15286" max="15286" width="9" style="1" bestFit="1" customWidth="1"/>
    <col min="15287" max="15296" width="9.28515625" style="1" bestFit="1" customWidth="1"/>
    <col min="15297" max="15297" width="10.28515625" style="1" bestFit="1" customWidth="1"/>
    <col min="15298" max="15298" width="11.28515625" style="1" bestFit="1" customWidth="1"/>
    <col min="15299" max="15299" width="11.7109375" style="1" customWidth="1"/>
    <col min="15300" max="15300" width="9.140625" style="1"/>
    <col min="15301" max="15301" width="22.28515625" style="1" customWidth="1"/>
    <col min="15302" max="15302" width="9.140625" style="1"/>
    <col min="15303" max="15303" width="9.28515625" style="1" bestFit="1" customWidth="1"/>
    <col min="15304" max="15304" width="9.42578125" style="1" bestFit="1" customWidth="1"/>
    <col min="15305" max="15305" width="9.28515625" style="1" bestFit="1" customWidth="1"/>
    <col min="15306" max="15306" width="10.28515625" style="1" bestFit="1" customWidth="1"/>
    <col min="15307" max="15308" width="9.28515625" style="1" bestFit="1" customWidth="1"/>
    <col min="15309" max="15310" width="10.28515625" style="1" bestFit="1" customWidth="1"/>
    <col min="15311" max="15315" width="9.28515625" style="1" bestFit="1" customWidth="1"/>
    <col min="15316" max="15316" width="10.42578125" style="1" bestFit="1" customWidth="1"/>
    <col min="15317" max="15317" width="9.140625" style="1"/>
    <col min="15318" max="15318" width="24.85546875" style="1" customWidth="1"/>
    <col min="15319" max="15319" width="9.140625" style="1"/>
    <col min="15320" max="15332" width="9.28515625" style="1" bestFit="1" customWidth="1"/>
    <col min="15333" max="15333" width="10.28515625" style="1" bestFit="1" customWidth="1"/>
    <col min="15334" max="15334" width="9.5703125" style="1" bestFit="1" customWidth="1"/>
    <col min="15335" max="15335" width="18.5703125" style="1" customWidth="1"/>
    <col min="15336" max="15337" width="9.140625" style="1"/>
    <col min="15338" max="15340" width="12.140625" style="1" bestFit="1" customWidth="1"/>
    <col min="15341" max="15349" width="10.28515625" style="1" bestFit="1" customWidth="1"/>
    <col min="15350" max="15350" width="11.28515625" style="1" bestFit="1" customWidth="1"/>
    <col min="15351" max="15351" width="9.140625" style="1"/>
    <col min="15352" max="15352" width="19" style="1" customWidth="1"/>
    <col min="15353" max="15369" width="9.140625" style="1"/>
    <col min="15370" max="15380" width="11.28515625" style="1" bestFit="1" customWidth="1"/>
    <col min="15381" max="15381" width="10.28515625" style="1" bestFit="1" customWidth="1"/>
    <col min="15382" max="15382" width="12.85546875" style="1" bestFit="1" customWidth="1"/>
    <col min="15383" max="15505" width="9.140625" style="1"/>
    <col min="15506" max="15506" width="11" style="1" bestFit="1" customWidth="1"/>
    <col min="15507" max="15507" width="28.140625" style="1" bestFit="1" customWidth="1"/>
    <col min="15508" max="15508" width="14" style="1" bestFit="1" customWidth="1"/>
    <col min="15509" max="15509" width="9.140625" style="1"/>
    <col min="15510" max="15510" width="13.85546875" style="1" bestFit="1" customWidth="1"/>
    <col min="15511" max="15511" width="9.140625" style="1"/>
    <col min="15512" max="15512" width="14" style="1" customWidth="1"/>
    <col min="15513" max="15513" width="9.140625" style="1"/>
    <col min="15514" max="15514" width="12.85546875" style="1" bestFit="1" customWidth="1"/>
    <col min="15515" max="15515" width="10" style="1" customWidth="1"/>
    <col min="15516" max="15516" width="14" style="1" bestFit="1" customWidth="1"/>
    <col min="15517" max="15517" width="9.85546875" style="1" bestFit="1" customWidth="1"/>
    <col min="15518" max="15518" width="13.5703125" style="1" bestFit="1" customWidth="1"/>
    <col min="15519" max="15519" width="9.85546875" style="1" bestFit="1" customWidth="1"/>
    <col min="15520" max="15520" width="12.85546875" style="1" bestFit="1" customWidth="1"/>
    <col min="15521" max="15532" width="10.5703125" style="1" customWidth="1"/>
    <col min="15533" max="15533" width="11.140625" style="1" bestFit="1" customWidth="1"/>
    <col min="15534" max="15534" width="2.7109375" style="1" customWidth="1"/>
    <col min="15535" max="15535" width="9.85546875" style="1" bestFit="1" customWidth="1"/>
    <col min="15536" max="15537" width="9.140625" style="1"/>
    <col min="15538" max="15538" width="24" style="1" customWidth="1"/>
    <col min="15539" max="15541" width="9.140625" style="1"/>
    <col min="15542" max="15542" width="9" style="1" bestFit="1" customWidth="1"/>
    <col min="15543" max="15552" width="9.28515625" style="1" bestFit="1" customWidth="1"/>
    <col min="15553" max="15553" width="10.28515625" style="1" bestFit="1" customWidth="1"/>
    <col min="15554" max="15554" width="11.28515625" style="1" bestFit="1" customWidth="1"/>
    <col min="15555" max="15555" width="11.7109375" style="1" customWidth="1"/>
    <col min="15556" max="15556" width="9.140625" style="1"/>
    <col min="15557" max="15557" width="22.28515625" style="1" customWidth="1"/>
    <col min="15558" max="15558" width="9.140625" style="1"/>
    <col min="15559" max="15559" width="9.28515625" style="1" bestFit="1" customWidth="1"/>
    <col min="15560" max="15560" width="9.42578125" style="1" bestFit="1" customWidth="1"/>
    <col min="15561" max="15561" width="9.28515625" style="1" bestFit="1" customWidth="1"/>
    <col min="15562" max="15562" width="10.28515625" style="1" bestFit="1" customWidth="1"/>
    <col min="15563" max="15564" width="9.28515625" style="1" bestFit="1" customWidth="1"/>
    <col min="15565" max="15566" width="10.28515625" style="1" bestFit="1" customWidth="1"/>
    <col min="15567" max="15571" width="9.28515625" style="1" bestFit="1" customWidth="1"/>
    <col min="15572" max="15572" width="10.42578125" style="1" bestFit="1" customWidth="1"/>
    <col min="15573" max="15573" width="9.140625" style="1"/>
    <col min="15574" max="15574" width="24.85546875" style="1" customWidth="1"/>
    <col min="15575" max="15575" width="9.140625" style="1"/>
    <col min="15576" max="15588" width="9.28515625" style="1" bestFit="1" customWidth="1"/>
    <col min="15589" max="15589" width="10.28515625" style="1" bestFit="1" customWidth="1"/>
    <col min="15590" max="15590" width="9.5703125" style="1" bestFit="1" customWidth="1"/>
    <col min="15591" max="15591" width="18.5703125" style="1" customWidth="1"/>
    <col min="15592" max="15593" width="9.140625" style="1"/>
    <col min="15594" max="15596" width="12.140625" style="1" bestFit="1" customWidth="1"/>
    <col min="15597" max="15605" width="10.28515625" style="1" bestFit="1" customWidth="1"/>
    <col min="15606" max="15606" width="11.28515625" style="1" bestFit="1" customWidth="1"/>
    <col min="15607" max="15607" width="9.140625" style="1"/>
    <col min="15608" max="15608" width="19" style="1" customWidth="1"/>
    <col min="15609" max="15625" width="9.140625" style="1"/>
    <col min="15626" max="15636" width="11.28515625" style="1" bestFit="1" customWidth="1"/>
    <col min="15637" max="15637" width="10.28515625" style="1" bestFit="1" customWidth="1"/>
    <col min="15638" max="15638" width="12.85546875" style="1" bestFit="1" customWidth="1"/>
    <col min="15639" max="15761" width="9.140625" style="1"/>
    <col min="15762" max="15762" width="11" style="1" bestFit="1" customWidth="1"/>
    <col min="15763" max="15763" width="28.140625" style="1" bestFit="1" customWidth="1"/>
    <col min="15764" max="15764" width="14" style="1" bestFit="1" customWidth="1"/>
    <col min="15765" max="15765" width="9.140625" style="1"/>
    <col min="15766" max="15766" width="13.85546875" style="1" bestFit="1" customWidth="1"/>
    <col min="15767" max="15767" width="9.140625" style="1"/>
    <col min="15768" max="15768" width="14" style="1" customWidth="1"/>
    <col min="15769" max="15769" width="9.140625" style="1"/>
    <col min="15770" max="15770" width="12.85546875" style="1" bestFit="1" customWidth="1"/>
    <col min="15771" max="15771" width="10" style="1" customWidth="1"/>
    <col min="15772" max="15772" width="14" style="1" bestFit="1" customWidth="1"/>
    <col min="15773" max="15773" width="9.85546875" style="1" bestFit="1" customWidth="1"/>
    <col min="15774" max="15774" width="13.5703125" style="1" bestFit="1" customWidth="1"/>
    <col min="15775" max="15775" width="9.85546875" style="1" bestFit="1" customWidth="1"/>
    <col min="15776" max="15776" width="12.85546875" style="1" bestFit="1" customWidth="1"/>
    <col min="15777" max="15788" width="10.5703125" style="1" customWidth="1"/>
    <col min="15789" max="15789" width="11.140625" style="1" bestFit="1" customWidth="1"/>
    <col min="15790" max="15790" width="2.7109375" style="1" customWidth="1"/>
    <col min="15791" max="15791" width="9.85546875" style="1" bestFit="1" customWidth="1"/>
    <col min="15792" max="15793" width="9.140625" style="1"/>
    <col min="15794" max="15794" width="24" style="1" customWidth="1"/>
    <col min="15795" max="15797" width="9.140625" style="1"/>
    <col min="15798" max="15798" width="9" style="1" bestFit="1" customWidth="1"/>
    <col min="15799" max="15808" width="9.28515625" style="1" bestFit="1" customWidth="1"/>
    <col min="15809" max="15809" width="10.28515625" style="1" bestFit="1" customWidth="1"/>
    <col min="15810" max="15810" width="11.28515625" style="1" bestFit="1" customWidth="1"/>
    <col min="15811" max="15811" width="11.7109375" style="1" customWidth="1"/>
    <col min="15812" max="15812" width="9.140625" style="1"/>
    <col min="15813" max="15813" width="22.28515625" style="1" customWidth="1"/>
    <col min="15814" max="15814" width="9.140625" style="1"/>
    <col min="15815" max="15815" width="9.28515625" style="1" bestFit="1" customWidth="1"/>
    <col min="15816" max="15816" width="9.42578125" style="1" bestFit="1" customWidth="1"/>
    <col min="15817" max="15817" width="9.28515625" style="1" bestFit="1" customWidth="1"/>
    <col min="15818" max="15818" width="10.28515625" style="1" bestFit="1" customWidth="1"/>
    <col min="15819" max="15820" width="9.28515625" style="1" bestFit="1" customWidth="1"/>
    <col min="15821" max="15822" width="10.28515625" style="1" bestFit="1" customWidth="1"/>
    <col min="15823" max="15827" width="9.28515625" style="1" bestFit="1" customWidth="1"/>
    <col min="15828" max="15828" width="10.42578125" style="1" bestFit="1" customWidth="1"/>
    <col min="15829" max="15829" width="9.140625" style="1"/>
    <col min="15830" max="15830" width="24.85546875" style="1" customWidth="1"/>
    <col min="15831" max="15831" width="9.140625" style="1"/>
    <col min="15832" max="15844" width="9.28515625" style="1" bestFit="1" customWidth="1"/>
    <col min="15845" max="15845" width="10.28515625" style="1" bestFit="1" customWidth="1"/>
    <col min="15846" max="15846" width="9.5703125" style="1" bestFit="1" customWidth="1"/>
    <col min="15847" max="15847" width="18.5703125" style="1" customWidth="1"/>
    <col min="15848" max="15849" width="9.140625" style="1"/>
    <col min="15850" max="15852" width="12.140625" style="1" bestFit="1" customWidth="1"/>
    <col min="15853" max="15861" width="10.28515625" style="1" bestFit="1" customWidth="1"/>
    <col min="15862" max="15862" width="11.28515625" style="1" bestFit="1" customWidth="1"/>
    <col min="15863" max="15863" width="9.140625" style="1"/>
    <col min="15864" max="15864" width="19" style="1" customWidth="1"/>
    <col min="15865" max="15881" width="9.140625" style="1"/>
    <col min="15882" max="15892" width="11.28515625" style="1" bestFit="1" customWidth="1"/>
    <col min="15893" max="15893" width="10.28515625" style="1" bestFit="1" customWidth="1"/>
    <col min="15894" max="15894" width="12.85546875" style="1" bestFit="1" customWidth="1"/>
    <col min="15895" max="16017" width="9.140625" style="1"/>
    <col min="16018" max="16018" width="11" style="1" bestFit="1" customWidth="1"/>
    <col min="16019" max="16019" width="28.140625" style="1" bestFit="1" customWidth="1"/>
    <col min="16020" max="16020" width="14" style="1" bestFit="1" customWidth="1"/>
    <col min="16021" max="16021" width="9.140625" style="1"/>
    <col min="16022" max="16022" width="13.85546875" style="1" bestFit="1" customWidth="1"/>
    <col min="16023" max="16023" width="9.140625" style="1"/>
    <col min="16024" max="16024" width="14" style="1" customWidth="1"/>
    <col min="16025" max="16025" width="9.140625" style="1"/>
    <col min="16026" max="16026" width="12.85546875" style="1" bestFit="1" customWidth="1"/>
    <col min="16027" max="16027" width="10" style="1" customWidth="1"/>
    <col min="16028" max="16028" width="14" style="1" bestFit="1" customWidth="1"/>
    <col min="16029" max="16029" width="9.85546875" style="1" bestFit="1" customWidth="1"/>
    <col min="16030" max="16030" width="13.5703125" style="1" bestFit="1" customWidth="1"/>
    <col min="16031" max="16031" width="9.85546875" style="1" bestFit="1" customWidth="1"/>
    <col min="16032" max="16032" width="12.85546875" style="1" bestFit="1" customWidth="1"/>
    <col min="16033" max="16044" width="10.5703125" style="1" customWidth="1"/>
    <col min="16045" max="16045" width="11.140625" style="1" bestFit="1" customWidth="1"/>
    <col min="16046" max="16046" width="2.7109375" style="1" customWidth="1"/>
    <col min="16047" max="16047" width="9.85546875" style="1" bestFit="1" customWidth="1"/>
    <col min="16048" max="16049" width="9.140625" style="1"/>
    <col min="16050" max="16050" width="24" style="1" customWidth="1"/>
    <col min="16051" max="16053" width="9.140625" style="1"/>
    <col min="16054" max="16054" width="9" style="1" bestFit="1" customWidth="1"/>
    <col min="16055" max="16064" width="9.28515625" style="1" bestFit="1" customWidth="1"/>
    <col min="16065" max="16065" width="10.28515625" style="1" bestFit="1" customWidth="1"/>
    <col min="16066" max="16066" width="11.28515625" style="1" bestFit="1" customWidth="1"/>
    <col min="16067" max="16067" width="11.7109375" style="1" customWidth="1"/>
    <col min="16068" max="16068" width="9.140625" style="1"/>
    <col min="16069" max="16069" width="22.28515625" style="1" customWidth="1"/>
    <col min="16070" max="16070" width="9.140625" style="1"/>
    <col min="16071" max="16071" width="9.28515625" style="1" bestFit="1" customWidth="1"/>
    <col min="16072" max="16072" width="9.42578125" style="1" bestFit="1" customWidth="1"/>
    <col min="16073" max="16073" width="9.28515625" style="1" bestFit="1" customWidth="1"/>
    <col min="16074" max="16074" width="10.28515625" style="1" bestFit="1" customWidth="1"/>
    <col min="16075" max="16076" width="9.28515625" style="1" bestFit="1" customWidth="1"/>
    <col min="16077" max="16078" width="10.28515625" style="1" bestFit="1" customWidth="1"/>
    <col min="16079" max="16083" width="9.28515625" style="1" bestFit="1" customWidth="1"/>
    <col min="16084" max="16084" width="10.42578125" style="1" bestFit="1" customWidth="1"/>
    <col min="16085" max="16085" width="9.140625" style="1"/>
    <col min="16086" max="16086" width="24.85546875" style="1" customWidth="1"/>
    <col min="16087" max="16087" width="9.140625" style="1"/>
    <col min="16088" max="16100" width="9.28515625" style="1" bestFit="1" customWidth="1"/>
    <col min="16101" max="16101" width="10.28515625" style="1" bestFit="1" customWidth="1"/>
    <col min="16102" max="16102" width="9.5703125" style="1" bestFit="1" customWidth="1"/>
    <col min="16103" max="16103" width="18.5703125" style="1" customWidth="1"/>
    <col min="16104" max="16105" width="9.140625" style="1"/>
    <col min="16106" max="16108" width="12.140625" style="1" bestFit="1" customWidth="1"/>
    <col min="16109" max="16117" width="10.28515625" style="1" bestFit="1" customWidth="1"/>
    <col min="16118" max="16118" width="11.28515625" style="1" bestFit="1" customWidth="1"/>
    <col min="16119" max="16119" width="9.140625" style="1"/>
    <col min="16120" max="16120" width="19" style="1" customWidth="1"/>
    <col min="16121" max="16137" width="9.140625" style="1"/>
    <col min="16138" max="16148" width="11.28515625" style="1" bestFit="1" customWidth="1"/>
    <col min="16149" max="16149" width="10.28515625" style="1" bestFit="1" customWidth="1"/>
    <col min="16150" max="16150" width="12.85546875" style="1" bestFit="1" customWidth="1"/>
    <col min="16151" max="16384" width="9.140625" style="1"/>
  </cols>
  <sheetData>
    <row r="1" spans="1:20" x14ac:dyDescent="0.2">
      <c r="F1" s="39" t="s">
        <v>49</v>
      </c>
      <c r="G1" s="39" t="s">
        <v>48</v>
      </c>
      <c r="H1" s="39" t="s">
        <v>47</v>
      </c>
      <c r="I1" s="39" t="s">
        <v>46</v>
      </c>
      <c r="J1" s="39" t="s">
        <v>45</v>
      </c>
      <c r="K1" s="39" t="s">
        <v>44</v>
      </c>
      <c r="L1" s="39" t="s">
        <v>43</v>
      </c>
      <c r="M1" s="39" t="s">
        <v>42</v>
      </c>
      <c r="N1" s="39" t="s">
        <v>41</v>
      </c>
      <c r="O1" s="39" t="s">
        <v>40</v>
      </c>
      <c r="P1" s="39" t="s">
        <v>39</v>
      </c>
      <c r="Q1" s="39" t="s">
        <v>38</v>
      </c>
      <c r="R1" s="39" t="s">
        <v>37</v>
      </c>
    </row>
    <row r="2" spans="1:20" x14ac:dyDescent="0.2">
      <c r="B2" s="35" t="s">
        <v>219</v>
      </c>
      <c r="C2" s="6">
        <f>STATS!D16</f>
        <v>5</v>
      </c>
      <c r="F2" s="131">
        <f>'MO STATS'!E12</f>
        <v>0</v>
      </c>
      <c r="G2" s="131">
        <f>'MO STATS'!F12</f>
        <v>0</v>
      </c>
      <c r="H2" s="131">
        <f>'MO STATS'!G12</f>
        <v>0</v>
      </c>
      <c r="I2" s="131">
        <f>'MO STATS'!H12</f>
        <v>0</v>
      </c>
      <c r="J2" s="131">
        <f>'MO STATS'!I12</f>
        <v>0</v>
      </c>
      <c r="K2" s="131">
        <f>'MO STATS'!J12</f>
        <v>0</v>
      </c>
      <c r="L2" s="131">
        <f>'MO STATS'!K12</f>
        <v>0</v>
      </c>
      <c r="M2" s="131">
        <f>'MO STATS'!L12</f>
        <v>0</v>
      </c>
      <c r="N2" s="131">
        <f>'MO STATS'!M12</f>
        <v>1</v>
      </c>
      <c r="O2" s="131">
        <f>'MO STATS'!N12</f>
        <v>3</v>
      </c>
      <c r="P2" s="131">
        <f>'MO STATS'!O12</f>
        <v>1</v>
      </c>
      <c r="Q2" s="131">
        <f>'MO STATS'!P12</f>
        <v>0</v>
      </c>
      <c r="R2" s="96">
        <f>SUM(F2:Q2)</f>
        <v>5</v>
      </c>
      <c r="T2" s="3">
        <f>C2-R2</f>
        <v>0</v>
      </c>
    </row>
    <row r="3" spans="1:20" x14ac:dyDescent="0.2">
      <c r="B3" s="35" t="s">
        <v>221</v>
      </c>
      <c r="C3" s="6">
        <f>STATS!D17</f>
        <v>11</v>
      </c>
      <c r="F3" s="131">
        <f>'MO STATS'!E13</f>
        <v>1</v>
      </c>
      <c r="G3" s="131">
        <f>'MO STATS'!F13</f>
        <v>1</v>
      </c>
      <c r="H3" s="131">
        <f>'MO STATS'!G13</f>
        <v>1</v>
      </c>
      <c r="I3" s="131">
        <f>'MO STATS'!H13</f>
        <v>1</v>
      </c>
      <c r="J3" s="131">
        <f>'MO STATS'!I13</f>
        <v>1</v>
      </c>
      <c r="K3" s="131">
        <f>'MO STATS'!J13</f>
        <v>0</v>
      </c>
      <c r="L3" s="131">
        <f>'MO STATS'!K13</f>
        <v>1</v>
      </c>
      <c r="M3" s="131">
        <f>'MO STATS'!L13</f>
        <v>0</v>
      </c>
      <c r="N3" s="131">
        <f>'MO STATS'!M13</f>
        <v>0</v>
      </c>
      <c r="O3" s="131">
        <f>'MO STATS'!N13</f>
        <v>0</v>
      </c>
      <c r="P3" s="131">
        <f>'MO STATS'!O13</f>
        <v>4</v>
      </c>
      <c r="Q3" s="131">
        <f>'MO STATS'!P13</f>
        <v>1</v>
      </c>
      <c r="R3" s="96">
        <f t="shared" ref="R3:R4" si="0">SUM(F3:Q3)</f>
        <v>11</v>
      </c>
      <c r="T3" s="3">
        <f t="shared" ref="T3:T4" si="1">C3-R3</f>
        <v>0</v>
      </c>
    </row>
    <row r="4" spans="1:20" x14ac:dyDescent="0.2">
      <c r="B4" s="35" t="s">
        <v>223</v>
      </c>
      <c r="C4" s="6">
        <f>C2+C3</f>
        <v>16</v>
      </c>
      <c r="F4" s="131">
        <f>'MO STATS'!E14</f>
        <v>1</v>
      </c>
      <c r="G4" s="131">
        <f>'MO STATS'!F14</f>
        <v>1</v>
      </c>
      <c r="H4" s="131">
        <f>'MO STATS'!G14</f>
        <v>1</v>
      </c>
      <c r="I4" s="131">
        <f>'MO STATS'!H14</f>
        <v>1</v>
      </c>
      <c r="J4" s="131">
        <f>'MO STATS'!I14</f>
        <v>1</v>
      </c>
      <c r="K4" s="131">
        <f>'MO STATS'!J14</f>
        <v>0</v>
      </c>
      <c r="L4" s="131">
        <f>'MO STATS'!K14</f>
        <v>1</v>
      </c>
      <c r="M4" s="131">
        <f>'MO STATS'!L14</f>
        <v>0</v>
      </c>
      <c r="N4" s="131">
        <f>'MO STATS'!M14</f>
        <v>1</v>
      </c>
      <c r="O4" s="131">
        <f>'MO STATS'!N14</f>
        <v>3</v>
      </c>
      <c r="P4" s="131">
        <f>'MO STATS'!O14</f>
        <v>5</v>
      </c>
      <c r="Q4" s="131">
        <f>'MO STATS'!P14</f>
        <v>1</v>
      </c>
      <c r="R4" s="96">
        <f t="shared" si="0"/>
        <v>16</v>
      </c>
      <c r="T4" s="3">
        <f t="shared" si="1"/>
        <v>0</v>
      </c>
    </row>
    <row r="5" spans="1:20" x14ac:dyDescent="0.2">
      <c r="B5" s="35"/>
      <c r="C5" s="6"/>
    </row>
    <row r="6" spans="1:20" x14ac:dyDescent="0.2">
      <c r="A6" s="711" t="s">
        <v>35</v>
      </c>
      <c r="B6" s="711"/>
      <c r="C6" s="711"/>
      <c r="D6" s="711"/>
    </row>
    <row r="7" spans="1:20" ht="26.25" customHeight="1" x14ac:dyDescent="0.2">
      <c r="A7" s="21"/>
      <c r="B7" s="10" t="s">
        <v>400</v>
      </c>
      <c r="C7" s="103" t="s">
        <v>380</v>
      </c>
      <c r="D7" s="102" t="s">
        <v>383</v>
      </c>
      <c r="F7" s="39" t="s">
        <v>49</v>
      </c>
      <c r="G7" s="39" t="s">
        <v>48</v>
      </c>
      <c r="H7" s="39" t="s">
        <v>47</v>
      </c>
      <c r="I7" s="39" t="s">
        <v>46</v>
      </c>
      <c r="J7" s="39" t="s">
        <v>45</v>
      </c>
      <c r="K7" s="39" t="s">
        <v>44</v>
      </c>
      <c r="L7" s="39" t="s">
        <v>43</v>
      </c>
      <c r="M7" s="39" t="s">
        <v>42</v>
      </c>
      <c r="N7" s="39" t="s">
        <v>41</v>
      </c>
      <c r="O7" s="39" t="s">
        <v>40</v>
      </c>
      <c r="P7" s="39" t="s">
        <v>39</v>
      </c>
      <c r="Q7" s="39" t="s">
        <v>38</v>
      </c>
      <c r="R7" s="39" t="s">
        <v>37</v>
      </c>
    </row>
    <row r="8" spans="1:20" x14ac:dyDescent="0.2">
      <c r="A8" s="16"/>
      <c r="B8" s="29" t="s">
        <v>352</v>
      </c>
      <c r="C8" s="28">
        <f t="shared" ref="C8:C22" si="2">C$2*$D8</f>
        <v>4500</v>
      </c>
      <c r="D8" s="13">
        <f>[5]Surgiday!$J$12</f>
        <v>900</v>
      </c>
      <c r="F8" s="375">
        <f>$D8*F$2</f>
        <v>0</v>
      </c>
      <c r="G8" s="375">
        <f t="shared" ref="G8:Q14" si="3">$D8*G$2</f>
        <v>0</v>
      </c>
      <c r="H8" s="375">
        <f t="shared" si="3"/>
        <v>0</v>
      </c>
      <c r="I8" s="375">
        <f t="shared" si="3"/>
        <v>0</v>
      </c>
      <c r="J8" s="375">
        <f t="shared" si="3"/>
        <v>0</v>
      </c>
      <c r="K8" s="375">
        <f t="shared" si="3"/>
        <v>0</v>
      </c>
      <c r="L8" s="375">
        <f t="shared" si="3"/>
        <v>0</v>
      </c>
      <c r="M8" s="375">
        <f t="shared" si="3"/>
        <v>0</v>
      </c>
      <c r="N8" s="375">
        <f t="shared" si="3"/>
        <v>900</v>
      </c>
      <c r="O8" s="375">
        <f t="shared" si="3"/>
        <v>2700</v>
      </c>
      <c r="P8" s="375">
        <f t="shared" si="3"/>
        <v>900</v>
      </c>
      <c r="Q8" s="375">
        <f t="shared" si="3"/>
        <v>0</v>
      </c>
      <c r="R8" s="109">
        <f>SUM(F8:Q8)</f>
        <v>4500</v>
      </c>
      <c r="T8" s="3">
        <f>C8-R8</f>
        <v>0</v>
      </c>
    </row>
    <row r="9" spans="1:20" x14ac:dyDescent="0.2">
      <c r="A9" s="16"/>
      <c r="B9" s="29" t="s">
        <v>353</v>
      </c>
      <c r="C9" s="28">
        <f t="shared" si="2"/>
        <v>0</v>
      </c>
      <c r="D9" s="13">
        <f>[9]SURGIDAY!$M$12</f>
        <v>0</v>
      </c>
      <c r="F9" s="375">
        <f t="shared" ref="F9:Q22" si="4">$D9*F$2</f>
        <v>0</v>
      </c>
      <c r="G9" s="375">
        <f t="shared" si="3"/>
        <v>0</v>
      </c>
      <c r="H9" s="375">
        <f t="shared" si="3"/>
        <v>0</v>
      </c>
      <c r="I9" s="375">
        <f t="shared" si="3"/>
        <v>0</v>
      </c>
      <c r="J9" s="375">
        <f t="shared" si="3"/>
        <v>0</v>
      </c>
      <c r="K9" s="375">
        <f t="shared" si="3"/>
        <v>0</v>
      </c>
      <c r="L9" s="375">
        <f t="shared" si="3"/>
        <v>0</v>
      </c>
      <c r="M9" s="375">
        <f t="shared" si="3"/>
        <v>0</v>
      </c>
      <c r="N9" s="375">
        <f t="shared" si="3"/>
        <v>0</v>
      </c>
      <c r="O9" s="375">
        <f t="shared" si="3"/>
        <v>0</v>
      </c>
      <c r="P9" s="375">
        <f t="shared" si="3"/>
        <v>0</v>
      </c>
      <c r="Q9" s="375">
        <f t="shared" si="3"/>
        <v>0</v>
      </c>
      <c r="R9" s="109">
        <f t="shared" ref="R9:R15" si="5">SUM(F9:Q9)</f>
        <v>0</v>
      </c>
      <c r="T9" s="3">
        <f t="shared" ref="T9:T32" si="6">C9-R9</f>
        <v>0</v>
      </c>
    </row>
    <row r="10" spans="1:20" x14ac:dyDescent="0.2">
      <c r="A10" s="16"/>
      <c r="B10" s="29" t="s">
        <v>355</v>
      </c>
      <c r="C10" s="28">
        <f t="shared" si="2"/>
        <v>0</v>
      </c>
      <c r="D10" s="13">
        <f>[9]SURGIDAY!$M$13</f>
        <v>0</v>
      </c>
      <c r="F10" s="375">
        <f t="shared" si="4"/>
        <v>0</v>
      </c>
      <c r="G10" s="375">
        <f t="shared" si="3"/>
        <v>0</v>
      </c>
      <c r="H10" s="375">
        <f t="shared" si="3"/>
        <v>0</v>
      </c>
      <c r="I10" s="375">
        <f t="shared" si="3"/>
        <v>0</v>
      </c>
      <c r="J10" s="375">
        <f t="shared" si="3"/>
        <v>0</v>
      </c>
      <c r="K10" s="375">
        <f t="shared" si="3"/>
        <v>0</v>
      </c>
      <c r="L10" s="375">
        <f t="shared" si="3"/>
        <v>0</v>
      </c>
      <c r="M10" s="375">
        <f t="shared" si="3"/>
        <v>0</v>
      </c>
      <c r="N10" s="375">
        <f t="shared" si="3"/>
        <v>0</v>
      </c>
      <c r="O10" s="375">
        <f t="shared" si="3"/>
        <v>0</v>
      </c>
      <c r="P10" s="375">
        <f t="shared" si="3"/>
        <v>0</v>
      </c>
      <c r="Q10" s="375">
        <f t="shared" si="3"/>
        <v>0</v>
      </c>
      <c r="R10" s="109">
        <f t="shared" si="5"/>
        <v>0</v>
      </c>
      <c r="T10" s="3">
        <f t="shared" si="6"/>
        <v>0</v>
      </c>
    </row>
    <row r="11" spans="1:20" x14ac:dyDescent="0.2">
      <c r="A11" s="16"/>
      <c r="B11" s="29" t="s">
        <v>370</v>
      </c>
      <c r="C11" s="28">
        <f t="shared" si="2"/>
        <v>0</v>
      </c>
      <c r="D11" s="13"/>
      <c r="F11" s="375">
        <f t="shared" si="4"/>
        <v>0</v>
      </c>
      <c r="G11" s="375">
        <f t="shared" si="3"/>
        <v>0</v>
      </c>
      <c r="H11" s="375">
        <f t="shared" si="3"/>
        <v>0</v>
      </c>
      <c r="I11" s="375">
        <f t="shared" si="3"/>
        <v>0</v>
      </c>
      <c r="J11" s="375">
        <f t="shared" si="3"/>
        <v>0</v>
      </c>
      <c r="K11" s="375">
        <f t="shared" si="3"/>
        <v>0</v>
      </c>
      <c r="L11" s="375">
        <f t="shared" si="3"/>
        <v>0</v>
      </c>
      <c r="M11" s="375">
        <f t="shared" si="3"/>
        <v>0</v>
      </c>
      <c r="N11" s="375">
        <f t="shared" si="3"/>
        <v>0</v>
      </c>
      <c r="O11" s="375">
        <f t="shared" si="3"/>
        <v>0</v>
      </c>
      <c r="P11" s="375">
        <f t="shared" si="3"/>
        <v>0</v>
      </c>
      <c r="Q11" s="375">
        <f t="shared" si="3"/>
        <v>0</v>
      </c>
      <c r="R11" s="109">
        <f t="shared" si="5"/>
        <v>0</v>
      </c>
      <c r="T11" s="3">
        <f t="shared" si="6"/>
        <v>0</v>
      </c>
    </row>
    <row r="12" spans="1:20" x14ac:dyDescent="0.2">
      <c r="A12" s="16"/>
      <c r="B12" s="29" t="s">
        <v>356</v>
      </c>
      <c r="C12" s="28">
        <f t="shared" si="2"/>
        <v>9000</v>
      </c>
      <c r="D12" s="13">
        <f>[5]Surgiday!$J$17</f>
        <v>1800</v>
      </c>
      <c r="F12" s="375">
        <f t="shared" si="4"/>
        <v>0</v>
      </c>
      <c r="G12" s="375">
        <f t="shared" si="3"/>
        <v>0</v>
      </c>
      <c r="H12" s="375">
        <f t="shared" si="3"/>
        <v>0</v>
      </c>
      <c r="I12" s="375">
        <f t="shared" si="3"/>
        <v>0</v>
      </c>
      <c r="J12" s="375">
        <f t="shared" si="3"/>
        <v>0</v>
      </c>
      <c r="K12" s="375">
        <f t="shared" si="3"/>
        <v>0</v>
      </c>
      <c r="L12" s="375">
        <f t="shared" si="3"/>
        <v>0</v>
      </c>
      <c r="M12" s="375">
        <f t="shared" si="3"/>
        <v>0</v>
      </c>
      <c r="N12" s="375">
        <f t="shared" si="3"/>
        <v>1800</v>
      </c>
      <c r="O12" s="375">
        <f t="shared" si="3"/>
        <v>5400</v>
      </c>
      <c r="P12" s="375">
        <f t="shared" si="3"/>
        <v>1800</v>
      </c>
      <c r="Q12" s="375">
        <f t="shared" si="3"/>
        <v>0</v>
      </c>
      <c r="R12" s="109">
        <f t="shared" si="5"/>
        <v>9000</v>
      </c>
      <c r="T12" s="3">
        <f t="shared" si="6"/>
        <v>0</v>
      </c>
    </row>
    <row r="13" spans="1:20" x14ac:dyDescent="0.2">
      <c r="A13" s="16"/>
      <c r="B13" s="29" t="s">
        <v>354</v>
      </c>
      <c r="C13" s="28">
        <f t="shared" si="2"/>
        <v>0</v>
      </c>
      <c r="D13" s="13">
        <v>0</v>
      </c>
      <c r="F13" s="375">
        <f t="shared" si="4"/>
        <v>0</v>
      </c>
      <c r="G13" s="375">
        <f t="shared" si="3"/>
        <v>0</v>
      </c>
      <c r="H13" s="375">
        <f t="shared" si="3"/>
        <v>0</v>
      </c>
      <c r="I13" s="375">
        <f t="shared" si="3"/>
        <v>0</v>
      </c>
      <c r="J13" s="375">
        <f t="shared" si="3"/>
        <v>0</v>
      </c>
      <c r="K13" s="375">
        <f t="shared" si="3"/>
        <v>0</v>
      </c>
      <c r="L13" s="375">
        <f t="shared" si="3"/>
        <v>0</v>
      </c>
      <c r="M13" s="375">
        <f t="shared" si="3"/>
        <v>0</v>
      </c>
      <c r="N13" s="375">
        <f t="shared" si="3"/>
        <v>0</v>
      </c>
      <c r="O13" s="375">
        <f t="shared" si="3"/>
        <v>0</v>
      </c>
      <c r="P13" s="375">
        <f t="shared" si="3"/>
        <v>0</v>
      </c>
      <c r="Q13" s="375">
        <f t="shared" si="3"/>
        <v>0</v>
      </c>
      <c r="R13" s="109">
        <f t="shared" si="5"/>
        <v>0</v>
      </c>
      <c r="T13" s="3">
        <f t="shared" si="6"/>
        <v>0</v>
      </c>
    </row>
    <row r="14" spans="1:20" x14ac:dyDescent="0.2">
      <c r="A14" s="16"/>
      <c r="B14" s="29" t="s">
        <v>357</v>
      </c>
      <c r="C14" s="28">
        <f t="shared" si="2"/>
        <v>0</v>
      </c>
      <c r="D14" s="13">
        <v>0</v>
      </c>
      <c r="F14" s="375">
        <f t="shared" si="4"/>
        <v>0</v>
      </c>
      <c r="G14" s="375">
        <f t="shared" si="3"/>
        <v>0</v>
      </c>
      <c r="H14" s="375">
        <f t="shared" si="3"/>
        <v>0</v>
      </c>
      <c r="I14" s="375">
        <f t="shared" si="3"/>
        <v>0</v>
      </c>
      <c r="J14" s="375">
        <f t="shared" si="3"/>
        <v>0</v>
      </c>
      <c r="K14" s="375">
        <f t="shared" si="3"/>
        <v>0</v>
      </c>
      <c r="L14" s="375">
        <f t="shared" si="3"/>
        <v>0</v>
      </c>
      <c r="M14" s="375">
        <f t="shared" si="3"/>
        <v>0</v>
      </c>
      <c r="N14" s="375">
        <f t="shared" si="3"/>
        <v>0</v>
      </c>
      <c r="O14" s="375">
        <f t="shared" si="3"/>
        <v>0</v>
      </c>
      <c r="P14" s="375">
        <f t="shared" si="3"/>
        <v>0</v>
      </c>
      <c r="Q14" s="375">
        <f t="shared" si="3"/>
        <v>0</v>
      </c>
      <c r="R14" s="109">
        <f t="shared" si="5"/>
        <v>0</v>
      </c>
      <c r="T14" s="3">
        <f t="shared" si="6"/>
        <v>0</v>
      </c>
    </row>
    <row r="15" spans="1:20" ht="13.5" customHeight="1" x14ac:dyDescent="0.2">
      <c r="A15" s="87">
        <v>31110.013999999999</v>
      </c>
      <c r="B15" s="161" t="s">
        <v>401</v>
      </c>
      <c r="C15" s="293">
        <f>SUM(C8:C14)</f>
        <v>13500</v>
      </c>
      <c r="D15" s="292"/>
      <c r="E15" s="292"/>
      <c r="F15" s="369">
        <f>SUM(F8:F14)</f>
        <v>0</v>
      </c>
      <c r="G15" s="369">
        <f t="shared" ref="G15:Q15" si="7">SUM(G8:G14)</f>
        <v>0</v>
      </c>
      <c r="H15" s="369">
        <f t="shared" si="7"/>
        <v>0</v>
      </c>
      <c r="I15" s="369">
        <f t="shared" si="7"/>
        <v>0</v>
      </c>
      <c r="J15" s="369">
        <f t="shared" si="7"/>
        <v>0</v>
      </c>
      <c r="K15" s="369">
        <f t="shared" si="7"/>
        <v>0</v>
      </c>
      <c r="L15" s="369">
        <f t="shared" si="7"/>
        <v>0</v>
      </c>
      <c r="M15" s="369">
        <f t="shared" si="7"/>
        <v>0</v>
      </c>
      <c r="N15" s="369">
        <f t="shared" si="7"/>
        <v>2700</v>
      </c>
      <c r="O15" s="369">
        <f t="shared" si="7"/>
        <v>8100</v>
      </c>
      <c r="P15" s="369">
        <f t="shared" si="7"/>
        <v>2700</v>
      </c>
      <c r="Q15" s="369">
        <f t="shared" si="7"/>
        <v>0</v>
      </c>
      <c r="R15" s="369">
        <f t="shared" si="5"/>
        <v>13500</v>
      </c>
      <c r="S15" s="297"/>
      <c r="T15" s="291">
        <f t="shared" si="6"/>
        <v>0</v>
      </c>
    </row>
    <row r="16" spans="1:20" ht="13.5" customHeight="1" x14ac:dyDescent="0.2">
      <c r="A16" s="87"/>
      <c r="B16" s="29" t="s">
        <v>424</v>
      </c>
      <c r="C16" s="28">
        <f t="shared" si="2"/>
        <v>0</v>
      </c>
      <c r="D16" s="13">
        <v>0</v>
      </c>
      <c r="E16" s="7"/>
      <c r="F16" s="375">
        <f t="shared" si="4"/>
        <v>0</v>
      </c>
      <c r="G16" s="375">
        <f t="shared" si="4"/>
        <v>0</v>
      </c>
      <c r="H16" s="375">
        <f t="shared" si="4"/>
        <v>0</v>
      </c>
      <c r="I16" s="375">
        <f t="shared" si="4"/>
        <v>0</v>
      </c>
      <c r="J16" s="375">
        <f t="shared" si="4"/>
        <v>0</v>
      </c>
      <c r="K16" s="375">
        <f t="shared" si="4"/>
        <v>0</v>
      </c>
      <c r="L16" s="375">
        <f t="shared" si="4"/>
        <v>0</v>
      </c>
      <c r="M16" s="375">
        <f t="shared" si="4"/>
        <v>0</v>
      </c>
      <c r="N16" s="375">
        <f t="shared" si="4"/>
        <v>0</v>
      </c>
      <c r="O16" s="375">
        <f t="shared" si="4"/>
        <v>0</v>
      </c>
      <c r="P16" s="375">
        <f t="shared" si="4"/>
        <v>0</v>
      </c>
      <c r="Q16" s="375">
        <f t="shared" si="4"/>
        <v>0</v>
      </c>
      <c r="R16" s="109">
        <f t="shared" ref="R16:R22" si="8">SUM(F16:Q16)</f>
        <v>0</v>
      </c>
      <c r="T16" s="3">
        <f t="shared" ref="T16:T22" si="9">C16-R16</f>
        <v>0</v>
      </c>
    </row>
    <row r="17" spans="1:22" ht="13.5" customHeight="1" x14ac:dyDescent="0.2">
      <c r="A17" s="87"/>
      <c r="B17" s="29" t="s">
        <v>425</v>
      </c>
      <c r="C17" s="28">
        <f t="shared" si="2"/>
        <v>0</v>
      </c>
      <c r="D17" s="13">
        <v>0</v>
      </c>
      <c r="E17" s="7"/>
      <c r="F17" s="375">
        <f t="shared" si="4"/>
        <v>0</v>
      </c>
      <c r="G17" s="375">
        <f t="shared" si="4"/>
        <v>0</v>
      </c>
      <c r="H17" s="375">
        <f t="shared" si="4"/>
        <v>0</v>
      </c>
      <c r="I17" s="375">
        <f t="shared" si="4"/>
        <v>0</v>
      </c>
      <c r="J17" s="375">
        <f t="shared" si="4"/>
        <v>0</v>
      </c>
      <c r="K17" s="375">
        <f t="shared" si="4"/>
        <v>0</v>
      </c>
      <c r="L17" s="375">
        <f t="shared" si="4"/>
        <v>0</v>
      </c>
      <c r="M17" s="375">
        <f t="shared" si="4"/>
        <v>0</v>
      </c>
      <c r="N17" s="375">
        <f t="shared" si="4"/>
        <v>0</v>
      </c>
      <c r="O17" s="375">
        <f t="shared" si="4"/>
        <v>0</v>
      </c>
      <c r="P17" s="375">
        <f t="shared" si="4"/>
        <v>0</v>
      </c>
      <c r="Q17" s="375">
        <f t="shared" si="4"/>
        <v>0</v>
      </c>
      <c r="R17" s="109">
        <f t="shared" si="8"/>
        <v>0</v>
      </c>
      <c r="T17" s="3">
        <f t="shared" si="9"/>
        <v>0</v>
      </c>
    </row>
    <row r="18" spans="1:22" ht="13.5" customHeight="1" x14ac:dyDescent="0.2">
      <c r="A18" s="87"/>
      <c r="B18" s="29" t="s">
        <v>426</v>
      </c>
      <c r="C18" s="28">
        <f t="shared" si="2"/>
        <v>0</v>
      </c>
      <c r="D18" s="13">
        <v>0</v>
      </c>
      <c r="E18" s="7"/>
      <c r="F18" s="375">
        <f t="shared" si="4"/>
        <v>0</v>
      </c>
      <c r="G18" s="375">
        <f t="shared" si="4"/>
        <v>0</v>
      </c>
      <c r="H18" s="375">
        <f t="shared" si="4"/>
        <v>0</v>
      </c>
      <c r="I18" s="375">
        <f t="shared" si="4"/>
        <v>0</v>
      </c>
      <c r="J18" s="375">
        <f t="shared" si="4"/>
        <v>0</v>
      </c>
      <c r="K18" s="375">
        <f t="shared" si="4"/>
        <v>0</v>
      </c>
      <c r="L18" s="375">
        <f t="shared" si="4"/>
        <v>0</v>
      </c>
      <c r="M18" s="375">
        <f t="shared" si="4"/>
        <v>0</v>
      </c>
      <c r="N18" s="375">
        <f t="shared" si="4"/>
        <v>0</v>
      </c>
      <c r="O18" s="375">
        <f t="shared" si="4"/>
        <v>0</v>
      </c>
      <c r="P18" s="375">
        <f t="shared" si="4"/>
        <v>0</v>
      </c>
      <c r="Q18" s="375">
        <f t="shared" si="4"/>
        <v>0</v>
      </c>
      <c r="R18" s="109">
        <f t="shared" si="8"/>
        <v>0</v>
      </c>
      <c r="T18" s="3">
        <f t="shared" si="9"/>
        <v>0</v>
      </c>
    </row>
    <row r="19" spans="1:22" ht="13.5" customHeight="1" x14ac:dyDescent="0.2">
      <c r="A19" s="87"/>
      <c r="B19" s="29" t="s">
        <v>427</v>
      </c>
      <c r="C19" s="28">
        <f t="shared" si="2"/>
        <v>0</v>
      </c>
      <c r="D19" s="13">
        <v>0</v>
      </c>
      <c r="E19" s="7"/>
      <c r="F19" s="375">
        <f t="shared" si="4"/>
        <v>0</v>
      </c>
      <c r="G19" s="375">
        <f t="shared" si="4"/>
        <v>0</v>
      </c>
      <c r="H19" s="375">
        <f t="shared" si="4"/>
        <v>0</v>
      </c>
      <c r="I19" s="375">
        <f t="shared" si="4"/>
        <v>0</v>
      </c>
      <c r="J19" s="375">
        <f t="shared" si="4"/>
        <v>0</v>
      </c>
      <c r="K19" s="375">
        <f t="shared" si="4"/>
        <v>0</v>
      </c>
      <c r="L19" s="375">
        <f t="shared" si="4"/>
        <v>0</v>
      </c>
      <c r="M19" s="375">
        <f t="shared" si="4"/>
        <v>0</v>
      </c>
      <c r="N19" s="375">
        <f t="shared" si="4"/>
        <v>0</v>
      </c>
      <c r="O19" s="375">
        <f t="shared" si="4"/>
        <v>0</v>
      </c>
      <c r="P19" s="375">
        <f t="shared" si="4"/>
        <v>0</v>
      </c>
      <c r="Q19" s="375">
        <f t="shared" si="4"/>
        <v>0</v>
      </c>
      <c r="R19" s="109">
        <f t="shared" si="8"/>
        <v>0</v>
      </c>
      <c r="T19" s="3">
        <f t="shared" si="9"/>
        <v>0</v>
      </c>
    </row>
    <row r="20" spans="1:22" ht="13.5" customHeight="1" x14ac:dyDescent="0.2">
      <c r="A20" s="87"/>
      <c r="B20" s="29" t="s">
        <v>428</v>
      </c>
      <c r="C20" s="28">
        <f t="shared" si="2"/>
        <v>0</v>
      </c>
      <c r="D20" s="13">
        <v>0</v>
      </c>
      <c r="E20" s="7"/>
      <c r="F20" s="375">
        <f t="shared" si="4"/>
        <v>0</v>
      </c>
      <c r="G20" s="375">
        <f t="shared" si="4"/>
        <v>0</v>
      </c>
      <c r="H20" s="375">
        <f t="shared" si="4"/>
        <v>0</v>
      </c>
      <c r="I20" s="375">
        <f t="shared" si="4"/>
        <v>0</v>
      </c>
      <c r="J20" s="375">
        <f t="shared" si="4"/>
        <v>0</v>
      </c>
      <c r="K20" s="375">
        <f t="shared" si="4"/>
        <v>0</v>
      </c>
      <c r="L20" s="375">
        <f t="shared" si="4"/>
        <v>0</v>
      </c>
      <c r="M20" s="375">
        <f t="shared" si="4"/>
        <v>0</v>
      </c>
      <c r="N20" s="375">
        <f t="shared" si="4"/>
        <v>0</v>
      </c>
      <c r="O20" s="375">
        <f t="shared" si="4"/>
        <v>0</v>
      </c>
      <c r="P20" s="375">
        <f t="shared" si="4"/>
        <v>0</v>
      </c>
      <c r="Q20" s="375">
        <f t="shared" si="4"/>
        <v>0</v>
      </c>
      <c r="R20" s="109">
        <f t="shared" si="8"/>
        <v>0</v>
      </c>
      <c r="T20" s="3">
        <f t="shared" si="9"/>
        <v>0</v>
      </c>
    </row>
    <row r="21" spans="1:22" ht="13.5" customHeight="1" x14ac:dyDescent="0.2">
      <c r="A21" s="87"/>
      <c r="B21" s="29" t="s">
        <v>429</v>
      </c>
      <c r="C21" s="28">
        <f t="shared" si="2"/>
        <v>0</v>
      </c>
      <c r="D21" s="13">
        <v>0</v>
      </c>
      <c r="E21" s="7"/>
      <c r="F21" s="375">
        <f t="shared" si="4"/>
        <v>0</v>
      </c>
      <c r="G21" s="375">
        <f t="shared" si="4"/>
        <v>0</v>
      </c>
      <c r="H21" s="375">
        <f t="shared" si="4"/>
        <v>0</v>
      </c>
      <c r="I21" s="375">
        <f t="shared" si="4"/>
        <v>0</v>
      </c>
      <c r="J21" s="375">
        <f t="shared" si="4"/>
        <v>0</v>
      </c>
      <c r="K21" s="375">
        <f t="shared" si="4"/>
        <v>0</v>
      </c>
      <c r="L21" s="375">
        <f t="shared" si="4"/>
        <v>0</v>
      </c>
      <c r="M21" s="375">
        <f t="shared" si="4"/>
        <v>0</v>
      </c>
      <c r="N21" s="375">
        <f t="shared" si="4"/>
        <v>0</v>
      </c>
      <c r="O21" s="375">
        <f t="shared" si="4"/>
        <v>0</v>
      </c>
      <c r="P21" s="375">
        <f t="shared" si="4"/>
        <v>0</v>
      </c>
      <c r="Q21" s="375">
        <f t="shared" si="4"/>
        <v>0</v>
      </c>
      <c r="R21" s="109">
        <f t="shared" si="8"/>
        <v>0</v>
      </c>
      <c r="T21" s="3">
        <f t="shared" si="9"/>
        <v>0</v>
      </c>
    </row>
    <row r="22" spans="1:22" ht="13.5" customHeight="1" x14ac:dyDescent="0.2">
      <c r="A22" s="87"/>
      <c r="B22" s="29" t="s">
        <v>430</v>
      </c>
      <c r="C22" s="28">
        <f t="shared" si="2"/>
        <v>0</v>
      </c>
      <c r="D22" s="13">
        <v>0</v>
      </c>
      <c r="E22" s="7"/>
      <c r="F22" s="375">
        <f t="shared" si="4"/>
        <v>0</v>
      </c>
      <c r="G22" s="375">
        <f t="shared" si="4"/>
        <v>0</v>
      </c>
      <c r="H22" s="375">
        <f t="shared" si="4"/>
        <v>0</v>
      </c>
      <c r="I22" s="375">
        <f t="shared" si="4"/>
        <v>0</v>
      </c>
      <c r="J22" s="375">
        <f t="shared" si="4"/>
        <v>0</v>
      </c>
      <c r="K22" s="375">
        <f t="shared" si="4"/>
        <v>0</v>
      </c>
      <c r="L22" s="375">
        <f t="shared" si="4"/>
        <v>0</v>
      </c>
      <c r="M22" s="375">
        <f t="shared" si="4"/>
        <v>0</v>
      </c>
      <c r="N22" s="375">
        <f t="shared" si="4"/>
        <v>0</v>
      </c>
      <c r="O22" s="375">
        <f t="shared" si="4"/>
        <v>0</v>
      </c>
      <c r="P22" s="375">
        <f t="shared" si="4"/>
        <v>0</v>
      </c>
      <c r="Q22" s="375">
        <f t="shared" si="4"/>
        <v>0</v>
      </c>
      <c r="R22" s="109">
        <f t="shared" si="8"/>
        <v>0</v>
      </c>
      <c r="T22" s="3">
        <f t="shared" si="9"/>
        <v>0</v>
      </c>
    </row>
    <row r="23" spans="1:22" s="5" customFormat="1" ht="13.5" customHeight="1" x14ac:dyDescent="0.2">
      <c r="A23" s="87">
        <v>31111.013999999999</v>
      </c>
      <c r="B23" s="161" t="s">
        <v>402</v>
      </c>
      <c r="C23" s="290">
        <f>SUM(C16:C22)</f>
        <v>0</v>
      </c>
      <c r="D23" s="291"/>
      <c r="E23" s="291"/>
      <c r="F23" s="372">
        <f>SUM(F16:F22)</f>
        <v>0</v>
      </c>
      <c r="G23" s="372">
        <f t="shared" ref="G23:Q23" si="10">SUM(G16:G22)</f>
        <v>0</v>
      </c>
      <c r="H23" s="372">
        <f t="shared" si="10"/>
        <v>0</v>
      </c>
      <c r="I23" s="372">
        <f t="shared" si="10"/>
        <v>0</v>
      </c>
      <c r="J23" s="372">
        <f t="shared" si="10"/>
        <v>0</v>
      </c>
      <c r="K23" s="372">
        <f t="shared" si="10"/>
        <v>0</v>
      </c>
      <c r="L23" s="372">
        <f t="shared" si="10"/>
        <v>0</v>
      </c>
      <c r="M23" s="372">
        <f t="shared" si="10"/>
        <v>0</v>
      </c>
      <c r="N23" s="372">
        <f t="shared" si="10"/>
        <v>0</v>
      </c>
      <c r="O23" s="372">
        <f t="shared" si="10"/>
        <v>0</v>
      </c>
      <c r="P23" s="372">
        <f t="shared" si="10"/>
        <v>0</v>
      </c>
      <c r="Q23" s="372">
        <f t="shared" si="10"/>
        <v>0</v>
      </c>
      <c r="R23" s="372">
        <f>SUM(F23:Q23)</f>
        <v>0</v>
      </c>
      <c r="S23" s="298"/>
      <c r="T23" s="291">
        <f t="shared" si="6"/>
        <v>0</v>
      </c>
      <c r="U23" s="6"/>
      <c r="V23" s="6"/>
    </row>
    <row r="24" spans="1:22" x14ac:dyDescent="0.2">
      <c r="A24" s="16"/>
      <c r="B24" s="29" t="s">
        <v>358</v>
      </c>
      <c r="C24" s="28">
        <f>C$3*$D24</f>
        <v>3300</v>
      </c>
      <c r="D24" s="13">
        <f>[5]Surgiday!$J$31</f>
        <v>300</v>
      </c>
      <c r="F24" s="375">
        <f>$D24*F$3</f>
        <v>300</v>
      </c>
      <c r="G24" s="375">
        <f t="shared" ref="G24:Q30" si="11">$D24*G$3</f>
        <v>300</v>
      </c>
      <c r="H24" s="375">
        <f t="shared" si="11"/>
        <v>300</v>
      </c>
      <c r="I24" s="375">
        <f t="shared" si="11"/>
        <v>300</v>
      </c>
      <c r="J24" s="375">
        <f t="shared" si="11"/>
        <v>300</v>
      </c>
      <c r="K24" s="375">
        <f t="shared" si="11"/>
        <v>0</v>
      </c>
      <c r="L24" s="375">
        <f t="shared" si="11"/>
        <v>300</v>
      </c>
      <c r="M24" s="375">
        <f t="shared" si="11"/>
        <v>0</v>
      </c>
      <c r="N24" s="375">
        <f t="shared" si="11"/>
        <v>0</v>
      </c>
      <c r="O24" s="375">
        <f t="shared" si="11"/>
        <v>0</v>
      </c>
      <c r="P24" s="375">
        <f t="shared" si="11"/>
        <v>1200</v>
      </c>
      <c r="Q24" s="375">
        <f t="shared" si="11"/>
        <v>300</v>
      </c>
      <c r="R24" s="109">
        <f t="shared" ref="R24:R30" si="12">SUM(F24:Q24)</f>
        <v>3300</v>
      </c>
      <c r="T24" s="3">
        <f t="shared" si="6"/>
        <v>0</v>
      </c>
    </row>
    <row r="25" spans="1:22" x14ac:dyDescent="0.2">
      <c r="A25" s="16"/>
      <c r="B25" s="29" t="s">
        <v>359</v>
      </c>
      <c r="C25" s="28">
        <f t="shared" ref="C25:C30" si="13">C$3*$D25</f>
        <v>0</v>
      </c>
      <c r="D25" s="13">
        <f>[9]SURGIDAY!$M$32</f>
        <v>0</v>
      </c>
      <c r="F25" s="375">
        <f t="shared" ref="F25:F30" si="14">$D25*F$3</f>
        <v>0</v>
      </c>
      <c r="G25" s="375">
        <f t="shared" si="11"/>
        <v>0</v>
      </c>
      <c r="H25" s="375">
        <f t="shared" si="11"/>
        <v>0</v>
      </c>
      <c r="I25" s="375">
        <f t="shared" si="11"/>
        <v>0</v>
      </c>
      <c r="J25" s="375">
        <f t="shared" si="11"/>
        <v>0</v>
      </c>
      <c r="K25" s="375">
        <f t="shared" si="11"/>
        <v>0</v>
      </c>
      <c r="L25" s="375">
        <f t="shared" si="11"/>
        <v>0</v>
      </c>
      <c r="M25" s="375">
        <f t="shared" si="11"/>
        <v>0</v>
      </c>
      <c r="N25" s="375">
        <f t="shared" si="11"/>
        <v>0</v>
      </c>
      <c r="O25" s="375">
        <f t="shared" si="11"/>
        <v>0</v>
      </c>
      <c r="P25" s="375">
        <f t="shared" si="11"/>
        <v>0</v>
      </c>
      <c r="Q25" s="375">
        <f t="shared" si="11"/>
        <v>0</v>
      </c>
      <c r="R25" s="109">
        <f t="shared" si="12"/>
        <v>0</v>
      </c>
      <c r="T25" s="3">
        <f t="shared" si="6"/>
        <v>0</v>
      </c>
    </row>
    <row r="26" spans="1:22" x14ac:dyDescent="0.2">
      <c r="A26" s="16"/>
      <c r="B26" s="29" t="s">
        <v>372</v>
      </c>
      <c r="C26" s="28">
        <f t="shared" si="13"/>
        <v>1100</v>
      </c>
      <c r="D26" s="13">
        <f>[5]Surgiday!$J$33</f>
        <v>100</v>
      </c>
      <c r="F26" s="375">
        <f t="shared" si="14"/>
        <v>100</v>
      </c>
      <c r="G26" s="375">
        <f t="shared" si="11"/>
        <v>100</v>
      </c>
      <c r="H26" s="375">
        <f t="shared" si="11"/>
        <v>100</v>
      </c>
      <c r="I26" s="375">
        <f t="shared" si="11"/>
        <v>100</v>
      </c>
      <c r="J26" s="375">
        <f t="shared" si="11"/>
        <v>100</v>
      </c>
      <c r="K26" s="375">
        <f t="shared" si="11"/>
        <v>0</v>
      </c>
      <c r="L26" s="375">
        <f t="shared" si="11"/>
        <v>100</v>
      </c>
      <c r="M26" s="375">
        <f t="shared" si="11"/>
        <v>0</v>
      </c>
      <c r="N26" s="375">
        <f t="shared" si="11"/>
        <v>0</v>
      </c>
      <c r="O26" s="375">
        <f t="shared" si="11"/>
        <v>0</v>
      </c>
      <c r="P26" s="375">
        <f t="shared" si="11"/>
        <v>400</v>
      </c>
      <c r="Q26" s="375">
        <f t="shared" si="11"/>
        <v>100</v>
      </c>
      <c r="R26" s="109">
        <f t="shared" si="12"/>
        <v>1100</v>
      </c>
      <c r="T26" s="3">
        <f t="shared" si="6"/>
        <v>0</v>
      </c>
    </row>
    <row r="27" spans="1:22" x14ac:dyDescent="0.2">
      <c r="A27" s="16"/>
      <c r="B27" s="29" t="s">
        <v>373</v>
      </c>
      <c r="C27" s="28">
        <f t="shared" si="13"/>
        <v>0</v>
      </c>
      <c r="D27" s="13">
        <v>0</v>
      </c>
      <c r="F27" s="375">
        <f t="shared" si="14"/>
        <v>0</v>
      </c>
      <c r="G27" s="375">
        <f t="shared" si="11"/>
        <v>0</v>
      </c>
      <c r="H27" s="375">
        <f t="shared" si="11"/>
        <v>0</v>
      </c>
      <c r="I27" s="375">
        <f t="shared" si="11"/>
        <v>0</v>
      </c>
      <c r="J27" s="375">
        <f t="shared" si="11"/>
        <v>0</v>
      </c>
      <c r="K27" s="375">
        <f t="shared" si="11"/>
        <v>0</v>
      </c>
      <c r="L27" s="375">
        <f t="shared" si="11"/>
        <v>0</v>
      </c>
      <c r="M27" s="375">
        <f t="shared" si="11"/>
        <v>0</v>
      </c>
      <c r="N27" s="375">
        <f t="shared" si="11"/>
        <v>0</v>
      </c>
      <c r="O27" s="375">
        <f t="shared" si="11"/>
        <v>0</v>
      </c>
      <c r="P27" s="375">
        <f t="shared" si="11"/>
        <v>0</v>
      </c>
      <c r="Q27" s="375">
        <f t="shared" si="11"/>
        <v>0</v>
      </c>
      <c r="R27" s="109">
        <f t="shared" si="12"/>
        <v>0</v>
      </c>
      <c r="T27" s="3">
        <f t="shared" si="6"/>
        <v>0</v>
      </c>
    </row>
    <row r="28" spans="1:22" x14ac:dyDescent="0.2">
      <c r="A28" s="16"/>
      <c r="B28" s="29" t="s">
        <v>361</v>
      </c>
      <c r="C28" s="28">
        <f t="shared" si="13"/>
        <v>1493.5555555555554</v>
      </c>
      <c r="D28" s="13">
        <f>[5]Surgiday!$J$35</f>
        <v>135.77777777777777</v>
      </c>
      <c r="F28" s="375">
        <f t="shared" si="14"/>
        <v>135.77777777777777</v>
      </c>
      <c r="G28" s="375">
        <f t="shared" si="11"/>
        <v>135.77777777777777</v>
      </c>
      <c r="H28" s="375">
        <f t="shared" si="11"/>
        <v>135.77777777777777</v>
      </c>
      <c r="I28" s="375">
        <f t="shared" si="11"/>
        <v>135.77777777777777</v>
      </c>
      <c r="J28" s="375">
        <f t="shared" si="11"/>
        <v>135.77777777777777</v>
      </c>
      <c r="K28" s="375">
        <f t="shared" si="11"/>
        <v>0</v>
      </c>
      <c r="L28" s="375">
        <f t="shared" si="11"/>
        <v>135.77777777777777</v>
      </c>
      <c r="M28" s="375">
        <f t="shared" si="11"/>
        <v>0</v>
      </c>
      <c r="N28" s="375">
        <f t="shared" si="11"/>
        <v>0</v>
      </c>
      <c r="O28" s="375">
        <f t="shared" si="11"/>
        <v>0</v>
      </c>
      <c r="P28" s="375">
        <f t="shared" si="11"/>
        <v>543.11111111111109</v>
      </c>
      <c r="Q28" s="375">
        <f t="shared" si="11"/>
        <v>135.77777777777777</v>
      </c>
      <c r="R28" s="109">
        <f t="shared" si="12"/>
        <v>1493.5555555555557</v>
      </c>
      <c r="T28" s="3">
        <f t="shared" si="6"/>
        <v>0</v>
      </c>
    </row>
    <row r="29" spans="1:22" x14ac:dyDescent="0.2">
      <c r="A29" s="16"/>
      <c r="B29" s="29" t="s">
        <v>360</v>
      </c>
      <c r="C29" s="28">
        <f t="shared" si="13"/>
        <v>8174.2222222222217</v>
      </c>
      <c r="D29" s="13">
        <f>[5]Surgiday!$J$36</f>
        <v>743.11111111111109</v>
      </c>
      <c r="F29" s="375">
        <f t="shared" si="14"/>
        <v>743.11111111111109</v>
      </c>
      <c r="G29" s="375">
        <f t="shared" si="11"/>
        <v>743.11111111111109</v>
      </c>
      <c r="H29" s="375">
        <f t="shared" si="11"/>
        <v>743.11111111111109</v>
      </c>
      <c r="I29" s="375">
        <f t="shared" si="11"/>
        <v>743.11111111111109</v>
      </c>
      <c r="J29" s="375">
        <f t="shared" si="11"/>
        <v>743.11111111111109</v>
      </c>
      <c r="K29" s="375">
        <f t="shared" si="11"/>
        <v>0</v>
      </c>
      <c r="L29" s="375">
        <f t="shared" si="11"/>
        <v>743.11111111111109</v>
      </c>
      <c r="M29" s="375">
        <f t="shared" si="11"/>
        <v>0</v>
      </c>
      <c r="N29" s="375">
        <f t="shared" si="11"/>
        <v>0</v>
      </c>
      <c r="O29" s="375">
        <f t="shared" si="11"/>
        <v>0</v>
      </c>
      <c r="P29" s="375">
        <f t="shared" si="11"/>
        <v>2972.4444444444443</v>
      </c>
      <c r="Q29" s="375">
        <f t="shared" si="11"/>
        <v>743.11111111111109</v>
      </c>
      <c r="R29" s="109">
        <f t="shared" si="12"/>
        <v>8174.2222222222226</v>
      </c>
      <c r="T29" s="3">
        <f t="shared" si="6"/>
        <v>0</v>
      </c>
    </row>
    <row r="30" spans="1:22" x14ac:dyDescent="0.2">
      <c r="A30" s="16"/>
      <c r="B30" s="29" t="s">
        <v>362</v>
      </c>
      <c r="C30" s="28">
        <f t="shared" si="13"/>
        <v>0</v>
      </c>
      <c r="D30" s="13">
        <f>[9]SURGIDAY!$M$36</f>
        <v>0</v>
      </c>
      <c r="F30" s="375">
        <f t="shared" si="14"/>
        <v>0</v>
      </c>
      <c r="G30" s="375">
        <f t="shared" si="11"/>
        <v>0</v>
      </c>
      <c r="H30" s="375">
        <f t="shared" si="11"/>
        <v>0</v>
      </c>
      <c r="I30" s="375">
        <f t="shared" si="11"/>
        <v>0</v>
      </c>
      <c r="J30" s="375">
        <f t="shared" si="11"/>
        <v>0</v>
      </c>
      <c r="K30" s="375">
        <f t="shared" si="11"/>
        <v>0</v>
      </c>
      <c r="L30" s="375">
        <f t="shared" si="11"/>
        <v>0</v>
      </c>
      <c r="M30" s="375">
        <f t="shared" si="11"/>
        <v>0</v>
      </c>
      <c r="N30" s="375">
        <f t="shared" si="11"/>
        <v>0</v>
      </c>
      <c r="O30" s="375">
        <f t="shared" si="11"/>
        <v>0</v>
      </c>
      <c r="P30" s="375">
        <f t="shared" si="11"/>
        <v>0</v>
      </c>
      <c r="Q30" s="375">
        <f t="shared" si="11"/>
        <v>0</v>
      </c>
      <c r="R30" s="109">
        <f t="shared" si="12"/>
        <v>0</v>
      </c>
      <c r="T30" s="3">
        <f t="shared" si="6"/>
        <v>0</v>
      </c>
    </row>
    <row r="31" spans="1:22" s="5" customFormat="1" x14ac:dyDescent="0.2">
      <c r="A31" s="90">
        <v>31200.013999999999</v>
      </c>
      <c r="B31" s="161" t="s">
        <v>403</v>
      </c>
      <c r="C31" s="293">
        <f>SUM(C24:C30)</f>
        <v>14067.777777777777</v>
      </c>
      <c r="D31" s="292"/>
      <c r="E31" s="292"/>
      <c r="F31" s="369">
        <f t="shared" ref="F31:Q31" si="15">SUM(F24:F30)</f>
        <v>1278.8888888888889</v>
      </c>
      <c r="G31" s="369">
        <f t="shared" si="15"/>
        <v>1278.8888888888889</v>
      </c>
      <c r="H31" s="369">
        <f t="shared" si="15"/>
        <v>1278.8888888888889</v>
      </c>
      <c r="I31" s="369">
        <f t="shared" si="15"/>
        <v>1278.8888888888889</v>
      </c>
      <c r="J31" s="369">
        <f t="shared" si="15"/>
        <v>1278.8888888888889</v>
      </c>
      <c r="K31" s="369">
        <f t="shared" si="15"/>
        <v>0</v>
      </c>
      <c r="L31" s="369">
        <f t="shared" si="15"/>
        <v>1278.8888888888889</v>
      </c>
      <c r="M31" s="369">
        <f t="shared" si="15"/>
        <v>0</v>
      </c>
      <c r="N31" s="369">
        <f t="shared" si="15"/>
        <v>0</v>
      </c>
      <c r="O31" s="369">
        <f t="shared" si="15"/>
        <v>0</v>
      </c>
      <c r="P31" s="369">
        <f t="shared" si="15"/>
        <v>5115.5555555555557</v>
      </c>
      <c r="Q31" s="369">
        <f t="shared" si="15"/>
        <v>1278.8888888888889</v>
      </c>
      <c r="R31" s="369">
        <f>SUM(F31:Q31)</f>
        <v>14067.777777777777</v>
      </c>
      <c r="S31" s="298"/>
      <c r="T31" s="291">
        <f t="shared" si="6"/>
        <v>0</v>
      </c>
      <c r="U31" s="6"/>
      <c r="V31" s="6"/>
    </row>
    <row r="32" spans="1:22" s="5" customFormat="1" x14ac:dyDescent="0.2">
      <c r="A32" s="11"/>
      <c r="B32" s="10" t="s">
        <v>0</v>
      </c>
      <c r="C32" s="293">
        <f>C23+C31+C15</f>
        <v>27567.777777777777</v>
      </c>
      <c r="D32" s="292"/>
      <c r="E32" s="292"/>
      <c r="F32" s="369">
        <f>SUM(F23+F31+F15)</f>
        <v>1278.8888888888889</v>
      </c>
      <c r="G32" s="369">
        <f t="shared" ref="G32:Q32" si="16">SUM(G23+G31+G15)</f>
        <v>1278.8888888888889</v>
      </c>
      <c r="H32" s="369">
        <f t="shared" si="16"/>
        <v>1278.8888888888889</v>
      </c>
      <c r="I32" s="369">
        <f t="shared" si="16"/>
        <v>1278.8888888888889</v>
      </c>
      <c r="J32" s="369">
        <f t="shared" si="16"/>
        <v>1278.8888888888889</v>
      </c>
      <c r="K32" s="369">
        <f t="shared" si="16"/>
        <v>0</v>
      </c>
      <c r="L32" s="369">
        <f t="shared" si="16"/>
        <v>1278.8888888888889</v>
      </c>
      <c r="M32" s="369">
        <f t="shared" si="16"/>
        <v>0</v>
      </c>
      <c r="N32" s="369">
        <f t="shared" si="16"/>
        <v>2700</v>
      </c>
      <c r="O32" s="369">
        <f t="shared" si="16"/>
        <v>8100</v>
      </c>
      <c r="P32" s="369">
        <f t="shared" si="16"/>
        <v>7815.5555555555557</v>
      </c>
      <c r="Q32" s="369">
        <f t="shared" si="16"/>
        <v>1278.8888888888889</v>
      </c>
      <c r="R32" s="369">
        <f>SUM(F32:Q32)</f>
        <v>27567.777777777777</v>
      </c>
      <c r="S32" s="298"/>
      <c r="T32" s="291">
        <f t="shared" si="6"/>
        <v>0</v>
      </c>
      <c r="U32" s="6"/>
      <c r="V32" s="6"/>
    </row>
    <row r="33" spans="1:20" x14ac:dyDescent="0.2">
      <c r="A33" s="711" t="s">
        <v>25</v>
      </c>
      <c r="B33" s="711"/>
      <c r="C33" s="711"/>
      <c r="D33" s="711"/>
      <c r="F33" s="375"/>
      <c r="G33" s="375"/>
      <c r="H33" s="375"/>
      <c r="I33" s="375"/>
      <c r="J33" s="375"/>
      <c r="K33" s="375"/>
      <c r="L33" s="375"/>
      <c r="M33" s="375"/>
      <c r="N33" s="376"/>
      <c r="O33" s="376"/>
      <c r="P33" s="376"/>
      <c r="Q33" s="376"/>
      <c r="R33" s="109"/>
    </row>
    <row r="34" spans="1:20" ht="25.5" customHeight="1" x14ac:dyDescent="0.2">
      <c r="A34" s="21"/>
      <c r="B34" s="10" t="s">
        <v>400</v>
      </c>
      <c r="C34" s="20"/>
      <c r="F34" s="375"/>
      <c r="G34" s="375"/>
      <c r="H34" s="375"/>
      <c r="I34" s="375"/>
      <c r="J34" s="375"/>
      <c r="K34" s="375"/>
      <c r="L34" s="375"/>
      <c r="M34" s="375"/>
      <c r="N34" s="376"/>
      <c r="O34" s="376"/>
      <c r="P34" s="376"/>
      <c r="Q34" s="376"/>
      <c r="R34" s="109"/>
    </row>
    <row r="35" spans="1:20" x14ac:dyDescent="0.2">
      <c r="A35" s="87">
        <v>41237.014000000003</v>
      </c>
      <c r="B35" s="15" t="s">
        <v>17</v>
      </c>
      <c r="C35" s="14">
        <v>0</v>
      </c>
      <c r="D35" s="13">
        <f t="shared" ref="D35:D44" si="17">$C35/C$4</f>
        <v>0</v>
      </c>
      <c r="F35" s="375">
        <f t="shared" ref="F35:Q44" si="18">$D35*F$4</f>
        <v>0</v>
      </c>
      <c r="G35" s="375">
        <f t="shared" ref="G35:Q41" si="19">$D35*G$4</f>
        <v>0</v>
      </c>
      <c r="H35" s="375">
        <f t="shared" si="19"/>
        <v>0</v>
      </c>
      <c r="I35" s="375">
        <f t="shared" si="19"/>
        <v>0</v>
      </c>
      <c r="J35" s="375">
        <f t="shared" si="19"/>
        <v>0</v>
      </c>
      <c r="K35" s="375">
        <f t="shared" si="19"/>
        <v>0</v>
      </c>
      <c r="L35" s="375">
        <f t="shared" si="19"/>
        <v>0</v>
      </c>
      <c r="M35" s="375">
        <f t="shared" si="19"/>
        <v>0</v>
      </c>
      <c r="N35" s="375">
        <f t="shared" si="19"/>
        <v>0</v>
      </c>
      <c r="O35" s="375">
        <f t="shared" si="19"/>
        <v>0</v>
      </c>
      <c r="P35" s="375">
        <f t="shared" si="19"/>
        <v>0</v>
      </c>
      <c r="Q35" s="375">
        <f t="shared" si="19"/>
        <v>0</v>
      </c>
      <c r="R35" s="109">
        <f t="shared" ref="R35:R45" si="20">SUM(F35:Q35)</f>
        <v>0</v>
      </c>
      <c r="T35" s="7">
        <f t="shared" ref="T35:T45" si="21">C35-R35</f>
        <v>0</v>
      </c>
    </row>
    <row r="36" spans="1:20" x14ac:dyDescent="0.2">
      <c r="A36" s="87">
        <v>41245.014000000003</v>
      </c>
      <c r="B36" s="15" t="s">
        <v>364</v>
      </c>
      <c r="C36" s="14">
        <v>0</v>
      </c>
      <c r="D36" s="13">
        <f t="shared" si="17"/>
        <v>0</v>
      </c>
      <c r="F36" s="375">
        <f t="shared" si="18"/>
        <v>0</v>
      </c>
      <c r="G36" s="375">
        <f t="shared" si="19"/>
        <v>0</v>
      </c>
      <c r="H36" s="375">
        <f t="shared" si="19"/>
        <v>0</v>
      </c>
      <c r="I36" s="375">
        <f t="shared" si="19"/>
        <v>0</v>
      </c>
      <c r="J36" s="375">
        <f t="shared" si="19"/>
        <v>0</v>
      </c>
      <c r="K36" s="375">
        <f t="shared" si="19"/>
        <v>0</v>
      </c>
      <c r="L36" s="375">
        <f t="shared" si="19"/>
        <v>0</v>
      </c>
      <c r="M36" s="375">
        <f t="shared" si="19"/>
        <v>0</v>
      </c>
      <c r="N36" s="375">
        <f t="shared" si="19"/>
        <v>0</v>
      </c>
      <c r="O36" s="375">
        <f t="shared" si="19"/>
        <v>0</v>
      </c>
      <c r="P36" s="375">
        <f t="shared" si="19"/>
        <v>0</v>
      </c>
      <c r="Q36" s="375">
        <f t="shared" si="19"/>
        <v>0</v>
      </c>
      <c r="R36" s="109">
        <f t="shared" si="20"/>
        <v>0</v>
      </c>
      <c r="T36" s="7">
        <f t="shared" si="21"/>
        <v>0</v>
      </c>
    </row>
    <row r="37" spans="1:20" x14ac:dyDescent="0.2">
      <c r="A37" s="87">
        <v>41246.014000000003</v>
      </c>
      <c r="B37" s="15" t="s">
        <v>16</v>
      </c>
      <c r="C37" s="14">
        <v>0</v>
      </c>
      <c r="D37" s="13">
        <f t="shared" si="17"/>
        <v>0</v>
      </c>
      <c r="F37" s="375">
        <f t="shared" si="18"/>
        <v>0</v>
      </c>
      <c r="G37" s="375">
        <f t="shared" si="19"/>
        <v>0</v>
      </c>
      <c r="H37" s="375">
        <f t="shared" si="19"/>
        <v>0</v>
      </c>
      <c r="I37" s="375">
        <f t="shared" si="19"/>
        <v>0</v>
      </c>
      <c r="J37" s="375">
        <f t="shared" si="19"/>
        <v>0</v>
      </c>
      <c r="K37" s="375">
        <f t="shared" si="19"/>
        <v>0</v>
      </c>
      <c r="L37" s="375">
        <f t="shared" si="19"/>
        <v>0</v>
      </c>
      <c r="M37" s="375">
        <f t="shared" si="19"/>
        <v>0</v>
      </c>
      <c r="N37" s="375">
        <f t="shared" si="19"/>
        <v>0</v>
      </c>
      <c r="O37" s="375">
        <f t="shared" si="19"/>
        <v>0</v>
      </c>
      <c r="P37" s="375">
        <f t="shared" si="19"/>
        <v>0</v>
      </c>
      <c r="Q37" s="375">
        <f t="shared" si="19"/>
        <v>0</v>
      </c>
      <c r="R37" s="109">
        <f t="shared" si="20"/>
        <v>0</v>
      </c>
      <c r="T37" s="7">
        <f t="shared" si="21"/>
        <v>0</v>
      </c>
    </row>
    <row r="38" spans="1:20" x14ac:dyDescent="0.2">
      <c r="A38" s="87">
        <v>41250.014000000003</v>
      </c>
      <c r="B38" s="15" t="s">
        <v>15</v>
      </c>
      <c r="C38" s="14">
        <v>0</v>
      </c>
      <c r="D38" s="13">
        <f t="shared" si="17"/>
        <v>0</v>
      </c>
      <c r="F38" s="375">
        <f t="shared" si="18"/>
        <v>0</v>
      </c>
      <c r="G38" s="375">
        <f t="shared" si="19"/>
        <v>0</v>
      </c>
      <c r="H38" s="375">
        <f t="shared" si="19"/>
        <v>0</v>
      </c>
      <c r="I38" s="375">
        <f t="shared" si="19"/>
        <v>0</v>
      </c>
      <c r="J38" s="375">
        <f t="shared" si="19"/>
        <v>0</v>
      </c>
      <c r="K38" s="375">
        <f t="shared" si="19"/>
        <v>0</v>
      </c>
      <c r="L38" s="375">
        <f t="shared" si="19"/>
        <v>0</v>
      </c>
      <c r="M38" s="375">
        <f t="shared" si="19"/>
        <v>0</v>
      </c>
      <c r="N38" s="375">
        <f t="shared" si="19"/>
        <v>0</v>
      </c>
      <c r="O38" s="375">
        <f t="shared" si="19"/>
        <v>0</v>
      </c>
      <c r="P38" s="375">
        <f t="shared" si="19"/>
        <v>0</v>
      </c>
      <c r="Q38" s="375">
        <f t="shared" si="19"/>
        <v>0</v>
      </c>
      <c r="R38" s="109">
        <f t="shared" si="20"/>
        <v>0</v>
      </c>
      <c r="T38" s="7">
        <f t="shared" si="21"/>
        <v>0</v>
      </c>
    </row>
    <row r="39" spans="1:20" x14ac:dyDescent="0.2">
      <c r="A39" s="87">
        <v>41260.014000000003</v>
      </c>
      <c r="B39" s="15" t="s">
        <v>14</v>
      </c>
      <c r="C39" s="14">
        <v>0</v>
      </c>
      <c r="D39" s="13">
        <f t="shared" si="17"/>
        <v>0</v>
      </c>
      <c r="F39" s="375">
        <f t="shared" si="18"/>
        <v>0</v>
      </c>
      <c r="G39" s="375">
        <f t="shared" si="19"/>
        <v>0</v>
      </c>
      <c r="H39" s="375">
        <f t="shared" si="19"/>
        <v>0</v>
      </c>
      <c r="I39" s="375">
        <f t="shared" si="19"/>
        <v>0</v>
      </c>
      <c r="J39" s="375">
        <f t="shared" si="19"/>
        <v>0</v>
      </c>
      <c r="K39" s="375">
        <f t="shared" si="19"/>
        <v>0</v>
      </c>
      <c r="L39" s="375">
        <f t="shared" si="19"/>
        <v>0</v>
      </c>
      <c r="M39" s="375">
        <f t="shared" si="19"/>
        <v>0</v>
      </c>
      <c r="N39" s="375">
        <f t="shared" si="19"/>
        <v>0</v>
      </c>
      <c r="O39" s="375">
        <f t="shared" si="19"/>
        <v>0</v>
      </c>
      <c r="P39" s="375">
        <f t="shared" si="19"/>
        <v>0</v>
      </c>
      <c r="Q39" s="375">
        <f t="shared" si="19"/>
        <v>0</v>
      </c>
      <c r="R39" s="109">
        <f t="shared" si="20"/>
        <v>0</v>
      </c>
      <c r="T39" s="7">
        <f t="shared" si="21"/>
        <v>0</v>
      </c>
    </row>
    <row r="40" spans="1:20" x14ac:dyDescent="0.2">
      <c r="A40" s="132">
        <v>41365.014000000003</v>
      </c>
      <c r="B40" s="15" t="s">
        <v>10</v>
      </c>
      <c r="C40" s="14">
        <v>0</v>
      </c>
      <c r="D40" s="13">
        <f t="shared" si="17"/>
        <v>0</v>
      </c>
      <c r="F40" s="375">
        <f t="shared" si="18"/>
        <v>0</v>
      </c>
      <c r="G40" s="375">
        <f t="shared" si="19"/>
        <v>0</v>
      </c>
      <c r="H40" s="375">
        <f t="shared" si="19"/>
        <v>0</v>
      </c>
      <c r="I40" s="375">
        <f t="shared" si="19"/>
        <v>0</v>
      </c>
      <c r="J40" s="375">
        <f t="shared" si="19"/>
        <v>0</v>
      </c>
      <c r="K40" s="375">
        <f t="shared" si="19"/>
        <v>0</v>
      </c>
      <c r="L40" s="375">
        <f t="shared" si="19"/>
        <v>0</v>
      </c>
      <c r="M40" s="375">
        <f t="shared" si="19"/>
        <v>0</v>
      </c>
      <c r="N40" s="375">
        <f t="shared" si="19"/>
        <v>0</v>
      </c>
      <c r="O40" s="375">
        <f t="shared" si="19"/>
        <v>0</v>
      </c>
      <c r="P40" s="375">
        <f t="shared" si="19"/>
        <v>0</v>
      </c>
      <c r="Q40" s="375">
        <f t="shared" si="19"/>
        <v>0</v>
      </c>
      <c r="R40" s="109">
        <f t="shared" si="20"/>
        <v>0</v>
      </c>
      <c r="T40" s="7">
        <f t="shared" si="21"/>
        <v>0</v>
      </c>
    </row>
    <row r="41" spans="1:20" x14ac:dyDescent="0.2">
      <c r="A41" s="87">
        <v>41426.014000000003</v>
      </c>
      <c r="B41" s="15" t="s">
        <v>8</v>
      </c>
      <c r="C41" s="14">
        <v>0</v>
      </c>
      <c r="D41" s="13">
        <f t="shared" si="17"/>
        <v>0</v>
      </c>
      <c r="F41" s="375">
        <f t="shared" si="18"/>
        <v>0</v>
      </c>
      <c r="G41" s="375">
        <f t="shared" si="19"/>
        <v>0</v>
      </c>
      <c r="H41" s="375">
        <f t="shared" si="19"/>
        <v>0</v>
      </c>
      <c r="I41" s="375">
        <f t="shared" si="19"/>
        <v>0</v>
      </c>
      <c r="J41" s="375">
        <f t="shared" si="19"/>
        <v>0</v>
      </c>
      <c r="K41" s="375">
        <f t="shared" si="19"/>
        <v>0</v>
      </c>
      <c r="L41" s="375">
        <f t="shared" si="19"/>
        <v>0</v>
      </c>
      <c r="M41" s="375">
        <f t="shared" si="19"/>
        <v>0</v>
      </c>
      <c r="N41" s="375">
        <f t="shared" si="19"/>
        <v>0</v>
      </c>
      <c r="O41" s="375">
        <f t="shared" si="19"/>
        <v>0</v>
      </c>
      <c r="P41" s="375">
        <f t="shared" si="19"/>
        <v>0</v>
      </c>
      <c r="Q41" s="375">
        <f t="shared" si="19"/>
        <v>0</v>
      </c>
      <c r="R41" s="109">
        <f t="shared" si="20"/>
        <v>0</v>
      </c>
      <c r="T41" s="7">
        <f t="shared" si="21"/>
        <v>0</v>
      </c>
    </row>
    <row r="42" spans="1:20" x14ac:dyDescent="0.2">
      <c r="A42" s="87">
        <v>41490.014000000003</v>
      </c>
      <c r="B42" s="15" t="s">
        <v>367</v>
      </c>
      <c r="C42" s="14">
        <v>0</v>
      </c>
      <c r="D42" s="13">
        <f t="shared" si="17"/>
        <v>0</v>
      </c>
      <c r="F42" s="375">
        <f t="shared" si="18"/>
        <v>0</v>
      </c>
      <c r="G42" s="375">
        <f t="shared" si="18"/>
        <v>0</v>
      </c>
      <c r="H42" s="375">
        <f t="shared" si="18"/>
        <v>0</v>
      </c>
      <c r="I42" s="375">
        <f t="shared" si="18"/>
        <v>0</v>
      </c>
      <c r="J42" s="375">
        <f t="shared" si="18"/>
        <v>0</v>
      </c>
      <c r="K42" s="375">
        <f t="shared" si="18"/>
        <v>0</v>
      </c>
      <c r="L42" s="375">
        <f t="shared" si="18"/>
        <v>0</v>
      </c>
      <c r="M42" s="375">
        <f t="shared" si="18"/>
        <v>0</v>
      </c>
      <c r="N42" s="375">
        <f t="shared" si="18"/>
        <v>0</v>
      </c>
      <c r="O42" s="375">
        <f t="shared" si="18"/>
        <v>0</v>
      </c>
      <c r="P42" s="375">
        <f t="shared" si="18"/>
        <v>0</v>
      </c>
      <c r="Q42" s="375">
        <f t="shared" si="18"/>
        <v>0</v>
      </c>
      <c r="R42" s="109">
        <f t="shared" si="20"/>
        <v>0</v>
      </c>
      <c r="T42" s="7">
        <f t="shared" si="21"/>
        <v>0</v>
      </c>
    </row>
    <row r="43" spans="1:20" x14ac:dyDescent="0.2">
      <c r="A43" s="87">
        <v>41509.014000000003</v>
      </c>
      <c r="B43" s="15" t="s">
        <v>3</v>
      </c>
      <c r="C43" s="14">
        <v>0</v>
      </c>
      <c r="D43" s="13">
        <f t="shared" si="17"/>
        <v>0</v>
      </c>
      <c r="F43" s="375">
        <f t="shared" si="18"/>
        <v>0</v>
      </c>
      <c r="G43" s="375">
        <f t="shared" si="18"/>
        <v>0</v>
      </c>
      <c r="H43" s="375">
        <f t="shared" si="18"/>
        <v>0</v>
      </c>
      <c r="I43" s="375">
        <f t="shared" si="18"/>
        <v>0</v>
      </c>
      <c r="J43" s="375">
        <f t="shared" si="18"/>
        <v>0</v>
      </c>
      <c r="K43" s="375">
        <f t="shared" si="18"/>
        <v>0</v>
      </c>
      <c r="L43" s="375">
        <f t="shared" si="18"/>
        <v>0</v>
      </c>
      <c r="M43" s="375">
        <f t="shared" si="18"/>
        <v>0</v>
      </c>
      <c r="N43" s="375">
        <f t="shared" si="18"/>
        <v>0</v>
      </c>
      <c r="O43" s="375">
        <f t="shared" si="18"/>
        <v>0</v>
      </c>
      <c r="P43" s="375">
        <f t="shared" si="18"/>
        <v>0</v>
      </c>
      <c r="Q43" s="375">
        <f t="shared" si="18"/>
        <v>0</v>
      </c>
      <c r="R43" s="109">
        <f t="shared" si="20"/>
        <v>0</v>
      </c>
      <c r="T43" s="7">
        <f t="shared" si="21"/>
        <v>0</v>
      </c>
    </row>
    <row r="44" spans="1:20" x14ac:dyDescent="0.2">
      <c r="A44" s="87">
        <v>41570.014000000003</v>
      </c>
      <c r="B44" s="15" t="s">
        <v>2</v>
      </c>
      <c r="C44" s="14">
        <v>0</v>
      </c>
      <c r="D44" s="13">
        <f t="shared" si="17"/>
        <v>0</v>
      </c>
      <c r="F44" s="375">
        <f t="shared" si="18"/>
        <v>0</v>
      </c>
      <c r="G44" s="375">
        <f t="shared" si="18"/>
        <v>0</v>
      </c>
      <c r="H44" s="375">
        <f t="shared" si="18"/>
        <v>0</v>
      </c>
      <c r="I44" s="375">
        <f t="shared" si="18"/>
        <v>0</v>
      </c>
      <c r="J44" s="375">
        <f t="shared" si="18"/>
        <v>0</v>
      </c>
      <c r="K44" s="375">
        <f t="shared" si="18"/>
        <v>0</v>
      </c>
      <c r="L44" s="375">
        <f t="shared" si="18"/>
        <v>0</v>
      </c>
      <c r="M44" s="375">
        <f t="shared" si="18"/>
        <v>0</v>
      </c>
      <c r="N44" s="375">
        <f t="shared" si="18"/>
        <v>0</v>
      </c>
      <c r="O44" s="375">
        <f t="shared" si="18"/>
        <v>0</v>
      </c>
      <c r="P44" s="375">
        <f t="shared" si="18"/>
        <v>0</v>
      </c>
      <c r="Q44" s="375">
        <f t="shared" si="18"/>
        <v>0</v>
      </c>
      <c r="R44" s="109">
        <f t="shared" si="20"/>
        <v>0</v>
      </c>
      <c r="T44" s="7">
        <f t="shared" si="21"/>
        <v>0</v>
      </c>
    </row>
    <row r="45" spans="1:20" x14ac:dyDescent="0.2">
      <c r="A45" s="31"/>
      <c r="B45" s="77" t="s">
        <v>0</v>
      </c>
      <c r="C45" s="88">
        <f>SUM(C35:C44)</f>
        <v>0</v>
      </c>
      <c r="F45" s="379">
        <f t="shared" ref="F45:Q45" si="22">SUM(F35:F44)</f>
        <v>0</v>
      </c>
      <c r="G45" s="379">
        <f t="shared" si="22"/>
        <v>0</v>
      </c>
      <c r="H45" s="379">
        <f t="shared" si="22"/>
        <v>0</v>
      </c>
      <c r="I45" s="379">
        <f t="shared" si="22"/>
        <v>0</v>
      </c>
      <c r="J45" s="379">
        <f t="shared" si="22"/>
        <v>0</v>
      </c>
      <c r="K45" s="379">
        <f t="shared" si="22"/>
        <v>0</v>
      </c>
      <c r="L45" s="379">
        <f t="shared" si="22"/>
        <v>0</v>
      </c>
      <c r="M45" s="379">
        <f t="shared" si="22"/>
        <v>0</v>
      </c>
      <c r="N45" s="379">
        <f t="shared" si="22"/>
        <v>0</v>
      </c>
      <c r="O45" s="379">
        <f t="shared" si="22"/>
        <v>0</v>
      </c>
      <c r="P45" s="379">
        <f t="shared" si="22"/>
        <v>0</v>
      </c>
      <c r="Q45" s="379">
        <f t="shared" si="22"/>
        <v>0</v>
      </c>
      <c r="R45" s="109">
        <f t="shared" si="20"/>
        <v>0</v>
      </c>
      <c r="T45" s="7">
        <f t="shared" si="21"/>
        <v>0</v>
      </c>
    </row>
    <row r="46" spans="1:20" x14ac:dyDescent="0.2">
      <c r="A46" s="4"/>
      <c r="B46" s="4"/>
      <c r="C46" s="7">
        <f>C45-C32:C32</f>
        <v>-27567.777777777777</v>
      </c>
    </row>
    <row r="47" spans="1:20" x14ac:dyDescent="0.2">
      <c r="C47" s="3"/>
    </row>
    <row r="48" spans="1:20" x14ac:dyDescent="0.2">
      <c r="C48" s="3"/>
    </row>
    <row r="49" spans="3:3" x14ac:dyDescent="0.2">
      <c r="C49" s="96"/>
    </row>
    <row r="51" spans="3:3" x14ac:dyDescent="0.2">
      <c r="C51" s="3"/>
    </row>
    <row r="53" spans="3:3" x14ac:dyDescent="0.2">
      <c r="C53" s="96"/>
    </row>
  </sheetData>
  <mergeCells count="2">
    <mergeCell ref="A6:D6"/>
    <mergeCell ref="A33:D33"/>
  </mergeCells>
  <printOptions gridLines="1"/>
  <pageMargins left="0.25" right="0.25" top="0.75" bottom="0.75" header="0.3" footer="0.3"/>
  <pageSetup scale="59" orientation="landscape" r:id="rId1"/>
  <headerFooter alignWithMargins="0">
    <oddHeader xml:space="preserve">&amp;C&amp;"Arial,Bold"&amp;14DOCTORS MEMORIAL HOSPITAL
FY 2017 BUDGET
</oddHeader>
    <oddFooter xml:space="preserve">&amp;R&amp;A
</oddFooter>
  </headerFooter>
  <ignoredErrors>
    <ignoredError sqref="F15:Q15"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53"/>
  <sheetViews>
    <sheetView zoomScale="80" zoomScaleNormal="80" workbookViewId="0">
      <pane xSplit="2" ySplit="4" topLeftCell="C14" activePane="bottomRight" state="frozen"/>
      <selection pane="topRight" activeCell="C1" sqref="C1"/>
      <selection pane="bottomLeft" activeCell="A5" sqref="A5"/>
      <selection pane="bottomRight" activeCell="C39" sqref="C39"/>
    </sheetView>
  </sheetViews>
  <sheetFormatPr defaultRowHeight="12.75" x14ac:dyDescent="0.2"/>
  <cols>
    <col min="1" max="1" width="11" style="2" bestFit="1" customWidth="1"/>
    <col min="2" max="2" width="24.140625" style="2" customWidth="1"/>
    <col min="3" max="3" width="14" style="2" bestFit="1" customWidth="1"/>
    <col min="4" max="4" width="9.140625" style="4"/>
    <col min="5" max="5" width="4.5703125" style="4" customWidth="1"/>
    <col min="6" max="6" width="15.140625" style="7" bestFit="1" customWidth="1"/>
    <col min="7" max="7" width="14" style="7" bestFit="1" customWidth="1"/>
    <col min="8" max="8" width="14.42578125" style="7" bestFit="1" customWidth="1"/>
    <col min="9" max="9" width="14.7109375" style="7" bestFit="1" customWidth="1"/>
    <col min="10" max="10" width="14.140625" style="7" bestFit="1" customWidth="1"/>
    <col min="11" max="13" width="14.7109375" style="7" bestFit="1" customWidth="1"/>
    <col min="14" max="14" width="14.42578125" style="3" bestFit="1" customWidth="1"/>
    <col min="15" max="16" width="15.140625" style="3" bestFit="1" customWidth="1"/>
    <col min="17" max="17" width="14.42578125" style="3" bestFit="1" customWidth="1"/>
    <col min="18" max="18" width="16.5703125" style="96" bestFit="1" customWidth="1"/>
    <col min="19" max="19" width="2.7109375" style="2" customWidth="1"/>
    <col min="20" max="20" width="9.85546875" style="2" bestFit="1" customWidth="1"/>
    <col min="21" max="22" width="9.140625" style="2"/>
    <col min="23" max="145" width="9.140625" style="1"/>
    <col min="146" max="146" width="11" style="1" bestFit="1" customWidth="1"/>
    <col min="147" max="147" width="28.140625" style="1" bestFit="1" customWidth="1"/>
    <col min="148" max="148" width="14" style="1" bestFit="1" customWidth="1"/>
    <col min="149" max="149" width="9.140625" style="1"/>
    <col min="150" max="150" width="13.85546875" style="1" bestFit="1" customWidth="1"/>
    <col min="151" max="151" width="9.140625" style="1"/>
    <col min="152" max="152" width="14" style="1" customWidth="1"/>
    <col min="153" max="153" width="9.140625" style="1"/>
    <col min="154" max="154" width="12.85546875" style="1" bestFit="1" customWidth="1"/>
    <col min="155" max="155" width="10" style="1" customWidth="1"/>
    <col min="156" max="156" width="14" style="1" bestFit="1" customWidth="1"/>
    <col min="157" max="157" width="9.85546875" style="1" bestFit="1" customWidth="1"/>
    <col min="158" max="158" width="13.5703125" style="1" bestFit="1" customWidth="1"/>
    <col min="159" max="159" width="9.85546875" style="1" bestFit="1" customWidth="1"/>
    <col min="160" max="160" width="12.85546875" style="1" bestFit="1" customWidth="1"/>
    <col min="161" max="172" width="10.5703125" style="1" customWidth="1"/>
    <col min="173" max="173" width="11.140625" style="1" bestFit="1" customWidth="1"/>
    <col min="174" max="174" width="2.7109375" style="1" customWidth="1"/>
    <col min="175" max="175" width="9.85546875" style="1" bestFit="1" customWidth="1"/>
    <col min="176" max="177" width="9.140625" style="1"/>
    <col min="178" max="178" width="24" style="1" customWidth="1"/>
    <col min="179" max="181" width="9.140625" style="1"/>
    <col min="182" max="182" width="9" style="1" bestFit="1" customWidth="1"/>
    <col min="183" max="192" width="9.28515625" style="1" bestFit="1" customWidth="1"/>
    <col min="193" max="193" width="10.28515625" style="1" bestFit="1" customWidth="1"/>
    <col min="194" max="194" width="11.28515625" style="1" bestFit="1" customWidth="1"/>
    <col min="195" max="195" width="11.7109375" style="1" customWidth="1"/>
    <col min="196" max="196" width="9.140625" style="1"/>
    <col min="197" max="197" width="22.28515625" style="1" customWidth="1"/>
    <col min="198" max="198" width="9.140625" style="1"/>
    <col min="199" max="199" width="9.28515625" style="1" bestFit="1" customWidth="1"/>
    <col min="200" max="200" width="9.42578125" style="1" bestFit="1" customWidth="1"/>
    <col min="201" max="201" width="9.28515625" style="1" bestFit="1" customWidth="1"/>
    <col min="202" max="202" width="10.28515625" style="1" bestFit="1" customWidth="1"/>
    <col min="203" max="204" width="9.28515625" style="1" bestFit="1" customWidth="1"/>
    <col min="205" max="206" width="10.28515625" style="1" bestFit="1" customWidth="1"/>
    <col min="207" max="211" width="9.28515625" style="1" bestFit="1" customWidth="1"/>
    <col min="212" max="212" width="10.42578125" style="1" bestFit="1" customWidth="1"/>
    <col min="213" max="213" width="9.140625" style="1"/>
    <col min="214" max="214" width="24.85546875" style="1" customWidth="1"/>
    <col min="215" max="215" width="9.140625" style="1"/>
    <col min="216" max="228" width="9.28515625" style="1" bestFit="1" customWidth="1"/>
    <col min="229" max="229" width="10.28515625" style="1" bestFit="1" customWidth="1"/>
    <col min="230" max="230" width="9.5703125" style="1" bestFit="1" customWidth="1"/>
    <col min="231" max="231" width="18.5703125" style="1" customWidth="1"/>
    <col min="232" max="233" width="9.140625" style="1"/>
    <col min="234" max="236" width="12.140625" style="1" bestFit="1" customWidth="1"/>
    <col min="237" max="245" width="10.28515625" style="1" bestFit="1" customWidth="1"/>
    <col min="246" max="246" width="11.28515625" style="1" bestFit="1" customWidth="1"/>
    <col min="247" max="247" width="9.140625" style="1"/>
    <col min="248" max="248" width="19" style="1" customWidth="1"/>
    <col min="249" max="265" width="9.140625" style="1"/>
    <col min="266" max="276" width="11.28515625" style="1" bestFit="1" customWidth="1"/>
    <col min="277" max="277" width="10.28515625" style="1" bestFit="1" customWidth="1"/>
    <col min="278" max="278" width="12.85546875" style="1" bestFit="1" customWidth="1"/>
    <col min="279" max="401" width="9.140625" style="1"/>
    <col min="402" max="402" width="11" style="1" bestFit="1" customWidth="1"/>
    <col min="403" max="403" width="28.140625" style="1" bestFit="1" customWidth="1"/>
    <col min="404" max="404" width="14" style="1" bestFit="1" customWidth="1"/>
    <col min="405" max="405" width="9.140625" style="1"/>
    <col min="406" max="406" width="13.85546875" style="1" bestFit="1" customWidth="1"/>
    <col min="407" max="407" width="9.140625" style="1"/>
    <col min="408" max="408" width="14" style="1" customWidth="1"/>
    <col min="409" max="409" width="9.140625" style="1"/>
    <col min="410" max="410" width="12.85546875" style="1" bestFit="1" customWidth="1"/>
    <col min="411" max="411" width="10" style="1" customWidth="1"/>
    <col min="412" max="412" width="14" style="1" bestFit="1" customWidth="1"/>
    <col min="413" max="413" width="9.85546875" style="1" bestFit="1" customWidth="1"/>
    <col min="414" max="414" width="13.5703125" style="1" bestFit="1" customWidth="1"/>
    <col min="415" max="415" width="9.85546875" style="1" bestFit="1" customWidth="1"/>
    <col min="416" max="416" width="12.85546875" style="1" bestFit="1" customWidth="1"/>
    <col min="417" max="428" width="10.5703125" style="1" customWidth="1"/>
    <col min="429" max="429" width="11.140625" style="1" bestFit="1" customWidth="1"/>
    <col min="430" max="430" width="2.7109375" style="1" customWidth="1"/>
    <col min="431" max="431" width="9.85546875" style="1" bestFit="1" customWidth="1"/>
    <col min="432" max="433" width="9.140625" style="1"/>
    <col min="434" max="434" width="24" style="1" customWidth="1"/>
    <col min="435" max="437" width="9.140625" style="1"/>
    <col min="438" max="438" width="9" style="1" bestFit="1" customWidth="1"/>
    <col min="439" max="448" width="9.28515625" style="1" bestFit="1" customWidth="1"/>
    <col min="449" max="449" width="10.28515625" style="1" bestFit="1" customWidth="1"/>
    <col min="450" max="450" width="11.28515625" style="1" bestFit="1" customWidth="1"/>
    <col min="451" max="451" width="11.7109375" style="1" customWidth="1"/>
    <col min="452" max="452" width="9.140625" style="1"/>
    <col min="453" max="453" width="22.28515625" style="1" customWidth="1"/>
    <col min="454" max="454" width="9.140625" style="1"/>
    <col min="455" max="455" width="9.28515625" style="1" bestFit="1" customWidth="1"/>
    <col min="456" max="456" width="9.42578125" style="1" bestFit="1" customWidth="1"/>
    <col min="457" max="457" width="9.28515625" style="1" bestFit="1" customWidth="1"/>
    <col min="458" max="458" width="10.28515625" style="1" bestFit="1" customWidth="1"/>
    <col min="459" max="460" width="9.28515625" style="1" bestFit="1" customWidth="1"/>
    <col min="461" max="462" width="10.28515625" style="1" bestFit="1" customWidth="1"/>
    <col min="463" max="467" width="9.28515625" style="1" bestFit="1" customWidth="1"/>
    <col min="468" max="468" width="10.42578125" style="1" bestFit="1" customWidth="1"/>
    <col min="469" max="469" width="9.140625" style="1"/>
    <col min="470" max="470" width="24.85546875" style="1" customWidth="1"/>
    <col min="471" max="471" width="9.140625" style="1"/>
    <col min="472" max="484" width="9.28515625" style="1" bestFit="1" customWidth="1"/>
    <col min="485" max="485" width="10.28515625" style="1" bestFit="1" customWidth="1"/>
    <col min="486" max="486" width="9.5703125" style="1" bestFit="1" customWidth="1"/>
    <col min="487" max="487" width="18.5703125" style="1" customWidth="1"/>
    <col min="488" max="489" width="9.140625" style="1"/>
    <col min="490" max="492" width="12.140625" style="1" bestFit="1" customWidth="1"/>
    <col min="493" max="501" width="10.28515625" style="1" bestFit="1" customWidth="1"/>
    <col min="502" max="502" width="11.28515625" style="1" bestFit="1" customWidth="1"/>
    <col min="503" max="503" width="9.140625" style="1"/>
    <col min="504" max="504" width="19" style="1" customWidth="1"/>
    <col min="505" max="521" width="9.140625" style="1"/>
    <col min="522" max="532" width="11.28515625" style="1" bestFit="1" customWidth="1"/>
    <col min="533" max="533" width="10.28515625" style="1" bestFit="1" customWidth="1"/>
    <col min="534" max="534" width="12.85546875" style="1" bestFit="1" customWidth="1"/>
    <col min="535" max="657" width="9.140625" style="1"/>
    <col min="658" max="658" width="11" style="1" bestFit="1" customWidth="1"/>
    <col min="659" max="659" width="28.140625" style="1" bestFit="1" customWidth="1"/>
    <col min="660" max="660" width="14" style="1" bestFit="1" customWidth="1"/>
    <col min="661" max="661" width="9.140625" style="1"/>
    <col min="662" max="662" width="13.85546875" style="1" bestFit="1" customWidth="1"/>
    <col min="663" max="663" width="9.140625" style="1"/>
    <col min="664" max="664" width="14" style="1" customWidth="1"/>
    <col min="665" max="665" width="9.140625" style="1"/>
    <col min="666" max="666" width="12.85546875" style="1" bestFit="1" customWidth="1"/>
    <col min="667" max="667" width="10" style="1" customWidth="1"/>
    <col min="668" max="668" width="14" style="1" bestFit="1" customWidth="1"/>
    <col min="669" max="669" width="9.85546875" style="1" bestFit="1" customWidth="1"/>
    <col min="670" max="670" width="13.5703125" style="1" bestFit="1" customWidth="1"/>
    <col min="671" max="671" width="9.85546875" style="1" bestFit="1" customWidth="1"/>
    <col min="672" max="672" width="12.85546875" style="1" bestFit="1" customWidth="1"/>
    <col min="673" max="684" width="10.5703125" style="1" customWidth="1"/>
    <col min="685" max="685" width="11.140625" style="1" bestFit="1" customWidth="1"/>
    <col min="686" max="686" width="2.7109375" style="1" customWidth="1"/>
    <col min="687" max="687" width="9.85546875" style="1" bestFit="1" customWidth="1"/>
    <col min="688" max="689" width="9.140625" style="1"/>
    <col min="690" max="690" width="24" style="1" customWidth="1"/>
    <col min="691" max="693" width="9.140625" style="1"/>
    <col min="694" max="694" width="9" style="1" bestFit="1" customWidth="1"/>
    <col min="695" max="704" width="9.28515625" style="1" bestFit="1" customWidth="1"/>
    <col min="705" max="705" width="10.28515625" style="1" bestFit="1" customWidth="1"/>
    <col min="706" max="706" width="11.28515625" style="1" bestFit="1" customWidth="1"/>
    <col min="707" max="707" width="11.7109375" style="1" customWidth="1"/>
    <col min="708" max="708" width="9.140625" style="1"/>
    <col min="709" max="709" width="22.28515625" style="1" customWidth="1"/>
    <col min="710" max="710" width="9.140625" style="1"/>
    <col min="711" max="711" width="9.28515625" style="1" bestFit="1" customWidth="1"/>
    <col min="712" max="712" width="9.42578125" style="1" bestFit="1" customWidth="1"/>
    <col min="713" max="713" width="9.28515625" style="1" bestFit="1" customWidth="1"/>
    <col min="714" max="714" width="10.28515625" style="1" bestFit="1" customWidth="1"/>
    <col min="715" max="716" width="9.28515625" style="1" bestFit="1" customWidth="1"/>
    <col min="717" max="718" width="10.28515625" style="1" bestFit="1" customWidth="1"/>
    <col min="719" max="723" width="9.28515625" style="1" bestFit="1" customWidth="1"/>
    <col min="724" max="724" width="10.42578125" style="1" bestFit="1" customWidth="1"/>
    <col min="725" max="725" width="9.140625" style="1"/>
    <col min="726" max="726" width="24.85546875" style="1" customWidth="1"/>
    <col min="727" max="727" width="9.140625" style="1"/>
    <col min="728" max="740" width="9.28515625" style="1" bestFit="1" customWidth="1"/>
    <col min="741" max="741" width="10.28515625" style="1" bestFit="1" customWidth="1"/>
    <col min="742" max="742" width="9.5703125" style="1" bestFit="1" customWidth="1"/>
    <col min="743" max="743" width="18.5703125" style="1" customWidth="1"/>
    <col min="744" max="745" width="9.140625" style="1"/>
    <col min="746" max="748" width="12.140625" style="1" bestFit="1" customWidth="1"/>
    <col min="749" max="757" width="10.28515625" style="1" bestFit="1" customWidth="1"/>
    <col min="758" max="758" width="11.28515625" style="1" bestFit="1" customWidth="1"/>
    <col min="759" max="759" width="9.140625" style="1"/>
    <col min="760" max="760" width="19" style="1" customWidth="1"/>
    <col min="761" max="777" width="9.140625" style="1"/>
    <col min="778" max="788" width="11.28515625" style="1" bestFit="1" customWidth="1"/>
    <col min="789" max="789" width="10.28515625" style="1" bestFit="1" customWidth="1"/>
    <col min="790" max="790" width="12.85546875" style="1" bestFit="1" customWidth="1"/>
    <col min="791" max="913" width="9.140625" style="1"/>
    <col min="914" max="914" width="11" style="1" bestFit="1" customWidth="1"/>
    <col min="915" max="915" width="28.140625" style="1" bestFit="1" customWidth="1"/>
    <col min="916" max="916" width="14" style="1" bestFit="1" customWidth="1"/>
    <col min="917" max="917" width="9.140625" style="1"/>
    <col min="918" max="918" width="13.85546875" style="1" bestFit="1" customWidth="1"/>
    <col min="919" max="919" width="9.140625" style="1"/>
    <col min="920" max="920" width="14" style="1" customWidth="1"/>
    <col min="921" max="921" width="9.140625" style="1"/>
    <col min="922" max="922" width="12.85546875" style="1" bestFit="1" customWidth="1"/>
    <col min="923" max="923" width="10" style="1" customWidth="1"/>
    <col min="924" max="924" width="14" style="1" bestFit="1" customWidth="1"/>
    <col min="925" max="925" width="9.85546875" style="1" bestFit="1" customWidth="1"/>
    <col min="926" max="926" width="13.5703125" style="1" bestFit="1" customWidth="1"/>
    <col min="927" max="927" width="9.85546875" style="1" bestFit="1" customWidth="1"/>
    <col min="928" max="928" width="12.85546875" style="1" bestFit="1" customWidth="1"/>
    <col min="929" max="940" width="10.5703125" style="1" customWidth="1"/>
    <col min="941" max="941" width="11.140625" style="1" bestFit="1" customWidth="1"/>
    <col min="942" max="942" width="2.7109375" style="1" customWidth="1"/>
    <col min="943" max="943" width="9.85546875" style="1" bestFit="1" customWidth="1"/>
    <col min="944" max="945" width="9.140625" style="1"/>
    <col min="946" max="946" width="24" style="1" customWidth="1"/>
    <col min="947" max="949" width="9.140625" style="1"/>
    <col min="950" max="950" width="9" style="1" bestFit="1" customWidth="1"/>
    <col min="951" max="960" width="9.28515625" style="1" bestFit="1" customWidth="1"/>
    <col min="961" max="961" width="10.28515625" style="1" bestFit="1" customWidth="1"/>
    <col min="962" max="962" width="11.28515625" style="1" bestFit="1" customWidth="1"/>
    <col min="963" max="963" width="11.7109375" style="1" customWidth="1"/>
    <col min="964" max="964" width="9.140625" style="1"/>
    <col min="965" max="965" width="22.28515625" style="1" customWidth="1"/>
    <col min="966" max="966" width="9.140625" style="1"/>
    <col min="967" max="967" width="9.28515625" style="1" bestFit="1" customWidth="1"/>
    <col min="968" max="968" width="9.42578125" style="1" bestFit="1" customWidth="1"/>
    <col min="969" max="969" width="9.28515625" style="1" bestFit="1" customWidth="1"/>
    <col min="970" max="970" width="10.28515625" style="1" bestFit="1" customWidth="1"/>
    <col min="971" max="972" width="9.28515625" style="1" bestFit="1" customWidth="1"/>
    <col min="973" max="974" width="10.28515625" style="1" bestFit="1" customWidth="1"/>
    <col min="975" max="979" width="9.28515625" style="1" bestFit="1" customWidth="1"/>
    <col min="980" max="980" width="10.42578125" style="1" bestFit="1" customWidth="1"/>
    <col min="981" max="981" width="9.140625" style="1"/>
    <col min="982" max="982" width="24.85546875" style="1" customWidth="1"/>
    <col min="983" max="983" width="9.140625" style="1"/>
    <col min="984" max="996" width="9.28515625" style="1" bestFit="1" customWidth="1"/>
    <col min="997" max="997" width="10.28515625" style="1" bestFit="1" customWidth="1"/>
    <col min="998" max="998" width="9.5703125" style="1" bestFit="1" customWidth="1"/>
    <col min="999" max="999" width="18.5703125" style="1" customWidth="1"/>
    <col min="1000" max="1001" width="9.140625" style="1"/>
    <col min="1002" max="1004" width="12.140625" style="1" bestFit="1" customWidth="1"/>
    <col min="1005" max="1013" width="10.28515625" style="1" bestFit="1" customWidth="1"/>
    <col min="1014" max="1014" width="11.28515625" style="1" bestFit="1" customWidth="1"/>
    <col min="1015" max="1015" width="9.140625" style="1"/>
    <col min="1016" max="1016" width="19" style="1" customWidth="1"/>
    <col min="1017" max="1033" width="9.140625" style="1"/>
    <col min="1034" max="1044" width="11.28515625" style="1" bestFit="1" customWidth="1"/>
    <col min="1045" max="1045" width="10.28515625" style="1" bestFit="1" customWidth="1"/>
    <col min="1046" max="1046" width="12.85546875" style="1" bestFit="1" customWidth="1"/>
    <col min="1047" max="1169" width="9.140625" style="1"/>
    <col min="1170" max="1170" width="11" style="1" bestFit="1" customWidth="1"/>
    <col min="1171" max="1171" width="28.140625" style="1" bestFit="1" customWidth="1"/>
    <col min="1172" max="1172" width="14" style="1" bestFit="1" customWidth="1"/>
    <col min="1173" max="1173" width="9.140625" style="1"/>
    <col min="1174" max="1174" width="13.85546875" style="1" bestFit="1" customWidth="1"/>
    <col min="1175" max="1175" width="9.140625" style="1"/>
    <col min="1176" max="1176" width="14" style="1" customWidth="1"/>
    <col min="1177" max="1177" width="9.140625" style="1"/>
    <col min="1178" max="1178" width="12.85546875" style="1" bestFit="1" customWidth="1"/>
    <col min="1179" max="1179" width="10" style="1" customWidth="1"/>
    <col min="1180" max="1180" width="14" style="1" bestFit="1" customWidth="1"/>
    <col min="1181" max="1181" width="9.85546875" style="1" bestFit="1" customWidth="1"/>
    <col min="1182" max="1182" width="13.5703125" style="1" bestFit="1" customWidth="1"/>
    <col min="1183" max="1183" width="9.85546875" style="1" bestFit="1" customWidth="1"/>
    <col min="1184" max="1184" width="12.85546875" style="1" bestFit="1" customWidth="1"/>
    <col min="1185" max="1196" width="10.5703125" style="1" customWidth="1"/>
    <col min="1197" max="1197" width="11.140625" style="1" bestFit="1" customWidth="1"/>
    <col min="1198" max="1198" width="2.7109375" style="1" customWidth="1"/>
    <col min="1199" max="1199" width="9.85546875" style="1" bestFit="1" customWidth="1"/>
    <col min="1200" max="1201" width="9.140625" style="1"/>
    <col min="1202" max="1202" width="24" style="1" customWidth="1"/>
    <col min="1203" max="1205" width="9.140625" style="1"/>
    <col min="1206" max="1206" width="9" style="1" bestFit="1" customWidth="1"/>
    <col min="1207" max="1216" width="9.28515625" style="1" bestFit="1" customWidth="1"/>
    <col min="1217" max="1217" width="10.28515625" style="1" bestFit="1" customWidth="1"/>
    <col min="1218" max="1218" width="11.28515625" style="1" bestFit="1" customWidth="1"/>
    <col min="1219" max="1219" width="11.7109375" style="1" customWidth="1"/>
    <col min="1220" max="1220" width="9.140625" style="1"/>
    <col min="1221" max="1221" width="22.28515625" style="1" customWidth="1"/>
    <col min="1222" max="1222" width="9.140625" style="1"/>
    <col min="1223" max="1223" width="9.28515625" style="1" bestFit="1" customWidth="1"/>
    <col min="1224" max="1224" width="9.42578125" style="1" bestFit="1" customWidth="1"/>
    <col min="1225" max="1225" width="9.28515625" style="1" bestFit="1" customWidth="1"/>
    <col min="1226" max="1226" width="10.28515625" style="1" bestFit="1" customWidth="1"/>
    <col min="1227" max="1228" width="9.28515625" style="1" bestFit="1" customWidth="1"/>
    <col min="1229" max="1230" width="10.28515625" style="1" bestFit="1" customWidth="1"/>
    <col min="1231" max="1235" width="9.28515625" style="1" bestFit="1" customWidth="1"/>
    <col min="1236" max="1236" width="10.42578125" style="1" bestFit="1" customWidth="1"/>
    <col min="1237" max="1237" width="9.140625" style="1"/>
    <col min="1238" max="1238" width="24.85546875" style="1" customWidth="1"/>
    <col min="1239" max="1239" width="9.140625" style="1"/>
    <col min="1240" max="1252" width="9.28515625" style="1" bestFit="1" customWidth="1"/>
    <col min="1253" max="1253" width="10.28515625" style="1" bestFit="1" customWidth="1"/>
    <col min="1254" max="1254" width="9.5703125" style="1" bestFit="1" customWidth="1"/>
    <col min="1255" max="1255" width="18.5703125" style="1" customWidth="1"/>
    <col min="1256" max="1257" width="9.140625" style="1"/>
    <col min="1258" max="1260" width="12.140625" style="1" bestFit="1" customWidth="1"/>
    <col min="1261" max="1269" width="10.28515625" style="1" bestFit="1" customWidth="1"/>
    <col min="1270" max="1270" width="11.28515625" style="1" bestFit="1" customWidth="1"/>
    <col min="1271" max="1271" width="9.140625" style="1"/>
    <col min="1272" max="1272" width="19" style="1" customWidth="1"/>
    <col min="1273" max="1289" width="9.140625" style="1"/>
    <col min="1290" max="1300" width="11.28515625" style="1" bestFit="1" customWidth="1"/>
    <col min="1301" max="1301" width="10.28515625" style="1" bestFit="1" customWidth="1"/>
    <col min="1302" max="1302" width="12.85546875" style="1" bestFit="1" customWidth="1"/>
    <col min="1303" max="1425" width="9.140625" style="1"/>
    <col min="1426" max="1426" width="11" style="1" bestFit="1" customWidth="1"/>
    <col min="1427" max="1427" width="28.140625" style="1" bestFit="1" customWidth="1"/>
    <col min="1428" max="1428" width="14" style="1" bestFit="1" customWidth="1"/>
    <col min="1429" max="1429" width="9.140625" style="1"/>
    <col min="1430" max="1430" width="13.85546875" style="1" bestFit="1" customWidth="1"/>
    <col min="1431" max="1431" width="9.140625" style="1"/>
    <col min="1432" max="1432" width="14" style="1" customWidth="1"/>
    <col min="1433" max="1433" width="9.140625" style="1"/>
    <col min="1434" max="1434" width="12.85546875" style="1" bestFit="1" customWidth="1"/>
    <col min="1435" max="1435" width="10" style="1" customWidth="1"/>
    <col min="1436" max="1436" width="14" style="1" bestFit="1" customWidth="1"/>
    <col min="1437" max="1437" width="9.85546875" style="1" bestFit="1" customWidth="1"/>
    <col min="1438" max="1438" width="13.5703125" style="1" bestFit="1" customWidth="1"/>
    <col min="1439" max="1439" width="9.85546875" style="1" bestFit="1" customWidth="1"/>
    <col min="1440" max="1440" width="12.85546875" style="1" bestFit="1" customWidth="1"/>
    <col min="1441" max="1452" width="10.5703125" style="1" customWidth="1"/>
    <col min="1453" max="1453" width="11.140625" style="1" bestFit="1" customWidth="1"/>
    <col min="1454" max="1454" width="2.7109375" style="1" customWidth="1"/>
    <col min="1455" max="1455" width="9.85546875" style="1" bestFit="1" customWidth="1"/>
    <col min="1456" max="1457" width="9.140625" style="1"/>
    <col min="1458" max="1458" width="24" style="1" customWidth="1"/>
    <col min="1459" max="1461" width="9.140625" style="1"/>
    <col min="1462" max="1462" width="9" style="1" bestFit="1" customWidth="1"/>
    <col min="1463" max="1472" width="9.28515625" style="1" bestFit="1" customWidth="1"/>
    <col min="1473" max="1473" width="10.28515625" style="1" bestFit="1" customWidth="1"/>
    <col min="1474" max="1474" width="11.28515625" style="1" bestFit="1" customWidth="1"/>
    <col min="1475" max="1475" width="11.7109375" style="1" customWidth="1"/>
    <col min="1476" max="1476" width="9.140625" style="1"/>
    <col min="1477" max="1477" width="22.28515625" style="1" customWidth="1"/>
    <col min="1478" max="1478" width="9.140625" style="1"/>
    <col min="1479" max="1479" width="9.28515625" style="1" bestFit="1" customWidth="1"/>
    <col min="1480" max="1480" width="9.42578125" style="1" bestFit="1" customWidth="1"/>
    <col min="1481" max="1481" width="9.28515625" style="1" bestFit="1" customWidth="1"/>
    <col min="1482" max="1482" width="10.28515625" style="1" bestFit="1" customWidth="1"/>
    <col min="1483" max="1484" width="9.28515625" style="1" bestFit="1" customWidth="1"/>
    <col min="1485" max="1486" width="10.28515625" style="1" bestFit="1" customWidth="1"/>
    <col min="1487" max="1491" width="9.28515625" style="1" bestFit="1" customWidth="1"/>
    <col min="1492" max="1492" width="10.42578125" style="1" bestFit="1" customWidth="1"/>
    <col min="1493" max="1493" width="9.140625" style="1"/>
    <col min="1494" max="1494" width="24.85546875" style="1" customWidth="1"/>
    <col min="1495" max="1495" width="9.140625" style="1"/>
    <col min="1496" max="1508" width="9.28515625" style="1" bestFit="1" customWidth="1"/>
    <col min="1509" max="1509" width="10.28515625" style="1" bestFit="1" customWidth="1"/>
    <col min="1510" max="1510" width="9.5703125" style="1" bestFit="1" customWidth="1"/>
    <col min="1511" max="1511" width="18.5703125" style="1" customWidth="1"/>
    <col min="1512" max="1513" width="9.140625" style="1"/>
    <col min="1514" max="1516" width="12.140625" style="1" bestFit="1" customWidth="1"/>
    <col min="1517" max="1525" width="10.28515625" style="1" bestFit="1" customWidth="1"/>
    <col min="1526" max="1526" width="11.28515625" style="1" bestFit="1" customWidth="1"/>
    <col min="1527" max="1527" width="9.140625" style="1"/>
    <col min="1528" max="1528" width="19" style="1" customWidth="1"/>
    <col min="1529" max="1545" width="9.140625" style="1"/>
    <col min="1546" max="1556" width="11.28515625" style="1" bestFit="1" customWidth="1"/>
    <col min="1557" max="1557" width="10.28515625" style="1" bestFit="1" customWidth="1"/>
    <col min="1558" max="1558" width="12.85546875" style="1" bestFit="1" customWidth="1"/>
    <col min="1559" max="1681" width="9.140625" style="1"/>
    <col min="1682" max="1682" width="11" style="1" bestFit="1" customWidth="1"/>
    <col min="1683" max="1683" width="28.140625" style="1" bestFit="1" customWidth="1"/>
    <col min="1684" max="1684" width="14" style="1" bestFit="1" customWidth="1"/>
    <col min="1685" max="1685" width="9.140625" style="1"/>
    <col min="1686" max="1686" width="13.85546875" style="1" bestFit="1" customWidth="1"/>
    <col min="1687" max="1687" width="9.140625" style="1"/>
    <col min="1688" max="1688" width="14" style="1" customWidth="1"/>
    <col min="1689" max="1689" width="9.140625" style="1"/>
    <col min="1690" max="1690" width="12.85546875" style="1" bestFit="1" customWidth="1"/>
    <col min="1691" max="1691" width="10" style="1" customWidth="1"/>
    <col min="1692" max="1692" width="14" style="1" bestFit="1" customWidth="1"/>
    <col min="1693" max="1693" width="9.85546875" style="1" bestFit="1" customWidth="1"/>
    <col min="1694" max="1694" width="13.5703125" style="1" bestFit="1" customWidth="1"/>
    <col min="1695" max="1695" width="9.85546875" style="1" bestFit="1" customWidth="1"/>
    <col min="1696" max="1696" width="12.85546875" style="1" bestFit="1" customWidth="1"/>
    <col min="1697" max="1708" width="10.5703125" style="1" customWidth="1"/>
    <col min="1709" max="1709" width="11.140625" style="1" bestFit="1" customWidth="1"/>
    <col min="1710" max="1710" width="2.7109375" style="1" customWidth="1"/>
    <col min="1711" max="1711" width="9.85546875" style="1" bestFit="1" customWidth="1"/>
    <col min="1712" max="1713" width="9.140625" style="1"/>
    <col min="1714" max="1714" width="24" style="1" customWidth="1"/>
    <col min="1715" max="1717" width="9.140625" style="1"/>
    <col min="1718" max="1718" width="9" style="1" bestFit="1" customWidth="1"/>
    <col min="1719" max="1728" width="9.28515625" style="1" bestFit="1" customWidth="1"/>
    <col min="1729" max="1729" width="10.28515625" style="1" bestFit="1" customWidth="1"/>
    <col min="1730" max="1730" width="11.28515625" style="1" bestFit="1" customWidth="1"/>
    <col min="1731" max="1731" width="11.7109375" style="1" customWidth="1"/>
    <col min="1732" max="1732" width="9.140625" style="1"/>
    <col min="1733" max="1733" width="22.28515625" style="1" customWidth="1"/>
    <col min="1734" max="1734" width="9.140625" style="1"/>
    <col min="1735" max="1735" width="9.28515625" style="1" bestFit="1" customWidth="1"/>
    <col min="1736" max="1736" width="9.42578125" style="1" bestFit="1" customWidth="1"/>
    <col min="1737" max="1737" width="9.28515625" style="1" bestFit="1" customWidth="1"/>
    <col min="1738" max="1738" width="10.28515625" style="1" bestFit="1" customWidth="1"/>
    <col min="1739" max="1740" width="9.28515625" style="1" bestFit="1" customWidth="1"/>
    <col min="1741" max="1742" width="10.28515625" style="1" bestFit="1" customWidth="1"/>
    <col min="1743" max="1747" width="9.28515625" style="1" bestFit="1" customWidth="1"/>
    <col min="1748" max="1748" width="10.42578125" style="1" bestFit="1" customWidth="1"/>
    <col min="1749" max="1749" width="9.140625" style="1"/>
    <col min="1750" max="1750" width="24.85546875" style="1" customWidth="1"/>
    <col min="1751" max="1751" width="9.140625" style="1"/>
    <col min="1752" max="1764" width="9.28515625" style="1" bestFit="1" customWidth="1"/>
    <col min="1765" max="1765" width="10.28515625" style="1" bestFit="1" customWidth="1"/>
    <col min="1766" max="1766" width="9.5703125" style="1" bestFit="1" customWidth="1"/>
    <col min="1767" max="1767" width="18.5703125" style="1" customWidth="1"/>
    <col min="1768" max="1769" width="9.140625" style="1"/>
    <col min="1770" max="1772" width="12.140625" style="1" bestFit="1" customWidth="1"/>
    <col min="1773" max="1781" width="10.28515625" style="1" bestFit="1" customWidth="1"/>
    <col min="1782" max="1782" width="11.28515625" style="1" bestFit="1" customWidth="1"/>
    <col min="1783" max="1783" width="9.140625" style="1"/>
    <col min="1784" max="1784" width="19" style="1" customWidth="1"/>
    <col min="1785" max="1801" width="9.140625" style="1"/>
    <col min="1802" max="1812" width="11.28515625" style="1" bestFit="1" customWidth="1"/>
    <col min="1813" max="1813" width="10.28515625" style="1" bestFit="1" customWidth="1"/>
    <col min="1814" max="1814" width="12.85546875" style="1" bestFit="1" customWidth="1"/>
    <col min="1815" max="1937" width="9.140625" style="1"/>
    <col min="1938" max="1938" width="11" style="1" bestFit="1" customWidth="1"/>
    <col min="1939" max="1939" width="28.140625" style="1" bestFit="1" customWidth="1"/>
    <col min="1940" max="1940" width="14" style="1" bestFit="1" customWidth="1"/>
    <col min="1941" max="1941" width="9.140625" style="1"/>
    <col min="1942" max="1942" width="13.85546875" style="1" bestFit="1" customWidth="1"/>
    <col min="1943" max="1943" width="9.140625" style="1"/>
    <col min="1944" max="1944" width="14" style="1" customWidth="1"/>
    <col min="1945" max="1945" width="9.140625" style="1"/>
    <col min="1946" max="1946" width="12.85546875" style="1" bestFit="1" customWidth="1"/>
    <col min="1947" max="1947" width="10" style="1" customWidth="1"/>
    <col min="1948" max="1948" width="14" style="1" bestFit="1" customWidth="1"/>
    <col min="1949" max="1949" width="9.85546875" style="1" bestFit="1" customWidth="1"/>
    <col min="1950" max="1950" width="13.5703125" style="1" bestFit="1" customWidth="1"/>
    <col min="1951" max="1951" width="9.85546875" style="1" bestFit="1" customWidth="1"/>
    <col min="1952" max="1952" width="12.85546875" style="1" bestFit="1" customWidth="1"/>
    <col min="1953" max="1964" width="10.5703125" style="1" customWidth="1"/>
    <col min="1965" max="1965" width="11.140625" style="1" bestFit="1" customWidth="1"/>
    <col min="1966" max="1966" width="2.7109375" style="1" customWidth="1"/>
    <col min="1967" max="1967" width="9.85546875" style="1" bestFit="1" customWidth="1"/>
    <col min="1968" max="1969" width="9.140625" style="1"/>
    <col min="1970" max="1970" width="24" style="1" customWidth="1"/>
    <col min="1971" max="1973" width="9.140625" style="1"/>
    <col min="1974" max="1974" width="9" style="1" bestFit="1" customWidth="1"/>
    <col min="1975" max="1984" width="9.28515625" style="1" bestFit="1" customWidth="1"/>
    <col min="1985" max="1985" width="10.28515625" style="1" bestFit="1" customWidth="1"/>
    <col min="1986" max="1986" width="11.28515625" style="1" bestFit="1" customWidth="1"/>
    <col min="1987" max="1987" width="11.7109375" style="1" customWidth="1"/>
    <col min="1988" max="1988" width="9.140625" style="1"/>
    <col min="1989" max="1989" width="22.28515625" style="1" customWidth="1"/>
    <col min="1990" max="1990" width="9.140625" style="1"/>
    <col min="1991" max="1991" width="9.28515625" style="1" bestFit="1" customWidth="1"/>
    <col min="1992" max="1992" width="9.42578125" style="1" bestFit="1" customWidth="1"/>
    <col min="1993" max="1993" width="9.28515625" style="1" bestFit="1" customWidth="1"/>
    <col min="1994" max="1994" width="10.28515625" style="1" bestFit="1" customWidth="1"/>
    <col min="1995" max="1996" width="9.28515625" style="1" bestFit="1" customWidth="1"/>
    <col min="1997" max="1998" width="10.28515625" style="1" bestFit="1" customWidth="1"/>
    <col min="1999" max="2003" width="9.28515625" style="1" bestFit="1" customWidth="1"/>
    <col min="2004" max="2004" width="10.42578125" style="1" bestFit="1" customWidth="1"/>
    <col min="2005" max="2005" width="9.140625" style="1"/>
    <col min="2006" max="2006" width="24.85546875" style="1" customWidth="1"/>
    <col min="2007" max="2007" width="9.140625" style="1"/>
    <col min="2008" max="2020" width="9.28515625" style="1" bestFit="1" customWidth="1"/>
    <col min="2021" max="2021" width="10.28515625" style="1" bestFit="1" customWidth="1"/>
    <col min="2022" max="2022" width="9.5703125" style="1" bestFit="1" customWidth="1"/>
    <col min="2023" max="2023" width="18.5703125" style="1" customWidth="1"/>
    <col min="2024" max="2025" width="9.140625" style="1"/>
    <col min="2026" max="2028" width="12.140625" style="1" bestFit="1" customWidth="1"/>
    <col min="2029" max="2037" width="10.28515625" style="1" bestFit="1" customWidth="1"/>
    <col min="2038" max="2038" width="11.28515625" style="1" bestFit="1" customWidth="1"/>
    <col min="2039" max="2039" width="9.140625" style="1"/>
    <col min="2040" max="2040" width="19" style="1" customWidth="1"/>
    <col min="2041" max="2057" width="9.140625" style="1"/>
    <col min="2058" max="2068" width="11.28515625" style="1" bestFit="1" customWidth="1"/>
    <col min="2069" max="2069" width="10.28515625" style="1" bestFit="1" customWidth="1"/>
    <col min="2070" max="2070" width="12.85546875" style="1" bestFit="1" customWidth="1"/>
    <col min="2071" max="2193" width="9.140625" style="1"/>
    <col min="2194" max="2194" width="11" style="1" bestFit="1" customWidth="1"/>
    <col min="2195" max="2195" width="28.140625" style="1" bestFit="1" customWidth="1"/>
    <col min="2196" max="2196" width="14" style="1" bestFit="1" customWidth="1"/>
    <col min="2197" max="2197" width="9.140625" style="1"/>
    <col min="2198" max="2198" width="13.85546875" style="1" bestFit="1" customWidth="1"/>
    <col min="2199" max="2199" width="9.140625" style="1"/>
    <col min="2200" max="2200" width="14" style="1" customWidth="1"/>
    <col min="2201" max="2201" width="9.140625" style="1"/>
    <col min="2202" max="2202" width="12.85546875" style="1" bestFit="1" customWidth="1"/>
    <col min="2203" max="2203" width="10" style="1" customWidth="1"/>
    <col min="2204" max="2204" width="14" style="1" bestFit="1" customWidth="1"/>
    <col min="2205" max="2205" width="9.85546875" style="1" bestFit="1" customWidth="1"/>
    <col min="2206" max="2206" width="13.5703125" style="1" bestFit="1" customWidth="1"/>
    <col min="2207" max="2207" width="9.85546875" style="1" bestFit="1" customWidth="1"/>
    <col min="2208" max="2208" width="12.85546875" style="1" bestFit="1" customWidth="1"/>
    <col min="2209" max="2220" width="10.5703125" style="1" customWidth="1"/>
    <col min="2221" max="2221" width="11.140625" style="1" bestFit="1" customWidth="1"/>
    <col min="2222" max="2222" width="2.7109375" style="1" customWidth="1"/>
    <col min="2223" max="2223" width="9.85546875" style="1" bestFit="1" customWidth="1"/>
    <col min="2224" max="2225" width="9.140625" style="1"/>
    <col min="2226" max="2226" width="24" style="1" customWidth="1"/>
    <col min="2227" max="2229" width="9.140625" style="1"/>
    <col min="2230" max="2230" width="9" style="1" bestFit="1" customWidth="1"/>
    <col min="2231" max="2240" width="9.28515625" style="1" bestFit="1" customWidth="1"/>
    <col min="2241" max="2241" width="10.28515625" style="1" bestFit="1" customWidth="1"/>
    <col min="2242" max="2242" width="11.28515625" style="1" bestFit="1" customWidth="1"/>
    <col min="2243" max="2243" width="11.7109375" style="1" customWidth="1"/>
    <col min="2244" max="2244" width="9.140625" style="1"/>
    <col min="2245" max="2245" width="22.28515625" style="1" customWidth="1"/>
    <col min="2246" max="2246" width="9.140625" style="1"/>
    <col min="2247" max="2247" width="9.28515625" style="1" bestFit="1" customWidth="1"/>
    <col min="2248" max="2248" width="9.42578125" style="1" bestFit="1" customWidth="1"/>
    <col min="2249" max="2249" width="9.28515625" style="1" bestFit="1" customWidth="1"/>
    <col min="2250" max="2250" width="10.28515625" style="1" bestFit="1" customWidth="1"/>
    <col min="2251" max="2252" width="9.28515625" style="1" bestFit="1" customWidth="1"/>
    <col min="2253" max="2254" width="10.28515625" style="1" bestFit="1" customWidth="1"/>
    <col min="2255" max="2259" width="9.28515625" style="1" bestFit="1" customWidth="1"/>
    <col min="2260" max="2260" width="10.42578125" style="1" bestFit="1" customWidth="1"/>
    <col min="2261" max="2261" width="9.140625" style="1"/>
    <col min="2262" max="2262" width="24.85546875" style="1" customWidth="1"/>
    <col min="2263" max="2263" width="9.140625" style="1"/>
    <col min="2264" max="2276" width="9.28515625" style="1" bestFit="1" customWidth="1"/>
    <col min="2277" max="2277" width="10.28515625" style="1" bestFit="1" customWidth="1"/>
    <col min="2278" max="2278" width="9.5703125" style="1" bestFit="1" customWidth="1"/>
    <col min="2279" max="2279" width="18.5703125" style="1" customWidth="1"/>
    <col min="2280" max="2281" width="9.140625" style="1"/>
    <col min="2282" max="2284" width="12.140625" style="1" bestFit="1" customWidth="1"/>
    <col min="2285" max="2293" width="10.28515625" style="1" bestFit="1" customWidth="1"/>
    <col min="2294" max="2294" width="11.28515625" style="1" bestFit="1" customWidth="1"/>
    <col min="2295" max="2295" width="9.140625" style="1"/>
    <col min="2296" max="2296" width="19" style="1" customWidth="1"/>
    <col min="2297" max="2313" width="9.140625" style="1"/>
    <col min="2314" max="2324" width="11.28515625" style="1" bestFit="1" customWidth="1"/>
    <col min="2325" max="2325" width="10.28515625" style="1" bestFit="1" customWidth="1"/>
    <col min="2326" max="2326" width="12.85546875" style="1" bestFit="1" customWidth="1"/>
    <col min="2327" max="2449" width="9.140625" style="1"/>
    <col min="2450" max="2450" width="11" style="1" bestFit="1" customWidth="1"/>
    <col min="2451" max="2451" width="28.140625" style="1" bestFit="1" customWidth="1"/>
    <col min="2452" max="2452" width="14" style="1" bestFit="1" customWidth="1"/>
    <col min="2453" max="2453" width="9.140625" style="1"/>
    <col min="2454" max="2454" width="13.85546875" style="1" bestFit="1" customWidth="1"/>
    <col min="2455" max="2455" width="9.140625" style="1"/>
    <col min="2456" max="2456" width="14" style="1" customWidth="1"/>
    <col min="2457" max="2457" width="9.140625" style="1"/>
    <col min="2458" max="2458" width="12.85546875" style="1" bestFit="1" customWidth="1"/>
    <col min="2459" max="2459" width="10" style="1" customWidth="1"/>
    <col min="2460" max="2460" width="14" style="1" bestFit="1" customWidth="1"/>
    <col min="2461" max="2461" width="9.85546875" style="1" bestFit="1" customWidth="1"/>
    <col min="2462" max="2462" width="13.5703125" style="1" bestFit="1" customWidth="1"/>
    <col min="2463" max="2463" width="9.85546875" style="1" bestFit="1" customWidth="1"/>
    <col min="2464" max="2464" width="12.85546875" style="1" bestFit="1" customWidth="1"/>
    <col min="2465" max="2476" width="10.5703125" style="1" customWidth="1"/>
    <col min="2477" max="2477" width="11.140625" style="1" bestFit="1" customWidth="1"/>
    <col min="2478" max="2478" width="2.7109375" style="1" customWidth="1"/>
    <col min="2479" max="2479" width="9.85546875" style="1" bestFit="1" customWidth="1"/>
    <col min="2480" max="2481" width="9.140625" style="1"/>
    <col min="2482" max="2482" width="24" style="1" customWidth="1"/>
    <col min="2483" max="2485" width="9.140625" style="1"/>
    <col min="2486" max="2486" width="9" style="1" bestFit="1" customWidth="1"/>
    <col min="2487" max="2496" width="9.28515625" style="1" bestFit="1" customWidth="1"/>
    <col min="2497" max="2497" width="10.28515625" style="1" bestFit="1" customWidth="1"/>
    <col min="2498" max="2498" width="11.28515625" style="1" bestFit="1" customWidth="1"/>
    <col min="2499" max="2499" width="11.7109375" style="1" customWidth="1"/>
    <col min="2500" max="2500" width="9.140625" style="1"/>
    <col min="2501" max="2501" width="22.28515625" style="1" customWidth="1"/>
    <col min="2502" max="2502" width="9.140625" style="1"/>
    <col min="2503" max="2503" width="9.28515625" style="1" bestFit="1" customWidth="1"/>
    <col min="2504" max="2504" width="9.42578125" style="1" bestFit="1" customWidth="1"/>
    <col min="2505" max="2505" width="9.28515625" style="1" bestFit="1" customWidth="1"/>
    <col min="2506" max="2506" width="10.28515625" style="1" bestFit="1" customWidth="1"/>
    <col min="2507" max="2508" width="9.28515625" style="1" bestFit="1" customWidth="1"/>
    <col min="2509" max="2510" width="10.28515625" style="1" bestFit="1" customWidth="1"/>
    <col min="2511" max="2515" width="9.28515625" style="1" bestFit="1" customWidth="1"/>
    <col min="2516" max="2516" width="10.42578125" style="1" bestFit="1" customWidth="1"/>
    <col min="2517" max="2517" width="9.140625" style="1"/>
    <col min="2518" max="2518" width="24.85546875" style="1" customWidth="1"/>
    <col min="2519" max="2519" width="9.140625" style="1"/>
    <col min="2520" max="2532" width="9.28515625" style="1" bestFit="1" customWidth="1"/>
    <col min="2533" max="2533" width="10.28515625" style="1" bestFit="1" customWidth="1"/>
    <col min="2534" max="2534" width="9.5703125" style="1" bestFit="1" customWidth="1"/>
    <col min="2535" max="2535" width="18.5703125" style="1" customWidth="1"/>
    <col min="2536" max="2537" width="9.140625" style="1"/>
    <col min="2538" max="2540" width="12.140625" style="1" bestFit="1" customWidth="1"/>
    <col min="2541" max="2549" width="10.28515625" style="1" bestFit="1" customWidth="1"/>
    <col min="2550" max="2550" width="11.28515625" style="1" bestFit="1" customWidth="1"/>
    <col min="2551" max="2551" width="9.140625" style="1"/>
    <col min="2552" max="2552" width="19" style="1" customWidth="1"/>
    <col min="2553" max="2569" width="9.140625" style="1"/>
    <col min="2570" max="2580" width="11.28515625" style="1" bestFit="1" customWidth="1"/>
    <col min="2581" max="2581" width="10.28515625" style="1" bestFit="1" customWidth="1"/>
    <col min="2582" max="2582" width="12.85546875" style="1" bestFit="1" customWidth="1"/>
    <col min="2583" max="2705" width="9.140625" style="1"/>
    <col min="2706" max="2706" width="11" style="1" bestFit="1" customWidth="1"/>
    <col min="2707" max="2707" width="28.140625" style="1" bestFit="1" customWidth="1"/>
    <col min="2708" max="2708" width="14" style="1" bestFit="1" customWidth="1"/>
    <col min="2709" max="2709" width="9.140625" style="1"/>
    <col min="2710" max="2710" width="13.85546875" style="1" bestFit="1" customWidth="1"/>
    <col min="2711" max="2711" width="9.140625" style="1"/>
    <col min="2712" max="2712" width="14" style="1" customWidth="1"/>
    <col min="2713" max="2713" width="9.140625" style="1"/>
    <col min="2714" max="2714" width="12.85546875" style="1" bestFit="1" customWidth="1"/>
    <col min="2715" max="2715" width="10" style="1" customWidth="1"/>
    <col min="2716" max="2716" width="14" style="1" bestFit="1" customWidth="1"/>
    <col min="2717" max="2717" width="9.85546875" style="1" bestFit="1" customWidth="1"/>
    <col min="2718" max="2718" width="13.5703125" style="1" bestFit="1" customWidth="1"/>
    <col min="2719" max="2719" width="9.85546875" style="1" bestFit="1" customWidth="1"/>
    <col min="2720" max="2720" width="12.85546875" style="1" bestFit="1" customWidth="1"/>
    <col min="2721" max="2732" width="10.5703125" style="1" customWidth="1"/>
    <col min="2733" max="2733" width="11.140625" style="1" bestFit="1" customWidth="1"/>
    <col min="2734" max="2734" width="2.7109375" style="1" customWidth="1"/>
    <col min="2735" max="2735" width="9.85546875" style="1" bestFit="1" customWidth="1"/>
    <col min="2736" max="2737" width="9.140625" style="1"/>
    <col min="2738" max="2738" width="24" style="1" customWidth="1"/>
    <col min="2739" max="2741" width="9.140625" style="1"/>
    <col min="2742" max="2742" width="9" style="1" bestFit="1" customWidth="1"/>
    <col min="2743" max="2752" width="9.28515625" style="1" bestFit="1" customWidth="1"/>
    <col min="2753" max="2753" width="10.28515625" style="1" bestFit="1" customWidth="1"/>
    <col min="2754" max="2754" width="11.28515625" style="1" bestFit="1" customWidth="1"/>
    <col min="2755" max="2755" width="11.7109375" style="1" customWidth="1"/>
    <col min="2756" max="2756" width="9.140625" style="1"/>
    <col min="2757" max="2757" width="22.28515625" style="1" customWidth="1"/>
    <col min="2758" max="2758" width="9.140625" style="1"/>
    <col min="2759" max="2759" width="9.28515625" style="1" bestFit="1" customWidth="1"/>
    <col min="2760" max="2760" width="9.42578125" style="1" bestFit="1" customWidth="1"/>
    <col min="2761" max="2761" width="9.28515625" style="1" bestFit="1" customWidth="1"/>
    <col min="2762" max="2762" width="10.28515625" style="1" bestFit="1" customWidth="1"/>
    <col min="2763" max="2764" width="9.28515625" style="1" bestFit="1" customWidth="1"/>
    <col min="2765" max="2766" width="10.28515625" style="1" bestFit="1" customWidth="1"/>
    <col min="2767" max="2771" width="9.28515625" style="1" bestFit="1" customWidth="1"/>
    <col min="2772" max="2772" width="10.42578125" style="1" bestFit="1" customWidth="1"/>
    <col min="2773" max="2773" width="9.140625" style="1"/>
    <col min="2774" max="2774" width="24.85546875" style="1" customWidth="1"/>
    <col min="2775" max="2775" width="9.140625" style="1"/>
    <col min="2776" max="2788" width="9.28515625" style="1" bestFit="1" customWidth="1"/>
    <col min="2789" max="2789" width="10.28515625" style="1" bestFit="1" customWidth="1"/>
    <col min="2790" max="2790" width="9.5703125" style="1" bestFit="1" customWidth="1"/>
    <col min="2791" max="2791" width="18.5703125" style="1" customWidth="1"/>
    <col min="2792" max="2793" width="9.140625" style="1"/>
    <col min="2794" max="2796" width="12.140625" style="1" bestFit="1" customWidth="1"/>
    <col min="2797" max="2805" width="10.28515625" style="1" bestFit="1" customWidth="1"/>
    <col min="2806" max="2806" width="11.28515625" style="1" bestFit="1" customWidth="1"/>
    <col min="2807" max="2807" width="9.140625" style="1"/>
    <col min="2808" max="2808" width="19" style="1" customWidth="1"/>
    <col min="2809" max="2825" width="9.140625" style="1"/>
    <col min="2826" max="2836" width="11.28515625" style="1" bestFit="1" customWidth="1"/>
    <col min="2837" max="2837" width="10.28515625" style="1" bestFit="1" customWidth="1"/>
    <col min="2838" max="2838" width="12.85546875" style="1" bestFit="1" customWidth="1"/>
    <col min="2839" max="2961" width="9.140625" style="1"/>
    <col min="2962" max="2962" width="11" style="1" bestFit="1" customWidth="1"/>
    <col min="2963" max="2963" width="28.140625" style="1" bestFit="1" customWidth="1"/>
    <col min="2964" max="2964" width="14" style="1" bestFit="1" customWidth="1"/>
    <col min="2965" max="2965" width="9.140625" style="1"/>
    <col min="2966" max="2966" width="13.85546875" style="1" bestFit="1" customWidth="1"/>
    <col min="2967" max="2967" width="9.140625" style="1"/>
    <col min="2968" max="2968" width="14" style="1" customWidth="1"/>
    <col min="2969" max="2969" width="9.140625" style="1"/>
    <col min="2970" max="2970" width="12.85546875" style="1" bestFit="1" customWidth="1"/>
    <col min="2971" max="2971" width="10" style="1" customWidth="1"/>
    <col min="2972" max="2972" width="14" style="1" bestFit="1" customWidth="1"/>
    <col min="2973" max="2973" width="9.85546875" style="1" bestFit="1" customWidth="1"/>
    <col min="2974" max="2974" width="13.5703125" style="1" bestFit="1" customWidth="1"/>
    <col min="2975" max="2975" width="9.85546875" style="1" bestFit="1" customWidth="1"/>
    <col min="2976" max="2976" width="12.85546875" style="1" bestFit="1" customWidth="1"/>
    <col min="2977" max="2988" width="10.5703125" style="1" customWidth="1"/>
    <col min="2989" max="2989" width="11.140625" style="1" bestFit="1" customWidth="1"/>
    <col min="2990" max="2990" width="2.7109375" style="1" customWidth="1"/>
    <col min="2991" max="2991" width="9.85546875" style="1" bestFit="1" customWidth="1"/>
    <col min="2992" max="2993" width="9.140625" style="1"/>
    <col min="2994" max="2994" width="24" style="1" customWidth="1"/>
    <col min="2995" max="2997" width="9.140625" style="1"/>
    <col min="2998" max="2998" width="9" style="1" bestFit="1" customWidth="1"/>
    <col min="2999" max="3008" width="9.28515625" style="1" bestFit="1" customWidth="1"/>
    <col min="3009" max="3009" width="10.28515625" style="1" bestFit="1" customWidth="1"/>
    <col min="3010" max="3010" width="11.28515625" style="1" bestFit="1" customWidth="1"/>
    <col min="3011" max="3011" width="11.7109375" style="1" customWidth="1"/>
    <col min="3012" max="3012" width="9.140625" style="1"/>
    <col min="3013" max="3013" width="22.28515625" style="1" customWidth="1"/>
    <col min="3014" max="3014" width="9.140625" style="1"/>
    <col min="3015" max="3015" width="9.28515625" style="1" bestFit="1" customWidth="1"/>
    <col min="3016" max="3016" width="9.42578125" style="1" bestFit="1" customWidth="1"/>
    <col min="3017" max="3017" width="9.28515625" style="1" bestFit="1" customWidth="1"/>
    <col min="3018" max="3018" width="10.28515625" style="1" bestFit="1" customWidth="1"/>
    <col min="3019" max="3020" width="9.28515625" style="1" bestFit="1" customWidth="1"/>
    <col min="3021" max="3022" width="10.28515625" style="1" bestFit="1" customWidth="1"/>
    <col min="3023" max="3027" width="9.28515625" style="1" bestFit="1" customWidth="1"/>
    <col min="3028" max="3028" width="10.42578125" style="1" bestFit="1" customWidth="1"/>
    <col min="3029" max="3029" width="9.140625" style="1"/>
    <col min="3030" max="3030" width="24.85546875" style="1" customWidth="1"/>
    <col min="3031" max="3031" width="9.140625" style="1"/>
    <col min="3032" max="3044" width="9.28515625" style="1" bestFit="1" customWidth="1"/>
    <col min="3045" max="3045" width="10.28515625" style="1" bestFit="1" customWidth="1"/>
    <col min="3046" max="3046" width="9.5703125" style="1" bestFit="1" customWidth="1"/>
    <col min="3047" max="3047" width="18.5703125" style="1" customWidth="1"/>
    <col min="3048" max="3049" width="9.140625" style="1"/>
    <col min="3050" max="3052" width="12.140625" style="1" bestFit="1" customWidth="1"/>
    <col min="3053" max="3061" width="10.28515625" style="1" bestFit="1" customWidth="1"/>
    <col min="3062" max="3062" width="11.28515625" style="1" bestFit="1" customWidth="1"/>
    <col min="3063" max="3063" width="9.140625" style="1"/>
    <col min="3064" max="3064" width="19" style="1" customWidth="1"/>
    <col min="3065" max="3081" width="9.140625" style="1"/>
    <col min="3082" max="3092" width="11.28515625" style="1" bestFit="1" customWidth="1"/>
    <col min="3093" max="3093" width="10.28515625" style="1" bestFit="1" customWidth="1"/>
    <col min="3094" max="3094" width="12.85546875" style="1" bestFit="1" customWidth="1"/>
    <col min="3095" max="3217" width="9.140625" style="1"/>
    <col min="3218" max="3218" width="11" style="1" bestFit="1" customWidth="1"/>
    <col min="3219" max="3219" width="28.140625" style="1" bestFit="1" customWidth="1"/>
    <col min="3220" max="3220" width="14" style="1" bestFit="1" customWidth="1"/>
    <col min="3221" max="3221" width="9.140625" style="1"/>
    <col min="3222" max="3222" width="13.85546875" style="1" bestFit="1" customWidth="1"/>
    <col min="3223" max="3223" width="9.140625" style="1"/>
    <col min="3224" max="3224" width="14" style="1" customWidth="1"/>
    <col min="3225" max="3225" width="9.140625" style="1"/>
    <col min="3226" max="3226" width="12.85546875" style="1" bestFit="1" customWidth="1"/>
    <col min="3227" max="3227" width="10" style="1" customWidth="1"/>
    <col min="3228" max="3228" width="14" style="1" bestFit="1" customWidth="1"/>
    <col min="3229" max="3229" width="9.85546875" style="1" bestFit="1" customWidth="1"/>
    <col min="3230" max="3230" width="13.5703125" style="1" bestFit="1" customWidth="1"/>
    <col min="3231" max="3231" width="9.85546875" style="1" bestFit="1" customWidth="1"/>
    <col min="3232" max="3232" width="12.85546875" style="1" bestFit="1" customWidth="1"/>
    <col min="3233" max="3244" width="10.5703125" style="1" customWidth="1"/>
    <col min="3245" max="3245" width="11.140625" style="1" bestFit="1" customWidth="1"/>
    <col min="3246" max="3246" width="2.7109375" style="1" customWidth="1"/>
    <col min="3247" max="3247" width="9.85546875" style="1" bestFit="1" customWidth="1"/>
    <col min="3248" max="3249" width="9.140625" style="1"/>
    <col min="3250" max="3250" width="24" style="1" customWidth="1"/>
    <col min="3251" max="3253" width="9.140625" style="1"/>
    <col min="3254" max="3254" width="9" style="1" bestFit="1" customWidth="1"/>
    <col min="3255" max="3264" width="9.28515625" style="1" bestFit="1" customWidth="1"/>
    <col min="3265" max="3265" width="10.28515625" style="1" bestFit="1" customWidth="1"/>
    <col min="3266" max="3266" width="11.28515625" style="1" bestFit="1" customWidth="1"/>
    <col min="3267" max="3267" width="11.7109375" style="1" customWidth="1"/>
    <col min="3268" max="3268" width="9.140625" style="1"/>
    <col min="3269" max="3269" width="22.28515625" style="1" customWidth="1"/>
    <col min="3270" max="3270" width="9.140625" style="1"/>
    <col min="3271" max="3271" width="9.28515625" style="1" bestFit="1" customWidth="1"/>
    <col min="3272" max="3272" width="9.42578125" style="1" bestFit="1" customWidth="1"/>
    <col min="3273" max="3273" width="9.28515625" style="1" bestFit="1" customWidth="1"/>
    <col min="3274" max="3274" width="10.28515625" style="1" bestFit="1" customWidth="1"/>
    <col min="3275" max="3276" width="9.28515625" style="1" bestFit="1" customWidth="1"/>
    <col min="3277" max="3278" width="10.28515625" style="1" bestFit="1" customWidth="1"/>
    <col min="3279" max="3283" width="9.28515625" style="1" bestFit="1" customWidth="1"/>
    <col min="3284" max="3284" width="10.42578125" style="1" bestFit="1" customWidth="1"/>
    <col min="3285" max="3285" width="9.140625" style="1"/>
    <col min="3286" max="3286" width="24.85546875" style="1" customWidth="1"/>
    <col min="3287" max="3287" width="9.140625" style="1"/>
    <col min="3288" max="3300" width="9.28515625" style="1" bestFit="1" customWidth="1"/>
    <col min="3301" max="3301" width="10.28515625" style="1" bestFit="1" customWidth="1"/>
    <col min="3302" max="3302" width="9.5703125" style="1" bestFit="1" customWidth="1"/>
    <col min="3303" max="3303" width="18.5703125" style="1" customWidth="1"/>
    <col min="3304" max="3305" width="9.140625" style="1"/>
    <col min="3306" max="3308" width="12.140625" style="1" bestFit="1" customWidth="1"/>
    <col min="3309" max="3317" width="10.28515625" style="1" bestFit="1" customWidth="1"/>
    <col min="3318" max="3318" width="11.28515625" style="1" bestFit="1" customWidth="1"/>
    <col min="3319" max="3319" width="9.140625" style="1"/>
    <col min="3320" max="3320" width="19" style="1" customWidth="1"/>
    <col min="3321" max="3337" width="9.140625" style="1"/>
    <col min="3338" max="3348" width="11.28515625" style="1" bestFit="1" customWidth="1"/>
    <col min="3349" max="3349" width="10.28515625" style="1" bestFit="1" customWidth="1"/>
    <col min="3350" max="3350" width="12.85546875" style="1" bestFit="1" customWidth="1"/>
    <col min="3351" max="3473" width="9.140625" style="1"/>
    <col min="3474" max="3474" width="11" style="1" bestFit="1" customWidth="1"/>
    <col min="3475" max="3475" width="28.140625" style="1" bestFit="1" customWidth="1"/>
    <col min="3476" max="3476" width="14" style="1" bestFit="1" customWidth="1"/>
    <col min="3477" max="3477" width="9.140625" style="1"/>
    <col min="3478" max="3478" width="13.85546875" style="1" bestFit="1" customWidth="1"/>
    <col min="3479" max="3479" width="9.140625" style="1"/>
    <col min="3480" max="3480" width="14" style="1" customWidth="1"/>
    <col min="3481" max="3481" width="9.140625" style="1"/>
    <col min="3482" max="3482" width="12.85546875" style="1" bestFit="1" customWidth="1"/>
    <col min="3483" max="3483" width="10" style="1" customWidth="1"/>
    <col min="3484" max="3484" width="14" style="1" bestFit="1" customWidth="1"/>
    <col min="3485" max="3485" width="9.85546875" style="1" bestFit="1" customWidth="1"/>
    <col min="3486" max="3486" width="13.5703125" style="1" bestFit="1" customWidth="1"/>
    <col min="3487" max="3487" width="9.85546875" style="1" bestFit="1" customWidth="1"/>
    <col min="3488" max="3488" width="12.85546875" style="1" bestFit="1" customWidth="1"/>
    <col min="3489" max="3500" width="10.5703125" style="1" customWidth="1"/>
    <col min="3501" max="3501" width="11.140625" style="1" bestFit="1" customWidth="1"/>
    <col min="3502" max="3502" width="2.7109375" style="1" customWidth="1"/>
    <col min="3503" max="3503" width="9.85546875" style="1" bestFit="1" customWidth="1"/>
    <col min="3504" max="3505" width="9.140625" style="1"/>
    <col min="3506" max="3506" width="24" style="1" customWidth="1"/>
    <col min="3507" max="3509" width="9.140625" style="1"/>
    <col min="3510" max="3510" width="9" style="1" bestFit="1" customWidth="1"/>
    <col min="3511" max="3520" width="9.28515625" style="1" bestFit="1" customWidth="1"/>
    <col min="3521" max="3521" width="10.28515625" style="1" bestFit="1" customWidth="1"/>
    <col min="3522" max="3522" width="11.28515625" style="1" bestFit="1" customWidth="1"/>
    <col min="3523" max="3523" width="11.7109375" style="1" customWidth="1"/>
    <col min="3524" max="3524" width="9.140625" style="1"/>
    <col min="3525" max="3525" width="22.28515625" style="1" customWidth="1"/>
    <col min="3526" max="3526" width="9.140625" style="1"/>
    <col min="3527" max="3527" width="9.28515625" style="1" bestFit="1" customWidth="1"/>
    <col min="3528" max="3528" width="9.42578125" style="1" bestFit="1" customWidth="1"/>
    <col min="3529" max="3529" width="9.28515625" style="1" bestFit="1" customWidth="1"/>
    <col min="3530" max="3530" width="10.28515625" style="1" bestFit="1" customWidth="1"/>
    <col min="3531" max="3532" width="9.28515625" style="1" bestFit="1" customWidth="1"/>
    <col min="3533" max="3534" width="10.28515625" style="1" bestFit="1" customWidth="1"/>
    <col min="3535" max="3539" width="9.28515625" style="1" bestFit="1" customWidth="1"/>
    <col min="3540" max="3540" width="10.42578125" style="1" bestFit="1" customWidth="1"/>
    <col min="3541" max="3541" width="9.140625" style="1"/>
    <col min="3542" max="3542" width="24.85546875" style="1" customWidth="1"/>
    <col min="3543" max="3543" width="9.140625" style="1"/>
    <col min="3544" max="3556" width="9.28515625" style="1" bestFit="1" customWidth="1"/>
    <col min="3557" max="3557" width="10.28515625" style="1" bestFit="1" customWidth="1"/>
    <col min="3558" max="3558" width="9.5703125" style="1" bestFit="1" customWidth="1"/>
    <col min="3559" max="3559" width="18.5703125" style="1" customWidth="1"/>
    <col min="3560" max="3561" width="9.140625" style="1"/>
    <col min="3562" max="3564" width="12.140625" style="1" bestFit="1" customWidth="1"/>
    <col min="3565" max="3573" width="10.28515625" style="1" bestFit="1" customWidth="1"/>
    <col min="3574" max="3574" width="11.28515625" style="1" bestFit="1" customWidth="1"/>
    <col min="3575" max="3575" width="9.140625" style="1"/>
    <col min="3576" max="3576" width="19" style="1" customWidth="1"/>
    <col min="3577" max="3593" width="9.140625" style="1"/>
    <col min="3594" max="3604" width="11.28515625" style="1" bestFit="1" customWidth="1"/>
    <col min="3605" max="3605" width="10.28515625" style="1" bestFit="1" customWidth="1"/>
    <col min="3606" max="3606" width="12.85546875" style="1" bestFit="1" customWidth="1"/>
    <col min="3607" max="3729" width="9.140625" style="1"/>
    <col min="3730" max="3730" width="11" style="1" bestFit="1" customWidth="1"/>
    <col min="3731" max="3731" width="28.140625" style="1" bestFit="1" customWidth="1"/>
    <col min="3732" max="3732" width="14" style="1" bestFit="1" customWidth="1"/>
    <col min="3733" max="3733" width="9.140625" style="1"/>
    <col min="3734" max="3734" width="13.85546875" style="1" bestFit="1" customWidth="1"/>
    <col min="3735" max="3735" width="9.140625" style="1"/>
    <col min="3736" max="3736" width="14" style="1" customWidth="1"/>
    <col min="3737" max="3737" width="9.140625" style="1"/>
    <col min="3738" max="3738" width="12.85546875" style="1" bestFit="1" customWidth="1"/>
    <col min="3739" max="3739" width="10" style="1" customWidth="1"/>
    <col min="3740" max="3740" width="14" style="1" bestFit="1" customWidth="1"/>
    <col min="3741" max="3741" width="9.85546875" style="1" bestFit="1" customWidth="1"/>
    <col min="3742" max="3742" width="13.5703125" style="1" bestFit="1" customWidth="1"/>
    <col min="3743" max="3743" width="9.85546875" style="1" bestFit="1" customWidth="1"/>
    <col min="3744" max="3744" width="12.85546875" style="1" bestFit="1" customWidth="1"/>
    <col min="3745" max="3756" width="10.5703125" style="1" customWidth="1"/>
    <col min="3757" max="3757" width="11.140625" style="1" bestFit="1" customWidth="1"/>
    <col min="3758" max="3758" width="2.7109375" style="1" customWidth="1"/>
    <col min="3759" max="3759" width="9.85546875" style="1" bestFit="1" customWidth="1"/>
    <col min="3760" max="3761" width="9.140625" style="1"/>
    <col min="3762" max="3762" width="24" style="1" customWidth="1"/>
    <col min="3763" max="3765" width="9.140625" style="1"/>
    <col min="3766" max="3766" width="9" style="1" bestFit="1" customWidth="1"/>
    <col min="3767" max="3776" width="9.28515625" style="1" bestFit="1" customWidth="1"/>
    <col min="3777" max="3777" width="10.28515625" style="1" bestFit="1" customWidth="1"/>
    <col min="3778" max="3778" width="11.28515625" style="1" bestFit="1" customWidth="1"/>
    <col min="3779" max="3779" width="11.7109375" style="1" customWidth="1"/>
    <col min="3780" max="3780" width="9.140625" style="1"/>
    <col min="3781" max="3781" width="22.28515625" style="1" customWidth="1"/>
    <col min="3782" max="3782" width="9.140625" style="1"/>
    <col min="3783" max="3783" width="9.28515625" style="1" bestFit="1" customWidth="1"/>
    <col min="3784" max="3784" width="9.42578125" style="1" bestFit="1" customWidth="1"/>
    <col min="3785" max="3785" width="9.28515625" style="1" bestFit="1" customWidth="1"/>
    <col min="3786" max="3786" width="10.28515625" style="1" bestFit="1" customWidth="1"/>
    <col min="3787" max="3788" width="9.28515625" style="1" bestFit="1" customWidth="1"/>
    <col min="3789" max="3790" width="10.28515625" style="1" bestFit="1" customWidth="1"/>
    <col min="3791" max="3795" width="9.28515625" style="1" bestFit="1" customWidth="1"/>
    <col min="3796" max="3796" width="10.42578125" style="1" bestFit="1" customWidth="1"/>
    <col min="3797" max="3797" width="9.140625" style="1"/>
    <col min="3798" max="3798" width="24.85546875" style="1" customWidth="1"/>
    <col min="3799" max="3799" width="9.140625" style="1"/>
    <col min="3800" max="3812" width="9.28515625" style="1" bestFit="1" customWidth="1"/>
    <col min="3813" max="3813" width="10.28515625" style="1" bestFit="1" customWidth="1"/>
    <col min="3814" max="3814" width="9.5703125" style="1" bestFit="1" customWidth="1"/>
    <col min="3815" max="3815" width="18.5703125" style="1" customWidth="1"/>
    <col min="3816" max="3817" width="9.140625" style="1"/>
    <col min="3818" max="3820" width="12.140625" style="1" bestFit="1" customWidth="1"/>
    <col min="3821" max="3829" width="10.28515625" style="1" bestFit="1" customWidth="1"/>
    <col min="3830" max="3830" width="11.28515625" style="1" bestFit="1" customWidth="1"/>
    <col min="3831" max="3831" width="9.140625" style="1"/>
    <col min="3832" max="3832" width="19" style="1" customWidth="1"/>
    <col min="3833" max="3849" width="9.140625" style="1"/>
    <col min="3850" max="3860" width="11.28515625" style="1" bestFit="1" customWidth="1"/>
    <col min="3861" max="3861" width="10.28515625" style="1" bestFit="1" customWidth="1"/>
    <col min="3862" max="3862" width="12.85546875" style="1" bestFit="1" customWidth="1"/>
    <col min="3863" max="3985" width="9.140625" style="1"/>
    <col min="3986" max="3986" width="11" style="1" bestFit="1" customWidth="1"/>
    <col min="3987" max="3987" width="28.140625" style="1" bestFit="1" customWidth="1"/>
    <col min="3988" max="3988" width="14" style="1" bestFit="1" customWidth="1"/>
    <col min="3989" max="3989" width="9.140625" style="1"/>
    <col min="3990" max="3990" width="13.85546875" style="1" bestFit="1" customWidth="1"/>
    <col min="3991" max="3991" width="9.140625" style="1"/>
    <col min="3992" max="3992" width="14" style="1" customWidth="1"/>
    <col min="3993" max="3993" width="9.140625" style="1"/>
    <col min="3994" max="3994" width="12.85546875" style="1" bestFit="1" customWidth="1"/>
    <col min="3995" max="3995" width="10" style="1" customWidth="1"/>
    <col min="3996" max="3996" width="14" style="1" bestFit="1" customWidth="1"/>
    <col min="3997" max="3997" width="9.85546875" style="1" bestFit="1" customWidth="1"/>
    <col min="3998" max="3998" width="13.5703125" style="1" bestFit="1" customWidth="1"/>
    <col min="3999" max="3999" width="9.85546875" style="1" bestFit="1" customWidth="1"/>
    <col min="4000" max="4000" width="12.85546875" style="1" bestFit="1" customWidth="1"/>
    <col min="4001" max="4012" width="10.5703125" style="1" customWidth="1"/>
    <col min="4013" max="4013" width="11.140625" style="1" bestFit="1" customWidth="1"/>
    <col min="4014" max="4014" width="2.7109375" style="1" customWidth="1"/>
    <col min="4015" max="4015" width="9.85546875" style="1" bestFit="1" customWidth="1"/>
    <col min="4016" max="4017" width="9.140625" style="1"/>
    <col min="4018" max="4018" width="24" style="1" customWidth="1"/>
    <col min="4019" max="4021" width="9.140625" style="1"/>
    <col min="4022" max="4022" width="9" style="1" bestFit="1" customWidth="1"/>
    <col min="4023" max="4032" width="9.28515625" style="1" bestFit="1" customWidth="1"/>
    <col min="4033" max="4033" width="10.28515625" style="1" bestFit="1" customWidth="1"/>
    <col min="4034" max="4034" width="11.28515625" style="1" bestFit="1" customWidth="1"/>
    <col min="4035" max="4035" width="11.7109375" style="1" customWidth="1"/>
    <col min="4036" max="4036" width="9.140625" style="1"/>
    <col min="4037" max="4037" width="22.28515625" style="1" customWidth="1"/>
    <col min="4038" max="4038" width="9.140625" style="1"/>
    <col min="4039" max="4039" width="9.28515625" style="1" bestFit="1" customWidth="1"/>
    <col min="4040" max="4040" width="9.42578125" style="1" bestFit="1" customWidth="1"/>
    <col min="4041" max="4041" width="9.28515625" style="1" bestFit="1" customWidth="1"/>
    <col min="4042" max="4042" width="10.28515625" style="1" bestFit="1" customWidth="1"/>
    <col min="4043" max="4044" width="9.28515625" style="1" bestFit="1" customWidth="1"/>
    <col min="4045" max="4046" width="10.28515625" style="1" bestFit="1" customWidth="1"/>
    <col min="4047" max="4051" width="9.28515625" style="1" bestFit="1" customWidth="1"/>
    <col min="4052" max="4052" width="10.42578125" style="1" bestFit="1" customWidth="1"/>
    <col min="4053" max="4053" width="9.140625" style="1"/>
    <col min="4054" max="4054" width="24.85546875" style="1" customWidth="1"/>
    <col min="4055" max="4055" width="9.140625" style="1"/>
    <col min="4056" max="4068" width="9.28515625" style="1" bestFit="1" customWidth="1"/>
    <col min="4069" max="4069" width="10.28515625" style="1" bestFit="1" customWidth="1"/>
    <col min="4070" max="4070" width="9.5703125" style="1" bestFit="1" customWidth="1"/>
    <col min="4071" max="4071" width="18.5703125" style="1" customWidth="1"/>
    <col min="4072" max="4073" width="9.140625" style="1"/>
    <col min="4074" max="4076" width="12.140625" style="1" bestFit="1" customWidth="1"/>
    <col min="4077" max="4085" width="10.28515625" style="1" bestFit="1" customWidth="1"/>
    <col min="4086" max="4086" width="11.28515625" style="1" bestFit="1" customWidth="1"/>
    <col min="4087" max="4087" width="9.140625" style="1"/>
    <col min="4088" max="4088" width="19" style="1" customWidth="1"/>
    <col min="4089" max="4105" width="9.140625" style="1"/>
    <col min="4106" max="4116" width="11.28515625" style="1" bestFit="1" customWidth="1"/>
    <col min="4117" max="4117" width="10.28515625" style="1" bestFit="1" customWidth="1"/>
    <col min="4118" max="4118" width="12.85546875" style="1" bestFit="1" customWidth="1"/>
    <col min="4119" max="4241" width="9.140625" style="1"/>
    <col min="4242" max="4242" width="11" style="1" bestFit="1" customWidth="1"/>
    <col min="4243" max="4243" width="28.140625" style="1" bestFit="1" customWidth="1"/>
    <col min="4244" max="4244" width="14" style="1" bestFit="1" customWidth="1"/>
    <col min="4245" max="4245" width="9.140625" style="1"/>
    <col min="4246" max="4246" width="13.85546875" style="1" bestFit="1" customWidth="1"/>
    <col min="4247" max="4247" width="9.140625" style="1"/>
    <col min="4248" max="4248" width="14" style="1" customWidth="1"/>
    <col min="4249" max="4249" width="9.140625" style="1"/>
    <col min="4250" max="4250" width="12.85546875" style="1" bestFit="1" customWidth="1"/>
    <col min="4251" max="4251" width="10" style="1" customWidth="1"/>
    <col min="4252" max="4252" width="14" style="1" bestFit="1" customWidth="1"/>
    <col min="4253" max="4253" width="9.85546875" style="1" bestFit="1" customWidth="1"/>
    <col min="4254" max="4254" width="13.5703125" style="1" bestFit="1" customWidth="1"/>
    <col min="4255" max="4255" width="9.85546875" style="1" bestFit="1" customWidth="1"/>
    <col min="4256" max="4256" width="12.85546875" style="1" bestFit="1" customWidth="1"/>
    <col min="4257" max="4268" width="10.5703125" style="1" customWidth="1"/>
    <col min="4269" max="4269" width="11.140625" style="1" bestFit="1" customWidth="1"/>
    <col min="4270" max="4270" width="2.7109375" style="1" customWidth="1"/>
    <col min="4271" max="4271" width="9.85546875" style="1" bestFit="1" customWidth="1"/>
    <col min="4272" max="4273" width="9.140625" style="1"/>
    <col min="4274" max="4274" width="24" style="1" customWidth="1"/>
    <col min="4275" max="4277" width="9.140625" style="1"/>
    <col min="4278" max="4278" width="9" style="1" bestFit="1" customWidth="1"/>
    <col min="4279" max="4288" width="9.28515625" style="1" bestFit="1" customWidth="1"/>
    <col min="4289" max="4289" width="10.28515625" style="1" bestFit="1" customWidth="1"/>
    <col min="4290" max="4290" width="11.28515625" style="1" bestFit="1" customWidth="1"/>
    <col min="4291" max="4291" width="11.7109375" style="1" customWidth="1"/>
    <col min="4292" max="4292" width="9.140625" style="1"/>
    <col min="4293" max="4293" width="22.28515625" style="1" customWidth="1"/>
    <col min="4294" max="4294" width="9.140625" style="1"/>
    <col min="4295" max="4295" width="9.28515625" style="1" bestFit="1" customWidth="1"/>
    <col min="4296" max="4296" width="9.42578125" style="1" bestFit="1" customWidth="1"/>
    <col min="4297" max="4297" width="9.28515625" style="1" bestFit="1" customWidth="1"/>
    <col min="4298" max="4298" width="10.28515625" style="1" bestFit="1" customWidth="1"/>
    <col min="4299" max="4300" width="9.28515625" style="1" bestFit="1" customWidth="1"/>
    <col min="4301" max="4302" width="10.28515625" style="1" bestFit="1" customWidth="1"/>
    <col min="4303" max="4307" width="9.28515625" style="1" bestFit="1" customWidth="1"/>
    <col min="4308" max="4308" width="10.42578125" style="1" bestFit="1" customWidth="1"/>
    <col min="4309" max="4309" width="9.140625" style="1"/>
    <col min="4310" max="4310" width="24.85546875" style="1" customWidth="1"/>
    <col min="4311" max="4311" width="9.140625" style="1"/>
    <col min="4312" max="4324" width="9.28515625" style="1" bestFit="1" customWidth="1"/>
    <col min="4325" max="4325" width="10.28515625" style="1" bestFit="1" customWidth="1"/>
    <col min="4326" max="4326" width="9.5703125" style="1" bestFit="1" customWidth="1"/>
    <col min="4327" max="4327" width="18.5703125" style="1" customWidth="1"/>
    <col min="4328" max="4329" width="9.140625" style="1"/>
    <col min="4330" max="4332" width="12.140625" style="1" bestFit="1" customWidth="1"/>
    <col min="4333" max="4341" width="10.28515625" style="1" bestFit="1" customWidth="1"/>
    <col min="4342" max="4342" width="11.28515625" style="1" bestFit="1" customWidth="1"/>
    <col min="4343" max="4343" width="9.140625" style="1"/>
    <col min="4344" max="4344" width="19" style="1" customWidth="1"/>
    <col min="4345" max="4361" width="9.140625" style="1"/>
    <col min="4362" max="4372" width="11.28515625" style="1" bestFit="1" customWidth="1"/>
    <col min="4373" max="4373" width="10.28515625" style="1" bestFit="1" customWidth="1"/>
    <col min="4374" max="4374" width="12.85546875" style="1" bestFit="1" customWidth="1"/>
    <col min="4375" max="4497" width="9.140625" style="1"/>
    <col min="4498" max="4498" width="11" style="1" bestFit="1" customWidth="1"/>
    <col min="4499" max="4499" width="28.140625" style="1" bestFit="1" customWidth="1"/>
    <col min="4500" max="4500" width="14" style="1" bestFit="1" customWidth="1"/>
    <col min="4501" max="4501" width="9.140625" style="1"/>
    <col min="4502" max="4502" width="13.85546875" style="1" bestFit="1" customWidth="1"/>
    <col min="4503" max="4503" width="9.140625" style="1"/>
    <col min="4504" max="4504" width="14" style="1" customWidth="1"/>
    <col min="4505" max="4505" width="9.140625" style="1"/>
    <col min="4506" max="4506" width="12.85546875" style="1" bestFit="1" customWidth="1"/>
    <col min="4507" max="4507" width="10" style="1" customWidth="1"/>
    <col min="4508" max="4508" width="14" style="1" bestFit="1" customWidth="1"/>
    <col min="4509" max="4509" width="9.85546875" style="1" bestFit="1" customWidth="1"/>
    <col min="4510" max="4510" width="13.5703125" style="1" bestFit="1" customWidth="1"/>
    <col min="4511" max="4511" width="9.85546875" style="1" bestFit="1" customWidth="1"/>
    <col min="4512" max="4512" width="12.85546875" style="1" bestFit="1" customWidth="1"/>
    <col min="4513" max="4524" width="10.5703125" style="1" customWidth="1"/>
    <col min="4525" max="4525" width="11.140625" style="1" bestFit="1" customWidth="1"/>
    <col min="4526" max="4526" width="2.7109375" style="1" customWidth="1"/>
    <col min="4527" max="4527" width="9.85546875" style="1" bestFit="1" customWidth="1"/>
    <col min="4528" max="4529" width="9.140625" style="1"/>
    <col min="4530" max="4530" width="24" style="1" customWidth="1"/>
    <col min="4531" max="4533" width="9.140625" style="1"/>
    <col min="4534" max="4534" width="9" style="1" bestFit="1" customWidth="1"/>
    <col min="4535" max="4544" width="9.28515625" style="1" bestFit="1" customWidth="1"/>
    <col min="4545" max="4545" width="10.28515625" style="1" bestFit="1" customWidth="1"/>
    <col min="4546" max="4546" width="11.28515625" style="1" bestFit="1" customWidth="1"/>
    <col min="4547" max="4547" width="11.7109375" style="1" customWidth="1"/>
    <col min="4548" max="4548" width="9.140625" style="1"/>
    <col min="4549" max="4549" width="22.28515625" style="1" customWidth="1"/>
    <col min="4550" max="4550" width="9.140625" style="1"/>
    <col min="4551" max="4551" width="9.28515625" style="1" bestFit="1" customWidth="1"/>
    <col min="4552" max="4552" width="9.42578125" style="1" bestFit="1" customWidth="1"/>
    <col min="4553" max="4553" width="9.28515625" style="1" bestFit="1" customWidth="1"/>
    <col min="4554" max="4554" width="10.28515625" style="1" bestFit="1" customWidth="1"/>
    <col min="4555" max="4556" width="9.28515625" style="1" bestFit="1" customWidth="1"/>
    <col min="4557" max="4558" width="10.28515625" style="1" bestFit="1" customWidth="1"/>
    <col min="4559" max="4563" width="9.28515625" style="1" bestFit="1" customWidth="1"/>
    <col min="4564" max="4564" width="10.42578125" style="1" bestFit="1" customWidth="1"/>
    <col min="4565" max="4565" width="9.140625" style="1"/>
    <col min="4566" max="4566" width="24.85546875" style="1" customWidth="1"/>
    <col min="4567" max="4567" width="9.140625" style="1"/>
    <col min="4568" max="4580" width="9.28515625" style="1" bestFit="1" customWidth="1"/>
    <col min="4581" max="4581" width="10.28515625" style="1" bestFit="1" customWidth="1"/>
    <col min="4582" max="4582" width="9.5703125" style="1" bestFit="1" customWidth="1"/>
    <col min="4583" max="4583" width="18.5703125" style="1" customWidth="1"/>
    <col min="4584" max="4585" width="9.140625" style="1"/>
    <col min="4586" max="4588" width="12.140625" style="1" bestFit="1" customWidth="1"/>
    <col min="4589" max="4597" width="10.28515625" style="1" bestFit="1" customWidth="1"/>
    <col min="4598" max="4598" width="11.28515625" style="1" bestFit="1" customWidth="1"/>
    <col min="4599" max="4599" width="9.140625" style="1"/>
    <col min="4600" max="4600" width="19" style="1" customWidth="1"/>
    <col min="4601" max="4617" width="9.140625" style="1"/>
    <col min="4618" max="4628" width="11.28515625" style="1" bestFit="1" customWidth="1"/>
    <col min="4629" max="4629" width="10.28515625" style="1" bestFit="1" customWidth="1"/>
    <col min="4630" max="4630" width="12.85546875" style="1" bestFit="1" customWidth="1"/>
    <col min="4631" max="4753" width="9.140625" style="1"/>
    <col min="4754" max="4754" width="11" style="1" bestFit="1" customWidth="1"/>
    <col min="4755" max="4755" width="28.140625" style="1" bestFit="1" customWidth="1"/>
    <col min="4756" max="4756" width="14" style="1" bestFit="1" customWidth="1"/>
    <col min="4757" max="4757" width="9.140625" style="1"/>
    <col min="4758" max="4758" width="13.85546875" style="1" bestFit="1" customWidth="1"/>
    <col min="4759" max="4759" width="9.140625" style="1"/>
    <col min="4760" max="4760" width="14" style="1" customWidth="1"/>
    <col min="4761" max="4761" width="9.140625" style="1"/>
    <col min="4762" max="4762" width="12.85546875" style="1" bestFit="1" customWidth="1"/>
    <col min="4763" max="4763" width="10" style="1" customWidth="1"/>
    <col min="4764" max="4764" width="14" style="1" bestFit="1" customWidth="1"/>
    <col min="4765" max="4765" width="9.85546875" style="1" bestFit="1" customWidth="1"/>
    <col min="4766" max="4766" width="13.5703125" style="1" bestFit="1" customWidth="1"/>
    <col min="4767" max="4767" width="9.85546875" style="1" bestFit="1" customWidth="1"/>
    <col min="4768" max="4768" width="12.85546875" style="1" bestFit="1" customWidth="1"/>
    <col min="4769" max="4780" width="10.5703125" style="1" customWidth="1"/>
    <col min="4781" max="4781" width="11.140625" style="1" bestFit="1" customWidth="1"/>
    <col min="4782" max="4782" width="2.7109375" style="1" customWidth="1"/>
    <col min="4783" max="4783" width="9.85546875" style="1" bestFit="1" customWidth="1"/>
    <col min="4784" max="4785" width="9.140625" style="1"/>
    <col min="4786" max="4786" width="24" style="1" customWidth="1"/>
    <col min="4787" max="4789" width="9.140625" style="1"/>
    <col min="4790" max="4790" width="9" style="1" bestFit="1" customWidth="1"/>
    <col min="4791" max="4800" width="9.28515625" style="1" bestFit="1" customWidth="1"/>
    <col min="4801" max="4801" width="10.28515625" style="1" bestFit="1" customWidth="1"/>
    <col min="4802" max="4802" width="11.28515625" style="1" bestFit="1" customWidth="1"/>
    <col min="4803" max="4803" width="11.7109375" style="1" customWidth="1"/>
    <col min="4804" max="4804" width="9.140625" style="1"/>
    <col min="4805" max="4805" width="22.28515625" style="1" customWidth="1"/>
    <col min="4806" max="4806" width="9.140625" style="1"/>
    <col min="4807" max="4807" width="9.28515625" style="1" bestFit="1" customWidth="1"/>
    <col min="4808" max="4808" width="9.42578125" style="1" bestFit="1" customWidth="1"/>
    <col min="4809" max="4809" width="9.28515625" style="1" bestFit="1" customWidth="1"/>
    <col min="4810" max="4810" width="10.28515625" style="1" bestFit="1" customWidth="1"/>
    <col min="4811" max="4812" width="9.28515625" style="1" bestFit="1" customWidth="1"/>
    <col min="4813" max="4814" width="10.28515625" style="1" bestFit="1" customWidth="1"/>
    <col min="4815" max="4819" width="9.28515625" style="1" bestFit="1" customWidth="1"/>
    <col min="4820" max="4820" width="10.42578125" style="1" bestFit="1" customWidth="1"/>
    <col min="4821" max="4821" width="9.140625" style="1"/>
    <col min="4822" max="4822" width="24.85546875" style="1" customWidth="1"/>
    <col min="4823" max="4823" width="9.140625" style="1"/>
    <col min="4824" max="4836" width="9.28515625" style="1" bestFit="1" customWidth="1"/>
    <col min="4837" max="4837" width="10.28515625" style="1" bestFit="1" customWidth="1"/>
    <col min="4838" max="4838" width="9.5703125" style="1" bestFit="1" customWidth="1"/>
    <col min="4839" max="4839" width="18.5703125" style="1" customWidth="1"/>
    <col min="4840" max="4841" width="9.140625" style="1"/>
    <col min="4842" max="4844" width="12.140625" style="1" bestFit="1" customWidth="1"/>
    <col min="4845" max="4853" width="10.28515625" style="1" bestFit="1" customWidth="1"/>
    <col min="4854" max="4854" width="11.28515625" style="1" bestFit="1" customWidth="1"/>
    <col min="4855" max="4855" width="9.140625" style="1"/>
    <col min="4856" max="4856" width="19" style="1" customWidth="1"/>
    <col min="4857" max="4873" width="9.140625" style="1"/>
    <col min="4874" max="4884" width="11.28515625" style="1" bestFit="1" customWidth="1"/>
    <col min="4885" max="4885" width="10.28515625" style="1" bestFit="1" customWidth="1"/>
    <col min="4886" max="4886" width="12.85546875" style="1" bestFit="1" customWidth="1"/>
    <col min="4887" max="5009" width="9.140625" style="1"/>
    <col min="5010" max="5010" width="11" style="1" bestFit="1" customWidth="1"/>
    <col min="5011" max="5011" width="28.140625" style="1" bestFit="1" customWidth="1"/>
    <col min="5012" max="5012" width="14" style="1" bestFit="1" customWidth="1"/>
    <col min="5013" max="5013" width="9.140625" style="1"/>
    <col min="5014" max="5014" width="13.85546875" style="1" bestFit="1" customWidth="1"/>
    <col min="5015" max="5015" width="9.140625" style="1"/>
    <col min="5016" max="5016" width="14" style="1" customWidth="1"/>
    <col min="5017" max="5017" width="9.140625" style="1"/>
    <col min="5018" max="5018" width="12.85546875" style="1" bestFit="1" customWidth="1"/>
    <col min="5019" max="5019" width="10" style="1" customWidth="1"/>
    <col min="5020" max="5020" width="14" style="1" bestFit="1" customWidth="1"/>
    <col min="5021" max="5021" width="9.85546875" style="1" bestFit="1" customWidth="1"/>
    <col min="5022" max="5022" width="13.5703125" style="1" bestFit="1" customWidth="1"/>
    <col min="5023" max="5023" width="9.85546875" style="1" bestFit="1" customWidth="1"/>
    <col min="5024" max="5024" width="12.85546875" style="1" bestFit="1" customWidth="1"/>
    <col min="5025" max="5036" width="10.5703125" style="1" customWidth="1"/>
    <col min="5037" max="5037" width="11.140625" style="1" bestFit="1" customWidth="1"/>
    <col min="5038" max="5038" width="2.7109375" style="1" customWidth="1"/>
    <col min="5039" max="5039" width="9.85546875" style="1" bestFit="1" customWidth="1"/>
    <col min="5040" max="5041" width="9.140625" style="1"/>
    <col min="5042" max="5042" width="24" style="1" customWidth="1"/>
    <col min="5043" max="5045" width="9.140625" style="1"/>
    <col min="5046" max="5046" width="9" style="1" bestFit="1" customWidth="1"/>
    <col min="5047" max="5056" width="9.28515625" style="1" bestFit="1" customWidth="1"/>
    <col min="5057" max="5057" width="10.28515625" style="1" bestFit="1" customWidth="1"/>
    <col min="5058" max="5058" width="11.28515625" style="1" bestFit="1" customWidth="1"/>
    <col min="5059" max="5059" width="11.7109375" style="1" customWidth="1"/>
    <col min="5060" max="5060" width="9.140625" style="1"/>
    <col min="5061" max="5061" width="22.28515625" style="1" customWidth="1"/>
    <col min="5062" max="5062" width="9.140625" style="1"/>
    <col min="5063" max="5063" width="9.28515625" style="1" bestFit="1" customWidth="1"/>
    <col min="5064" max="5064" width="9.42578125" style="1" bestFit="1" customWidth="1"/>
    <col min="5065" max="5065" width="9.28515625" style="1" bestFit="1" customWidth="1"/>
    <col min="5066" max="5066" width="10.28515625" style="1" bestFit="1" customWidth="1"/>
    <col min="5067" max="5068" width="9.28515625" style="1" bestFit="1" customWidth="1"/>
    <col min="5069" max="5070" width="10.28515625" style="1" bestFit="1" customWidth="1"/>
    <col min="5071" max="5075" width="9.28515625" style="1" bestFit="1" customWidth="1"/>
    <col min="5076" max="5076" width="10.42578125" style="1" bestFit="1" customWidth="1"/>
    <col min="5077" max="5077" width="9.140625" style="1"/>
    <col min="5078" max="5078" width="24.85546875" style="1" customWidth="1"/>
    <col min="5079" max="5079" width="9.140625" style="1"/>
    <col min="5080" max="5092" width="9.28515625" style="1" bestFit="1" customWidth="1"/>
    <col min="5093" max="5093" width="10.28515625" style="1" bestFit="1" customWidth="1"/>
    <col min="5094" max="5094" width="9.5703125" style="1" bestFit="1" customWidth="1"/>
    <col min="5095" max="5095" width="18.5703125" style="1" customWidth="1"/>
    <col min="5096" max="5097" width="9.140625" style="1"/>
    <col min="5098" max="5100" width="12.140625" style="1" bestFit="1" customWidth="1"/>
    <col min="5101" max="5109" width="10.28515625" style="1" bestFit="1" customWidth="1"/>
    <col min="5110" max="5110" width="11.28515625" style="1" bestFit="1" customWidth="1"/>
    <col min="5111" max="5111" width="9.140625" style="1"/>
    <col min="5112" max="5112" width="19" style="1" customWidth="1"/>
    <col min="5113" max="5129" width="9.140625" style="1"/>
    <col min="5130" max="5140" width="11.28515625" style="1" bestFit="1" customWidth="1"/>
    <col min="5141" max="5141" width="10.28515625" style="1" bestFit="1" customWidth="1"/>
    <col min="5142" max="5142" width="12.85546875" style="1" bestFit="1" customWidth="1"/>
    <col min="5143" max="5265" width="9.140625" style="1"/>
    <col min="5266" max="5266" width="11" style="1" bestFit="1" customWidth="1"/>
    <col min="5267" max="5267" width="28.140625" style="1" bestFit="1" customWidth="1"/>
    <col min="5268" max="5268" width="14" style="1" bestFit="1" customWidth="1"/>
    <col min="5269" max="5269" width="9.140625" style="1"/>
    <col min="5270" max="5270" width="13.85546875" style="1" bestFit="1" customWidth="1"/>
    <col min="5271" max="5271" width="9.140625" style="1"/>
    <col min="5272" max="5272" width="14" style="1" customWidth="1"/>
    <col min="5273" max="5273" width="9.140625" style="1"/>
    <col min="5274" max="5274" width="12.85546875" style="1" bestFit="1" customWidth="1"/>
    <col min="5275" max="5275" width="10" style="1" customWidth="1"/>
    <col min="5276" max="5276" width="14" style="1" bestFit="1" customWidth="1"/>
    <col min="5277" max="5277" width="9.85546875" style="1" bestFit="1" customWidth="1"/>
    <col min="5278" max="5278" width="13.5703125" style="1" bestFit="1" customWidth="1"/>
    <col min="5279" max="5279" width="9.85546875" style="1" bestFit="1" customWidth="1"/>
    <col min="5280" max="5280" width="12.85546875" style="1" bestFit="1" customWidth="1"/>
    <col min="5281" max="5292" width="10.5703125" style="1" customWidth="1"/>
    <col min="5293" max="5293" width="11.140625" style="1" bestFit="1" customWidth="1"/>
    <col min="5294" max="5294" width="2.7109375" style="1" customWidth="1"/>
    <col min="5295" max="5295" width="9.85546875" style="1" bestFit="1" customWidth="1"/>
    <col min="5296" max="5297" width="9.140625" style="1"/>
    <col min="5298" max="5298" width="24" style="1" customWidth="1"/>
    <col min="5299" max="5301" width="9.140625" style="1"/>
    <col min="5302" max="5302" width="9" style="1" bestFit="1" customWidth="1"/>
    <col min="5303" max="5312" width="9.28515625" style="1" bestFit="1" customWidth="1"/>
    <col min="5313" max="5313" width="10.28515625" style="1" bestFit="1" customWidth="1"/>
    <col min="5314" max="5314" width="11.28515625" style="1" bestFit="1" customWidth="1"/>
    <col min="5315" max="5315" width="11.7109375" style="1" customWidth="1"/>
    <col min="5316" max="5316" width="9.140625" style="1"/>
    <col min="5317" max="5317" width="22.28515625" style="1" customWidth="1"/>
    <col min="5318" max="5318" width="9.140625" style="1"/>
    <col min="5319" max="5319" width="9.28515625" style="1" bestFit="1" customWidth="1"/>
    <col min="5320" max="5320" width="9.42578125" style="1" bestFit="1" customWidth="1"/>
    <col min="5321" max="5321" width="9.28515625" style="1" bestFit="1" customWidth="1"/>
    <col min="5322" max="5322" width="10.28515625" style="1" bestFit="1" customWidth="1"/>
    <col min="5323" max="5324" width="9.28515625" style="1" bestFit="1" customWidth="1"/>
    <col min="5325" max="5326" width="10.28515625" style="1" bestFit="1" customWidth="1"/>
    <col min="5327" max="5331" width="9.28515625" style="1" bestFit="1" customWidth="1"/>
    <col min="5332" max="5332" width="10.42578125" style="1" bestFit="1" customWidth="1"/>
    <col min="5333" max="5333" width="9.140625" style="1"/>
    <col min="5334" max="5334" width="24.85546875" style="1" customWidth="1"/>
    <col min="5335" max="5335" width="9.140625" style="1"/>
    <col min="5336" max="5348" width="9.28515625" style="1" bestFit="1" customWidth="1"/>
    <col min="5349" max="5349" width="10.28515625" style="1" bestFit="1" customWidth="1"/>
    <col min="5350" max="5350" width="9.5703125" style="1" bestFit="1" customWidth="1"/>
    <col min="5351" max="5351" width="18.5703125" style="1" customWidth="1"/>
    <col min="5352" max="5353" width="9.140625" style="1"/>
    <col min="5354" max="5356" width="12.140625" style="1" bestFit="1" customWidth="1"/>
    <col min="5357" max="5365" width="10.28515625" style="1" bestFit="1" customWidth="1"/>
    <col min="5366" max="5366" width="11.28515625" style="1" bestFit="1" customWidth="1"/>
    <col min="5367" max="5367" width="9.140625" style="1"/>
    <col min="5368" max="5368" width="19" style="1" customWidth="1"/>
    <col min="5369" max="5385" width="9.140625" style="1"/>
    <col min="5386" max="5396" width="11.28515625" style="1" bestFit="1" customWidth="1"/>
    <col min="5397" max="5397" width="10.28515625" style="1" bestFit="1" customWidth="1"/>
    <col min="5398" max="5398" width="12.85546875" style="1" bestFit="1" customWidth="1"/>
    <col min="5399" max="5521" width="9.140625" style="1"/>
    <col min="5522" max="5522" width="11" style="1" bestFit="1" customWidth="1"/>
    <col min="5523" max="5523" width="28.140625" style="1" bestFit="1" customWidth="1"/>
    <col min="5524" max="5524" width="14" style="1" bestFit="1" customWidth="1"/>
    <col min="5525" max="5525" width="9.140625" style="1"/>
    <col min="5526" max="5526" width="13.85546875" style="1" bestFit="1" customWidth="1"/>
    <col min="5527" max="5527" width="9.140625" style="1"/>
    <col min="5528" max="5528" width="14" style="1" customWidth="1"/>
    <col min="5529" max="5529" width="9.140625" style="1"/>
    <col min="5530" max="5530" width="12.85546875" style="1" bestFit="1" customWidth="1"/>
    <col min="5531" max="5531" width="10" style="1" customWidth="1"/>
    <col min="5532" max="5532" width="14" style="1" bestFit="1" customWidth="1"/>
    <col min="5533" max="5533" width="9.85546875" style="1" bestFit="1" customWidth="1"/>
    <col min="5534" max="5534" width="13.5703125" style="1" bestFit="1" customWidth="1"/>
    <col min="5535" max="5535" width="9.85546875" style="1" bestFit="1" customWidth="1"/>
    <col min="5536" max="5536" width="12.85546875" style="1" bestFit="1" customWidth="1"/>
    <col min="5537" max="5548" width="10.5703125" style="1" customWidth="1"/>
    <col min="5549" max="5549" width="11.140625" style="1" bestFit="1" customWidth="1"/>
    <col min="5550" max="5550" width="2.7109375" style="1" customWidth="1"/>
    <col min="5551" max="5551" width="9.85546875" style="1" bestFit="1" customWidth="1"/>
    <col min="5552" max="5553" width="9.140625" style="1"/>
    <col min="5554" max="5554" width="24" style="1" customWidth="1"/>
    <col min="5555" max="5557" width="9.140625" style="1"/>
    <col min="5558" max="5558" width="9" style="1" bestFit="1" customWidth="1"/>
    <col min="5559" max="5568" width="9.28515625" style="1" bestFit="1" customWidth="1"/>
    <col min="5569" max="5569" width="10.28515625" style="1" bestFit="1" customWidth="1"/>
    <col min="5570" max="5570" width="11.28515625" style="1" bestFit="1" customWidth="1"/>
    <col min="5571" max="5571" width="11.7109375" style="1" customWidth="1"/>
    <col min="5572" max="5572" width="9.140625" style="1"/>
    <col min="5573" max="5573" width="22.28515625" style="1" customWidth="1"/>
    <col min="5574" max="5574" width="9.140625" style="1"/>
    <col min="5575" max="5575" width="9.28515625" style="1" bestFit="1" customWidth="1"/>
    <col min="5576" max="5576" width="9.42578125" style="1" bestFit="1" customWidth="1"/>
    <col min="5577" max="5577" width="9.28515625" style="1" bestFit="1" customWidth="1"/>
    <col min="5578" max="5578" width="10.28515625" style="1" bestFit="1" customWidth="1"/>
    <col min="5579" max="5580" width="9.28515625" style="1" bestFit="1" customWidth="1"/>
    <col min="5581" max="5582" width="10.28515625" style="1" bestFit="1" customWidth="1"/>
    <col min="5583" max="5587" width="9.28515625" style="1" bestFit="1" customWidth="1"/>
    <col min="5588" max="5588" width="10.42578125" style="1" bestFit="1" customWidth="1"/>
    <col min="5589" max="5589" width="9.140625" style="1"/>
    <col min="5590" max="5590" width="24.85546875" style="1" customWidth="1"/>
    <col min="5591" max="5591" width="9.140625" style="1"/>
    <col min="5592" max="5604" width="9.28515625" style="1" bestFit="1" customWidth="1"/>
    <col min="5605" max="5605" width="10.28515625" style="1" bestFit="1" customWidth="1"/>
    <col min="5606" max="5606" width="9.5703125" style="1" bestFit="1" customWidth="1"/>
    <col min="5607" max="5607" width="18.5703125" style="1" customWidth="1"/>
    <col min="5608" max="5609" width="9.140625" style="1"/>
    <col min="5610" max="5612" width="12.140625" style="1" bestFit="1" customWidth="1"/>
    <col min="5613" max="5621" width="10.28515625" style="1" bestFit="1" customWidth="1"/>
    <col min="5622" max="5622" width="11.28515625" style="1" bestFit="1" customWidth="1"/>
    <col min="5623" max="5623" width="9.140625" style="1"/>
    <col min="5624" max="5624" width="19" style="1" customWidth="1"/>
    <col min="5625" max="5641" width="9.140625" style="1"/>
    <col min="5642" max="5652" width="11.28515625" style="1" bestFit="1" customWidth="1"/>
    <col min="5653" max="5653" width="10.28515625" style="1" bestFit="1" customWidth="1"/>
    <col min="5654" max="5654" width="12.85546875" style="1" bestFit="1" customWidth="1"/>
    <col min="5655" max="5777" width="9.140625" style="1"/>
    <col min="5778" max="5778" width="11" style="1" bestFit="1" customWidth="1"/>
    <col min="5779" max="5779" width="28.140625" style="1" bestFit="1" customWidth="1"/>
    <col min="5780" max="5780" width="14" style="1" bestFit="1" customWidth="1"/>
    <col min="5781" max="5781" width="9.140625" style="1"/>
    <col min="5782" max="5782" width="13.85546875" style="1" bestFit="1" customWidth="1"/>
    <col min="5783" max="5783" width="9.140625" style="1"/>
    <col min="5784" max="5784" width="14" style="1" customWidth="1"/>
    <col min="5785" max="5785" width="9.140625" style="1"/>
    <col min="5786" max="5786" width="12.85546875" style="1" bestFit="1" customWidth="1"/>
    <col min="5787" max="5787" width="10" style="1" customWidth="1"/>
    <col min="5788" max="5788" width="14" style="1" bestFit="1" customWidth="1"/>
    <col min="5789" max="5789" width="9.85546875" style="1" bestFit="1" customWidth="1"/>
    <col min="5790" max="5790" width="13.5703125" style="1" bestFit="1" customWidth="1"/>
    <col min="5791" max="5791" width="9.85546875" style="1" bestFit="1" customWidth="1"/>
    <col min="5792" max="5792" width="12.85546875" style="1" bestFit="1" customWidth="1"/>
    <col min="5793" max="5804" width="10.5703125" style="1" customWidth="1"/>
    <col min="5805" max="5805" width="11.140625" style="1" bestFit="1" customWidth="1"/>
    <col min="5806" max="5806" width="2.7109375" style="1" customWidth="1"/>
    <col min="5807" max="5807" width="9.85546875" style="1" bestFit="1" customWidth="1"/>
    <col min="5808" max="5809" width="9.140625" style="1"/>
    <col min="5810" max="5810" width="24" style="1" customWidth="1"/>
    <col min="5811" max="5813" width="9.140625" style="1"/>
    <col min="5814" max="5814" width="9" style="1" bestFit="1" customWidth="1"/>
    <col min="5815" max="5824" width="9.28515625" style="1" bestFit="1" customWidth="1"/>
    <col min="5825" max="5825" width="10.28515625" style="1" bestFit="1" customWidth="1"/>
    <col min="5826" max="5826" width="11.28515625" style="1" bestFit="1" customWidth="1"/>
    <col min="5827" max="5827" width="11.7109375" style="1" customWidth="1"/>
    <col min="5828" max="5828" width="9.140625" style="1"/>
    <col min="5829" max="5829" width="22.28515625" style="1" customWidth="1"/>
    <col min="5830" max="5830" width="9.140625" style="1"/>
    <col min="5831" max="5831" width="9.28515625" style="1" bestFit="1" customWidth="1"/>
    <col min="5832" max="5832" width="9.42578125" style="1" bestFit="1" customWidth="1"/>
    <col min="5833" max="5833" width="9.28515625" style="1" bestFit="1" customWidth="1"/>
    <col min="5834" max="5834" width="10.28515625" style="1" bestFit="1" customWidth="1"/>
    <col min="5835" max="5836" width="9.28515625" style="1" bestFit="1" customWidth="1"/>
    <col min="5837" max="5838" width="10.28515625" style="1" bestFit="1" customWidth="1"/>
    <col min="5839" max="5843" width="9.28515625" style="1" bestFit="1" customWidth="1"/>
    <col min="5844" max="5844" width="10.42578125" style="1" bestFit="1" customWidth="1"/>
    <col min="5845" max="5845" width="9.140625" style="1"/>
    <col min="5846" max="5846" width="24.85546875" style="1" customWidth="1"/>
    <col min="5847" max="5847" width="9.140625" style="1"/>
    <col min="5848" max="5860" width="9.28515625" style="1" bestFit="1" customWidth="1"/>
    <col min="5861" max="5861" width="10.28515625" style="1" bestFit="1" customWidth="1"/>
    <col min="5862" max="5862" width="9.5703125" style="1" bestFit="1" customWidth="1"/>
    <col min="5863" max="5863" width="18.5703125" style="1" customWidth="1"/>
    <col min="5864" max="5865" width="9.140625" style="1"/>
    <col min="5866" max="5868" width="12.140625" style="1" bestFit="1" customWidth="1"/>
    <col min="5869" max="5877" width="10.28515625" style="1" bestFit="1" customWidth="1"/>
    <col min="5878" max="5878" width="11.28515625" style="1" bestFit="1" customWidth="1"/>
    <col min="5879" max="5879" width="9.140625" style="1"/>
    <col min="5880" max="5880" width="19" style="1" customWidth="1"/>
    <col min="5881" max="5897" width="9.140625" style="1"/>
    <col min="5898" max="5908" width="11.28515625" style="1" bestFit="1" customWidth="1"/>
    <col min="5909" max="5909" width="10.28515625" style="1" bestFit="1" customWidth="1"/>
    <col min="5910" max="5910" width="12.85546875" style="1" bestFit="1" customWidth="1"/>
    <col min="5911" max="6033" width="9.140625" style="1"/>
    <col min="6034" max="6034" width="11" style="1" bestFit="1" customWidth="1"/>
    <col min="6035" max="6035" width="28.140625" style="1" bestFit="1" customWidth="1"/>
    <col min="6036" max="6036" width="14" style="1" bestFit="1" customWidth="1"/>
    <col min="6037" max="6037" width="9.140625" style="1"/>
    <col min="6038" max="6038" width="13.85546875" style="1" bestFit="1" customWidth="1"/>
    <col min="6039" max="6039" width="9.140625" style="1"/>
    <col min="6040" max="6040" width="14" style="1" customWidth="1"/>
    <col min="6041" max="6041" width="9.140625" style="1"/>
    <col min="6042" max="6042" width="12.85546875" style="1" bestFit="1" customWidth="1"/>
    <col min="6043" max="6043" width="10" style="1" customWidth="1"/>
    <col min="6044" max="6044" width="14" style="1" bestFit="1" customWidth="1"/>
    <col min="6045" max="6045" width="9.85546875" style="1" bestFit="1" customWidth="1"/>
    <col min="6046" max="6046" width="13.5703125" style="1" bestFit="1" customWidth="1"/>
    <col min="6047" max="6047" width="9.85546875" style="1" bestFit="1" customWidth="1"/>
    <col min="6048" max="6048" width="12.85546875" style="1" bestFit="1" customWidth="1"/>
    <col min="6049" max="6060" width="10.5703125" style="1" customWidth="1"/>
    <col min="6061" max="6061" width="11.140625" style="1" bestFit="1" customWidth="1"/>
    <col min="6062" max="6062" width="2.7109375" style="1" customWidth="1"/>
    <col min="6063" max="6063" width="9.85546875" style="1" bestFit="1" customWidth="1"/>
    <col min="6064" max="6065" width="9.140625" style="1"/>
    <col min="6066" max="6066" width="24" style="1" customWidth="1"/>
    <col min="6067" max="6069" width="9.140625" style="1"/>
    <col min="6070" max="6070" width="9" style="1" bestFit="1" customWidth="1"/>
    <col min="6071" max="6080" width="9.28515625" style="1" bestFit="1" customWidth="1"/>
    <col min="6081" max="6081" width="10.28515625" style="1" bestFit="1" customWidth="1"/>
    <col min="6082" max="6082" width="11.28515625" style="1" bestFit="1" customWidth="1"/>
    <col min="6083" max="6083" width="11.7109375" style="1" customWidth="1"/>
    <col min="6084" max="6084" width="9.140625" style="1"/>
    <col min="6085" max="6085" width="22.28515625" style="1" customWidth="1"/>
    <col min="6086" max="6086" width="9.140625" style="1"/>
    <col min="6087" max="6087" width="9.28515625" style="1" bestFit="1" customWidth="1"/>
    <col min="6088" max="6088" width="9.42578125" style="1" bestFit="1" customWidth="1"/>
    <col min="6089" max="6089" width="9.28515625" style="1" bestFit="1" customWidth="1"/>
    <col min="6090" max="6090" width="10.28515625" style="1" bestFit="1" customWidth="1"/>
    <col min="6091" max="6092" width="9.28515625" style="1" bestFit="1" customWidth="1"/>
    <col min="6093" max="6094" width="10.28515625" style="1" bestFit="1" customWidth="1"/>
    <col min="6095" max="6099" width="9.28515625" style="1" bestFit="1" customWidth="1"/>
    <col min="6100" max="6100" width="10.42578125" style="1" bestFit="1" customWidth="1"/>
    <col min="6101" max="6101" width="9.140625" style="1"/>
    <col min="6102" max="6102" width="24.85546875" style="1" customWidth="1"/>
    <col min="6103" max="6103" width="9.140625" style="1"/>
    <col min="6104" max="6116" width="9.28515625" style="1" bestFit="1" customWidth="1"/>
    <col min="6117" max="6117" width="10.28515625" style="1" bestFit="1" customWidth="1"/>
    <col min="6118" max="6118" width="9.5703125" style="1" bestFit="1" customWidth="1"/>
    <col min="6119" max="6119" width="18.5703125" style="1" customWidth="1"/>
    <col min="6120" max="6121" width="9.140625" style="1"/>
    <col min="6122" max="6124" width="12.140625" style="1" bestFit="1" customWidth="1"/>
    <col min="6125" max="6133" width="10.28515625" style="1" bestFit="1" customWidth="1"/>
    <col min="6134" max="6134" width="11.28515625" style="1" bestFit="1" customWidth="1"/>
    <col min="6135" max="6135" width="9.140625" style="1"/>
    <col min="6136" max="6136" width="19" style="1" customWidth="1"/>
    <col min="6137" max="6153" width="9.140625" style="1"/>
    <col min="6154" max="6164" width="11.28515625" style="1" bestFit="1" customWidth="1"/>
    <col min="6165" max="6165" width="10.28515625" style="1" bestFit="1" customWidth="1"/>
    <col min="6166" max="6166" width="12.85546875" style="1" bestFit="1" customWidth="1"/>
    <col min="6167" max="6289" width="9.140625" style="1"/>
    <col min="6290" max="6290" width="11" style="1" bestFit="1" customWidth="1"/>
    <col min="6291" max="6291" width="28.140625" style="1" bestFit="1" customWidth="1"/>
    <col min="6292" max="6292" width="14" style="1" bestFit="1" customWidth="1"/>
    <col min="6293" max="6293" width="9.140625" style="1"/>
    <col min="6294" max="6294" width="13.85546875" style="1" bestFit="1" customWidth="1"/>
    <col min="6295" max="6295" width="9.140625" style="1"/>
    <col min="6296" max="6296" width="14" style="1" customWidth="1"/>
    <col min="6297" max="6297" width="9.140625" style="1"/>
    <col min="6298" max="6298" width="12.85546875" style="1" bestFit="1" customWidth="1"/>
    <col min="6299" max="6299" width="10" style="1" customWidth="1"/>
    <col min="6300" max="6300" width="14" style="1" bestFit="1" customWidth="1"/>
    <col min="6301" max="6301" width="9.85546875" style="1" bestFit="1" customWidth="1"/>
    <col min="6302" max="6302" width="13.5703125" style="1" bestFit="1" customWidth="1"/>
    <col min="6303" max="6303" width="9.85546875" style="1" bestFit="1" customWidth="1"/>
    <col min="6304" max="6304" width="12.85546875" style="1" bestFit="1" customWidth="1"/>
    <col min="6305" max="6316" width="10.5703125" style="1" customWidth="1"/>
    <col min="6317" max="6317" width="11.140625" style="1" bestFit="1" customWidth="1"/>
    <col min="6318" max="6318" width="2.7109375" style="1" customWidth="1"/>
    <col min="6319" max="6319" width="9.85546875" style="1" bestFit="1" customWidth="1"/>
    <col min="6320" max="6321" width="9.140625" style="1"/>
    <col min="6322" max="6322" width="24" style="1" customWidth="1"/>
    <col min="6323" max="6325" width="9.140625" style="1"/>
    <col min="6326" max="6326" width="9" style="1" bestFit="1" customWidth="1"/>
    <col min="6327" max="6336" width="9.28515625" style="1" bestFit="1" customWidth="1"/>
    <col min="6337" max="6337" width="10.28515625" style="1" bestFit="1" customWidth="1"/>
    <col min="6338" max="6338" width="11.28515625" style="1" bestFit="1" customWidth="1"/>
    <col min="6339" max="6339" width="11.7109375" style="1" customWidth="1"/>
    <col min="6340" max="6340" width="9.140625" style="1"/>
    <col min="6341" max="6341" width="22.28515625" style="1" customWidth="1"/>
    <col min="6342" max="6342" width="9.140625" style="1"/>
    <col min="6343" max="6343" width="9.28515625" style="1" bestFit="1" customWidth="1"/>
    <col min="6344" max="6344" width="9.42578125" style="1" bestFit="1" customWidth="1"/>
    <col min="6345" max="6345" width="9.28515625" style="1" bestFit="1" customWidth="1"/>
    <col min="6346" max="6346" width="10.28515625" style="1" bestFit="1" customWidth="1"/>
    <col min="6347" max="6348" width="9.28515625" style="1" bestFit="1" customWidth="1"/>
    <col min="6349" max="6350" width="10.28515625" style="1" bestFit="1" customWidth="1"/>
    <col min="6351" max="6355" width="9.28515625" style="1" bestFit="1" customWidth="1"/>
    <col min="6356" max="6356" width="10.42578125" style="1" bestFit="1" customWidth="1"/>
    <col min="6357" max="6357" width="9.140625" style="1"/>
    <col min="6358" max="6358" width="24.85546875" style="1" customWidth="1"/>
    <col min="6359" max="6359" width="9.140625" style="1"/>
    <col min="6360" max="6372" width="9.28515625" style="1" bestFit="1" customWidth="1"/>
    <col min="6373" max="6373" width="10.28515625" style="1" bestFit="1" customWidth="1"/>
    <col min="6374" max="6374" width="9.5703125" style="1" bestFit="1" customWidth="1"/>
    <col min="6375" max="6375" width="18.5703125" style="1" customWidth="1"/>
    <col min="6376" max="6377" width="9.140625" style="1"/>
    <col min="6378" max="6380" width="12.140625" style="1" bestFit="1" customWidth="1"/>
    <col min="6381" max="6389" width="10.28515625" style="1" bestFit="1" customWidth="1"/>
    <col min="6390" max="6390" width="11.28515625" style="1" bestFit="1" customWidth="1"/>
    <col min="6391" max="6391" width="9.140625" style="1"/>
    <col min="6392" max="6392" width="19" style="1" customWidth="1"/>
    <col min="6393" max="6409" width="9.140625" style="1"/>
    <col min="6410" max="6420" width="11.28515625" style="1" bestFit="1" customWidth="1"/>
    <col min="6421" max="6421" width="10.28515625" style="1" bestFit="1" customWidth="1"/>
    <col min="6422" max="6422" width="12.85546875" style="1" bestFit="1" customWidth="1"/>
    <col min="6423" max="6545" width="9.140625" style="1"/>
    <col min="6546" max="6546" width="11" style="1" bestFit="1" customWidth="1"/>
    <col min="6547" max="6547" width="28.140625" style="1" bestFit="1" customWidth="1"/>
    <col min="6548" max="6548" width="14" style="1" bestFit="1" customWidth="1"/>
    <col min="6549" max="6549" width="9.140625" style="1"/>
    <col min="6550" max="6550" width="13.85546875" style="1" bestFit="1" customWidth="1"/>
    <col min="6551" max="6551" width="9.140625" style="1"/>
    <col min="6552" max="6552" width="14" style="1" customWidth="1"/>
    <col min="6553" max="6553" width="9.140625" style="1"/>
    <col min="6554" max="6554" width="12.85546875" style="1" bestFit="1" customWidth="1"/>
    <col min="6555" max="6555" width="10" style="1" customWidth="1"/>
    <col min="6556" max="6556" width="14" style="1" bestFit="1" customWidth="1"/>
    <col min="6557" max="6557" width="9.85546875" style="1" bestFit="1" customWidth="1"/>
    <col min="6558" max="6558" width="13.5703125" style="1" bestFit="1" customWidth="1"/>
    <col min="6559" max="6559" width="9.85546875" style="1" bestFit="1" customWidth="1"/>
    <col min="6560" max="6560" width="12.85546875" style="1" bestFit="1" customWidth="1"/>
    <col min="6561" max="6572" width="10.5703125" style="1" customWidth="1"/>
    <col min="6573" max="6573" width="11.140625" style="1" bestFit="1" customWidth="1"/>
    <col min="6574" max="6574" width="2.7109375" style="1" customWidth="1"/>
    <col min="6575" max="6575" width="9.85546875" style="1" bestFit="1" customWidth="1"/>
    <col min="6576" max="6577" width="9.140625" style="1"/>
    <col min="6578" max="6578" width="24" style="1" customWidth="1"/>
    <col min="6579" max="6581" width="9.140625" style="1"/>
    <col min="6582" max="6582" width="9" style="1" bestFit="1" customWidth="1"/>
    <col min="6583" max="6592" width="9.28515625" style="1" bestFit="1" customWidth="1"/>
    <col min="6593" max="6593" width="10.28515625" style="1" bestFit="1" customWidth="1"/>
    <col min="6594" max="6594" width="11.28515625" style="1" bestFit="1" customWidth="1"/>
    <col min="6595" max="6595" width="11.7109375" style="1" customWidth="1"/>
    <col min="6596" max="6596" width="9.140625" style="1"/>
    <col min="6597" max="6597" width="22.28515625" style="1" customWidth="1"/>
    <col min="6598" max="6598" width="9.140625" style="1"/>
    <col min="6599" max="6599" width="9.28515625" style="1" bestFit="1" customWidth="1"/>
    <col min="6600" max="6600" width="9.42578125" style="1" bestFit="1" customWidth="1"/>
    <col min="6601" max="6601" width="9.28515625" style="1" bestFit="1" customWidth="1"/>
    <col min="6602" max="6602" width="10.28515625" style="1" bestFit="1" customWidth="1"/>
    <col min="6603" max="6604" width="9.28515625" style="1" bestFit="1" customWidth="1"/>
    <col min="6605" max="6606" width="10.28515625" style="1" bestFit="1" customWidth="1"/>
    <col min="6607" max="6611" width="9.28515625" style="1" bestFit="1" customWidth="1"/>
    <col min="6612" max="6612" width="10.42578125" style="1" bestFit="1" customWidth="1"/>
    <col min="6613" max="6613" width="9.140625" style="1"/>
    <col min="6614" max="6614" width="24.85546875" style="1" customWidth="1"/>
    <col min="6615" max="6615" width="9.140625" style="1"/>
    <col min="6616" max="6628" width="9.28515625" style="1" bestFit="1" customWidth="1"/>
    <col min="6629" max="6629" width="10.28515625" style="1" bestFit="1" customWidth="1"/>
    <col min="6630" max="6630" width="9.5703125" style="1" bestFit="1" customWidth="1"/>
    <col min="6631" max="6631" width="18.5703125" style="1" customWidth="1"/>
    <col min="6632" max="6633" width="9.140625" style="1"/>
    <col min="6634" max="6636" width="12.140625" style="1" bestFit="1" customWidth="1"/>
    <col min="6637" max="6645" width="10.28515625" style="1" bestFit="1" customWidth="1"/>
    <col min="6646" max="6646" width="11.28515625" style="1" bestFit="1" customWidth="1"/>
    <col min="6647" max="6647" width="9.140625" style="1"/>
    <col min="6648" max="6648" width="19" style="1" customWidth="1"/>
    <col min="6649" max="6665" width="9.140625" style="1"/>
    <col min="6666" max="6676" width="11.28515625" style="1" bestFit="1" customWidth="1"/>
    <col min="6677" max="6677" width="10.28515625" style="1" bestFit="1" customWidth="1"/>
    <col min="6678" max="6678" width="12.85546875" style="1" bestFit="1" customWidth="1"/>
    <col min="6679" max="6801" width="9.140625" style="1"/>
    <col min="6802" max="6802" width="11" style="1" bestFit="1" customWidth="1"/>
    <col min="6803" max="6803" width="28.140625" style="1" bestFit="1" customWidth="1"/>
    <col min="6804" max="6804" width="14" style="1" bestFit="1" customWidth="1"/>
    <col min="6805" max="6805" width="9.140625" style="1"/>
    <col min="6806" max="6806" width="13.85546875" style="1" bestFit="1" customWidth="1"/>
    <col min="6807" max="6807" width="9.140625" style="1"/>
    <col min="6808" max="6808" width="14" style="1" customWidth="1"/>
    <col min="6809" max="6809" width="9.140625" style="1"/>
    <col min="6810" max="6810" width="12.85546875" style="1" bestFit="1" customWidth="1"/>
    <col min="6811" max="6811" width="10" style="1" customWidth="1"/>
    <col min="6812" max="6812" width="14" style="1" bestFit="1" customWidth="1"/>
    <col min="6813" max="6813" width="9.85546875" style="1" bestFit="1" customWidth="1"/>
    <col min="6814" max="6814" width="13.5703125" style="1" bestFit="1" customWidth="1"/>
    <col min="6815" max="6815" width="9.85546875" style="1" bestFit="1" customWidth="1"/>
    <col min="6816" max="6816" width="12.85546875" style="1" bestFit="1" customWidth="1"/>
    <col min="6817" max="6828" width="10.5703125" style="1" customWidth="1"/>
    <col min="6829" max="6829" width="11.140625" style="1" bestFit="1" customWidth="1"/>
    <col min="6830" max="6830" width="2.7109375" style="1" customWidth="1"/>
    <col min="6831" max="6831" width="9.85546875" style="1" bestFit="1" customWidth="1"/>
    <col min="6832" max="6833" width="9.140625" style="1"/>
    <col min="6834" max="6834" width="24" style="1" customWidth="1"/>
    <col min="6835" max="6837" width="9.140625" style="1"/>
    <col min="6838" max="6838" width="9" style="1" bestFit="1" customWidth="1"/>
    <col min="6839" max="6848" width="9.28515625" style="1" bestFit="1" customWidth="1"/>
    <col min="6849" max="6849" width="10.28515625" style="1" bestFit="1" customWidth="1"/>
    <col min="6850" max="6850" width="11.28515625" style="1" bestFit="1" customWidth="1"/>
    <col min="6851" max="6851" width="11.7109375" style="1" customWidth="1"/>
    <col min="6852" max="6852" width="9.140625" style="1"/>
    <col min="6853" max="6853" width="22.28515625" style="1" customWidth="1"/>
    <col min="6854" max="6854" width="9.140625" style="1"/>
    <col min="6855" max="6855" width="9.28515625" style="1" bestFit="1" customWidth="1"/>
    <col min="6856" max="6856" width="9.42578125" style="1" bestFit="1" customWidth="1"/>
    <col min="6857" max="6857" width="9.28515625" style="1" bestFit="1" customWidth="1"/>
    <col min="6858" max="6858" width="10.28515625" style="1" bestFit="1" customWidth="1"/>
    <col min="6859" max="6860" width="9.28515625" style="1" bestFit="1" customWidth="1"/>
    <col min="6861" max="6862" width="10.28515625" style="1" bestFit="1" customWidth="1"/>
    <col min="6863" max="6867" width="9.28515625" style="1" bestFit="1" customWidth="1"/>
    <col min="6868" max="6868" width="10.42578125" style="1" bestFit="1" customWidth="1"/>
    <col min="6869" max="6869" width="9.140625" style="1"/>
    <col min="6870" max="6870" width="24.85546875" style="1" customWidth="1"/>
    <col min="6871" max="6871" width="9.140625" style="1"/>
    <col min="6872" max="6884" width="9.28515625" style="1" bestFit="1" customWidth="1"/>
    <col min="6885" max="6885" width="10.28515625" style="1" bestFit="1" customWidth="1"/>
    <col min="6886" max="6886" width="9.5703125" style="1" bestFit="1" customWidth="1"/>
    <col min="6887" max="6887" width="18.5703125" style="1" customWidth="1"/>
    <col min="6888" max="6889" width="9.140625" style="1"/>
    <col min="6890" max="6892" width="12.140625" style="1" bestFit="1" customWidth="1"/>
    <col min="6893" max="6901" width="10.28515625" style="1" bestFit="1" customWidth="1"/>
    <col min="6902" max="6902" width="11.28515625" style="1" bestFit="1" customWidth="1"/>
    <col min="6903" max="6903" width="9.140625" style="1"/>
    <col min="6904" max="6904" width="19" style="1" customWidth="1"/>
    <col min="6905" max="6921" width="9.140625" style="1"/>
    <col min="6922" max="6932" width="11.28515625" style="1" bestFit="1" customWidth="1"/>
    <col min="6933" max="6933" width="10.28515625" style="1" bestFit="1" customWidth="1"/>
    <col min="6934" max="6934" width="12.85546875" style="1" bestFit="1" customWidth="1"/>
    <col min="6935" max="7057" width="9.140625" style="1"/>
    <col min="7058" max="7058" width="11" style="1" bestFit="1" customWidth="1"/>
    <col min="7059" max="7059" width="28.140625" style="1" bestFit="1" customWidth="1"/>
    <col min="7060" max="7060" width="14" style="1" bestFit="1" customWidth="1"/>
    <col min="7061" max="7061" width="9.140625" style="1"/>
    <col min="7062" max="7062" width="13.85546875" style="1" bestFit="1" customWidth="1"/>
    <col min="7063" max="7063" width="9.140625" style="1"/>
    <col min="7064" max="7064" width="14" style="1" customWidth="1"/>
    <col min="7065" max="7065" width="9.140625" style="1"/>
    <col min="7066" max="7066" width="12.85546875" style="1" bestFit="1" customWidth="1"/>
    <col min="7067" max="7067" width="10" style="1" customWidth="1"/>
    <col min="7068" max="7068" width="14" style="1" bestFit="1" customWidth="1"/>
    <col min="7069" max="7069" width="9.85546875" style="1" bestFit="1" customWidth="1"/>
    <col min="7070" max="7070" width="13.5703125" style="1" bestFit="1" customWidth="1"/>
    <col min="7071" max="7071" width="9.85546875" style="1" bestFit="1" customWidth="1"/>
    <col min="7072" max="7072" width="12.85546875" style="1" bestFit="1" customWidth="1"/>
    <col min="7073" max="7084" width="10.5703125" style="1" customWidth="1"/>
    <col min="7085" max="7085" width="11.140625" style="1" bestFit="1" customWidth="1"/>
    <col min="7086" max="7086" width="2.7109375" style="1" customWidth="1"/>
    <col min="7087" max="7087" width="9.85546875" style="1" bestFit="1" customWidth="1"/>
    <col min="7088" max="7089" width="9.140625" style="1"/>
    <col min="7090" max="7090" width="24" style="1" customWidth="1"/>
    <col min="7091" max="7093" width="9.140625" style="1"/>
    <col min="7094" max="7094" width="9" style="1" bestFit="1" customWidth="1"/>
    <col min="7095" max="7104" width="9.28515625" style="1" bestFit="1" customWidth="1"/>
    <col min="7105" max="7105" width="10.28515625" style="1" bestFit="1" customWidth="1"/>
    <col min="7106" max="7106" width="11.28515625" style="1" bestFit="1" customWidth="1"/>
    <col min="7107" max="7107" width="11.7109375" style="1" customWidth="1"/>
    <col min="7108" max="7108" width="9.140625" style="1"/>
    <col min="7109" max="7109" width="22.28515625" style="1" customWidth="1"/>
    <col min="7110" max="7110" width="9.140625" style="1"/>
    <col min="7111" max="7111" width="9.28515625" style="1" bestFit="1" customWidth="1"/>
    <col min="7112" max="7112" width="9.42578125" style="1" bestFit="1" customWidth="1"/>
    <col min="7113" max="7113" width="9.28515625" style="1" bestFit="1" customWidth="1"/>
    <col min="7114" max="7114" width="10.28515625" style="1" bestFit="1" customWidth="1"/>
    <col min="7115" max="7116" width="9.28515625" style="1" bestFit="1" customWidth="1"/>
    <col min="7117" max="7118" width="10.28515625" style="1" bestFit="1" customWidth="1"/>
    <col min="7119" max="7123" width="9.28515625" style="1" bestFit="1" customWidth="1"/>
    <col min="7124" max="7124" width="10.42578125" style="1" bestFit="1" customWidth="1"/>
    <col min="7125" max="7125" width="9.140625" style="1"/>
    <col min="7126" max="7126" width="24.85546875" style="1" customWidth="1"/>
    <col min="7127" max="7127" width="9.140625" style="1"/>
    <col min="7128" max="7140" width="9.28515625" style="1" bestFit="1" customWidth="1"/>
    <col min="7141" max="7141" width="10.28515625" style="1" bestFit="1" customWidth="1"/>
    <col min="7142" max="7142" width="9.5703125" style="1" bestFit="1" customWidth="1"/>
    <col min="7143" max="7143" width="18.5703125" style="1" customWidth="1"/>
    <col min="7144" max="7145" width="9.140625" style="1"/>
    <col min="7146" max="7148" width="12.140625" style="1" bestFit="1" customWidth="1"/>
    <col min="7149" max="7157" width="10.28515625" style="1" bestFit="1" customWidth="1"/>
    <col min="7158" max="7158" width="11.28515625" style="1" bestFit="1" customWidth="1"/>
    <col min="7159" max="7159" width="9.140625" style="1"/>
    <col min="7160" max="7160" width="19" style="1" customWidth="1"/>
    <col min="7161" max="7177" width="9.140625" style="1"/>
    <col min="7178" max="7188" width="11.28515625" style="1" bestFit="1" customWidth="1"/>
    <col min="7189" max="7189" width="10.28515625" style="1" bestFit="1" customWidth="1"/>
    <col min="7190" max="7190" width="12.85546875" style="1" bestFit="1" customWidth="1"/>
    <col min="7191" max="7313" width="9.140625" style="1"/>
    <col min="7314" max="7314" width="11" style="1" bestFit="1" customWidth="1"/>
    <col min="7315" max="7315" width="28.140625" style="1" bestFit="1" customWidth="1"/>
    <col min="7316" max="7316" width="14" style="1" bestFit="1" customWidth="1"/>
    <col min="7317" max="7317" width="9.140625" style="1"/>
    <col min="7318" max="7318" width="13.85546875" style="1" bestFit="1" customWidth="1"/>
    <col min="7319" max="7319" width="9.140625" style="1"/>
    <col min="7320" max="7320" width="14" style="1" customWidth="1"/>
    <col min="7321" max="7321" width="9.140625" style="1"/>
    <col min="7322" max="7322" width="12.85546875" style="1" bestFit="1" customWidth="1"/>
    <col min="7323" max="7323" width="10" style="1" customWidth="1"/>
    <col min="7324" max="7324" width="14" style="1" bestFit="1" customWidth="1"/>
    <col min="7325" max="7325" width="9.85546875" style="1" bestFit="1" customWidth="1"/>
    <col min="7326" max="7326" width="13.5703125" style="1" bestFit="1" customWidth="1"/>
    <col min="7327" max="7327" width="9.85546875" style="1" bestFit="1" customWidth="1"/>
    <col min="7328" max="7328" width="12.85546875" style="1" bestFit="1" customWidth="1"/>
    <col min="7329" max="7340" width="10.5703125" style="1" customWidth="1"/>
    <col min="7341" max="7341" width="11.140625" style="1" bestFit="1" customWidth="1"/>
    <col min="7342" max="7342" width="2.7109375" style="1" customWidth="1"/>
    <col min="7343" max="7343" width="9.85546875" style="1" bestFit="1" customWidth="1"/>
    <col min="7344" max="7345" width="9.140625" style="1"/>
    <col min="7346" max="7346" width="24" style="1" customWidth="1"/>
    <col min="7347" max="7349" width="9.140625" style="1"/>
    <col min="7350" max="7350" width="9" style="1" bestFit="1" customWidth="1"/>
    <col min="7351" max="7360" width="9.28515625" style="1" bestFit="1" customWidth="1"/>
    <col min="7361" max="7361" width="10.28515625" style="1" bestFit="1" customWidth="1"/>
    <col min="7362" max="7362" width="11.28515625" style="1" bestFit="1" customWidth="1"/>
    <col min="7363" max="7363" width="11.7109375" style="1" customWidth="1"/>
    <col min="7364" max="7364" width="9.140625" style="1"/>
    <col min="7365" max="7365" width="22.28515625" style="1" customWidth="1"/>
    <col min="7366" max="7366" width="9.140625" style="1"/>
    <col min="7367" max="7367" width="9.28515625" style="1" bestFit="1" customWidth="1"/>
    <col min="7368" max="7368" width="9.42578125" style="1" bestFit="1" customWidth="1"/>
    <col min="7369" max="7369" width="9.28515625" style="1" bestFit="1" customWidth="1"/>
    <col min="7370" max="7370" width="10.28515625" style="1" bestFit="1" customWidth="1"/>
    <col min="7371" max="7372" width="9.28515625" style="1" bestFit="1" customWidth="1"/>
    <col min="7373" max="7374" width="10.28515625" style="1" bestFit="1" customWidth="1"/>
    <col min="7375" max="7379" width="9.28515625" style="1" bestFit="1" customWidth="1"/>
    <col min="7380" max="7380" width="10.42578125" style="1" bestFit="1" customWidth="1"/>
    <col min="7381" max="7381" width="9.140625" style="1"/>
    <col min="7382" max="7382" width="24.85546875" style="1" customWidth="1"/>
    <col min="7383" max="7383" width="9.140625" style="1"/>
    <col min="7384" max="7396" width="9.28515625" style="1" bestFit="1" customWidth="1"/>
    <col min="7397" max="7397" width="10.28515625" style="1" bestFit="1" customWidth="1"/>
    <col min="7398" max="7398" width="9.5703125" style="1" bestFit="1" customWidth="1"/>
    <col min="7399" max="7399" width="18.5703125" style="1" customWidth="1"/>
    <col min="7400" max="7401" width="9.140625" style="1"/>
    <col min="7402" max="7404" width="12.140625" style="1" bestFit="1" customWidth="1"/>
    <col min="7405" max="7413" width="10.28515625" style="1" bestFit="1" customWidth="1"/>
    <col min="7414" max="7414" width="11.28515625" style="1" bestFit="1" customWidth="1"/>
    <col min="7415" max="7415" width="9.140625" style="1"/>
    <col min="7416" max="7416" width="19" style="1" customWidth="1"/>
    <col min="7417" max="7433" width="9.140625" style="1"/>
    <col min="7434" max="7444" width="11.28515625" style="1" bestFit="1" customWidth="1"/>
    <col min="7445" max="7445" width="10.28515625" style="1" bestFit="1" customWidth="1"/>
    <col min="7446" max="7446" width="12.85546875" style="1" bestFit="1" customWidth="1"/>
    <col min="7447" max="7569" width="9.140625" style="1"/>
    <col min="7570" max="7570" width="11" style="1" bestFit="1" customWidth="1"/>
    <col min="7571" max="7571" width="28.140625" style="1" bestFit="1" customWidth="1"/>
    <col min="7572" max="7572" width="14" style="1" bestFit="1" customWidth="1"/>
    <col min="7573" max="7573" width="9.140625" style="1"/>
    <col min="7574" max="7574" width="13.85546875" style="1" bestFit="1" customWidth="1"/>
    <col min="7575" max="7575" width="9.140625" style="1"/>
    <col min="7576" max="7576" width="14" style="1" customWidth="1"/>
    <col min="7577" max="7577" width="9.140625" style="1"/>
    <col min="7578" max="7578" width="12.85546875" style="1" bestFit="1" customWidth="1"/>
    <col min="7579" max="7579" width="10" style="1" customWidth="1"/>
    <col min="7580" max="7580" width="14" style="1" bestFit="1" customWidth="1"/>
    <col min="7581" max="7581" width="9.85546875" style="1" bestFit="1" customWidth="1"/>
    <col min="7582" max="7582" width="13.5703125" style="1" bestFit="1" customWidth="1"/>
    <col min="7583" max="7583" width="9.85546875" style="1" bestFit="1" customWidth="1"/>
    <col min="7584" max="7584" width="12.85546875" style="1" bestFit="1" customWidth="1"/>
    <col min="7585" max="7596" width="10.5703125" style="1" customWidth="1"/>
    <col min="7597" max="7597" width="11.140625" style="1" bestFit="1" customWidth="1"/>
    <col min="7598" max="7598" width="2.7109375" style="1" customWidth="1"/>
    <col min="7599" max="7599" width="9.85546875" style="1" bestFit="1" customWidth="1"/>
    <col min="7600" max="7601" width="9.140625" style="1"/>
    <col min="7602" max="7602" width="24" style="1" customWidth="1"/>
    <col min="7603" max="7605" width="9.140625" style="1"/>
    <col min="7606" max="7606" width="9" style="1" bestFit="1" customWidth="1"/>
    <col min="7607" max="7616" width="9.28515625" style="1" bestFit="1" customWidth="1"/>
    <col min="7617" max="7617" width="10.28515625" style="1" bestFit="1" customWidth="1"/>
    <col min="7618" max="7618" width="11.28515625" style="1" bestFit="1" customWidth="1"/>
    <col min="7619" max="7619" width="11.7109375" style="1" customWidth="1"/>
    <col min="7620" max="7620" width="9.140625" style="1"/>
    <col min="7621" max="7621" width="22.28515625" style="1" customWidth="1"/>
    <col min="7622" max="7622" width="9.140625" style="1"/>
    <col min="7623" max="7623" width="9.28515625" style="1" bestFit="1" customWidth="1"/>
    <col min="7624" max="7624" width="9.42578125" style="1" bestFit="1" customWidth="1"/>
    <col min="7625" max="7625" width="9.28515625" style="1" bestFit="1" customWidth="1"/>
    <col min="7626" max="7626" width="10.28515625" style="1" bestFit="1" customWidth="1"/>
    <col min="7627" max="7628" width="9.28515625" style="1" bestFit="1" customWidth="1"/>
    <col min="7629" max="7630" width="10.28515625" style="1" bestFit="1" customWidth="1"/>
    <col min="7631" max="7635" width="9.28515625" style="1" bestFit="1" customWidth="1"/>
    <col min="7636" max="7636" width="10.42578125" style="1" bestFit="1" customWidth="1"/>
    <col min="7637" max="7637" width="9.140625" style="1"/>
    <col min="7638" max="7638" width="24.85546875" style="1" customWidth="1"/>
    <col min="7639" max="7639" width="9.140625" style="1"/>
    <col min="7640" max="7652" width="9.28515625" style="1" bestFit="1" customWidth="1"/>
    <col min="7653" max="7653" width="10.28515625" style="1" bestFit="1" customWidth="1"/>
    <col min="7654" max="7654" width="9.5703125" style="1" bestFit="1" customWidth="1"/>
    <col min="7655" max="7655" width="18.5703125" style="1" customWidth="1"/>
    <col min="7656" max="7657" width="9.140625" style="1"/>
    <col min="7658" max="7660" width="12.140625" style="1" bestFit="1" customWidth="1"/>
    <col min="7661" max="7669" width="10.28515625" style="1" bestFit="1" customWidth="1"/>
    <col min="7670" max="7670" width="11.28515625" style="1" bestFit="1" customWidth="1"/>
    <col min="7671" max="7671" width="9.140625" style="1"/>
    <col min="7672" max="7672" width="19" style="1" customWidth="1"/>
    <col min="7673" max="7689" width="9.140625" style="1"/>
    <col min="7690" max="7700" width="11.28515625" style="1" bestFit="1" customWidth="1"/>
    <col min="7701" max="7701" width="10.28515625" style="1" bestFit="1" customWidth="1"/>
    <col min="7702" max="7702" width="12.85546875" style="1" bestFit="1" customWidth="1"/>
    <col min="7703" max="7825" width="9.140625" style="1"/>
    <col min="7826" max="7826" width="11" style="1" bestFit="1" customWidth="1"/>
    <col min="7827" max="7827" width="28.140625" style="1" bestFit="1" customWidth="1"/>
    <col min="7828" max="7828" width="14" style="1" bestFit="1" customWidth="1"/>
    <col min="7829" max="7829" width="9.140625" style="1"/>
    <col min="7830" max="7830" width="13.85546875" style="1" bestFit="1" customWidth="1"/>
    <col min="7831" max="7831" width="9.140625" style="1"/>
    <col min="7832" max="7832" width="14" style="1" customWidth="1"/>
    <col min="7833" max="7833" width="9.140625" style="1"/>
    <col min="7834" max="7834" width="12.85546875" style="1" bestFit="1" customWidth="1"/>
    <col min="7835" max="7835" width="10" style="1" customWidth="1"/>
    <col min="7836" max="7836" width="14" style="1" bestFit="1" customWidth="1"/>
    <col min="7837" max="7837" width="9.85546875" style="1" bestFit="1" customWidth="1"/>
    <col min="7838" max="7838" width="13.5703125" style="1" bestFit="1" customWidth="1"/>
    <col min="7839" max="7839" width="9.85546875" style="1" bestFit="1" customWidth="1"/>
    <col min="7840" max="7840" width="12.85546875" style="1" bestFit="1" customWidth="1"/>
    <col min="7841" max="7852" width="10.5703125" style="1" customWidth="1"/>
    <col min="7853" max="7853" width="11.140625" style="1" bestFit="1" customWidth="1"/>
    <col min="7854" max="7854" width="2.7109375" style="1" customWidth="1"/>
    <col min="7855" max="7855" width="9.85546875" style="1" bestFit="1" customWidth="1"/>
    <col min="7856" max="7857" width="9.140625" style="1"/>
    <col min="7858" max="7858" width="24" style="1" customWidth="1"/>
    <col min="7859" max="7861" width="9.140625" style="1"/>
    <col min="7862" max="7862" width="9" style="1" bestFit="1" customWidth="1"/>
    <col min="7863" max="7872" width="9.28515625" style="1" bestFit="1" customWidth="1"/>
    <col min="7873" max="7873" width="10.28515625" style="1" bestFit="1" customWidth="1"/>
    <col min="7874" max="7874" width="11.28515625" style="1" bestFit="1" customWidth="1"/>
    <col min="7875" max="7875" width="11.7109375" style="1" customWidth="1"/>
    <col min="7876" max="7876" width="9.140625" style="1"/>
    <col min="7877" max="7877" width="22.28515625" style="1" customWidth="1"/>
    <col min="7878" max="7878" width="9.140625" style="1"/>
    <col min="7879" max="7879" width="9.28515625" style="1" bestFit="1" customWidth="1"/>
    <col min="7880" max="7880" width="9.42578125" style="1" bestFit="1" customWidth="1"/>
    <col min="7881" max="7881" width="9.28515625" style="1" bestFit="1" customWidth="1"/>
    <col min="7882" max="7882" width="10.28515625" style="1" bestFit="1" customWidth="1"/>
    <col min="7883" max="7884" width="9.28515625" style="1" bestFit="1" customWidth="1"/>
    <col min="7885" max="7886" width="10.28515625" style="1" bestFit="1" customWidth="1"/>
    <col min="7887" max="7891" width="9.28515625" style="1" bestFit="1" customWidth="1"/>
    <col min="7892" max="7892" width="10.42578125" style="1" bestFit="1" customWidth="1"/>
    <col min="7893" max="7893" width="9.140625" style="1"/>
    <col min="7894" max="7894" width="24.85546875" style="1" customWidth="1"/>
    <col min="7895" max="7895" width="9.140625" style="1"/>
    <col min="7896" max="7908" width="9.28515625" style="1" bestFit="1" customWidth="1"/>
    <col min="7909" max="7909" width="10.28515625" style="1" bestFit="1" customWidth="1"/>
    <col min="7910" max="7910" width="9.5703125" style="1" bestFit="1" customWidth="1"/>
    <col min="7911" max="7911" width="18.5703125" style="1" customWidth="1"/>
    <col min="7912" max="7913" width="9.140625" style="1"/>
    <col min="7914" max="7916" width="12.140625" style="1" bestFit="1" customWidth="1"/>
    <col min="7917" max="7925" width="10.28515625" style="1" bestFit="1" customWidth="1"/>
    <col min="7926" max="7926" width="11.28515625" style="1" bestFit="1" customWidth="1"/>
    <col min="7927" max="7927" width="9.140625" style="1"/>
    <col min="7928" max="7928" width="19" style="1" customWidth="1"/>
    <col min="7929" max="7945" width="9.140625" style="1"/>
    <col min="7946" max="7956" width="11.28515625" style="1" bestFit="1" customWidth="1"/>
    <col min="7957" max="7957" width="10.28515625" style="1" bestFit="1" customWidth="1"/>
    <col min="7958" max="7958" width="12.85546875" style="1" bestFit="1" customWidth="1"/>
    <col min="7959" max="8081" width="9.140625" style="1"/>
    <col min="8082" max="8082" width="11" style="1" bestFit="1" customWidth="1"/>
    <col min="8083" max="8083" width="28.140625" style="1" bestFit="1" customWidth="1"/>
    <col min="8084" max="8084" width="14" style="1" bestFit="1" customWidth="1"/>
    <col min="8085" max="8085" width="9.140625" style="1"/>
    <col min="8086" max="8086" width="13.85546875" style="1" bestFit="1" customWidth="1"/>
    <col min="8087" max="8087" width="9.140625" style="1"/>
    <col min="8088" max="8088" width="14" style="1" customWidth="1"/>
    <col min="8089" max="8089" width="9.140625" style="1"/>
    <col min="8090" max="8090" width="12.85546875" style="1" bestFit="1" customWidth="1"/>
    <col min="8091" max="8091" width="10" style="1" customWidth="1"/>
    <col min="8092" max="8092" width="14" style="1" bestFit="1" customWidth="1"/>
    <col min="8093" max="8093" width="9.85546875" style="1" bestFit="1" customWidth="1"/>
    <col min="8094" max="8094" width="13.5703125" style="1" bestFit="1" customWidth="1"/>
    <col min="8095" max="8095" width="9.85546875" style="1" bestFit="1" customWidth="1"/>
    <col min="8096" max="8096" width="12.85546875" style="1" bestFit="1" customWidth="1"/>
    <col min="8097" max="8108" width="10.5703125" style="1" customWidth="1"/>
    <col min="8109" max="8109" width="11.140625" style="1" bestFit="1" customWidth="1"/>
    <col min="8110" max="8110" width="2.7109375" style="1" customWidth="1"/>
    <col min="8111" max="8111" width="9.85546875" style="1" bestFit="1" customWidth="1"/>
    <col min="8112" max="8113" width="9.140625" style="1"/>
    <col min="8114" max="8114" width="24" style="1" customWidth="1"/>
    <col min="8115" max="8117" width="9.140625" style="1"/>
    <col min="8118" max="8118" width="9" style="1" bestFit="1" customWidth="1"/>
    <col min="8119" max="8128" width="9.28515625" style="1" bestFit="1" customWidth="1"/>
    <col min="8129" max="8129" width="10.28515625" style="1" bestFit="1" customWidth="1"/>
    <col min="8130" max="8130" width="11.28515625" style="1" bestFit="1" customWidth="1"/>
    <col min="8131" max="8131" width="11.7109375" style="1" customWidth="1"/>
    <col min="8132" max="8132" width="9.140625" style="1"/>
    <col min="8133" max="8133" width="22.28515625" style="1" customWidth="1"/>
    <col min="8134" max="8134" width="9.140625" style="1"/>
    <col min="8135" max="8135" width="9.28515625" style="1" bestFit="1" customWidth="1"/>
    <col min="8136" max="8136" width="9.42578125" style="1" bestFit="1" customWidth="1"/>
    <col min="8137" max="8137" width="9.28515625" style="1" bestFit="1" customWidth="1"/>
    <col min="8138" max="8138" width="10.28515625" style="1" bestFit="1" customWidth="1"/>
    <col min="8139" max="8140" width="9.28515625" style="1" bestFit="1" customWidth="1"/>
    <col min="8141" max="8142" width="10.28515625" style="1" bestFit="1" customWidth="1"/>
    <col min="8143" max="8147" width="9.28515625" style="1" bestFit="1" customWidth="1"/>
    <col min="8148" max="8148" width="10.42578125" style="1" bestFit="1" customWidth="1"/>
    <col min="8149" max="8149" width="9.140625" style="1"/>
    <col min="8150" max="8150" width="24.85546875" style="1" customWidth="1"/>
    <col min="8151" max="8151" width="9.140625" style="1"/>
    <col min="8152" max="8164" width="9.28515625" style="1" bestFit="1" customWidth="1"/>
    <col min="8165" max="8165" width="10.28515625" style="1" bestFit="1" customWidth="1"/>
    <col min="8166" max="8166" width="9.5703125" style="1" bestFit="1" customWidth="1"/>
    <col min="8167" max="8167" width="18.5703125" style="1" customWidth="1"/>
    <col min="8168" max="8169" width="9.140625" style="1"/>
    <col min="8170" max="8172" width="12.140625" style="1" bestFit="1" customWidth="1"/>
    <col min="8173" max="8181" width="10.28515625" style="1" bestFit="1" customWidth="1"/>
    <col min="8182" max="8182" width="11.28515625" style="1" bestFit="1" customWidth="1"/>
    <col min="8183" max="8183" width="9.140625" style="1"/>
    <col min="8184" max="8184" width="19" style="1" customWidth="1"/>
    <col min="8185" max="8201" width="9.140625" style="1"/>
    <col min="8202" max="8212" width="11.28515625" style="1" bestFit="1" customWidth="1"/>
    <col min="8213" max="8213" width="10.28515625" style="1" bestFit="1" customWidth="1"/>
    <col min="8214" max="8214" width="12.85546875" style="1" bestFit="1" customWidth="1"/>
    <col min="8215" max="8337" width="9.140625" style="1"/>
    <col min="8338" max="8338" width="11" style="1" bestFit="1" customWidth="1"/>
    <col min="8339" max="8339" width="28.140625" style="1" bestFit="1" customWidth="1"/>
    <col min="8340" max="8340" width="14" style="1" bestFit="1" customWidth="1"/>
    <col min="8341" max="8341" width="9.140625" style="1"/>
    <col min="8342" max="8342" width="13.85546875" style="1" bestFit="1" customWidth="1"/>
    <col min="8343" max="8343" width="9.140625" style="1"/>
    <col min="8344" max="8344" width="14" style="1" customWidth="1"/>
    <col min="8345" max="8345" width="9.140625" style="1"/>
    <col min="8346" max="8346" width="12.85546875" style="1" bestFit="1" customWidth="1"/>
    <col min="8347" max="8347" width="10" style="1" customWidth="1"/>
    <col min="8348" max="8348" width="14" style="1" bestFit="1" customWidth="1"/>
    <col min="8349" max="8349" width="9.85546875" style="1" bestFit="1" customWidth="1"/>
    <col min="8350" max="8350" width="13.5703125" style="1" bestFit="1" customWidth="1"/>
    <col min="8351" max="8351" width="9.85546875" style="1" bestFit="1" customWidth="1"/>
    <col min="8352" max="8352" width="12.85546875" style="1" bestFit="1" customWidth="1"/>
    <col min="8353" max="8364" width="10.5703125" style="1" customWidth="1"/>
    <col min="8365" max="8365" width="11.140625" style="1" bestFit="1" customWidth="1"/>
    <col min="8366" max="8366" width="2.7109375" style="1" customWidth="1"/>
    <col min="8367" max="8367" width="9.85546875" style="1" bestFit="1" customWidth="1"/>
    <col min="8368" max="8369" width="9.140625" style="1"/>
    <col min="8370" max="8370" width="24" style="1" customWidth="1"/>
    <col min="8371" max="8373" width="9.140625" style="1"/>
    <col min="8374" max="8374" width="9" style="1" bestFit="1" customWidth="1"/>
    <col min="8375" max="8384" width="9.28515625" style="1" bestFit="1" customWidth="1"/>
    <col min="8385" max="8385" width="10.28515625" style="1" bestFit="1" customWidth="1"/>
    <col min="8386" max="8386" width="11.28515625" style="1" bestFit="1" customWidth="1"/>
    <col min="8387" max="8387" width="11.7109375" style="1" customWidth="1"/>
    <col min="8388" max="8388" width="9.140625" style="1"/>
    <col min="8389" max="8389" width="22.28515625" style="1" customWidth="1"/>
    <col min="8390" max="8390" width="9.140625" style="1"/>
    <col min="8391" max="8391" width="9.28515625" style="1" bestFit="1" customWidth="1"/>
    <col min="8392" max="8392" width="9.42578125" style="1" bestFit="1" customWidth="1"/>
    <col min="8393" max="8393" width="9.28515625" style="1" bestFit="1" customWidth="1"/>
    <col min="8394" max="8394" width="10.28515625" style="1" bestFit="1" customWidth="1"/>
    <col min="8395" max="8396" width="9.28515625" style="1" bestFit="1" customWidth="1"/>
    <col min="8397" max="8398" width="10.28515625" style="1" bestFit="1" customWidth="1"/>
    <col min="8399" max="8403" width="9.28515625" style="1" bestFit="1" customWidth="1"/>
    <col min="8404" max="8404" width="10.42578125" style="1" bestFit="1" customWidth="1"/>
    <col min="8405" max="8405" width="9.140625" style="1"/>
    <col min="8406" max="8406" width="24.85546875" style="1" customWidth="1"/>
    <col min="8407" max="8407" width="9.140625" style="1"/>
    <col min="8408" max="8420" width="9.28515625" style="1" bestFit="1" customWidth="1"/>
    <col min="8421" max="8421" width="10.28515625" style="1" bestFit="1" customWidth="1"/>
    <col min="8422" max="8422" width="9.5703125" style="1" bestFit="1" customWidth="1"/>
    <col min="8423" max="8423" width="18.5703125" style="1" customWidth="1"/>
    <col min="8424" max="8425" width="9.140625" style="1"/>
    <col min="8426" max="8428" width="12.140625" style="1" bestFit="1" customWidth="1"/>
    <col min="8429" max="8437" width="10.28515625" style="1" bestFit="1" customWidth="1"/>
    <col min="8438" max="8438" width="11.28515625" style="1" bestFit="1" customWidth="1"/>
    <col min="8439" max="8439" width="9.140625" style="1"/>
    <col min="8440" max="8440" width="19" style="1" customWidth="1"/>
    <col min="8441" max="8457" width="9.140625" style="1"/>
    <col min="8458" max="8468" width="11.28515625" style="1" bestFit="1" customWidth="1"/>
    <col min="8469" max="8469" width="10.28515625" style="1" bestFit="1" customWidth="1"/>
    <col min="8470" max="8470" width="12.85546875" style="1" bestFit="1" customWidth="1"/>
    <col min="8471" max="8593" width="9.140625" style="1"/>
    <col min="8594" max="8594" width="11" style="1" bestFit="1" customWidth="1"/>
    <col min="8595" max="8595" width="28.140625" style="1" bestFit="1" customWidth="1"/>
    <col min="8596" max="8596" width="14" style="1" bestFit="1" customWidth="1"/>
    <col min="8597" max="8597" width="9.140625" style="1"/>
    <col min="8598" max="8598" width="13.85546875" style="1" bestFit="1" customWidth="1"/>
    <col min="8599" max="8599" width="9.140625" style="1"/>
    <col min="8600" max="8600" width="14" style="1" customWidth="1"/>
    <col min="8601" max="8601" width="9.140625" style="1"/>
    <col min="8602" max="8602" width="12.85546875" style="1" bestFit="1" customWidth="1"/>
    <col min="8603" max="8603" width="10" style="1" customWidth="1"/>
    <col min="8604" max="8604" width="14" style="1" bestFit="1" customWidth="1"/>
    <col min="8605" max="8605" width="9.85546875" style="1" bestFit="1" customWidth="1"/>
    <col min="8606" max="8606" width="13.5703125" style="1" bestFit="1" customWidth="1"/>
    <col min="8607" max="8607" width="9.85546875" style="1" bestFit="1" customWidth="1"/>
    <col min="8608" max="8608" width="12.85546875" style="1" bestFit="1" customWidth="1"/>
    <col min="8609" max="8620" width="10.5703125" style="1" customWidth="1"/>
    <col min="8621" max="8621" width="11.140625" style="1" bestFit="1" customWidth="1"/>
    <col min="8622" max="8622" width="2.7109375" style="1" customWidth="1"/>
    <col min="8623" max="8623" width="9.85546875" style="1" bestFit="1" customWidth="1"/>
    <col min="8624" max="8625" width="9.140625" style="1"/>
    <col min="8626" max="8626" width="24" style="1" customWidth="1"/>
    <col min="8627" max="8629" width="9.140625" style="1"/>
    <col min="8630" max="8630" width="9" style="1" bestFit="1" customWidth="1"/>
    <col min="8631" max="8640" width="9.28515625" style="1" bestFit="1" customWidth="1"/>
    <col min="8641" max="8641" width="10.28515625" style="1" bestFit="1" customWidth="1"/>
    <col min="8642" max="8642" width="11.28515625" style="1" bestFit="1" customWidth="1"/>
    <col min="8643" max="8643" width="11.7109375" style="1" customWidth="1"/>
    <col min="8644" max="8644" width="9.140625" style="1"/>
    <col min="8645" max="8645" width="22.28515625" style="1" customWidth="1"/>
    <col min="8646" max="8646" width="9.140625" style="1"/>
    <col min="8647" max="8647" width="9.28515625" style="1" bestFit="1" customWidth="1"/>
    <col min="8648" max="8648" width="9.42578125" style="1" bestFit="1" customWidth="1"/>
    <col min="8649" max="8649" width="9.28515625" style="1" bestFit="1" customWidth="1"/>
    <col min="8650" max="8650" width="10.28515625" style="1" bestFit="1" customWidth="1"/>
    <col min="8651" max="8652" width="9.28515625" style="1" bestFit="1" customWidth="1"/>
    <col min="8653" max="8654" width="10.28515625" style="1" bestFit="1" customWidth="1"/>
    <col min="8655" max="8659" width="9.28515625" style="1" bestFit="1" customWidth="1"/>
    <col min="8660" max="8660" width="10.42578125" style="1" bestFit="1" customWidth="1"/>
    <col min="8661" max="8661" width="9.140625" style="1"/>
    <col min="8662" max="8662" width="24.85546875" style="1" customWidth="1"/>
    <col min="8663" max="8663" width="9.140625" style="1"/>
    <col min="8664" max="8676" width="9.28515625" style="1" bestFit="1" customWidth="1"/>
    <col min="8677" max="8677" width="10.28515625" style="1" bestFit="1" customWidth="1"/>
    <col min="8678" max="8678" width="9.5703125" style="1" bestFit="1" customWidth="1"/>
    <col min="8679" max="8679" width="18.5703125" style="1" customWidth="1"/>
    <col min="8680" max="8681" width="9.140625" style="1"/>
    <col min="8682" max="8684" width="12.140625" style="1" bestFit="1" customWidth="1"/>
    <col min="8685" max="8693" width="10.28515625" style="1" bestFit="1" customWidth="1"/>
    <col min="8694" max="8694" width="11.28515625" style="1" bestFit="1" customWidth="1"/>
    <col min="8695" max="8695" width="9.140625" style="1"/>
    <col min="8696" max="8696" width="19" style="1" customWidth="1"/>
    <col min="8697" max="8713" width="9.140625" style="1"/>
    <col min="8714" max="8724" width="11.28515625" style="1" bestFit="1" customWidth="1"/>
    <col min="8725" max="8725" width="10.28515625" style="1" bestFit="1" customWidth="1"/>
    <col min="8726" max="8726" width="12.85546875" style="1" bestFit="1" customWidth="1"/>
    <col min="8727" max="8849" width="9.140625" style="1"/>
    <col min="8850" max="8850" width="11" style="1" bestFit="1" customWidth="1"/>
    <col min="8851" max="8851" width="28.140625" style="1" bestFit="1" customWidth="1"/>
    <col min="8852" max="8852" width="14" style="1" bestFit="1" customWidth="1"/>
    <col min="8853" max="8853" width="9.140625" style="1"/>
    <col min="8854" max="8854" width="13.85546875" style="1" bestFit="1" customWidth="1"/>
    <col min="8855" max="8855" width="9.140625" style="1"/>
    <col min="8856" max="8856" width="14" style="1" customWidth="1"/>
    <col min="8857" max="8857" width="9.140625" style="1"/>
    <col min="8858" max="8858" width="12.85546875" style="1" bestFit="1" customWidth="1"/>
    <col min="8859" max="8859" width="10" style="1" customWidth="1"/>
    <col min="8860" max="8860" width="14" style="1" bestFit="1" customWidth="1"/>
    <col min="8861" max="8861" width="9.85546875" style="1" bestFit="1" customWidth="1"/>
    <col min="8862" max="8862" width="13.5703125" style="1" bestFit="1" customWidth="1"/>
    <col min="8863" max="8863" width="9.85546875" style="1" bestFit="1" customWidth="1"/>
    <col min="8864" max="8864" width="12.85546875" style="1" bestFit="1" customWidth="1"/>
    <col min="8865" max="8876" width="10.5703125" style="1" customWidth="1"/>
    <col min="8877" max="8877" width="11.140625" style="1" bestFit="1" customWidth="1"/>
    <col min="8878" max="8878" width="2.7109375" style="1" customWidth="1"/>
    <col min="8879" max="8879" width="9.85546875" style="1" bestFit="1" customWidth="1"/>
    <col min="8880" max="8881" width="9.140625" style="1"/>
    <col min="8882" max="8882" width="24" style="1" customWidth="1"/>
    <col min="8883" max="8885" width="9.140625" style="1"/>
    <col min="8886" max="8886" width="9" style="1" bestFit="1" customWidth="1"/>
    <col min="8887" max="8896" width="9.28515625" style="1" bestFit="1" customWidth="1"/>
    <col min="8897" max="8897" width="10.28515625" style="1" bestFit="1" customWidth="1"/>
    <col min="8898" max="8898" width="11.28515625" style="1" bestFit="1" customWidth="1"/>
    <col min="8899" max="8899" width="11.7109375" style="1" customWidth="1"/>
    <col min="8900" max="8900" width="9.140625" style="1"/>
    <col min="8901" max="8901" width="22.28515625" style="1" customWidth="1"/>
    <col min="8902" max="8902" width="9.140625" style="1"/>
    <col min="8903" max="8903" width="9.28515625" style="1" bestFit="1" customWidth="1"/>
    <col min="8904" max="8904" width="9.42578125" style="1" bestFit="1" customWidth="1"/>
    <col min="8905" max="8905" width="9.28515625" style="1" bestFit="1" customWidth="1"/>
    <col min="8906" max="8906" width="10.28515625" style="1" bestFit="1" customWidth="1"/>
    <col min="8907" max="8908" width="9.28515625" style="1" bestFit="1" customWidth="1"/>
    <col min="8909" max="8910" width="10.28515625" style="1" bestFit="1" customWidth="1"/>
    <col min="8911" max="8915" width="9.28515625" style="1" bestFit="1" customWidth="1"/>
    <col min="8916" max="8916" width="10.42578125" style="1" bestFit="1" customWidth="1"/>
    <col min="8917" max="8917" width="9.140625" style="1"/>
    <col min="8918" max="8918" width="24.85546875" style="1" customWidth="1"/>
    <col min="8919" max="8919" width="9.140625" style="1"/>
    <col min="8920" max="8932" width="9.28515625" style="1" bestFit="1" customWidth="1"/>
    <col min="8933" max="8933" width="10.28515625" style="1" bestFit="1" customWidth="1"/>
    <col min="8934" max="8934" width="9.5703125" style="1" bestFit="1" customWidth="1"/>
    <col min="8935" max="8935" width="18.5703125" style="1" customWidth="1"/>
    <col min="8936" max="8937" width="9.140625" style="1"/>
    <col min="8938" max="8940" width="12.140625" style="1" bestFit="1" customWidth="1"/>
    <col min="8941" max="8949" width="10.28515625" style="1" bestFit="1" customWidth="1"/>
    <col min="8950" max="8950" width="11.28515625" style="1" bestFit="1" customWidth="1"/>
    <col min="8951" max="8951" width="9.140625" style="1"/>
    <col min="8952" max="8952" width="19" style="1" customWidth="1"/>
    <col min="8953" max="8969" width="9.140625" style="1"/>
    <col min="8970" max="8980" width="11.28515625" style="1" bestFit="1" customWidth="1"/>
    <col min="8981" max="8981" width="10.28515625" style="1" bestFit="1" customWidth="1"/>
    <col min="8982" max="8982" width="12.85546875" style="1" bestFit="1" customWidth="1"/>
    <col min="8983" max="9105" width="9.140625" style="1"/>
    <col min="9106" max="9106" width="11" style="1" bestFit="1" customWidth="1"/>
    <col min="9107" max="9107" width="28.140625" style="1" bestFit="1" customWidth="1"/>
    <col min="9108" max="9108" width="14" style="1" bestFit="1" customWidth="1"/>
    <col min="9109" max="9109" width="9.140625" style="1"/>
    <col min="9110" max="9110" width="13.85546875" style="1" bestFit="1" customWidth="1"/>
    <col min="9111" max="9111" width="9.140625" style="1"/>
    <col min="9112" max="9112" width="14" style="1" customWidth="1"/>
    <col min="9113" max="9113" width="9.140625" style="1"/>
    <col min="9114" max="9114" width="12.85546875" style="1" bestFit="1" customWidth="1"/>
    <col min="9115" max="9115" width="10" style="1" customWidth="1"/>
    <col min="9116" max="9116" width="14" style="1" bestFit="1" customWidth="1"/>
    <col min="9117" max="9117" width="9.85546875" style="1" bestFit="1" customWidth="1"/>
    <col min="9118" max="9118" width="13.5703125" style="1" bestFit="1" customWidth="1"/>
    <col min="9119" max="9119" width="9.85546875" style="1" bestFit="1" customWidth="1"/>
    <col min="9120" max="9120" width="12.85546875" style="1" bestFit="1" customWidth="1"/>
    <col min="9121" max="9132" width="10.5703125" style="1" customWidth="1"/>
    <col min="9133" max="9133" width="11.140625" style="1" bestFit="1" customWidth="1"/>
    <col min="9134" max="9134" width="2.7109375" style="1" customWidth="1"/>
    <col min="9135" max="9135" width="9.85546875" style="1" bestFit="1" customWidth="1"/>
    <col min="9136" max="9137" width="9.140625" style="1"/>
    <col min="9138" max="9138" width="24" style="1" customWidth="1"/>
    <col min="9139" max="9141" width="9.140625" style="1"/>
    <col min="9142" max="9142" width="9" style="1" bestFit="1" customWidth="1"/>
    <col min="9143" max="9152" width="9.28515625" style="1" bestFit="1" customWidth="1"/>
    <col min="9153" max="9153" width="10.28515625" style="1" bestFit="1" customWidth="1"/>
    <col min="9154" max="9154" width="11.28515625" style="1" bestFit="1" customWidth="1"/>
    <col min="9155" max="9155" width="11.7109375" style="1" customWidth="1"/>
    <col min="9156" max="9156" width="9.140625" style="1"/>
    <col min="9157" max="9157" width="22.28515625" style="1" customWidth="1"/>
    <col min="9158" max="9158" width="9.140625" style="1"/>
    <col min="9159" max="9159" width="9.28515625" style="1" bestFit="1" customWidth="1"/>
    <col min="9160" max="9160" width="9.42578125" style="1" bestFit="1" customWidth="1"/>
    <col min="9161" max="9161" width="9.28515625" style="1" bestFit="1" customWidth="1"/>
    <col min="9162" max="9162" width="10.28515625" style="1" bestFit="1" customWidth="1"/>
    <col min="9163" max="9164" width="9.28515625" style="1" bestFit="1" customWidth="1"/>
    <col min="9165" max="9166" width="10.28515625" style="1" bestFit="1" customWidth="1"/>
    <col min="9167" max="9171" width="9.28515625" style="1" bestFit="1" customWidth="1"/>
    <col min="9172" max="9172" width="10.42578125" style="1" bestFit="1" customWidth="1"/>
    <col min="9173" max="9173" width="9.140625" style="1"/>
    <col min="9174" max="9174" width="24.85546875" style="1" customWidth="1"/>
    <col min="9175" max="9175" width="9.140625" style="1"/>
    <col min="9176" max="9188" width="9.28515625" style="1" bestFit="1" customWidth="1"/>
    <col min="9189" max="9189" width="10.28515625" style="1" bestFit="1" customWidth="1"/>
    <col min="9190" max="9190" width="9.5703125" style="1" bestFit="1" customWidth="1"/>
    <col min="9191" max="9191" width="18.5703125" style="1" customWidth="1"/>
    <col min="9192" max="9193" width="9.140625" style="1"/>
    <col min="9194" max="9196" width="12.140625" style="1" bestFit="1" customWidth="1"/>
    <col min="9197" max="9205" width="10.28515625" style="1" bestFit="1" customWidth="1"/>
    <col min="9206" max="9206" width="11.28515625" style="1" bestFit="1" customWidth="1"/>
    <col min="9207" max="9207" width="9.140625" style="1"/>
    <col min="9208" max="9208" width="19" style="1" customWidth="1"/>
    <col min="9209" max="9225" width="9.140625" style="1"/>
    <col min="9226" max="9236" width="11.28515625" style="1" bestFit="1" customWidth="1"/>
    <col min="9237" max="9237" width="10.28515625" style="1" bestFit="1" customWidth="1"/>
    <col min="9238" max="9238" width="12.85546875" style="1" bestFit="1" customWidth="1"/>
    <col min="9239" max="9361" width="9.140625" style="1"/>
    <col min="9362" max="9362" width="11" style="1" bestFit="1" customWidth="1"/>
    <col min="9363" max="9363" width="28.140625" style="1" bestFit="1" customWidth="1"/>
    <col min="9364" max="9364" width="14" style="1" bestFit="1" customWidth="1"/>
    <col min="9365" max="9365" width="9.140625" style="1"/>
    <col min="9366" max="9366" width="13.85546875" style="1" bestFit="1" customWidth="1"/>
    <col min="9367" max="9367" width="9.140625" style="1"/>
    <col min="9368" max="9368" width="14" style="1" customWidth="1"/>
    <col min="9369" max="9369" width="9.140625" style="1"/>
    <col min="9370" max="9370" width="12.85546875" style="1" bestFit="1" customWidth="1"/>
    <col min="9371" max="9371" width="10" style="1" customWidth="1"/>
    <col min="9372" max="9372" width="14" style="1" bestFit="1" customWidth="1"/>
    <col min="9373" max="9373" width="9.85546875" style="1" bestFit="1" customWidth="1"/>
    <col min="9374" max="9374" width="13.5703125" style="1" bestFit="1" customWidth="1"/>
    <col min="9375" max="9375" width="9.85546875" style="1" bestFit="1" customWidth="1"/>
    <col min="9376" max="9376" width="12.85546875" style="1" bestFit="1" customWidth="1"/>
    <col min="9377" max="9388" width="10.5703125" style="1" customWidth="1"/>
    <col min="9389" max="9389" width="11.140625" style="1" bestFit="1" customWidth="1"/>
    <col min="9390" max="9390" width="2.7109375" style="1" customWidth="1"/>
    <col min="9391" max="9391" width="9.85546875" style="1" bestFit="1" customWidth="1"/>
    <col min="9392" max="9393" width="9.140625" style="1"/>
    <col min="9394" max="9394" width="24" style="1" customWidth="1"/>
    <col min="9395" max="9397" width="9.140625" style="1"/>
    <col min="9398" max="9398" width="9" style="1" bestFit="1" customWidth="1"/>
    <col min="9399" max="9408" width="9.28515625" style="1" bestFit="1" customWidth="1"/>
    <col min="9409" max="9409" width="10.28515625" style="1" bestFit="1" customWidth="1"/>
    <col min="9410" max="9410" width="11.28515625" style="1" bestFit="1" customWidth="1"/>
    <col min="9411" max="9411" width="11.7109375" style="1" customWidth="1"/>
    <col min="9412" max="9412" width="9.140625" style="1"/>
    <col min="9413" max="9413" width="22.28515625" style="1" customWidth="1"/>
    <col min="9414" max="9414" width="9.140625" style="1"/>
    <col min="9415" max="9415" width="9.28515625" style="1" bestFit="1" customWidth="1"/>
    <col min="9416" max="9416" width="9.42578125" style="1" bestFit="1" customWidth="1"/>
    <col min="9417" max="9417" width="9.28515625" style="1" bestFit="1" customWidth="1"/>
    <col min="9418" max="9418" width="10.28515625" style="1" bestFit="1" customWidth="1"/>
    <col min="9419" max="9420" width="9.28515625" style="1" bestFit="1" customWidth="1"/>
    <col min="9421" max="9422" width="10.28515625" style="1" bestFit="1" customWidth="1"/>
    <col min="9423" max="9427" width="9.28515625" style="1" bestFit="1" customWidth="1"/>
    <col min="9428" max="9428" width="10.42578125" style="1" bestFit="1" customWidth="1"/>
    <col min="9429" max="9429" width="9.140625" style="1"/>
    <col min="9430" max="9430" width="24.85546875" style="1" customWidth="1"/>
    <col min="9431" max="9431" width="9.140625" style="1"/>
    <col min="9432" max="9444" width="9.28515625" style="1" bestFit="1" customWidth="1"/>
    <col min="9445" max="9445" width="10.28515625" style="1" bestFit="1" customWidth="1"/>
    <col min="9446" max="9446" width="9.5703125" style="1" bestFit="1" customWidth="1"/>
    <col min="9447" max="9447" width="18.5703125" style="1" customWidth="1"/>
    <col min="9448" max="9449" width="9.140625" style="1"/>
    <col min="9450" max="9452" width="12.140625" style="1" bestFit="1" customWidth="1"/>
    <col min="9453" max="9461" width="10.28515625" style="1" bestFit="1" customWidth="1"/>
    <col min="9462" max="9462" width="11.28515625" style="1" bestFit="1" customWidth="1"/>
    <col min="9463" max="9463" width="9.140625" style="1"/>
    <col min="9464" max="9464" width="19" style="1" customWidth="1"/>
    <col min="9465" max="9481" width="9.140625" style="1"/>
    <col min="9482" max="9492" width="11.28515625" style="1" bestFit="1" customWidth="1"/>
    <col min="9493" max="9493" width="10.28515625" style="1" bestFit="1" customWidth="1"/>
    <col min="9494" max="9494" width="12.85546875" style="1" bestFit="1" customWidth="1"/>
    <col min="9495" max="9617" width="9.140625" style="1"/>
    <col min="9618" max="9618" width="11" style="1" bestFit="1" customWidth="1"/>
    <col min="9619" max="9619" width="28.140625" style="1" bestFit="1" customWidth="1"/>
    <col min="9620" max="9620" width="14" style="1" bestFit="1" customWidth="1"/>
    <col min="9621" max="9621" width="9.140625" style="1"/>
    <col min="9622" max="9622" width="13.85546875" style="1" bestFit="1" customWidth="1"/>
    <col min="9623" max="9623" width="9.140625" style="1"/>
    <col min="9624" max="9624" width="14" style="1" customWidth="1"/>
    <col min="9625" max="9625" width="9.140625" style="1"/>
    <col min="9626" max="9626" width="12.85546875" style="1" bestFit="1" customWidth="1"/>
    <col min="9627" max="9627" width="10" style="1" customWidth="1"/>
    <col min="9628" max="9628" width="14" style="1" bestFit="1" customWidth="1"/>
    <col min="9629" max="9629" width="9.85546875" style="1" bestFit="1" customWidth="1"/>
    <col min="9630" max="9630" width="13.5703125" style="1" bestFit="1" customWidth="1"/>
    <col min="9631" max="9631" width="9.85546875" style="1" bestFit="1" customWidth="1"/>
    <col min="9632" max="9632" width="12.85546875" style="1" bestFit="1" customWidth="1"/>
    <col min="9633" max="9644" width="10.5703125" style="1" customWidth="1"/>
    <col min="9645" max="9645" width="11.140625" style="1" bestFit="1" customWidth="1"/>
    <col min="9646" max="9646" width="2.7109375" style="1" customWidth="1"/>
    <col min="9647" max="9647" width="9.85546875" style="1" bestFit="1" customWidth="1"/>
    <col min="9648" max="9649" width="9.140625" style="1"/>
    <col min="9650" max="9650" width="24" style="1" customWidth="1"/>
    <col min="9651" max="9653" width="9.140625" style="1"/>
    <col min="9654" max="9654" width="9" style="1" bestFit="1" customWidth="1"/>
    <col min="9655" max="9664" width="9.28515625" style="1" bestFit="1" customWidth="1"/>
    <col min="9665" max="9665" width="10.28515625" style="1" bestFit="1" customWidth="1"/>
    <col min="9666" max="9666" width="11.28515625" style="1" bestFit="1" customWidth="1"/>
    <col min="9667" max="9667" width="11.7109375" style="1" customWidth="1"/>
    <col min="9668" max="9668" width="9.140625" style="1"/>
    <col min="9669" max="9669" width="22.28515625" style="1" customWidth="1"/>
    <col min="9670" max="9670" width="9.140625" style="1"/>
    <col min="9671" max="9671" width="9.28515625" style="1" bestFit="1" customWidth="1"/>
    <col min="9672" max="9672" width="9.42578125" style="1" bestFit="1" customWidth="1"/>
    <col min="9673" max="9673" width="9.28515625" style="1" bestFit="1" customWidth="1"/>
    <col min="9674" max="9674" width="10.28515625" style="1" bestFit="1" customWidth="1"/>
    <col min="9675" max="9676" width="9.28515625" style="1" bestFit="1" customWidth="1"/>
    <col min="9677" max="9678" width="10.28515625" style="1" bestFit="1" customWidth="1"/>
    <col min="9679" max="9683" width="9.28515625" style="1" bestFit="1" customWidth="1"/>
    <col min="9684" max="9684" width="10.42578125" style="1" bestFit="1" customWidth="1"/>
    <col min="9685" max="9685" width="9.140625" style="1"/>
    <col min="9686" max="9686" width="24.85546875" style="1" customWidth="1"/>
    <col min="9687" max="9687" width="9.140625" style="1"/>
    <col min="9688" max="9700" width="9.28515625" style="1" bestFit="1" customWidth="1"/>
    <col min="9701" max="9701" width="10.28515625" style="1" bestFit="1" customWidth="1"/>
    <col min="9702" max="9702" width="9.5703125" style="1" bestFit="1" customWidth="1"/>
    <col min="9703" max="9703" width="18.5703125" style="1" customWidth="1"/>
    <col min="9704" max="9705" width="9.140625" style="1"/>
    <col min="9706" max="9708" width="12.140625" style="1" bestFit="1" customWidth="1"/>
    <col min="9709" max="9717" width="10.28515625" style="1" bestFit="1" customWidth="1"/>
    <col min="9718" max="9718" width="11.28515625" style="1" bestFit="1" customWidth="1"/>
    <col min="9719" max="9719" width="9.140625" style="1"/>
    <col min="9720" max="9720" width="19" style="1" customWidth="1"/>
    <col min="9721" max="9737" width="9.140625" style="1"/>
    <col min="9738" max="9748" width="11.28515625" style="1" bestFit="1" customWidth="1"/>
    <col min="9749" max="9749" width="10.28515625" style="1" bestFit="1" customWidth="1"/>
    <col min="9750" max="9750" width="12.85546875" style="1" bestFit="1" customWidth="1"/>
    <col min="9751" max="9873" width="9.140625" style="1"/>
    <col min="9874" max="9874" width="11" style="1" bestFit="1" customWidth="1"/>
    <col min="9875" max="9875" width="28.140625" style="1" bestFit="1" customWidth="1"/>
    <col min="9876" max="9876" width="14" style="1" bestFit="1" customWidth="1"/>
    <col min="9877" max="9877" width="9.140625" style="1"/>
    <col min="9878" max="9878" width="13.85546875" style="1" bestFit="1" customWidth="1"/>
    <col min="9879" max="9879" width="9.140625" style="1"/>
    <col min="9880" max="9880" width="14" style="1" customWidth="1"/>
    <col min="9881" max="9881" width="9.140625" style="1"/>
    <col min="9882" max="9882" width="12.85546875" style="1" bestFit="1" customWidth="1"/>
    <col min="9883" max="9883" width="10" style="1" customWidth="1"/>
    <col min="9884" max="9884" width="14" style="1" bestFit="1" customWidth="1"/>
    <col min="9885" max="9885" width="9.85546875" style="1" bestFit="1" customWidth="1"/>
    <col min="9886" max="9886" width="13.5703125" style="1" bestFit="1" customWidth="1"/>
    <col min="9887" max="9887" width="9.85546875" style="1" bestFit="1" customWidth="1"/>
    <col min="9888" max="9888" width="12.85546875" style="1" bestFit="1" customWidth="1"/>
    <col min="9889" max="9900" width="10.5703125" style="1" customWidth="1"/>
    <col min="9901" max="9901" width="11.140625" style="1" bestFit="1" customWidth="1"/>
    <col min="9902" max="9902" width="2.7109375" style="1" customWidth="1"/>
    <col min="9903" max="9903" width="9.85546875" style="1" bestFit="1" customWidth="1"/>
    <col min="9904" max="9905" width="9.140625" style="1"/>
    <col min="9906" max="9906" width="24" style="1" customWidth="1"/>
    <col min="9907" max="9909" width="9.140625" style="1"/>
    <col min="9910" max="9910" width="9" style="1" bestFit="1" customWidth="1"/>
    <col min="9911" max="9920" width="9.28515625" style="1" bestFit="1" customWidth="1"/>
    <col min="9921" max="9921" width="10.28515625" style="1" bestFit="1" customWidth="1"/>
    <col min="9922" max="9922" width="11.28515625" style="1" bestFit="1" customWidth="1"/>
    <col min="9923" max="9923" width="11.7109375" style="1" customWidth="1"/>
    <col min="9924" max="9924" width="9.140625" style="1"/>
    <col min="9925" max="9925" width="22.28515625" style="1" customWidth="1"/>
    <col min="9926" max="9926" width="9.140625" style="1"/>
    <col min="9927" max="9927" width="9.28515625" style="1" bestFit="1" customWidth="1"/>
    <col min="9928" max="9928" width="9.42578125" style="1" bestFit="1" customWidth="1"/>
    <col min="9929" max="9929" width="9.28515625" style="1" bestFit="1" customWidth="1"/>
    <col min="9930" max="9930" width="10.28515625" style="1" bestFit="1" customWidth="1"/>
    <col min="9931" max="9932" width="9.28515625" style="1" bestFit="1" customWidth="1"/>
    <col min="9933" max="9934" width="10.28515625" style="1" bestFit="1" customWidth="1"/>
    <col min="9935" max="9939" width="9.28515625" style="1" bestFit="1" customWidth="1"/>
    <col min="9940" max="9940" width="10.42578125" style="1" bestFit="1" customWidth="1"/>
    <col min="9941" max="9941" width="9.140625" style="1"/>
    <col min="9942" max="9942" width="24.85546875" style="1" customWidth="1"/>
    <col min="9943" max="9943" width="9.140625" style="1"/>
    <col min="9944" max="9956" width="9.28515625" style="1" bestFit="1" customWidth="1"/>
    <col min="9957" max="9957" width="10.28515625" style="1" bestFit="1" customWidth="1"/>
    <col min="9958" max="9958" width="9.5703125" style="1" bestFit="1" customWidth="1"/>
    <col min="9959" max="9959" width="18.5703125" style="1" customWidth="1"/>
    <col min="9960" max="9961" width="9.140625" style="1"/>
    <col min="9962" max="9964" width="12.140625" style="1" bestFit="1" customWidth="1"/>
    <col min="9965" max="9973" width="10.28515625" style="1" bestFit="1" customWidth="1"/>
    <col min="9974" max="9974" width="11.28515625" style="1" bestFit="1" customWidth="1"/>
    <col min="9975" max="9975" width="9.140625" style="1"/>
    <col min="9976" max="9976" width="19" style="1" customWidth="1"/>
    <col min="9977" max="9993" width="9.140625" style="1"/>
    <col min="9994" max="10004" width="11.28515625" style="1" bestFit="1" customWidth="1"/>
    <col min="10005" max="10005" width="10.28515625" style="1" bestFit="1" customWidth="1"/>
    <col min="10006" max="10006" width="12.85546875" style="1" bestFit="1" customWidth="1"/>
    <col min="10007" max="10129" width="9.140625" style="1"/>
    <col min="10130" max="10130" width="11" style="1" bestFit="1" customWidth="1"/>
    <col min="10131" max="10131" width="28.140625" style="1" bestFit="1" customWidth="1"/>
    <col min="10132" max="10132" width="14" style="1" bestFit="1" customWidth="1"/>
    <col min="10133" max="10133" width="9.140625" style="1"/>
    <col min="10134" max="10134" width="13.85546875" style="1" bestFit="1" customWidth="1"/>
    <col min="10135" max="10135" width="9.140625" style="1"/>
    <col min="10136" max="10136" width="14" style="1" customWidth="1"/>
    <col min="10137" max="10137" width="9.140625" style="1"/>
    <col min="10138" max="10138" width="12.85546875" style="1" bestFit="1" customWidth="1"/>
    <col min="10139" max="10139" width="10" style="1" customWidth="1"/>
    <col min="10140" max="10140" width="14" style="1" bestFit="1" customWidth="1"/>
    <col min="10141" max="10141" width="9.85546875" style="1" bestFit="1" customWidth="1"/>
    <col min="10142" max="10142" width="13.5703125" style="1" bestFit="1" customWidth="1"/>
    <col min="10143" max="10143" width="9.85546875" style="1" bestFit="1" customWidth="1"/>
    <col min="10144" max="10144" width="12.85546875" style="1" bestFit="1" customWidth="1"/>
    <col min="10145" max="10156" width="10.5703125" style="1" customWidth="1"/>
    <col min="10157" max="10157" width="11.140625" style="1" bestFit="1" customWidth="1"/>
    <col min="10158" max="10158" width="2.7109375" style="1" customWidth="1"/>
    <col min="10159" max="10159" width="9.85546875" style="1" bestFit="1" customWidth="1"/>
    <col min="10160" max="10161" width="9.140625" style="1"/>
    <col min="10162" max="10162" width="24" style="1" customWidth="1"/>
    <col min="10163" max="10165" width="9.140625" style="1"/>
    <col min="10166" max="10166" width="9" style="1" bestFit="1" customWidth="1"/>
    <col min="10167" max="10176" width="9.28515625" style="1" bestFit="1" customWidth="1"/>
    <col min="10177" max="10177" width="10.28515625" style="1" bestFit="1" customWidth="1"/>
    <col min="10178" max="10178" width="11.28515625" style="1" bestFit="1" customWidth="1"/>
    <col min="10179" max="10179" width="11.7109375" style="1" customWidth="1"/>
    <col min="10180" max="10180" width="9.140625" style="1"/>
    <col min="10181" max="10181" width="22.28515625" style="1" customWidth="1"/>
    <col min="10182" max="10182" width="9.140625" style="1"/>
    <col min="10183" max="10183" width="9.28515625" style="1" bestFit="1" customWidth="1"/>
    <col min="10184" max="10184" width="9.42578125" style="1" bestFit="1" customWidth="1"/>
    <col min="10185" max="10185" width="9.28515625" style="1" bestFit="1" customWidth="1"/>
    <col min="10186" max="10186" width="10.28515625" style="1" bestFit="1" customWidth="1"/>
    <col min="10187" max="10188" width="9.28515625" style="1" bestFit="1" customWidth="1"/>
    <col min="10189" max="10190" width="10.28515625" style="1" bestFit="1" customWidth="1"/>
    <col min="10191" max="10195" width="9.28515625" style="1" bestFit="1" customWidth="1"/>
    <col min="10196" max="10196" width="10.42578125" style="1" bestFit="1" customWidth="1"/>
    <col min="10197" max="10197" width="9.140625" style="1"/>
    <col min="10198" max="10198" width="24.85546875" style="1" customWidth="1"/>
    <col min="10199" max="10199" width="9.140625" style="1"/>
    <col min="10200" max="10212" width="9.28515625" style="1" bestFit="1" customWidth="1"/>
    <col min="10213" max="10213" width="10.28515625" style="1" bestFit="1" customWidth="1"/>
    <col min="10214" max="10214" width="9.5703125" style="1" bestFit="1" customWidth="1"/>
    <col min="10215" max="10215" width="18.5703125" style="1" customWidth="1"/>
    <col min="10216" max="10217" width="9.140625" style="1"/>
    <col min="10218" max="10220" width="12.140625" style="1" bestFit="1" customWidth="1"/>
    <col min="10221" max="10229" width="10.28515625" style="1" bestFit="1" customWidth="1"/>
    <col min="10230" max="10230" width="11.28515625" style="1" bestFit="1" customWidth="1"/>
    <col min="10231" max="10231" width="9.140625" style="1"/>
    <col min="10232" max="10232" width="19" style="1" customWidth="1"/>
    <col min="10233" max="10249" width="9.140625" style="1"/>
    <col min="10250" max="10260" width="11.28515625" style="1" bestFit="1" customWidth="1"/>
    <col min="10261" max="10261" width="10.28515625" style="1" bestFit="1" customWidth="1"/>
    <col min="10262" max="10262" width="12.85546875" style="1" bestFit="1" customWidth="1"/>
    <col min="10263" max="10385" width="9.140625" style="1"/>
    <col min="10386" max="10386" width="11" style="1" bestFit="1" customWidth="1"/>
    <col min="10387" max="10387" width="28.140625" style="1" bestFit="1" customWidth="1"/>
    <col min="10388" max="10388" width="14" style="1" bestFit="1" customWidth="1"/>
    <col min="10389" max="10389" width="9.140625" style="1"/>
    <col min="10390" max="10390" width="13.85546875" style="1" bestFit="1" customWidth="1"/>
    <col min="10391" max="10391" width="9.140625" style="1"/>
    <col min="10392" max="10392" width="14" style="1" customWidth="1"/>
    <col min="10393" max="10393" width="9.140625" style="1"/>
    <col min="10394" max="10394" width="12.85546875" style="1" bestFit="1" customWidth="1"/>
    <col min="10395" max="10395" width="10" style="1" customWidth="1"/>
    <col min="10396" max="10396" width="14" style="1" bestFit="1" customWidth="1"/>
    <col min="10397" max="10397" width="9.85546875" style="1" bestFit="1" customWidth="1"/>
    <col min="10398" max="10398" width="13.5703125" style="1" bestFit="1" customWidth="1"/>
    <col min="10399" max="10399" width="9.85546875" style="1" bestFit="1" customWidth="1"/>
    <col min="10400" max="10400" width="12.85546875" style="1" bestFit="1" customWidth="1"/>
    <col min="10401" max="10412" width="10.5703125" style="1" customWidth="1"/>
    <col min="10413" max="10413" width="11.140625" style="1" bestFit="1" customWidth="1"/>
    <col min="10414" max="10414" width="2.7109375" style="1" customWidth="1"/>
    <col min="10415" max="10415" width="9.85546875" style="1" bestFit="1" customWidth="1"/>
    <col min="10416" max="10417" width="9.140625" style="1"/>
    <col min="10418" max="10418" width="24" style="1" customWidth="1"/>
    <col min="10419" max="10421" width="9.140625" style="1"/>
    <col min="10422" max="10422" width="9" style="1" bestFit="1" customWidth="1"/>
    <col min="10423" max="10432" width="9.28515625" style="1" bestFit="1" customWidth="1"/>
    <col min="10433" max="10433" width="10.28515625" style="1" bestFit="1" customWidth="1"/>
    <col min="10434" max="10434" width="11.28515625" style="1" bestFit="1" customWidth="1"/>
    <col min="10435" max="10435" width="11.7109375" style="1" customWidth="1"/>
    <col min="10436" max="10436" width="9.140625" style="1"/>
    <col min="10437" max="10437" width="22.28515625" style="1" customWidth="1"/>
    <col min="10438" max="10438" width="9.140625" style="1"/>
    <col min="10439" max="10439" width="9.28515625" style="1" bestFit="1" customWidth="1"/>
    <col min="10440" max="10440" width="9.42578125" style="1" bestFit="1" customWidth="1"/>
    <col min="10441" max="10441" width="9.28515625" style="1" bestFit="1" customWidth="1"/>
    <col min="10442" max="10442" width="10.28515625" style="1" bestFit="1" customWidth="1"/>
    <col min="10443" max="10444" width="9.28515625" style="1" bestFit="1" customWidth="1"/>
    <col min="10445" max="10446" width="10.28515625" style="1" bestFit="1" customWidth="1"/>
    <col min="10447" max="10451" width="9.28515625" style="1" bestFit="1" customWidth="1"/>
    <col min="10452" max="10452" width="10.42578125" style="1" bestFit="1" customWidth="1"/>
    <col min="10453" max="10453" width="9.140625" style="1"/>
    <col min="10454" max="10454" width="24.85546875" style="1" customWidth="1"/>
    <col min="10455" max="10455" width="9.140625" style="1"/>
    <col min="10456" max="10468" width="9.28515625" style="1" bestFit="1" customWidth="1"/>
    <col min="10469" max="10469" width="10.28515625" style="1" bestFit="1" customWidth="1"/>
    <col min="10470" max="10470" width="9.5703125" style="1" bestFit="1" customWidth="1"/>
    <col min="10471" max="10471" width="18.5703125" style="1" customWidth="1"/>
    <col min="10472" max="10473" width="9.140625" style="1"/>
    <col min="10474" max="10476" width="12.140625" style="1" bestFit="1" customWidth="1"/>
    <col min="10477" max="10485" width="10.28515625" style="1" bestFit="1" customWidth="1"/>
    <col min="10486" max="10486" width="11.28515625" style="1" bestFit="1" customWidth="1"/>
    <col min="10487" max="10487" width="9.140625" style="1"/>
    <col min="10488" max="10488" width="19" style="1" customWidth="1"/>
    <col min="10489" max="10505" width="9.140625" style="1"/>
    <col min="10506" max="10516" width="11.28515625" style="1" bestFit="1" customWidth="1"/>
    <col min="10517" max="10517" width="10.28515625" style="1" bestFit="1" customWidth="1"/>
    <col min="10518" max="10518" width="12.85546875" style="1" bestFit="1" customWidth="1"/>
    <col min="10519" max="10641" width="9.140625" style="1"/>
    <col min="10642" max="10642" width="11" style="1" bestFit="1" customWidth="1"/>
    <col min="10643" max="10643" width="28.140625" style="1" bestFit="1" customWidth="1"/>
    <col min="10644" max="10644" width="14" style="1" bestFit="1" customWidth="1"/>
    <col min="10645" max="10645" width="9.140625" style="1"/>
    <col min="10646" max="10646" width="13.85546875" style="1" bestFit="1" customWidth="1"/>
    <col min="10647" max="10647" width="9.140625" style="1"/>
    <col min="10648" max="10648" width="14" style="1" customWidth="1"/>
    <col min="10649" max="10649" width="9.140625" style="1"/>
    <col min="10650" max="10650" width="12.85546875" style="1" bestFit="1" customWidth="1"/>
    <col min="10651" max="10651" width="10" style="1" customWidth="1"/>
    <col min="10652" max="10652" width="14" style="1" bestFit="1" customWidth="1"/>
    <col min="10653" max="10653" width="9.85546875" style="1" bestFit="1" customWidth="1"/>
    <col min="10654" max="10654" width="13.5703125" style="1" bestFit="1" customWidth="1"/>
    <col min="10655" max="10655" width="9.85546875" style="1" bestFit="1" customWidth="1"/>
    <col min="10656" max="10656" width="12.85546875" style="1" bestFit="1" customWidth="1"/>
    <col min="10657" max="10668" width="10.5703125" style="1" customWidth="1"/>
    <col min="10669" max="10669" width="11.140625" style="1" bestFit="1" customWidth="1"/>
    <col min="10670" max="10670" width="2.7109375" style="1" customWidth="1"/>
    <col min="10671" max="10671" width="9.85546875" style="1" bestFit="1" customWidth="1"/>
    <col min="10672" max="10673" width="9.140625" style="1"/>
    <col min="10674" max="10674" width="24" style="1" customWidth="1"/>
    <col min="10675" max="10677" width="9.140625" style="1"/>
    <col min="10678" max="10678" width="9" style="1" bestFit="1" customWidth="1"/>
    <col min="10679" max="10688" width="9.28515625" style="1" bestFit="1" customWidth="1"/>
    <col min="10689" max="10689" width="10.28515625" style="1" bestFit="1" customWidth="1"/>
    <col min="10690" max="10690" width="11.28515625" style="1" bestFit="1" customWidth="1"/>
    <col min="10691" max="10691" width="11.7109375" style="1" customWidth="1"/>
    <col min="10692" max="10692" width="9.140625" style="1"/>
    <col min="10693" max="10693" width="22.28515625" style="1" customWidth="1"/>
    <col min="10694" max="10694" width="9.140625" style="1"/>
    <col min="10695" max="10695" width="9.28515625" style="1" bestFit="1" customWidth="1"/>
    <col min="10696" max="10696" width="9.42578125" style="1" bestFit="1" customWidth="1"/>
    <col min="10697" max="10697" width="9.28515625" style="1" bestFit="1" customWidth="1"/>
    <col min="10698" max="10698" width="10.28515625" style="1" bestFit="1" customWidth="1"/>
    <col min="10699" max="10700" width="9.28515625" style="1" bestFit="1" customWidth="1"/>
    <col min="10701" max="10702" width="10.28515625" style="1" bestFit="1" customWidth="1"/>
    <col min="10703" max="10707" width="9.28515625" style="1" bestFit="1" customWidth="1"/>
    <col min="10708" max="10708" width="10.42578125" style="1" bestFit="1" customWidth="1"/>
    <col min="10709" max="10709" width="9.140625" style="1"/>
    <col min="10710" max="10710" width="24.85546875" style="1" customWidth="1"/>
    <col min="10711" max="10711" width="9.140625" style="1"/>
    <col min="10712" max="10724" width="9.28515625" style="1" bestFit="1" customWidth="1"/>
    <col min="10725" max="10725" width="10.28515625" style="1" bestFit="1" customWidth="1"/>
    <col min="10726" max="10726" width="9.5703125" style="1" bestFit="1" customWidth="1"/>
    <col min="10727" max="10727" width="18.5703125" style="1" customWidth="1"/>
    <col min="10728" max="10729" width="9.140625" style="1"/>
    <col min="10730" max="10732" width="12.140625" style="1" bestFit="1" customWidth="1"/>
    <col min="10733" max="10741" width="10.28515625" style="1" bestFit="1" customWidth="1"/>
    <col min="10742" max="10742" width="11.28515625" style="1" bestFit="1" customWidth="1"/>
    <col min="10743" max="10743" width="9.140625" style="1"/>
    <col min="10744" max="10744" width="19" style="1" customWidth="1"/>
    <col min="10745" max="10761" width="9.140625" style="1"/>
    <col min="10762" max="10772" width="11.28515625" style="1" bestFit="1" customWidth="1"/>
    <col min="10773" max="10773" width="10.28515625" style="1" bestFit="1" customWidth="1"/>
    <col min="10774" max="10774" width="12.85546875" style="1" bestFit="1" customWidth="1"/>
    <col min="10775" max="10897" width="9.140625" style="1"/>
    <col min="10898" max="10898" width="11" style="1" bestFit="1" customWidth="1"/>
    <col min="10899" max="10899" width="28.140625" style="1" bestFit="1" customWidth="1"/>
    <col min="10900" max="10900" width="14" style="1" bestFit="1" customWidth="1"/>
    <col min="10901" max="10901" width="9.140625" style="1"/>
    <col min="10902" max="10902" width="13.85546875" style="1" bestFit="1" customWidth="1"/>
    <col min="10903" max="10903" width="9.140625" style="1"/>
    <col min="10904" max="10904" width="14" style="1" customWidth="1"/>
    <col min="10905" max="10905" width="9.140625" style="1"/>
    <col min="10906" max="10906" width="12.85546875" style="1" bestFit="1" customWidth="1"/>
    <col min="10907" max="10907" width="10" style="1" customWidth="1"/>
    <col min="10908" max="10908" width="14" style="1" bestFit="1" customWidth="1"/>
    <col min="10909" max="10909" width="9.85546875" style="1" bestFit="1" customWidth="1"/>
    <col min="10910" max="10910" width="13.5703125" style="1" bestFit="1" customWidth="1"/>
    <col min="10911" max="10911" width="9.85546875" style="1" bestFit="1" customWidth="1"/>
    <col min="10912" max="10912" width="12.85546875" style="1" bestFit="1" customWidth="1"/>
    <col min="10913" max="10924" width="10.5703125" style="1" customWidth="1"/>
    <col min="10925" max="10925" width="11.140625" style="1" bestFit="1" customWidth="1"/>
    <col min="10926" max="10926" width="2.7109375" style="1" customWidth="1"/>
    <col min="10927" max="10927" width="9.85546875" style="1" bestFit="1" customWidth="1"/>
    <col min="10928" max="10929" width="9.140625" style="1"/>
    <col min="10930" max="10930" width="24" style="1" customWidth="1"/>
    <col min="10931" max="10933" width="9.140625" style="1"/>
    <col min="10934" max="10934" width="9" style="1" bestFit="1" customWidth="1"/>
    <col min="10935" max="10944" width="9.28515625" style="1" bestFit="1" customWidth="1"/>
    <col min="10945" max="10945" width="10.28515625" style="1" bestFit="1" customWidth="1"/>
    <col min="10946" max="10946" width="11.28515625" style="1" bestFit="1" customWidth="1"/>
    <col min="10947" max="10947" width="11.7109375" style="1" customWidth="1"/>
    <col min="10948" max="10948" width="9.140625" style="1"/>
    <col min="10949" max="10949" width="22.28515625" style="1" customWidth="1"/>
    <col min="10950" max="10950" width="9.140625" style="1"/>
    <col min="10951" max="10951" width="9.28515625" style="1" bestFit="1" customWidth="1"/>
    <col min="10952" max="10952" width="9.42578125" style="1" bestFit="1" customWidth="1"/>
    <col min="10953" max="10953" width="9.28515625" style="1" bestFit="1" customWidth="1"/>
    <col min="10954" max="10954" width="10.28515625" style="1" bestFit="1" customWidth="1"/>
    <col min="10955" max="10956" width="9.28515625" style="1" bestFit="1" customWidth="1"/>
    <col min="10957" max="10958" width="10.28515625" style="1" bestFit="1" customWidth="1"/>
    <col min="10959" max="10963" width="9.28515625" style="1" bestFit="1" customWidth="1"/>
    <col min="10964" max="10964" width="10.42578125" style="1" bestFit="1" customWidth="1"/>
    <col min="10965" max="10965" width="9.140625" style="1"/>
    <col min="10966" max="10966" width="24.85546875" style="1" customWidth="1"/>
    <col min="10967" max="10967" width="9.140625" style="1"/>
    <col min="10968" max="10980" width="9.28515625" style="1" bestFit="1" customWidth="1"/>
    <col min="10981" max="10981" width="10.28515625" style="1" bestFit="1" customWidth="1"/>
    <col min="10982" max="10982" width="9.5703125" style="1" bestFit="1" customWidth="1"/>
    <col min="10983" max="10983" width="18.5703125" style="1" customWidth="1"/>
    <col min="10984" max="10985" width="9.140625" style="1"/>
    <col min="10986" max="10988" width="12.140625" style="1" bestFit="1" customWidth="1"/>
    <col min="10989" max="10997" width="10.28515625" style="1" bestFit="1" customWidth="1"/>
    <col min="10998" max="10998" width="11.28515625" style="1" bestFit="1" customWidth="1"/>
    <col min="10999" max="10999" width="9.140625" style="1"/>
    <col min="11000" max="11000" width="19" style="1" customWidth="1"/>
    <col min="11001" max="11017" width="9.140625" style="1"/>
    <col min="11018" max="11028" width="11.28515625" style="1" bestFit="1" customWidth="1"/>
    <col min="11029" max="11029" width="10.28515625" style="1" bestFit="1" customWidth="1"/>
    <col min="11030" max="11030" width="12.85546875" style="1" bestFit="1" customWidth="1"/>
    <col min="11031" max="11153" width="9.140625" style="1"/>
    <col min="11154" max="11154" width="11" style="1" bestFit="1" customWidth="1"/>
    <col min="11155" max="11155" width="28.140625" style="1" bestFit="1" customWidth="1"/>
    <col min="11156" max="11156" width="14" style="1" bestFit="1" customWidth="1"/>
    <col min="11157" max="11157" width="9.140625" style="1"/>
    <col min="11158" max="11158" width="13.85546875" style="1" bestFit="1" customWidth="1"/>
    <col min="11159" max="11159" width="9.140625" style="1"/>
    <col min="11160" max="11160" width="14" style="1" customWidth="1"/>
    <col min="11161" max="11161" width="9.140625" style="1"/>
    <col min="11162" max="11162" width="12.85546875" style="1" bestFit="1" customWidth="1"/>
    <col min="11163" max="11163" width="10" style="1" customWidth="1"/>
    <col min="11164" max="11164" width="14" style="1" bestFit="1" customWidth="1"/>
    <col min="11165" max="11165" width="9.85546875" style="1" bestFit="1" customWidth="1"/>
    <col min="11166" max="11166" width="13.5703125" style="1" bestFit="1" customWidth="1"/>
    <col min="11167" max="11167" width="9.85546875" style="1" bestFit="1" customWidth="1"/>
    <col min="11168" max="11168" width="12.85546875" style="1" bestFit="1" customWidth="1"/>
    <col min="11169" max="11180" width="10.5703125" style="1" customWidth="1"/>
    <col min="11181" max="11181" width="11.140625" style="1" bestFit="1" customWidth="1"/>
    <col min="11182" max="11182" width="2.7109375" style="1" customWidth="1"/>
    <col min="11183" max="11183" width="9.85546875" style="1" bestFit="1" customWidth="1"/>
    <col min="11184" max="11185" width="9.140625" style="1"/>
    <col min="11186" max="11186" width="24" style="1" customWidth="1"/>
    <col min="11187" max="11189" width="9.140625" style="1"/>
    <col min="11190" max="11190" width="9" style="1" bestFit="1" customWidth="1"/>
    <col min="11191" max="11200" width="9.28515625" style="1" bestFit="1" customWidth="1"/>
    <col min="11201" max="11201" width="10.28515625" style="1" bestFit="1" customWidth="1"/>
    <col min="11202" max="11202" width="11.28515625" style="1" bestFit="1" customWidth="1"/>
    <col min="11203" max="11203" width="11.7109375" style="1" customWidth="1"/>
    <col min="11204" max="11204" width="9.140625" style="1"/>
    <col min="11205" max="11205" width="22.28515625" style="1" customWidth="1"/>
    <col min="11206" max="11206" width="9.140625" style="1"/>
    <col min="11207" max="11207" width="9.28515625" style="1" bestFit="1" customWidth="1"/>
    <col min="11208" max="11208" width="9.42578125" style="1" bestFit="1" customWidth="1"/>
    <col min="11209" max="11209" width="9.28515625" style="1" bestFit="1" customWidth="1"/>
    <col min="11210" max="11210" width="10.28515625" style="1" bestFit="1" customWidth="1"/>
    <col min="11211" max="11212" width="9.28515625" style="1" bestFit="1" customWidth="1"/>
    <col min="11213" max="11214" width="10.28515625" style="1" bestFit="1" customWidth="1"/>
    <col min="11215" max="11219" width="9.28515625" style="1" bestFit="1" customWidth="1"/>
    <col min="11220" max="11220" width="10.42578125" style="1" bestFit="1" customWidth="1"/>
    <col min="11221" max="11221" width="9.140625" style="1"/>
    <col min="11222" max="11222" width="24.85546875" style="1" customWidth="1"/>
    <col min="11223" max="11223" width="9.140625" style="1"/>
    <col min="11224" max="11236" width="9.28515625" style="1" bestFit="1" customWidth="1"/>
    <col min="11237" max="11237" width="10.28515625" style="1" bestFit="1" customWidth="1"/>
    <col min="11238" max="11238" width="9.5703125" style="1" bestFit="1" customWidth="1"/>
    <col min="11239" max="11239" width="18.5703125" style="1" customWidth="1"/>
    <col min="11240" max="11241" width="9.140625" style="1"/>
    <col min="11242" max="11244" width="12.140625" style="1" bestFit="1" customWidth="1"/>
    <col min="11245" max="11253" width="10.28515625" style="1" bestFit="1" customWidth="1"/>
    <col min="11254" max="11254" width="11.28515625" style="1" bestFit="1" customWidth="1"/>
    <col min="11255" max="11255" width="9.140625" style="1"/>
    <col min="11256" max="11256" width="19" style="1" customWidth="1"/>
    <col min="11257" max="11273" width="9.140625" style="1"/>
    <col min="11274" max="11284" width="11.28515625" style="1" bestFit="1" customWidth="1"/>
    <col min="11285" max="11285" width="10.28515625" style="1" bestFit="1" customWidth="1"/>
    <col min="11286" max="11286" width="12.85546875" style="1" bestFit="1" customWidth="1"/>
    <col min="11287" max="11409" width="9.140625" style="1"/>
    <col min="11410" max="11410" width="11" style="1" bestFit="1" customWidth="1"/>
    <col min="11411" max="11411" width="28.140625" style="1" bestFit="1" customWidth="1"/>
    <col min="11412" max="11412" width="14" style="1" bestFit="1" customWidth="1"/>
    <col min="11413" max="11413" width="9.140625" style="1"/>
    <col min="11414" max="11414" width="13.85546875" style="1" bestFit="1" customWidth="1"/>
    <col min="11415" max="11415" width="9.140625" style="1"/>
    <col min="11416" max="11416" width="14" style="1" customWidth="1"/>
    <col min="11417" max="11417" width="9.140625" style="1"/>
    <col min="11418" max="11418" width="12.85546875" style="1" bestFit="1" customWidth="1"/>
    <col min="11419" max="11419" width="10" style="1" customWidth="1"/>
    <col min="11420" max="11420" width="14" style="1" bestFit="1" customWidth="1"/>
    <col min="11421" max="11421" width="9.85546875" style="1" bestFit="1" customWidth="1"/>
    <col min="11422" max="11422" width="13.5703125" style="1" bestFit="1" customWidth="1"/>
    <col min="11423" max="11423" width="9.85546875" style="1" bestFit="1" customWidth="1"/>
    <col min="11424" max="11424" width="12.85546875" style="1" bestFit="1" customWidth="1"/>
    <col min="11425" max="11436" width="10.5703125" style="1" customWidth="1"/>
    <col min="11437" max="11437" width="11.140625" style="1" bestFit="1" customWidth="1"/>
    <col min="11438" max="11438" width="2.7109375" style="1" customWidth="1"/>
    <col min="11439" max="11439" width="9.85546875" style="1" bestFit="1" customWidth="1"/>
    <col min="11440" max="11441" width="9.140625" style="1"/>
    <col min="11442" max="11442" width="24" style="1" customWidth="1"/>
    <col min="11443" max="11445" width="9.140625" style="1"/>
    <col min="11446" max="11446" width="9" style="1" bestFit="1" customWidth="1"/>
    <col min="11447" max="11456" width="9.28515625" style="1" bestFit="1" customWidth="1"/>
    <col min="11457" max="11457" width="10.28515625" style="1" bestFit="1" customWidth="1"/>
    <col min="11458" max="11458" width="11.28515625" style="1" bestFit="1" customWidth="1"/>
    <col min="11459" max="11459" width="11.7109375" style="1" customWidth="1"/>
    <col min="11460" max="11460" width="9.140625" style="1"/>
    <col min="11461" max="11461" width="22.28515625" style="1" customWidth="1"/>
    <col min="11462" max="11462" width="9.140625" style="1"/>
    <col min="11463" max="11463" width="9.28515625" style="1" bestFit="1" customWidth="1"/>
    <col min="11464" max="11464" width="9.42578125" style="1" bestFit="1" customWidth="1"/>
    <col min="11465" max="11465" width="9.28515625" style="1" bestFit="1" customWidth="1"/>
    <col min="11466" max="11466" width="10.28515625" style="1" bestFit="1" customWidth="1"/>
    <col min="11467" max="11468" width="9.28515625" style="1" bestFit="1" customWidth="1"/>
    <col min="11469" max="11470" width="10.28515625" style="1" bestFit="1" customWidth="1"/>
    <col min="11471" max="11475" width="9.28515625" style="1" bestFit="1" customWidth="1"/>
    <col min="11476" max="11476" width="10.42578125" style="1" bestFit="1" customWidth="1"/>
    <col min="11477" max="11477" width="9.140625" style="1"/>
    <col min="11478" max="11478" width="24.85546875" style="1" customWidth="1"/>
    <col min="11479" max="11479" width="9.140625" style="1"/>
    <col min="11480" max="11492" width="9.28515625" style="1" bestFit="1" customWidth="1"/>
    <col min="11493" max="11493" width="10.28515625" style="1" bestFit="1" customWidth="1"/>
    <col min="11494" max="11494" width="9.5703125" style="1" bestFit="1" customWidth="1"/>
    <col min="11495" max="11495" width="18.5703125" style="1" customWidth="1"/>
    <col min="11496" max="11497" width="9.140625" style="1"/>
    <col min="11498" max="11500" width="12.140625" style="1" bestFit="1" customWidth="1"/>
    <col min="11501" max="11509" width="10.28515625" style="1" bestFit="1" customWidth="1"/>
    <col min="11510" max="11510" width="11.28515625" style="1" bestFit="1" customWidth="1"/>
    <col min="11511" max="11511" width="9.140625" style="1"/>
    <col min="11512" max="11512" width="19" style="1" customWidth="1"/>
    <col min="11513" max="11529" width="9.140625" style="1"/>
    <col min="11530" max="11540" width="11.28515625" style="1" bestFit="1" customWidth="1"/>
    <col min="11541" max="11541" width="10.28515625" style="1" bestFit="1" customWidth="1"/>
    <col min="11542" max="11542" width="12.85546875" style="1" bestFit="1" customWidth="1"/>
    <col min="11543" max="11665" width="9.140625" style="1"/>
    <col min="11666" max="11666" width="11" style="1" bestFit="1" customWidth="1"/>
    <col min="11667" max="11667" width="28.140625" style="1" bestFit="1" customWidth="1"/>
    <col min="11668" max="11668" width="14" style="1" bestFit="1" customWidth="1"/>
    <col min="11669" max="11669" width="9.140625" style="1"/>
    <col min="11670" max="11670" width="13.85546875" style="1" bestFit="1" customWidth="1"/>
    <col min="11671" max="11671" width="9.140625" style="1"/>
    <col min="11672" max="11672" width="14" style="1" customWidth="1"/>
    <col min="11673" max="11673" width="9.140625" style="1"/>
    <col min="11674" max="11674" width="12.85546875" style="1" bestFit="1" customWidth="1"/>
    <col min="11675" max="11675" width="10" style="1" customWidth="1"/>
    <col min="11676" max="11676" width="14" style="1" bestFit="1" customWidth="1"/>
    <col min="11677" max="11677" width="9.85546875" style="1" bestFit="1" customWidth="1"/>
    <col min="11678" max="11678" width="13.5703125" style="1" bestFit="1" customWidth="1"/>
    <col min="11679" max="11679" width="9.85546875" style="1" bestFit="1" customWidth="1"/>
    <col min="11680" max="11680" width="12.85546875" style="1" bestFit="1" customWidth="1"/>
    <col min="11681" max="11692" width="10.5703125" style="1" customWidth="1"/>
    <col min="11693" max="11693" width="11.140625" style="1" bestFit="1" customWidth="1"/>
    <col min="11694" max="11694" width="2.7109375" style="1" customWidth="1"/>
    <col min="11695" max="11695" width="9.85546875" style="1" bestFit="1" customWidth="1"/>
    <col min="11696" max="11697" width="9.140625" style="1"/>
    <col min="11698" max="11698" width="24" style="1" customWidth="1"/>
    <col min="11699" max="11701" width="9.140625" style="1"/>
    <col min="11702" max="11702" width="9" style="1" bestFit="1" customWidth="1"/>
    <col min="11703" max="11712" width="9.28515625" style="1" bestFit="1" customWidth="1"/>
    <col min="11713" max="11713" width="10.28515625" style="1" bestFit="1" customWidth="1"/>
    <col min="11714" max="11714" width="11.28515625" style="1" bestFit="1" customWidth="1"/>
    <col min="11715" max="11715" width="11.7109375" style="1" customWidth="1"/>
    <col min="11716" max="11716" width="9.140625" style="1"/>
    <col min="11717" max="11717" width="22.28515625" style="1" customWidth="1"/>
    <col min="11718" max="11718" width="9.140625" style="1"/>
    <col min="11719" max="11719" width="9.28515625" style="1" bestFit="1" customWidth="1"/>
    <col min="11720" max="11720" width="9.42578125" style="1" bestFit="1" customWidth="1"/>
    <col min="11721" max="11721" width="9.28515625" style="1" bestFit="1" customWidth="1"/>
    <col min="11722" max="11722" width="10.28515625" style="1" bestFit="1" customWidth="1"/>
    <col min="11723" max="11724" width="9.28515625" style="1" bestFit="1" customWidth="1"/>
    <col min="11725" max="11726" width="10.28515625" style="1" bestFit="1" customWidth="1"/>
    <col min="11727" max="11731" width="9.28515625" style="1" bestFit="1" customWidth="1"/>
    <col min="11732" max="11732" width="10.42578125" style="1" bestFit="1" customWidth="1"/>
    <col min="11733" max="11733" width="9.140625" style="1"/>
    <col min="11734" max="11734" width="24.85546875" style="1" customWidth="1"/>
    <col min="11735" max="11735" width="9.140625" style="1"/>
    <col min="11736" max="11748" width="9.28515625" style="1" bestFit="1" customWidth="1"/>
    <col min="11749" max="11749" width="10.28515625" style="1" bestFit="1" customWidth="1"/>
    <col min="11750" max="11750" width="9.5703125" style="1" bestFit="1" customWidth="1"/>
    <col min="11751" max="11751" width="18.5703125" style="1" customWidth="1"/>
    <col min="11752" max="11753" width="9.140625" style="1"/>
    <col min="11754" max="11756" width="12.140625" style="1" bestFit="1" customWidth="1"/>
    <col min="11757" max="11765" width="10.28515625" style="1" bestFit="1" customWidth="1"/>
    <col min="11766" max="11766" width="11.28515625" style="1" bestFit="1" customWidth="1"/>
    <col min="11767" max="11767" width="9.140625" style="1"/>
    <col min="11768" max="11768" width="19" style="1" customWidth="1"/>
    <col min="11769" max="11785" width="9.140625" style="1"/>
    <col min="11786" max="11796" width="11.28515625" style="1" bestFit="1" customWidth="1"/>
    <col min="11797" max="11797" width="10.28515625" style="1" bestFit="1" customWidth="1"/>
    <col min="11798" max="11798" width="12.85546875" style="1" bestFit="1" customWidth="1"/>
    <col min="11799" max="11921" width="9.140625" style="1"/>
    <col min="11922" max="11922" width="11" style="1" bestFit="1" customWidth="1"/>
    <col min="11923" max="11923" width="28.140625" style="1" bestFit="1" customWidth="1"/>
    <col min="11924" max="11924" width="14" style="1" bestFit="1" customWidth="1"/>
    <col min="11925" max="11925" width="9.140625" style="1"/>
    <col min="11926" max="11926" width="13.85546875" style="1" bestFit="1" customWidth="1"/>
    <col min="11927" max="11927" width="9.140625" style="1"/>
    <col min="11928" max="11928" width="14" style="1" customWidth="1"/>
    <col min="11929" max="11929" width="9.140625" style="1"/>
    <col min="11930" max="11930" width="12.85546875" style="1" bestFit="1" customWidth="1"/>
    <col min="11931" max="11931" width="10" style="1" customWidth="1"/>
    <col min="11932" max="11932" width="14" style="1" bestFit="1" customWidth="1"/>
    <col min="11933" max="11933" width="9.85546875" style="1" bestFit="1" customWidth="1"/>
    <col min="11934" max="11934" width="13.5703125" style="1" bestFit="1" customWidth="1"/>
    <col min="11935" max="11935" width="9.85546875" style="1" bestFit="1" customWidth="1"/>
    <col min="11936" max="11936" width="12.85546875" style="1" bestFit="1" customWidth="1"/>
    <col min="11937" max="11948" width="10.5703125" style="1" customWidth="1"/>
    <col min="11949" max="11949" width="11.140625" style="1" bestFit="1" customWidth="1"/>
    <col min="11950" max="11950" width="2.7109375" style="1" customWidth="1"/>
    <col min="11951" max="11951" width="9.85546875" style="1" bestFit="1" customWidth="1"/>
    <col min="11952" max="11953" width="9.140625" style="1"/>
    <col min="11954" max="11954" width="24" style="1" customWidth="1"/>
    <col min="11955" max="11957" width="9.140625" style="1"/>
    <col min="11958" max="11958" width="9" style="1" bestFit="1" customWidth="1"/>
    <col min="11959" max="11968" width="9.28515625" style="1" bestFit="1" customWidth="1"/>
    <col min="11969" max="11969" width="10.28515625" style="1" bestFit="1" customWidth="1"/>
    <col min="11970" max="11970" width="11.28515625" style="1" bestFit="1" customWidth="1"/>
    <col min="11971" max="11971" width="11.7109375" style="1" customWidth="1"/>
    <col min="11972" max="11972" width="9.140625" style="1"/>
    <col min="11973" max="11973" width="22.28515625" style="1" customWidth="1"/>
    <col min="11974" max="11974" width="9.140625" style="1"/>
    <col min="11975" max="11975" width="9.28515625" style="1" bestFit="1" customWidth="1"/>
    <col min="11976" max="11976" width="9.42578125" style="1" bestFit="1" customWidth="1"/>
    <col min="11977" max="11977" width="9.28515625" style="1" bestFit="1" customWidth="1"/>
    <col min="11978" max="11978" width="10.28515625" style="1" bestFit="1" customWidth="1"/>
    <col min="11979" max="11980" width="9.28515625" style="1" bestFit="1" customWidth="1"/>
    <col min="11981" max="11982" width="10.28515625" style="1" bestFit="1" customWidth="1"/>
    <col min="11983" max="11987" width="9.28515625" style="1" bestFit="1" customWidth="1"/>
    <col min="11988" max="11988" width="10.42578125" style="1" bestFit="1" customWidth="1"/>
    <col min="11989" max="11989" width="9.140625" style="1"/>
    <col min="11990" max="11990" width="24.85546875" style="1" customWidth="1"/>
    <col min="11991" max="11991" width="9.140625" style="1"/>
    <col min="11992" max="12004" width="9.28515625" style="1" bestFit="1" customWidth="1"/>
    <col min="12005" max="12005" width="10.28515625" style="1" bestFit="1" customWidth="1"/>
    <col min="12006" max="12006" width="9.5703125" style="1" bestFit="1" customWidth="1"/>
    <col min="12007" max="12007" width="18.5703125" style="1" customWidth="1"/>
    <col min="12008" max="12009" width="9.140625" style="1"/>
    <col min="12010" max="12012" width="12.140625" style="1" bestFit="1" customWidth="1"/>
    <col min="12013" max="12021" width="10.28515625" style="1" bestFit="1" customWidth="1"/>
    <col min="12022" max="12022" width="11.28515625" style="1" bestFit="1" customWidth="1"/>
    <col min="12023" max="12023" width="9.140625" style="1"/>
    <col min="12024" max="12024" width="19" style="1" customWidth="1"/>
    <col min="12025" max="12041" width="9.140625" style="1"/>
    <col min="12042" max="12052" width="11.28515625" style="1" bestFit="1" customWidth="1"/>
    <col min="12053" max="12053" width="10.28515625" style="1" bestFit="1" customWidth="1"/>
    <col min="12054" max="12054" width="12.85546875" style="1" bestFit="1" customWidth="1"/>
    <col min="12055" max="12177" width="9.140625" style="1"/>
    <col min="12178" max="12178" width="11" style="1" bestFit="1" customWidth="1"/>
    <col min="12179" max="12179" width="28.140625" style="1" bestFit="1" customWidth="1"/>
    <col min="12180" max="12180" width="14" style="1" bestFit="1" customWidth="1"/>
    <col min="12181" max="12181" width="9.140625" style="1"/>
    <col min="12182" max="12182" width="13.85546875" style="1" bestFit="1" customWidth="1"/>
    <col min="12183" max="12183" width="9.140625" style="1"/>
    <col min="12184" max="12184" width="14" style="1" customWidth="1"/>
    <col min="12185" max="12185" width="9.140625" style="1"/>
    <col min="12186" max="12186" width="12.85546875" style="1" bestFit="1" customWidth="1"/>
    <col min="12187" max="12187" width="10" style="1" customWidth="1"/>
    <col min="12188" max="12188" width="14" style="1" bestFit="1" customWidth="1"/>
    <col min="12189" max="12189" width="9.85546875" style="1" bestFit="1" customWidth="1"/>
    <col min="12190" max="12190" width="13.5703125" style="1" bestFit="1" customWidth="1"/>
    <col min="12191" max="12191" width="9.85546875" style="1" bestFit="1" customWidth="1"/>
    <col min="12192" max="12192" width="12.85546875" style="1" bestFit="1" customWidth="1"/>
    <col min="12193" max="12204" width="10.5703125" style="1" customWidth="1"/>
    <col min="12205" max="12205" width="11.140625" style="1" bestFit="1" customWidth="1"/>
    <col min="12206" max="12206" width="2.7109375" style="1" customWidth="1"/>
    <col min="12207" max="12207" width="9.85546875" style="1" bestFit="1" customWidth="1"/>
    <col min="12208" max="12209" width="9.140625" style="1"/>
    <col min="12210" max="12210" width="24" style="1" customWidth="1"/>
    <col min="12211" max="12213" width="9.140625" style="1"/>
    <col min="12214" max="12214" width="9" style="1" bestFit="1" customWidth="1"/>
    <col min="12215" max="12224" width="9.28515625" style="1" bestFit="1" customWidth="1"/>
    <col min="12225" max="12225" width="10.28515625" style="1" bestFit="1" customWidth="1"/>
    <col min="12226" max="12226" width="11.28515625" style="1" bestFit="1" customWidth="1"/>
    <col min="12227" max="12227" width="11.7109375" style="1" customWidth="1"/>
    <col min="12228" max="12228" width="9.140625" style="1"/>
    <col min="12229" max="12229" width="22.28515625" style="1" customWidth="1"/>
    <col min="12230" max="12230" width="9.140625" style="1"/>
    <col min="12231" max="12231" width="9.28515625" style="1" bestFit="1" customWidth="1"/>
    <col min="12232" max="12232" width="9.42578125" style="1" bestFit="1" customWidth="1"/>
    <col min="12233" max="12233" width="9.28515625" style="1" bestFit="1" customWidth="1"/>
    <col min="12234" max="12234" width="10.28515625" style="1" bestFit="1" customWidth="1"/>
    <col min="12235" max="12236" width="9.28515625" style="1" bestFit="1" customWidth="1"/>
    <col min="12237" max="12238" width="10.28515625" style="1" bestFit="1" customWidth="1"/>
    <col min="12239" max="12243" width="9.28515625" style="1" bestFit="1" customWidth="1"/>
    <col min="12244" max="12244" width="10.42578125" style="1" bestFit="1" customWidth="1"/>
    <col min="12245" max="12245" width="9.140625" style="1"/>
    <col min="12246" max="12246" width="24.85546875" style="1" customWidth="1"/>
    <col min="12247" max="12247" width="9.140625" style="1"/>
    <col min="12248" max="12260" width="9.28515625" style="1" bestFit="1" customWidth="1"/>
    <col min="12261" max="12261" width="10.28515625" style="1" bestFit="1" customWidth="1"/>
    <col min="12262" max="12262" width="9.5703125" style="1" bestFit="1" customWidth="1"/>
    <col min="12263" max="12263" width="18.5703125" style="1" customWidth="1"/>
    <col min="12264" max="12265" width="9.140625" style="1"/>
    <col min="12266" max="12268" width="12.140625" style="1" bestFit="1" customWidth="1"/>
    <col min="12269" max="12277" width="10.28515625" style="1" bestFit="1" customWidth="1"/>
    <col min="12278" max="12278" width="11.28515625" style="1" bestFit="1" customWidth="1"/>
    <col min="12279" max="12279" width="9.140625" style="1"/>
    <col min="12280" max="12280" width="19" style="1" customWidth="1"/>
    <col min="12281" max="12297" width="9.140625" style="1"/>
    <col min="12298" max="12308" width="11.28515625" style="1" bestFit="1" customWidth="1"/>
    <col min="12309" max="12309" width="10.28515625" style="1" bestFit="1" customWidth="1"/>
    <col min="12310" max="12310" width="12.85546875" style="1" bestFit="1" customWidth="1"/>
    <col min="12311" max="12433" width="9.140625" style="1"/>
    <col min="12434" max="12434" width="11" style="1" bestFit="1" customWidth="1"/>
    <col min="12435" max="12435" width="28.140625" style="1" bestFit="1" customWidth="1"/>
    <col min="12436" max="12436" width="14" style="1" bestFit="1" customWidth="1"/>
    <col min="12437" max="12437" width="9.140625" style="1"/>
    <col min="12438" max="12438" width="13.85546875" style="1" bestFit="1" customWidth="1"/>
    <col min="12439" max="12439" width="9.140625" style="1"/>
    <col min="12440" max="12440" width="14" style="1" customWidth="1"/>
    <col min="12441" max="12441" width="9.140625" style="1"/>
    <col min="12442" max="12442" width="12.85546875" style="1" bestFit="1" customWidth="1"/>
    <col min="12443" max="12443" width="10" style="1" customWidth="1"/>
    <col min="12444" max="12444" width="14" style="1" bestFit="1" customWidth="1"/>
    <col min="12445" max="12445" width="9.85546875" style="1" bestFit="1" customWidth="1"/>
    <col min="12446" max="12446" width="13.5703125" style="1" bestFit="1" customWidth="1"/>
    <col min="12447" max="12447" width="9.85546875" style="1" bestFit="1" customWidth="1"/>
    <col min="12448" max="12448" width="12.85546875" style="1" bestFit="1" customWidth="1"/>
    <col min="12449" max="12460" width="10.5703125" style="1" customWidth="1"/>
    <col min="12461" max="12461" width="11.140625" style="1" bestFit="1" customWidth="1"/>
    <col min="12462" max="12462" width="2.7109375" style="1" customWidth="1"/>
    <col min="12463" max="12463" width="9.85546875" style="1" bestFit="1" customWidth="1"/>
    <col min="12464" max="12465" width="9.140625" style="1"/>
    <col min="12466" max="12466" width="24" style="1" customWidth="1"/>
    <col min="12467" max="12469" width="9.140625" style="1"/>
    <col min="12470" max="12470" width="9" style="1" bestFit="1" customWidth="1"/>
    <col min="12471" max="12480" width="9.28515625" style="1" bestFit="1" customWidth="1"/>
    <col min="12481" max="12481" width="10.28515625" style="1" bestFit="1" customWidth="1"/>
    <col min="12482" max="12482" width="11.28515625" style="1" bestFit="1" customWidth="1"/>
    <col min="12483" max="12483" width="11.7109375" style="1" customWidth="1"/>
    <col min="12484" max="12484" width="9.140625" style="1"/>
    <col min="12485" max="12485" width="22.28515625" style="1" customWidth="1"/>
    <col min="12486" max="12486" width="9.140625" style="1"/>
    <col min="12487" max="12487" width="9.28515625" style="1" bestFit="1" customWidth="1"/>
    <col min="12488" max="12488" width="9.42578125" style="1" bestFit="1" customWidth="1"/>
    <col min="12489" max="12489" width="9.28515625" style="1" bestFit="1" customWidth="1"/>
    <col min="12490" max="12490" width="10.28515625" style="1" bestFit="1" customWidth="1"/>
    <col min="12491" max="12492" width="9.28515625" style="1" bestFit="1" customWidth="1"/>
    <col min="12493" max="12494" width="10.28515625" style="1" bestFit="1" customWidth="1"/>
    <col min="12495" max="12499" width="9.28515625" style="1" bestFit="1" customWidth="1"/>
    <col min="12500" max="12500" width="10.42578125" style="1" bestFit="1" customWidth="1"/>
    <col min="12501" max="12501" width="9.140625" style="1"/>
    <col min="12502" max="12502" width="24.85546875" style="1" customWidth="1"/>
    <col min="12503" max="12503" width="9.140625" style="1"/>
    <col min="12504" max="12516" width="9.28515625" style="1" bestFit="1" customWidth="1"/>
    <col min="12517" max="12517" width="10.28515625" style="1" bestFit="1" customWidth="1"/>
    <col min="12518" max="12518" width="9.5703125" style="1" bestFit="1" customWidth="1"/>
    <col min="12519" max="12519" width="18.5703125" style="1" customWidth="1"/>
    <col min="12520" max="12521" width="9.140625" style="1"/>
    <col min="12522" max="12524" width="12.140625" style="1" bestFit="1" customWidth="1"/>
    <col min="12525" max="12533" width="10.28515625" style="1" bestFit="1" customWidth="1"/>
    <col min="12534" max="12534" width="11.28515625" style="1" bestFit="1" customWidth="1"/>
    <col min="12535" max="12535" width="9.140625" style="1"/>
    <col min="12536" max="12536" width="19" style="1" customWidth="1"/>
    <col min="12537" max="12553" width="9.140625" style="1"/>
    <col min="12554" max="12564" width="11.28515625" style="1" bestFit="1" customWidth="1"/>
    <col min="12565" max="12565" width="10.28515625" style="1" bestFit="1" customWidth="1"/>
    <col min="12566" max="12566" width="12.85546875" style="1" bestFit="1" customWidth="1"/>
    <col min="12567" max="12689" width="9.140625" style="1"/>
    <col min="12690" max="12690" width="11" style="1" bestFit="1" customWidth="1"/>
    <col min="12691" max="12691" width="28.140625" style="1" bestFit="1" customWidth="1"/>
    <col min="12692" max="12692" width="14" style="1" bestFit="1" customWidth="1"/>
    <col min="12693" max="12693" width="9.140625" style="1"/>
    <col min="12694" max="12694" width="13.85546875" style="1" bestFit="1" customWidth="1"/>
    <col min="12695" max="12695" width="9.140625" style="1"/>
    <col min="12696" max="12696" width="14" style="1" customWidth="1"/>
    <col min="12697" max="12697" width="9.140625" style="1"/>
    <col min="12698" max="12698" width="12.85546875" style="1" bestFit="1" customWidth="1"/>
    <col min="12699" max="12699" width="10" style="1" customWidth="1"/>
    <col min="12700" max="12700" width="14" style="1" bestFit="1" customWidth="1"/>
    <col min="12701" max="12701" width="9.85546875" style="1" bestFit="1" customWidth="1"/>
    <col min="12702" max="12702" width="13.5703125" style="1" bestFit="1" customWidth="1"/>
    <col min="12703" max="12703" width="9.85546875" style="1" bestFit="1" customWidth="1"/>
    <col min="12704" max="12704" width="12.85546875" style="1" bestFit="1" customWidth="1"/>
    <col min="12705" max="12716" width="10.5703125" style="1" customWidth="1"/>
    <col min="12717" max="12717" width="11.140625" style="1" bestFit="1" customWidth="1"/>
    <col min="12718" max="12718" width="2.7109375" style="1" customWidth="1"/>
    <col min="12719" max="12719" width="9.85546875" style="1" bestFit="1" customWidth="1"/>
    <col min="12720" max="12721" width="9.140625" style="1"/>
    <col min="12722" max="12722" width="24" style="1" customWidth="1"/>
    <col min="12723" max="12725" width="9.140625" style="1"/>
    <col min="12726" max="12726" width="9" style="1" bestFit="1" customWidth="1"/>
    <col min="12727" max="12736" width="9.28515625" style="1" bestFit="1" customWidth="1"/>
    <col min="12737" max="12737" width="10.28515625" style="1" bestFit="1" customWidth="1"/>
    <col min="12738" max="12738" width="11.28515625" style="1" bestFit="1" customWidth="1"/>
    <col min="12739" max="12739" width="11.7109375" style="1" customWidth="1"/>
    <col min="12740" max="12740" width="9.140625" style="1"/>
    <col min="12741" max="12741" width="22.28515625" style="1" customWidth="1"/>
    <col min="12742" max="12742" width="9.140625" style="1"/>
    <col min="12743" max="12743" width="9.28515625" style="1" bestFit="1" customWidth="1"/>
    <col min="12744" max="12744" width="9.42578125" style="1" bestFit="1" customWidth="1"/>
    <col min="12745" max="12745" width="9.28515625" style="1" bestFit="1" customWidth="1"/>
    <col min="12746" max="12746" width="10.28515625" style="1" bestFit="1" customWidth="1"/>
    <col min="12747" max="12748" width="9.28515625" style="1" bestFit="1" customWidth="1"/>
    <col min="12749" max="12750" width="10.28515625" style="1" bestFit="1" customWidth="1"/>
    <col min="12751" max="12755" width="9.28515625" style="1" bestFit="1" customWidth="1"/>
    <col min="12756" max="12756" width="10.42578125" style="1" bestFit="1" customWidth="1"/>
    <col min="12757" max="12757" width="9.140625" style="1"/>
    <col min="12758" max="12758" width="24.85546875" style="1" customWidth="1"/>
    <col min="12759" max="12759" width="9.140625" style="1"/>
    <col min="12760" max="12772" width="9.28515625" style="1" bestFit="1" customWidth="1"/>
    <col min="12773" max="12773" width="10.28515625" style="1" bestFit="1" customWidth="1"/>
    <col min="12774" max="12774" width="9.5703125" style="1" bestFit="1" customWidth="1"/>
    <col min="12775" max="12775" width="18.5703125" style="1" customWidth="1"/>
    <col min="12776" max="12777" width="9.140625" style="1"/>
    <col min="12778" max="12780" width="12.140625" style="1" bestFit="1" customWidth="1"/>
    <col min="12781" max="12789" width="10.28515625" style="1" bestFit="1" customWidth="1"/>
    <col min="12790" max="12790" width="11.28515625" style="1" bestFit="1" customWidth="1"/>
    <col min="12791" max="12791" width="9.140625" style="1"/>
    <col min="12792" max="12792" width="19" style="1" customWidth="1"/>
    <col min="12793" max="12809" width="9.140625" style="1"/>
    <col min="12810" max="12820" width="11.28515625" style="1" bestFit="1" customWidth="1"/>
    <col min="12821" max="12821" width="10.28515625" style="1" bestFit="1" customWidth="1"/>
    <col min="12822" max="12822" width="12.85546875" style="1" bestFit="1" customWidth="1"/>
    <col min="12823" max="12945" width="9.140625" style="1"/>
    <col min="12946" max="12946" width="11" style="1" bestFit="1" customWidth="1"/>
    <col min="12947" max="12947" width="28.140625" style="1" bestFit="1" customWidth="1"/>
    <col min="12948" max="12948" width="14" style="1" bestFit="1" customWidth="1"/>
    <col min="12949" max="12949" width="9.140625" style="1"/>
    <col min="12950" max="12950" width="13.85546875" style="1" bestFit="1" customWidth="1"/>
    <col min="12951" max="12951" width="9.140625" style="1"/>
    <col min="12952" max="12952" width="14" style="1" customWidth="1"/>
    <col min="12953" max="12953" width="9.140625" style="1"/>
    <col min="12954" max="12954" width="12.85546875" style="1" bestFit="1" customWidth="1"/>
    <col min="12955" max="12955" width="10" style="1" customWidth="1"/>
    <col min="12956" max="12956" width="14" style="1" bestFit="1" customWidth="1"/>
    <col min="12957" max="12957" width="9.85546875" style="1" bestFit="1" customWidth="1"/>
    <col min="12958" max="12958" width="13.5703125" style="1" bestFit="1" customWidth="1"/>
    <col min="12959" max="12959" width="9.85546875" style="1" bestFit="1" customWidth="1"/>
    <col min="12960" max="12960" width="12.85546875" style="1" bestFit="1" customWidth="1"/>
    <col min="12961" max="12972" width="10.5703125" style="1" customWidth="1"/>
    <col min="12973" max="12973" width="11.140625" style="1" bestFit="1" customWidth="1"/>
    <col min="12974" max="12974" width="2.7109375" style="1" customWidth="1"/>
    <col min="12975" max="12975" width="9.85546875" style="1" bestFit="1" customWidth="1"/>
    <col min="12976" max="12977" width="9.140625" style="1"/>
    <col min="12978" max="12978" width="24" style="1" customWidth="1"/>
    <col min="12979" max="12981" width="9.140625" style="1"/>
    <col min="12982" max="12982" width="9" style="1" bestFit="1" customWidth="1"/>
    <col min="12983" max="12992" width="9.28515625" style="1" bestFit="1" customWidth="1"/>
    <col min="12993" max="12993" width="10.28515625" style="1" bestFit="1" customWidth="1"/>
    <col min="12994" max="12994" width="11.28515625" style="1" bestFit="1" customWidth="1"/>
    <col min="12995" max="12995" width="11.7109375" style="1" customWidth="1"/>
    <col min="12996" max="12996" width="9.140625" style="1"/>
    <col min="12997" max="12997" width="22.28515625" style="1" customWidth="1"/>
    <col min="12998" max="12998" width="9.140625" style="1"/>
    <col min="12999" max="12999" width="9.28515625" style="1" bestFit="1" customWidth="1"/>
    <col min="13000" max="13000" width="9.42578125" style="1" bestFit="1" customWidth="1"/>
    <col min="13001" max="13001" width="9.28515625" style="1" bestFit="1" customWidth="1"/>
    <col min="13002" max="13002" width="10.28515625" style="1" bestFit="1" customWidth="1"/>
    <col min="13003" max="13004" width="9.28515625" style="1" bestFit="1" customWidth="1"/>
    <col min="13005" max="13006" width="10.28515625" style="1" bestFit="1" customWidth="1"/>
    <col min="13007" max="13011" width="9.28515625" style="1" bestFit="1" customWidth="1"/>
    <col min="13012" max="13012" width="10.42578125" style="1" bestFit="1" customWidth="1"/>
    <col min="13013" max="13013" width="9.140625" style="1"/>
    <col min="13014" max="13014" width="24.85546875" style="1" customWidth="1"/>
    <col min="13015" max="13015" width="9.140625" style="1"/>
    <col min="13016" max="13028" width="9.28515625" style="1" bestFit="1" customWidth="1"/>
    <col min="13029" max="13029" width="10.28515625" style="1" bestFit="1" customWidth="1"/>
    <col min="13030" max="13030" width="9.5703125" style="1" bestFit="1" customWidth="1"/>
    <col min="13031" max="13031" width="18.5703125" style="1" customWidth="1"/>
    <col min="13032" max="13033" width="9.140625" style="1"/>
    <col min="13034" max="13036" width="12.140625" style="1" bestFit="1" customWidth="1"/>
    <col min="13037" max="13045" width="10.28515625" style="1" bestFit="1" customWidth="1"/>
    <col min="13046" max="13046" width="11.28515625" style="1" bestFit="1" customWidth="1"/>
    <col min="13047" max="13047" width="9.140625" style="1"/>
    <col min="13048" max="13048" width="19" style="1" customWidth="1"/>
    <col min="13049" max="13065" width="9.140625" style="1"/>
    <col min="13066" max="13076" width="11.28515625" style="1" bestFit="1" customWidth="1"/>
    <col min="13077" max="13077" width="10.28515625" style="1" bestFit="1" customWidth="1"/>
    <col min="13078" max="13078" width="12.85546875" style="1" bestFit="1" customWidth="1"/>
    <col min="13079" max="13201" width="9.140625" style="1"/>
    <col min="13202" max="13202" width="11" style="1" bestFit="1" customWidth="1"/>
    <col min="13203" max="13203" width="28.140625" style="1" bestFit="1" customWidth="1"/>
    <col min="13204" max="13204" width="14" style="1" bestFit="1" customWidth="1"/>
    <col min="13205" max="13205" width="9.140625" style="1"/>
    <col min="13206" max="13206" width="13.85546875" style="1" bestFit="1" customWidth="1"/>
    <col min="13207" max="13207" width="9.140625" style="1"/>
    <col min="13208" max="13208" width="14" style="1" customWidth="1"/>
    <col min="13209" max="13209" width="9.140625" style="1"/>
    <col min="13210" max="13210" width="12.85546875" style="1" bestFit="1" customWidth="1"/>
    <col min="13211" max="13211" width="10" style="1" customWidth="1"/>
    <col min="13212" max="13212" width="14" style="1" bestFit="1" customWidth="1"/>
    <col min="13213" max="13213" width="9.85546875" style="1" bestFit="1" customWidth="1"/>
    <col min="13214" max="13214" width="13.5703125" style="1" bestFit="1" customWidth="1"/>
    <col min="13215" max="13215" width="9.85546875" style="1" bestFit="1" customWidth="1"/>
    <col min="13216" max="13216" width="12.85546875" style="1" bestFit="1" customWidth="1"/>
    <col min="13217" max="13228" width="10.5703125" style="1" customWidth="1"/>
    <col min="13229" max="13229" width="11.140625" style="1" bestFit="1" customWidth="1"/>
    <col min="13230" max="13230" width="2.7109375" style="1" customWidth="1"/>
    <col min="13231" max="13231" width="9.85546875" style="1" bestFit="1" customWidth="1"/>
    <col min="13232" max="13233" width="9.140625" style="1"/>
    <col min="13234" max="13234" width="24" style="1" customWidth="1"/>
    <col min="13235" max="13237" width="9.140625" style="1"/>
    <col min="13238" max="13238" width="9" style="1" bestFit="1" customWidth="1"/>
    <col min="13239" max="13248" width="9.28515625" style="1" bestFit="1" customWidth="1"/>
    <col min="13249" max="13249" width="10.28515625" style="1" bestFit="1" customWidth="1"/>
    <col min="13250" max="13250" width="11.28515625" style="1" bestFit="1" customWidth="1"/>
    <col min="13251" max="13251" width="11.7109375" style="1" customWidth="1"/>
    <col min="13252" max="13252" width="9.140625" style="1"/>
    <col min="13253" max="13253" width="22.28515625" style="1" customWidth="1"/>
    <col min="13254" max="13254" width="9.140625" style="1"/>
    <col min="13255" max="13255" width="9.28515625" style="1" bestFit="1" customWidth="1"/>
    <col min="13256" max="13256" width="9.42578125" style="1" bestFit="1" customWidth="1"/>
    <col min="13257" max="13257" width="9.28515625" style="1" bestFit="1" customWidth="1"/>
    <col min="13258" max="13258" width="10.28515625" style="1" bestFit="1" customWidth="1"/>
    <col min="13259" max="13260" width="9.28515625" style="1" bestFit="1" customWidth="1"/>
    <col min="13261" max="13262" width="10.28515625" style="1" bestFit="1" customWidth="1"/>
    <col min="13263" max="13267" width="9.28515625" style="1" bestFit="1" customWidth="1"/>
    <col min="13268" max="13268" width="10.42578125" style="1" bestFit="1" customWidth="1"/>
    <col min="13269" max="13269" width="9.140625" style="1"/>
    <col min="13270" max="13270" width="24.85546875" style="1" customWidth="1"/>
    <col min="13271" max="13271" width="9.140625" style="1"/>
    <col min="13272" max="13284" width="9.28515625" style="1" bestFit="1" customWidth="1"/>
    <col min="13285" max="13285" width="10.28515625" style="1" bestFit="1" customWidth="1"/>
    <col min="13286" max="13286" width="9.5703125" style="1" bestFit="1" customWidth="1"/>
    <col min="13287" max="13287" width="18.5703125" style="1" customWidth="1"/>
    <col min="13288" max="13289" width="9.140625" style="1"/>
    <col min="13290" max="13292" width="12.140625" style="1" bestFit="1" customWidth="1"/>
    <col min="13293" max="13301" width="10.28515625" style="1" bestFit="1" customWidth="1"/>
    <col min="13302" max="13302" width="11.28515625" style="1" bestFit="1" customWidth="1"/>
    <col min="13303" max="13303" width="9.140625" style="1"/>
    <col min="13304" max="13304" width="19" style="1" customWidth="1"/>
    <col min="13305" max="13321" width="9.140625" style="1"/>
    <col min="13322" max="13332" width="11.28515625" style="1" bestFit="1" customWidth="1"/>
    <col min="13333" max="13333" width="10.28515625" style="1" bestFit="1" customWidth="1"/>
    <col min="13334" max="13334" width="12.85546875" style="1" bestFit="1" customWidth="1"/>
    <col min="13335" max="13457" width="9.140625" style="1"/>
    <col min="13458" max="13458" width="11" style="1" bestFit="1" customWidth="1"/>
    <col min="13459" max="13459" width="28.140625" style="1" bestFit="1" customWidth="1"/>
    <col min="13460" max="13460" width="14" style="1" bestFit="1" customWidth="1"/>
    <col min="13461" max="13461" width="9.140625" style="1"/>
    <col min="13462" max="13462" width="13.85546875" style="1" bestFit="1" customWidth="1"/>
    <col min="13463" max="13463" width="9.140625" style="1"/>
    <col min="13464" max="13464" width="14" style="1" customWidth="1"/>
    <col min="13465" max="13465" width="9.140625" style="1"/>
    <col min="13466" max="13466" width="12.85546875" style="1" bestFit="1" customWidth="1"/>
    <col min="13467" max="13467" width="10" style="1" customWidth="1"/>
    <col min="13468" max="13468" width="14" style="1" bestFit="1" customWidth="1"/>
    <col min="13469" max="13469" width="9.85546875" style="1" bestFit="1" customWidth="1"/>
    <col min="13470" max="13470" width="13.5703125" style="1" bestFit="1" customWidth="1"/>
    <col min="13471" max="13471" width="9.85546875" style="1" bestFit="1" customWidth="1"/>
    <col min="13472" max="13472" width="12.85546875" style="1" bestFit="1" customWidth="1"/>
    <col min="13473" max="13484" width="10.5703125" style="1" customWidth="1"/>
    <col min="13485" max="13485" width="11.140625" style="1" bestFit="1" customWidth="1"/>
    <col min="13486" max="13486" width="2.7109375" style="1" customWidth="1"/>
    <col min="13487" max="13487" width="9.85546875" style="1" bestFit="1" customWidth="1"/>
    <col min="13488" max="13489" width="9.140625" style="1"/>
    <col min="13490" max="13490" width="24" style="1" customWidth="1"/>
    <col min="13491" max="13493" width="9.140625" style="1"/>
    <col min="13494" max="13494" width="9" style="1" bestFit="1" customWidth="1"/>
    <col min="13495" max="13504" width="9.28515625" style="1" bestFit="1" customWidth="1"/>
    <col min="13505" max="13505" width="10.28515625" style="1" bestFit="1" customWidth="1"/>
    <col min="13506" max="13506" width="11.28515625" style="1" bestFit="1" customWidth="1"/>
    <col min="13507" max="13507" width="11.7109375" style="1" customWidth="1"/>
    <col min="13508" max="13508" width="9.140625" style="1"/>
    <col min="13509" max="13509" width="22.28515625" style="1" customWidth="1"/>
    <col min="13510" max="13510" width="9.140625" style="1"/>
    <col min="13511" max="13511" width="9.28515625" style="1" bestFit="1" customWidth="1"/>
    <col min="13512" max="13512" width="9.42578125" style="1" bestFit="1" customWidth="1"/>
    <col min="13513" max="13513" width="9.28515625" style="1" bestFit="1" customWidth="1"/>
    <col min="13514" max="13514" width="10.28515625" style="1" bestFit="1" customWidth="1"/>
    <col min="13515" max="13516" width="9.28515625" style="1" bestFit="1" customWidth="1"/>
    <col min="13517" max="13518" width="10.28515625" style="1" bestFit="1" customWidth="1"/>
    <col min="13519" max="13523" width="9.28515625" style="1" bestFit="1" customWidth="1"/>
    <col min="13524" max="13524" width="10.42578125" style="1" bestFit="1" customWidth="1"/>
    <col min="13525" max="13525" width="9.140625" style="1"/>
    <col min="13526" max="13526" width="24.85546875" style="1" customWidth="1"/>
    <col min="13527" max="13527" width="9.140625" style="1"/>
    <col min="13528" max="13540" width="9.28515625" style="1" bestFit="1" customWidth="1"/>
    <col min="13541" max="13541" width="10.28515625" style="1" bestFit="1" customWidth="1"/>
    <col min="13542" max="13542" width="9.5703125" style="1" bestFit="1" customWidth="1"/>
    <col min="13543" max="13543" width="18.5703125" style="1" customWidth="1"/>
    <col min="13544" max="13545" width="9.140625" style="1"/>
    <col min="13546" max="13548" width="12.140625" style="1" bestFit="1" customWidth="1"/>
    <col min="13549" max="13557" width="10.28515625" style="1" bestFit="1" customWidth="1"/>
    <col min="13558" max="13558" width="11.28515625" style="1" bestFit="1" customWidth="1"/>
    <col min="13559" max="13559" width="9.140625" style="1"/>
    <col min="13560" max="13560" width="19" style="1" customWidth="1"/>
    <col min="13561" max="13577" width="9.140625" style="1"/>
    <col min="13578" max="13588" width="11.28515625" style="1" bestFit="1" customWidth="1"/>
    <col min="13589" max="13589" width="10.28515625" style="1" bestFit="1" customWidth="1"/>
    <col min="13590" max="13590" width="12.85546875" style="1" bestFit="1" customWidth="1"/>
    <col min="13591" max="13713" width="9.140625" style="1"/>
    <col min="13714" max="13714" width="11" style="1" bestFit="1" customWidth="1"/>
    <col min="13715" max="13715" width="28.140625" style="1" bestFit="1" customWidth="1"/>
    <col min="13716" max="13716" width="14" style="1" bestFit="1" customWidth="1"/>
    <col min="13717" max="13717" width="9.140625" style="1"/>
    <col min="13718" max="13718" width="13.85546875" style="1" bestFit="1" customWidth="1"/>
    <col min="13719" max="13719" width="9.140625" style="1"/>
    <col min="13720" max="13720" width="14" style="1" customWidth="1"/>
    <col min="13721" max="13721" width="9.140625" style="1"/>
    <col min="13722" max="13722" width="12.85546875" style="1" bestFit="1" customWidth="1"/>
    <col min="13723" max="13723" width="10" style="1" customWidth="1"/>
    <col min="13724" max="13724" width="14" style="1" bestFit="1" customWidth="1"/>
    <col min="13725" max="13725" width="9.85546875" style="1" bestFit="1" customWidth="1"/>
    <col min="13726" max="13726" width="13.5703125" style="1" bestFit="1" customWidth="1"/>
    <col min="13727" max="13727" width="9.85546875" style="1" bestFit="1" customWidth="1"/>
    <col min="13728" max="13728" width="12.85546875" style="1" bestFit="1" customWidth="1"/>
    <col min="13729" max="13740" width="10.5703125" style="1" customWidth="1"/>
    <col min="13741" max="13741" width="11.140625" style="1" bestFit="1" customWidth="1"/>
    <col min="13742" max="13742" width="2.7109375" style="1" customWidth="1"/>
    <col min="13743" max="13743" width="9.85546875" style="1" bestFit="1" customWidth="1"/>
    <col min="13744" max="13745" width="9.140625" style="1"/>
    <col min="13746" max="13746" width="24" style="1" customWidth="1"/>
    <col min="13747" max="13749" width="9.140625" style="1"/>
    <col min="13750" max="13750" width="9" style="1" bestFit="1" customWidth="1"/>
    <col min="13751" max="13760" width="9.28515625" style="1" bestFit="1" customWidth="1"/>
    <col min="13761" max="13761" width="10.28515625" style="1" bestFit="1" customWidth="1"/>
    <col min="13762" max="13762" width="11.28515625" style="1" bestFit="1" customWidth="1"/>
    <col min="13763" max="13763" width="11.7109375" style="1" customWidth="1"/>
    <col min="13764" max="13764" width="9.140625" style="1"/>
    <col min="13765" max="13765" width="22.28515625" style="1" customWidth="1"/>
    <col min="13766" max="13766" width="9.140625" style="1"/>
    <col min="13767" max="13767" width="9.28515625" style="1" bestFit="1" customWidth="1"/>
    <col min="13768" max="13768" width="9.42578125" style="1" bestFit="1" customWidth="1"/>
    <col min="13769" max="13769" width="9.28515625" style="1" bestFit="1" customWidth="1"/>
    <col min="13770" max="13770" width="10.28515625" style="1" bestFit="1" customWidth="1"/>
    <col min="13771" max="13772" width="9.28515625" style="1" bestFit="1" customWidth="1"/>
    <col min="13773" max="13774" width="10.28515625" style="1" bestFit="1" customWidth="1"/>
    <col min="13775" max="13779" width="9.28515625" style="1" bestFit="1" customWidth="1"/>
    <col min="13780" max="13780" width="10.42578125" style="1" bestFit="1" customWidth="1"/>
    <col min="13781" max="13781" width="9.140625" style="1"/>
    <col min="13782" max="13782" width="24.85546875" style="1" customWidth="1"/>
    <col min="13783" max="13783" width="9.140625" style="1"/>
    <col min="13784" max="13796" width="9.28515625" style="1" bestFit="1" customWidth="1"/>
    <col min="13797" max="13797" width="10.28515625" style="1" bestFit="1" customWidth="1"/>
    <col min="13798" max="13798" width="9.5703125" style="1" bestFit="1" customWidth="1"/>
    <col min="13799" max="13799" width="18.5703125" style="1" customWidth="1"/>
    <col min="13800" max="13801" width="9.140625" style="1"/>
    <col min="13802" max="13804" width="12.140625" style="1" bestFit="1" customWidth="1"/>
    <col min="13805" max="13813" width="10.28515625" style="1" bestFit="1" customWidth="1"/>
    <col min="13814" max="13814" width="11.28515625" style="1" bestFit="1" customWidth="1"/>
    <col min="13815" max="13815" width="9.140625" style="1"/>
    <col min="13816" max="13816" width="19" style="1" customWidth="1"/>
    <col min="13817" max="13833" width="9.140625" style="1"/>
    <col min="13834" max="13844" width="11.28515625" style="1" bestFit="1" customWidth="1"/>
    <col min="13845" max="13845" width="10.28515625" style="1" bestFit="1" customWidth="1"/>
    <col min="13846" max="13846" width="12.85546875" style="1" bestFit="1" customWidth="1"/>
    <col min="13847" max="13969" width="9.140625" style="1"/>
    <col min="13970" max="13970" width="11" style="1" bestFit="1" customWidth="1"/>
    <col min="13971" max="13971" width="28.140625" style="1" bestFit="1" customWidth="1"/>
    <col min="13972" max="13972" width="14" style="1" bestFit="1" customWidth="1"/>
    <col min="13973" max="13973" width="9.140625" style="1"/>
    <col min="13974" max="13974" width="13.85546875" style="1" bestFit="1" customWidth="1"/>
    <col min="13975" max="13975" width="9.140625" style="1"/>
    <col min="13976" max="13976" width="14" style="1" customWidth="1"/>
    <col min="13977" max="13977" width="9.140625" style="1"/>
    <col min="13978" max="13978" width="12.85546875" style="1" bestFit="1" customWidth="1"/>
    <col min="13979" max="13979" width="10" style="1" customWidth="1"/>
    <col min="13980" max="13980" width="14" style="1" bestFit="1" customWidth="1"/>
    <col min="13981" max="13981" width="9.85546875" style="1" bestFit="1" customWidth="1"/>
    <col min="13982" max="13982" width="13.5703125" style="1" bestFit="1" customWidth="1"/>
    <col min="13983" max="13983" width="9.85546875" style="1" bestFit="1" customWidth="1"/>
    <col min="13984" max="13984" width="12.85546875" style="1" bestFit="1" customWidth="1"/>
    <col min="13985" max="13996" width="10.5703125" style="1" customWidth="1"/>
    <col min="13997" max="13997" width="11.140625" style="1" bestFit="1" customWidth="1"/>
    <col min="13998" max="13998" width="2.7109375" style="1" customWidth="1"/>
    <col min="13999" max="13999" width="9.85546875" style="1" bestFit="1" customWidth="1"/>
    <col min="14000" max="14001" width="9.140625" style="1"/>
    <col min="14002" max="14002" width="24" style="1" customWidth="1"/>
    <col min="14003" max="14005" width="9.140625" style="1"/>
    <col min="14006" max="14006" width="9" style="1" bestFit="1" customWidth="1"/>
    <col min="14007" max="14016" width="9.28515625" style="1" bestFit="1" customWidth="1"/>
    <col min="14017" max="14017" width="10.28515625" style="1" bestFit="1" customWidth="1"/>
    <col min="14018" max="14018" width="11.28515625" style="1" bestFit="1" customWidth="1"/>
    <col min="14019" max="14019" width="11.7109375" style="1" customWidth="1"/>
    <col min="14020" max="14020" width="9.140625" style="1"/>
    <col min="14021" max="14021" width="22.28515625" style="1" customWidth="1"/>
    <col min="14022" max="14022" width="9.140625" style="1"/>
    <col min="14023" max="14023" width="9.28515625" style="1" bestFit="1" customWidth="1"/>
    <col min="14024" max="14024" width="9.42578125" style="1" bestFit="1" customWidth="1"/>
    <col min="14025" max="14025" width="9.28515625" style="1" bestFit="1" customWidth="1"/>
    <col min="14026" max="14026" width="10.28515625" style="1" bestFit="1" customWidth="1"/>
    <col min="14027" max="14028" width="9.28515625" style="1" bestFit="1" customWidth="1"/>
    <col min="14029" max="14030" width="10.28515625" style="1" bestFit="1" customWidth="1"/>
    <col min="14031" max="14035" width="9.28515625" style="1" bestFit="1" customWidth="1"/>
    <col min="14036" max="14036" width="10.42578125" style="1" bestFit="1" customWidth="1"/>
    <col min="14037" max="14037" width="9.140625" style="1"/>
    <col min="14038" max="14038" width="24.85546875" style="1" customWidth="1"/>
    <col min="14039" max="14039" width="9.140625" style="1"/>
    <col min="14040" max="14052" width="9.28515625" style="1" bestFit="1" customWidth="1"/>
    <col min="14053" max="14053" width="10.28515625" style="1" bestFit="1" customWidth="1"/>
    <col min="14054" max="14054" width="9.5703125" style="1" bestFit="1" customWidth="1"/>
    <col min="14055" max="14055" width="18.5703125" style="1" customWidth="1"/>
    <col min="14056" max="14057" width="9.140625" style="1"/>
    <col min="14058" max="14060" width="12.140625" style="1" bestFit="1" customWidth="1"/>
    <col min="14061" max="14069" width="10.28515625" style="1" bestFit="1" customWidth="1"/>
    <col min="14070" max="14070" width="11.28515625" style="1" bestFit="1" customWidth="1"/>
    <col min="14071" max="14071" width="9.140625" style="1"/>
    <col min="14072" max="14072" width="19" style="1" customWidth="1"/>
    <col min="14073" max="14089" width="9.140625" style="1"/>
    <col min="14090" max="14100" width="11.28515625" style="1" bestFit="1" customWidth="1"/>
    <col min="14101" max="14101" width="10.28515625" style="1" bestFit="1" customWidth="1"/>
    <col min="14102" max="14102" width="12.85546875" style="1" bestFit="1" customWidth="1"/>
    <col min="14103" max="14225" width="9.140625" style="1"/>
    <col min="14226" max="14226" width="11" style="1" bestFit="1" customWidth="1"/>
    <col min="14227" max="14227" width="28.140625" style="1" bestFit="1" customWidth="1"/>
    <col min="14228" max="14228" width="14" style="1" bestFit="1" customWidth="1"/>
    <col min="14229" max="14229" width="9.140625" style="1"/>
    <col min="14230" max="14230" width="13.85546875" style="1" bestFit="1" customWidth="1"/>
    <col min="14231" max="14231" width="9.140625" style="1"/>
    <col min="14232" max="14232" width="14" style="1" customWidth="1"/>
    <col min="14233" max="14233" width="9.140625" style="1"/>
    <col min="14234" max="14234" width="12.85546875" style="1" bestFit="1" customWidth="1"/>
    <col min="14235" max="14235" width="10" style="1" customWidth="1"/>
    <col min="14236" max="14236" width="14" style="1" bestFit="1" customWidth="1"/>
    <col min="14237" max="14237" width="9.85546875" style="1" bestFit="1" customWidth="1"/>
    <col min="14238" max="14238" width="13.5703125" style="1" bestFit="1" customWidth="1"/>
    <col min="14239" max="14239" width="9.85546875" style="1" bestFit="1" customWidth="1"/>
    <col min="14240" max="14240" width="12.85546875" style="1" bestFit="1" customWidth="1"/>
    <col min="14241" max="14252" width="10.5703125" style="1" customWidth="1"/>
    <col min="14253" max="14253" width="11.140625" style="1" bestFit="1" customWidth="1"/>
    <col min="14254" max="14254" width="2.7109375" style="1" customWidth="1"/>
    <col min="14255" max="14255" width="9.85546875" style="1" bestFit="1" customWidth="1"/>
    <col min="14256" max="14257" width="9.140625" style="1"/>
    <col min="14258" max="14258" width="24" style="1" customWidth="1"/>
    <col min="14259" max="14261" width="9.140625" style="1"/>
    <col min="14262" max="14262" width="9" style="1" bestFit="1" customWidth="1"/>
    <col min="14263" max="14272" width="9.28515625" style="1" bestFit="1" customWidth="1"/>
    <col min="14273" max="14273" width="10.28515625" style="1" bestFit="1" customWidth="1"/>
    <col min="14274" max="14274" width="11.28515625" style="1" bestFit="1" customWidth="1"/>
    <col min="14275" max="14275" width="11.7109375" style="1" customWidth="1"/>
    <col min="14276" max="14276" width="9.140625" style="1"/>
    <col min="14277" max="14277" width="22.28515625" style="1" customWidth="1"/>
    <col min="14278" max="14278" width="9.140625" style="1"/>
    <col min="14279" max="14279" width="9.28515625" style="1" bestFit="1" customWidth="1"/>
    <col min="14280" max="14280" width="9.42578125" style="1" bestFit="1" customWidth="1"/>
    <col min="14281" max="14281" width="9.28515625" style="1" bestFit="1" customWidth="1"/>
    <col min="14282" max="14282" width="10.28515625" style="1" bestFit="1" customWidth="1"/>
    <col min="14283" max="14284" width="9.28515625" style="1" bestFit="1" customWidth="1"/>
    <col min="14285" max="14286" width="10.28515625" style="1" bestFit="1" customWidth="1"/>
    <col min="14287" max="14291" width="9.28515625" style="1" bestFit="1" customWidth="1"/>
    <col min="14292" max="14292" width="10.42578125" style="1" bestFit="1" customWidth="1"/>
    <col min="14293" max="14293" width="9.140625" style="1"/>
    <col min="14294" max="14294" width="24.85546875" style="1" customWidth="1"/>
    <col min="14295" max="14295" width="9.140625" style="1"/>
    <col min="14296" max="14308" width="9.28515625" style="1" bestFit="1" customWidth="1"/>
    <col min="14309" max="14309" width="10.28515625" style="1" bestFit="1" customWidth="1"/>
    <col min="14310" max="14310" width="9.5703125" style="1" bestFit="1" customWidth="1"/>
    <col min="14311" max="14311" width="18.5703125" style="1" customWidth="1"/>
    <col min="14312" max="14313" width="9.140625" style="1"/>
    <col min="14314" max="14316" width="12.140625" style="1" bestFit="1" customWidth="1"/>
    <col min="14317" max="14325" width="10.28515625" style="1" bestFit="1" customWidth="1"/>
    <col min="14326" max="14326" width="11.28515625" style="1" bestFit="1" customWidth="1"/>
    <col min="14327" max="14327" width="9.140625" style="1"/>
    <col min="14328" max="14328" width="19" style="1" customWidth="1"/>
    <col min="14329" max="14345" width="9.140625" style="1"/>
    <col min="14346" max="14356" width="11.28515625" style="1" bestFit="1" customWidth="1"/>
    <col min="14357" max="14357" width="10.28515625" style="1" bestFit="1" customWidth="1"/>
    <col min="14358" max="14358" width="12.85546875" style="1" bestFit="1" customWidth="1"/>
    <col min="14359" max="14481" width="9.140625" style="1"/>
    <col min="14482" max="14482" width="11" style="1" bestFit="1" customWidth="1"/>
    <col min="14483" max="14483" width="28.140625" style="1" bestFit="1" customWidth="1"/>
    <col min="14484" max="14484" width="14" style="1" bestFit="1" customWidth="1"/>
    <col min="14485" max="14485" width="9.140625" style="1"/>
    <col min="14486" max="14486" width="13.85546875" style="1" bestFit="1" customWidth="1"/>
    <col min="14487" max="14487" width="9.140625" style="1"/>
    <col min="14488" max="14488" width="14" style="1" customWidth="1"/>
    <col min="14489" max="14489" width="9.140625" style="1"/>
    <col min="14490" max="14490" width="12.85546875" style="1" bestFit="1" customWidth="1"/>
    <col min="14491" max="14491" width="10" style="1" customWidth="1"/>
    <col min="14492" max="14492" width="14" style="1" bestFit="1" customWidth="1"/>
    <col min="14493" max="14493" width="9.85546875" style="1" bestFit="1" customWidth="1"/>
    <col min="14494" max="14494" width="13.5703125" style="1" bestFit="1" customWidth="1"/>
    <col min="14495" max="14495" width="9.85546875" style="1" bestFit="1" customWidth="1"/>
    <col min="14496" max="14496" width="12.85546875" style="1" bestFit="1" customWidth="1"/>
    <col min="14497" max="14508" width="10.5703125" style="1" customWidth="1"/>
    <col min="14509" max="14509" width="11.140625" style="1" bestFit="1" customWidth="1"/>
    <col min="14510" max="14510" width="2.7109375" style="1" customWidth="1"/>
    <col min="14511" max="14511" width="9.85546875" style="1" bestFit="1" customWidth="1"/>
    <col min="14512" max="14513" width="9.140625" style="1"/>
    <col min="14514" max="14514" width="24" style="1" customWidth="1"/>
    <col min="14515" max="14517" width="9.140625" style="1"/>
    <col min="14518" max="14518" width="9" style="1" bestFit="1" customWidth="1"/>
    <col min="14519" max="14528" width="9.28515625" style="1" bestFit="1" customWidth="1"/>
    <col min="14529" max="14529" width="10.28515625" style="1" bestFit="1" customWidth="1"/>
    <col min="14530" max="14530" width="11.28515625" style="1" bestFit="1" customWidth="1"/>
    <col min="14531" max="14531" width="11.7109375" style="1" customWidth="1"/>
    <col min="14532" max="14532" width="9.140625" style="1"/>
    <col min="14533" max="14533" width="22.28515625" style="1" customWidth="1"/>
    <col min="14534" max="14534" width="9.140625" style="1"/>
    <col min="14535" max="14535" width="9.28515625" style="1" bestFit="1" customWidth="1"/>
    <col min="14536" max="14536" width="9.42578125" style="1" bestFit="1" customWidth="1"/>
    <col min="14537" max="14537" width="9.28515625" style="1" bestFit="1" customWidth="1"/>
    <col min="14538" max="14538" width="10.28515625" style="1" bestFit="1" customWidth="1"/>
    <col min="14539" max="14540" width="9.28515625" style="1" bestFit="1" customWidth="1"/>
    <col min="14541" max="14542" width="10.28515625" style="1" bestFit="1" customWidth="1"/>
    <col min="14543" max="14547" width="9.28515625" style="1" bestFit="1" customWidth="1"/>
    <col min="14548" max="14548" width="10.42578125" style="1" bestFit="1" customWidth="1"/>
    <col min="14549" max="14549" width="9.140625" style="1"/>
    <col min="14550" max="14550" width="24.85546875" style="1" customWidth="1"/>
    <col min="14551" max="14551" width="9.140625" style="1"/>
    <col min="14552" max="14564" width="9.28515625" style="1" bestFit="1" customWidth="1"/>
    <col min="14565" max="14565" width="10.28515625" style="1" bestFit="1" customWidth="1"/>
    <col min="14566" max="14566" width="9.5703125" style="1" bestFit="1" customWidth="1"/>
    <col min="14567" max="14567" width="18.5703125" style="1" customWidth="1"/>
    <col min="14568" max="14569" width="9.140625" style="1"/>
    <col min="14570" max="14572" width="12.140625" style="1" bestFit="1" customWidth="1"/>
    <col min="14573" max="14581" width="10.28515625" style="1" bestFit="1" customWidth="1"/>
    <col min="14582" max="14582" width="11.28515625" style="1" bestFit="1" customWidth="1"/>
    <col min="14583" max="14583" width="9.140625" style="1"/>
    <col min="14584" max="14584" width="19" style="1" customWidth="1"/>
    <col min="14585" max="14601" width="9.140625" style="1"/>
    <col min="14602" max="14612" width="11.28515625" style="1" bestFit="1" customWidth="1"/>
    <col min="14613" max="14613" width="10.28515625" style="1" bestFit="1" customWidth="1"/>
    <col min="14614" max="14614" width="12.85546875" style="1" bestFit="1" customWidth="1"/>
    <col min="14615" max="14737" width="9.140625" style="1"/>
    <col min="14738" max="14738" width="11" style="1" bestFit="1" customWidth="1"/>
    <col min="14739" max="14739" width="28.140625" style="1" bestFit="1" customWidth="1"/>
    <col min="14740" max="14740" width="14" style="1" bestFit="1" customWidth="1"/>
    <col min="14741" max="14741" width="9.140625" style="1"/>
    <col min="14742" max="14742" width="13.85546875" style="1" bestFit="1" customWidth="1"/>
    <col min="14743" max="14743" width="9.140625" style="1"/>
    <col min="14744" max="14744" width="14" style="1" customWidth="1"/>
    <col min="14745" max="14745" width="9.140625" style="1"/>
    <col min="14746" max="14746" width="12.85546875" style="1" bestFit="1" customWidth="1"/>
    <col min="14747" max="14747" width="10" style="1" customWidth="1"/>
    <col min="14748" max="14748" width="14" style="1" bestFit="1" customWidth="1"/>
    <col min="14749" max="14749" width="9.85546875" style="1" bestFit="1" customWidth="1"/>
    <col min="14750" max="14750" width="13.5703125" style="1" bestFit="1" customWidth="1"/>
    <col min="14751" max="14751" width="9.85546875" style="1" bestFit="1" customWidth="1"/>
    <col min="14752" max="14752" width="12.85546875" style="1" bestFit="1" customWidth="1"/>
    <col min="14753" max="14764" width="10.5703125" style="1" customWidth="1"/>
    <col min="14765" max="14765" width="11.140625" style="1" bestFit="1" customWidth="1"/>
    <col min="14766" max="14766" width="2.7109375" style="1" customWidth="1"/>
    <col min="14767" max="14767" width="9.85546875" style="1" bestFit="1" customWidth="1"/>
    <col min="14768" max="14769" width="9.140625" style="1"/>
    <col min="14770" max="14770" width="24" style="1" customWidth="1"/>
    <col min="14771" max="14773" width="9.140625" style="1"/>
    <col min="14774" max="14774" width="9" style="1" bestFit="1" customWidth="1"/>
    <col min="14775" max="14784" width="9.28515625" style="1" bestFit="1" customWidth="1"/>
    <col min="14785" max="14785" width="10.28515625" style="1" bestFit="1" customWidth="1"/>
    <col min="14786" max="14786" width="11.28515625" style="1" bestFit="1" customWidth="1"/>
    <col min="14787" max="14787" width="11.7109375" style="1" customWidth="1"/>
    <col min="14788" max="14788" width="9.140625" style="1"/>
    <col min="14789" max="14789" width="22.28515625" style="1" customWidth="1"/>
    <col min="14790" max="14790" width="9.140625" style="1"/>
    <col min="14791" max="14791" width="9.28515625" style="1" bestFit="1" customWidth="1"/>
    <col min="14792" max="14792" width="9.42578125" style="1" bestFit="1" customWidth="1"/>
    <col min="14793" max="14793" width="9.28515625" style="1" bestFit="1" customWidth="1"/>
    <col min="14794" max="14794" width="10.28515625" style="1" bestFit="1" customWidth="1"/>
    <col min="14795" max="14796" width="9.28515625" style="1" bestFit="1" customWidth="1"/>
    <col min="14797" max="14798" width="10.28515625" style="1" bestFit="1" customWidth="1"/>
    <col min="14799" max="14803" width="9.28515625" style="1" bestFit="1" customWidth="1"/>
    <col min="14804" max="14804" width="10.42578125" style="1" bestFit="1" customWidth="1"/>
    <col min="14805" max="14805" width="9.140625" style="1"/>
    <col min="14806" max="14806" width="24.85546875" style="1" customWidth="1"/>
    <col min="14807" max="14807" width="9.140625" style="1"/>
    <col min="14808" max="14820" width="9.28515625" style="1" bestFit="1" customWidth="1"/>
    <col min="14821" max="14821" width="10.28515625" style="1" bestFit="1" customWidth="1"/>
    <col min="14822" max="14822" width="9.5703125" style="1" bestFit="1" customWidth="1"/>
    <col min="14823" max="14823" width="18.5703125" style="1" customWidth="1"/>
    <col min="14824" max="14825" width="9.140625" style="1"/>
    <col min="14826" max="14828" width="12.140625" style="1" bestFit="1" customWidth="1"/>
    <col min="14829" max="14837" width="10.28515625" style="1" bestFit="1" customWidth="1"/>
    <col min="14838" max="14838" width="11.28515625" style="1" bestFit="1" customWidth="1"/>
    <col min="14839" max="14839" width="9.140625" style="1"/>
    <col min="14840" max="14840" width="19" style="1" customWidth="1"/>
    <col min="14841" max="14857" width="9.140625" style="1"/>
    <col min="14858" max="14868" width="11.28515625" style="1" bestFit="1" customWidth="1"/>
    <col min="14869" max="14869" width="10.28515625" style="1" bestFit="1" customWidth="1"/>
    <col min="14870" max="14870" width="12.85546875" style="1" bestFit="1" customWidth="1"/>
    <col min="14871" max="14993" width="9.140625" style="1"/>
    <col min="14994" max="14994" width="11" style="1" bestFit="1" customWidth="1"/>
    <col min="14995" max="14995" width="28.140625" style="1" bestFit="1" customWidth="1"/>
    <col min="14996" max="14996" width="14" style="1" bestFit="1" customWidth="1"/>
    <col min="14997" max="14997" width="9.140625" style="1"/>
    <col min="14998" max="14998" width="13.85546875" style="1" bestFit="1" customWidth="1"/>
    <col min="14999" max="14999" width="9.140625" style="1"/>
    <col min="15000" max="15000" width="14" style="1" customWidth="1"/>
    <col min="15001" max="15001" width="9.140625" style="1"/>
    <col min="15002" max="15002" width="12.85546875" style="1" bestFit="1" customWidth="1"/>
    <col min="15003" max="15003" width="10" style="1" customWidth="1"/>
    <col min="15004" max="15004" width="14" style="1" bestFit="1" customWidth="1"/>
    <col min="15005" max="15005" width="9.85546875" style="1" bestFit="1" customWidth="1"/>
    <col min="15006" max="15006" width="13.5703125" style="1" bestFit="1" customWidth="1"/>
    <col min="15007" max="15007" width="9.85546875" style="1" bestFit="1" customWidth="1"/>
    <col min="15008" max="15008" width="12.85546875" style="1" bestFit="1" customWidth="1"/>
    <col min="15009" max="15020" width="10.5703125" style="1" customWidth="1"/>
    <col min="15021" max="15021" width="11.140625" style="1" bestFit="1" customWidth="1"/>
    <col min="15022" max="15022" width="2.7109375" style="1" customWidth="1"/>
    <col min="15023" max="15023" width="9.85546875" style="1" bestFit="1" customWidth="1"/>
    <col min="15024" max="15025" width="9.140625" style="1"/>
    <col min="15026" max="15026" width="24" style="1" customWidth="1"/>
    <col min="15027" max="15029" width="9.140625" style="1"/>
    <col min="15030" max="15030" width="9" style="1" bestFit="1" customWidth="1"/>
    <col min="15031" max="15040" width="9.28515625" style="1" bestFit="1" customWidth="1"/>
    <col min="15041" max="15041" width="10.28515625" style="1" bestFit="1" customWidth="1"/>
    <col min="15042" max="15042" width="11.28515625" style="1" bestFit="1" customWidth="1"/>
    <col min="15043" max="15043" width="11.7109375" style="1" customWidth="1"/>
    <col min="15044" max="15044" width="9.140625" style="1"/>
    <col min="15045" max="15045" width="22.28515625" style="1" customWidth="1"/>
    <col min="15046" max="15046" width="9.140625" style="1"/>
    <col min="15047" max="15047" width="9.28515625" style="1" bestFit="1" customWidth="1"/>
    <col min="15048" max="15048" width="9.42578125" style="1" bestFit="1" customWidth="1"/>
    <col min="15049" max="15049" width="9.28515625" style="1" bestFit="1" customWidth="1"/>
    <col min="15050" max="15050" width="10.28515625" style="1" bestFit="1" customWidth="1"/>
    <col min="15051" max="15052" width="9.28515625" style="1" bestFit="1" customWidth="1"/>
    <col min="15053" max="15054" width="10.28515625" style="1" bestFit="1" customWidth="1"/>
    <col min="15055" max="15059" width="9.28515625" style="1" bestFit="1" customWidth="1"/>
    <col min="15060" max="15060" width="10.42578125" style="1" bestFit="1" customWidth="1"/>
    <col min="15061" max="15061" width="9.140625" style="1"/>
    <col min="15062" max="15062" width="24.85546875" style="1" customWidth="1"/>
    <col min="15063" max="15063" width="9.140625" style="1"/>
    <col min="15064" max="15076" width="9.28515625" style="1" bestFit="1" customWidth="1"/>
    <col min="15077" max="15077" width="10.28515625" style="1" bestFit="1" customWidth="1"/>
    <col min="15078" max="15078" width="9.5703125" style="1" bestFit="1" customWidth="1"/>
    <col min="15079" max="15079" width="18.5703125" style="1" customWidth="1"/>
    <col min="15080" max="15081" width="9.140625" style="1"/>
    <col min="15082" max="15084" width="12.140625" style="1" bestFit="1" customWidth="1"/>
    <col min="15085" max="15093" width="10.28515625" style="1" bestFit="1" customWidth="1"/>
    <col min="15094" max="15094" width="11.28515625" style="1" bestFit="1" customWidth="1"/>
    <col min="15095" max="15095" width="9.140625" style="1"/>
    <col min="15096" max="15096" width="19" style="1" customWidth="1"/>
    <col min="15097" max="15113" width="9.140625" style="1"/>
    <col min="15114" max="15124" width="11.28515625" style="1" bestFit="1" customWidth="1"/>
    <col min="15125" max="15125" width="10.28515625" style="1" bestFit="1" customWidth="1"/>
    <col min="15126" max="15126" width="12.85546875" style="1" bestFit="1" customWidth="1"/>
    <col min="15127" max="15249" width="9.140625" style="1"/>
    <col min="15250" max="15250" width="11" style="1" bestFit="1" customWidth="1"/>
    <col min="15251" max="15251" width="28.140625" style="1" bestFit="1" customWidth="1"/>
    <col min="15252" max="15252" width="14" style="1" bestFit="1" customWidth="1"/>
    <col min="15253" max="15253" width="9.140625" style="1"/>
    <col min="15254" max="15254" width="13.85546875" style="1" bestFit="1" customWidth="1"/>
    <col min="15255" max="15255" width="9.140625" style="1"/>
    <col min="15256" max="15256" width="14" style="1" customWidth="1"/>
    <col min="15257" max="15257" width="9.140625" style="1"/>
    <col min="15258" max="15258" width="12.85546875" style="1" bestFit="1" customWidth="1"/>
    <col min="15259" max="15259" width="10" style="1" customWidth="1"/>
    <col min="15260" max="15260" width="14" style="1" bestFit="1" customWidth="1"/>
    <col min="15261" max="15261" width="9.85546875" style="1" bestFit="1" customWidth="1"/>
    <col min="15262" max="15262" width="13.5703125" style="1" bestFit="1" customWidth="1"/>
    <col min="15263" max="15263" width="9.85546875" style="1" bestFit="1" customWidth="1"/>
    <col min="15264" max="15264" width="12.85546875" style="1" bestFit="1" customWidth="1"/>
    <col min="15265" max="15276" width="10.5703125" style="1" customWidth="1"/>
    <col min="15277" max="15277" width="11.140625" style="1" bestFit="1" customWidth="1"/>
    <col min="15278" max="15278" width="2.7109375" style="1" customWidth="1"/>
    <col min="15279" max="15279" width="9.85546875" style="1" bestFit="1" customWidth="1"/>
    <col min="15280" max="15281" width="9.140625" style="1"/>
    <col min="15282" max="15282" width="24" style="1" customWidth="1"/>
    <col min="15283" max="15285" width="9.140625" style="1"/>
    <col min="15286" max="15286" width="9" style="1" bestFit="1" customWidth="1"/>
    <col min="15287" max="15296" width="9.28515625" style="1" bestFit="1" customWidth="1"/>
    <col min="15297" max="15297" width="10.28515625" style="1" bestFit="1" customWidth="1"/>
    <col min="15298" max="15298" width="11.28515625" style="1" bestFit="1" customWidth="1"/>
    <col min="15299" max="15299" width="11.7109375" style="1" customWidth="1"/>
    <col min="15300" max="15300" width="9.140625" style="1"/>
    <col min="15301" max="15301" width="22.28515625" style="1" customWidth="1"/>
    <col min="15302" max="15302" width="9.140625" style="1"/>
    <col min="15303" max="15303" width="9.28515625" style="1" bestFit="1" customWidth="1"/>
    <col min="15304" max="15304" width="9.42578125" style="1" bestFit="1" customWidth="1"/>
    <col min="15305" max="15305" width="9.28515625" style="1" bestFit="1" customWidth="1"/>
    <col min="15306" max="15306" width="10.28515625" style="1" bestFit="1" customWidth="1"/>
    <col min="15307" max="15308" width="9.28515625" style="1" bestFit="1" customWidth="1"/>
    <col min="15309" max="15310" width="10.28515625" style="1" bestFit="1" customWidth="1"/>
    <col min="15311" max="15315" width="9.28515625" style="1" bestFit="1" customWidth="1"/>
    <col min="15316" max="15316" width="10.42578125" style="1" bestFit="1" customWidth="1"/>
    <col min="15317" max="15317" width="9.140625" style="1"/>
    <col min="15318" max="15318" width="24.85546875" style="1" customWidth="1"/>
    <col min="15319" max="15319" width="9.140625" style="1"/>
    <col min="15320" max="15332" width="9.28515625" style="1" bestFit="1" customWidth="1"/>
    <col min="15333" max="15333" width="10.28515625" style="1" bestFit="1" customWidth="1"/>
    <col min="15334" max="15334" width="9.5703125" style="1" bestFit="1" customWidth="1"/>
    <col min="15335" max="15335" width="18.5703125" style="1" customWidth="1"/>
    <col min="15336" max="15337" width="9.140625" style="1"/>
    <col min="15338" max="15340" width="12.140625" style="1" bestFit="1" customWidth="1"/>
    <col min="15341" max="15349" width="10.28515625" style="1" bestFit="1" customWidth="1"/>
    <col min="15350" max="15350" width="11.28515625" style="1" bestFit="1" customWidth="1"/>
    <col min="15351" max="15351" width="9.140625" style="1"/>
    <col min="15352" max="15352" width="19" style="1" customWidth="1"/>
    <col min="15353" max="15369" width="9.140625" style="1"/>
    <col min="15370" max="15380" width="11.28515625" style="1" bestFit="1" customWidth="1"/>
    <col min="15381" max="15381" width="10.28515625" style="1" bestFit="1" customWidth="1"/>
    <col min="15382" max="15382" width="12.85546875" style="1" bestFit="1" customWidth="1"/>
    <col min="15383" max="15505" width="9.140625" style="1"/>
    <col min="15506" max="15506" width="11" style="1" bestFit="1" customWidth="1"/>
    <col min="15507" max="15507" width="28.140625" style="1" bestFit="1" customWidth="1"/>
    <col min="15508" max="15508" width="14" style="1" bestFit="1" customWidth="1"/>
    <col min="15509" max="15509" width="9.140625" style="1"/>
    <col min="15510" max="15510" width="13.85546875" style="1" bestFit="1" customWidth="1"/>
    <col min="15511" max="15511" width="9.140625" style="1"/>
    <col min="15512" max="15512" width="14" style="1" customWidth="1"/>
    <col min="15513" max="15513" width="9.140625" style="1"/>
    <col min="15514" max="15514" width="12.85546875" style="1" bestFit="1" customWidth="1"/>
    <col min="15515" max="15515" width="10" style="1" customWidth="1"/>
    <col min="15516" max="15516" width="14" style="1" bestFit="1" customWidth="1"/>
    <col min="15517" max="15517" width="9.85546875" style="1" bestFit="1" customWidth="1"/>
    <col min="15518" max="15518" width="13.5703125" style="1" bestFit="1" customWidth="1"/>
    <col min="15519" max="15519" width="9.85546875" style="1" bestFit="1" customWidth="1"/>
    <col min="15520" max="15520" width="12.85546875" style="1" bestFit="1" customWidth="1"/>
    <col min="15521" max="15532" width="10.5703125" style="1" customWidth="1"/>
    <col min="15533" max="15533" width="11.140625" style="1" bestFit="1" customWidth="1"/>
    <col min="15534" max="15534" width="2.7109375" style="1" customWidth="1"/>
    <col min="15535" max="15535" width="9.85546875" style="1" bestFit="1" customWidth="1"/>
    <col min="15536" max="15537" width="9.140625" style="1"/>
    <col min="15538" max="15538" width="24" style="1" customWidth="1"/>
    <col min="15539" max="15541" width="9.140625" style="1"/>
    <col min="15542" max="15542" width="9" style="1" bestFit="1" customWidth="1"/>
    <col min="15543" max="15552" width="9.28515625" style="1" bestFit="1" customWidth="1"/>
    <col min="15553" max="15553" width="10.28515625" style="1" bestFit="1" customWidth="1"/>
    <col min="15554" max="15554" width="11.28515625" style="1" bestFit="1" customWidth="1"/>
    <col min="15555" max="15555" width="11.7109375" style="1" customWidth="1"/>
    <col min="15556" max="15556" width="9.140625" style="1"/>
    <col min="15557" max="15557" width="22.28515625" style="1" customWidth="1"/>
    <col min="15558" max="15558" width="9.140625" style="1"/>
    <col min="15559" max="15559" width="9.28515625" style="1" bestFit="1" customWidth="1"/>
    <col min="15560" max="15560" width="9.42578125" style="1" bestFit="1" customWidth="1"/>
    <col min="15561" max="15561" width="9.28515625" style="1" bestFit="1" customWidth="1"/>
    <col min="15562" max="15562" width="10.28515625" style="1" bestFit="1" customWidth="1"/>
    <col min="15563" max="15564" width="9.28515625" style="1" bestFit="1" customWidth="1"/>
    <col min="15565" max="15566" width="10.28515625" style="1" bestFit="1" customWidth="1"/>
    <col min="15567" max="15571" width="9.28515625" style="1" bestFit="1" customWidth="1"/>
    <col min="15572" max="15572" width="10.42578125" style="1" bestFit="1" customWidth="1"/>
    <col min="15573" max="15573" width="9.140625" style="1"/>
    <col min="15574" max="15574" width="24.85546875" style="1" customWidth="1"/>
    <col min="15575" max="15575" width="9.140625" style="1"/>
    <col min="15576" max="15588" width="9.28515625" style="1" bestFit="1" customWidth="1"/>
    <col min="15589" max="15589" width="10.28515625" style="1" bestFit="1" customWidth="1"/>
    <col min="15590" max="15590" width="9.5703125" style="1" bestFit="1" customWidth="1"/>
    <col min="15591" max="15591" width="18.5703125" style="1" customWidth="1"/>
    <col min="15592" max="15593" width="9.140625" style="1"/>
    <col min="15594" max="15596" width="12.140625" style="1" bestFit="1" customWidth="1"/>
    <col min="15597" max="15605" width="10.28515625" style="1" bestFit="1" customWidth="1"/>
    <col min="15606" max="15606" width="11.28515625" style="1" bestFit="1" customWidth="1"/>
    <col min="15607" max="15607" width="9.140625" style="1"/>
    <col min="15608" max="15608" width="19" style="1" customWidth="1"/>
    <col min="15609" max="15625" width="9.140625" style="1"/>
    <col min="15626" max="15636" width="11.28515625" style="1" bestFit="1" customWidth="1"/>
    <col min="15637" max="15637" width="10.28515625" style="1" bestFit="1" customWidth="1"/>
    <col min="15638" max="15638" width="12.85546875" style="1" bestFit="1" customWidth="1"/>
    <col min="15639" max="15761" width="9.140625" style="1"/>
    <col min="15762" max="15762" width="11" style="1" bestFit="1" customWidth="1"/>
    <col min="15763" max="15763" width="28.140625" style="1" bestFit="1" customWidth="1"/>
    <col min="15764" max="15764" width="14" style="1" bestFit="1" customWidth="1"/>
    <col min="15765" max="15765" width="9.140625" style="1"/>
    <col min="15766" max="15766" width="13.85546875" style="1" bestFit="1" customWidth="1"/>
    <col min="15767" max="15767" width="9.140625" style="1"/>
    <col min="15768" max="15768" width="14" style="1" customWidth="1"/>
    <col min="15769" max="15769" width="9.140625" style="1"/>
    <col min="15770" max="15770" width="12.85546875" style="1" bestFit="1" customWidth="1"/>
    <col min="15771" max="15771" width="10" style="1" customWidth="1"/>
    <col min="15772" max="15772" width="14" style="1" bestFit="1" customWidth="1"/>
    <col min="15773" max="15773" width="9.85546875" style="1" bestFit="1" customWidth="1"/>
    <col min="15774" max="15774" width="13.5703125" style="1" bestFit="1" customWidth="1"/>
    <col min="15775" max="15775" width="9.85546875" style="1" bestFit="1" customWidth="1"/>
    <col min="15776" max="15776" width="12.85546875" style="1" bestFit="1" customWidth="1"/>
    <col min="15777" max="15788" width="10.5703125" style="1" customWidth="1"/>
    <col min="15789" max="15789" width="11.140625" style="1" bestFit="1" customWidth="1"/>
    <col min="15790" max="15790" width="2.7109375" style="1" customWidth="1"/>
    <col min="15791" max="15791" width="9.85546875" style="1" bestFit="1" customWidth="1"/>
    <col min="15792" max="15793" width="9.140625" style="1"/>
    <col min="15794" max="15794" width="24" style="1" customWidth="1"/>
    <col min="15795" max="15797" width="9.140625" style="1"/>
    <col min="15798" max="15798" width="9" style="1" bestFit="1" customWidth="1"/>
    <col min="15799" max="15808" width="9.28515625" style="1" bestFit="1" customWidth="1"/>
    <col min="15809" max="15809" width="10.28515625" style="1" bestFit="1" customWidth="1"/>
    <col min="15810" max="15810" width="11.28515625" style="1" bestFit="1" customWidth="1"/>
    <col min="15811" max="15811" width="11.7109375" style="1" customWidth="1"/>
    <col min="15812" max="15812" width="9.140625" style="1"/>
    <col min="15813" max="15813" width="22.28515625" style="1" customWidth="1"/>
    <col min="15814" max="15814" width="9.140625" style="1"/>
    <col min="15815" max="15815" width="9.28515625" style="1" bestFit="1" customWidth="1"/>
    <col min="15816" max="15816" width="9.42578125" style="1" bestFit="1" customWidth="1"/>
    <col min="15817" max="15817" width="9.28515625" style="1" bestFit="1" customWidth="1"/>
    <col min="15818" max="15818" width="10.28515625" style="1" bestFit="1" customWidth="1"/>
    <col min="15819" max="15820" width="9.28515625" style="1" bestFit="1" customWidth="1"/>
    <col min="15821" max="15822" width="10.28515625" style="1" bestFit="1" customWidth="1"/>
    <col min="15823" max="15827" width="9.28515625" style="1" bestFit="1" customWidth="1"/>
    <col min="15828" max="15828" width="10.42578125" style="1" bestFit="1" customWidth="1"/>
    <col min="15829" max="15829" width="9.140625" style="1"/>
    <col min="15830" max="15830" width="24.85546875" style="1" customWidth="1"/>
    <col min="15831" max="15831" width="9.140625" style="1"/>
    <col min="15832" max="15844" width="9.28515625" style="1" bestFit="1" customWidth="1"/>
    <col min="15845" max="15845" width="10.28515625" style="1" bestFit="1" customWidth="1"/>
    <col min="15846" max="15846" width="9.5703125" style="1" bestFit="1" customWidth="1"/>
    <col min="15847" max="15847" width="18.5703125" style="1" customWidth="1"/>
    <col min="15848" max="15849" width="9.140625" style="1"/>
    <col min="15850" max="15852" width="12.140625" style="1" bestFit="1" customWidth="1"/>
    <col min="15853" max="15861" width="10.28515625" style="1" bestFit="1" customWidth="1"/>
    <col min="15862" max="15862" width="11.28515625" style="1" bestFit="1" customWidth="1"/>
    <col min="15863" max="15863" width="9.140625" style="1"/>
    <col min="15864" max="15864" width="19" style="1" customWidth="1"/>
    <col min="15865" max="15881" width="9.140625" style="1"/>
    <col min="15882" max="15892" width="11.28515625" style="1" bestFit="1" customWidth="1"/>
    <col min="15893" max="15893" width="10.28515625" style="1" bestFit="1" customWidth="1"/>
    <col min="15894" max="15894" width="12.85546875" style="1" bestFit="1" customWidth="1"/>
    <col min="15895" max="16017" width="9.140625" style="1"/>
    <col min="16018" max="16018" width="11" style="1" bestFit="1" customWidth="1"/>
    <col min="16019" max="16019" width="28.140625" style="1" bestFit="1" customWidth="1"/>
    <col min="16020" max="16020" width="14" style="1" bestFit="1" customWidth="1"/>
    <col min="16021" max="16021" width="9.140625" style="1"/>
    <col min="16022" max="16022" width="13.85546875" style="1" bestFit="1" customWidth="1"/>
    <col min="16023" max="16023" width="9.140625" style="1"/>
    <col min="16024" max="16024" width="14" style="1" customWidth="1"/>
    <col min="16025" max="16025" width="9.140625" style="1"/>
    <col min="16026" max="16026" width="12.85546875" style="1" bestFit="1" customWidth="1"/>
    <col min="16027" max="16027" width="10" style="1" customWidth="1"/>
    <col min="16028" max="16028" width="14" style="1" bestFit="1" customWidth="1"/>
    <col min="16029" max="16029" width="9.85546875" style="1" bestFit="1" customWidth="1"/>
    <col min="16030" max="16030" width="13.5703125" style="1" bestFit="1" customWidth="1"/>
    <col min="16031" max="16031" width="9.85546875" style="1" bestFit="1" customWidth="1"/>
    <col min="16032" max="16032" width="12.85546875" style="1" bestFit="1" customWidth="1"/>
    <col min="16033" max="16044" width="10.5703125" style="1" customWidth="1"/>
    <col min="16045" max="16045" width="11.140625" style="1" bestFit="1" customWidth="1"/>
    <col min="16046" max="16046" width="2.7109375" style="1" customWidth="1"/>
    <col min="16047" max="16047" width="9.85546875" style="1" bestFit="1" customWidth="1"/>
    <col min="16048" max="16049" width="9.140625" style="1"/>
    <col min="16050" max="16050" width="24" style="1" customWidth="1"/>
    <col min="16051" max="16053" width="9.140625" style="1"/>
    <col min="16054" max="16054" width="9" style="1" bestFit="1" customWidth="1"/>
    <col min="16055" max="16064" width="9.28515625" style="1" bestFit="1" customWidth="1"/>
    <col min="16065" max="16065" width="10.28515625" style="1" bestFit="1" customWidth="1"/>
    <col min="16066" max="16066" width="11.28515625" style="1" bestFit="1" customWidth="1"/>
    <col min="16067" max="16067" width="11.7109375" style="1" customWidth="1"/>
    <col min="16068" max="16068" width="9.140625" style="1"/>
    <col min="16069" max="16069" width="22.28515625" style="1" customWidth="1"/>
    <col min="16070" max="16070" width="9.140625" style="1"/>
    <col min="16071" max="16071" width="9.28515625" style="1" bestFit="1" customWidth="1"/>
    <col min="16072" max="16072" width="9.42578125" style="1" bestFit="1" customWidth="1"/>
    <col min="16073" max="16073" width="9.28515625" style="1" bestFit="1" customWidth="1"/>
    <col min="16074" max="16074" width="10.28515625" style="1" bestFit="1" customWidth="1"/>
    <col min="16075" max="16076" width="9.28515625" style="1" bestFit="1" customWidth="1"/>
    <col min="16077" max="16078" width="10.28515625" style="1" bestFit="1" customWidth="1"/>
    <col min="16079" max="16083" width="9.28515625" style="1" bestFit="1" customWidth="1"/>
    <col min="16084" max="16084" width="10.42578125" style="1" bestFit="1" customWidth="1"/>
    <col min="16085" max="16085" width="9.140625" style="1"/>
    <col min="16086" max="16086" width="24.85546875" style="1" customWidth="1"/>
    <col min="16087" max="16087" width="9.140625" style="1"/>
    <col min="16088" max="16100" width="9.28515625" style="1" bestFit="1" customWidth="1"/>
    <col min="16101" max="16101" width="10.28515625" style="1" bestFit="1" customWidth="1"/>
    <col min="16102" max="16102" width="9.5703125" style="1" bestFit="1" customWidth="1"/>
    <col min="16103" max="16103" width="18.5703125" style="1" customWidth="1"/>
    <col min="16104" max="16105" width="9.140625" style="1"/>
    <col min="16106" max="16108" width="12.140625" style="1" bestFit="1" customWidth="1"/>
    <col min="16109" max="16117" width="10.28515625" style="1" bestFit="1" customWidth="1"/>
    <col min="16118" max="16118" width="11.28515625" style="1" bestFit="1" customWidth="1"/>
    <col min="16119" max="16119" width="9.140625" style="1"/>
    <col min="16120" max="16120" width="19" style="1" customWidth="1"/>
    <col min="16121" max="16137" width="9.140625" style="1"/>
    <col min="16138" max="16148" width="11.28515625" style="1" bestFit="1" customWidth="1"/>
    <col min="16149" max="16149" width="10.28515625" style="1" bestFit="1" customWidth="1"/>
    <col min="16150" max="16150" width="12.85546875" style="1" bestFit="1" customWidth="1"/>
    <col min="16151" max="16384" width="9.140625" style="1"/>
  </cols>
  <sheetData>
    <row r="1" spans="1:20" x14ac:dyDescent="0.2">
      <c r="F1" s="39" t="s">
        <v>49</v>
      </c>
      <c r="G1" s="39" t="s">
        <v>48</v>
      </c>
      <c r="H1" s="39" t="s">
        <v>47</v>
      </c>
      <c r="I1" s="39" t="s">
        <v>46</v>
      </c>
      <c r="J1" s="39" t="s">
        <v>45</v>
      </c>
      <c r="K1" s="39" t="s">
        <v>44</v>
      </c>
      <c r="L1" s="39" t="s">
        <v>43</v>
      </c>
      <c r="M1" s="39" t="s">
        <v>42</v>
      </c>
      <c r="N1" s="39" t="s">
        <v>41</v>
      </c>
      <c r="O1" s="39" t="s">
        <v>40</v>
      </c>
      <c r="P1" s="39" t="s">
        <v>39</v>
      </c>
      <c r="Q1" s="39" t="s">
        <v>38</v>
      </c>
      <c r="R1" s="39" t="s">
        <v>37</v>
      </c>
    </row>
    <row r="2" spans="1:20" x14ac:dyDescent="0.2">
      <c r="B2" s="35" t="s">
        <v>224</v>
      </c>
      <c r="C2" s="6">
        <f>STATS!D19</f>
        <v>25</v>
      </c>
      <c r="F2" s="131">
        <f>'MO STATS'!E15</f>
        <v>2</v>
      </c>
      <c r="G2" s="131">
        <f>'MO STATS'!F15</f>
        <v>0</v>
      </c>
      <c r="H2" s="131">
        <f>'MO STATS'!G15</f>
        <v>2</v>
      </c>
      <c r="I2" s="131">
        <f>'MO STATS'!H15</f>
        <v>0</v>
      </c>
      <c r="J2" s="131">
        <f>'MO STATS'!I15</f>
        <v>8</v>
      </c>
      <c r="K2" s="131">
        <f>'MO STATS'!J15</f>
        <v>1</v>
      </c>
      <c r="L2" s="131">
        <f>'MO STATS'!K15</f>
        <v>5</v>
      </c>
      <c r="M2" s="131">
        <f>'MO STATS'!L15</f>
        <v>2</v>
      </c>
      <c r="N2" s="131">
        <f>'MO STATS'!M15</f>
        <v>0</v>
      </c>
      <c r="O2" s="131">
        <f>'MO STATS'!N15</f>
        <v>1</v>
      </c>
      <c r="P2" s="131">
        <f>'MO STATS'!O15</f>
        <v>2</v>
      </c>
      <c r="Q2" s="131">
        <f>'MO STATS'!P15</f>
        <v>2</v>
      </c>
      <c r="R2" s="96">
        <f>SUM(F2:Q2)</f>
        <v>25</v>
      </c>
      <c r="T2" s="3">
        <f>C2-R2</f>
        <v>0</v>
      </c>
    </row>
    <row r="3" spans="1:20" x14ac:dyDescent="0.2">
      <c r="B3" s="35" t="s">
        <v>226</v>
      </c>
      <c r="C3" s="6">
        <f>STATS!D20</f>
        <v>275</v>
      </c>
      <c r="F3" s="131">
        <f>'MO STATS'!E16</f>
        <v>23</v>
      </c>
      <c r="G3" s="131">
        <f>'MO STATS'!F16</f>
        <v>31</v>
      </c>
      <c r="H3" s="131">
        <f>'MO STATS'!G16</f>
        <v>12</v>
      </c>
      <c r="I3" s="131">
        <f>'MO STATS'!H16</f>
        <v>21</v>
      </c>
      <c r="J3" s="131">
        <f>'MO STATS'!I16</f>
        <v>31</v>
      </c>
      <c r="K3" s="131">
        <f>'MO STATS'!J16</f>
        <v>19</v>
      </c>
      <c r="L3" s="131">
        <f>'MO STATS'!K16</f>
        <v>21</v>
      </c>
      <c r="M3" s="131">
        <f>'MO STATS'!L16</f>
        <v>29</v>
      </c>
      <c r="N3" s="131">
        <f>'MO STATS'!M16</f>
        <v>19</v>
      </c>
      <c r="O3" s="131">
        <f>'MO STATS'!N16</f>
        <v>22</v>
      </c>
      <c r="P3" s="131">
        <f>'MO STATS'!O16</f>
        <v>27</v>
      </c>
      <c r="Q3" s="131">
        <f>'MO STATS'!P16</f>
        <v>20</v>
      </c>
      <c r="R3" s="96">
        <f t="shared" ref="R3:R4" si="0">SUM(F3:Q3)</f>
        <v>275</v>
      </c>
      <c r="T3" s="3">
        <f t="shared" ref="T3:T4" si="1">C3-R3</f>
        <v>0</v>
      </c>
    </row>
    <row r="4" spans="1:20" x14ac:dyDescent="0.2">
      <c r="B4" s="35" t="s">
        <v>228</v>
      </c>
      <c r="C4" s="6">
        <f>C2+C3</f>
        <v>300</v>
      </c>
      <c r="F4" s="131">
        <f>'MO STATS'!E17</f>
        <v>25</v>
      </c>
      <c r="G4" s="131">
        <f>'MO STATS'!F17</f>
        <v>31</v>
      </c>
      <c r="H4" s="131">
        <f>'MO STATS'!G17</f>
        <v>14</v>
      </c>
      <c r="I4" s="131">
        <f>'MO STATS'!H17</f>
        <v>21</v>
      </c>
      <c r="J4" s="131">
        <f>'MO STATS'!I17</f>
        <v>39</v>
      </c>
      <c r="K4" s="131">
        <f>'MO STATS'!J17</f>
        <v>20</v>
      </c>
      <c r="L4" s="131">
        <f>'MO STATS'!K17</f>
        <v>26</v>
      </c>
      <c r="M4" s="131">
        <f>'MO STATS'!L17</f>
        <v>31</v>
      </c>
      <c r="N4" s="131">
        <f>'MO STATS'!M17</f>
        <v>19</v>
      </c>
      <c r="O4" s="131">
        <f>'MO STATS'!N17</f>
        <v>23</v>
      </c>
      <c r="P4" s="131">
        <f>'MO STATS'!O17</f>
        <v>29</v>
      </c>
      <c r="Q4" s="131">
        <f>'MO STATS'!P17</f>
        <v>22</v>
      </c>
      <c r="R4" s="96">
        <f t="shared" si="0"/>
        <v>300</v>
      </c>
      <c r="T4" s="3">
        <f t="shared" si="1"/>
        <v>0</v>
      </c>
    </row>
    <row r="5" spans="1:20" x14ac:dyDescent="0.2">
      <c r="B5" s="35"/>
      <c r="C5" s="6"/>
    </row>
    <row r="6" spans="1:20" x14ac:dyDescent="0.2">
      <c r="A6" s="711" t="s">
        <v>35</v>
      </c>
      <c r="B6" s="711"/>
      <c r="C6" s="711"/>
      <c r="D6" s="711"/>
      <c r="E6" s="37"/>
    </row>
    <row r="7" spans="1:20" ht="26.25" customHeight="1" x14ac:dyDescent="0.2">
      <c r="A7" s="21"/>
      <c r="B7" s="10" t="s">
        <v>404</v>
      </c>
      <c r="C7" s="107" t="s">
        <v>381</v>
      </c>
      <c r="D7" s="102" t="s">
        <v>384</v>
      </c>
      <c r="E7" s="103"/>
      <c r="F7" s="39" t="s">
        <v>49</v>
      </c>
      <c r="G7" s="39" t="s">
        <v>48</v>
      </c>
      <c r="H7" s="39" t="s">
        <v>47</v>
      </c>
      <c r="I7" s="39" t="s">
        <v>46</v>
      </c>
      <c r="J7" s="39" t="s">
        <v>45</v>
      </c>
      <c r="K7" s="39" t="s">
        <v>44</v>
      </c>
      <c r="L7" s="39" t="s">
        <v>43</v>
      </c>
      <c r="M7" s="39" t="s">
        <v>42</v>
      </c>
      <c r="N7" s="39" t="s">
        <v>41</v>
      </c>
      <c r="O7" s="39" t="s">
        <v>40</v>
      </c>
      <c r="P7" s="39" t="s">
        <v>39</v>
      </c>
      <c r="Q7" s="39" t="s">
        <v>38</v>
      </c>
      <c r="R7" s="39" t="s">
        <v>37</v>
      </c>
    </row>
    <row r="8" spans="1:20" x14ac:dyDescent="0.2">
      <c r="A8" s="16"/>
      <c r="B8" s="29" t="s">
        <v>352</v>
      </c>
      <c r="C8" s="28">
        <f>C$2*D8</f>
        <v>16352.631578947367</v>
      </c>
      <c r="D8" s="13">
        <f>[5]Endoscopy!$J$11</f>
        <v>654.10526315789468</v>
      </c>
      <c r="E8" s="7"/>
      <c r="F8" s="375">
        <f>$D8*F$2</f>
        <v>1308.2105263157894</v>
      </c>
      <c r="G8" s="375">
        <f t="shared" ref="G8:Q14" si="2">$D8*G$2</f>
        <v>0</v>
      </c>
      <c r="H8" s="375">
        <f t="shared" si="2"/>
        <v>1308.2105263157894</v>
      </c>
      <c r="I8" s="375">
        <f t="shared" si="2"/>
        <v>0</v>
      </c>
      <c r="J8" s="375">
        <f t="shared" si="2"/>
        <v>5232.8421052631575</v>
      </c>
      <c r="K8" s="375">
        <f t="shared" si="2"/>
        <v>654.10526315789468</v>
      </c>
      <c r="L8" s="375">
        <f t="shared" si="2"/>
        <v>3270.5263157894733</v>
      </c>
      <c r="M8" s="375">
        <f t="shared" si="2"/>
        <v>1308.2105263157894</v>
      </c>
      <c r="N8" s="375">
        <f t="shared" si="2"/>
        <v>0</v>
      </c>
      <c r="O8" s="375">
        <f t="shared" si="2"/>
        <v>654.10526315789468</v>
      </c>
      <c r="P8" s="375">
        <f t="shared" si="2"/>
        <v>1308.2105263157894</v>
      </c>
      <c r="Q8" s="375">
        <f t="shared" si="2"/>
        <v>1308.2105263157894</v>
      </c>
      <c r="R8" s="109">
        <f>SUM(F8:Q8)</f>
        <v>16352.63157894737</v>
      </c>
      <c r="T8" s="3">
        <f>C8-R8</f>
        <v>0</v>
      </c>
    </row>
    <row r="9" spans="1:20" x14ac:dyDescent="0.2">
      <c r="A9" s="16"/>
      <c r="B9" s="29" t="s">
        <v>353</v>
      </c>
      <c r="C9" s="28">
        <f t="shared" ref="C9:C22" si="3">C$2*D9</f>
        <v>0</v>
      </c>
      <c r="D9" s="13">
        <v>0</v>
      </c>
      <c r="E9" s="7"/>
      <c r="F9" s="375">
        <f t="shared" ref="F9:Q22" si="4">$D9*F$2</f>
        <v>0</v>
      </c>
      <c r="G9" s="375">
        <f t="shared" si="2"/>
        <v>0</v>
      </c>
      <c r="H9" s="375">
        <f t="shared" si="2"/>
        <v>0</v>
      </c>
      <c r="I9" s="375">
        <f t="shared" si="2"/>
        <v>0</v>
      </c>
      <c r="J9" s="375">
        <f t="shared" si="2"/>
        <v>0</v>
      </c>
      <c r="K9" s="375">
        <f t="shared" si="2"/>
        <v>0</v>
      </c>
      <c r="L9" s="375">
        <f t="shared" si="2"/>
        <v>0</v>
      </c>
      <c r="M9" s="375">
        <f t="shared" si="2"/>
        <v>0</v>
      </c>
      <c r="N9" s="375">
        <f t="shared" si="2"/>
        <v>0</v>
      </c>
      <c r="O9" s="375">
        <f t="shared" si="2"/>
        <v>0</v>
      </c>
      <c r="P9" s="375">
        <f t="shared" si="2"/>
        <v>0</v>
      </c>
      <c r="Q9" s="375">
        <f t="shared" si="2"/>
        <v>0</v>
      </c>
      <c r="R9" s="109">
        <f t="shared" ref="R9:R15" si="5">SUM(F9:Q9)</f>
        <v>0</v>
      </c>
      <c r="T9" s="3">
        <f t="shared" ref="T9:T32" si="6">C9-R9</f>
        <v>0</v>
      </c>
    </row>
    <row r="10" spans="1:20" x14ac:dyDescent="0.2">
      <c r="A10" s="16"/>
      <c r="B10" s="29" t="s">
        <v>355</v>
      </c>
      <c r="C10" s="28">
        <f t="shared" si="3"/>
        <v>2715.7894736842104</v>
      </c>
      <c r="D10" s="13">
        <f>[5]Endoscopy!$J$13</f>
        <v>108.63157894736842</v>
      </c>
      <c r="E10" s="7"/>
      <c r="F10" s="375">
        <f t="shared" si="4"/>
        <v>217.26315789473685</v>
      </c>
      <c r="G10" s="375">
        <f t="shared" si="2"/>
        <v>0</v>
      </c>
      <c r="H10" s="375">
        <f t="shared" si="2"/>
        <v>217.26315789473685</v>
      </c>
      <c r="I10" s="375">
        <f t="shared" si="2"/>
        <v>0</v>
      </c>
      <c r="J10" s="375">
        <f t="shared" si="2"/>
        <v>869.0526315789474</v>
      </c>
      <c r="K10" s="375">
        <f t="shared" si="2"/>
        <v>108.63157894736842</v>
      </c>
      <c r="L10" s="375">
        <f t="shared" si="2"/>
        <v>543.15789473684208</v>
      </c>
      <c r="M10" s="375">
        <f t="shared" si="2"/>
        <v>217.26315789473685</v>
      </c>
      <c r="N10" s="375">
        <f t="shared" si="2"/>
        <v>0</v>
      </c>
      <c r="O10" s="375">
        <f t="shared" si="2"/>
        <v>108.63157894736842</v>
      </c>
      <c r="P10" s="375">
        <f t="shared" si="2"/>
        <v>217.26315789473685</v>
      </c>
      <c r="Q10" s="375">
        <f t="shared" si="2"/>
        <v>217.26315789473685</v>
      </c>
      <c r="R10" s="109">
        <f t="shared" si="5"/>
        <v>2715.78947368421</v>
      </c>
      <c r="T10" s="3">
        <f t="shared" si="6"/>
        <v>0</v>
      </c>
    </row>
    <row r="11" spans="1:20" x14ac:dyDescent="0.2">
      <c r="A11" s="16"/>
      <c r="B11" s="29" t="s">
        <v>370</v>
      </c>
      <c r="C11" s="28">
        <f t="shared" si="3"/>
        <v>0</v>
      </c>
      <c r="D11" s="13"/>
      <c r="E11" s="7"/>
      <c r="F11" s="375">
        <f t="shared" si="4"/>
        <v>0</v>
      </c>
      <c r="G11" s="375">
        <f t="shared" si="2"/>
        <v>0</v>
      </c>
      <c r="H11" s="375">
        <f t="shared" si="2"/>
        <v>0</v>
      </c>
      <c r="I11" s="375">
        <f t="shared" si="2"/>
        <v>0</v>
      </c>
      <c r="J11" s="375">
        <f t="shared" si="2"/>
        <v>0</v>
      </c>
      <c r="K11" s="375">
        <f t="shared" si="2"/>
        <v>0</v>
      </c>
      <c r="L11" s="375">
        <f t="shared" si="2"/>
        <v>0</v>
      </c>
      <c r="M11" s="375">
        <f t="shared" si="2"/>
        <v>0</v>
      </c>
      <c r="N11" s="375">
        <f t="shared" si="2"/>
        <v>0</v>
      </c>
      <c r="O11" s="375">
        <f t="shared" si="2"/>
        <v>0</v>
      </c>
      <c r="P11" s="375">
        <f t="shared" si="2"/>
        <v>0</v>
      </c>
      <c r="Q11" s="375">
        <f t="shared" si="2"/>
        <v>0</v>
      </c>
      <c r="R11" s="109">
        <f t="shared" si="5"/>
        <v>0</v>
      </c>
      <c r="T11" s="3">
        <f t="shared" si="6"/>
        <v>0</v>
      </c>
    </row>
    <row r="12" spans="1:20" x14ac:dyDescent="0.2">
      <c r="A12" s="16"/>
      <c r="B12" s="29" t="s">
        <v>356</v>
      </c>
      <c r="C12" s="28">
        <f t="shared" si="3"/>
        <v>0</v>
      </c>
      <c r="D12" s="13">
        <v>0</v>
      </c>
      <c r="E12" s="7"/>
      <c r="F12" s="375">
        <f t="shared" si="4"/>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109">
        <f t="shared" si="5"/>
        <v>0</v>
      </c>
      <c r="T12" s="3">
        <f t="shared" si="6"/>
        <v>0</v>
      </c>
    </row>
    <row r="13" spans="1:20" x14ac:dyDescent="0.2">
      <c r="A13" s="16"/>
      <c r="B13" s="29" t="s">
        <v>354</v>
      </c>
      <c r="C13" s="28">
        <f t="shared" si="3"/>
        <v>2715.7894736842104</v>
      </c>
      <c r="D13" s="13">
        <f>[5]Endoscopy!$J$16</f>
        <v>108.63157894736842</v>
      </c>
      <c r="E13" s="7"/>
      <c r="F13" s="375">
        <f t="shared" si="4"/>
        <v>217.26315789473685</v>
      </c>
      <c r="G13" s="375">
        <f t="shared" si="2"/>
        <v>0</v>
      </c>
      <c r="H13" s="375">
        <f t="shared" si="2"/>
        <v>217.26315789473685</v>
      </c>
      <c r="I13" s="375">
        <f t="shared" si="2"/>
        <v>0</v>
      </c>
      <c r="J13" s="375">
        <f t="shared" si="2"/>
        <v>869.0526315789474</v>
      </c>
      <c r="K13" s="375">
        <f t="shared" si="2"/>
        <v>108.63157894736842</v>
      </c>
      <c r="L13" s="375">
        <f t="shared" si="2"/>
        <v>543.15789473684208</v>
      </c>
      <c r="M13" s="375">
        <f t="shared" si="2"/>
        <v>217.26315789473685</v>
      </c>
      <c r="N13" s="375">
        <f t="shared" si="2"/>
        <v>0</v>
      </c>
      <c r="O13" s="375">
        <f t="shared" si="2"/>
        <v>108.63157894736842</v>
      </c>
      <c r="P13" s="375">
        <f t="shared" si="2"/>
        <v>217.26315789473685</v>
      </c>
      <c r="Q13" s="375">
        <f t="shared" si="2"/>
        <v>217.26315789473685</v>
      </c>
      <c r="R13" s="109">
        <f t="shared" si="5"/>
        <v>2715.78947368421</v>
      </c>
      <c r="T13" s="3">
        <f t="shared" si="6"/>
        <v>0</v>
      </c>
    </row>
    <row r="14" spans="1:20" x14ac:dyDescent="0.2">
      <c r="A14" s="16"/>
      <c r="B14" s="29" t="s">
        <v>357</v>
      </c>
      <c r="C14" s="28">
        <f t="shared" si="3"/>
        <v>0</v>
      </c>
      <c r="D14" s="13">
        <v>0</v>
      </c>
      <c r="E14" s="7"/>
      <c r="F14" s="375">
        <f t="shared" si="4"/>
        <v>0</v>
      </c>
      <c r="G14" s="375">
        <f t="shared" si="2"/>
        <v>0</v>
      </c>
      <c r="H14" s="375">
        <f t="shared" si="2"/>
        <v>0</v>
      </c>
      <c r="I14" s="375">
        <f t="shared" si="2"/>
        <v>0</v>
      </c>
      <c r="J14" s="375">
        <f t="shared" si="2"/>
        <v>0</v>
      </c>
      <c r="K14" s="375">
        <f t="shared" si="2"/>
        <v>0</v>
      </c>
      <c r="L14" s="375">
        <f t="shared" si="2"/>
        <v>0</v>
      </c>
      <c r="M14" s="375">
        <f t="shared" si="2"/>
        <v>0</v>
      </c>
      <c r="N14" s="375">
        <f t="shared" si="2"/>
        <v>0</v>
      </c>
      <c r="O14" s="375">
        <f t="shared" si="2"/>
        <v>0</v>
      </c>
      <c r="P14" s="375">
        <f t="shared" si="2"/>
        <v>0</v>
      </c>
      <c r="Q14" s="375">
        <f t="shared" si="2"/>
        <v>0</v>
      </c>
      <c r="R14" s="109">
        <f t="shared" si="5"/>
        <v>0</v>
      </c>
      <c r="T14" s="3">
        <f t="shared" si="6"/>
        <v>0</v>
      </c>
    </row>
    <row r="15" spans="1:20" ht="13.5" customHeight="1" x14ac:dyDescent="0.2">
      <c r="A15" s="87">
        <v>31110.016</v>
      </c>
      <c r="B15" s="161" t="s">
        <v>405</v>
      </c>
      <c r="C15" s="293">
        <f>SUM(C8:C14)</f>
        <v>21784.210526315786</v>
      </c>
      <c r="D15" s="292"/>
      <c r="E15" s="292"/>
      <c r="F15" s="369">
        <f>SUM(F8:F14)</f>
        <v>1742.7368421052631</v>
      </c>
      <c r="G15" s="369">
        <f t="shared" ref="G15:Q15" si="7">SUM(G8:G14)</f>
        <v>0</v>
      </c>
      <c r="H15" s="369">
        <f t="shared" si="7"/>
        <v>1742.7368421052631</v>
      </c>
      <c r="I15" s="369">
        <f t="shared" si="7"/>
        <v>0</v>
      </c>
      <c r="J15" s="369">
        <f t="shared" si="7"/>
        <v>6970.9473684210525</v>
      </c>
      <c r="K15" s="369">
        <f t="shared" si="7"/>
        <v>871.36842105263156</v>
      </c>
      <c r="L15" s="369">
        <f t="shared" si="7"/>
        <v>4356.8421052631575</v>
      </c>
      <c r="M15" s="369">
        <f t="shared" si="7"/>
        <v>1742.7368421052631</v>
      </c>
      <c r="N15" s="369">
        <f t="shared" si="7"/>
        <v>0</v>
      </c>
      <c r="O15" s="369">
        <f t="shared" si="7"/>
        <v>871.36842105263156</v>
      </c>
      <c r="P15" s="369">
        <f t="shared" si="7"/>
        <v>1742.7368421052631</v>
      </c>
      <c r="Q15" s="369">
        <f t="shared" si="7"/>
        <v>1742.7368421052631</v>
      </c>
      <c r="R15" s="369">
        <f t="shared" si="5"/>
        <v>21784.210526315786</v>
      </c>
      <c r="S15" s="297"/>
      <c r="T15" s="291">
        <f t="shared" si="6"/>
        <v>0</v>
      </c>
    </row>
    <row r="16" spans="1:20" ht="13.5" customHeight="1" x14ac:dyDescent="0.2">
      <c r="A16" s="87"/>
      <c r="B16" s="29" t="s">
        <v>424</v>
      </c>
      <c r="C16" s="28">
        <f t="shared" si="3"/>
        <v>0</v>
      </c>
      <c r="D16" s="13">
        <v>0</v>
      </c>
      <c r="E16" s="7"/>
      <c r="F16" s="375">
        <f t="shared" si="4"/>
        <v>0</v>
      </c>
      <c r="G16" s="375">
        <f t="shared" si="4"/>
        <v>0</v>
      </c>
      <c r="H16" s="375">
        <f t="shared" si="4"/>
        <v>0</v>
      </c>
      <c r="I16" s="375">
        <f t="shared" si="4"/>
        <v>0</v>
      </c>
      <c r="J16" s="375">
        <f t="shared" si="4"/>
        <v>0</v>
      </c>
      <c r="K16" s="375">
        <f t="shared" si="4"/>
        <v>0</v>
      </c>
      <c r="L16" s="375">
        <f t="shared" si="4"/>
        <v>0</v>
      </c>
      <c r="M16" s="375">
        <f t="shared" si="4"/>
        <v>0</v>
      </c>
      <c r="N16" s="375">
        <f t="shared" si="4"/>
        <v>0</v>
      </c>
      <c r="O16" s="375">
        <f t="shared" si="4"/>
        <v>0</v>
      </c>
      <c r="P16" s="375">
        <f t="shared" si="4"/>
        <v>0</v>
      </c>
      <c r="Q16" s="375">
        <f t="shared" si="4"/>
        <v>0</v>
      </c>
      <c r="R16" s="109">
        <f t="shared" ref="R16:R22" si="8">SUM(F16:Q16)</f>
        <v>0</v>
      </c>
      <c r="T16" s="3">
        <f t="shared" ref="T16:T22" si="9">C16-R16</f>
        <v>0</v>
      </c>
    </row>
    <row r="17" spans="1:22" ht="13.5" customHeight="1" x14ac:dyDescent="0.2">
      <c r="A17" s="87"/>
      <c r="B17" s="29" t="s">
        <v>425</v>
      </c>
      <c r="C17" s="28">
        <f t="shared" si="3"/>
        <v>0</v>
      </c>
      <c r="D17" s="13">
        <v>0</v>
      </c>
      <c r="E17" s="7"/>
      <c r="F17" s="375">
        <f t="shared" si="4"/>
        <v>0</v>
      </c>
      <c r="G17" s="375">
        <f t="shared" si="4"/>
        <v>0</v>
      </c>
      <c r="H17" s="375">
        <f t="shared" si="4"/>
        <v>0</v>
      </c>
      <c r="I17" s="375">
        <f t="shared" si="4"/>
        <v>0</v>
      </c>
      <c r="J17" s="375">
        <f t="shared" si="4"/>
        <v>0</v>
      </c>
      <c r="K17" s="375">
        <f t="shared" si="4"/>
        <v>0</v>
      </c>
      <c r="L17" s="375">
        <f t="shared" si="4"/>
        <v>0</v>
      </c>
      <c r="M17" s="375">
        <f t="shared" si="4"/>
        <v>0</v>
      </c>
      <c r="N17" s="375">
        <f t="shared" si="4"/>
        <v>0</v>
      </c>
      <c r="O17" s="375">
        <f t="shared" si="4"/>
        <v>0</v>
      </c>
      <c r="P17" s="375">
        <f t="shared" si="4"/>
        <v>0</v>
      </c>
      <c r="Q17" s="375">
        <f t="shared" si="4"/>
        <v>0</v>
      </c>
      <c r="R17" s="109">
        <f t="shared" si="8"/>
        <v>0</v>
      </c>
      <c r="T17" s="3">
        <f t="shared" si="9"/>
        <v>0</v>
      </c>
    </row>
    <row r="18" spans="1:22" ht="13.5" customHeight="1" x14ac:dyDescent="0.2">
      <c r="A18" s="87"/>
      <c r="B18" s="29" t="s">
        <v>426</v>
      </c>
      <c r="C18" s="28">
        <f t="shared" si="3"/>
        <v>0</v>
      </c>
      <c r="D18" s="13">
        <v>0</v>
      </c>
      <c r="E18" s="7"/>
      <c r="F18" s="375">
        <f t="shared" si="4"/>
        <v>0</v>
      </c>
      <c r="G18" s="375">
        <f t="shared" si="4"/>
        <v>0</v>
      </c>
      <c r="H18" s="375">
        <f t="shared" si="4"/>
        <v>0</v>
      </c>
      <c r="I18" s="375">
        <f t="shared" si="4"/>
        <v>0</v>
      </c>
      <c r="J18" s="375">
        <f t="shared" si="4"/>
        <v>0</v>
      </c>
      <c r="K18" s="375">
        <f t="shared" si="4"/>
        <v>0</v>
      </c>
      <c r="L18" s="375">
        <f t="shared" si="4"/>
        <v>0</v>
      </c>
      <c r="M18" s="375">
        <f t="shared" si="4"/>
        <v>0</v>
      </c>
      <c r="N18" s="375">
        <f t="shared" si="4"/>
        <v>0</v>
      </c>
      <c r="O18" s="375">
        <f t="shared" si="4"/>
        <v>0</v>
      </c>
      <c r="P18" s="375">
        <f t="shared" si="4"/>
        <v>0</v>
      </c>
      <c r="Q18" s="375">
        <f t="shared" si="4"/>
        <v>0</v>
      </c>
      <c r="R18" s="109">
        <f t="shared" si="8"/>
        <v>0</v>
      </c>
      <c r="T18" s="3">
        <f t="shared" si="9"/>
        <v>0</v>
      </c>
    </row>
    <row r="19" spans="1:22" ht="13.5" customHeight="1" x14ac:dyDescent="0.2">
      <c r="A19" s="87"/>
      <c r="B19" s="29" t="s">
        <v>427</v>
      </c>
      <c r="C19" s="28">
        <f t="shared" si="3"/>
        <v>0</v>
      </c>
      <c r="D19" s="13">
        <v>0</v>
      </c>
      <c r="E19" s="7"/>
      <c r="F19" s="375">
        <f t="shared" si="4"/>
        <v>0</v>
      </c>
      <c r="G19" s="375">
        <f t="shared" si="4"/>
        <v>0</v>
      </c>
      <c r="H19" s="375">
        <f t="shared" si="4"/>
        <v>0</v>
      </c>
      <c r="I19" s="375">
        <f t="shared" si="4"/>
        <v>0</v>
      </c>
      <c r="J19" s="375">
        <f t="shared" si="4"/>
        <v>0</v>
      </c>
      <c r="K19" s="375">
        <f t="shared" si="4"/>
        <v>0</v>
      </c>
      <c r="L19" s="375">
        <f t="shared" si="4"/>
        <v>0</v>
      </c>
      <c r="M19" s="375">
        <f t="shared" si="4"/>
        <v>0</v>
      </c>
      <c r="N19" s="375">
        <f t="shared" si="4"/>
        <v>0</v>
      </c>
      <c r="O19" s="375">
        <f t="shared" si="4"/>
        <v>0</v>
      </c>
      <c r="P19" s="375">
        <f t="shared" si="4"/>
        <v>0</v>
      </c>
      <c r="Q19" s="375">
        <f t="shared" si="4"/>
        <v>0</v>
      </c>
      <c r="R19" s="109">
        <f t="shared" si="8"/>
        <v>0</v>
      </c>
      <c r="T19" s="3">
        <f t="shared" si="9"/>
        <v>0</v>
      </c>
    </row>
    <row r="20" spans="1:22" ht="13.5" customHeight="1" x14ac:dyDescent="0.2">
      <c r="A20" s="87"/>
      <c r="B20" s="29" t="s">
        <v>428</v>
      </c>
      <c r="C20" s="28">
        <f t="shared" si="3"/>
        <v>0</v>
      </c>
      <c r="D20" s="13">
        <v>0</v>
      </c>
      <c r="E20" s="7"/>
      <c r="F20" s="375">
        <f t="shared" si="4"/>
        <v>0</v>
      </c>
      <c r="G20" s="375">
        <f t="shared" si="4"/>
        <v>0</v>
      </c>
      <c r="H20" s="375">
        <f t="shared" si="4"/>
        <v>0</v>
      </c>
      <c r="I20" s="375">
        <f t="shared" si="4"/>
        <v>0</v>
      </c>
      <c r="J20" s="375">
        <f t="shared" si="4"/>
        <v>0</v>
      </c>
      <c r="K20" s="375">
        <f t="shared" si="4"/>
        <v>0</v>
      </c>
      <c r="L20" s="375">
        <f t="shared" si="4"/>
        <v>0</v>
      </c>
      <c r="M20" s="375">
        <f t="shared" si="4"/>
        <v>0</v>
      </c>
      <c r="N20" s="375">
        <f t="shared" si="4"/>
        <v>0</v>
      </c>
      <c r="O20" s="375">
        <f t="shared" si="4"/>
        <v>0</v>
      </c>
      <c r="P20" s="375">
        <f t="shared" si="4"/>
        <v>0</v>
      </c>
      <c r="Q20" s="375">
        <f t="shared" si="4"/>
        <v>0</v>
      </c>
      <c r="R20" s="109">
        <f t="shared" si="8"/>
        <v>0</v>
      </c>
      <c r="T20" s="3">
        <f t="shared" si="9"/>
        <v>0</v>
      </c>
    </row>
    <row r="21" spans="1:22" ht="13.5" customHeight="1" x14ac:dyDescent="0.2">
      <c r="A21" s="87"/>
      <c r="B21" s="29" t="s">
        <v>429</v>
      </c>
      <c r="C21" s="28">
        <f t="shared" si="3"/>
        <v>0</v>
      </c>
      <c r="D21" s="13">
        <v>0</v>
      </c>
      <c r="E21" s="7"/>
      <c r="F21" s="375">
        <f t="shared" si="4"/>
        <v>0</v>
      </c>
      <c r="G21" s="375">
        <f t="shared" si="4"/>
        <v>0</v>
      </c>
      <c r="H21" s="375">
        <f t="shared" si="4"/>
        <v>0</v>
      </c>
      <c r="I21" s="375">
        <f t="shared" si="4"/>
        <v>0</v>
      </c>
      <c r="J21" s="375">
        <f t="shared" si="4"/>
        <v>0</v>
      </c>
      <c r="K21" s="375">
        <f t="shared" si="4"/>
        <v>0</v>
      </c>
      <c r="L21" s="375">
        <f t="shared" si="4"/>
        <v>0</v>
      </c>
      <c r="M21" s="375">
        <f t="shared" si="4"/>
        <v>0</v>
      </c>
      <c r="N21" s="375">
        <f t="shared" si="4"/>
        <v>0</v>
      </c>
      <c r="O21" s="375">
        <f t="shared" si="4"/>
        <v>0</v>
      </c>
      <c r="P21" s="375">
        <f t="shared" si="4"/>
        <v>0</v>
      </c>
      <c r="Q21" s="375">
        <f t="shared" si="4"/>
        <v>0</v>
      </c>
      <c r="R21" s="109">
        <f t="shared" si="8"/>
        <v>0</v>
      </c>
      <c r="T21" s="3">
        <f t="shared" si="9"/>
        <v>0</v>
      </c>
    </row>
    <row r="22" spans="1:22" ht="13.5" customHeight="1" x14ac:dyDescent="0.2">
      <c r="A22" s="87"/>
      <c r="B22" s="29" t="s">
        <v>430</v>
      </c>
      <c r="C22" s="28">
        <f t="shared" si="3"/>
        <v>0</v>
      </c>
      <c r="D22" s="13">
        <v>0</v>
      </c>
      <c r="E22" s="7"/>
      <c r="F22" s="375">
        <f t="shared" si="4"/>
        <v>0</v>
      </c>
      <c r="G22" s="375">
        <f t="shared" si="4"/>
        <v>0</v>
      </c>
      <c r="H22" s="375">
        <f t="shared" si="4"/>
        <v>0</v>
      </c>
      <c r="I22" s="375">
        <f t="shared" si="4"/>
        <v>0</v>
      </c>
      <c r="J22" s="375">
        <f t="shared" si="4"/>
        <v>0</v>
      </c>
      <c r="K22" s="375">
        <f t="shared" si="4"/>
        <v>0</v>
      </c>
      <c r="L22" s="375">
        <f t="shared" si="4"/>
        <v>0</v>
      </c>
      <c r="M22" s="375">
        <f t="shared" si="4"/>
        <v>0</v>
      </c>
      <c r="N22" s="375">
        <f t="shared" si="4"/>
        <v>0</v>
      </c>
      <c r="O22" s="375">
        <f t="shared" si="4"/>
        <v>0</v>
      </c>
      <c r="P22" s="375">
        <f t="shared" si="4"/>
        <v>0</v>
      </c>
      <c r="Q22" s="375">
        <f t="shared" si="4"/>
        <v>0</v>
      </c>
      <c r="R22" s="109">
        <f t="shared" si="8"/>
        <v>0</v>
      </c>
      <c r="T22" s="3">
        <f t="shared" si="9"/>
        <v>0</v>
      </c>
    </row>
    <row r="23" spans="1:22" s="5" customFormat="1" ht="13.5" customHeight="1" x14ac:dyDescent="0.2">
      <c r="A23" s="87">
        <v>31111.016</v>
      </c>
      <c r="B23" s="161" t="s">
        <v>406</v>
      </c>
      <c r="C23" s="293">
        <f>SUM(C16:C22)</f>
        <v>0</v>
      </c>
      <c r="D23" s="292"/>
      <c r="E23" s="292"/>
      <c r="F23" s="369">
        <f>SUM(F16:F22)</f>
        <v>0</v>
      </c>
      <c r="G23" s="369">
        <f t="shared" ref="G23:Q23" si="10">SUM(G16:G22)</f>
        <v>0</v>
      </c>
      <c r="H23" s="369">
        <f t="shared" si="10"/>
        <v>0</v>
      </c>
      <c r="I23" s="369">
        <f t="shared" si="10"/>
        <v>0</v>
      </c>
      <c r="J23" s="369">
        <f t="shared" si="10"/>
        <v>0</v>
      </c>
      <c r="K23" s="369">
        <f t="shared" si="10"/>
        <v>0</v>
      </c>
      <c r="L23" s="369">
        <f t="shared" si="10"/>
        <v>0</v>
      </c>
      <c r="M23" s="369">
        <f t="shared" si="10"/>
        <v>0</v>
      </c>
      <c r="N23" s="369">
        <f t="shared" si="10"/>
        <v>0</v>
      </c>
      <c r="O23" s="369">
        <f t="shared" si="10"/>
        <v>0</v>
      </c>
      <c r="P23" s="369">
        <f t="shared" si="10"/>
        <v>0</v>
      </c>
      <c r="Q23" s="369">
        <f t="shared" si="10"/>
        <v>0</v>
      </c>
      <c r="R23" s="369">
        <f>SUM(F23:Q23)</f>
        <v>0</v>
      </c>
      <c r="S23" s="298"/>
      <c r="T23" s="291">
        <f t="shared" si="6"/>
        <v>0</v>
      </c>
      <c r="U23" s="6"/>
      <c r="V23" s="6"/>
    </row>
    <row r="24" spans="1:22" x14ac:dyDescent="0.2">
      <c r="A24" s="16"/>
      <c r="B24" s="29" t="s">
        <v>358</v>
      </c>
      <c r="C24" s="28">
        <f>C$3*D24</f>
        <v>144051.94174757283</v>
      </c>
      <c r="D24" s="13">
        <f>[5]Endoscopy!$J$30</f>
        <v>523.82524271844659</v>
      </c>
      <c r="E24" s="7"/>
      <c r="F24" s="375">
        <f>$D24*F$3</f>
        <v>12047.980582524271</v>
      </c>
      <c r="G24" s="375">
        <f t="shared" ref="G24:Q30" si="11">$D24*G$3</f>
        <v>16238.582524271844</v>
      </c>
      <c r="H24" s="375">
        <f t="shared" si="11"/>
        <v>6285.9029126213591</v>
      </c>
      <c r="I24" s="375">
        <f t="shared" si="11"/>
        <v>11000.330097087379</v>
      </c>
      <c r="J24" s="375">
        <f t="shared" si="11"/>
        <v>16238.582524271844</v>
      </c>
      <c r="K24" s="375">
        <f t="shared" si="11"/>
        <v>9952.6796116504847</v>
      </c>
      <c r="L24" s="375">
        <f t="shared" si="11"/>
        <v>11000.330097087379</v>
      </c>
      <c r="M24" s="375">
        <f t="shared" si="11"/>
        <v>15190.932038834952</v>
      </c>
      <c r="N24" s="375">
        <f t="shared" si="11"/>
        <v>9952.6796116504847</v>
      </c>
      <c r="O24" s="375">
        <f t="shared" si="11"/>
        <v>11524.155339805824</v>
      </c>
      <c r="P24" s="375">
        <f t="shared" si="11"/>
        <v>14143.281553398057</v>
      </c>
      <c r="Q24" s="375">
        <f t="shared" si="11"/>
        <v>10476.504854368932</v>
      </c>
      <c r="R24" s="109">
        <f t="shared" ref="R24:R30" si="12">SUM(F24:Q24)</f>
        <v>144051.9417475728</v>
      </c>
      <c r="T24" s="3">
        <f t="shared" si="6"/>
        <v>0</v>
      </c>
    </row>
    <row r="25" spans="1:22" x14ac:dyDescent="0.2">
      <c r="A25" s="16"/>
      <c r="B25" s="29" t="s">
        <v>359</v>
      </c>
      <c r="C25" s="28">
        <f t="shared" ref="C25:C30" si="13">C$3*D25</f>
        <v>15183.73786407767</v>
      </c>
      <c r="D25" s="13">
        <f>[5]Endoscopy!$J$31</f>
        <v>55.213592233009706</v>
      </c>
      <c r="E25" s="7"/>
      <c r="F25" s="375">
        <f t="shared" ref="F25:F30" si="14">$D25*F$3</f>
        <v>1269.9126213592233</v>
      </c>
      <c r="G25" s="375">
        <f t="shared" si="11"/>
        <v>1711.6213592233009</v>
      </c>
      <c r="H25" s="375">
        <f t="shared" si="11"/>
        <v>662.56310679611647</v>
      </c>
      <c r="I25" s="375">
        <f t="shared" si="11"/>
        <v>1159.4854368932038</v>
      </c>
      <c r="J25" s="375">
        <f t="shared" si="11"/>
        <v>1711.6213592233009</v>
      </c>
      <c r="K25" s="375">
        <f t="shared" si="11"/>
        <v>1049.0582524271845</v>
      </c>
      <c r="L25" s="375">
        <f t="shared" si="11"/>
        <v>1159.4854368932038</v>
      </c>
      <c r="M25" s="375">
        <f t="shared" si="11"/>
        <v>1601.1941747572814</v>
      </c>
      <c r="N25" s="375">
        <f t="shared" si="11"/>
        <v>1049.0582524271845</v>
      </c>
      <c r="O25" s="375">
        <f t="shared" si="11"/>
        <v>1214.6990291262136</v>
      </c>
      <c r="P25" s="375">
        <f t="shared" si="11"/>
        <v>1490.7669902912621</v>
      </c>
      <c r="Q25" s="375">
        <f t="shared" si="11"/>
        <v>1104.2718446601941</v>
      </c>
      <c r="R25" s="109">
        <f t="shared" si="12"/>
        <v>15183.73786407767</v>
      </c>
      <c r="T25" s="3">
        <f t="shared" si="6"/>
        <v>0</v>
      </c>
    </row>
    <row r="26" spans="1:22" x14ac:dyDescent="0.2">
      <c r="A26" s="16"/>
      <c r="B26" s="29" t="s">
        <v>372</v>
      </c>
      <c r="C26" s="28">
        <f t="shared" si="13"/>
        <v>53969.417475728158</v>
      </c>
      <c r="D26" s="13">
        <f>[5]Endoscopy!$J$32</f>
        <v>196.25242718446603</v>
      </c>
      <c r="E26" s="7"/>
      <c r="F26" s="375">
        <f t="shared" si="14"/>
        <v>4513.805825242719</v>
      </c>
      <c r="G26" s="375">
        <f t="shared" si="11"/>
        <v>6083.825242718447</v>
      </c>
      <c r="H26" s="375">
        <f t="shared" si="11"/>
        <v>2355.0291262135925</v>
      </c>
      <c r="I26" s="375">
        <f t="shared" si="11"/>
        <v>4121.3009708737864</v>
      </c>
      <c r="J26" s="375">
        <f t="shared" si="11"/>
        <v>6083.825242718447</v>
      </c>
      <c r="K26" s="375">
        <f t="shared" si="11"/>
        <v>3728.7961165048546</v>
      </c>
      <c r="L26" s="375">
        <f t="shared" si="11"/>
        <v>4121.3009708737864</v>
      </c>
      <c r="M26" s="375">
        <f t="shared" si="11"/>
        <v>5691.3203883495153</v>
      </c>
      <c r="N26" s="375">
        <f t="shared" si="11"/>
        <v>3728.7961165048546</v>
      </c>
      <c r="O26" s="375">
        <f t="shared" si="11"/>
        <v>4317.5533980582522</v>
      </c>
      <c r="P26" s="375">
        <f t="shared" si="11"/>
        <v>5298.8155339805826</v>
      </c>
      <c r="Q26" s="375">
        <f t="shared" si="11"/>
        <v>3925.0485436893205</v>
      </c>
      <c r="R26" s="109">
        <f t="shared" si="12"/>
        <v>53969.417475728165</v>
      </c>
      <c r="T26" s="3">
        <f t="shared" si="6"/>
        <v>0</v>
      </c>
    </row>
    <row r="27" spans="1:22" x14ac:dyDescent="0.2">
      <c r="A27" s="16"/>
      <c r="B27" s="29" t="s">
        <v>373</v>
      </c>
      <c r="C27" s="28">
        <f t="shared" si="13"/>
        <v>0</v>
      </c>
      <c r="D27" s="13"/>
      <c r="E27" s="7"/>
      <c r="F27" s="375">
        <f t="shared" si="14"/>
        <v>0</v>
      </c>
      <c r="G27" s="375">
        <f t="shared" si="11"/>
        <v>0</v>
      </c>
      <c r="H27" s="375">
        <f t="shared" si="11"/>
        <v>0</v>
      </c>
      <c r="I27" s="375">
        <f t="shared" si="11"/>
        <v>0</v>
      </c>
      <c r="J27" s="375">
        <f t="shared" si="11"/>
        <v>0</v>
      </c>
      <c r="K27" s="375">
        <f t="shared" si="11"/>
        <v>0</v>
      </c>
      <c r="L27" s="375">
        <f t="shared" si="11"/>
        <v>0</v>
      </c>
      <c r="M27" s="375">
        <f t="shared" si="11"/>
        <v>0</v>
      </c>
      <c r="N27" s="375">
        <f t="shared" si="11"/>
        <v>0</v>
      </c>
      <c r="O27" s="375">
        <f t="shared" si="11"/>
        <v>0</v>
      </c>
      <c r="P27" s="375">
        <f t="shared" si="11"/>
        <v>0</v>
      </c>
      <c r="Q27" s="375">
        <f t="shared" si="11"/>
        <v>0</v>
      </c>
      <c r="R27" s="109">
        <f t="shared" si="12"/>
        <v>0</v>
      </c>
      <c r="T27" s="3">
        <f t="shared" si="6"/>
        <v>0</v>
      </c>
    </row>
    <row r="28" spans="1:22" x14ac:dyDescent="0.2">
      <c r="A28" s="16"/>
      <c r="B28" s="29" t="s">
        <v>361</v>
      </c>
      <c r="C28" s="28">
        <f t="shared" si="13"/>
        <v>9996.116504854368</v>
      </c>
      <c r="D28" s="13">
        <f>[5]Endoscopy!$J$34</f>
        <v>36.349514563106794</v>
      </c>
      <c r="E28" s="7"/>
      <c r="F28" s="375">
        <f t="shared" si="14"/>
        <v>836.03883495145624</v>
      </c>
      <c r="G28" s="375">
        <f t="shared" si="11"/>
        <v>1126.8349514563106</v>
      </c>
      <c r="H28" s="375">
        <f t="shared" si="11"/>
        <v>436.19417475728153</v>
      </c>
      <c r="I28" s="375">
        <f t="shared" si="11"/>
        <v>763.33980582524271</v>
      </c>
      <c r="J28" s="375">
        <f t="shared" si="11"/>
        <v>1126.8349514563106</v>
      </c>
      <c r="K28" s="375">
        <f t="shared" si="11"/>
        <v>690.64077669902906</v>
      </c>
      <c r="L28" s="375">
        <f t="shared" si="11"/>
        <v>763.33980582524271</v>
      </c>
      <c r="M28" s="375">
        <f t="shared" si="11"/>
        <v>1054.1359223300969</v>
      </c>
      <c r="N28" s="375">
        <f t="shared" si="11"/>
        <v>690.64077669902906</v>
      </c>
      <c r="O28" s="375">
        <f t="shared" si="11"/>
        <v>799.68932038834942</v>
      </c>
      <c r="P28" s="375">
        <f t="shared" si="11"/>
        <v>981.43689320388341</v>
      </c>
      <c r="Q28" s="375">
        <f t="shared" si="11"/>
        <v>726.99029126213588</v>
      </c>
      <c r="R28" s="109">
        <f t="shared" si="12"/>
        <v>9996.116504854368</v>
      </c>
      <c r="T28" s="3">
        <f t="shared" si="6"/>
        <v>0</v>
      </c>
    </row>
    <row r="29" spans="1:22" x14ac:dyDescent="0.2">
      <c r="A29" s="16"/>
      <c r="B29" s="29" t="s">
        <v>360</v>
      </c>
      <c r="C29" s="28">
        <f t="shared" si="13"/>
        <v>68800.728155339806</v>
      </c>
      <c r="D29" s="13">
        <f>[5]Endoscopy!$J$35</f>
        <v>250.18446601941747</v>
      </c>
      <c r="E29" s="7"/>
      <c r="F29" s="375">
        <f t="shared" si="14"/>
        <v>5754.2427184466014</v>
      </c>
      <c r="G29" s="375">
        <f t="shared" si="11"/>
        <v>7755.7184466019417</v>
      </c>
      <c r="H29" s="375">
        <f t="shared" si="11"/>
        <v>3002.2135922330099</v>
      </c>
      <c r="I29" s="375">
        <f t="shared" si="11"/>
        <v>5253.8737864077666</v>
      </c>
      <c r="J29" s="375">
        <f t="shared" si="11"/>
        <v>7755.7184466019417</v>
      </c>
      <c r="K29" s="375">
        <f t="shared" si="11"/>
        <v>4753.5048543689318</v>
      </c>
      <c r="L29" s="375">
        <f t="shared" si="11"/>
        <v>5253.8737864077666</v>
      </c>
      <c r="M29" s="375">
        <f t="shared" si="11"/>
        <v>7255.3495145631068</v>
      </c>
      <c r="N29" s="375">
        <f t="shared" si="11"/>
        <v>4753.5048543689318</v>
      </c>
      <c r="O29" s="375">
        <f t="shared" si="11"/>
        <v>5504.058252427184</v>
      </c>
      <c r="P29" s="375">
        <f t="shared" si="11"/>
        <v>6754.980582524272</v>
      </c>
      <c r="Q29" s="375">
        <f t="shared" si="11"/>
        <v>5003.6893203883492</v>
      </c>
      <c r="R29" s="109">
        <f t="shared" si="12"/>
        <v>68800.728155339806</v>
      </c>
      <c r="T29" s="3">
        <f t="shared" si="6"/>
        <v>0</v>
      </c>
    </row>
    <row r="30" spans="1:22" x14ac:dyDescent="0.2">
      <c r="A30" s="16"/>
      <c r="B30" s="29" t="s">
        <v>362</v>
      </c>
      <c r="C30" s="28">
        <f t="shared" si="13"/>
        <v>5451.941747572816</v>
      </c>
      <c r="D30" s="13">
        <f>[5]Endoscopy!$J$36</f>
        <v>19.825242718446603</v>
      </c>
      <c r="E30" s="7"/>
      <c r="F30" s="375">
        <f t="shared" si="14"/>
        <v>455.98058252427188</v>
      </c>
      <c r="G30" s="375">
        <f t="shared" si="11"/>
        <v>614.5825242718447</v>
      </c>
      <c r="H30" s="375">
        <f t="shared" si="11"/>
        <v>237.90291262135923</v>
      </c>
      <c r="I30" s="375">
        <f t="shared" si="11"/>
        <v>416.33009708737865</v>
      </c>
      <c r="J30" s="375">
        <f t="shared" si="11"/>
        <v>614.5825242718447</v>
      </c>
      <c r="K30" s="375">
        <f t="shared" si="11"/>
        <v>376.67961165048547</v>
      </c>
      <c r="L30" s="375">
        <f t="shared" si="11"/>
        <v>416.33009708737865</v>
      </c>
      <c r="M30" s="375">
        <f t="shared" si="11"/>
        <v>574.93203883495153</v>
      </c>
      <c r="N30" s="375">
        <f t="shared" si="11"/>
        <v>376.67961165048547</v>
      </c>
      <c r="O30" s="375">
        <f t="shared" si="11"/>
        <v>436.15533980582529</v>
      </c>
      <c r="P30" s="375">
        <f t="shared" si="11"/>
        <v>535.28155339805824</v>
      </c>
      <c r="Q30" s="375">
        <f t="shared" si="11"/>
        <v>396.50485436893206</v>
      </c>
      <c r="R30" s="109">
        <f t="shared" si="12"/>
        <v>5451.941747572816</v>
      </c>
      <c r="T30" s="3">
        <f t="shared" si="6"/>
        <v>0</v>
      </c>
    </row>
    <row r="31" spans="1:22" s="5" customFormat="1" x14ac:dyDescent="0.2">
      <c r="A31" s="90">
        <v>31200.016</v>
      </c>
      <c r="B31" s="161" t="s">
        <v>407</v>
      </c>
      <c r="C31" s="293">
        <f>SUM(C24:C30)</f>
        <v>297453.88349514565</v>
      </c>
      <c r="D31" s="292"/>
      <c r="E31" s="292"/>
      <c r="F31" s="369">
        <f t="shared" ref="F31:Q31" si="15">SUM(F24:F30)</f>
        <v>24877.961165048546</v>
      </c>
      <c r="G31" s="369">
        <f t="shared" si="15"/>
        <v>33531.165048543684</v>
      </c>
      <c r="H31" s="369">
        <f t="shared" si="15"/>
        <v>12979.80582524272</v>
      </c>
      <c r="I31" s="369">
        <f t="shared" si="15"/>
        <v>22714.660194174758</v>
      </c>
      <c r="J31" s="369">
        <f t="shared" si="15"/>
        <v>33531.165048543684</v>
      </c>
      <c r="K31" s="369">
        <f t="shared" si="15"/>
        <v>20551.359223300969</v>
      </c>
      <c r="L31" s="369">
        <f t="shared" si="15"/>
        <v>22714.660194174758</v>
      </c>
      <c r="M31" s="369">
        <f t="shared" si="15"/>
        <v>31367.864077669903</v>
      </c>
      <c r="N31" s="369">
        <f t="shared" si="15"/>
        <v>20551.359223300969</v>
      </c>
      <c r="O31" s="369">
        <f t="shared" si="15"/>
        <v>23796.310679611648</v>
      </c>
      <c r="P31" s="369">
        <f t="shared" si="15"/>
        <v>29204.563106796119</v>
      </c>
      <c r="Q31" s="369">
        <f t="shared" si="15"/>
        <v>21633.009708737864</v>
      </c>
      <c r="R31" s="369">
        <f>SUM(F31:Q31)</f>
        <v>297453.88349514559</v>
      </c>
      <c r="S31" s="298"/>
      <c r="T31" s="291">
        <f t="shared" si="6"/>
        <v>0</v>
      </c>
      <c r="U31" s="6"/>
      <c r="V31" s="6"/>
    </row>
    <row r="32" spans="1:22" s="5" customFormat="1" x14ac:dyDescent="0.2">
      <c r="A32" s="11"/>
      <c r="B32" s="10" t="s">
        <v>0</v>
      </c>
      <c r="C32" s="293">
        <f>C23+C31+C15</f>
        <v>319238.09402146144</v>
      </c>
      <c r="D32" s="292">
        <f>(C32/C4)</f>
        <v>1064.1269800715381</v>
      </c>
      <c r="E32" s="292"/>
      <c r="F32" s="369">
        <f>SUM(F23+F31+F15)</f>
        <v>26620.698007153809</v>
      </c>
      <c r="G32" s="369">
        <f t="shared" ref="G32:Q32" si="16">SUM(G23+G31+G15)</f>
        <v>33531.165048543684</v>
      </c>
      <c r="H32" s="369">
        <f t="shared" si="16"/>
        <v>14722.542667347983</v>
      </c>
      <c r="I32" s="369">
        <f t="shared" si="16"/>
        <v>22714.660194174758</v>
      </c>
      <c r="J32" s="369">
        <f t="shared" si="16"/>
        <v>40502.112416964737</v>
      </c>
      <c r="K32" s="369">
        <f t="shared" si="16"/>
        <v>21422.727644353599</v>
      </c>
      <c r="L32" s="369">
        <f t="shared" si="16"/>
        <v>27071.502299437914</v>
      </c>
      <c r="M32" s="369">
        <f t="shared" si="16"/>
        <v>33110.600919775163</v>
      </c>
      <c r="N32" s="369">
        <f t="shared" si="16"/>
        <v>20551.359223300969</v>
      </c>
      <c r="O32" s="369">
        <f t="shared" si="16"/>
        <v>24667.679100664278</v>
      </c>
      <c r="P32" s="369">
        <f t="shared" si="16"/>
        <v>30947.299948901382</v>
      </c>
      <c r="Q32" s="369">
        <f t="shared" si="16"/>
        <v>23375.746550843127</v>
      </c>
      <c r="R32" s="369">
        <f>SUM(F32:Q32)</f>
        <v>319238.09402146144</v>
      </c>
      <c r="S32" s="298"/>
      <c r="T32" s="291">
        <f t="shared" si="6"/>
        <v>0</v>
      </c>
      <c r="U32" s="6"/>
      <c r="V32" s="6"/>
    </row>
    <row r="33" spans="1:20" x14ac:dyDescent="0.2">
      <c r="A33" s="711" t="s">
        <v>25</v>
      </c>
      <c r="B33" s="711"/>
      <c r="C33" s="711"/>
      <c r="D33" s="711"/>
      <c r="E33" s="37"/>
      <c r="F33" s="375"/>
      <c r="G33" s="375"/>
      <c r="H33" s="375"/>
      <c r="I33" s="375"/>
      <c r="J33" s="375"/>
      <c r="K33" s="375"/>
      <c r="L33" s="375"/>
      <c r="M33" s="375"/>
      <c r="N33" s="376"/>
      <c r="O33" s="376"/>
      <c r="P33" s="376"/>
      <c r="Q33" s="376"/>
      <c r="R33" s="109"/>
    </row>
    <row r="34" spans="1:20" ht="25.5" customHeight="1" x14ac:dyDescent="0.2">
      <c r="A34" s="21"/>
      <c r="B34" s="10" t="s">
        <v>404</v>
      </c>
      <c r="C34" s="20"/>
      <c r="F34" s="375"/>
      <c r="G34" s="375"/>
      <c r="H34" s="375"/>
      <c r="I34" s="375"/>
      <c r="J34" s="375"/>
      <c r="K34" s="375"/>
      <c r="L34" s="375"/>
      <c r="M34" s="375"/>
      <c r="N34" s="376"/>
      <c r="O34" s="376"/>
      <c r="P34" s="376"/>
      <c r="Q34" s="376"/>
      <c r="R34" s="109"/>
    </row>
    <row r="35" spans="1:20" x14ac:dyDescent="0.2">
      <c r="A35" s="87">
        <v>41237.016000000003</v>
      </c>
      <c r="B35" s="15" t="s">
        <v>17</v>
      </c>
      <c r="C35" s="14"/>
      <c r="D35" s="13">
        <f t="shared" ref="D35:D43" si="17">$C35/C$4</f>
        <v>0</v>
      </c>
      <c r="E35" s="131"/>
      <c r="F35" s="375">
        <f t="shared" ref="F35:Q43" si="18">$D35*F$4</f>
        <v>0</v>
      </c>
      <c r="G35" s="375">
        <f t="shared" ref="G35:Q40" si="19">$D35*G$4</f>
        <v>0</v>
      </c>
      <c r="H35" s="375">
        <f t="shared" si="19"/>
        <v>0</v>
      </c>
      <c r="I35" s="375">
        <f t="shared" si="19"/>
        <v>0</v>
      </c>
      <c r="J35" s="375">
        <f t="shared" si="19"/>
        <v>0</v>
      </c>
      <c r="K35" s="375">
        <f t="shared" si="19"/>
        <v>0</v>
      </c>
      <c r="L35" s="375">
        <f t="shared" si="19"/>
        <v>0</v>
      </c>
      <c r="M35" s="375">
        <f t="shared" si="19"/>
        <v>0</v>
      </c>
      <c r="N35" s="375">
        <f t="shared" si="19"/>
        <v>0</v>
      </c>
      <c r="O35" s="375">
        <f t="shared" si="19"/>
        <v>0</v>
      </c>
      <c r="P35" s="375">
        <f t="shared" si="19"/>
        <v>0</v>
      </c>
      <c r="Q35" s="375">
        <f t="shared" si="19"/>
        <v>0</v>
      </c>
      <c r="R35" s="109">
        <f t="shared" ref="R35:R44" si="20">SUM(F35:Q35)</f>
        <v>0</v>
      </c>
      <c r="T35" s="7">
        <f t="shared" ref="T35:T44" si="21">C35-R35</f>
        <v>0</v>
      </c>
    </row>
    <row r="36" spans="1:20" x14ac:dyDescent="0.2">
      <c r="A36" s="87">
        <v>41246.016000000003</v>
      </c>
      <c r="B36" s="15" t="s">
        <v>16</v>
      </c>
      <c r="C36" s="14"/>
      <c r="D36" s="13">
        <f t="shared" si="17"/>
        <v>0</v>
      </c>
      <c r="E36" s="131"/>
      <c r="F36" s="375">
        <f t="shared" si="18"/>
        <v>0</v>
      </c>
      <c r="G36" s="375">
        <f t="shared" si="19"/>
        <v>0</v>
      </c>
      <c r="H36" s="375">
        <f t="shared" si="19"/>
        <v>0</v>
      </c>
      <c r="I36" s="375">
        <f t="shared" si="19"/>
        <v>0</v>
      </c>
      <c r="J36" s="375">
        <f t="shared" si="19"/>
        <v>0</v>
      </c>
      <c r="K36" s="375">
        <f t="shared" si="19"/>
        <v>0</v>
      </c>
      <c r="L36" s="375">
        <f t="shared" si="19"/>
        <v>0</v>
      </c>
      <c r="M36" s="375">
        <f t="shared" si="19"/>
        <v>0</v>
      </c>
      <c r="N36" s="375">
        <f t="shared" si="19"/>
        <v>0</v>
      </c>
      <c r="O36" s="375">
        <f t="shared" si="19"/>
        <v>0</v>
      </c>
      <c r="P36" s="375">
        <f t="shared" si="19"/>
        <v>0</v>
      </c>
      <c r="Q36" s="375">
        <f t="shared" si="19"/>
        <v>0</v>
      </c>
      <c r="R36" s="109">
        <f t="shared" si="20"/>
        <v>0</v>
      </c>
      <c r="T36" s="7">
        <f t="shared" si="21"/>
        <v>0</v>
      </c>
    </row>
    <row r="37" spans="1:20" x14ac:dyDescent="0.2">
      <c r="A37" s="87">
        <v>41250.016000000003</v>
      </c>
      <c r="B37" s="15" t="s">
        <v>15</v>
      </c>
      <c r="C37" s="14"/>
      <c r="D37" s="13">
        <f t="shared" si="17"/>
        <v>0</v>
      </c>
      <c r="E37" s="131"/>
      <c r="F37" s="375">
        <f t="shared" si="18"/>
        <v>0</v>
      </c>
      <c r="G37" s="375">
        <f t="shared" si="19"/>
        <v>0</v>
      </c>
      <c r="H37" s="375">
        <f t="shared" si="19"/>
        <v>0</v>
      </c>
      <c r="I37" s="375">
        <f t="shared" si="19"/>
        <v>0</v>
      </c>
      <c r="J37" s="375">
        <f t="shared" si="19"/>
        <v>0</v>
      </c>
      <c r="K37" s="375">
        <f t="shared" si="19"/>
        <v>0</v>
      </c>
      <c r="L37" s="375">
        <f t="shared" si="19"/>
        <v>0</v>
      </c>
      <c r="M37" s="375">
        <f t="shared" si="19"/>
        <v>0</v>
      </c>
      <c r="N37" s="375">
        <f t="shared" si="19"/>
        <v>0</v>
      </c>
      <c r="O37" s="375">
        <f t="shared" si="19"/>
        <v>0</v>
      </c>
      <c r="P37" s="375">
        <f t="shared" si="19"/>
        <v>0</v>
      </c>
      <c r="Q37" s="375">
        <f t="shared" si="19"/>
        <v>0</v>
      </c>
      <c r="R37" s="109">
        <f t="shared" si="20"/>
        <v>0</v>
      </c>
      <c r="T37" s="7">
        <f t="shared" si="21"/>
        <v>0</v>
      </c>
    </row>
    <row r="38" spans="1:20" x14ac:dyDescent="0.2">
      <c r="A38" s="87">
        <v>41260.016000000003</v>
      </c>
      <c r="B38" s="15" t="s">
        <v>14</v>
      </c>
      <c r="C38" s="14"/>
      <c r="D38" s="13">
        <f t="shared" si="17"/>
        <v>0</v>
      </c>
      <c r="E38" s="131"/>
      <c r="F38" s="375">
        <f t="shared" si="18"/>
        <v>0</v>
      </c>
      <c r="G38" s="375">
        <f t="shared" si="19"/>
        <v>0</v>
      </c>
      <c r="H38" s="375">
        <f t="shared" si="19"/>
        <v>0</v>
      </c>
      <c r="I38" s="375">
        <f t="shared" si="19"/>
        <v>0</v>
      </c>
      <c r="J38" s="375">
        <f t="shared" si="19"/>
        <v>0</v>
      </c>
      <c r="K38" s="375">
        <f t="shared" si="19"/>
        <v>0</v>
      </c>
      <c r="L38" s="375">
        <f t="shared" si="19"/>
        <v>0</v>
      </c>
      <c r="M38" s="375">
        <f t="shared" si="19"/>
        <v>0</v>
      </c>
      <c r="N38" s="375">
        <f t="shared" si="19"/>
        <v>0</v>
      </c>
      <c r="O38" s="375">
        <f t="shared" si="19"/>
        <v>0</v>
      </c>
      <c r="P38" s="375">
        <f t="shared" si="19"/>
        <v>0</v>
      </c>
      <c r="Q38" s="375">
        <f t="shared" si="19"/>
        <v>0</v>
      </c>
      <c r="R38" s="109">
        <f t="shared" si="20"/>
        <v>0</v>
      </c>
      <c r="T38" s="7">
        <f t="shared" si="21"/>
        <v>0</v>
      </c>
    </row>
    <row r="39" spans="1:20" x14ac:dyDescent="0.2">
      <c r="A39" s="132">
        <v>41365.016000000003</v>
      </c>
      <c r="B39" s="15" t="s">
        <v>10</v>
      </c>
      <c r="C39" s="14"/>
      <c r="D39" s="13">
        <f t="shared" si="17"/>
        <v>0</v>
      </c>
      <c r="E39" s="131"/>
      <c r="F39" s="375">
        <f t="shared" si="18"/>
        <v>0</v>
      </c>
      <c r="G39" s="375">
        <f t="shared" si="19"/>
        <v>0</v>
      </c>
      <c r="H39" s="375">
        <f t="shared" si="19"/>
        <v>0</v>
      </c>
      <c r="I39" s="375">
        <f t="shared" si="19"/>
        <v>0</v>
      </c>
      <c r="J39" s="375">
        <f t="shared" si="19"/>
        <v>0</v>
      </c>
      <c r="K39" s="375">
        <f t="shared" si="19"/>
        <v>0</v>
      </c>
      <c r="L39" s="375">
        <f t="shared" si="19"/>
        <v>0</v>
      </c>
      <c r="M39" s="375">
        <f t="shared" si="19"/>
        <v>0</v>
      </c>
      <c r="N39" s="375">
        <f t="shared" si="19"/>
        <v>0</v>
      </c>
      <c r="O39" s="375">
        <f t="shared" si="19"/>
        <v>0</v>
      </c>
      <c r="P39" s="375">
        <f t="shared" si="19"/>
        <v>0</v>
      </c>
      <c r="Q39" s="375">
        <f t="shared" si="19"/>
        <v>0</v>
      </c>
      <c r="R39" s="109">
        <f t="shared" si="20"/>
        <v>0</v>
      </c>
      <c r="T39" s="7">
        <f t="shared" si="21"/>
        <v>0</v>
      </c>
    </row>
    <row r="40" spans="1:20" x14ac:dyDescent="0.2">
      <c r="A40" s="87">
        <v>41426.016000000003</v>
      </c>
      <c r="B40" s="15" t="s">
        <v>8</v>
      </c>
      <c r="C40" s="14"/>
      <c r="D40" s="13">
        <f t="shared" si="17"/>
        <v>0</v>
      </c>
      <c r="E40" s="131"/>
      <c r="F40" s="375">
        <f t="shared" si="18"/>
        <v>0</v>
      </c>
      <c r="G40" s="375">
        <f t="shared" si="19"/>
        <v>0</v>
      </c>
      <c r="H40" s="375">
        <f t="shared" si="19"/>
        <v>0</v>
      </c>
      <c r="I40" s="375">
        <f t="shared" si="19"/>
        <v>0</v>
      </c>
      <c r="J40" s="375">
        <f t="shared" si="19"/>
        <v>0</v>
      </c>
      <c r="K40" s="375">
        <f t="shared" si="19"/>
        <v>0</v>
      </c>
      <c r="L40" s="375">
        <f t="shared" si="19"/>
        <v>0</v>
      </c>
      <c r="M40" s="375">
        <f t="shared" si="19"/>
        <v>0</v>
      </c>
      <c r="N40" s="375">
        <f t="shared" si="19"/>
        <v>0</v>
      </c>
      <c r="O40" s="375">
        <f t="shared" si="19"/>
        <v>0</v>
      </c>
      <c r="P40" s="375">
        <f t="shared" si="19"/>
        <v>0</v>
      </c>
      <c r="Q40" s="375">
        <f t="shared" si="19"/>
        <v>0</v>
      </c>
      <c r="R40" s="109">
        <f t="shared" si="20"/>
        <v>0</v>
      </c>
      <c r="T40" s="7">
        <f t="shared" si="21"/>
        <v>0</v>
      </c>
    </row>
    <row r="41" spans="1:20" x14ac:dyDescent="0.2">
      <c r="A41" s="87">
        <v>41490.016000000003</v>
      </c>
      <c r="B41" s="15" t="s">
        <v>367</v>
      </c>
      <c r="C41" s="14"/>
      <c r="D41" s="13">
        <f t="shared" si="17"/>
        <v>0</v>
      </c>
      <c r="E41" s="131"/>
      <c r="F41" s="375">
        <f t="shared" si="18"/>
        <v>0</v>
      </c>
      <c r="G41" s="375">
        <f t="shared" si="18"/>
        <v>0</v>
      </c>
      <c r="H41" s="375">
        <f t="shared" si="18"/>
        <v>0</v>
      </c>
      <c r="I41" s="375">
        <f t="shared" si="18"/>
        <v>0</v>
      </c>
      <c r="J41" s="375">
        <f t="shared" si="18"/>
        <v>0</v>
      </c>
      <c r="K41" s="375">
        <f t="shared" si="18"/>
        <v>0</v>
      </c>
      <c r="L41" s="375">
        <f t="shared" si="18"/>
        <v>0</v>
      </c>
      <c r="M41" s="375">
        <f t="shared" si="18"/>
        <v>0</v>
      </c>
      <c r="N41" s="375">
        <f t="shared" si="18"/>
        <v>0</v>
      </c>
      <c r="O41" s="375">
        <f t="shared" si="18"/>
        <v>0</v>
      </c>
      <c r="P41" s="375">
        <f t="shared" si="18"/>
        <v>0</v>
      </c>
      <c r="Q41" s="375">
        <f t="shared" si="18"/>
        <v>0</v>
      </c>
      <c r="R41" s="109">
        <f t="shared" si="20"/>
        <v>0</v>
      </c>
      <c r="T41" s="7">
        <f t="shared" si="21"/>
        <v>0</v>
      </c>
    </row>
    <row r="42" spans="1:20" x14ac:dyDescent="0.2">
      <c r="A42" s="87">
        <v>41509.016000000003</v>
      </c>
      <c r="B42" s="15" t="s">
        <v>3</v>
      </c>
      <c r="C42" s="14"/>
      <c r="D42" s="13">
        <f t="shared" si="17"/>
        <v>0</v>
      </c>
      <c r="E42" s="131"/>
      <c r="F42" s="375">
        <f t="shared" si="18"/>
        <v>0</v>
      </c>
      <c r="G42" s="375">
        <f t="shared" si="18"/>
        <v>0</v>
      </c>
      <c r="H42" s="375">
        <f t="shared" si="18"/>
        <v>0</v>
      </c>
      <c r="I42" s="375">
        <f t="shared" si="18"/>
        <v>0</v>
      </c>
      <c r="J42" s="375">
        <f t="shared" si="18"/>
        <v>0</v>
      </c>
      <c r="K42" s="375">
        <f t="shared" si="18"/>
        <v>0</v>
      </c>
      <c r="L42" s="375">
        <f t="shared" si="18"/>
        <v>0</v>
      </c>
      <c r="M42" s="375">
        <f t="shared" si="18"/>
        <v>0</v>
      </c>
      <c r="N42" s="375">
        <f t="shared" si="18"/>
        <v>0</v>
      </c>
      <c r="O42" s="375">
        <f t="shared" si="18"/>
        <v>0</v>
      </c>
      <c r="P42" s="375">
        <f t="shared" si="18"/>
        <v>0</v>
      </c>
      <c r="Q42" s="375">
        <f t="shared" si="18"/>
        <v>0</v>
      </c>
      <c r="R42" s="109">
        <f t="shared" si="20"/>
        <v>0</v>
      </c>
      <c r="T42" s="7">
        <f t="shared" si="21"/>
        <v>0</v>
      </c>
    </row>
    <row r="43" spans="1:20" x14ac:dyDescent="0.2">
      <c r="A43" s="87">
        <v>41570.016000000003</v>
      </c>
      <c r="B43" s="15" t="s">
        <v>2</v>
      </c>
      <c r="C43" s="14">
        <f>[6]Endoscopy!$I$15</f>
        <v>8400</v>
      </c>
      <c r="D43" s="13">
        <f t="shared" si="17"/>
        <v>28</v>
      </c>
      <c r="E43" s="131"/>
      <c r="F43" s="375">
        <f t="shared" si="18"/>
        <v>700</v>
      </c>
      <c r="G43" s="375">
        <f t="shared" si="18"/>
        <v>868</v>
      </c>
      <c r="H43" s="375">
        <f t="shared" si="18"/>
        <v>392</v>
      </c>
      <c r="I43" s="375">
        <f t="shared" si="18"/>
        <v>588</v>
      </c>
      <c r="J43" s="375">
        <f t="shared" si="18"/>
        <v>1092</v>
      </c>
      <c r="K43" s="375">
        <f t="shared" si="18"/>
        <v>560</v>
      </c>
      <c r="L43" s="375">
        <f t="shared" si="18"/>
        <v>728</v>
      </c>
      <c r="M43" s="375">
        <f t="shared" si="18"/>
        <v>868</v>
      </c>
      <c r="N43" s="375">
        <f t="shared" si="18"/>
        <v>532</v>
      </c>
      <c r="O43" s="375">
        <f t="shared" si="18"/>
        <v>644</v>
      </c>
      <c r="P43" s="375">
        <f t="shared" si="18"/>
        <v>812</v>
      </c>
      <c r="Q43" s="375">
        <f t="shared" si="18"/>
        <v>616</v>
      </c>
      <c r="R43" s="109">
        <f t="shared" si="20"/>
        <v>8400</v>
      </c>
      <c r="T43" s="7">
        <f t="shared" si="21"/>
        <v>0</v>
      </c>
    </row>
    <row r="44" spans="1:20" x14ac:dyDescent="0.2">
      <c r="A44" s="31"/>
      <c r="B44" s="77" t="s">
        <v>0</v>
      </c>
      <c r="C44" s="88">
        <f>SUM(C35:C43)</f>
        <v>8400</v>
      </c>
      <c r="F44" s="379">
        <f t="shared" ref="F44:Q44" si="22">SUM(F35:F43)</f>
        <v>700</v>
      </c>
      <c r="G44" s="379">
        <f t="shared" si="22"/>
        <v>868</v>
      </c>
      <c r="H44" s="379">
        <f t="shared" si="22"/>
        <v>392</v>
      </c>
      <c r="I44" s="379">
        <f t="shared" si="22"/>
        <v>588</v>
      </c>
      <c r="J44" s="379">
        <f t="shared" si="22"/>
        <v>1092</v>
      </c>
      <c r="K44" s="379">
        <f t="shared" si="22"/>
        <v>560</v>
      </c>
      <c r="L44" s="379">
        <f t="shared" si="22"/>
        <v>728</v>
      </c>
      <c r="M44" s="379">
        <f t="shared" si="22"/>
        <v>868</v>
      </c>
      <c r="N44" s="379">
        <f t="shared" si="22"/>
        <v>532</v>
      </c>
      <c r="O44" s="379">
        <f t="shared" si="22"/>
        <v>644</v>
      </c>
      <c r="P44" s="379">
        <f t="shared" si="22"/>
        <v>812</v>
      </c>
      <c r="Q44" s="379">
        <f t="shared" si="22"/>
        <v>616</v>
      </c>
      <c r="R44" s="109">
        <f t="shared" si="20"/>
        <v>8400</v>
      </c>
      <c r="T44" s="7">
        <f t="shared" si="21"/>
        <v>0</v>
      </c>
    </row>
    <row r="45" spans="1:20" x14ac:dyDescent="0.2">
      <c r="A45" s="4"/>
      <c r="B45" s="4"/>
      <c r="C45" s="7">
        <f>C44-C32</f>
        <v>-310838.09402146144</v>
      </c>
    </row>
    <row r="46" spans="1:20" x14ac:dyDescent="0.2">
      <c r="C46" s="3"/>
    </row>
    <row r="47" spans="1:20" x14ac:dyDescent="0.2">
      <c r="C47" s="3"/>
      <c r="D47" s="286"/>
    </row>
    <row r="48" spans="1:20" x14ac:dyDescent="0.2">
      <c r="C48" s="96"/>
      <c r="D48" s="286"/>
    </row>
    <row r="49" spans="3:4" x14ac:dyDescent="0.2">
      <c r="D49" s="286"/>
    </row>
    <row r="50" spans="3:4" x14ac:dyDescent="0.2">
      <c r="C50" s="3"/>
      <c r="D50" s="286"/>
    </row>
    <row r="51" spans="3:4" x14ac:dyDescent="0.2">
      <c r="D51" s="286"/>
    </row>
    <row r="52" spans="3:4" x14ac:dyDescent="0.2">
      <c r="C52" s="96"/>
      <c r="D52" s="286"/>
    </row>
    <row r="53" spans="3:4" x14ac:dyDescent="0.2">
      <c r="D53" s="286"/>
    </row>
  </sheetData>
  <mergeCells count="2">
    <mergeCell ref="A6:D6"/>
    <mergeCell ref="A33:D33"/>
  </mergeCells>
  <printOptions gridLines="1"/>
  <pageMargins left="0.25" right="0.25" top="0.75" bottom="0.75" header="0.3" footer="0.3"/>
  <pageSetup scale="53" orientation="landscape" r:id="rId1"/>
  <headerFooter alignWithMargins="0">
    <oddHeader xml:space="preserve">&amp;C&amp;"Arial,Bold"&amp;14DOCTORS MEMORIAL HOSPITAL
FY 2017 BUDGET
</oddHeader>
    <oddFooter xml:space="preserve">&amp;R&amp;A
</oddFooter>
  </headerFooter>
  <ignoredErrors>
    <ignoredError sqref="F15:Q15"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52"/>
  <sheetViews>
    <sheetView zoomScale="80" zoomScaleNormal="80" workbookViewId="0">
      <pane xSplit="2" ySplit="4" topLeftCell="C14" activePane="bottomRight" state="frozen"/>
      <selection pane="topRight" activeCell="C1" sqref="C1"/>
      <selection pane="bottomLeft" activeCell="A5" sqref="A5"/>
      <selection pane="bottomRight" activeCell="C39" sqref="C39"/>
    </sheetView>
  </sheetViews>
  <sheetFormatPr defaultRowHeight="12.75" x14ac:dyDescent="0.2"/>
  <cols>
    <col min="1" max="1" width="11" style="2" bestFit="1" customWidth="1"/>
    <col min="2" max="2" width="24.5703125" style="2" customWidth="1"/>
    <col min="3" max="3" width="14" style="2" bestFit="1" customWidth="1"/>
    <col min="4" max="4" width="9.140625" style="4"/>
    <col min="5" max="5" width="4.28515625" style="4" customWidth="1"/>
    <col min="6" max="6" width="13.42578125" style="7" bestFit="1" customWidth="1"/>
    <col min="7" max="7" width="12.28515625" style="7" bestFit="1" customWidth="1"/>
    <col min="8" max="8" width="11.5703125" style="7" bestFit="1" customWidth="1"/>
    <col min="9" max="9" width="11.85546875" style="7" bestFit="1" customWidth="1"/>
    <col min="10" max="10" width="13.28515625" style="7" bestFit="1" customWidth="1"/>
    <col min="11" max="11" width="11.5703125" style="7" bestFit="1" customWidth="1"/>
    <col min="12" max="12" width="12.7109375" style="7" bestFit="1" customWidth="1"/>
    <col min="13" max="13" width="13" style="7" bestFit="1" customWidth="1"/>
    <col min="14" max="14" width="11.5703125" style="3" bestFit="1" customWidth="1"/>
    <col min="15" max="15" width="12.7109375" style="3" bestFit="1" customWidth="1"/>
    <col min="16" max="16" width="12" style="3" bestFit="1" customWidth="1"/>
    <col min="17" max="17" width="13.42578125" style="3" bestFit="1" customWidth="1"/>
    <col min="18" max="18" width="14.85546875" style="96" bestFit="1" customWidth="1"/>
    <col min="19" max="19" width="2.7109375" style="2" customWidth="1"/>
    <col min="20" max="20" width="9.85546875" style="2" bestFit="1" customWidth="1"/>
    <col min="21" max="22" width="9.140625" style="2"/>
    <col min="23" max="145" width="9.140625" style="1"/>
    <col min="146" max="146" width="11" style="1" bestFit="1" customWidth="1"/>
    <col min="147" max="147" width="28.140625" style="1" bestFit="1" customWidth="1"/>
    <col min="148" max="148" width="14" style="1" bestFit="1" customWidth="1"/>
    <col min="149" max="149" width="9.140625" style="1"/>
    <col min="150" max="150" width="13.85546875" style="1" bestFit="1" customWidth="1"/>
    <col min="151" max="151" width="9.140625" style="1"/>
    <col min="152" max="152" width="14" style="1" customWidth="1"/>
    <col min="153" max="153" width="9.140625" style="1"/>
    <col min="154" max="154" width="12.85546875" style="1" bestFit="1" customWidth="1"/>
    <col min="155" max="155" width="10" style="1" customWidth="1"/>
    <col min="156" max="156" width="14" style="1" bestFit="1" customWidth="1"/>
    <col min="157" max="157" width="9.85546875" style="1" bestFit="1" customWidth="1"/>
    <col min="158" max="158" width="13.5703125" style="1" bestFit="1" customWidth="1"/>
    <col min="159" max="159" width="9.85546875" style="1" bestFit="1" customWidth="1"/>
    <col min="160" max="160" width="12.85546875" style="1" bestFit="1" customWidth="1"/>
    <col min="161" max="172" width="10.5703125" style="1" customWidth="1"/>
    <col min="173" max="173" width="11.140625" style="1" bestFit="1" customWidth="1"/>
    <col min="174" max="174" width="2.7109375" style="1" customWidth="1"/>
    <col min="175" max="175" width="9.85546875" style="1" bestFit="1" customWidth="1"/>
    <col min="176" max="177" width="9.140625" style="1"/>
    <col min="178" max="178" width="24" style="1" customWidth="1"/>
    <col min="179" max="181" width="9.140625" style="1"/>
    <col min="182" max="182" width="9" style="1" bestFit="1" customWidth="1"/>
    <col min="183" max="192" width="9.28515625" style="1" bestFit="1" customWidth="1"/>
    <col min="193" max="193" width="10.28515625" style="1" bestFit="1" customWidth="1"/>
    <col min="194" max="194" width="11.28515625" style="1" bestFit="1" customWidth="1"/>
    <col min="195" max="195" width="11.7109375" style="1" customWidth="1"/>
    <col min="196" max="196" width="9.140625" style="1"/>
    <col min="197" max="197" width="22.28515625" style="1" customWidth="1"/>
    <col min="198" max="198" width="9.140625" style="1"/>
    <col min="199" max="199" width="9.28515625" style="1" bestFit="1" customWidth="1"/>
    <col min="200" max="200" width="9.42578125" style="1" bestFit="1" customWidth="1"/>
    <col min="201" max="201" width="9.28515625" style="1" bestFit="1" customWidth="1"/>
    <col min="202" max="202" width="10.28515625" style="1" bestFit="1" customWidth="1"/>
    <col min="203" max="204" width="9.28515625" style="1" bestFit="1" customWidth="1"/>
    <col min="205" max="206" width="10.28515625" style="1" bestFit="1" customWidth="1"/>
    <col min="207" max="211" width="9.28515625" style="1" bestFit="1" customWidth="1"/>
    <col min="212" max="212" width="10.42578125" style="1" bestFit="1" customWidth="1"/>
    <col min="213" max="213" width="9.140625" style="1"/>
    <col min="214" max="214" width="24.85546875" style="1" customWidth="1"/>
    <col min="215" max="215" width="9.140625" style="1"/>
    <col min="216" max="228" width="9.28515625" style="1" bestFit="1" customWidth="1"/>
    <col min="229" max="229" width="10.28515625" style="1" bestFit="1" customWidth="1"/>
    <col min="230" max="230" width="9.5703125" style="1" bestFit="1" customWidth="1"/>
    <col min="231" max="231" width="18.5703125" style="1" customWidth="1"/>
    <col min="232" max="233" width="9.140625" style="1"/>
    <col min="234" max="236" width="12.140625" style="1" bestFit="1" customWidth="1"/>
    <col min="237" max="245" width="10.28515625" style="1" bestFit="1" customWidth="1"/>
    <col min="246" max="246" width="11.28515625" style="1" bestFit="1" customWidth="1"/>
    <col min="247" max="247" width="9.140625" style="1"/>
    <col min="248" max="248" width="19" style="1" customWidth="1"/>
    <col min="249" max="265" width="9.140625" style="1"/>
    <col min="266" max="276" width="11.28515625" style="1" bestFit="1" customWidth="1"/>
    <col min="277" max="277" width="10.28515625" style="1" bestFit="1" customWidth="1"/>
    <col min="278" max="278" width="12.85546875" style="1" bestFit="1" customWidth="1"/>
    <col min="279" max="401" width="9.140625" style="1"/>
    <col min="402" max="402" width="11" style="1" bestFit="1" customWidth="1"/>
    <col min="403" max="403" width="28.140625" style="1" bestFit="1" customWidth="1"/>
    <col min="404" max="404" width="14" style="1" bestFit="1" customWidth="1"/>
    <col min="405" max="405" width="9.140625" style="1"/>
    <col min="406" max="406" width="13.85546875" style="1" bestFit="1" customWidth="1"/>
    <col min="407" max="407" width="9.140625" style="1"/>
    <col min="408" max="408" width="14" style="1" customWidth="1"/>
    <col min="409" max="409" width="9.140625" style="1"/>
    <col min="410" max="410" width="12.85546875" style="1" bestFit="1" customWidth="1"/>
    <col min="411" max="411" width="10" style="1" customWidth="1"/>
    <col min="412" max="412" width="14" style="1" bestFit="1" customWidth="1"/>
    <col min="413" max="413" width="9.85546875" style="1" bestFit="1" customWidth="1"/>
    <col min="414" max="414" width="13.5703125" style="1" bestFit="1" customWidth="1"/>
    <col min="415" max="415" width="9.85546875" style="1" bestFit="1" customWidth="1"/>
    <col min="416" max="416" width="12.85546875" style="1" bestFit="1" customWidth="1"/>
    <col min="417" max="428" width="10.5703125" style="1" customWidth="1"/>
    <col min="429" max="429" width="11.140625" style="1" bestFit="1" customWidth="1"/>
    <col min="430" max="430" width="2.7109375" style="1" customWidth="1"/>
    <col min="431" max="431" width="9.85546875" style="1" bestFit="1" customWidth="1"/>
    <col min="432" max="433" width="9.140625" style="1"/>
    <col min="434" max="434" width="24" style="1" customWidth="1"/>
    <col min="435" max="437" width="9.140625" style="1"/>
    <col min="438" max="438" width="9" style="1" bestFit="1" customWidth="1"/>
    <col min="439" max="448" width="9.28515625" style="1" bestFit="1" customWidth="1"/>
    <col min="449" max="449" width="10.28515625" style="1" bestFit="1" customWidth="1"/>
    <col min="450" max="450" width="11.28515625" style="1" bestFit="1" customWidth="1"/>
    <col min="451" max="451" width="11.7109375" style="1" customWidth="1"/>
    <col min="452" max="452" width="9.140625" style="1"/>
    <col min="453" max="453" width="22.28515625" style="1" customWidth="1"/>
    <col min="454" max="454" width="9.140625" style="1"/>
    <col min="455" max="455" width="9.28515625" style="1" bestFit="1" customWidth="1"/>
    <col min="456" max="456" width="9.42578125" style="1" bestFit="1" customWidth="1"/>
    <col min="457" max="457" width="9.28515625" style="1" bestFit="1" customWidth="1"/>
    <col min="458" max="458" width="10.28515625" style="1" bestFit="1" customWidth="1"/>
    <col min="459" max="460" width="9.28515625" style="1" bestFit="1" customWidth="1"/>
    <col min="461" max="462" width="10.28515625" style="1" bestFit="1" customWidth="1"/>
    <col min="463" max="467" width="9.28515625" style="1" bestFit="1" customWidth="1"/>
    <col min="468" max="468" width="10.42578125" style="1" bestFit="1" customWidth="1"/>
    <col min="469" max="469" width="9.140625" style="1"/>
    <col min="470" max="470" width="24.85546875" style="1" customWidth="1"/>
    <col min="471" max="471" width="9.140625" style="1"/>
    <col min="472" max="484" width="9.28515625" style="1" bestFit="1" customWidth="1"/>
    <col min="485" max="485" width="10.28515625" style="1" bestFit="1" customWidth="1"/>
    <col min="486" max="486" width="9.5703125" style="1" bestFit="1" customWidth="1"/>
    <col min="487" max="487" width="18.5703125" style="1" customWidth="1"/>
    <col min="488" max="489" width="9.140625" style="1"/>
    <col min="490" max="492" width="12.140625" style="1" bestFit="1" customWidth="1"/>
    <col min="493" max="501" width="10.28515625" style="1" bestFit="1" customWidth="1"/>
    <col min="502" max="502" width="11.28515625" style="1" bestFit="1" customWidth="1"/>
    <col min="503" max="503" width="9.140625" style="1"/>
    <col min="504" max="504" width="19" style="1" customWidth="1"/>
    <col min="505" max="521" width="9.140625" style="1"/>
    <col min="522" max="532" width="11.28515625" style="1" bestFit="1" customWidth="1"/>
    <col min="533" max="533" width="10.28515625" style="1" bestFit="1" customWidth="1"/>
    <col min="534" max="534" width="12.85546875" style="1" bestFit="1" customWidth="1"/>
    <col min="535" max="657" width="9.140625" style="1"/>
    <col min="658" max="658" width="11" style="1" bestFit="1" customWidth="1"/>
    <col min="659" max="659" width="28.140625" style="1" bestFit="1" customWidth="1"/>
    <col min="660" max="660" width="14" style="1" bestFit="1" customWidth="1"/>
    <col min="661" max="661" width="9.140625" style="1"/>
    <col min="662" max="662" width="13.85546875" style="1" bestFit="1" customWidth="1"/>
    <col min="663" max="663" width="9.140625" style="1"/>
    <col min="664" max="664" width="14" style="1" customWidth="1"/>
    <col min="665" max="665" width="9.140625" style="1"/>
    <col min="666" max="666" width="12.85546875" style="1" bestFit="1" customWidth="1"/>
    <col min="667" max="667" width="10" style="1" customWidth="1"/>
    <col min="668" max="668" width="14" style="1" bestFit="1" customWidth="1"/>
    <col min="669" max="669" width="9.85546875" style="1" bestFit="1" customWidth="1"/>
    <col min="670" max="670" width="13.5703125" style="1" bestFit="1" customWidth="1"/>
    <col min="671" max="671" width="9.85546875" style="1" bestFit="1" customWidth="1"/>
    <col min="672" max="672" width="12.85546875" style="1" bestFit="1" customWidth="1"/>
    <col min="673" max="684" width="10.5703125" style="1" customWidth="1"/>
    <col min="685" max="685" width="11.140625" style="1" bestFit="1" customWidth="1"/>
    <col min="686" max="686" width="2.7109375" style="1" customWidth="1"/>
    <col min="687" max="687" width="9.85546875" style="1" bestFit="1" customWidth="1"/>
    <col min="688" max="689" width="9.140625" style="1"/>
    <col min="690" max="690" width="24" style="1" customWidth="1"/>
    <col min="691" max="693" width="9.140625" style="1"/>
    <col min="694" max="694" width="9" style="1" bestFit="1" customWidth="1"/>
    <col min="695" max="704" width="9.28515625" style="1" bestFit="1" customWidth="1"/>
    <col min="705" max="705" width="10.28515625" style="1" bestFit="1" customWidth="1"/>
    <col min="706" max="706" width="11.28515625" style="1" bestFit="1" customWidth="1"/>
    <col min="707" max="707" width="11.7109375" style="1" customWidth="1"/>
    <col min="708" max="708" width="9.140625" style="1"/>
    <col min="709" max="709" width="22.28515625" style="1" customWidth="1"/>
    <col min="710" max="710" width="9.140625" style="1"/>
    <col min="711" max="711" width="9.28515625" style="1" bestFit="1" customWidth="1"/>
    <col min="712" max="712" width="9.42578125" style="1" bestFit="1" customWidth="1"/>
    <col min="713" max="713" width="9.28515625" style="1" bestFit="1" customWidth="1"/>
    <col min="714" max="714" width="10.28515625" style="1" bestFit="1" customWidth="1"/>
    <col min="715" max="716" width="9.28515625" style="1" bestFit="1" customWidth="1"/>
    <col min="717" max="718" width="10.28515625" style="1" bestFit="1" customWidth="1"/>
    <col min="719" max="723" width="9.28515625" style="1" bestFit="1" customWidth="1"/>
    <col min="724" max="724" width="10.42578125" style="1" bestFit="1" customWidth="1"/>
    <col min="725" max="725" width="9.140625" style="1"/>
    <col min="726" max="726" width="24.85546875" style="1" customWidth="1"/>
    <col min="727" max="727" width="9.140625" style="1"/>
    <col min="728" max="740" width="9.28515625" style="1" bestFit="1" customWidth="1"/>
    <col min="741" max="741" width="10.28515625" style="1" bestFit="1" customWidth="1"/>
    <col min="742" max="742" width="9.5703125" style="1" bestFit="1" customWidth="1"/>
    <col min="743" max="743" width="18.5703125" style="1" customWidth="1"/>
    <col min="744" max="745" width="9.140625" style="1"/>
    <col min="746" max="748" width="12.140625" style="1" bestFit="1" customWidth="1"/>
    <col min="749" max="757" width="10.28515625" style="1" bestFit="1" customWidth="1"/>
    <col min="758" max="758" width="11.28515625" style="1" bestFit="1" customWidth="1"/>
    <col min="759" max="759" width="9.140625" style="1"/>
    <col min="760" max="760" width="19" style="1" customWidth="1"/>
    <col min="761" max="777" width="9.140625" style="1"/>
    <col min="778" max="788" width="11.28515625" style="1" bestFit="1" customWidth="1"/>
    <col min="789" max="789" width="10.28515625" style="1" bestFit="1" customWidth="1"/>
    <col min="790" max="790" width="12.85546875" style="1" bestFit="1" customWidth="1"/>
    <col min="791" max="913" width="9.140625" style="1"/>
    <col min="914" max="914" width="11" style="1" bestFit="1" customWidth="1"/>
    <col min="915" max="915" width="28.140625" style="1" bestFit="1" customWidth="1"/>
    <col min="916" max="916" width="14" style="1" bestFit="1" customWidth="1"/>
    <col min="917" max="917" width="9.140625" style="1"/>
    <col min="918" max="918" width="13.85546875" style="1" bestFit="1" customWidth="1"/>
    <col min="919" max="919" width="9.140625" style="1"/>
    <col min="920" max="920" width="14" style="1" customWidth="1"/>
    <col min="921" max="921" width="9.140625" style="1"/>
    <col min="922" max="922" width="12.85546875" style="1" bestFit="1" customWidth="1"/>
    <col min="923" max="923" width="10" style="1" customWidth="1"/>
    <col min="924" max="924" width="14" style="1" bestFit="1" customWidth="1"/>
    <col min="925" max="925" width="9.85546875" style="1" bestFit="1" customWidth="1"/>
    <col min="926" max="926" width="13.5703125" style="1" bestFit="1" customWidth="1"/>
    <col min="927" max="927" width="9.85546875" style="1" bestFit="1" customWidth="1"/>
    <col min="928" max="928" width="12.85546875" style="1" bestFit="1" customWidth="1"/>
    <col min="929" max="940" width="10.5703125" style="1" customWidth="1"/>
    <col min="941" max="941" width="11.140625" style="1" bestFit="1" customWidth="1"/>
    <col min="942" max="942" width="2.7109375" style="1" customWidth="1"/>
    <col min="943" max="943" width="9.85546875" style="1" bestFit="1" customWidth="1"/>
    <col min="944" max="945" width="9.140625" style="1"/>
    <col min="946" max="946" width="24" style="1" customWidth="1"/>
    <col min="947" max="949" width="9.140625" style="1"/>
    <col min="950" max="950" width="9" style="1" bestFit="1" customWidth="1"/>
    <col min="951" max="960" width="9.28515625" style="1" bestFit="1" customWidth="1"/>
    <col min="961" max="961" width="10.28515625" style="1" bestFit="1" customWidth="1"/>
    <col min="962" max="962" width="11.28515625" style="1" bestFit="1" customWidth="1"/>
    <col min="963" max="963" width="11.7109375" style="1" customWidth="1"/>
    <col min="964" max="964" width="9.140625" style="1"/>
    <col min="965" max="965" width="22.28515625" style="1" customWidth="1"/>
    <col min="966" max="966" width="9.140625" style="1"/>
    <col min="967" max="967" width="9.28515625" style="1" bestFit="1" customWidth="1"/>
    <col min="968" max="968" width="9.42578125" style="1" bestFit="1" customWidth="1"/>
    <col min="969" max="969" width="9.28515625" style="1" bestFit="1" customWidth="1"/>
    <col min="970" max="970" width="10.28515625" style="1" bestFit="1" customWidth="1"/>
    <col min="971" max="972" width="9.28515625" style="1" bestFit="1" customWidth="1"/>
    <col min="973" max="974" width="10.28515625" style="1" bestFit="1" customWidth="1"/>
    <col min="975" max="979" width="9.28515625" style="1" bestFit="1" customWidth="1"/>
    <col min="980" max="980" width="10.42578125" style="1" bestFit="1" customWidth="1"/>
    <col min="981" max="981" width="9.140625" style="1"/>
    <col min="982" max="982" width="24.85546875" style="1" customWidth="1"/>
    <col min="983" max="983" width="9.140625" style="1"/>
    <col min="984" max="996" width="9.28515625" style="1" bestFit="1" customWidth="1"/>
    <col min="997" max="997" width="10.28515625" style="1" bestFit="1" customWidth="1"/>
    <col min="998" max="998" width="9.5703125" style="1" bestFit="1" customWidth="1"/>
    <col min="999" max="999" width="18.5703125" style="1" customWidth="1"/>
    <col min="1000" max="1001" width="9.140625" style="1"/>
    <col min="1002" max="1004" width="12.140625" style="1" bestFit="1" customWidth="1"/>
    <col min="1005" max="1013" width="10.28515625" style="1" bestFit="1" customWidth="1"/>
    <col min="1014" max="1014" width="11.28515625" style="1" bestFit="1" customWidth="1"/>
    <col min="1015" max="1015" width="9.140625" style="1"/>
    <col min="1016" max="1016" width="19" style="1" customWidth="1"/>
    <col min="1017" max="1033" width="9.140625" style="1"/>
    <col min="1034" max="1044" width="11.28515625" style="1" bestFit="1" customWidth="1"/>
    <col min="1045" max="1045" width="10.28515625" style="1" bestFit="1" customWidth="1"/>
    <col min="1046" max="1046" width="12.85546875" style="1" bestFit="1" customWidth="1"/>
    <col min="1047" max="1169" width="9.140625" style="1"/>
    <col min="1170" max="1170" width="11" style="1" bestFit="1" customWidth="1"/>
    <col min="1171" max="1171" width="28.140625" style="1" bestFit="1" customWidth="1"/>
    <col min="1172" max="1172" width="14" style="1" bestFit="1" customWidth="1"/>
    <col min="1173" max="1173" width="9.140625" style="1"/>
    <col min="1174" max="1174" width="13.85546875" style="1" bestFit="1" customWidth="1"/>
    <col min="1175" max="1175" width="9.140625" style="1"/>
    <col min="1176" max="1176" width="14" style="1" customWidth="1"/>
    <col min="1177" max="1177" width="9.140625" style="1"/>
    <col min="1178" max="1178" width="12.85546875" style="1" bestFit="1" customWidth="1"/>
    <col min="1179" max="1179" width="10" style="1" customWidth="1"/>
    <col min="1180" max="1180" width="14" style="1" bestFit="1" customWidth="1"/>
    <col min="1181" max="1181" width="9.85546875" style="1" bestFit="1" customWidth="1"/>
    <col min="1182" max="1182" width="13.5703125" style="1" bestFit="1" customWidth="1"/>
    <col min="1183" max="1183" width="9.85546875" style="1" bestFit="1" customWidth="1"/>
    <col min="1184" max="1184" width="12.85546875" style="1" bestFit="1" customWidth="1"/>
    <col min="1185" max="1196" width="10.5703125" style="1" customWidth="1"/>
    <col min="1197" max="1197" width="11.140625" style="1" bestFit="1" customWidth="1"/>
    <col min="1198" max="1198" width="2.7109375" style="1" customWidth="1"/>
    <col min="1199" max="1199" width="9.85546875" style="1" bestFit="1" customWidth="1"/>
    <col min="1200" max="1201" width="9.140625" style="1"/>
    <col min="1202" max="1202" width="24" style="1" customWidth="1"/>
    <col min="1203" max="1205" width="9.140625" style="1"/>
    <col min="1206" max="1206" width="9" style="1" bestFit="1" customWidth="1"/>
    <col min="1207" max="1216" width="9.28515625" style="1" bestFit="1" customWidth="1"/>
    <col min="1217" max="1217" width="10.28515625" style="1" bestFit="1" customWidth="1"/>
    <col min="1218" max="1218" width="11.28515625" style="1" bestFit="1" customWidth="1"/>
    <col min="1219" max="1219" width="11.7109375" style="1" customWidth="1"/>
    <col min="1220" max="1220" width="9.140625" style="1"/>
    <col min="1221" max="1221" width="22.28515625" style="1" customWidth="1"/>
    <col min="1222" max="1222" width="9.140625" style="1"/>
    <col min="1223" max="1223" width="9.28515625" style="1" bestFit="1" customWidth="1"/>
    <col min="1224" max="1224" width="9.42578125" style="1" bestFit="1" customWidth="1"/>
    <col min="1225" max="1225" width="9.28515625" style="1" bestFit="1" customWidth="1"/>
    <col min="1226" max="1226" width="10.28515625" style="1" bestFit="1" customWidth="1"/>
    <col min="1227" max="1228" width="9.28515625" style="1" bestFit="1" customWidth="1"/>
    <col min="1229" max="1230" width="10.28515625" style="1" bestFit="1" customWidth="1"/>
    <col min="1231" max="1235" width="9.28515625" style="1" bestFit="1" customWidth="1"/>
    <col min="1236" max="1236" width="10.42578125" style="1" bestFit="1" customWidth="1"/>
    <col min="1237" max="1237" width="9.140625" style="1"/>
    <col min="1238" max="1238" width="24.85546875" style="1" customWidth="1"/>
    <col min="1239" max="1239" width="9.140625" style="1"/>
    <col min="1240" max="1252" width="9.28515625" style="1" bestFit="1" customWidth="1"/>
    <col min="1253" max="1253" width="10.28515625" style="1" bestFit="1" customWidth="1"/>
    <col min="1254" max="1254" width="9.5703125" style="1" bestFit="1" customWidth="1"/>
    <col min="1255" max="1255" width="18.5703125" style="1" customWidth="1"/>
    <col min="1256" max="1257" width="9.140625" style="1"/>
    <col min="1258" max="1260" width="12.140625" style="1" bestFit="1" customWidth="1"/>
    <col min="1261" max="1269" width="10.28515625" style="1" bestFit="1" customWidth="1"/>
    <col min="1270" max="1270" width="11.28515625" style="1" bestFit="1" customWidth="1"/>
    <col min="1271" max="1271" width="9.140625" style="1"/>
    <col min="1272" max="1272" width="19" style="1" customWidth="1"/>
    <col min="1273" max="1289" width="9.140625" style="1"/>
    <col min="1290" max="1300" width="11.28515625" style="1" bestFit="1" customWidth="1"/>
    <col min="1301" max="1301" width="10.28515625" style="1" bestFit="1" customWidth="1"/>
    <col min="1302" max="1302" width="12.85546875" style="1" bestFit="1" customWidth="1"/>
    <col min="1303" max="1425" width="9.140625" style="1"/>
    <col min="1426" max="1426" width="11" style="1" bestFit="1" customWidth="1"/>
    <col min="1427" max="1427" width="28.140625" style="1" bestFit="1" customWidth="1"/>
    <col min="1428" max="1428" width="14" style="1" bestFit="1" customWidth="1"/>
    <col min="1429" max="1429" width="9.140625" style="1"/>
    <col min="1430" max="1430" width="13.85546875" style="1" bestFit="1" customWidth="1"/>
    <col min="1431" max="1431" width="9.140625" style="1"/>
    <col min="1432" max="1432" width="14" style="1" customWidth="1"/>
    <col min="1433" max="1433" width="9.140625" style="1"/>
    <col min="1434" max="1434" width="12.85546875" style="1" bestFit="1" customWidth="1"/>
    <col min="1435" max="1435" width="10" style="1" customWidth="1"/>
    <col min="1436" max="1436" width="14" style="1" bestFit="1" customWidth="1"/>
    <col min="1437" max="1437" width="9.85546875" style="1" bestFit="1" customWidth="1"/>
    <col min="1438" max="1438" width="13.5703125" style="1" bestFit="1" customWidth="1"/>
    <col min="1439" max="1439" width="9.85546875" style="1" bestFit="1" customWidth="1"/>
    <col min="1440" max="1440" width="12.85546875" style="1" bestFit="1" customWidth="1"/>
    <col min="1441" max="1452" width="10.5703125" style="1" customWidth="1"/>
    <col min="1453" max="1453" width="11.140625" style="1" bestFit="1" customWidth="1"/>
    <col min="1454" max="1454" width="2.7109375" style="1" customWidth="1"/>
    <col min="1455" max="1455" width="9.85546875" style="1" bestFit="1" customWidth="1"/>
    <col min="1456" max="1457" width="9.140625" style="1"/>
    <col min="1458" max="1458" width="24" style="1" customWidth="1"/>
    <col min="1459" max="1461" width="9.140625" style="1"/>
    <col min="1462" max="1462" width="9" style="1" bestFit="1" customWidth="1"/>
    <col min="1463" max="1472" width="9.28515625" style="1" bestFit="1" customWidth="1"/>
    <col min="1473" max="1473" width="10.28515625" style="1" bestFit="1" customWidth="1"/>
    <col min="1474" max="1474" width="11.28515625" style="1" bestFit="1" customWidth="1"/>
    <col min="1475" max="1475" width="11.7109375" style="1" customWidth="1"/>
    <col min="1476" max="1476" width="9.140625" style="1"/>
    <col min="1477" max="1477" width="22.28515625" style="1" customWidth="1"/>
    <col min="1478" max="1478" width="9.140625" style="1"/>
    <col min="1479" max="1479" width="9.28515625" style="1" bestFit="1" customWidth="1"/>
    <col min="1480" max="1480" width="9.42578125" style="1" bestFit="1" customWidth="1"/>
    <col min="1481" max="1481" width="9.28515625" style="1" bestFit="1" customWidth="1"/>
    <col min="1482" max="1482" width="10.28515625" style="1" bestFit="1" customWidth="1"/>
    <col min="1483" max="1484" width="9.28515625" style="1" bestFit="1" customWidth="1"/>
    <col min="1485" max="1486" width="10.28515625" style="1" bestFit="1" customWidth="1"/>
    <col min="1487" max="1491" width="9.28515625" style="1" bestFit="1" customWidth="1"/>
    <col min="1492" max="1492" width="10.42578125" style="1" bestFit="1" customWidth="1"/>
    <col min="1493" max="1493" width="9.140625" style="1"/>
    <col min="1494" max="1494" width="24.85546875" style="1" customWidth="1"/>
    <col min="1495" max="1495" width="9.140625" style="1"/>
    <col min="1496" max="1508" width="9.28515625" style="1" bestFit="1" customWidth="1"/>
    <col min="1509" max="1509" width="10.28515625" style="1" bestFit="1" customWidth="1"/>
    <col min="1510" max="1510" width="9.5703125" style="1" bestFit="1" customWidth="1"/>
    <col min="1511" max="1511" width="18.5703125" style="1" customWidth="1"/>
    <col min="1512" max="1513" width="9.140625" style="1"/>
    <col min="1514" max="1516" width="12.140625" style="1" bestFit="1" customWidth="1"/>
    <col min="1517" max="1525" width="10.28515625" style="1" bestFit="1" customWidth="1"/>
    <col min="1526" max="1526" width="11.28515625" style="1" bestFit="1" customWidth="1"/>
    <col min="1527" max="1527" width="9.140625" style="1"/>
    <col min="1528" max="1528" width="19" style="1" customWidth="1"/>
    <col min="1529" max="1545" width="9.140625" style="1"/>
    <col min="1546" max="1556" width="11.28515625" style="1" bestFit="1" customWidth="1"/>
    <col min="1557" max="1557" width="10.28515625" style="1" bestFit="1" customWidth="1"/>
    <col min="1558" max="1558" width="12.85546875" style="1" bestFit="1" customWidth="1"/>
    <col min="1559" max="1681" width="9.140625" style="1"/>
    <col min="1682" max="1682" width="11" style="1" bestFit="1" customWidth="1"/>
    <col min="1683" max="1683" width="28.140625" style="1" bestFit="1" customWidth="1"/>
    <col min="1684" max="1684" width="14" style="1" bestFit="1" customWidth="1"/>
    <col min="1685" max="1685" width="9.140625" style="1"/>
    <col min="1686" max="1686" width="13.85546875" style="1" bestFit="1" customWidth="1"/>
    <col min="1687" max="1687" width="9.140625" style="1"/>
    <col min="1688" max="1688" width="14" style="1" customWidth="1"/>
    <col min="1689" max="1689" width="9.140625" style="1"/>
    <col min="1690" max="1690" width="12.85546875" style="1" bestFit="1" customWidth="1"/>
    <col min="1691" max="1691" width="10" style="1" customWidth="1"/>
    <col min="1692" max="1692" width="14" style="1" bestFit="1" customWidth="1"/>
    <col min="1693" max="1693" width="9.85546875" style="1" bestFit="1" customWidth="1"/>
    <col min="1694" max="1694" width="13.5703125" style="1" bestFit="1" customWidth="1"/>
    <col min="1695" max="1695" width="9.85546875" style="1" bestFit="1" customWidth="1"/>
    <col min="1696" max="1696" width="12.85546875" style="1" bestFit="1" customWidth="1"/>
    <col min="1697" max="1708" width="10.5703125" style="1" customWidth="1"/>
    <col min="1709" max="1709" width="11.140625" style="1" bestFit="1" customWidth="1"/>
    <col min="1710" max="1710" width="2.7109375" style="1" customWidth="1"/>
    <col min="1711" max="1711" width="9.85546875" style="1" bestFit="1" customWidth="1"/>
    <col min="1712" max="1713" width="9.140625" style="1"/>
    <col min="1714" max="1714" width="24" style="1" customWidth="1"/>
    <col min="1715" max="1717" width="9.140625" style="1"/>
    <col min="1718" max="1718" width="9" style="1" bestFit="1" customWidth="1"/>
    <col min="1719" max="1728" width="9.28515625" style="1" bestFit="1" customWidth="1"/>
    <col min="1729" max="1729" width="10.28515625" style="1" bestFit="1" customWidth="1"/>
    <col min="1730" max="1730" width="11.28515625" style="1" bestFit="1" customWidth="1"/>
    <col min="1731" max="1731" width="11.7109375" style="1" customWidth="1"/>
    <col min="1732" max="1732" width="9.140625" style="1"/>
    <col min="1733" max="1733" width="22.28515625" style="1" customWidth="1"/>
    <col min="1734" max="1734" width="9.140625" style="1"/>
    <col min="1735" max="1735" width="9.28515625" style="1" bestFit="1" customWidth="1"/>
    <col min="1736" max="1736" width="9.42578125" style="1" bestFit="1" customWidth="1"/>
    <col min="1737" max="1737" width="9.28515625" style="1" bestFit="1" customWidth="1"/>
    <col min="1738" max="1738" width="10.28515625" style="1" bestFit="1" customWidth="1"/>
    <col min="1739" max="1740" width="9.28515625" style="1" bestFit="1" customWidth="1"/>
    <col min="1741" max="1742" width="10.28515625" style="1" bestFit="1" customWidth="1"/>
    <col min="1743" max="1747" width="9.28515625" style="1" bestFit="1" customWidth="1"/>
    <col min="1748" max="1748" width="10.42578125" style="1" bestFit="1" customWidth="1"/>
    <col min="1749" max="1749" width="9.140625" style="1"/>
    <col min="1750" max="1750" width="24.85546875" style="1" customWidth="1"/>
    <col min="1751" max="1751" width="9.140625" style="1"/>
    <col min="1752" max="1764" width="9.28515625" style="1" bestFit="1" customWidth="1"/>
    <col min="1765" max="1765" width="10.28515625" style="1" bestFit="1" customWidth="1"/>
    <col min="1766" max="1766" width="9.5703125" style="1" bestFit="1" customWidth="1"/>
    <col min="1767" max="1767" width="18.5703125" style="1" customWidth="1"/>
    <col min="1768" max="1769" width="9.140625" style="1"/>
    <col min="1770" max="1772" width="12.140625" style="1" bestFit="1" customWidth="1"/>
    <col min="1773" max="1781" width="10.28515625" style="1" bestFit="1" customWidth="1"/>
    <col min="1782" max="1782" width="11.28515625" style="1" bestFit="1" customWidth="1"/>
    <col min="1783" max="1783" width="9.140625" style="1"/>
    <col min="1784" max="1784" width="19" style="1" customWidth="1"/>
    <col min="1785" max="1801" width="9.140625" style="1"/>
    <col min="1802" max="1812" width="11.28515625" style="1" bestFit="1" customWidth="1"/>
    <col min="1813" max="1813" width="10.28515625" style="1" bestFit="1" customWidth="1"/>
    <col min="1814" max="1814" width="12.85546875" style="1" bestFit="1" customWidth="1"/>
    <col min="1815" max="1937" width="9.140625" style="1"/>
    <col min="1938" max="1938" width="11" style="1" bestFit="1" customWidth="1"/>
    <col min="1939" max="1939" width="28.140625" style="1" bestFit="1" customWidth="1"/>
    <col min="1940" max="1940" width="14" style="1" bestFit="1" customWidth="1"/>
    <col min="1941" max="1941" width="9.140625" style="1"/>
    <col min="1942" max="1942" width="13.85546875" style="1" bestFit="1" customWidth="1"/>
    <col min="1943" max="1943" width="9.140625" style="1"/>
    <col min="1944" max="1944" width="14" style="1" customWidth="1"/>
    <col min="1945" max="1945" width="9.140625" style="1"/>
    <col min="1946" max="1946" width="12.85546875" style="1" bestFit="1" customWidth="1"/>
    <col min="1947" max="1947" width="10" style="1" customWidth="1"/>
    <col min="1948" max="1948" width="14" style="1" bestFit="1" customWidth="1"/>
    <col min="1949" max="1949" width="9.85546875" style="1" bestFit="1" customWidth="1"/>
    <col min="1950" max="1950" width="13.5703125" style="1" bestFit="1" customWidth="1"/>
    <col min="1951" max="1951" width="9.85546875" style="1" bestFit="1" customWidth="1"/>
    <col min="1952" max="1952" width="12.85546875" style="1" bestFit="1" customWidth="1"/>
    <col min="1953" max="1964" width="10.5703125" style="1" customWidth="1"/>
    <col min="1965" max="1965" width="11.140625" style="1" bestFit="1" customWidth="1"/>
    <col min="1966" max="1966" width="2.7109375" style="1" customWidth="1"/>
    <col min="1967" max="1967" width="9.85546875" style="1" bestFit="1" customWidth="1"/>
    <col min="1968" max="1969" width="9.140625" style="1"/>
    <col min="1970" max="1970" width="24" style="1" customWidth="1"/>
    <col min="1971" max="1973" width="9.140625" style="1"/>
    <col min="1974" max="1974" width="9" style="1" bestFit="1" customWidth="1"/>
    <col min="1975" max="1984" width="9.28515625" style="1" bestFit="1" customWidth="1"/>
    <col min="1985" max="1985" width="10.28515625" style="1" bestFit="1" customWidth="1"/>
    <col min="1986" max="1986" width="11.28515625" style="1" bestFit="1" customWidth="1"/>
    <col min="1987" max="1987" width="11.7109375" style="1" customWidth="1"/>
    <col min="1988" max="1988" width="9.140625" style="1"/>
    <col min="1989" max="1989" width="22.28515625" style="1" customWidth="1"/>
    <col min="1990" max="1990" width="9.140625" style="1"/>
    <col min="1991" max="1991" width="9.28515625" style="1" bestFit="1" customWidth="1"/>
    <col min="1992" max="1992" width="9.42578125" style="1" bestFit="1" customWidth="1"/>
    <col min="1993" max="1993" width="9.28515625" style="1" bestFit="1" customWidth="1"/>
    <col min="1994" max="1994" width="10.28515625" style="1" bestFit="1" customWidth="1"/>
    <col min="1995" max="1996" width="9.28515625" style="1" bestFit="1" customWidth="1"/>
    <col min="1997" max="1998" width="10.28515625" style="1" bestFit="1" customWidth="1"/>
    <col min="1999" max="2003" width="9.28515625" style="1" bestFit="1" customWidth="1"/>
    <col min="2004" max="2004" width="10.42578125" style="1" bestFit="1" customWidth="1"/>
    <col min="2005" max="2005" width="9.140625" style="1"/>
    <col min="2006" max="2006" width="24.85546875" style="1" customWidth="1"/>
    <col min="2007" max="2007" width="9.140625" style="1"/>
    <col min="2008" max="2020" width="9.28515625" style="1" bestFit="1" customWidth="1"/>
    <col min="2021" max="2021" width="10.28515625" style="1" bestFit="1" customWidth="1"/>
    <col min="2022" max="2022" width="9.5703125" style="1" bestFit="1" customWidth="1"/>
    <col min="2023" max="2023" width="18.5703125" style="1" customWidth="1"/>
    <col min="2024" max="2025" width="9.140625" style="1"/>
    <col min="2026" max="2028" width="12.140625" style="1" bestFit="1" customWidth="1"/>
    <col min="2029" max="2037" width="10.28515625" style="1" bestFit="1" customWidth="1"/>
    <col min="2038" max="2038" width="11.28515625" style="1" bestFit="1" customWidth="1"/>
    <col min="2039" max="2039" width="9.140625" style="1"/>
    <col min="2040" max="2040" width="19" style="1" customWidth="1"/>
    <col min="2041" max="2057" width="9.140625" style="1"/>
    <col min="2058" max="2068" width="11.28515625" style="1" bestFit="1" customWidth="1"/>
    <col min="2069" max="2069" width="10.28515625" style="1" bestFit="1" customWidth="1"/>
    <col min="2070" max="2070" width="12.85546875" style="1" bestFit="1" customWidth="1"/>
    <col min="2071" max="2193" width="9.140625" style="1"/>
    <col min="2194" max="2194" width="11" style="1" bestFit="1" customWidth="1"/>
    <col min="2195" max="2195" width="28.140625" style="1" bestFit="1" customWidth="1"/>
    <col min="2196" max="2196" width="14" style="1" bestFit="1" customWidth="1"/>
    <col min="2197" max="2197" width="9.140625" style="1"/>
    <col min="2198" max="2198" width="13.85546875" style="1" bestFit="1" customWidth="1"/>
    <col min="2199" max="2199" width="9.140625" style="1"/>
    <col min="2200" max="2200" width="14" style="1" customWidth="1"/>
    <col min="2201" max="2201" width="9.140625" style="1"/>
    <col min="2202" max="2202" width="12.85546875" style="1" bestFit="1" customWidth="1"/>
    <col min="2203" max="2203" width="10" style="1" customWidth="1"/>
    <col min="2204" max="2204" width="14" style="1" bestFit="1" customWidth="1"/>
    <col min="2205" max="2205" width="9.85546875" style="1" bestFit="1" customWidth="1"/>
    <col min="2206" max="2206" width="13.5703125" style="1" bestFit="1" customWidth="1"/>
    <col min="2207" max="2207" width="9.85546875" style="1" bestFit="1" customWidth="1"/>
    <col min="2208" max="2208" width="12.85546875" style="1" bestFit="1" customWidth="1"/>
    <col min="2209" max="2220" width="10.5703125" style="1" customWidth="1"/>
    <col min="2221" max="2221" width="11.140625" style="1" bestFit="1" customWidth="1"/>
    <col min="2222" max="2222" width="2.7109375" style="1" customWidth="1"/>
    <col min="2223" max="2223" width="9.85546875" style="1" bestFit="1" customWidth="1"/>
    <col min="2224" max="2225" width="9.140625" style="1"/>
    <col min="2226" max="2226" width="24" style="1" customWidth="1"/>
    <col min="2227" max="2229" width="9.140625" style="1"/>
    <col min="2230" max="2230" width="9" style="1" bestFit="1" customWidth="1"/>
    <col min="2231" max="2240" width="9.28515625" style="1" bestFit="1" customWidth="1"/>
    <col min="2241" max="2241" width="10.28515625" style="1" bestFit="1" customWidth="1"/>
    <col min="2242" max="2242" width="11.28515625" style="1" bestFit="1" customWidth="1"/>
    <col min="2243" max="2243" width="11.7109375" style="1" customWidth="1"/>
    <col min="2244" max="2244" width="9.140625" style="1"/>
    <col min="2245" max="2245" width="22.28515625" style="1" customWidth="1"/>
    <col min="2246" max="2246" width="9.140625" style="1"/>
    <col min="2247" max="2247" width="9.28515625" style="1" bestFit="1" customWidth="1"/>
    <col min="2248" max="2248" width="9.42578125" style="1" bestFit="1" customWidth="1"/>
    <col min="2249" max="2249" width="9.28515625" style="1" bestFit="1" customWidth="1"/>
    <col min="2250" max="2250" width="10.28515625" style="1" bestFit="1" customWidth="1"/>
    <col min="2251" max="2252" width="9.28515625" style="1" bestFit="1" customWidth="1"/>
    <col min="2253" max="2254" width="10.28515625" style="1" bestFit="1" customWidth="1"/>
    <col min="2255" max="2259" width="9.28515625" style="1" bestFit="1" customWidth="1"/>
    <col min="2260" max="2260" width="10.42578125" style="1" bestFit="1" customWidth="1"/>
    <col min="2261" max="2261" width="9.140625" style="1"/>
    <col min="2262" max="2262" width="24.85546875" style="1" customWidth="1"/>
    <col min="2263" max="2263" width="9.140625" style="1"/>
    <col min="2264" max="2276" width="9.28515625" style="1" bestFit="1" customWidth="1"/>
    <col min="2277" max="2277" width="10.28515625" style="1" bestFit="1" customWidth="1"/>
    <col min="2278" max="2278" width="9.5703125" style="1" bestFit="1" customWidth="1"/>
    <col min="2279" max="2279" width="18.5703125" style="1" customWidth="1"/>
    <col min="2280" max="2281" width="9.140625" style="1"/>
    <col min="2282" max="2284" width="12.140625" style="1" bestFit="1" customWidth="1"/>
    <col min="2285" max="2293" width="10.28515625" style="1" bestFit="1" customWidth="1"/>
    <col min="2294" max="2294" width="11.28515625" style="1" bestFit="1" customWidth="1"/>
    <col min="2295" max="2295" width="9.140625" style="1"/>
    <col min="2296" max="2296" width="19" style="1" customWidth="1"/>
    <col min="2297" max="2313" width="9.140625" style="1"/>
    <col min="2314" max="2324" width="11.28515625" style="1" bestFit="1" customWidth="1"/>
    <col min="2325" max="2325" width="10.28515625" style="1" bestFit="1" customWidth="1"/>
    <col min="2326" max="2326" width="12.85546875" style="1" bestFit="1" customWidth="1"/>
    <col min="2327" max="2449" width="9.140625" style="1"/>
    <col min="2450" max="2450" width="11" style="1" bestFit="1" customWidth="1"/>
    <col min="2451" max="2451" width="28.140625" style="1" bestFit="1" customWidth="1"/>
    <col min="2452" max="2452" width="14" style="1" bestFit="1" customWidth="1"/>
    <col min="2453" max="2453" width="9.140625" style="1"/>
    <col min="2454" max="2454" width="13.85546875" style="1" bestFit="1" customWidth="1"/>
    <col min="2455" max="2455" width="9.140625" style="1"/>
    <col min="2456" max="2456" width="14" style="1" customWidth="1"/>
    <col min="2457" max="2457" width="9.140625" style="1"/>
    <col min="2458" max="2458" width="12.85546875" style="1" bestFit="1" customWidth="1"/>
    <col min="2459" max="2459" width="10" style="1" customWidth="1"/>
    <col min="2460" max="2460" width="14" style="1" bestFit="1" customWidth="1"/>
    <col min="2461" max="2461" width="9.85546875" style="1" bestFit="1" customWidth="1"/>
    <col min="2462" max="2462" width="13.5703125" style="1" bestFit="1" customWidth="1"/>
    <col min="2463" max="2463" width="9.85546875" style="1" bestFit="1" customWidth="1"/>
    <col min="2464" max="2464" width="12.85546875" style="1" bestFit="1" customWidth="1"/>
    <col min="2465" max="2476" width="10.5703125" style="1" customWidth="1"/>
    <col min="2477" max="2477" width="11.140625" style="1" bestFit="1" customWidth="1"/>
    <col min="2478" max="2478" width="2.7109375" style="1" customWidth="1"/>
    <col min="2479" max="2479" width="9.85546875" style="1" bestFit="1" customWidth="1"/>
    <col min="2480" max="2481" width="9.140625" style="1"/>
    <col min="2482" max="2482" width="24" style="1" customWidth="1"/>
    <col min="2483" max="2485" width="9.140625" style="1"/>
    <col min="2486" max="2486" width="9" style="1" bestFit="1" customWidth="1"/>
    <col min="2487" max="2496" width="9.28515625" style="1" bestFit="1" customWidth="1"/>
    <col min="2497" max="2497" width="10.28515625" style="1" bestFit="1" customWidth="1"/>
    <col min="2498" max="2498" width="11.28515625" style="1" bestFit="1" customWidth="1"/>
    <col min="2499" max="2499" width="11.7109375" style="1" customWidth="1"/>
    <col min="2500" max="2500" width="9.140625" style="1"/>
    <col min="2501" max="2501" width="22.28515625" style="1" customWidth="1"/>
    <col min="2502" max="2502" width="9.140625" style="1"/>
    <col min="2503" max="2503" width="9.28515625" style="1" bestFit="1" customWidth="1"/>
    <col min="2504" max="2504" width="9.42578125" style="1" bestFit="1" customWidth="1"/>
    <col min="2505" max="2505" width="9.28515625" style="1" bestFit="1" customWidth="1"/>
    <col min="2506" max="2506" width="10.28515625" style="1" bestFit="1" customWidth="1"/>
    <col min="2507" max="2508" width="9.28515625" style="1" bestFit="1" customWidth="1"/>
    <col min="2509" max="2510" width="10.28515625" style="1" bestFit="1" customWidth="1"/>
    <col min="2511" max="2515" width="9.28515625" style="1" bestFit="1" customWidth="1"/>
    <col min="2516" max="2516" width="10.42578125" style="1" bestFit="1" customWidth="1"/>
    <col min="2517" max="2517" width="9.140625" style="1"/>
    <col min="2518" max="2518" width="24.85546875" style="1" customWidth="1"/>
    <col min="2519" max="2519" width="9.140625" style="1"/>
    <col min="2520" max="2532" width="9.28515625" style="1" bestFit="1" customWidth="1"/>
    <col min="2533" max="2533" width="10.28515625" style="1" bestFit="1" customWidth="1"/>
    <col min="2534" max="2534" width="9.5703125" style="1" bestFit="1" customWidth="1"/>
    <col min="2535" max="2535" width="18.5703125" style="1" customWidth="1"/>
    <col min="2536" max="2537" width="9.140625" style="1"/>
    <col min="2538" max="2540" width="12.140625" style="1" bestFit="1" customWidth="1"/>
    <col min="2541" max="2549" width="10.28515625" style="1" bestFit="1" customWidth="1"/>
    <col min="2550" max="2550" width="11.28515625" style="1" bestFit="1" customWidth="1"/>
    <col min="2551" max="2551" width="9.140625" style="1"/>
    <col min="2552" max="2552" width="19" style="1" customWidth="1"/>
    <col min="2553" max="2569" width="9.140625" style="1"/>
    <col min="2570" max="2580" width="11.28515625" style="1" bestFit="1" customWidth="1"/>
    <col min="2581" max="2581" width="10.28515625" style="1" bestFit="1" customWidth="1"/>
    <col min="2582" max="2582" width="12.85546875" style="1" bestFit="1" customWidth="1"/>
    <col min="2583" max="2705" width="9.140625" style="1"/>
    <col min="2706" max="2706" width="11" style="1" bestFit="1" customWidth="1"/>
    <col min="2707" max="2707" width="28.140625" style="1" bestFit="1" customWidth="1"/>
    <col min="2708" max="2708" width="14" style="1" bestFit="1" customWidth="1"/>
    <col min="2709" max="2709" width="9.140625" style="1"/>
    <col min="2710" max="2710" width="13.85546875" style="1" bestFit="1" customWidth="1"/>
    <col min="2711" max="2711" width="9.140625" style="1"/>
    <col min="2712" max="2712" width="14" style="1" customWidth="1"/>
    <col min="2713" max="2713" width="9.140625" style="1"/>
    <col min="2714" max="2714" width="12.85546875" style="1" bestFit="1" customWidth="1"/>
    <col min="2715" max="2715" width="10" style="1" customWidth="1"/>
    <col min="2716" max="2716" width="14" style="1" bestFit="1" customWidth="1"/>
    <col min="2717" max="2717" width="9.85546875" style="1" bestFit="1" customWidth="1"/>
    <col min="2718" max="2718" width="13.5703125" style="1" bestFit="1" customWidth="1"/>
    <col min="2719" max="2719" width="9.85546875" style="1" bestFit="1" customWidth="1"/>
    <col min="2720" max="2720" width="12.85546875" style="1" bestFit="1" customWidth="1"/>
    <col min="2721" max="2732" width="10.5703125" style="1" customWidth="1"/>
    <col min="2733" max="2733" width="11.140625" style="1" bestFit="1" customWidth="1"/>
    <col min="2734" max="2734" width="2.7109375" style="1" customWidth="1"/>
    <col min="2735" max="2735" width="9.85546875" style="1" bestFit="1" customWidth="1"/>
    <col min="2736" max="2737" width="9.140625" style="1"/>
    <col min="2738" max="2738" width="24" style="1" customWidth="1"/>
    <col min="2739" max="2741" width="9.140625" style="1"/>
    <col min="2742" max="2742" width="9" style="1" bestFit="1" customWidth="1"/>
    <col min="2743" max="2752" width="9.28515625" style="1" bestFit="1" customWidth="1"/>
    <col min="2753" max="2753" width="10.28515625" style="1" bestFit="1" customWidth="1"/>
    <col min="2754" max="2754" width="11.28515625" style="1" bestFit="1" customWidth="1"/>
    <col min="2755" max="2755" width="11.7109375" style="1" customWidth="1"/>
    <col min="2756" max="2756" width="9.140625" style="1"/>
    <col min="2757" max="2757" width="22.28515625" style="1" customWidth="1"/>
    <col min="2758" max="2758" width="9.140625" style="1"/>
    <col min="2759" max="2759" width="9.28515625" style="1" bestFit="1" customWidth="1"/>
    <col min="2760" max="2760" width="9.42578125" style="1" bestFit="1" customWidth="1"/>
    <col min="2761" max="2761" width="9.28515625" style="1" bestFit="1" customWidth="1"/>
    <col min="2762" max="2762" width="10.28515625" style="1" bestFit="1" customWidth="1"/>
    <col min="2763" max="2764" width="9.28515625" style="1" bestFit="1" customWidth="1"/>
    <col min="2765" max="2766" width="10.28515625" style="1" bestFit="1" customWidth="1"/>
    <col min="2767" max="2771" width="9.28515625" style="1" bestFit="1" customWidth="1"/>
    <col min="2772" max="2772" width="10.42578125" style="1" bestFit="1" customWidth="1"/>
    <col min="2773" max="2773" width="9.140625" style="1"/>
    <col min="2774" max="2774" width="24.85546875" style="1" customWidth="1"/>
    <col min="2775" max="2775" width="9.140625" style="1"/>
    <col min="2776" max="2788" width="9.28515625" style="1" bestFit="1" customWidth="1"/>
    <col min="2789" max="2789" width="10.28515625" style="1" bestFit="1" customWidth="1"/>
    <col min="2790" max="2790" width="9.5703125" style="1" bestFit="1" customWidth="1"/>
    <col min="2791" max="2791" width="18.5703125" style="1" customWidth="1"/>
    <col min="2792" max="2793" width="9.140625" style="1"/>
    <col min="2794" max="2796" width="12.140625" style="1" bestFit="1" customWidth="1"/>
    <col min="2797" max="2805" width="10.28515625" style="1" bestFit="1" customWidth="1"/>
    <col min="2806" max="2806" width="11.28515625" style="1" bestFit="1" customWidth="1"/>
    <col min="2807" max="2807" width="9.140625" style="1"/>
    <col min="2808" max="2808" width="19" style="1" customWidth="1"/>
    <col min="2809" max="2825" width="9.140625" style="1"/>
    <col min="2826" max="2836" width="11.28515625" style="1" bestFit="1" customWidth="1"/>
    <col min="2837" max="2837" width="10.28515625" style="1" bestFit="1" customWidth="1"/>
    <col min="2838" max="2838" width="12.85546875" style="1" bestFit="1" customWidth="1"/>
    <col min="2839" max="2961" width="9.140625" style="1"/>
    <col min="2962" max="2962" width="11" style="1" bestFit="1" customWidth="1"/>
    <col min="2963" max="2963" width="28.140625" style="1" bestFit="1" customWidth="1"/>
    <col min="2964" max="2964" width="14" style="1" bestFit="1" customWidth="1"/>
    <col min="2965" max="2965" width="9.140625" style="1"/>
    <col min="2966" max="2966" width="13.85546875" style="1" bestFit="1" customWidth="1"/>
    <col min="2967" max="2967" width="9.140625" style="1"/>
    <col min="2968" max="2968" width="14" style="1" customWidth="1"/>
    <col min="2969" max="2969" width="9.140625" style="1"/>
    <col min="2970" max="2970" width="12.85546875" style="1" bestFit="1" customWidth="1"/>
    <col min="2971" max="2971" width="10" style="1" customWidth="1"/>
    <col min="2972" max="2972" width="14" style="1" bestFit="1" customWidth="1"/>
    <col min="2973" max="2973" width="9.85546875" style="1" bestFit="1" customWidth="1"/>
    <col min="2974" max="2974" width="13.5703125" style="1" bestFit="1" customWidth="1"/>
    <col min="2975" max="2975" width="9.85546875" style="1" bestFit="1" customWidth="1"/>
    <col min="2976" max="2976" width="12.85546875" style="1" bestFit="1" customWidth="1"/>
    <col min="2977" max="2988" width="10.5703125" style="1" customWidth="1"/>
    <col min="2989" max="2989" width="11.140625" style="1" bestFit="1" customWidth="1"/>
    <col min="2990" max="2990" width="2.7109375" style="1" customWidth="1"/>
    <col min="2991" max="2991" width="9.85546875" style="1" bestFit="1" customWidth="1"/>
    <col min="2992" max="2993" width="9.140625" style="1"/>
    <col min="2994" max="2994" width="24" style="1" customWidth="1"/>
    <col min="2995" max="2997" width="9.140625" style="1"/>
    <col min="2998" max="2998" width="9" style="1" bestFit="1" customWidth="1"/>
    <col min="2999" max="3008" width="9.28515625" style="1" bestFit="1" customWidth="1"/>
    <col min="3009" max="3009" width="10.28515625" style="1" bestFit="1" customWidth="1"/>
    <col min="3010" max="3010" width="11.28515625" style="1" bestFit="1" customWidth="1"/>
    <col min="3011" max="3011" width="11.7109375" style="1" customWidth="1"/>
    <col min="3012" max="3012" width="9.140625" style="1"/>
    <col min="3013" max="3013" width="22.28515625" style="1" customWidth="1"/>
    <col min="3014" max="3014" width="9.140625" style="1"/>
    <col min="3015" max="3015" width="9.28515625" style="1" bestFit="1" customWidth="1"/>
    <col min="3016" max="3016" width="9.42578125" style="1" bestFit="1" customWidth="1"/>
    <col min="3017" max="3017" width="9.28515625" style="1" bestFit="1" customWidth="1"/>
    <col min="3018" max="3018" width="10.28515625" style="1" bestFit="1" customWidth="1"/>
    <col min="3019" max="3020" width="9.28515625" style="1" bestFit="1" customWidth="1"/>
    <col min="3021" max="3022" width="10.28515625" style="1" bestFit="1" customWidth="1"/>
    <col min="3023" max="3027" width="9.28515625" style="1" bestFit="1" customWidth="1"/>
    <col min="3028" max="3028" width="10.42578125" style="1" bestFit="1" customWidth="1"/>
    <col min="3029" max="3029" width="9.140625" style="1"/>
    <col min="3030" max="3030" width="24.85546875" style="1" customWidth="1"/>
    <col min="3031" max="3031" width="9.140625" style="1"/>
    <col min="3032" max="3044" width="9.28515625" style="1" bestFit="1" customWidth="1"/>
    <col min="3045" max="3045" width="10.28515625" style="1" bestFit="1" customWidth="1"/>
    <col min="3046" max="3046" width="9.5703125" style="1" bestFit="1" customWidth="1"/>
    <col min="3047" max="3047" width="18.5703125" style="1" customWidth="1"/>
    <col min="3048" max="3049" width="9.140625" style="1"/>
    <col min="3050" max="3052" width="12.140625" style="1" bestFit="1" customWidth="1"/>
    <col min="3053" max="3061" width="10.28515625" style="1" bestFit="1" customWidth="1"/>
    <col min="3062" max="3062" width="11.28515625" style="1" bestFit="1" customWidth="1"/>
    <col min="3063" max="3063" width="9.140625" style="1"/>
    <col min="3064" max="3064" width="19" style="1" customWidth="1"/>
    <col min="3065" max="3081" width="9.140625" style="1"/>
    <col min="3082" max="3092" width="11.28515625" style="1" bestFit="1" customWidth="1"/>
    <col min="3093" max="3093" width="10.28515625" style="1" bestFit="1" customWidth="1"/>
    <col min="3094" max="3094" width="12.85546875" style="1" bestFit="1" customWidth="1"/>
    <col min="3095" max="3217" width="9.140625" style="1"/>
    <col min="3218" max="3218" width="11" style="1" bestFit="1" customWidth="1"/>
    <col min="3219" max="3219" width="28.140625" style="1" bestFit="1" customWidth="1"/>
    <col min="3220" max="3220" width="14" style="1" bestFit="1" customWidth="1"/>
    <col min="3221" max="3221" width="9.140625" style="1"/>
    <col min="3222" max="3222" width="13.85546875" style="1" bestFit="1" customWidth="1"/>
    <col min="3223" max="3223" width="9.140625" style="1"/>
    <col min="3224" max="3224" width="14" style="1" customWidth="1"/>
    <col min="3225" max="3225" width="9.140625" style="1"/>
    <col min="3226" max="3226" width="12.85546875" style="1" bestFit="1" customWidth="1"/>
    <col min="3227" max="3227" width="10" style="1" customWidth="1"/>
    <col min="3228" max="3228" width="14" style="1" bestFit="1" customWidth="1"/>
    <col min="3229" max="3229" width="9.85546875" style="1" bestFit="1" customWidth="1"/>
    <col min="3230" max="3230" width="13.5703125" style="1" bestFit="1" customWidth="1"/>
    <col min="3231" max="3231" width="9.85546875" style="1" bestFit="1" customWidth="1"/>
    <col min="3232" max="3232" width="12.85546875" style="1" bestFit="1" customWidth="1"/>
    <col min="3233" max="3244" width="10.5703125" style="1" customWidth="1"/>
    <col min="3245" max="3245" width="11.140625" style="1" bestFit="1" customWidth="1"/>
    <col min="3246" max="3246" width="2.7109375" style="1" customWidth="1"/>
    <col min="3247" max="3247" width="9.85546875" style="1" bestFit="1" customWidth="1"/>
    <col min="3248" max="3249" width="9.140625" style="1"/>
    <col min="3250" max="3250" width="24" style="1" customWidth="1"/>
    <col min="3251" max="3253" width="9.140625" style="1"/>
    <col min="3254" max="3254" width="9" style="1" bestFit="1" customWidth="1"/>
    <col min="3255" max="3264" width="9.28515625" style="1" bestFit="1" customWidth="1"/>
    <col min="3265" max="3265" width="10.28515625" style="1" bestFit="1" customWidth="1"/>
    <col min="3266" max="3266" width="11.28515625" style="1" bestFit="1" customWidth="1"/>
    <col min="3267" max="3267" width="11.7109375" style="1" customWidth="1"/>
    <col min="3268" max="3268" width="9.140625" style="1"/>
    <col min="3269" max="3269" width="22.28515625" style="1" customWidth="1"/>
    <col min="3270" max="3270" width="9.140625" style="1"/>
    <col min="3271" max="3271" width="9.28515625" style="1" bestFit="1" customWidth="1"/>
    <col min="3272" max="3272" width="9.42578125" style="1" bestFit="1" customWidth="1"/>
    <col min="3273" max="3273" width="9.28515625" style="1" bestFit="1" customWidth="1"/>
    <col min="3274" max="3274" width="10.28515625" style="1" bestFit="1" customWidth="1"/>
    <col min="3275" max="3276" width="9.28515625" style="1" bestFit="1" customWidth="1"/>
    <col min="3277" max="3278" width="10.28515625" style="1" bestFit="1" customWidth="1"/>
    <col min="3279" max="3283" width="9.28515625" style="1" bestFit="1" customWidth="1"/>
    <col min="3284" max="3284" width="10.42578125" style="1" bestFit="1" customWidth="1"/>
    <col min="3285" max="3285" width="9.140625" style="1"/>
    <col min="3286" max="3286" width="24.85546875" style="1" customWidth="1"/>
    <col min="3287" max="3287" width="9.140625" style="1"/>
    <col min="3288" max="3300" width="9.28515625" style="1" bestFit="1" customWidth="1"/>
    <col min="3301" max="3301" width="10.28515625" style="1" bestFit="1" customWidth="1"/>
    <col min="3302" max="3302" width="9.5703125" style="1" bestFit="1" customWidth="1"/>
    <col min="3303" max="3303" width="18.5703125" style="1" customWidth="1"/>
    <col min="3304" max="3305" width="9.140625" style="1"/>
    <col min="3306" max="3308" width="12.140625" style="1" bestFit="1" customWidth="1"/>
    <col min="3309" max="3317" width="10.28515625" style="1" bestFit="1" customWidth="1"/>
    <col min="3318" max="3318" width="11.28515625" style="1" bestFit="1" customWidth="1"/>
    <col min="3319" max="3319" width="9.140625" style="1"/>
    <col min="3320" max="3320" width="19" style="1" customWidth="1"/>
    <col min="3321" max="3337" width="9.140625" style="1"/>
    <col min="3338" max="3348" width="11.28515625" style="1" bestFit="1" customWidth="1"/>
    <col min="3349" max="3349" width="10.28515625" style="1" bestFit="1" customWidth="1"/>
    <col min="3350" max="3350" width="12.85546875" style="1" bestFit="1" customWidth="1"/>
    <col min="3351" max="3473" width="9.140625" style="1"/>
    <col min="3474" max="3474" width="11" style="1" bestFit="1" customWidth="1"/>
    <col min="3475" max="3475" width="28.140625" style="1" bestFit="1" customWidth="1"/>
    <col min="3476" max="3476" width="14" style="1" bestFit="1" customWidth="1"/>
    <col min="3477" max="3477" width="9.140625" style="1"/>
    <col min="3478" max="3478" width="13.85546875" style="1" bestFit="1" customWidth="1"/>
    <col min="3479" max="3479" width="9.140625" style="1"/>
    <col min="3480" max="3480" width="14" style="1" customWidth="1"/>
    <col min="3481" max="3481" width="9.140625" style="1"/>
    <col min="3482" max="3482" width="12.85546875" style="1" bestFit="1" customWidth="1"/>
    <col min="3483" max="3483" width="10" style="1" customWidth="1"/>
    <col min="3484" max="3484" width="14" style="1" bestFit="1" customWidth="1"/>
    <col min="3485" max="3485" width="9.85546875" style="1" bestFit="1" customWidth="1"/>
    <col min="3486" max="3486" width="13.5703125" style="1" bestFit="1" customWidth="1"/>
    <col min="3487" max="3487" width="9.85546875" style="1" bestFit="1" customWidth="1"/>
    <col min="3488" max="3488" width="12.85546875" style="1" bestFit="1" customWidth="1"/>
    <col min="3489" max="3500" width="10.5703125" style="1" customWidth="1"/>
    <col min="3501" max="3501" width="11.140625" style="1" bestFit="1" customWidth="1"/>
    <col min="3502" max="3502" width="2.7109375" style="1" customWidth="1"/>
    <col min="3503" max="3503" width="9.85546875" style="1" bestFit="1" customWidth="1"/>
    <col min="3504" max="3505" width="9.140625" style="1"/>
    <col min="3506" max="3506" width="24" style="1" customWidth="1"/>
    <col min="3507" max="3509" width="9.140625" style="1"/>
    <col min="3510" max="3510" width="9" style="1" bestFit="1" customWidth="1"/>
    <col min="3511" max="3520" width="9.28515625" style="1" bestFit="1" customWidth="1"/>
    <col min="3521" max="3521" width="10.28515625" style="1" bestFit="1" customWidth="1"/>
    <col min="3522" max="3522" width="11.28515625" style="1" bestFit="1" customWidth="1"/>
    <col min="3523" max="3523" width="11.7109375" style="1" customWidth="1"/>
    <col min="3524" max="3524" width="9.140625" style="1"/>
    <col min="3525" max="3525" width="22.28515625" style="1" customWidth="1"/>
    <col min="3526" max="3526" width="9.140625" style="1"/>
    <col min="3527" max="3527" width="9.28515625" style="1" bestFit="1" customWidth="1"/>
    <col min="3528" max="3528" width="9.42578125" style="1" bestFit="1" customWidth="1"/>
    <col min="3529" max="3529" width="9.28515625" style="1" bestFit="1" customWidth="1"/>
    <col min="3530" max="3530" width="10.28515625" style="1" bestFit="1" customWidth="1"/>
    <col min="3531" max="3532" width="9.28515625" style="1" bestFit="1" customWidth="1"/>
    <col min="3533" max="3534" width="10.28515625" style="1" bestFit="1" customWidth="1"/>
    <col min="3535" max="3539" width="9.28515625" style="1" bestFit="1" customWidth="1"/>
    <col min="3540" max="3540" width="10.42578125" style="1" bestFit="1" customWidth="1"/>
    <col min="3541" max="3541" width="9.140625" style="1"/>
    <col min="3542" max="3542" width="24.85546875" style="1" customWidth="1"/>
    <col min="3543" max="3543" width="9.140625" style="1"/>
    <col min="3544" max="3556" width="9.28515625" style="1" bestFit="1" customWidth="1"/>
    <col min="3557" max="3557" width="10.28515625" style="1" bestFit="1" customWidth="1"/>
    <col min="3558" max="3558" width="9.5703125" style="1" bestFit="1" customWidth="1"/>
    <col min="3559" max="3559" width="18.5703125" style="1" customWidth="1"/>
    <col min="3560" max="3561" width="9.140625" style="1"/>
    <col min="3562" max="3564" width="12.140625" style="1" bestFit="1" customWidth="1"/>
    <col min="3565" max="3573" width="10.28515625" style="1" bestFit="1" customWidth="1"/>
    <col min="3574" max="3574" width="11.28515625" style="1" bestFit="1" customWidth="1"/>
    <col min="3575" max="3575" width="9.140625" style="1"/>
    <col min="3576" max="3576" width="19" style="1" customWidth="1"/>
    <col min="3577" max="3593" width="9.140625" style="1"/>
    <col min="3594" max="3604" width="11.28515625" style="1" bestFit="1" customWidth="1"/>
    <col min="3605" max="3605" width="10.28515625" style="1" bestFit="1" customWidth="1"/>
    <col min="3606" max="3606" width="12.85546875" style="1" bestFit="1" customWidth="1"/>
    <col min="3607" max="3729" width="9.140625" style="1"/>
    <col min="3730" max="3730" width="11" style="1" bestFit="1" customWidth="1"/>
    <col min="3731" max="3731" width="28.140625" style="1" bestFit="1" customWidth="1"/>
    <col min="3732" max="3732" width="14" style="1" bestFit="1" customWidth="1"/>
    <col min="3733" max="3733" width="9.140625" style="1"/>
    <col min="3734" max="3734" width="13.85546875" style="1" bestFit="1" customWidth="1"/>
    <col min="3735" max="3735" width="9.140625" style="1"/>
    <col min="3736" max="3736" width="14" style="1" customWidth="1"/>
    <col min="3737" max="3737" width="9.140625" style="1"/>
    <col min="3738" max="3738" width="12.85546875" style="1" bestFit="1" customWidth="1"/>
    <col min="3739" max="3739" width="10" style="1" customWidth="1"/>
    <col min="3740" max="3740" width="14" style="1" bestFit="1" customWidth="1"/>
    <col min="3741" max="3741" width="9.85546875" style="1" bestFit="1" customWidth="1"/>
    <col min="3742" max="3742" width="13.5703125" style="1" bestFit="1" customWidth="1"/>
    <col min="3743" max="3743" width="9.85546875" style="1" bestFit="1" customWidth="1"/>
    <col min="3744" max="3744" width="12.85546875" style="1" bestFit="1" customWidth="1"/>
    <col min="3745" max="3756" width="10.5703125" style="1" customWidth="1"/>
    <col min="3757" max="3757" width="11.140625" style="1" bestFit="1" customWidth="1"/>
    <col min="3758" max="3758" width="2.7109375" style="1" customWidth="1"/>
    <col min="3759" max="3759" width="9.85546875" style="1" bestFit="1" customWidth="1"/>
    <col min="3760" max="3761" width="9.140625" style="1"/>
    <col min="3762" max="3762" width="24" style="1" customWidth="1"/>
    <col min="3763" max="3765" width="9.140625" style="1"/>
    <col min="3766" max="3766" width="9" style="1" bestFit="1" customWidth="1"/>
    <col min="3767" max="3776" width="9.28515625" style="1" bestFit="1" customWidth="1"/>
    <col min="3777" max="3777" width="10.28515625" style="1" bestFit="1" customWidth="1"/>
    <col min="3778" max="3778" width="11.28515625" style="1" bestFit="1" customWidth="1"/>
    <col min="3779" max="3779" width="11.7109375" style="1" customWidth="1"/>
    <col min="3780" max="3780" width="9.140625" style="1"/>
    <col min="3781" max="3781" width="22.28515625" style="1" customWidth="1"/>
    <col min="3782" max="3782" width="9.140625" style="1"/>
    <col min="3783" max="3783" width="9.28515625" style="1" bestFit="1" customWidth="1"/>
    <col min="3784" max="3784" width="9.42578125" style="1" bestFit="1" customWidth="1"/>
    <col min="3785" max="3785" width="9.28515625" style="1" bestFit="1" customWidth="1"/>
    <col min="3786" max="3786" width="10.28515625" style="1" bestFit="1" customWidth="1"/>
    <col min="3787" max="3788" width="9.28515625" style="1" bestFit="1" customWidth="1"/>
    <col min="3789" max="3790" width="10.28515625" style="1" bestFit="1" customWidth="1"/>
    <col min="3791" max="3795" width="9.28515625" style="1" bestFit="1" customWidth="1"/>
    <col min="3796" max="3796" width="10.42578125" style="1" bestFit="1" customWidth="1"/>
    <col min="3797" max="3797" width="9.140625" style="1"/>
    <col min="3798" max="3798" width="24.85546875" style="1" customWidth="1"/>
    <col min="3799" max="3799" width="9.140625" style="1"/>
    <col min="3800" max="3812" width="9.28515625" style="1" bestFit="1" customWidth="1"/>
    <col min="3813" max="3813" width="10.28515625" style="1" bestFit="1" customWidth="1"/>
    <col min="3814" max="3814" width="9.5703125" style="1" bestFit="1" customWidth="1"/>
    <col min="3815" max="3815" width="18.5703125" style="1" customWidth="1"/>
    <col min="3816" max="3817" width="9.140625" style="1"/>
    <col min="3818" max="3820" width="12.140625" style="1" bestFit="1" customWidth="1"/>
    <col min="3821" max="3829" width="10.28515625" style="1" bestFit="1" customWidth="1"/>
    <col min="3830" max="3830" width="11.28515625" style="1" bestFit="1" customWidth="1"/>
    <col min="3831" max="3831" width="9.140625" style="1"/>
    <col min="3832" max="3832" width="19" style="1" customWidth="1"/>
    <col min="3833" max="3849" width="9.140625" style="1"/>
    <col min="3850" max="3860" width="11.28515625" style="1" bestFit="1" customWidth="1"/>
    <col min="3861" max="3861" width="10.28515625" style="1" bestFit="1" customWidth="1"/>
    <col min="3862" max="3862" width="12.85546875" style="1" bestFit="1" customWidth="1"/>
    <col min="3863" max="3985" width="9.140625" style="1"/>
    <col min="3986" max="3986" width="11" style="1" bestFit="1" customWidth="1"/>
    <col min="3987" max="3987" width="28.140625" style="1" bestFit="1" customWidth="1"/>
    <col min="3988" max="3988" width="14" style="1" bestFit="1" customWidth="1"/>
    <col min="3989" max="3989" width="9.140625" style="1"/>
    <col min="3990" max="3990" width="13.85546875" style="1" bestFit="1" customWidth="1"/>
    <col min="3991" max="3991" width="9.140625" style="1"/>
    <col min="3992" max="3992" width="14" style="1" customWidth="1"/>
    <col min="3993" max="3993" width="9.140625" style="1"/>
    <col min="3994" max="3994" width="12.85546875" style="1" bestFit="1" customWidth="1"/>
    <col min="3995" max="3995" width="10" style="1" customWidth="1"/>
    <col min="3996" max="3996" width="14" style="1" bestFit="1" customWidth="1"/>
    <col min="3997" max="3997" width="9.85546875" style="1" bestFit="1" customWidth="1"/>
    <col min="3998" max="3998" width="13.5703125" style="1" bestFit="1" customWidth="1"/>
    <col min="3999" max="3999" width="9.85546875" style="1" bestFit="1" customWidth="1"/>
    <col min="4000" max="4000" width="12.85546875" style="1" bestFit="1" customWidth="1"/>
    <col min="4001" max="4012" width="10.5703125" style="1" customWidth="1"/>
    <col min="4013" max="4013" width="11.140625" style="1" bestFit="1" customWidth="1"/>
    <col min="4014" max="4014" width="2.7109375" style="1" customWidth="1"/>
    <col min="4015" max="4015" width="9.85546875" style="1" bestFit="1" customWidth="1"/>
    <col min="4016" max="4017" width="9.140625" style="1"/>
    <col min="4018" max="4018" width="24" style="1" customWidth="1"/>
    <col min="4019" max="4021" width="9.140625" style="1"/>
    <col min="4022" max="4022" width="9" style="1" bestFit="1" customWidth="1"/>
    <col min="4023" max="4032" width="9.28515625" style="1" bestFit="1" customWidth="1"/>
    <col min="4033" max="4033" width="10.28515625" style="1" bestFit="1" customWidth="1"/>
    <col min="4034" max="4034" width="11.28515625" style="1" bestFit="1" customWidth="1"/>
    <col min="4035" max="4035" width="11.7109375" style="1" customWidth="1"/>
    <col min="4036" max="4036" width="9.140625" style="1"/>
    <col min="4037" max="4037" width="22.28515625" style="1" customWidth="1"/>
    <col min="4038" max="4038" width="9.140625" style="1"/>
    <col min="4039" max="4039" width="9.28515625" style="1" bestFit="1" customWidth="1"/>
    <col min="4040" max="4040" width="9.42578125" style="1" bestFit="1" customWidth="1"/>
    <col min="4041" max="4041" width="9.28515625" style="1" bestFit="1" customWidth="1"/>
    <col min="4042" max="4042" width="10.28515625" style="1" bestFit="1" customWidth="1"/>
    <col min="4043" max="4044" width="9.28515625" style="1" bestFit="1" customWidth="1"/>
    <col min="4045" max="4046" width="10.28515625" style="1" bestFit="1" customWidth="1"/>
    <col min="4047" max="4051" width="9.28515625" style="1" bestFit="1" customWidth="1"/>
    <col min="4052" max="4052" width="10.42578125" style="1" bestFit="1" customWidth="1"/>
    <col min="4053" max="4053" width="9.140625" style="1"/>
    <col min="4054" max="4054" width="24.85546875" style="1" customWidth="1"/>
    <col min="4055" max="4055" width="9.140625" style="1"/>
    <col min="4056" max="4068" width="9.28515625" style="1" bestFit="1" customWidth="1"/>
    <col min="4069" max="4069" width="10.28515625" style="1" bestFit="1" customWidth="1"/>
    <col min="4070" max="4070" width="9.5703125" style="1" bestFit="1" customWidth="1"/>
    <col min="4071" max="4071" width="18.5703125" style="1" customWidth="1"/>
    <col min="4072" max="4073" width="9.140625" style="1"/>
    <col min="4074" max="4076" width="12.140625" style="1" bestFit="1" customWidth="1"/>
    <col min="4077" max="4085" width="10.28515625" style="1" bestFit="1" customWidth="1"/>
    <col min="4086" max="4086" width="11.28515625" style="1" bestFit="1" customWidth="1"/>
    <col min="4087" max="4087" width="9.140625" style="1"/>
    <col min="4088" max="4088" width="19" style="1" customWidth="1"/>
    <col min="4089" max="4105" width="9.140625" style="1"/>
    <col min="4106" max="4116" width="11.28515625" style="1" bestFit="1" customWidth="1"/>
    <col min="4117" max="4117" width="10.28515625" style="1" bestFit="1" customWidth="1"/>
    <col min="4118" max="4118" width="12.85546875" style="1" bestFit="1" customWidth="1"/>
    <col min="4119" max="4241" width="9.140625" style="1"/>
    <col min="4242" max="4242" width="11" style="1" bestFit="1" customWidth="1"/>
    <col min="4243" max="4243" width="28.140625" style="1" bestFit="1" customWidth="1"/>
    <col min="4244" max="4244" width="14" style="1" bestFit="1" customWidth="1"/>
    <col min="4245" max="4245" width="9.140625" style="1"/>
    <col min="4246" max="4246" width="13.85546875" style="1" bestFit="1" customWidth="1"/>
    <col min="4247" max="4247" width="9.140625" style="1"/>
    <col min="4248" max="4248" width="14" style="1" customWidth="1"/>
    <col min="4249" max="4249" width="9.140625" style="1"/>
    <col min="4250" max="4250" width="12.85546875" style="1" bestFit="1" customWidth="1"/>
    <col min="4251" max="4251" width="10" style="1" customWidth="1"/>
    <col min="4252" max="4252" width="14" style="1" bestFit="1" customWidth="1"/>
    <col min="4253" max="4253" width="9.85546875" style="1" bestFit="1" customWidth="1"/>
    <col min="4254" max="4254" width="13.5703125" style="1" bestFit="1" customWidth="1"/>
    <col min="4255" max="4255" width="9.85546875" style="1" bestFit="1" customWidth="1"/>
    <col min="4256" max="4256" width="12.85546875" style="1" bestFit="1" customWidth="1"/>
    <col min="4257" max="4268" width="10.5703125" style="1" customWidth="1"/>
    <col min="4269" max="4269" width="11.140625" style="1" bestFit="1" customWidth="1"/>
    <col min="4270" max="4270" width="2.7109375" style="1" customWidth="1"/>
    <col min="4271" max="4271" width="9.85546875" style="1" bestFit="1" customWidth="1"/>
    <col min="4272" max="4273" width="9.140625" style="1"/>
    <col min="4274" max="4274" width="24" style="1" customWidth="1"/>
    <col min="4275" max="4277" width="9.140625" style="1"/>
    <col min="4278" max="4278" width="9" style="1" bestFit="1" customWidth="1"/>
    <col min="4279" max="4288" width="9.28515625" style="1" bestFit="1" customWidth="1"/>
    <col min="4289" max="4289" width="10.28515625" style="1" bestFit="1" customWidth="1"/>
    <col min="4290" max="4290" width="11.28515625" style="1" bestFit="1" customWidth="1"/>
    <col min="4291" max="4291" width="11.7109375" style="1" customWidth="1"/>
    <col min="4292" max="4292" width="9.140625" style="1"/>
    <col min="4293" max="4293" width="22.28515625" style="1" customWidth="1"/>
    <col min="4294" max="4294" width="9.140625" style="1"/>
    <col min="4295" max="4295" width="9.28515625" style="1" bestFit="1" customWidth="1"/>
    <col min="4296" max="4296" width="9.42578125" style="1" bestFit="1" customWidth="1"/>
    <col min="4297" max="4297" width="9.28515625" style="1" bestFit="1" customWidth="1"/>
    <col min="4298" max="4298" width="10.28515625" style="1" bestFit="1" customWidth="1"/>
    <col min="4299" max="4300" width="9.28515625" style="1" bestFit="1" customWidth="1"/>
    <col min="4301" max="4302" width="10.28515625" style="1" bestFit="1" customWidth="1"/>
    <col min="4303" max="4307" width="9.28515625" style="1" bestFit="1" customWidth="1"/>
    <col min="4308" max="4308" width="10.42578125" style="1" bestFit="1" customWidth="1"/>
    <col min="4309" max="4309" width="9.140625" style="1"/>
    <col min="4310" max="4310" width="24.85546875" style="1" customWidth="1"/>
    <col min="4311" max="4311" width="9.140625" style="1"/>
    <col min="4312" max="4324" width="9.28515625" style="1" bestFit="1" customWidth="1"/>
    <col min="4325" max="4325" width="10.28515625" style="1" bestFit="1" customWidth="1"/>
    <col min="4326" max="4326" width="9.5703125" style="1" bestFit="1" customWidth="1"/>
    <col min="4327" max="4327" width="18.5703125" style="1" customWidth="1"/>
    <col min="4328" max="4329" width="9.140625" style="1"/>
    <col min="4330" max="4332" width="12.140625" style="1" bestFit="1" customWidth="1"/>
    <col min="4333" max="4341" width="10.28515625" style="1" bestFit="1" customWidth="1"/>
    <col min="4342" max="4342" width="11.28515625" style="1" bestFit="1" customWidth="1"/>
    <col min="4343" max="4343" width="9.140625" style="1"/>
    <col min="4344" max="4344" width="19" style="1" customWidth="1"/>
    <col min="4345" max="4361" width="9.140625" style="1"/>
    <col min="4362" max="4372" width="11.28515625" style="1" bestFit="1" customWidth="1"/>
    <col min="4373" max="4373" width="10.28515625" style="1" bestFit="1" customWidth="1"/>
    <col min="4374" max="4374" width="12.85546875" style="1" bestFit="1" customWidth="1"/>
    <col min="4375" max="4497" width="9.140625" style="1"/>
    <col min="4498" max="4498" width="11" style="1" bestFit="1" customWidth="1"/>
    <col min="4499" max="4499" width="28.140625" style="1" bestFit="1" customWidth="1"/>
    <col min="4500" max="4500" width="14" style="1" bestFit="1" customWidth="1"/>
    <col min="4501" max="4501" width="9.140625" style="1"/>
    <col min="4502" max="4502" width="13.85546875" style="1" bestFit="1" customWidth="1"/>
    <col min="4503" max="4503" width="9.140625" style="1"/>
    <col min="4504" max="4504" width="14" style="1" customWidth="1"/>
    <col min="4505" max="4505" width="9.140625" style="1"/>
    <col min="4506" max="4506" width="12.85546875" style="1" bestFit="1" customWidth="1"/>
    <col min="4507" max="4507" width="10" style="1" customWidth="1"/>
    <col min="4508" max="4508" width="14" style="1" bestFit="1" customWidth="1"/>
    <col min="4509" max="4509" width="9.85546875" style="1" bestFit="1" customWidth="1"/>
    <col min="4510" max="4510" width="13.5703125" style="1" bestFit="1" customWidth="1"/>
    <col min="4511" max="4511" width="9.85546875" style="1" bestFit="1" customWidth="1"/>
    <col min="4512" max="4512" width="12.85546875" style="1" bestFit="1" customWidth="1"/>
    <col min="4513" max="4524" width="10.5703125" style="1" customWidth="1"/>
    <col min="4525" max="4525" width="11.140625" style="1" bestFit="1" customWidth="1"/>
    <col min="4526" max="4526" width="2.7109375" style="1" customWidth="1"/>
    <col min="4527" max="4527" width="9.85546875" style="1" bestFit="1" customWidth="1"/>
    <col min="4528" max="4529" width="9.140625" style="1"/>
    <col min="4530" max="4530" width="24" style="1" customWidth="1"/>
    <col min="4531" max="4533" width="9.140625" style="1"/>
    <col min="4534" max="4534" width="9" style="1" bestFit="1" customWidth="1"/>
    <col min="4535" max="4544" width="9.28515625" style="1" bestFit="1" customWidth="1"/>
    <col min="4545" max="4545" width="10.28515625" style="1" bestFit="1" customWidth="1"/>
    <col min="4546" max="4546" width="11.28515625" style="1" bestFit="1" customWidth="1"/>
    <col min="4547" max="4547" width="11.7109375" style="1" customWidth="1"/>
    <col min="4548" max="4548" width="9.140625" style="1"/>
    <col min="4549" max="4549" width="22.28515625" style="1" customWidth="1"/>
    <col min="4550" max="4550" width="9.140625" style="1"/>
    <col min="4551" max="4551" width="9.28515625" style="1" bestFit="1" customWidth="1"/>
    <col min="4552" max="4552" width="9.42578125" style="1" bestFit="1" customWidth="1"/>
    <col min="4553" max="4553" width="9.28515625" style="1" bestFit="1" customWidth="1"/>
    <col min="4554" max="4554" width="10.28515625" style="1" bestFit="1" customWidth="1"/>
    <col min="4555" max="4556" width="9.28515625" style="1" bestFit="1" customWidth="1"/>
    <col min="4557" max="4558" width="10.28515625" style="1" bestFit="1" customWidth="1"/>
    <col min="4559" max="4563" width="9.28515625" style="1" bestFit="1" customWidth="1"/>
    <col min="4564" max="4564" width="10.42578125" style="1" bestFit="1" customWidth="1"/>
    <col min="4565" max="4565" width="9.140625" style="1"/>
    <col min="4566" max="4566" width="24.85546875" style="1" customWidth="1"/>
    <col min="4567" max="4567" width="9.140625" style="1"/>
    <col min="4568" max="4580" width="9.28515625" style="1" bestFit="1" customWidth="1"/>
    <col min="4581" max="4581" width="10.28515625" style="1" bestFit="1" customWidth="1"/>
    <col min="4582" max="4582" width="9.5703125" style="1" bestFit="1" customWidth="1"/>
    <col min="4583" max="4583" width="18.5703125" style="1" customWidth="1"/>
    <col min="4584" max="4585" width="9.140625" style="1"/>
    <col min="4586" max="4588" width="12.140625" style="1" bestFit="1" customWidth="1"/>
    <col min="4589" max="4597" width="10.28515625" style="1" bestFit="1" customWidth="1"/>
    <col min="4598" max="4598" width="11.28515625" style="1" bestFit="1" customWidth="1"/>
    <col min="4599" max="4599" width="9.140625" style="1"/>
    <col min="4600" max="4600" width="19" style="1" customWidth="1"/>
    <col min="4601" max="4617" width="9.140625" style="1"/>
    <col min="4618" max="4628" width="11.28515625" style="1" bestFit="1" customWidth="1"/>
    <col min="4629" max="4629" width="10.28515625" style="1" bestFit="1" customWidth="1"/>
    <col min="4630" max="4630" width="12.85546875" style="1" bestFit="1" customWidth="1"/>
    <col min="4631" max="4753" width="9.140625" style="1"/>
    <col min="4754" max="4754" width="11" style="1" bestFit="1" customWidth="1"/>
    <col min="4755" max="4755" width="28.140625" style="1" bestFit="1" customWidth="1"/>
    <col min="4756" max="4756" width="14" style="1" bestFit="1" customWidth="1"/>
    <col min="4757" max="4757" width="9.140625" style="1"/>
    <col min="4758" max="4758" width="13.85546875" style="1" bestFit="1" customWidth="1"/>
    <col min="4759" max="4759" width="9.140625" style="1"/>
    <col min="4760" max="4760" width="14" style="1" customWidth="1"/>
    <col min="4761" max="4761" width="9.140625" style="1"/>
    <col min="4762" max="4762" width="12.85546875" style="1" bestFit="1" customWidth="1"/>
    <col min="4763" max="4763" width="10" style="1" customWidth="1"/>
    <col min="4764" max="4764" width="14" style="1" bestFit="1" customWidth="1"/>
    <col min="4765" max="4765" width="9.85546875" style="1" bestFit="1" customWidth="1"/>
    <col min="4766" max="4766" width="13.5703125" style="1" bestFit="1" customWidth="1"/>
    <col min="4767" max="4767" width="9.85546875" style="1" bestFit="1" customWidth="1"/>
    <col min="4768" max="4768" width="12.85546875" style="1" bestFit="1" customWidth="1"/>
    <col min="4769" max="4780" width="10.5703125" style="1" customWidth="1"/>
    <col min="4781" max="4781" width="11.140625" style="1" bestFit="1" customWidth="1"/>
    <col min="4782" max="4782" width="2.7109375" style="1" customWidth="1"/>
    <col min="4783" max="4783" width="9.85546875" style="1" bestFit="1" customWidth="1"/>
    <col min="4784" max="4785" width="9.140625" style="1"/>
    <col min="4786" max="4786" width="24" style="1" customWidth="1"/>
    <col min="4787" max="4789" width="9.140625" style="1"/>
    <col min="4790" max="4790" width="9" style="1" bestFit="1" customWidth="1"/>
    <col min="4791" max="4800" width="9.28515625" style="1" bestFit="1" customWidth="1"/>
    <col min="4801" max="4801" width="10.28515625" style="1" bestFit="1" customWidth="1"/>
    <col min="4802" max="4802" width="11.28515625" style="1" bestFit="1" customWidth="1"/>
    <col min="4803" max="4803" width="11.7109375" style="1" customWidth="1"/>
    <col min="4804" max="4804" width="9.140625" style="1"/>
    <col min="4805" max="4805" width="22.28515625" style="1" customWidth="1"/>
    <col min="4806" max="4806" width="9.140625" style="1"/>
    <col min="4807" max="4807" width="9.28515625" style="1" bestFit="1" customWidth="1"/>
    <col min="4808" max="4808" width="9.42578125" style="1" bestFit="1" customWidth="1"/>
    <col min="4809" max="4809" width="9.28515625" style="1" bestFit="1" customWidth="1"/>
    <col min="4810" max="4810" width="10.28515625" style="1" bestFit="1" customWidth="1"/>
    <col min="4811" max="4812" width="9.28515625" style="1" bestFit="1" customWidth="1"/>
    <col min="4813" max="4814" width="10.28515625" style="1" bestFit="1" customWidth="1"/>
    <col min="4815" max="4819" width="9.28515625" style="1" bestFit="1" customWidth="1"/>
    <col min="4820" max="4820" width="10.42578125" style="1" bestFit="1" customWidth="1"/>
    <col min="4821" max="4821" width="9.140625" style="1"/>
    <col min="4822" max="4822" width="24.85546875" style="1" customWidth="1"/>
    <col min="4823" max="4823" width="9.140625" style="1"/>
    <col min="4824" max="4836" width="9.28515625" style="1" bestFit="1" customWidth="1"/>
    <col min="4837" max="4837" width="10.28515625" style="1" bestFit="1" customWidth="1"/>
    <col min="4838" max="4838" width="9.5703125" style="1" bestFit="1" customWidth="1"/>
    <col min="4839" max="4839" width="18.5703125" style="1" customWidth="1"/>
    <col min="4840" max="4841" width="9.140625" style="1"/>
    <col min="4842" max="4844" width="12.140625" style="1" bestFit="1" customWidth="1"/>
    <col min="4845" max="4853" width="10.28515625" style="1" bestFit="1" customWidth="1"/>
    <col min="4854" max="4854" width="11.28515625" style="1" bestFit="1" customWidth="1"/>
    <col min="4855" max="4855" width="9.140625" style="1"/>
    <col min="4856" max="4856" width="19" style="1" customWidth="1"/>
    <col min="4857" max="4873" width="9.140625" style="1"/>
    <col min="4874" max="4884" width="11.28515625" style="1" bestFit="1" customWidth="1"/>
    <col min="4885" max="4885" width="10.28515625" style="1" bestFit="1" customWidth="1"/>
    <col min="4886" max="4886" width="12.85546875" style="1" bestFit="1" customWidth="1"/>
    <col min="4887" max="5009" width="9.140625" style="1"/>
    <col min="5010" max="5010" width="11" style="1" bestFit="1" customWidth="1"/>
    <col min="5011" max="5011" width="28.140625" style="1" bestFit="1" customWidth="1"/>
    <col min="5012" max="5012" width="14" style="1" bestFit="1" customWidth="1"/>
    <col min="5013" max="5013" width="9.140625" style="1"/>
    <col min="5014" max="5014" width="13.85546875" style="1" bestFit="1" customWidth="1"/>
    <col min="5015" max="5015" width="9.140625" style="1"/>
    <col min="5016" max="5016" width="14" style="1" customWidth="1"/>
    <col min="5017" max="5017" width="9.140625" style="1"/>
    <col min="5018" max="5018" width="12.85546875" style="1" bestFit="1" customWidth="1"/>
    <col min="5019" max="5019" width="10" style="1" customWidth="1"/>
    <col min="5020" max="5020" width="14" style="1" bestFit="1" customWidth="1"/>
    <col min="5021" max="5021" width="9.85546875" style="1" bestFit="1" customWidth="1"/>
    <col min="5022" max="5022" width="13.5703125" style="1" bestFit="1" customWidth="1"/>
    <col min="5023" max="5023" width="9.85546875" style="1" bestFit="1" customWidth="1"/>
    <col min="5024" max="5024" width="12.85546875" style="1" bestFit="1" customWidth="1"/>
    <col min="5025" max="5036" width="10.5703125" style="1" customWidth="1"/>
    <col min="5037" max="5037" width="11.140625" style="1" bestFit="1" customWidth="1"/>
    <col min="5038" max="5038" width="2.7109375" style="1" customWidth="1"/>
    <col min="5039" max="5039" width="9.85546875" style="1" bestFit="1" customWidth="1"/>
    <col min="5040" max="5041" width="9.140625" style="1"/>
    <col min="5042" max="5042" width="24" style="1" customWidth="1"/>
    <col min="5043" max="5045" width="9.140625" style="1"/>
    <col min="5046" max="5046" width="9" style="1" bestFit="1" customWidth="1"/>
    <col min="5047" max="5056" width="9.28515625" style="1" bestFit="1" customWidth="1"/>
    <col min="5057" max="5057" width="10.28515625" style="1" bestFit="1" customWidth="1"/>
    <col min="5058" max="5058" width="11.28515625" style="1" bestFit="1" customWidth="1"/>
    <col min="5059" max="5059" width="11.7109375" style="1" customWidth="1"/>
    <col min="5060" max="5060" width="9.140625" style="1"/>
    <col min="5061" max="5061" width="22.28515625" style="1" customWidth="1"/>
    <col min="5062" max="5062" width="9.140625" style="1"/>
    <col min="5063" max="5063" width="9.28515625" style="1" bestFit="1" customWidth="1"/>
    <col min="5064" max="5064" width="9.42578125" style="1" bestFit="1" customWidth="1"/>
    <col min="5065" max="5065" width="9.28515625" style="1" bestFit="1" customWidth="1"/>
    <col min="5066" max="5066" width="10.28515625" style="1" bestFit="1" customWidth="1"/>
    <col min="5067" max="5068" width="9.28515625" style="1" bestFit="1" customWidth="1"/>
    <col min="5069" max="5070" width="10.28515625" style="1" bestFit="1" customWidth="1"/>
    <col min="5071" max="5075" width="9.28515625" style="1" bestFit="1" customWidth="1"/>
    <col min="5076" max="5076" width="10.42578125" style="1" bestFit="1" customWidth="1"/>
    <col min="5077" max="5077" width="9.140625" style="1"/>
    <col min="5078" max="5078" width="24.85546875" style="1" customWidth="1"/>
    <col min="5079" max="5079" width="9.140625" style="1"/>
    <col min="5080" max="5092" width="9.28515625" style="1" bestFit="1" customWidth="1"/>
    <col min="5093" max="5093" width="10.28515625" style="1" bestFit="1" customWidth="1"/>
    <col min="5094" max="5094" width="9.5703125" style="1" bestFit="1" customWidth="1"/>
    <col min="5095" max="5095" width="18.5703125" style="1" customWidth="1"/>
    <col min="5096" max="5097" width="9.140625" style="1"/>
    <col min="5098" max="5100" width="12.140625" style="1" bestFit="1" customWidth="1"/>
    <col min="5101" max="5109" width="10.28515625" style="1" bestFit="1" customWidth="1"/>
    <col min="5110" max="5110" width="11.28515625" style="1" bestFit="1" customWidth="1"/>
    <col min="5111" max="5111" width="9.140625" style="1"/>
    <col min="5112" max="5112" width="19" style="1" customWidth="1"/>
    <col min="5113" max="5129" width="9.140625" style="1"/>
    <col min="5130" max="5140" width="11.28515625" style="1" bestFit="1" customWidth="1"/>
    <col min="5141" max="5141" width="10.28515625" style="1" bestFit="1" customWidth="1"/>
    <col min="5142" max="5142" width="12.85546875" style="1" bestFit="1" customWidth="1"/>
    <col min="5143" max="5265" width="9.140625" style="1"/>
    <col min="5266" max="5266" width="11" style="1" bestFit="1" customWidth="1"/>
    <col min="5267" max="5267" width="28.140625" style="1" bestFit="1" customWidth="1"/>
    <col min="5268" max="5268" width="14" style="1" bestFit="1" customWidth="1"/>
    <col min="5269" max="5269" width="9.140625" style="1"/>
    <col min="5270" max="5270" width="13.85546875" style="1" bestFit="1" customWidth="1"/>
    <col min="5271" max="5271" width="9.140625" style="1"/>
    <col min="5272" max="5272" width="14" style="1" customWidth="1"/>
    <col min="5273" max="5273" width="9.140625" style="1"/>
    <col min="5274" max="5274" width="12.85546875" style="1" bestFit="1" customWidth="1"/>
    <col min="5275" max="5275" width="10" style="1" customWidth="1"/>
    <col min="5276" max="5276" width="14" style="1" bestFit="1" customWidth="1"/>
    <col min="5277" max="5277" width="9.85546875" style="1" bestFit="1" customWidth="1"/>
    <col min="5278" max="5278" width="13.5703125" style="1" bestFit="1" customWidth="1"/>
    <col min="5279" max="5279" width="9.85546875" style="1" bestFit="1" customWidth="1"/>
    <col min="5280" max="5280" width="12.85546875" style="1" bestFit="1" customWidth="1"/>
    <col min="5281" max="5292" width="10.5703125" style="1" customWidth="1"/>
    <col min="5293" max="5293" width="11.140625" style="1" bestFit="1" customWidth="1"/>
    <col min="5294" max="5294" width="2.7109375" style="1" customWidth="1"/>
    <col min="5295" max="5295" width="9.85546875" style="1" bestFit="1" customWidth="1"/>
    <col min="5296" max="5297" width="9.140625" style="1"/>
    <col min="5298" max="5298" width="24" style="1" customWidth="1"/>
    <col min="5299" max="5301" width="9.140625" style="1"/>
    <col min="5302" max="5302" width="9" style="1" bestFit="1" customWidth="1"/>
    <col min="5303" max="5312" width="9.28515625" style="1" bestFit="1" customWidth="1"/>
    <col min="5313" max="5313" width="10.28515625" style="1" bestFit="1" customWidth="1"/>
    <col min="5314" max="5314" width="11.28515625" style="1" bestFit="1" customWidth="1"/>
    <col min="5315" max="5315" width="11.7109375" style="1" customWidth="1"/>
    <col min="5316" max="5316" width="9.140625" style="1"/>
    <col min="5317" max="5317" width="22.28515625" style="1" customWidth="1"/>
    <col min="5318" max="5318" width="9.140625" style="1"/>
    <col min="5319" max="5319" width="9.28515625" style="1" bestFit="1" customWidth="1"/>
    <col min="5320" max="5320" width="9.42578125" style="1" bestFit="1" customWidth="1"/>
    <col min="5321" max="5321" width="9.28515625" style="1" bestFit="1" customWidth="1"/>
    <col min="5322" max="5322" width="10.28515625" style="1" bestFit="1" customWidth="1"/>
    <col min="5323" max="5324" width="9.28515625" style="1" bestFit="1" customWidth="1"/>
    <col min="5325" max="5326" width="10.28515625" style="1" bestFit="1" customWidth="1"/>
    <col min="5327" max="5331" width="9.28515625" style="1" bestFit="1" customWidth="1"/>
    <col min="5332" max="5332" width="10.42578125" style="1" bestFit="1" customWidth="1"/>
    <col min="5333" max="5333" width="9.140625" style="1"/>
    <col min="5334" max="5334" width="24.85546875" style="1" customWidth="1"/>
    <col min="5335" max="5335" width="9.140625" style="1"/>
    <col min="5336" max="5348" width="9.28515625" style="1" bestFit="1" customWidth="1"/>
    <col min="5349" max="5349" width="10.28515625" style="1" bestFit="1" customWidth="1"/>
    <col min="5350" max="5350" width="9.5703125" style="1" bestFit="1" customWidth="1"/>
    <col min="5351" max="5351" width="18.5703125" style="1" customWidth="1"/>
    <col min="5352" max="5353" width="9.140625" style="1"/>
    <col min="5354" max="5356" width="12.140625" style="1" bestFit="1" customWidth="1"/>
    <col min="5357" max="5365" width="10.28515625" style="1" bestFit="1" customWidth="1"/>
    <col min="5366" max="5366" width="11.28515625" style="1" bestFit="1" customWidth="1"/>
    <col min="5367" max="5367" width="9.140625" style="1"/>
    <col min="5368" max="5368" width="19" style="1" customWidth="1"/>
    <col min="5369" max="5385" width="9.140625" style="1"/>
    <col min="5386" max="5396" width="11.28515625" style="1" bestFit="1" customWidth="1"/>
    <col min="5397" max="5397" width="10.28515625" style="1" bestFit="1" customWidth="1"/>
    <col min="5398" max="5398" width="12.85546875" style="1" bestFit="1" customWidth="1"/>
    <col min="5399" max="5521" width="9.140625" style="1"/>
    <col min="5522" max="5522" width="11" style="1" bestFit="1" customWidth="1"/>
    <col min="5523" max="5523" width="28.140625" style="1" bestFit="1" customWidth="1"/>
    <col min="5524" max="5524" width="14" style="1" bestFit="1" customWidth="1"/>
    <col min="5525" max="5525" width="9.140625" style="1"/>
    <col min="5526" max="5526" width="13.85546875" style="1" bestFit="1" customWidth="1"/>
    <col min="5527" max="5527" width="9.140625" style="1"/>
    <col min="5528" max="5528" width="14" style="1" customWidth="1"/>
    <col min="5529" max="5529" width="9.140625" style="1"/>
    <col min="5530" max="5530" width="12.85546875" style="1" bestFit="1" customWidth="1"/>
    <col min="5531" max="5531" width="10" style="1" customWidth="1"/>
    <col min="5532" max="5532" width="14" style="1" bestFit="1" customWidth="1"/>
    <col min="5533" max="5533" width="9.85546875" style="1" bestFit="1" customWidth="1"/>
    <col min="5534" max="5534" width="13.5703125" style="1" bestFit="1" customWidth="1"/>
    <col min="5535" max="5535" width="9.85546875" style="1" bestFit="1" customWidth="1"/>
    <col min="5536" max="5536" width="12.85546875" style="1" bestFit="1" customWidth="1"/>
    <col min="5537" max="5548" width="10.5703125" style="1" customWidth="1"/>
    <col min="5549" max="5549" width="11.140625" style="1" bestFit="1" customWidth="1"/>
    <col min="5550" max="5550" width="2.7109375" style="1" customWidth="1"/>
    <col min="5551" max="5551" width="9.85546875" style="1" bestFit="1" customWidth="1"/>
    <col min="5552" max="5553" width="9.140625" style="1"/>
    <col min="5554" max="5554" width="24" style="1" customWidth="1"/>
    <col min="5555" max="5557" width="9.140625" style="1"/>
    <col min="5558" max="5558" width="9" style="1" bestFit="1" customWidth="1"/>
    <col min="5559" max="5568" width="9.28515625" style="1" bestFit="1" customWidth="1"/>
    <col min="5569" max="5569" width="10.28515625" style="1" bestFit="1" customWidth="1"/>
    <col min="5570" max="5570" width="11.28515625" style="1" bestFit="1" customWidth="1"/>
    <col min="5571" max="5571" width="11.7109375" style="1" customWidth="1"/>
    <col min="5572" max="5572" width="9.140625" style="1"/>
    <col min="5573" max="5573" width="22.28515625" style="1" customWidth="1"/>
    <col min="5574" max="5574" width="9.140625" style="1"/>
    <col min="5575" max="5575" width="9.28515625" style="1" bestFit="1" customWidth="1"/>
    <col min="5576" max="5576" width="9.42578125" style="1" bestFit="1" customWidth="1"/>
    <col min="5577" max="5577" width="9.28515625" style="1" bestFit="1" customWidth="1"/>
    <col min="5578" max="5578" width="10.28515625" style="1" bestFit="1" customWidth="1"/>
    <col min="5579" max="5580" width="9.28515625" style="1" bestFit="1" customWidth="1"/>
    <col min="5581" max="5582" width="10.28515625" style="1" bestFit="1" customWidth="1"/>
    <col min="5583" max="5587" width="9.28515625" style="1" bestFit="1" customWidth="1"/>
    <col min="5588" max="5588" width="10.42578125" style="1" bestFit="1" customWidth="1"/>
    <col min="5589" max="5589" width="9.140625" style="1"/>
    <col min="5590" max="5590" width="24.85546875" style="1" customWidth="1"/>
    <col min="5591" max="5591" width="9.140625" style="1"/>
    <col min="5592" max="5604" width="9.28515625" style="1" bestFit="1" customWidth="1"/>
    <col min="5605" max="5605" width="10.28515625" style="1" bestFit="1" customWidth="1"/>
    <col min="5606" max="5606" width="9.5703125" style="1" bestFit="1" customWidth="1"/>
    <col min="5607" max="5607" width="18.5703125" style="1" customWidth="1"/>
    <col min="5608" max="5609" width="9.140625" style="1"/>
    <col min="5610" max="5612" width="12.140625" style="1" bestFit="1" customWidth="1"/>
    <col min="5613" max="5621" width="10.28515625" style="1" bestFit="1" customWidth="1"/>
    <col min="5622" max="5622" width="11.28515625" style="1" bestFit="1" customWidth="1"/>
    <col min="5623" max="5623" width="9.140625" style="1"/>
    <col min="5624" max="5624" width="19" style="1" customWidth="1"/>
    <col min="5625" max="5641" width="9.140625" style="1"/>
    <col min="5642" max="5652" width="11.28515625" style="1" bestFit="1" customWidth="1"/>
    <col min="5653" max="5653" width="10.28515625" style="1" bestFit="1" customWidth="1"/>
    <col min="5654" max="5654" width="12.85546875" style="1" bestFit="1" customWidth="1"/>
    <col min="5655" max="5777" width="9.140625" style="1"/>
    <col min="5778" max="5778" width="11" style="1" bestFit="1" customWidth="1"/>
    <col min="5779" max="5779" width="28.140625" style="1" bestFit="1" customWidth="1"/>
    <col min="5780" max="5780" width="14" style="1" bestFit="1" customWidth="1"/>
    <col min="5781" max="5781" width="9.140625" style="1"/>
    <col min="5782" max="5782" width="13.85546875" style="1" bestFit="1" customWidth="1"/>
    <col min="5783" max="5783" width="9.140625" style="1"/>
    <col min="5784" max="5784" width="14" style="1" customWidth="1"/>
    <col min="5785" max="5785" width="9.140625" style="1"/>
    <col min="5786" max="5786" width="12.85546875" style="1" bestFit="1" customWidth="1"/>
    <col min="5787" max="5787" width="10" style="1" customWidth="1"/>
    <col min="5788" max="5788" width="14" style="1" bestFit="1" customWidth="1"/>
    <col min="5789" max="5789" width="9.85546875" style="1" bestFit="1" customWidth="1"/>
    <col min="5790" max="5790" width="13.5703125" style="1" bestFit="1" customWidth="1"/>
    <col min="5791" max="5791" width="9.85546875" style="1" bestFit="1" customWidth="1"/>
    <col min="5792" max="5792" width="12.85546875" style="1" bestFit="1" customWidth="1"/>
    <col min="5793" max="5804" width="10.5703125" style="1" customWidth="1"/>
    <col min="5805" max="5805" width="11.140625" style="1" bestFit="1" customWidth="1"/>
    <col min="5806" max="5806" width="2.7109375" style="1" customWidth="1"/>
    <col min="5807" max="5807" width="9.85546875" style="1" bestFit="1" customWidth="1"/>
    <col min="5808" max="5809" width="9.140625" style="1"/>
    <col min="5810" max="5810" width="24" style="1" customWidth="1"/>
    <col min="5811" max="5813" width="9.140625" style="1"/>
    <col min="5814" max="5814" width="9" style="1" bestFit="1" customWidth="1"/>
    <col min="5815" max="5824" width="9.28515625" style="1" bestFit="1" customWidth="1"/>
    <col min="5825" max="5825" width="10.28515625" style="1" bestFit="1" customWidth="1"/>
    <col min="5826" max="5826" width="11.28515625" style="1" bestFit="1" customWidth="1"/>
    <col min="5827" max="5827" width="11.7109375" style="1" customWidth="1"/>
    <col min="5828" max="5828" width="9.140625" style="1"/>
    <col min="5829" max="5829" width="22.28515625" style="1" customWidth="1"/>
    <col min="5830" max="5830" width="9.140625" style="1"/>
    <col min="5831" max="5831" width="9.28515625" style="1" bestFit="1" customWidth="1"/>
    <col min="5832" max="5832" width="9.42578125" style="1" bestFit="1" customWidth="1"/>
    <col min="5833" max="5833" width="9.28515625" style="1" bestFit="1" customWidth="1"/>
    <col min="5834" max="5834" width="10.28515625" style="1" bestFit="1" customWidth="1"/>
    <col min="5835" max="5836" width="9.28515625" style="1" bestFit="1" customWidth="1"/>
    <col min="5837" max="5838" width="10.28515625" style="1" bestFit="1" customWidth="1"/>
    <col min="5839" max="5843" width="9.28515625" style="1" bestFit="1" customWidth="1"/>
    <col min="5844" max="5844" width="10.42578125" style="1" bestFit="1" customWidth="1"/>
    <col min="5845" max="5845" width="9.140625" style="1"/>
    <col min="5846" max="5846" width="24.85546875" style="1" customWidth="1"/>
    <col min="5847" max="5847" width="9.140625" style="1"/>
    <col min="5848" max="5860" width="9.28515625" style="1" bestFit="1" customWidth="1"/>
    <col min="5861" max="5861" width="10.28515625" style="1" bestFit="1" customWidth="1"/>
    <col min="5862" max="5862" width="9.5703125" style="1" bestFit="1" customWidth="1"/>
    <col min="5863" max="5863" width="18.5703125" style="1" customWidth="1"/>
    <col min="5864" max="5865" width="9.140625" style="1"/>
    <col min="5866" max="5868" width="12.140625" style="1" bestFit="1" customWidth="1"/>
    <col min="5869" max="5877" width="10.28515625" style="1" bestFit="1" customWidth="1"/>
    <col min="5878" max="5878" width="11.28515625" style="1" bestFit="1" customWidth="1"/>
    <col min="5879" max="5879" width="9.140625" style="1"/>
    <col min="5880" max="5880" width="19" style="1" customWidth="1"/>
    <col min="5881" max="5897" width="9.140625" style="1"/>
    <col min="5898" max="5908" width="11.28515625" style="1" bestFit="1" customWidth="1"/>
    <col min="5909" max="5909" width="10.28515625" style="1" bestFit="1" customWidth="1"/>
    <col min="5910" max="5910" width="12.85546875" style="1" bestFit="1" customWidth="1"/>
    <col min="5911" max="6033" width="9.140625" style="1"/>
    <col min="6034" max="6034" width="11" style="1" bestFit="1" customWidth="1"/>
    <col min="6035" max="6035" width="28.140625" style="1" bestFit="1" customWidth="1"/>
    <col min="6036" max="6036" width="14" style="1" bestFit="1" customWidth="1"/>
    <col min="6037" max="6037" width="9.140625" style="1"/>
    <col min="6038" max="6038" width="13.85546875" style="1" bestFit="1" customWidth="1"/>
    <col min="6039" max="6039" width="9.140625" style="1"/>
    <col min="6040" max="6040" width="14" style="1" customWidth="1"/>
    <col min="6041" max="6041" width="9.140625" style="1"/>
    <col min="6042" max="6042" width="12.85546875" style="1" bestFit="1" customWidth="1"/>
    <col min="6043" max="6043" width="10" style="1" customWidth="1"/>
    <col min="6044" max="6044" width="14" style="1" bestFit="1" customWidth="1"/>
    <col min="6045" max="6045" width="9.85546875" style="1" bestFit="1" customWidth="1"/>
    <col min="6046" max="6046" width="13.5703125" style="1" bestFit="1" customWidth="1"/>
    <col min="6047" max="6047" width="9.85546875" style="1" bestFit="1" customWidth="1"/>
    <col min="6048" max="6048" width="12.85546875" style="1" bestFit="1" customWidth="1"/>
    <col min="6049" max="6060" width="10.5703125" style="1" customWidth="1"/>
    <col min="6061" max="6061" width="11.140625" style="1" bestFit="1" customWidth="1"/>
    <col min="6062" max="6062" width="2.7109375" style="1" customWidth="1"/>
    <col min="6063" max="6063" width="9.85546875" style="1" bestFit="1" customWidth="1"/>
    <col min="6064" max="6065" width="9.140625" style="1"/>
    <col min="6066" max="6066" width="24" style="1" customWidth="1"/>
    <col min="6067" max="6069" width="9.140625" style="1"/>
    <col min="6070" max="6070" width="9" style="1" bestFit="1" customWidth="1"/>
    <col min="6071" max="6080" width="9.28515625" style="1" bestFit="1" customWidth="1"/>
    <col min="6081" max="6081" width="10.28515625" style="1" bestFit="1" customWidth="1"/>
    <col min="6082" max="6082" width="11.28515625" style="1" bestFit="1" customWidth="1"/>
    <col min="6083" max="6083" width="11.7109375" style="1" customWidth="1"/>
    <col min="6084" max="6084" width="9.140625" style="1"/>
    <col min="6085" max="6085" width="22.28515625" style="1" customWidth="1"/>
    <col min="6086" max="6086" width="9.140625" style="1"/>
    <col min="6087" max="6087" width="9.28515625" style="1" bestFit="1" customWidth="1"/>
    <col min="6088" max="6088" width="9.42578125" style="1" bestFit="1" customWidth="1"/>
    <col min="6089" max="6089" width="9.28515625" style="1" bestFit="1" customWidth="1"/>
    <col min="6090" max="6090" width="10.28515625" style="1" bestFit="1" customWidth="1"/>
    <col min="6091" max="6092" width="9.28515625" style="1" bestFit="1" customWidth="1"/>
    <col min="6093" max="6094" width="10.28515625" style="1" bestFit="1" customWidth="1"/>
    <col min="6095" max="6099" width="9.28515625" style="1" bestFit="1" customWidth="1"/>
    <col min="6100" max="6100" width="10.42578125" style="1" bestFit="1" customWidth="1"/>
    <col min="6101" max="6101" width="9.140625" style="1"/>
    <col min="6102" max="6102" width="24.85546875" style="1" customWidth="1"/>
    <col min="6103" max="6103" width="9.140625" style="1"/>
    <col min="6104" max="6116" width="9.28515625" style="1" bestFit="1" customWidth="1"/>
    <col min="6117" max="6117" width="10.28515625" style="1" bestFit="1" customWidth="1"/>
    <col min="6118" max="6118" width="9.5703125" style="1" bestFit="1" customWidth="1"/>
    <col min="6119" max="6119" width="18.5703125" style="1" customWidth="1"/>
    <col min="6120" max="6121" width="9.140625" style="1"/>
    <col min="6122" max="6124" width="12.140625" style="1" bestFit="1" customWidth="1"/>
    <col min="6125" max="6133" width="10.28515625" style="1" bestFit="1" customWidth="1"/>
    <col min="6134" max="6134" width="11.28515625" style="1" bestFit="1" customWidth="1"/>
    <col min="6135" max="6135" width="9.140625" style="1"/>
    <col min="6136" max="6136" width="19" style="1" customWidth="1"/>
    <col min="6137" max="6153" width="9.140625" style="1"/>
    <col min="6154" max="6164" width="11.28515625" style="1" bestFit="1" customWidth="1"/>
    <col min="6165" max="6165" width="10.28515625" style="1" bestFit="1" customWidth="1"/>
    <col min="6166" max="6166" width="12.85546875" style="1" bestFit="1" customWidth="1"/>
    <col min="6167" max="6289" width="9.140625" style="1"/>
    <col min="6290" max="6290" width="11" style="1" bestFit="1" customWidth="1"/>
    <col min="6291" max="6291" width="28.140625" style="1" bestFit="1" customWidth="1"/>
    <col min="6292" max="6292" width="14" style="1" bestFit="1" customWidth="1"/>
    <col min="6293" max="6293" width="9.140625" style="1"/>
    <col min="6294" max="6294" width="13.85546875" style="1" bestFit="1" customWidth="1"/>
    <col min="6295" max="6295" width="9.140625" style="1"/>
    <col min="6296" max="6296" width="14" style="1" customWidth="1"/>
    <col min="6297" max="6297" width="9.140625" style="1"/>
    <col min="6298" max="6298" width="12.85546875" style="1" bestFit="1" customWidth="1"/>
    <col min="6299" max="6299" width="10" style="1" customWidth="1"/>
    <col min="6300" max="6300" width="14" style="1" bestFit="1" customWidth="1"/>
    <col min="6301" max="6301" width="9.85546875" style="1" bestFit="1" customWidth="1"/>
    <col min="6302" max="6302" width="13.5703125" style="1" bestFit="1" customWidth="1"/>
    <col min="6303" max="6303" width="9.85546875" style="1" bestFit="1" customWidth="1"/>
    <col min="6304" max="6304" width="12.85546875" style="1" bestFit="1" customWidth="1"/>
    <col min="6305" max="6316" width="10.5703125" style="1" customWidth="1"/>
    <col min="6317" max="6317" width="11.140625" style="1" bestFit="1" customWidth="1"/>
    <col min="6318" max="6318" width="2.7109375" style="1" customWidth="1"/>
    <col min="6319" max="6319" width="9.85546875" style="1" bestFit="1" customWidth="1"/>
    <col min="6320" max="6321" width="9.140625" style="1"/>
    <col min="6322" max="6322" width="24" style="1" customWidth="1"/>
    <col min="6323" max="6325" width="9.140625" style="1"/>
    <col min="6326" max="6326" width="9" style="1" bestFit="1" customWidth="1"/>
    <col min="6327" max="6336" width="9.28515625" style="1" bestFit="1" customWidth="1"/>
    <col min="6337" max="6337" width="10.28515625" style="1" bestFit="1" customWidth="1"/>
    <col min="6338" max="6338" width="11.28515625" style="1" bestFit="1" customWidth="1"/>
    <col min="6339" max="6339" width="11.7109375" style="1" customWidth="1"/>
    <col min="6340" max="6340" width="9.140625" style="1"/>
    <col min="6341" max="6341" width="22.28515625" style="1" customWidth="1"/>
    <col min="6342" max="6342" width="9.140625" style="1"/>
    <col min="6343" max="6343" width="9.28515625" style="1" bestFit="1" customWidth="1"/>
    <col min="6344" max="6344" width="9.42578125" style="1" bestFit="1" customWidth="1"/>
    <col min="6345" max="6345" width="9.28515625" style="1" bestFit="1" customWidth="1"/>
    <col min="6346" max="6346" width="10.28515625" style="1" bestFit="1" customWidth="1"/>
    <col min="6347" max="6348" width="9.28515625" style="1" bestFit="1" customWidth="1"/>
    <col min="6349" max="6350" width="10.28515625" style="1" bestFit="1" customWidth="1"/>
    <col min="6351" max="6355" width="9.28515625" style="1" bestFit="1" customWidth="1"/>
    <col min="6356" max="6356" width="10.42578125" style="1" bestFit="1" customWidth="1"/>
    <col min="6357" max="6357" width="9.140625" style="1"/>
    <col min="6358" max="6358" width="24.85546875" style="1" customWidth="1"/>
    <col min="6359" max="6359" width="9.140625" style="1"/>
    <col min="6360" max="6372" width="9.28515625" style="1" bestFit="1" customWidth="1"/>
    <col min="6373" max="6373" width="10.28515625" style="1" bestFit="1" customWidth="1"/>
    <col min="6374" max="6374" width="9.5703125" style="1" bestFit="1" customWidth="1"/>
    <col min="6375" max="6375" width="18.5703125" style="1" customWidth="1"/>
    <col min="6376" max="6377" width="9.140625" style="1"/>
    <col min="6378" max="6380" width="12.140625" style="1" bestFit="1" customWidth="1"/>
    <col min="6381" max="6389" width="10.28515625" style="1" bestFit="1" customWidth="1"/>
    <col min="6390" max="6390" width="11.28515625" style="1" bestFit="1" customWidth="1"/>
    <col min="6391" max="6391" width="9.140625" style="1"/>
    <col min="6392" max="6392" width="19" style="1" customWidth="1"/>
    <col min="6393" max="6409" width="9.140625" style="1"/>
    <col min="6410" max="6420" width="11.28515625" style="1" bestFit="1" customWidth="1"/>
    <col min="6421" max="6421" width="10.28515625" style="1" bestFit="1" customWidth="1"/>
    <col min="6422" max="6422" width="12.85546875" style="1" bestFit="1" customWidth="1"/>
    <col min="6423" max="6545" width="9.140625" style="1"/>
    <col min="6546" max="6546" width="11" style="1" bestFit="1" customWidth="1"/>
    <col min="6547" max="6547" width="28.140625" style="1" bestFit="1" customWidth="1"/>
    <col min="6548" max="6548" width="14" style="1" bestFit="1" customWidth="1"/>
    <col min="6549" max="6549" width="9.140625" style="1"/>
    <col min="6550" max="6550" width="13.85546875" style="1" bestFit="1" customWidth="1"/>
    <col min="6551" max="6551" width="9.140625" style="1"/>
    <col min="6552" max="6552" width="14" style="1" customWidth="1"/>
    <col min="6553" max="6553" width="9.140625" style="1"/>
    <col min="6554" max="6554" width="12.85546875" style="1" bestFit="1" customWidth="1"/>
    <col min="6555" max="6555" width="10" style="1" customWidth="1"/>
    <col min="6556" max="6556" width="14" style="1" bestFit="1" customWidth="1"/>
    <col min="6557" max="6557" width="9.85546875" style="1" bestFit="1" customWidth="1"/>
    <col min="6558" max="6558" width="13.5703125" style="1" bestFit="1" customWidth="1"/>
    <col min="6559" max="6559" width="9.85546875" style="1" bestFit="1" customWidth="1"/>
    <col min="6560" max="6560" width="12.85546875" style="1" bestFit="1" customWidth="1"/>
    <col min="6561" max="6572" width="10.5703125" style="1" customWidth="1"/>
    <col min="6573" max="6573" width="11.140625" style="1" bestFit="1" customWidth="1"/>
    <col min="6574" max="6574" width="2.7109375" style="1" customWidth="1"/>
    <col min="6575" max="6575" width="9.85546875" style="1" bestFit="1" customWidth="1"/>
    <col min="6576" max="6577" width="9.140625" style="1"/>
    <col min="6578" max="6578" width="24" style="1" customWidth="1"/>
    <col min="6579" max="6581" width="9.140625" style="1"/>
    <col min="6582" max="6582" width="9" style="1" bestFit="1" customWidth="1"/>
    <col min="6583" max="6592" width="9.28515625" style="1" bestFit="1" customWidth="1"/>
    <col min="6593" max="6593" width="10.28515625" style="1" bestFit="1" customWidth="1"/>
    <col min="6594" max="6594" width="11.28515625" style="1" bestFit="1" customWidth="1"/>
    <col min="6595" max="6595" width="11.7109375" style="1" customWidth="1"/>
    <col min="6596" max="6596" width="9.140625" style="1"/>
    <col min="6597" max="6597" width="22.28515625" style="1" customWidth="1"/>
    <col min="6598" max="6598" width="9.140625" style="1"/>
    <col min="6599" max="6599" width="9.28515625" style="1" bestFit="1" customWidth="1"/>
    <col min="6600" max="6600" width="9.42578125" style="1" bestFit="1" customWidth="1"/>
    <col min="6601" max="6601" width="9.28515625" style="1" bestFit="1" customWidth="1"/>
    <col min="6602" max="6602" width="10.28515625" style="1" bestFit="1" customWidth="1"/>
    <col min="6603" max="6604" width="9.28515625" style="1" bestFit="1" customWidth="1"/>
    <col min="6605" max="6606" width="10.28515625" style="1" bestFit="1" customWidth="1"/>
    <col min="6607" max="6611" width="9.28515625" style="1" bestFit="1" customWidth="1"/>
    <col min="6612" max="6612" width="10.42578125" style="1" bestFit="1" customWidth="1"/>
    <col min="6613" max="6613" width="9.140625" style="1"/>
    <col min="6614" max="6614" width="24.85546875" style="1" customWidth="1"/>
    <col min="6615" max="6615" width="9.140625" style="1"/>
    <col min="6616" max="6628" width="9.28515625" style="1" bestFit="1" customWidth="1"/>
    <col min="6629" max="6629" width="10.28515625" style="1" bestFit="1" customWidth="1"/>
    <col min="6630" max="6630" width="9.5703125" style="1" bestFit="1" customWidth="1"/>
    <col min="6631" max="6631" width="18.5703125" style="1" customWidth="1"/>
    <col min="6632" max="6633" width="9.140625" style="1"/>
    <col min="6634" max="6636" width="12.140625" style="1" bestFit="1" customWidth="1"/>
    <col min="6637" max="6645" width="10.28515625" style="1" bestFit="1" customWidth="1"/>
    <col min="6646" max="6646" width="11.28515625" style="1" bestFit="1" customWidth="1"/>
    <col min="6647" max="6647" width="9.140625" style="1"/>
    <col min="6648" max="6648" width="19" style="1" customWidth="1"/>
    <col min="6649" max="6665" width="9.140625" style="1"/>
    <col min="6666" max="6676" width="11.28515625" style="1" bestFit="1" customWidth="1"/>
    <col min="6677" max="6677" width="10.28515625" style="1" bestFit="1" customWidth="1"/>
    <col min="6678" max="6678" width="12.85546875" style="1" bestFit="1" customWidth="1"/>
    <col min="6679" max="6801" width="9.140625" style="1"/>
    <col min="6802" max="6802" width="11" style="1" bestFit="1" customWidth="1"/>
    <col min="6803" max="6803" width="28.140625" style="1" bestFit="1" customWidth="1"/>
    <col min="6804" max="6804" width="14" style="1" bestFit="1" customWidth="1"/>
    <col min="6805" max="6805" width="9.140625" style="1"/>
    <col min="6806" max="6806" width="13.85546875" style="1" bestFit="1" customWidth="1"/>
    <col min="6807" max="6807" width="9.140625" style="1"/>
    <col min="6808" max="6808" width="14" style="1" customWidth="1"/>
    <col min="6809" max="6809" width="9.140625" style="1"/>
    <col min="6810" max="6810" width="12.85546875" style="1" bestFit="1" customWidth="1"/>
    <col min="6811" max="6811" width="10" style="1" customWidth="1"/>
    <col min="6812" max="6812" width="14" style="1" bestFit="1" customWidth="1"/>
    <col min="6813" max="6813" width="9.85546875" style="1" bestFit="1" customWidth="1"/>
    <col min="6814" max="6814" width="13.5703125" style="1" bestFit="1" customWidth="1"/>
    <col min="6815" max="6815" width="9.85546875" style="1" bestFit="1" customWidth="1"/>
    <col min="6816" max="6816" width="12.85546875" style="1" bestFit="1" customWidth="1"/>
    <col min="6817" max="6828" width="10.5703125" style="1" customWidth="1"/>
    <col min="6829" max="6829" width="11.140625" style="1" bestFit="1" customWidth="1"/>
    <col min="6830" max="6830" width="2.7109375" style="1" customWidth="1"/>
    <col min="6831" max="6831" width="9.85546875" style="1" bestFit="1" customWidth="1"/>
    <col min="6832" max="6833" width="9.140625" style="1"/>
    <col min="6834" max="6834" width="24" style="1" customWidth="1"/>
    <col min="6835" max="6837" width="9.140625" style="1"/>
    <col min="6838" max="6838" width="9" style="1" bestFit="1" customWidth="1"/>
    <col min="6839" max="6848" width="9.28515625" style="1" bestFit="1" customWidth="1"/>
    <col min="6849" max="6849" width="10.28515625" style="1" bestFit="1" customWidth="1"/>
    <col min="6850" max="6850" width="11.28515625" style="1" bestFit="1" customWidth="1"/>
    <col min="6851" max="6851" width="11.7109375" style="1" customWidth="1"/>
    <col min="6852" max="6852" width="9.140625" style="1"/>
    <col min="6853" max="6853" width="22.28515625" style="1" customWidth="1"/>
    <col min="6854" max="6854" width="9.140625" style="1"/>
    <col min="6855" max="6855" width="9.28515625" style="1" bestFit="1" customWidth="1"/>
    <col min="6856" max="6856" width="9.42578125" style="1" bestFit="1" customWidth="1"/>
    <col min="6857" max="6857" width="9.28515625" style="1" bestFit="1" customWidth="1"/>
    <col min="6858" max="6858" width="10.28515625" style="1" bestFit="1" customWidth="1"/>
    <col min="6859" max="6860" width="9.28515625" style="1" bestFit="1" customWidth="1"/>
    <col min="6861" max="6862" width="10.28515625" style="1" bestFit="1" customWidth="1"/>
    <col min="6863" max="6867" width="9.28515625" style="1" bestFit="1" customWidth="1"/>
    <col min="6868" max="6868" width="10.42578125" style="1" bestFit="1" customWidth="1"/>
    <col min="6869" max="6869" width="9.140625" style="1"/>
    <col min="6870" max="6870" width="24.85546875" style="1" customWidth="1"/>
    <col min="6871" max="6871" width="9.140625" style="1"/>
    <col min="6872" max="6884" width="9.28515625" style="1" bestFit="1" customWidth="1"/>
    <col min="6885" max="6885" width="10.28515625" style="1" bestFit="1" customWidth="1"/>
    <col min="6886" max="6886" width="9.5703125" style="1" bestFit="1" customWidth="1"/>
    <col min="6887" max="6887" width="18.5703125" style="1" customWidth="1"/>
    <col min="6888" max="6889" width="9.140625" style="1"/>
    <col min="6890" max="6892" width="12.140625" style="1" bestFit="1" customWidth="1"/>
    <col min="6893" max="6901" width="10.28515625" style="1" bestFit="1" customWidth="1"/>
    <col min="6902" max="6902" width="11.28515625" style="1" bestFit="1" customWidth="1"/>
    <col min="6903" max="6903" width="9.140625" style="1"/>
    <col min="6904" max="6904" width="19" style="1" customWidth="1"/>
    <col min="6905" max="6921" width="9.140625" style="1"/>
    <col min="6922" max="6932" width="11.28515625" style="1" bestFit="1" customWidth="1"/>
    <col min="6933" max="6933" width="10.28515625" style="1" bestFit="1" customWidth="1"/>
    <col min="6934" max="6934" width="12.85546875" style="1" bestFit="1" customWidth="1"/>
    <col min="6935" max="7057" width="9.140625" style="1"/>
    <col min="7058" max="7058" width="11" style="1" bestFit="1" customWidth="1"/>
    <col min="7059" max="7059" width="28.140625" style="1" bestFit="1" customWidth="1"/>
    <col min="7060" max="7060" width="14" style="1" bestFit="1" customWidth="1"/>
    <col min="7061" max="7061" width="9.140625" style="1"/>
    <col min="7062" max="7062" width="13.85546875" style="1" bestFit="1" customWidth="1"/>
    <col min="7063" max="7063" width="9.140625" style="1"/>
    <col min="7064" max="7064" width="14" style="1" customWidth="1"/>
    <col min="7065" max="7065" width="9.140625" style="1"/>
    <col min="7066" max="7066" width="12.85546875" style="1" bestFit="1" customWidth="1"/>
    <col min="7067" max="7067" width="10" style="1" customWidth="1"/>
    <col min="7068" max="7068" width="14" style="1" bestFit="1" customWidth="1"/>
    <col min="7069" max="7069" width="9.85546875" style="1" bestFit="1" customWidth="1"/>
    <col min="7070" max="7070" width="13.5703125" style="1" bestFit="1" customWidth="1"/>
    <col min="7071" max="7071" width="9.85546875" style="1" bestFit="1" customWidth="1"/>
    <col min="7072" max="7072" width="12.85546875" style="1" bestFit="1" customWidth="1"/>
    <col min="7073" max="7084" width="10.5703125" style="1" customWidth="1"/>
    <col min="7085" max="7085" width="11.140625" style="1" bestFit="1" customWidth="1"/>
    <col min="7086" max="7086" width="2.7109375" style="1" customWidth="1"/>
    <col min="7087" max="7087" width="9.85546875" style="1" bestFit="1" customWidth="1"/>
    <col min="7088" max="7089" width="9.140625" style="1"/>
    <col min="7090" max="7090" width="24" style="1" customWidth="1"/>
    <col min="7091" max="7093" width="9.140625" style="1"/>
    <col min="7094" max="7094" width="9" style="1" bestFit="1" customWidth="1"/>
    <col min="7095" max="7104" width="9.28515625" style="1" bestFit="1" customWidth="1"/>
    <col min="7105" max="7105" width="10.28515625" style="1" bestFit="1" customWidth="1"/>
    <col min="7106" max="7106" width="11.28515625" style="1" bestFit="1" customWidth="1"/>
    <col min="7107" max="7107" width="11.7109375" style="1" customWidth="1"/>
    <col min="7108" max="7108" width="9.140625" style="1"/>
    <col min="7109" max="7109" width="22.28515625" style="1" customWidth="1"/>
    <col min="7110" max="7110" width="9.140625" style="1"/>
    <col min="7111" max="7111" width="9.28515625" style="1" bestFit="1" customWidth="1"/>
    <col min="7112" max="7112" width="9.42578125" style="1" bestFit="1" customWidth="1"/>
    <col min="7113" max="7113" width="9.28515625" style="1" bestFit="1" customWidth="1"/>
    <col min="7114" max="7114" width="10.28515625" style="1" bestFit="1" customWidth="1"/>
    <col min="7115" max="7116" width="9.28515625" style="1" bestFit="1" customWidth="1"/>
    <col min="7117" max="7118" width="10.28515625" style="1" bestFit="1" customWidth="1"/>
    <col min="7119" max="7123" width="9.28515625" style="1" bestFit="1" customWidth="1"/>
    <col min="7124" max="7124" width="10.42578125" style="1" bestFit="1" customWidth="1"/>
    <col min="7125" max="7125" width="9.140625" style="1"/>
    <col min="7126" max="7126" width="24.85546875" style="1" customWidth="1"/>
    <col min="7127" max="7127" width="9.140625" style="1"/>
    <col min="7128" max="7140" width="9.28515625" style="1" bestFit="1" customWidth="1"/>
    <col min="7141" max="7141" width="10.28515625" style="1" bestFit="1" customWidth="1"/>
    <col min="7142" max="7142" width="9.5703125" style="1" bestFit="1" customWidth="1"/>
    <col min="7143" max="7143" width="18.5703125" style="1" customWidth="1"/>
    <col min="7144" max="7145" width="9.140625" style="1"/>
    <col min="7146" max="7148" width="12.140625" style="1" bestFit="1" customWidth="1"/>
    <col min="7149" max="7157" width="10.28515625" style="1" bestFit="1" customWidth="1"/>
    <col min="7158" max="7158" width="11.28515625" style="1" bestFit="1" customWidth="1"/>
    <col min="7159" max="7159" width="9.140625" style="1"/>
    <col min="7160" max="7160" width="19" style="1" customWidth="1"/>
    <col min="7161" max="7177" width="9.140625" style="1"/>
    <col min="7178" max="7188" width="11.28515625" style="1" bestFit="1" customWidth="1"/>
    <col min="7189" max="7189" width="10.28515625" style="1" bestFit="1" customWidth="1"/>
    <col min="7190" max="7190" width="12.85546875" style="1" bestFit="1" customWidth="1"/>
    <col min="7191" max="7313" width="9.140625" style="1"/>
    <col min="7314" max="7314" width="11" style="1" bestFit="1" customWidth="1"/>
    <col min="7315" max="7315" width="28.140625" style="1" bestFit="1" customWidth="1"/>
    <col min="7316" max="7316" width="14" style="1" bestFit="1" customWidth="1"/>
    <col min="7317" max="7317" width="9.140625" style="1"/>
    <col min="7318" max="7318" width="13.85546875" style="1" bestFit="1" customWidth="1"/>
    <col min="7319" max="7319" width="9.140625" style="1"/>
    <col min="7320" max="7320" width="14" style="1" customWidth="1"/>
    <col min="7321" max="7321" width="9.140625" style="1"/>
    <col min="7322" max="7322" width="12.85546875" style="1" bestFit="1" customWidth="1"/>
    <col min="7323" max="7323" width="10" style="1" customWidth="1"/>
    <col min="7324" max="7324" width="14" style="1" bestFit="1" customWidth="1"/>
    <col min="7325" max="7325" width="9.85546875" style="1" bestFit="1" customWidth="1"/>
    <col min="7326" max="7326" width="13.5703125" style="1" bestFit="1" customWidth="1"/>
    <col min="7327" max="7327" width="9.85546875" style="1" bestFit="1" customWidth="1"/>
    <col min="7328" max="7328" width="12.85546875" style="1" bestFit="1" customWidth="1"/>
    <col min="7329" max="7340" width="10.5703125" style="1" customWidth="1"/>
    <col min="7341" max="7341" width="11.140625" style="1" bestFit="1" customWidth="1"/>
    <col min="7342" max="7342" width="2.7109375" style="1" customWidth="1"/>
    <col min="7343" max="7343" width="9.85546875" style="1" bestFit="1" customWidth="1"/>
    <col min="7344" max="7345" width="9.140625" style="1"/>
    <col min="7346" max="7346" width="24" style="1" customWidth="1"/>
    <col min="7347" max="7349" width="9.140625" style="1"/>
    <col min="7350" max="7350" width="9" style="1" bestFit="1" customWidth="1"/>
    <col min="7351" max="7360" width="9.28515625" style="1" bestFit="1" customWidth="1"/>
    <col min="7361" max="7361" width="10.28515625" style="1" bestFit="1" customWidth="1"/>
    <col min="7362" max="7362" width="11.28515625" style="1" bestFit="1" customWidth="1"/>
    <col min="7363" max="7363" width="11.7109375" style="1" customWidth="1"/>
    <col min="7364" max="7364" width="9.140625" style="1"/>
    <col min="7365" max="7365" width="22.28515625" style="1" customWidth="1"/>
    <col min="7366" max="7366" width="9.140625" style="1"/>
    <col min="7367" max="7367" width="9.28515625" style="1" bestFit="1" customWidth="1"/>
    <col min="7368" max="7368" width="9.42578125" style="1" bestFit="1" customWidth="1"/>
    <col min="7369" max="7369" width="9.28515625" style="1" bestFit="1" customWidth="1"/>
    <col min="7370" max="7370" width="10.28515625" style="1" bestFit="1" customWidth="1"/>
    <col min="7371" max="7372" width="9.28515625" style="1" bestFit="1" customWidth="1"/>
    <col min="7373" max="7374" width="10.28515625" style="1" bestFit="1" customWidth="1"/>
    <col min="7375" max="7379" width="9.28515625" style="1" bestFit="1" customWidth="1"/>
    <col min="7380" max="7380" width="10.42578125" style="1" bestFit="1" customWidth="1"/>
    <col min="7381" max="7381" width="9.140625" style="1"/>
    <col min="7382" max="7382" width="24.85546875" style="1" customWidth="1"/>
    <col min="7383" max="7383" width="9.140625" style="1"/>
    <col min="7384" max="7396" width="9.28515625" style="1" bestFit="1" customWidth="1"/>
    <col min="7397" max="7397" width="10.28515625" style="1" bestFit="1" customWidth="1"/>
    <col min="7398" max="7398" width="9.5703125" style="1" bestFit="1" customWidth="1"/>
    <col min="7399" max="7399" width="18.5703125" style="1" customWidth="1"/>
    <col min="7400" max="7401" width="9.140625" style="1"/>
    <col min="7402" max="7404" width="12.140625" style="1" bestFit="1" customWidth="1"/>
    <col min="7405" max="7413" width="10.28515625" style="1" bestFit="1" customWidth="1"/>
    <col min="7414" max="7414" width="11.28515625" style="1" bestFit="1" customWidth="1"/>
    <col min="7415" max="7415" width="9.140625" style="1"/>
    <col min="7416" max="7416" width="19" style="1" customWidth="1"/>
    <col min="7417" max="7433" width="9.140625" style="1"/>
    <col min="7434" max="7444" width="11.28515625" style="1" bestFit="1" customWidth="1"/>
    <col min="7445" max="7445" width="10.28515625" style="1" bestFit="1" customWidth="1"/>
    <col min="7446" max="7446" width="12.85546875" style="1" bestFit="1" customWidth="1"/>
    <col min="7447" max="7569" width="9.140625" style="1"/>
    <col min="7570" max="7570" width="11" style="1" bestFit="1" customWidth="1"/>
    <col min="7571" max="7571" width="28.140625" style="1" bestFit="1" customWidth="1"/>
    <col min="7572" max="7572" width="14" style="1" bestFit="1" customWidth="1"/>
    <col min="7573" max="7573" width="9.140625" style="1"/>
    <col min="7574" max="7574" width="13.85546875" style="1" bestFit="1" customWidth="1"/>
    <col min="7575" max="7575" width="9.140625" style="1"/>
    <col min="7576" max="7576" width="14" style="1" customWidth="1"/>
    <col min="7577" max="7577" width="9.140625" style="1"/>
    <col min="7578" max="7578" width="12.85546875" style="1" bestFit="1" customWidth="1"/>
    <col min="7579" max="7579" width="10" style="1" customWidth="1"/>
    <col min="7580" max="7580" width="14" style="1" bestFit="1" customWidth="1"/>
    <col min="7581" max="7581" width="9.85546875" style="1" bestFit="1" customWidth="1"/>
    <col min="7582" max="7582" width="13.5703125" style="1" bestFit="1" customWidth="1"/>
    <col min="7583" max="7583" width="9.85546875" style="1" bestFit="1" customWidth="1"/>
    <col min="7584" max="7584" width="12.85546875" style="1" bestFit="1" customWidth="1"/>
    <col min="7585" max="7596" width="10.5703125" style="1" customWidth="1"/>
    <col min="7597" max="7597" width="11.140625" style="1" bestFit="1" customWidth="1"/>
    <col min="7598" max="7598" width="2.7109375" style="1" customWidth="1"/>
    <col min="7599" max="7599" width="9.85546875" style="1" bestFit="1" customWidth="1"/>
    <col min="7600" max="7601" width="9.140625" style="1"/>
    <col min="7602" max="7602" width="24" style="1" customWidth="1"/>
    <col min="7603" max="7605" width="9.140625" style="1"/>
    <col min="7606" max="7606" width="9" style="1" bestFit="1" customWidth="1"/>
    <col min="7607" max="7616" width="9.28515625" style="1" bestFit="1" customWidth="1"/>
    <col min="7617" max="7617" width="10.28515625" style="1" bestFit="1" customWidth="1"/>
    <col min="7618" max="7618" width="11.28515625" style="1" bestFit="1" customWidth="1"/>
    <col min="7619" max="7619" width="11.7109375" style="1" customWidth="1"/>
    <col min="7620" max="7620" width="9.140625" style="1"/>
    <col min="7621" max="7621" width="22.28515625" style="1" customWidth="1"/>
    <col min="7622" max="7622" width="9.140625" style="1"/>
    <col min="7623" max="7623" width="9.28515625" style="1" bestFit="1" customWidth="1"/>
    <col min="7624" max="7624" width="9.42578125" style="1" bestFit="1" customWidth="1"/>
    <col min="7625" max="7625" width="9.28515625" style="1" bestFit="1" customWidth="1"/>
    <col min="7626" max="7626" width="10.28515625" style="1" bestFit="1" customWidth="1"/>
    <col min="7627" max="7628" width="9.28515625" style="1" bestFit="1" customWidth="1"/>
    <col min="7629" max="7630" width="10.28515625" style="1" bestFit="1" customWidth="1"/>
    <col min="7631" max="7635" width="9.28515625" style="1" bestFit="1" customWidth="1"/>
    <col min="7636" max="7636" width="10.42578125" style="1" bestFit="1" customWidth="1"/>
    <col min="7637" max="7637" width="9.140625" style="1"/>
    <col min="7638" max="7638" width="24.85546875" style="1" customWidth="1"/>
    <col min="7639" max="7639" width="9.140625" style="1"/>
    <col min="7640" max="7652" width="9.28515625" style="1" bestFit="1" customWidth="1"/>
    <col min="7653" max="7653" width="10.28515625" style="1" bestFit="1" customWidth="1"/>
    <col min="7654" max="7654" width="9.5703125" style="1" bestFit="1" customWidth="1"/>
    <col min="7655" max="7655" width="18.5703125" style="1" customWidth="1"/>
    <col min="7656" max="7657" width="9.140625" style="1"/>
    <col min="7658" max="7660" width="12.140625" style="1" bestFit="1" customWidth="1"/>
    <col min="7661" max="7669" width="10.28515625" style="1" bestFit="1" customWidth="1"/>
    <col min="7670" max="7670" width="11.28515625" style="1" bestFit="1" customWidth="1"/>
    <col min="7671" max="7671" width="9.140625" style="1"/>
    <col min="7672" max="7672" width="19" style="1" customWidth="1"/>
    <col min="7673" max="7689" width="9.140625" style="1"/>
    <col min="7690" max="7700" width="11.28515625" style="1" bestFit="1" customWidth="1"/>
    <col min="7701" max="7701" width="10.28515625" style="1" bestFit="1" customWidth="1"/>
    <col min="7702" max="7702" width="12.85546875" style="1" bestFit="1" customWidth="1"/>
    <col min="7703" max="7825" width="9.140625" style="1"/>
    <col min="7826" max="7826" width="11" style="1" bestFit="1" customWidth="1"/>
    <col min="7827" max="7827" width="28.140625" style="1" bestFit="1" customWidth="1"/>
    <col min="7828" max="7828" width="14" style="1" bestFit="1" customWidth="1"/>
    <col min="7829" max="7829" width="9.140625" style="1"/>
    <col min="7830" max="7830" width="13.85546875" style="1" bestFit="1" customWidth="1"/>
    <col min="7831" max="7831" width="9.140625" style="1"/>
    <col min="7832" max="7832" width="14" style="1" customWidth="1"/>
    <col min="7833" max="7833" width="9.140625" style="1"/>
    <col min="7834" max="7834" width="12.85546875" style="1" bestFit="1" customWidth="1"/>
    <col min="7835" max="7835" width="10" style="1" customWidth="1"/>
    <col min="7836" max="7836" width="14" style="1" bestFit="1" customWidth="1"/>
    <col min="7837" max="7837" width="9.85546875" style="1" bestFit="1" customWidth="1"/>
    <col min="7838" max="7838" width="13.5703125" style="1" bestFit="1" customWidth="1"/>
    <col min="7839" max="7839" width="9.85546875" style="1" bestFit="1" customWidth="1"/>
    <col min="7840" max="7840" width="12.85546875" style="1" bestFit="1" customWidth="1"/>
    <col min="7841" max="7852" width="10.5703125" style="1" customWidth="1"/>
    <col min="7853" max="7853" width="11.140625" style="1" bestFit="1" customWidth="1"/>
    <col min="7854" max="7854" width="2.7109375" style="1" customWidth="1"/>
    <col min="7855" max="7855" width="9.85546875" style="1" bestFit="1" customWidth="1"/>
    <col min="7856" max="7857" width="9.140625" style="1"/>
    <col min="7858" max="7858" width="24" style="1" customWidth="1"/>
    <col min="7859" max="7861" width="9.140625" style="1"/>
    <col min="7862" max="7862" width="9" style="1" bestFit="1" customWidth="1"/>
    <col min="7863" max="7872" width="9.28515625" style="1" bestFit="1" customWidth="1"/>
    <col min="7873" max="7873" width="10.28515625" style="1" bestFit="1" customWidth="1"/>
    <col min="7874" max="7874" width="11.28515625" style="1" bestFit="1" customWidth="1"/>
    <col min="7875" max="7875" width="11.7109375" style="1" customWidth="1"/>
    <col min="7876" max="7876" width="9.140625" style="1"/>
    <col min="7877" max="7877" width="22.28515625" style="1" customWidth="1"/>
    <col min="7878" max="7878" width="9.140625" style="1"/>
    <col min="7879" max="7879" width="9.28515625" style="1" bestFit="1" customWidth="1"/>
    <col min="7880" max="7880" width="9.42578125" style="1" bestFit="1" customWidth="1"/>
    <col min="7881" max="7881" width="9.28515625" style="1" bestFit="1" customWidth="1"/>
    <col min="7882" max="7882" width="10.28515625" style="1" bestFit="1" customWidth="1"/>
    <col min="7883" max="7884" width="9.28515625" style="1" bestFit="1" customWidth="1"/>
    <col min="7885" max="7886" width="10.28515625" style="1" bestFit="1" customWidth="1"/>
    <col min="7887" max="7891" width="9.28515625" style="1" bestFit="1" customWidth="1"/>
    <col min="7892" max="7892" width="10.42578125" style="1" bestFit="1" customWidth="1"/>
    <col min="7893" max="7893" width="9.140625" style="1"/>
    <col min="7894" max="7894" width="24.85546875" style="1" customWidth="1"/>
    <col min="7895" max="7895" width="9.140625" style="1"/>
    <col min="7896" max="7908" width="9.28515625" style="1" bestFit="1" customWidth="1"/>
    <col min="7909" max="7909" width="10.28515625" style="1" bestFit="1" customWidth="1"/>
    <col min="7910" max="7910" width="9.5703125" style="1" bestFit="1" customWidth="1"/>
    <col min="7911" max="7911" width="18.5703125" style="1" customWidth="1"/>
    <col min="7912" max="7913" width="9.140625" style="1"/>
    <col min="7914" max="7916" width="12.140625" style="1" bestFit="1" customWidth="1"/>
    <col min="7917" max="7925" width="10.28515625" style="1" bestFit="1" customWidth="1"/>
    <col min="7926" max="7926" width="11.28515625" style="1" bestFit="1" customWidth="1"/>
    <col min="7927" max="7927" width="9.140625" style="1"/>
    <col min="7928" max="7928" width="19" style="1" customWidth="1"/>
    <col min="7929" max="7945" width="9.140625" style="1"/>
    <col min="7946" max="7956" width="11.28515625" style="1" bestFit="1" customWidth="1"/>
    <col min="7957" max="7957" width="10.28515625" style="1" bestFit="1" customWidth="1"/>
    <col min="7958" max="7958" width="12.85546875" style="1" bestFit="1" customWidth="1"/>
    <col min="7959" max="8081" width="9.140625" style="1"/>
    <col min="8082" max="8082" width="11" style="1" bestFit="1" customWidth="1"/>
    <col min="8083" max="8083" width="28.140625" style="1" bestFit="1" customWidth="1"/>
    <col min="8084" max="8084" width="14" style="1" bestFit="1" customWidth="1"/>
    <col min="8085" max="8085" width="9.140625" style="1"/>
    <col min="8086" max="8086" width="13.85546875" style="1" bestFit="1" customWidth="1"/>
    <col min="8087" max="8087" width="9.140625" style="1"/>
    <col min="8088" max="8088" width="14" style="1" customWidth="1"/>
    <col min="8089" max="8089" width="9.140625" style="1"/>
    <col min="8090" max="8090" width="12.85546875" style="1" bestFit="1" customWidth="1"/>
    <col min="8091" max="8091" width="10" style="1" customWidth="1"/>
    <col min="8092" max="8092" width="14" style="1" bestFit="1" customWidth="1"/>
    <col min="8093" max="8093" width="9.85546875" style="1" bestFit="1" customWidth="1"/>
    <col min="8094" max="8094" width="13.5703125" style="1" bestFit="1" customWidth="1"/>
    <col min="8095" max="8095" width="9.85546875" style="1" bestFit="1" customWidth="1"/>
    <col min="8096" max="8096" width="12.85546875" style="1" bestFit="1" customWidth="1"/>
    <col min="8097" max="8108" width="10.5703125" style="1" customWidth="1"/>
    <col min="8109" max="8109" width="11.140625" style="1" bestFit="1" customWidth="1"/>
    <col min="8110" max="8110" width="2.7109375" style="1" customWidth="1"/>
    <col min="8111" max="8111" width="9.85546875" style="1" bestFit="1" customWidth="1"/>
    <col min="8112" max="8113" width="9.140625" style="1"/>
    <col min="8114" max="8114" width="24" style="1" customWidth="1"/>
    <col min="8115" max="8117" width="9.140625" style="1"/>
    <col min="8118" max="8118" width="9" style="1" bestFit="1" customWidth="1"/>
    <col min="8119" max="8128" width="9.28515625" style="1" bestFit="1" customWidth="1"/>
    <col min="8129" max="8129" width="10.28515625" style="1" bestFit="1" customWidth="1"/>
    <col min="8130" max="8130" width="11.28515625" style="1" bestFit="1" customWidth="1"/>
    <col min="8131" max="8131" width="11.7109375" style="1" customWidth="1"/>
    <col min="8132" max="8132" width="9.140625" style="1"/>
    <col min="8133" max="8133" width="22.28515625" style="1" customWidth="1"/>
    <col min="8134" max="8134" width="9.140625" style="1"/>
    <col min="8135" max="8135" width="9.28515625" style="1" bestFit="1" customWidth="1"/>
    <col min="8136" max="8136" width="9.42578125" style="1" bestFit="1" customWidth="1"/>
    <col min="8137" max="8137" width="9.28515625" style="1" bestFit="1" customWidth="1"/>
    <col min="8138" max="8138" width="10.28515625" style="1" bestFit="1" customWidth="1"/>
    <col min="8139" max="8140" width="9.28515625" style="1" bestFit="1" customWidth="1"/>
    <col min="8141" max="8142" width="10.28515625" style="1" bestFit="1" customWidth="1"/>
    <col min="8143" max="8147" width="9.28515625" style="1" bestFit="1" customWidth="1"/>
    <col min="8148" max="8148" width="10.42578125" style="1" bestFit="1" customWidth="1"/>
    <col min="8149" max="8149" width="9.140625" style="1"/>
    <col min="8150" max="8150" width="24.85546875" style="1" customWidth="1"/>
    <col min="8151" max="8151" width="9.140625" style="1"/>
    <col min="8152" max="8164" width="9.28515625" style="1" bestFit="1" customWidth="1"/>
    <col min="8165" max="8165" width="10.28515625" style="1" bestFit="1" customWidth="1"/>
    <col min="8166" max="8166" width="9.5703125" style="1" bestFit="1" customWidth="1"/>
    <col min="8167" max="8167" width="18.5703125" style="1" customWidth="1"/>
    <col min="8168" max="8169" width="9.140625" style="1"/>
    <col min="8170" max="8172" width="12.140625" style="1" bestFit="1" customWidth="1"/>
    <col min="8173" max="8181" width="10.28515625" style="1" bestFit="1" customWidth="1"/>
    <col min="8182" max="8182" width="11.28515625" style="1" bestFit="1" customWidth="1"/>
    <col min="8183" max="8183" width="9.140625" style="1"/>
    <col min="8184" max="8184" width="19" style="1" customWidth="1"/>
    <col min="8185" max="8201" width="9.140625" style="1"/>
    <col min="8202" max="8212" width="11.28515625" style="1" bestFit="1" customWidth="1"/>
    <col min="8213" max="8213" width="10.28515625" style="1" bestFit="1" customWidth="1"/>
    <col min="8214" max="8214" width="12.85546875" style="1" bestFit="1" customWidth="1"/>
    <col min="8215" max="8337" width="9.140625" style="1"/>
    <col min="8338" max="8338" width="11" style="1" bestFit="1" customWidth="1"/>
    <col min="8339" max="8339" width="28.140625" style="1" bestFit="1" customWidth="1"/>
    <col min="8340" max="8340" width="14" style="1" bestFit="1" customWidth="1"/>
    <col min="8341" max="8341" width="9.140625" style="1"/>
    <col min="8342" max="8342" width="13.85546875" style="1" bestFit="1" customWidth="1"/>
    <col min="8343" max="8343" width="9.140625" style="1"/>
    <col min="8344" max="8344" width="14" style="1" customWidth="1"/>
    <col min="8345" max="8345" width="9.140625" style="1"/>
    <col min="8346" max="8346" width="12.85546875" style="1" bestFit="1" customWidth="1"/>
    <col min="8347" max="8347" width="10" style="1" customWidth="1"/>
    <col min="8348" max="8348" width="14" style="1" bestFit="1" customWidth="1"/>
    <col min="8349" max="8349" width="9.85546875" style="1" bestFit="1" customWidth="1"/>
    <col min="8350" max="8350" width="13.5703125" style="1" bestFit="1" customWidth="1"/>
    <col min="8351" max="8351" width="9.85546875" style="1" bestFit="1" customWidth="1"/>
    <col min="8352" max="8352" width="12.85546875" style="1" bestFit="1" customWidth="1"/>
    <col min="8353" max="8364" width="10.5703125" style="1" customWidth="1"/>
    <col min="8365" max="8365" width="11.140625" style="1" bestFit="1" customWidth="1"/>
    <col min="8366" max="8366" width="2.7109375" style="1" customWidth="1"/>
    <col min="8367" max="8367" width="9.85546875" style="1" bestFit="1" customWidth="1"/>
    <col min="8368" max="8369" width="9.140625" style="1"/>
    <col min="8370" max="8370" width="24" style="1" customWidth="1"/>
    <col min="8371" max="8373" width="9.140625" style="1"/>
    <col min="8374" max="8374" width="9" style="1" bestFit="1" customWidth="1"/>
    <col min="8375" max="8384" width="9.28515625" style="1" bestFit="1" customWidth="1"/>
    <col min="8385" max="8385" width="10.28515625" style="1" bestFit="1" customWidth="1"/>
    <col min="8386" max="8386" width="11.28515625" style="1" bestFit="1" customWidth="1"/>
    <col min="8387" max="8387" width="11.7109375" style="1" customWidth="1"/>
    <col min="8388" max="8388" width="9.140625" style="1"/>
    <col min="8389" max="8389" width="22.28515625" style="1" customWidth="1"/>
    <col min="8390" max="8390" width="9.140625" style="1"/>
    <col min="8391" max="8391" width="9.28515625" style="1" bestFit="1" customWidth="1"/>
    <col min="8392" max="8392" width="9.42578125" style="1" bestFit="1" customWidth="1"/>
    <col min="8393" max="8393" width="9.28515625" style="1" bestFit="1" customWidth="1"/>
    <col min="8394" max="8394" width="10.28515625" style="1" bestFit="1" customWidth="1"/>
    <col min="8395" max="8396" width="9.28515625" style="1" bestFit="1" customWidth="1"/>
    <col min="8397" max="8398" width="10.28515625" style="1" bestFit="1" customWidth="1"/>
    <col min="8399" max="8403" width="9.28515625" style="1" bestFit="1" customWidth="1"/>
    <col min="8404" max="8404" width="10.42578125" style="1" bestFit="1" customWidth="1"/>
    <col min="8405" max="8405" width="9.140625" style="1"/>
    <col min="8406" max="8406" width="24.85546875" style="1" customWidth="1"/>
    <col min="8407" max="8407" width="9.140625" style="1"/>
    <col min="8408" max="8420" width="9.28515625" style="1" bestFit="1" customWidth="1"/>
    <col min="8421" max="8421" width="10.28515625" style="1" bestFit="1" customWidth="1"/>
    <col min="8422" max="8422" width="9.5703125" style="1" bestFit="1" customWidth="1"/>
    <col min="8423" max="8423" width="18.5703125" style="1" customWidth="1"/>
    <col min="8424" max="8425" width="9.140625" style="1"/>
    <col min="8426" max="8428" width="12.140625" style="1" bestFit="1" customWidth="1"/>
    <col min="8429" max="8437" width="10.28515625" style="1" bestFit="1" customWidth="1"/>
    <col min="8438" max="8438" width="11.28515625" style="1" bestFit="1" customWidth="1"/>
    <col min="8439" max="8439" width="9.140625" style="1"/>
    <col min="8440" max="8440" width="19" style="1" customWidth="1"/>
    <col min="8441" max="8457" width="9.140625" style="1"/>
    <col min="8458" max="8468" width="11.28515625" style="1" bestFit="1" customWidth="1"/>
    <col min="8469" max="8469" width="10.28515625" style="1" bestFit="1" customWidth="1"/>
    <col min="8470" max="8470" width="12.85546875" style="1" bestFit="1" customWidth="1"/>
    <col min="8471" max="8593" width="9.140625" style="1"/>
    <col min="8594" max="8594" width="11" style="1" bestFit="1" customWidth="1"/>
    <col min="8595" max="8595" width="28.140625" style="1" bestFit="1" customWidth="1"/>
    <col min="8596" max="8596" width="14" style="1" bestFit="1" customWidth="1"/>
    <col min="8597" max="8597" width="9.140625" style="1"/>
    <col min="8598" max="8598" width="13.85546875" style="1" bestFit="1" customWidth="1"/>
    <col min="8599" max="8599" width="9.140625" style="1"/>
    <col min="8600" max="8600" width="14" style="1" customWidth="1"/>
    <col min="8601" max="8601" width="9.140625" style="1"/>
    <col min="8602" max="8602" width="12.85546875" style="1" bestFit="1" customWidth="1"/>
    <col min="8603" max="8603" width="10" style="1" customWidth="1"/>
    <col min="8604" max="8604" width="14" style="1" bestFit="1" customWidth="1"/>
    <col min="8605" max="8605" width="9.85546875" style="1" bestFit="1" customWidth="1"/>
    <col min="8606" max="8606" width="13.5703125" style="1" bestFit="1" customWidth="1"/>
    <col min="8607" max="8607" width="9.85546875" style="1" bestFit="1" customWidth="1"/>
    <col min="8608" max="8608" width="12.85546875" style="1" bestFit="1" customWidth="1"/>
    <col min="8609" max="8620" width="10.5703125" style="1" customWidth="1"/>
    <col min="8621" max="8621" width="11.140625" style="1" bestFit="1" customWidth="1"/>
    <col min="8622" max="8622" width="2.7109375" style="1" customWidth="1"/>
    <col min="8623" max="8623" width="9.85546875" style="1" bestFit="1" customWidth="1"/>
    <col min="8624" max="8625" width="9.140625" style="1"/>
    <col min="8626" max="8626" width="24" style="1" customWidth="1"/>
    <col min="8627" max="8629" width="9.140625" style="1"/>
    <col min="8630" max="8630" width="9" style="1" bestFit="1" customWidth="1"/>
    <col min="8631" max="8640" width="9.28515625" style="1" bestFit="1" customWidth="1"/>
    <col min="8641" max="8641" width="10.28515625" style="1" bestFit="1" customWidth="1"/>
    <col min="8642" max="8642" width="11.28515625" style="1" bestFit="1" customWidth="1"/>
    <col min="8643" max="8643" width="11.7109375" style="1" customWidth="1"/>
    <col min="8644" max="8644" width="9.140625" style="1"/>
    <col min="8645" max="8645" width="22.28515625" style="1" customWidth="1"/>
    <col min="8646" max="8646" width="9.140625" style="1"/>
    <col min="8647" max="8647" width="9.28515625" style="1" bestFit="1" customWidth="1"/>
    <col min="8648" max="8648" width="9.42578125" style="1" bestFit="1" customWidth="1"/>
    <col min="8649" max="8649" width="9.28515625" style="1" bestFit="1" customWidth="1"/>
    <col min="8650" max="8650" width="10.28515625" style="1" bestFit="1" customWidth="1"/>
    <col min="8651" max="8652" width="9.28515625" style="1" bestFit="1" customWidth="1"/>
    <col min="8653" max="8654" width="10.28515625" style="1" bestFit="1" customWidth="1"/>
    <col min="8655" max="8659" width="9.28515625" style="1" bestFit="1" customWidth="1"/>
    <col min="8660" max="8660" width="10.42578125" style="1" bestFit="1" customWidth="1"/>
    <col min="8661" max="8661" width="9.140625" style="1"/>
    <col min="8662" max="8662" width="24.85546875" style="1" customWidth="1"/>
    <col min="8663" max="8663" width="9.140625" style="1"/>
    <col min="8664" max="8676" width="9.28515625" style="1" bestFit="1" customWidth="1"/>
    <col min="8677" max="8677" width="10.28515625" style="1" bestFit="1" customWidth="1"/>
    <col min="8678" max="8678" width="9.5703125" style="1" bestFit="1" customWidth="1"/>
    <col min="8679" max="8679" width="18.5703125" style="1" customWidth="1"/>
    <col min="8680" max="8681" width="9.140625" style="1"/>
    <col min="8682" max="8684" width="12.140625" style="1" bestFit="1" customWidth="1"/>
    <col min="8685" max="8693" width="10.28515625" style="1" bestFit="1" customWidth="1"/>
    <col min="8694" max="8694" width="11.28515625" style="1" bestFit="1" customWidth="1"/>
    <col min="8695" max="8695" width="9.140625" style="1"/>
    <col min="8696" max="8696" width="19" style="1" customWidth="1"/>
    <col min="8697" max="8713" width="9.140625" style="1"/>
    <col min="8714" max="8724" width="11.28515625" style="1" bestFit="1" customWidth="1"/>
    <col min="8725" max="8725" width="10.28515625" style="1" bestFit="1" customWidth="1"/>
    <col min="8726" max="8726" width="12.85546875" style="1" bestFit="1" customWidth="1"/>
    <col min="8727" max="8849" width="9.140625" style="1"/>
    <col min="8850" max="8850" width="11" style="1" bestFit="1" customWidth="1"/>
    <col min="8851" max="8851" width="28.140625" style="1" bestFit="1" customWidth="1"/>
    <col min="8852" max="8852" width="14" style="1" bestFit="1" customWidth="1"/>
    <col min="8853" max="8853" width="9.140625" style="1"/>
    <col min="8854" max="8854" width="13.85546875" style="1" bestFit="1" customWidth="1"/>
    <col min="8855" max="8855" width="9.140625" style="1"/>
    <col min="8856" max="8856" width="14" style="1" customWidth="1"/>
    <col min="8857" max="8857" width="9.140625" style="1"/>
    <col min="8858" max="8858" width="12.85546875" style="1" bestFit="1" customWidth="1"/>
    <col min="8859" max="8859" width="10" style="1" customWidth="1"/>
    <col min="8860" max="8860" width="14" style="1" bestFit="1" customWidth="1"/>
    <col min="8861" max="8861" width="9.85546875" style="1" bestFit="1" customWidth="1"/>
    <col min="8862" max="8862" width="13.5703125" style="1" bestFit="1" customWidth="1"/>
    <col min="8863" max="8863" width="9.85546875" style="1" bestFit="1" customWidth="1"/>
    <col min="8864" max="8864" width="12.85546875" style="1" bestFit="1" customWidth="1"/>
    <col min="8865" max="8876" width="10.5703125" style="1" customWidth="1"/>
    <col min="8877" max="8877" width="11.140625" style="1" bestFit="1" customWidth="1"/>
    <col min="8878" max="8878" width="2.7109375" style="1" customWidth="1"/>
    <col min="8879" max="8879" width="9.85546875" style="1" bestFit="1" customWidth="1"/>
    <col min="8880" max="8881" width="9.140625" style="1"/>
    <col min="8882" max="8882" width="24" style="1" customWidth="1"/>
    <col min="8883" max="8885" width="9.140625" style="1"/>
    <col min="8886" max="8886" width="9" style="1" bestFit="1" customWidth="1"/>
    <col min="8887" max="8896" width="9.28515625" style="1" bestFit="1" customWidth="1"/>
    <col min="8897" max="8897" width="10.28515625" style="1" bestFit="1" customWidth="1"/>
    <col min="8898" max="8898" width="11.28515625" style="1" bestFit="1" customWidth="1"/>
    <col min="8899" max="8899" width="11.7109375" style="1" customWidth="1"/>
    <col min="8900" max="8900" width="9.140625" style="1"/>
    <col min="8901" max="8901" width="22.28515625" style="1" customWidth="1"/>
    <col min="8902" max="8902" width="9.140625" style="1"/>
    <col min="8903" max="8903" width="9.28515625" style="1" bestFit="1" customWidth="1"/>
    <col min="8904" max="8904" width="9.42578125" style="1" bestFit="1" customWidth="1"/>
    <col min="8905" max="8905" width="9.28515625" style="1" bestFit="1" customWidth="1"/>
    <col min="8906" max="8906" width="10.28515625" style="1" bestFit="1" customWidth="1"/>
    <col min="8907" max="8908" width="9.28515625" style="1" bestFit="1" customWidth="1"/>
    <col min="8909" max="8910" width="10.28515625" style="1" bestFit="1" customWidth="1"/>
    <col min="8911" max="8915" width="9.28515625" style="1" bestFit="1" customWidth="1"/>
    <col min="8916" max="8916" width="10.42578125" style="1" bestFit="1" customWidth="1"/>
    <col min="8917" max="8917" width="9.140625" style="1"/>
    <col min="8918" max="8918" width="24.85546875" style="1" customWidth="1"/>
    <col min="8919" max="8919" width="9.140625" style="1"/>
    <col min="8920" max="8932" width="9.28515625" style="1" bestFit="1" customWidth="1"/>
    <col min="8933" max="8933" width="10.28515625" style="1" bestFit="1" customWidth="1"/>
    <col min="8934" max="8934" width="9.5703125" style="1" bestFit="1" customWidth="1"/>
    <col min="8935" max="8935" width="18.5703125" style="1" customWidth="1"/>
    <col min="8936" max="8937" width="9.140625" style="1"/>
    <col min="8938" max="8940" width="12.140625" style="1" bestFit="1" customWidth="1"/>
    <col min="8941" max="8949" width="10.28515625" style="1" bestFit="1" customWidth="1"/>
    <col min="8950" max="8950" width="11.28515625" style="1" bestFit="1" customWidth="1"/>
    <col min="8951" max="8951" width="9.140625" style="1"/>
    <col min="8952" max="8952" width="19" style="1" customWidth="1"/>
    <col min="8953" max="8969" width="9.140625" style="1"/>
    <col min="8970" max="8980" width="11.28515625" style="1" bestFit="1" customWidth="1"/>
    <col min="8981" max="8981" width="10.28515625" style="1" bestFit="1" customWidth="1"/>
    <col min="8982" max="8982" width="12.85546875" style="1" bestFit="1" customWidth="1"/>
    <col min="8983" max="9105" width="9.140625" style="1"/>
    <col min="9106" max="9106" width="11" style="1" bestFit="1" customWidth="1"/>
    <col min="9107" max="9107" width="28.140625" style="1" bestFit="1" customWidth="1"/>
    <col min="9108" max="9108" width="14" style="1" bestFit="1" customWidth="1"/>
    <col min="9109" max="9109" width="9.140625" style="1"/>
    <col min="9110" max="9110" width="13.85546875" style="1" bestFit="1" customWidth="1"/>
    <col min="9111" max="9111" width="9.140625" style="1"/>
    <col min="9112" max="9112" width="14" style="1" customWidth="1"/>
    <col min="9113" max="9113" width="9.140625" style="1"/>
    <col min="9114" max="9114" width="12.85546875" style="1" bestFit="1" customWidth="1"/>
    <col min="9115" max="9115" width="10" style="1" customWidth="1"/>
    <col min="9116" max="9116" width="14" style="1" bestFit="1" customWidth="1"/>
    <col min="9117" max="9117" width="9.85546875" style="1" bestFit="1" customWidth="1"/>
    <col min="9118" max="9118" width="13.5703125" style="1" bestFit="1" customWidth="1"/>
    <col min="9119" max="9119" width="9.85546875" style="1" bestFit="1" customWidth="1"/>
    <col min="9120" max="9120" width="12.85546875" style="1" bestFit="1" customWidth="1"/>
    <col min="9121" max="9132" width="10.5703125" style="1" customWidth="1"/>
    <col min="9133" max="9133" width="11.140625" style="1" bestFit="1" customWidth="1"/>
    <col min="9134" max="9134" width="2.7109375" style="1" customWidth="1"/>
    <col min="9135" max="9135" width="9.85546875" style="1" bestFit="1" customWidth="1"/>
    <col min="9136" max="9137" width="9.140625" style="1"/>
    <col min="9138" max="9138" width="24" style="1" customWidth="1"/>
    <col min="9139" max="9141" width="9.140625" style="1"/>
    <col min="9142" max="9142" width="9" style="1" bestFit="1" customWidth="1"/>
    <col min="9143" max="9152" width="9.28515625" style="1" bestFit="1" customWidth="1"/>
    <col min="9153" max="9153" width="10.28515625" style="1" bestFit="1" customWidth="1"/>
    <col min="9154" max="9154" width="11.28515625" style="1" bestFit="1" customWidth="1"/>
    <col min="9155" max="9155" width="11.7109375" style="1" customWidth="1"/>
    <col min="9156" max="9156" width="9.140625" style="1"/>
    <col min="9157" max="9157" width="22.28515625" style="1" customWidth="1"/>
    <col min="9158" max="9158" width="9.140625" style="1"/>
    <col min="9159" max="9159" width="9.28515625" style="1" bestFit="1" customWidth="1"/>
    <col min="9160" max="9160" width="9.42578125" style="1" bestFit="1" customWidth="1"/>
    <col min="9161" max="9161" width="9.28515625" style="1" bestFit="1" customWidth="1"/>
    <col min="9162" max="9162" width="10.28515625" style="1" bestFit="1" customWidth="1"/>
    <col min="9163" max="9164" width="9.28515625" style="1" bestFit="1" customWidth="1"/>
    <col min="9165" max="9166" width="10.28515625" style="1" bestFit="1" customWidth="1"/>
    <col min="9167" max="9171" width="9.28515625" style="1" bestFit="1" customWidth="1"/>
    <col min="9172" max="9172" width="10.42578125" style="1" bestFit="1" customWidth="1"/>
    <col min="9173" max="9173" width="9.140625" style="1"/>
    <col min="9174" max="9174" width="24.85546875" style="1" customWidth="1"/>
    <col min="9175" max="9175" width="9.140625" style="1"/>
    <col min="9176" max="9188" width="9.28515625" style="1" bestFit="1" customWidth="1"/>
    <col min="9189" max="9189" width="10.28515625" style="1" bestFit="1" customWidth="1"/>
    <col min="9190" max="9190" width="9.5703125" style="1" bestFit="1" customWidth="1"/>
    <col min="9191" max="9191" width="18.5703125" style="1" customWidth="1"/>
    <col min="9192" max="9193" width="9.140625" style="1"/>
    <col min="9194" max="9196" width="12.140625" style="1" bestFit="1" customWidth="1"/>
    <col min="9197" max="9205" width="10.28515625" style="1" bestFit="1" customWidth="1"/>
    <col min="9206" max="9206" width="11.28515625" style="1" bestFit="1" customWidth="1"/>
    <col min="9207" max="9207" width="9.140625" style="1"/>
    <col min="9208" max="9208" width="19" style="1" customWidth="1"/>
    <col min="9209" max="9225" width="9.140625" style="1"/>
    <col min="9226" max="9236" width="11.28515625" style="1" bestFit="1" customWidth="1"/>
    <col min="9237" max="9237" width="10.28515625" style="1" bestFit="1" customWidth="1"/>
    <col min="9238" max="9238" width="12.85546875" style="1" bestFit="1" customWidth="1"/>
    <col min="9239" max="9361" width="9.140625" style="1"/>
    <col min="9362" max="9362" width="11" style="1" bestFit="1" customWidth="1"/>
    <col min="9363" max="9363" width="28.140625" style="1" bestFit="1" customWidth="1"/>
    <col min="9364" max="9364" width="14" style="1" bestFit="1" customWidth="1"/>
    <col min="9365" max="9365" width="9.140625" style="1"/>
    <col min="9366" max="9366" width="13.85546875" style="1" bestFit="1" customWidth="1"/>
    <col min="9367" max="9367" width="9.140625" style="1"/>
    <col min="9368" max="9368" width="14" style="1" customWidth="1"/>
    <col min="9369" max="9369" width="9.140625" style="1"/>
    <col min="9370" max="9370" width="12.85546875" style="1" bestFit="1" customWidth="1"/>
    <col min="9371" max="9371" width="10" style="1" customWidth="1"/>
    <col min="9372" max="9372" width="14" style="1" bestFit="1" customWidth="1"/>
    <col min="9373" max="9373" width="9.85546875" style="1" bestFit="1" customWidth="1"/>
    <col min="9374" max="9374" width="13.5703125" style="1" bestFit="1" customWidth="1"/>
    <col min="9375" max="9375" width="9.85546875" style="1" bestFit="1" customWidth="1"/>
    <col min="9376" max="9376" width="12.85546875" style="1" bestFit="1" customWidth="1"/>
    <col min="9377" max="9388" width="10.5703125" style="1" customWidth="1"/>
    <col min="9389" max="9389" width="11.140625" style="1" bestFit="1" customWidth="1"/>
    <col min="9390" max="9390" width="2.7109375" style="1" customWidth="1"/>
    <col min="9391" max="9391" width="9.85546875" style="1" bestFit="1" customWidth="1"/>
    <col min="9392" max="9393" width="9.140625" style="1"/>
    <col min="9394" max="9394" width="24" style="1" customWidth="1"/>
    <col min="9395" max="9397" width="9.140625" style="1"/>
    <col min="9398" max="9398" width="9" style="1" bestFit="1" customWidth="1"/>
    <col min="9399" max="9408" width="9.28515625" style="1" bestFit="1" customWidth="1"/>
    <col min="9409" max="9409" width="10.28515625" style="1" bestFit="1" customWidth="1"/>
    <col min="9410" max="9410" width="11.28515625" style="1" bestFit="1" customWidth="1"/>
    <col min="9411" max="9411" width="11.7109375" style="1" customWidth="1"/>
    <col min="9412" max="9412" width="9.140625" style="1"/>
    <col min="9413" max="9413" width="22.28515625" style="1" customWidth="1"/>
    <col min="9414" max="9414" width="9.140625" style="1"/>
    <col min="9415" max="9415" width="9.28515625" style="1" bestFit="1" customWidth="1"/>
    <col min="9416" max="9416" width="9.42578125" style="1" bestFit="1" customWidth="1"/>
    <col min="9417" max="9417" width="9.28515625" style="1" bestFit="1" customWidth="1"/>
    <col min="9418" max="9418" width="10.28515625" style="1" bestFit="1" customWidth="1"/>
    <col min="9419" max="9420" width="9.28515625" style="1" bestFit="1" customWidth="1"/>
    <col min="9421" max="9422" width="10.28515625" style="1" bestFit="1" customWidth="1"/>
    <col min="9423" max="9427" width="9.28515625" style="1" bestFit="1" customWidth="1"/>
    <col min="9428" max="9428" width="10.42578125" style="1" bestFit="1" customWidth="1"/>
    <col min="9429" max="9429" width="9.140625" style="1"/>
    <col min="9430" max="9430" width="24.85546875" style="1" customWidth="1"/>
    <col min="9431" max="9431" width="9.140625" style="1"/>
    <col min="9432" max="9444" width="9.28515625" style="1" bestFit="1" customWidth="1"/>
    <col min="9445" max="9445" width="10.28515625" style="1" bestFit="1" customWidth="1"/>
    <col min="9446" max="9446" width="9.5703125" style="1" bestFit="1" customWidth="1"/>
    <col min="9447" max="9447" width="18.5703125" style="1" customWidth="1"/>
    <col min="9448" max="9449" width="9.140625" style="1"/>
    <col min="9450" max="9452" width="12.140625" style="1" bestFit="1" customWidth="1"/>
    <col min="9453" max="9461" width="10.28515625" style="1" bestFit="1" customWidth="1"/>
    <col min="9462" max="9462" width="11.28515625" style="1" bestFit="1" customWidth="1"/>
    <col min="9463" max="9463" width="9.140625" style="1"/>
    <col min="9464" max="9464" width="19" style="1" customWidth="1"/>
    <col min="9465" max="9481" width="9.140625" style="1"/>
    <col min="9482" max="9492" width="11.28515625" style="1" bestFit="1" customWidth="1"/>
    <col min="9493" max="9493" width="10.28515625" style="1" bestFit="1" customWidth="1"/>
    <col min="9494" max="9494" width="12.85546875" style="1" bestFit="1" customWidth="1"/>
    <col min="9495" max="9617" width="9.140625" style="1"/>
    <col min="9618" max="9618" width="11" style="1" bestFit="1" customWidth="1"/>
    <col min="9619" max="9619" width="28.140625" style="1" bestFit="1" customWidth="1"/>
    <col min="9620" max="9620" width="14" style="1" bestFit="1" customWidth="1"/>
    <col min="9621" max="9621" width="9.140625" style="1"/>
    <col min="9622" max="9622" width="13.85546875" style="1" bestFit="1" customWidth="1"/>
    <col min="9623" max="9623" width="9.140625" style="1"/>
    <col min="9624" max="9624" width="14" style="1" customWidth="1"/>
    <col min="9625" max="9625" width="9.140625" style="1"/>
    <col min="9626" max="9626" width="12.85546875" style="1" bestFit="1" customWidth="1"/>
    <col min="9627" max="9627" width="10" style="1" customWidth="1"/>
    <col min="9628" max="9628" width="14" style="1" bestFit="1" customWidth="1"/>
    <col min="9629" max="9629" width="9.85546875" style="1" bestFit="1" customWidth="1"/>
    <col min="9630" max="9630" width="13.5703125" style="1" bestFit="1" customWidth="1"/>
    <col min="9631" max="9631" width="9.85546875" style="1" bestFit="1" customWidth="1"/>
    <col min="9632" max="9632" width="12.85546875" style="1" bestFit="1" customWidth="1"/>
    <col min="9633" max="9644" width="10.5703125" style="1" customWidth="1"/>
    <col min="9645" max="9645" width="11.140625" style="1" bestFit="1" customWidth="1"/>
    <col min="9646" max="9646" width="2.7109375" style="1" customWidth="1"/>
    <col min="9647" max="9647" width="9.85546875" style="1" bestFit="1" customWidth="1"/>
    <col min="9648" max="9649" width="9.140625" style="1"/>
    <col min="9650" max="9650" width="24" style="1" customWidth="1"/>
    <col min="9651" max="9653" width="9.140625" style="1"/>
    <col min="9654" max="9654" width="9" style="1" bestFit="1" customWidth="1"/>
    <col min="9655" max="9664" width="9.28515625" style="1" bestFit="1" customWidth="1"/>
    <col min="9665" max="9665" width="10.28515625" style="1" bestFit="1" customWidth="1"/>
    <col min="9666" max="9666" width="11.28515625" style="1" bestFit="1" customWidth="1"/>
    <col min="9667" max="9667" width="11.7109375" style="1" customWidth="1"/>
    <col min="9668" max="9668" width="9.140625" style="1"/>
    <col min="9669" max="9669" width="22.28515625" style="1" customWidth="1"/>
    <col min="9670" max="9670" width="9.140625" style="1"/>
    <col min="9671" max="9671" width="9.28515625" style="1" bestFit="1" customWidth="1"/>
    <col min="9672" max="9672" width="9.42578125" style="1" bestFit="1" customWidth="1"/>
    <col min="9673" max="9673" width="9.28515625" style="1" bestFit="1" customWidth="1"/>
    <col min="9674" max="9674" width="10.28515625" style="1" bestFit="1" customWidth="1"/>
    <col min="9675" max="9676" width="9.28515625" style="1" bestFit="1" customWidth="1"/>
    <col min="9677" max="9678" width="10.28515625" style="1" bestFit="1" customWidth="1"/>
    <col min="9679" max="9683" width="9.28515625" style="1" bestFit="1" customWidth="1"/>
    <col min="9684" max="9684" width="10.42578125" style="1" bestFit="1" customWidth="1"/>
    <col min="9685" max="9685" width="9.140625" style="1"/>
    <col min="9686" max="9686" width="24.85546875" style="1" customWidth="1"/>
    <col min="9687" max="9687" width="9.140625" style="1"/>
    <col min="9688" max="9700" width="9.28515625" style="1" bestFit="1" customWidth="1"/>
    <col min="9701" max="9701" width="10.28515625" style="1" bestFit="1" customWidth="1"/>
    <col min="9702" max="9702" width="9.5703125" style="1" bestFit="1" customWidth="1"/>
    <col min="9703" max="9703" width="18.5703125" style="1" customWidth="1"/>
    <col min="9704" max="9705" width="9.140625" style="1"/>
    <col min="9706" max="9708" width="12.140625" style="1" bestFit="1" customWidth="1"/>
    <col min="9709" max="9717" width="10.28515625" style="1" bestFit="1" customWidth="1"/>
    <col min="9718" max="9718" width="11.28515625" style="1" bestFit="1" customWidth="1"/>
    <col min="9719" max="9719" width="9.140625" style="1"/>
    <col min="9720" max="9720" width="19" style="1" customWidth="1"/>
    <col min="9721" max="9737" width="9.140625" style="1"/>
    <col min="9738" max="9748" width="11.28515625" style="1" bestFit="1" customWidth="1"/>
    <col min="9749" max="9749" width="10.28515625" style="1" bestFit="1" customWidth="1"/>
    <col min="9750" max="9750" width="12.85546875" style="1" bestFit="1" customWidth="1"/>
    <col min="9751" max="9873" width="9.140625" style="1"/>
    <col min="9874" max="9874" width="11" style="1" bestFit="1" customWidth="1"/>
    <col min="9875" max="9875" width="28.140625" style="1" bestFit="1" customWidth="1"/>
    <col min="9876" max="9876" width="14" style="1" bestFit="1" customWidth="1"/>
    <col min="9877" max="9877" width="9.140625" style="1"/>
    <col min="9878" max="9878" width="13.85546875" style="1" bestFit="1" customWidth="1"/>
    <col min="9879" max="9879" width="9.140625" style="1"/>
    <col min="9880" max="9880" width="14" style="1" customWidth="1"/>
    <col min="9881" max="9881" width="9.140625" style="1"/>
    <col min="9882" max="9882" width="12.85546875" style="1" bestFit="1" customWidth="1"/>
    <col min="9883" max="9883" width="10" style="1" customWidth="1"/>
    <col min="9884" max="9884" width="14" style="1" bestFit="1" customWidth="1"/>
    <col min="9885" max="9885" width="9.85546875" style="1" bestFit="1" customWidth="1"/>
    <col min="9886" max="9886" width="13.5703125" style="1" bestFit="1" customWidth="1"/>
    <col min="9887" max="9887" width="9.85546875" style="1" bestFit="1" customWidth="1"/>
    <col min="9888" max="9888" width="12.85546875" style="1" bestFit="1" customWidth="1"/>
    <col min="9889" max="9900" width="10.5703125" style="1" customWidth="1"/>
    <col min="9901" max="9901" width="11.140625" style="1" bestFit="1" customWidth="1"/>
    <col min="9902" max="9902" width="2.7109375" style="1" customWidth="1"/>
    <col min="9903" max="9903" width="9.85546875" style="1" bestFit="1" customWidth="1"/>
    <col min="9904" max="9905" width="9.140625" style="1"/>
    <col min="9906" max="9906" width="24" style="1" customWidth="1"/>
    <col min="9907" max="9909" width="9.140625" style="1"/>
    <col min="9910" max="9910" width="9" style="1" bestFit="1" customWidth="1"/>
    <col min="9911" max="9920" width="9.28515625" style="1" bestFit="1" customWidth="1"/>
    <col min="9921" max="9921" width="10.28515625" style="1" bestFit="1" customWidth="1"/>
    <col min="9922" max="9922" width="11.28515625" style="1" bestFit="1" customWidth="1"/>
    <col min="9923" max="9923" width="11.7109375" style="1" customWidth="1"/>
    <col min="9924" max="9924" width="9.140625" style="1"/>
    <col min="9925" max="9925" width="22.28515625" style="1" customWidth="1"/>
    <col min="9926" max="9926" width="9.140625" style="1"/>
    <col min="9927" max="9927" width="9.28515625" style="1" bestFit="1" customWidth="1"/>
    <col min="9928" max="9928" width="9.42578125" style="1" bestFit="1" customWidth="1"/>
    <col min="9929" max="9929" width="9.28515625" style="1" bestFit="1" customWidth="1"/>
    <col min="9930" max="9930" width="10.28515625" style="1" bestFit="1" customWidth="1"/>
    <col min="9931" max="9932" width="9.28515625" style="1" bestFit="1" customWidth="1"/>
    <col min="9933" max="9934" width="10.28515625" style="1" bestFit="1" customWidth="1"/>
    <col min="9935" max="9939" width="9.28515625" style="1" bestFit="1" customWidth="1"/>
    <col min="9940" max="9940" width="10.42578125" style="1" bestFit="1" customWidth="1"/>
    <col min="9941" max="9941" width="9.140625" style="1"/>
    <col min="9942" max="9942" width="24.85546875" style="1" customWidth="1"/>
    <col min="9943" max="9943" width="9.140625" style="1"/>
    <col min="9944" max="9956" width="9.28515625" style="1" bestFit="1" customWidth="1"/>
    <col min="9957" max="9957" width="10.28515625" style="1" bestFit="1" customWidth="1"/>
    <col min="9958" max="9958" width="9.5703125" style="1" bestFit="1" customWidth="1"/>
    <col min="9959" max="9959" width="18.5703125" style="1" customWidth="1"/>
    <col min="9960" max="9961" width="9.140625" style="1"/>
    <col min="9962" max="9964" width="12.140625" style="1" bestFit="1" customWidth="1"/>
    <col min="9965" max="9973" width="10.28515625" style="1" bestFit="1" customWidth="1"/>
    <col min="9974" max="9974" width="11.28515625" style="1" bestFit="1" customWidth="1"/>
    <col min="9975" max="9975" width="9.140625" style="1"/>
    <col min="9976" max="9976" width="19" style="1" customWidth="1"/>
    <col min="9977" max="9993" width="9.140625" style="1"/>
    <col min="9994" max="10004" width="11.28515625" style="1" bestFit="1" customWidth="1"/>
    <col min="10005" max="10005" width="10.28515625" style="1" bestFit="1" customWidth="1"/>
    <col min="10006" max="10006" width="12.85546875" style="1" bestFit="1" customWidth="1"/>
    <col min="10007" max="10129" width="9.140625" style="1"/>
    <col min="10130" max="10130" width="11" style="1" bestFit="1" customWidth="1"/>
    <col min="10131" max="10131" width="28.140625" style="1" bestFit="1" customWidth="1"/>
    <col min="10132" max="10132" width="14" style="1" bestFit="1" customWidth="1"/>
    <col min="10133" max="10133" width="9.140625" style="1"/>
    <col min="10134" max="10134" width="13.85546875" style="1" bestFit="1" customWidth="1"/>
    <col min="10135" max="10135" width="9.140625" style="1"/>
    <col min="10136" max="10136" width="14" style="1" customWidth="1"/>
    <col min="10137" max="10137" width="9.140625" style="1"/>
    <col min="10138" max="10138" width="12.85546875" style="1" bestFit="1" customWidth="1"/>
    <col min="10139" max="10139" width="10" style="1" customWidth="1"/>
    <col min="10140" max="10140" width="14" style="1" bestFit="1" customWidth="1"/>
    <col min="10141" max="10141" width="9.85546875" style="1" bestFit="1" customWidth="1"/>
    <col min="10142" max="10142" width="13.5703125" style="1" bestFit="1" customWidth="1"/>
    <col min="10143" max="10143" width="9.85546875" style="1" bestFit="1" customWidth="1"/>
    <col min="10144" max="10144" width="12.85546875" style="1" bestFit="1" customWidth="1"/>
    <col min="10145" max="10156" width="10.5703125" style="1" customWidth="1"/>
    <col min="10157" max="10157" width="11.140625" style="1" bestFit="1" customWidth="1"/>
    <col min="10158" max="10158" width="2.7109375" style="1" customWidth="1"/>
    <col min="10159" max="10159" width="9.85546875" style="1" bestFit="1" customWidth="1"/>
    <col min="10160" max="10161" width="9.140625" style="1"/>
    <col min="10162" max="10162" width="24" style="1" customWidth="1"/>
    <col min="10163" max="10165" width="9.140625" style="1"/>
    <col min="10166" max="10166" width="9" style="1" bestFit="1" customWidth="1"/>
    <col min="10167" max="10176" width="9.28515625" style="1" bestFit="1" customWidth="1"/>
    <col min="10177" max="10177" width="10.28515625" style="1" bestFit="1" customWidth="1"/>
    <col min="10178" max="10178" width="11.28515625" style="1" bestFit="1" customWidth="1"/>
    <col min="10179" max="10179" width="11.7109375" style="1" customWidth="1"/>
    <col min="10180" max="10180" width="9.140625" style="1"/>
    <col min="10181" max="10181" width="22.28515625" style="1" customWidth="1"/>
    <col min="10182" max="10182" width="9.140625" style="1"/>
    <col min="10183" max="10183" width="9.28515625" style="1" bestFit="1" customWidth="1"/>
    <col min="10184" max="10184" width="9.42578125" style="1" bestFit="1" customWidth="1"/>
    <col min="10185" max="10185" width="9.28515625" style="1" bestFit="1" customWidth="1"/>
    <col min="10186" max="10186" width="10.28515625" style="1" bestFit="1" customWidth="1"/>
    <col min="10187" max="10188" width="9.28515625" style="1" bestFit="1" customWidth="1"/>
    <col min="10189" max="10190" width="10.28515625" style="1" bestFit="1" customWidth="1"/>
    <col min="10191" max="10195" width="9.28515625" style="1" bestFit="1" customWidth="1"/>
    <col min="10196" max="10196" width="10.42578125" style="1" bestFit="1" customWidth="1"/>
    <col min="10197" max="10197" width="9.140625" style="1"/>
    <col min="10198" max="10198" width="24.85546875" style="1" customWidth="1"/>
    <col min="10199" max="10199" width="9.140625" style="1"/>
    <col min="10200" max="10212" width="9.28515625" style="1" bestFit="1" customWidth="1"/>
    <col min="10213" max="10213" width="10.28515625" style="1" bestFit="1" customWidth="1"/>
    <col min="10214" max="10214" width="9.5703125" style="1" bestFit="1" customWidth="1"/>
    <col min="10215" max="10215" width="18.5703125" style="1" customWidth="1"/>
    <col min="10216" max="10217" width="9.140625" style="1"/>
    <col min="10218" max="10220" width="12.140625" style="1" bestFit="1" customWidth="1"/>
    <col min="10221" max="10229" width="10.28515625" style="1" bestFit="1" customWidth="1"/>
    <col min="10230" max="10230" width="11.28515625" style="1" bestFit="1" customWidth="1"/>
    <col min="10231" max="10231" width="9.140625" style="1"/>
    <col min="10232" max="10232" width="19" style="1" customWidth="1"/>
    <col min="10233" max="10249" width="9.140625" style="1"/>
    <col min="10250" max="10260" width="11.28515625" style="1" bestFit="1" customWidth="1"/>
    <col min="10261" max="10261" width="10.28515625" style="1" bestFit="1" customWidth="1"/>
    <col min="10262" max="10262" width="12.85546875" style="1" bestFit="1" customWidth="1"/>
    <col min="10263" max="10385" width="9.140625" style="1"/>
    <col min="10386" max="10386" width="11" style="1" bestFit="1" customWidth="1"/>
    <col min="10387" max="10387" width="28.140625" style="1" bestFit="1" customWidth="1"/>
    <col min="10388" max="10388" width="14" style="1" bestFit="1" customWidth="1"/>
    <col min="10389" max="10389" width="9.140625" style="1"/>
    <col min="10390" max="10390" width="13.85546875" style="1" bestFit="1" customWidth="1"/>
    <col min="10391" max="10391" width="9.140625" style="1"/>
    <col min="10392" max="10392" width="14" style="1" customWidth="1"/>
    <col min="10393" max="10393" width="9.140625" style="1"/>
    <col min="10394" max="10394" width="12.85546875" style="1" bestFit="1" customWidth="1"/>
    <col min="10395" max="10395" width="10" style="1" customWidth="1"/>
    <col min="10396" max="10396" width="14" style="1" bestFit="1" customWidth="1"/>
    <col min="10397" max="10397" width="9.85546875" style="1" bestFit="1" customWidth="1"/>
    <col min="10398" max="10398" width="13.5703125" style="1" bestFit="1" customWidth="1"/>
    <col min="10399" max="10399" width="9.85546875" style="1" bestFit="1" customWidth="1"/>
    <col min="10400" max="10400" width="12.85546875" style="1" bestFit="1" customWidth="1"/>
    <col min="10401" max="10412" width="10.5703125" style="1" customWidth="1"/>
    <col min="10413" max="10413" width="11.140625" style="1" bestFit="1" customWidth="1"/>
    <col min="10414" max="10414" width="2.7109375" style="1" customWidth="1"/>
    <col min="10415" max="10415" width="9.85546875" style="1" bestFit="1" customWidth="1"/>
    <col min="10416" max="10417" width="9.140625" style="1"/>
    <col min="10418" max="10418" width="24" style="1" customWidth="1"/>
    <col min="10419" max="10421" width="9.140625" style="1"/>
    <col min="10422" max="10422" width="9" style="1" bestFit="1" customWidth="1"/>
    <col min="10423" max="10432" width="9.28515625" style="1" bestFit="1" customWidth="1"/>
    <col min="10433" max="10433" width="10.28515625" style="1" bestFit="1" customWidth="1"/>
    <col min="10434" max="10434" width="11.28515625" style="1" bestFit="1" customWidth="1"/>
    <col min="10435" max="10435" width="11.7109375" style="1" customWidth="1"/>
    <col min="10436" max="10436" width="9.140625" style="1"/>
    <col min="10437" max="10437" width="22.28515625" style="1" customWidth="1"/>
    <col min="10438" max="10438" width="9.140625" style="1"/>
    <col min="10439" max="10439" width="9.28515625" style="1" bestFit="1" customWidth="1"/>
    <col min="10440" max="10440" width="9.42578125" style="1" bestFit="1" customWidth="1"/>
    <col min="10441" max="10441" width="9.28515625" style="1" bestFit="1" customWidth="1"/>
    <col min="10442" max="10442" width="10.28515625" style="1" bestFit="1" customWidth="1"/>
    <col min="10443" max="10444" width="9.28515625" style="1" bestFit="1" customWidth="1"/>
    <col min="10445" max="10446" width="10.28515625" style="1" bestFit="1" customWidth="1"/>
    <col min="10447" max="10451" width="9.28515625" style="1" bestFit="1" customWidth="1"/>
    <col min="10452" max="10452" width="10.42578125" style="1" bestFit="1" customWidth="1"/>
    <col min="10453" max="10453" width="9.140625" style="1"/>
    <col min="10454" max="10454" width="24.85546875" style="1" customWidth="1"/>
    <col min="10455" max="10455" width="9.140625" style="1"/>
    <col min="10456" max="10468" width="9.28515625" style="1" bestFit="1" customWidth="1"/>
    <col min="10469" max="10469" width="10.28515625" style="1" bestFit="1" customWidth="1"/>
    <col min="10470" max="10470" width="9.5703125" style="1" bestFit="1" customWidth="1"/>
    <col min="10471" max="10471" width="18.5703125" style="1" customWidth="1"/>
    <col min="10472" max="10473" width="9.140625" style="1"/>
    <col min="10474" max="10476" width="12.140625" style="1" bestFit="1" customWidth="1"/>
    <col min="10477" max="10485" width="10.28515625" style="1" bestFit="1" customWidth="1"/>
    <col min="10486" max="10486" width="11.28515625" style="1" bestFit="1" customWidth="1"/>
    <col min="10487" max="10487" width="9.140625" style="1"/>
    <col min="10488" max="10488" width="19" style="1" customWidth="1"/>
    <col min="10489" max="10505" width="9.140625" style="1"/>
    <col min="10506" max="10516" width="11.28515625" style="1" bestFit="1" customWidth="1"/>
    <col min="10517" max="10517" width="10.28515625" style="1" bestFit="1" customWidth="1"/>
    <col min="10518" max="10518" width="12.85546875" style="1" bestFit="1" customWidth="1"/>
    <col min="10519" max="10641" width="9.140625" style="1"/>
    <col min="10642" max="10642" width="11" style="1" bestFit="1" customWidth="1"/>
    <col min="10643" max="10643" width="28.140625" style="1" bestFit="1" customWidth="1"/>
    <col min="10644" max="10644" width="14" style="1" bestFit="1" customWidth="1"/>
    <col min="10645" max="10645" width="9.140625" style="1"/>
    <col min="10646" max="10646" width="13.85546875" style="1" bestFit="1" customWidth="1"/>
    <col min="10647" max="10647" width="9.140625" style="1"/>
    <col min="10648" max="10648" width="14" style="1" customWidth="1"/>
    <col min="10649" max="10649" width="9.140625" style="1"/>
    <col min="10650" max="10650" width="12.85546875" style="1" bestFit="1" customWidth="1"/>
    <col min="10651" max="10651" width="10" style="1" customWidth="1"/>
    <col min="10652" max="10652" width="14" style="1" bestFit="1" customWidth="1"/>
    <col min="10653" max="10653" width="9.85546875" style="1" bestFit="1" customWidth="1"/>
    <col min="10654" max="10654" width="13.5703125" style="1" bestFit="1" customWidth="1"/>
    <col min="10655" max="10655" width="9.85546875" style="1" bestFit="1" customWidth="1"/>
    <col min="10656" max="10656" width="12.85546875" style="1" bestFit="1" customWidth="1"/>
    <col min="10657" max="10668" width="10.5703125" style="1" customWidth="1"/>
    <col min="10669" max="10669" width="11.140625" style="1" bestFit="1" customWidth="1"/>
    <col min="10670" max="10670" width="2.7109375" style="1" customWidth="1"/>
    <col min="10671" max="10671" width="9.85546875" style="1" bestFit="1" customWidth="1"/>
    <col min="10672" max="10673" width="9.140625" style="1"/>
    <col min="10674" max="10674" width="24" style="1" customWidth="1"/>
    <col min="10675" max="10677" width="9.140625" style="1"/>
    <col min="10678" max="10678" width="9" style="1" bestFit="1" customWidth="1"/>
    <col min="10679" max="10688" width="9.28515625" style="1" bestFit="1" customWidth="1"/>
    <col min="10689" max="10689" width="10.28515625" style="1" bestFit="1" customWidth="1"/>
    <col min="10690" max="10690" width="11.28515625" style="1" bestFit="1" customWidth="1"/>
    <col min="10691" max="10691" width="11.7109375" style="1" customWidth="1"/>
    <col min="10692" max="10692" width="9.140625" style="1"/>
    <col min="10693" max="10693" width="22.28515625" style="1" customWidth="1"/>
    <col min="10694" max="10694" width="9.140625" style="1"/>
    <col min="10695" max="10695" width="9.28515625" style="1" bestFit="1" customWidth="1"/>
    <col min="10696" max="10696" width="9.42578125" style="1" bestFit="1" customWidth="1"/>
    <col min="10697" max="10697" width="9.28515625" style="1" bestFit="1" customWidth="1"/>
    <col min="10698" max="10698" width="10.28515625" style="1" bestFit="1" customWidth="1"/>
    <col min="10699" max="10700" width="9.28515625" style="1" bestFit="1" customWidth="1"/>
    <col min="10701" max="10702" width="10.28515625" style="1" bestFit="1" customWidth="1"/>
    <col min="10703" max="10707" width="9.28515625" style="1" bestFit="1" customWidth="1"/>
    <col min="10708" max="10708" width="10.42578125" style="1" bestFit="1" customWidth="1"/>
    <col min="10709" max="10709" width="9.140625" style="1"/>
    <col min="10710" max="10710" width="24.85546875" style="1" customWidth="1"/>
    <col min="10711" max="10711" width="9.140625" style="1"/>
    <col min="10712" max="10724" width="9.28515625" style="1" bestFit="1" customWidth="1"/>
    <col min="10725" max="10725" width="10.28515625" style="1" bestFit="1" customWidth="1"/>
    <col min="10726" max="10726" width="9.5703125" style="1" bestFit="1" customWidth="1"/>
    <col min="10727" max="10727" width="18.5703125" style="1" customWidth="1"/>
    <col min="10728" max="10729" width="9.140625" style="1"/>
    <col min="10730" max="10732" width="12.140625" style="1" bestFit="1" customWidth="1"/>
    <col min="10733" max="10741" width="10.28515625" style="1" bestFit="1" customWidth="1"/>
    <col min="10742" max="10742" width="11.28515625" style="1" bestFit="1" customWidth="1"/>
    <col min="10743" max="10743" width="9.140625" style="1"/>
    <col min="10744" max="10744" width="19" style="1" customWidth="1"/>
    <col min="10745" max="10761" width="9.140625" style="1"/>
    <col min="10762" max="10772" width="11.28515625" style="1" bestFit="1" customWidth="1"/>
    <col min="10773" max="10773" width="10.28515625" style="1" bestFit="1" customWidth="1"/>
    <col min="10774" max="10774" width="12.85546875" style="1" bestFit="1" customWidth="1"/>
    <col min="10775" max="10897" width="9.140625" style="1"/>
    <col min="10898" max="10898" width="11" style="1" bestFit="1" customWidth="1"/>
    <col min="10899" max="10899" width="28.140625" style="1" bestFit="1" customWidth="1"/>
    <col min="10900" max="10900" width="14" style="1" bestFit="1" customWidth="1"/>
    <col min="10901" max="10901" width="9.140625" style="1"/>
    <col min="10902" max="10902" width="13.85546875" style="1" bestFit="1" customWidth="1"/>
    <col min="10903" max="10903" width="9.140625" style="1"/>
    <col min="10904" max="10904" width="14" style="1" customWidth="1"/>
    <col min="10905" max="10905" width="9.140625" style="1"/>
    <col min="10906" max="10906" width="12.85546875" style="1" bestFit="1" customWidth="1"/>
    <col min="10907" max="10907" width="10" style="1" customWidth="1"/>
    <col min="10908" max="10908" width="14" style="1" bestFit="1" customWidth="1"/>
    <col min="10909" max="10909" width="9.85546875" style="1" bestFit="1" customWidth="1"/>
    <col min="10910" max="10910" width="13.5703125" style="1" bestFit="1" customWidth="1"/>
    <col min="10911" max="10911" width="9.85546875" style="1" bestFit="1" customWidth="1"/>
    <col min="10912" max="10912" width="12.85546875" style="1" bestFit="1" customWidth="1"/>
    <col min="10913" max="10924" width="10.5703125" style="1" customWidth="1"/>
    <col min="10925" max="10925" width="11.140625" style="1" bestFit="1" customWidth="1"/>
    <col min="10926" max="10926" width="2.7109375" style="1" customWidth="1"/>
    <col min="10927" max="10927" width="9.85546875" style="1" bestFit="1" customWidth="1"/>
    <col min="10928" max="10929" width="9.140625" style="1"/>
    <col min="10930" max="10930" width="24" style="1" customWidth="1"/>
    <col min="10931" max="10933" width="9.140625" style="1"/>
    <col min="10934" max="10934" width="9" style="1" bestFit="1" customWidth="1"/>
    <col min="10935" max="10944" width="9.28515625" style="1" bestFit="1" customWidth="1"/>
    <col min="10945" max="10945" width="10.28515625" style="1" bestFit="1" customWidth="1"/>
    <col min="10946" max="10946" width="11.28515625" style="1" bestFit="1" customWidth="1"/>
    <col min="10947" max="10947" width="11.7109375" style="1" customWidth="1"/>
    <col min="10948" max="10948" width="9.140625" style="1"/>
    <col min="10949" max="10949" width="22.28515625" style="1" customWidth="1"/>
    <col min="10950" max="10950" width="9.140625" style="1"/>
    <col min="10951" max="10951" width="9.28515625" style="1" bestFit="1" customWidth="1"/>
    <col min="10952" max="10952" width="9.42578125" style="1" bestFit="1" customWidth="1"/>
    <col min="10953" max="10953" width="9.28515625" style="1" bestFit="1" customWidth="1"/>
    <col min="10954" max="10954" width="10.28515625" style="1" bestFit="1" customWidth="1"/>
    <col min="10955" max="10956" width="9.28515625" style="1" bestFit="1" customWidth="1"/>
    <col min="10957" max="10958" width="10.28515625" style="1" bestFit="1" customWidth="1"/>
    <col min="10959" max="10963" width="9.28515625" style="1" bestFit="1" customWidth="1"/>
    <col min="10964" max="10964" width="10.42578125" style="1" bestFit="1" customWidth="1"/>
    <col min="10965" max="10965" width="9.140625" style="1"/>
    <col min="10966" max="10966" width="24.85546875" style="1" customWidth="1"/>
    <col min="10967" max="10967" width="9.140625" style="1"/>
    <col min="10968" max="10980" width="9.28515625" style="1" bestFit="1" customWidth="1"/>
    <col min="10981" max="10981" width="10.28515625" style="1" bestFit="1" customWidth="1"/>
    <col min="10982" max="10982" width="9.5703125" style="1" bestFit="1" customWidth="1"/>
    <col min="10983" max="10983" width="18.5703125" style="1" customWidth="1"/>
    <col min="10984" max="10985" width="9.140625" style="1"/>
    <col min="10986" max="10988" width="12.140625" style="1" bestFit="1" customWidth="1"/>
    <col min="10989" max="10997" width="10.28515625" style="1" bestFit="1" customWidth="1"/>
    <col min="10998" max="10998" width="11.28515625" style="1" bestFit="1" customWidth="1"/>
    <col min="10999" max="10999" width="9.140625" style="1"/>
    <col min="11000" max="11000" width="19" style="1" customWidth="1"/>
    <col min="11001" max="11017" width="9.140625" style="1"/>
    <col min="11018" max="11028" width="11.28515625" style="1" bestFit="1" customWidth="1"/>
    <col min="11029" max="11029" width="10.28515625" style="1" bestFit="1" customWidth="1"/>
    <col min="11030" max="11030" width="12.85546875" style="1" bestFit="1" customWidth="1"/>
    <col min="11031" max="11153" width="9.140625" style="1"/>
    <col min="11154" max="11154" width="11" style="1" bestFit="1" customWidth="1"/>
    <col min="11155" max="11155" width="28.140625" style="1" bestFit="1" customWidth="1"/>
    <col min="11156" max="11156" width="14" style="1" bestFit="1" customWidth="1"/>
    <col min="11157" max="11157" width="9.140625" style="1"/>
    <col min="11158" max="11158" width="13.85546875" style="1" bestFit="1" customWidth="1"/>
    <col min="11159" max="11159" width="9.140625" style="1"/>
    <col min="11160" max="11160" width="14" style="1" customWidth="1"/>
    <col min="11161" max="11161" width="9.140625" style="1"/>
    <col min="11162" max="11162" width="12.85546875" style="1" bestFit="1" customWidth="1"/>
    <col min="11163" max="11163" width="10" style="1" customWidth="1"/>
    <col min="11164" max="11164" width="14" style="1" bestFit="1" customWidth="1"/>
    <col min="11165" max="11165" width="9.85546875" style="1" bestFit="1" customWidth="1"/>
    <col min="11166" max="11166" width="13.5703125" style="1" bestFit="1" customWidth="1"/>
    <col min="11167" max="11167" width="9.85546875" style="1" bestFit="1" customWidth="1"/>
    <col min="11168" max="11168" width="12.85546875" style="1" bestFit="1" customWidth="1"/>
    <col min="11169" max="11180" width="10.5703125" style="1" customWidth="1"/>
    <col min="11181" max="11181" width="11.140625" style="1" bestFit="1" customWidth="1"/>
    <col min="11182" max="11182" width="2.7109375" style="1" customWidth="1"/>
    <col min="11183" max="11183" width="9.85546875" style="1" bestFit="1" customWidth="1"/>
    <col min="11184" max="11185" width="9.140625" style="1"/>
    <col min="11186" max="11186" width="24" style="1" customWidth="1"/>
    <col min="11187" max="11189" width="9.140625" style="1"/>
    <col min="11190" max="11190" width="9" style="1" bestFit="1" customWidth="1"/>
    <col min="11191" max="11200" width="9.28515625" style="1" bestFit="1" customWidth="1"/>
    <col min="11201" max="11201" width="10.28515625" style="1" bestFit="1" customWidth="1"/>
    <col min="11202" max="11202" width="11.28515625" style="1" bestFit="1" customWidth="1"/>
    <col min="11203" max="11203" width="11.7109375" style="1" customWidth="1"/>
    <col min="11204" max="11204" width="9.140625" style="1"/>
    <col min="11205" max="11205" width="22.28515625" style="1" customWidth="1"/>
    <col min="11206" max="11206" width="9.140625" style="1"/>
    <col min="11207" max="11207" width="9.28515625" style="1" bestFit="1" customWidth="1"/>
    <col min="11208" max="11208" width="9.42578125" style="1" bestFit="1" customWidth="1"/>
    <col min="11209" max="11209" width="9.28515625" style="1" bestFit="1" customWidth="1"/>
    <col min="11210" max="11210" width="10.28515625" style="1" bestFit="1" customWidth="1"/>
    <col min="11211" max="11212" width="9.28515625" style="1" bestFit="1" customWidth="1"/>
    <col min="11213" max="11214" width="10.28515625" style="1" bestFit="1" customWidth="1"/>
    <col min="11215" max="11219" width="9.28515625" style="1" bestFit="1" customWidth="1"/>
    <col min="11220" max="11220" width="10.42578125" style="1" bestFit="1" customWidth="1"/>
    <col min="11221" max="11221" width="9.140625" style="1"/>
    <col min="11222" max="11222" width="24.85546875" style="1" customWidth="1"/>
    <col min="11223" max="11223" width="9.140625" style="1"/>
    <col min="11224" max="11236" width="9.28515625" style="1" bestFit="1" customWidth="1"/>
    <col min="11237" max="11237" width="10.28515625" style="1" bestFit="1" customWidth="1"/>
    <col min="11238" max="11238" width="9.5703125" style="1" bestFit="1" customWidth="1"/>
    <col min="11239" max="11239" width="18.5703125" style="1" customWidth="1"/>
    <col min="11240" max="11241" width="9.140625" style="1"/>
    <col min="11242" max="11244" width="12.140625" style="1" bestFit="1" customWidth="1"/>
    <col min="11245" max="11253" width="10.28515625" style="1" bestFit="1" customWidth="1"/>
    <col min="11254" max="11254" width="11.28515625" style="1" bestFit="1" customWidth="1"/>
    <col min="11255" max="11255" width="9.140625" style="1"/>
    <col min="11256" max="11256" width="19" style="1" customWidth="1"/>
    <col min="11257" max="11273" width="9.140625" style="1"/>
    <col min="11274" max="11284" width="11.28515625" style="1" bestFit="1" customWidth="1"/>
    <col min="11285" max="11285" width="10.28515625" style="1" bestFit="1" customWidth="1"/>
    <col min="11286" max="11286" width="12.85546875" style="1" bestFit="1" customWidth="1"/>
    <col min="11287" max="11409" width="9.140625" style="1"/>
    <col min="11410" max="11410" width="11" style="1" bestFit="1" customWidth="1"/>
    <col min="11411" max="11411" width="28.140625" style="1" bestFit="1" customWidth="1"/>
    <col min="11412" max="11412" width="14" style="1" bestFit="1" customWidth="1"/>
    <col min="11413" max="11413" width="9.140625" style="1"/>
    <col min="11414" max="11414" width="13.85546875" style="1" bestFit="1" customWidth="1"/>
    <col min="11415" max="11415" width="9.140625" style="1"/>
    <col min="11416" max="11416" width="14" style="1" customWidth="1"/>
    <col min="11417" max="11417" width="9.140625" style="1"/>
    <col min="11418" max="11418" width="12.85546875" style="1" bestFit="1" customWidth="1"/>
    <col min="11419" max="11419" width="10" style="1" customWidth="1"/>
    <col min="11420" max="11420" width="14" style="1" bestFit="1" customWidth="1"/>
    <col min="11421" max="11421" width="9.85546875" style="1" bestFit="1" customWidth="1"/>
    <col min="11422" max="11422" width="13.5703125" style="1" bestFit="1" customWidth="1"/>
    <col min="11423" max="11423" width="9.85546875" style="1" bestFit="1" customWidth="1"/>
    <col min="11424" max="11424" width="12.85546875" style="1" bestFit="1" customWidth="1"/>
    <col min="11425" max="11436" width="10.5703125" style="1" customWidth="1"/>
    <col min="11437" max="11437" width="11.140625" style="1" bestFit="1" customWidth="1"/>
    <col min="11438" max="11438" width="2.7109375" style="1" customWidth="1"/>
    <col min="11439" max="11439" width="9.85546875" style="1" bestFit="1" customWidth="1"/>
    <col min="11440" max="11441" width="9.140625" style="1"/>
    <col min="11442" max="11442" width="24" style="1" customWidth="1"/>
    <col min="11443" max="11445" width="9.140625" style="1"/>
    <col min="11446" max="11446" width="9" style="1" bestFit="1" customWidth="1"/>
    <col min="11447" max="11456" width="9.28515625" style="1" bestFit="1" customWidth="1"/>
    <col min="11457" max="11457" width="10.28515625" style="1" bestFit="1" customWidth="1"/>
    <col min="11458" max="11458" width="11.28515625" style="1" bestFit="1" customWidth="1"/>
    <col min="11459" max="11459" width="11.7109375" style="1" customWidth="1"/>
    <col min="11460" max="11460" width="9.140625" style="1"/>
    <col min="11461" max="11461" width="22.28515625" style="1" customWidth="1"/>
    <col min="11462" max="11462" width="9.140625" style="1"/>
    <col min="11463" max="11463" width="9.28515625" style="1" bestFit="1" customWidth="1"/>
    <col min="11464" max="11464" width="9.42578125" style="1" bestFit="1" customWidth="1"/>
    <col min="11465" max="11465" width="9.28515625" style="1" bestFit="1" customWidth="1"/>
    <col min="11466" max="11466" width="10.28515625" style="1" bestFit="1" customWidth="1"/>
    <col min="11467" max="11468" width="9.28515625" style="1" bestFit="1" customWidth="1"/>
    <col min="11469" max="11470" width="10.28515625" style="1" bestFit="1" customWidth="1"/>
    <col min="11471" max="11475" width="9.28515625" style="1" bestFit="1" customWidth="1"/>
    <col min="11476" max="11476" width="10.42578125" style="1" bestFit="1" customWidth="1"/>
    <col min="11477" max="11477" width="9.140625" style="1"/>
    <col min="11478" max="11478" width="24.85546875" style="1" customWidth="1"/>
    <col min="11479" max="11479" width="9.140625" style="1"/>
    <col min="11480" max="11492" width="9.28515625" style="1" bestFit="1" customWidth="1"/>
    <col min="11493" max="11493" width="10.28515625" style="1" bestFit="1" customWidth="1"/>
    <col min="11494" max="11494" width="9.5703125" style="1" bestFit="1" customWidth="1"/>
    <col min="11495" max="11495" width="18.5703125" style="1" customWidth="1"/>
    <col min="11496" max="11497" width="9.140625" style="1"/>
    <col min="11498" max="11500" width="12.140625" style="1" bestFit="1" customWidth="1"/>
    <col min="11501" max="11509" width="10.28515625" style="1" bestFit="1" customWidth="1"/>
    <col min="11510" max="11510" width="11.28515625" style="1" bestFit="1" customWidth="1"/>
    <col min="11511" max="11511" width="9.140625" style="1"/>
    <col min="11512" max="11512" width="19" style="1" customWidth="1"/>
    <col min="11513" max="11529" width="9.140625" style="1"/>
    <col min="11530" max="11540" width="11.28515625" style="1" bestFit="1" customWidth="1"/>
    <col min="11541" max="11541" width="10.28515625" style="1" bestFit="1" customWidth="1"/>
    <col min="11542" max="11542" width="12.85546875" style="1" bestFit="1" customWidth="1"/>
    <col min="11543" max="11665" width="9.140625" style="1"/>
    <col min="11666" max="11666" width="11" style="1" bestFit="1" customWidth="1"/>
    <col min="11667" max="11667" width="28.140625" style="1" bestFit="1" customWidth="1"/>
    <col min="11668" max="11668" width="14" style="1" bestFit="1" customWidth="1"/>
    <col min="11669" max="11669" width="9.140625" style="1"/>
    <col min="11670" max="11670" width="13.85546875" style="1" bestFit="1" customWidth="1"/>
    <col min="11671" max="11671" width="9.140625" style="1"/>
    <col min="11672" max="11672" width="14" style="1" customWidth="1"/>
    <col min="11673" max="11673" width="9.140625" style="1"/>
    <col min="11674" max="11674" width="12.85546875" style="1" bestFit="1" customWidth="1"/>
    <col min="11675" max="11675" width="10" style="1" customWidth="1"/>
    <col min="11676" max="11676" width="14" style="1" bestFit="1" customWidth="1"/>
    <col min="11677" max="11677" width="9.85546875" style="1" bestFit="1" customWidth="1"/>
    <col min="11678" max="11678" width="13.5703125" style="1" bestFit="1" customWidth="1"/>
    <col min="11679" max="11679" width="9.85546875" style="1" bestFit="1" customWidth="1"/>
    <col min="11680" max="11680" width="12.85546875" style="1" bestFit="1" customWidth="1"/>
    <col min="11681" max="11692" width="10.5703125" style="1" customWidth="1"/>
    <col min="11693" max="11693" width="11.140625" style="1" bestFit="1" customWidth="1"/>
    <col min="11694" max="11694" width="2.7109375" style="1" customWidth="1"/>
    <col min="11695" max="11695" width="9.85546875" style="1" bestFit="1" customWidth="1"/>
    <col min="11696" max="11697" width="9.140625" style="1"/>
    <col min="11698" max="11698" width="24" style="1" customWidth="1"/>
    <col min="11699" max="11701" width="9.140625" style="1"/>
    <col min="11702" max="11702" width="9" style="1" bestFit="1" customWidth="1"/>
    <col min="11703" max="11712" width="9.28515625" style="1" bestFit="1" customWidth="1"/>
    <col min="11713" max="11713" width="10.28515625" style="1" bestFit="1" customWidth="1"/>
    <col min="11714" max="11714" width="11.28515625" style="1" bestFit="1" customWidth="1"/>
    <col min="11715" max="11715" width="11.7109375" style="1" customWidth="1"/>
    <col min="11716" max="11716" width="9.140625" style="1"/>
    <col min="11717" max="11717" width="22.28515625" style="1" customWidth="1"/>
    <col min="11718" max="11718" width="9.140625" style="1"/>
    <col min="11719" max="11719" width="9.28515625" style="1" bestFit="1" customWidth="1"/>
    <col min="11720" max="11720" width="9.42578125" style="1" bestFit="1" customWidth="1"/>
    <col min="11721" max="11721" width="9.28515625" style="1" bestFit="1" customWidth="1"/>
    <col min="11722" max="11722" width="10.28515625" style="1" bestFit="1" customWidth="1"/>
    <col min="11723" max="11724" width="9.28515625" style="1" bestFit="1" customWidth="1"/>
    <col min="11725" max="11726" width="10.28515625" style="1" bestFit="1" customWidth="1"/>
    <col min="11727" max="11731" width="9.28515625" style="1" bestFit="1" customWidth="1"/>
    <col min="11732" max="11732" width="10.42578125" style="1" bestFit="1" customWidth="1"/>
    <col min="11733" max="11733" width="9.140625" style="1"/>
    <col min="11734" max="11734" width="24.85546875" style="1" customWidth="1"/>
    <col min="11735" max="11735" width="9.140625" style="1"/>
    <col min="11736" max="11748" width="9.28515625" style="1" bestFit="1" customWidth="1"/>
    <col min="11749" max="11749" width="10.28515625" style="1" bestFit="1" customWidth="1"/>
    <col min="11750" max="11750" width="9.5703125" style="1" bestFit="1" customWidth="1"/>
    <col min="11751" max="11751" width="18.5703125" style="1" customWidth="1"/>
    <col min="11752" max="11753" width="9.140625" style="1"/>
    <col min="11754" max="11756" width="12.140625" style="1" bestFit="1" customWidth="1"/>
    <col min="11757" max="11765" width="10.28515625" style="1" bestFit="1" customWidth="1"/>
    <col min="11766" max="11766" width="11.28515625" style="1" bestFit="1" customWidth="1"/>
    <col min="11767" max="11767" width="9.140625" style="1"/>
    <col min="11768" max="11768" width="19" style="1" customWidth="1"/>
    <col min="11769" max="11785" width="9.140625" style="1"/>
    <col min="11786" max="11796" width="11.28515625" style="1" bestFit="1" customWidth="1"/>
    <col min="11797" max="11797" width="10.28515625" style="1" bestFit="1" customWidth="1"/>
    <col min="11798" max="11798" width="12.85546875" style="1" bestFit="1" customWidth="1"/>
    <col min="11799" max="11921" width="9.140625" style="1"/>
    <col min="11922" max="11922" width="11" style="1" bestFit="1" customWidth="1"/>
    <col min="11923" max="11923" width="28.140625" style="1" bestFit="1" customWidth="1"/>
    <col min="11924" max="11924" width="14" style="1" bestFit="1" customWidth="1"/>
    <col min="11925" max="11925" width="9.140625" style="1"/>
    <col min="11926" max="11926" width="13.85546875" style="1" bestFit="1" customWidth="1"/>
    <col min="11927" max="11927" width="9.140625" style="1"/>
    <col min="11928" max="11928" width="14" style="1" customWidth="1"/>
    <col min="11929" max="11929" width="9.140625" style="1"/>
    <col min="11930" max="11930" width="12.85546875" style="1" bestFit="1" customWidth="1"/>
    <col min="11931" max="11931" width="10" style="1" customWidth="1"/>
    <col min="11932" max="11932" width="14" style="1" bestFit="1" customWidth="1"/>
    <col min="11933" max="11933" width="9.85546875" style="1" bestFit="1" customWidth="1"/>
    <col min="11934" max="11934" width="13.5703125" style="1" bestFit="1" customWidth="1"/>
    <col min="11935" max="11935" width="9.85546875" style="1" bestFit="1" customWidth="1"/>
    <col min="11936" max="11936" width="12.85546875" style="1" bestFit="1" customWidth="1"/>
    <col min="11937" max="11948" width="10.5703125" style="1" customWidth="1"/>
    <col min="11949" max="11949" width="11.140625" style="1" bestFit="1" customWidth="1"/>
    <col min="11950" max="11950" width="2.7109375" style="1" customWidth="1"/>
    <col min="11951" max="11951" width="9.85546875" style="1" bestFit="1" customWidth="1"/>
    <col min="11952" max="11953" width="9.140625" style="1"/>
    <col min="11954" max="11954" width="24" style="1" customWidth="1"/>
    <col min="11955" max="11957" width="9.140625" style="1"/>
    <col min="11958" max="11958" width="9" style="1" bestFit="1" customWidth="1"/>
    <col min="11959" max="11968" width="9.28515625" style="1" bestFit="1" customWidth="1"/>
    <col min="11969" max="11969" width="10.28515625" style="1" bestFit="1" customWidth="1"/>
    <col min="11970" max="11970" width="11.28515625" style="1" bestFit="1" customWidth="1"/>
    <col min="11971" max="11971" width="11.7109375" style="1" customWidth="1"/>
    <col min="11972" max="11972" width="9.140625" style="1"/>
    <col min="11973" max="11973" width="22.28515625" style="1" customWidth="1"/>
    <col min="11974" max="11974" width="9.140625" style="1"/>
    <col min="11975" max="11975" width="9.28515625" style="1" bestFit="1" customWidth="1"/>
    <col min="11976" max="11976" width="9.42578125" style="1" bestFit="1" customWidth="1"/>
    <col min="11977" max="11977" width="9.28515625" style="1" bestFit="1" customWidth="1"/>
    <col min="11978" max="11978" width="10.28515625" style="1" bestFit="1" customWidth="1"/>
    <col min="11979" max="11980" width="9.28515625" style="1" bestFit="1" customWidth="1"/>
    <col min="11981" max="11982" width="10.28515625" style="1" bestFit="1" customWidth="1"/>
    <col min="11983" max="11987" width="9.28515625" style="1" bestFit="1" customWidth="1"/>
    <col min="11988" max="11988" width="10.42578125" style="1" bestFit="1" customWidth="1"/>
    <col min="11989" max="11989" width="9.140625" style="1"/>
    <col min="11990" max="11990" width="24.85546875" style="1" customWidth="1"/>
    <col min="11991" max="11991" width="9.140625" style="1"/>
    <col min="11992" max="12004" width="9.28515625" style="1" bestFit="1" customWidth="1"/>
    <col min="12005" max="12005" width="10.28515625" style="1" bestFit="1" customWidth="1"/>
    <col min="12006" max="12006" width="9.5703125" style="1" bestFit="1" customWidth="1"/>
    <col min="12007" max="12007" width="18.5703125" style="1" customWidth="1"/>
    <col min="12008" max="12009" width="9.140625" style="1"/>
    <col min="12010" max="12012" width="12.140625" style="1" bestFit="1" customWidth="1"/>
    <col min="12013" max="12021" width="10.28515625" style="1" bestFit="1" customWidth="1"/>
    <col min="12022" max="12022" width="11.28515625" style="1" bestFit="1" customWidth="1"/>
    <col min="12023" max="12023" width="9.140625" style="1"/>
    <col min="12024" max="12024" width="19" style="1" customWidth="1"/>
    <col min="12025" max="12041" width="9.140625" style="1"/>
    <col min="12042" max="12052" width="11.28515625" style="1" bestFit="1" customWidth="1"/>
    <col min="12053" max="12053" width="10.28515625" style="1" bestFit="1" customWidth="1"/>
    <col min="12054" max="12054" width="12.85546875" style="1" bestFit="1" customWidth="1"/>
    <col min="12055" max="12177" width="9.140625" style="1"/>
    <col min="12178" max="12178" width="11" style="1" bestFit="1" customWidth="1"/>
    <col min="12179" max="12179" width="28.140625" style="1" bestFit="1" customWidth="1"/>
    <col min="12180" max="12180" width="14" style="1" bestFit="1" customWidth="1"/>
    <col min="12181" max="12181" width="9.140625" style="1"/>
    <col min="12182" max="12182" width="13.85546875" style="1" bestFit="1" customWidth="1"/>
    <col min="12183" max="12183" width="9.140625" style="1"/>
    <col min="12184" max="12184" width="14" style="1" customWidth="1"/>
    <col min="12185" max="12185" width="9.140625" style="1"/>
    <col min="12186" max="12186" width="12.85546875" style="1" bestFit="1" customWidth="1"/>
    <col min="12187" max="12187" width="10" style="1" customWidth="1"/>
    <col min="12188" max="12188" width="14" style="1" bestFit="1" customWidth="1"/>
    <col min="12189" max="12189" width="9.85546875" style="1" bestFit="1" customWidth="1"/>
    <col min="12190" max="12190" width="13.5703125" style="1" bestFit="1" customWidth="1"/>
    <col min="12191" max="12191" width="9.85546875" style="1" bestFit="1" customWidth="1"/>
    <col min="12192" max="12192" width="12.85546875" style="1" bestFit="1" customWidth="1"/>
    <col min="12193" max="12204" width="10.5703125" style="1" customWidth="1"/>
    <col min="12205" max="12205" width="11.140625" style="1" bestFit="1" customWidth="1"/>
    <col min="12206" max="12206" width="2.7109375" style="1" customWidth="1"/>
    <col min="12207" max="12207" width="9.85546875" style="1" bestFit="1" customWidth="1"/>
    <col min="12208" max="12209" width="9.140625" style="1"/>
    <col min="12210" max="12210" width="24" style="1" customWidth="1"/>
    <col min="12211" max="12213" width="9.140625" style="1"/>
    <col min="12214" max="12214" width="9" style="1" bestFit="1" customWidth="1"/>
    <col min="12215" max="12224" width="9.28515625" style="1" bestFit="1" customWidth="1"/>
    <col min="12225" max="12225" width="10.28515625" style="1" bestFit="1" customWidth="1"/>
    <col min="12226" max="12226" width="11.28515625" style="1" bestFit="1" customWidth="1"/>
    <col min="12227" max="12227" width="11.7109375" style="1" customWidth="1"/>
    <col min="12228" max="12228" width="9.140625" style="1"/>
    <col min="12229" max="12229" width="22.28515625" style="1" customWidth="1"/>
    <col min="12230" max="12230" width="9.140625" style="1"/>
    <col min="12231" max="12231" width="9.28515625" style="1" bestFit="1" customWidth="1"/>
    <col min="12232" max="12232" width="9.42578125" style="1" bestFit="1" customWidth="1"/>
    <col min="12233" max="12233" width="9.28515625" style="1" bestFit="1" customWidth="1"/>
    <col min="12234" max="12234" width="10.28515625" style="1" bestFit="1" customWidth="1"/>
    <col min="12235" max="12236" width="9.28515625" style="1" bestFit="1" customWidth="1"/>
    <col min="12237" max="12238" width="10.28515625" style="1" bestFit="1" customWidth="1"/>
    <col min="12239" max="12243" width="9.28515625" style="1" bestFit="1" customWidth="1"/>
    <col min="12244" max="12244" width="10.42578125" style="1" bestFit="1" customWidth="1"/>
    <col min="12245" max="12245" width="9.140625" style="1"/>
    <col min="12246" max="12246" width="24.85546875" style="1" customWidth="1"/>
    <col min="12247" max="12247" width="9.140625" style="1"/>
    <col min="12248" max="12260" width="9.28515625" style="1" bestFit="1" customWidth="1"/>
    <col min="12261" max="12261" width="10.28515625" style="1" bestFit="1" customWidth="1"/>
    <col min="12262" max="12262" width="9.5703125" style="1" bestFit="1" customWidth="1"/>
    <col min="12263" max="12263" width="18.5703125" style="1" customWidth="1"/>
    <col min="12264" max="12265" width="9.140625" style="1"/>
    <col min="12266" max="12268" width="12.140625" style="1" bestFit="1" customWidth="1"/>
    <col min="12269" max="12277" width="10.28515625" style="1" bestFit="1" customWidth="1"/>
    <col min="12278" max="12278" width="11.28515625" style="1" bestFit="1" customWidth="1"/>
    <col min="12279" max="12279" width="9.140625" style="1"/>
    <col min="12280" max="12280" width="19" style="1" customWidth="1"/>
    <col min="12281" max="12297" width="9.140625" style="1"/>
    <col min="12298" max="12308" width="11.28515625" style="1" bestFit="1" customWidth="1"/>
    <col min="12309" max="12309" width="10.28515625" style="1" bestFit="1" customWidth="1"/>
    <col min="12310" max="12310" width="12.85546875" style="1" bestFit="1" customWidth="1"/>
    <col min="12311" max="12433" width="9.140625" style="1"/>
    <col min="12434" max="12434" width="11" style="1" bestFit="1" customWidth="1"/>
    <col min="12435" max="12435" width="28.140625" style="1" bestFit="1" customWidth="1"/>
    <col min="12436" max="12436" width="14" style="1" bestFit="1" customWidth="1"/>
    <col min="12437" max="12437" width="9.140625" style="1"/>
    <col min="12438" max="12438" width="13.85546875" style="1" bestFit="1" customWidth="1"/>
    <col min="12439" max="12439" width="9.140625" style="1"/>
    <col min="12440" max="12440" width="14" style="1" customWidth="1"/>
    <col min="12441" max="12441" width="9.140625" style="1"/>
    <col min="12442" max="12442" width="12.85546875" style="1" bestFit="1" customWidth="1"/>
    <col min="12443" max="12443" width="10" style="1" customWidth="1"/>
    <col min="12444" max="12444" width="14" style="1" bestFit="1" customWidth="1"/>
    <col min="12445" max="12445" width="9.85546875" style="1" bestFit="1" customWidth="1"/>
    <col min="12446" max="12446" width="13.5703125" style="1" bestFit="1" customWidth="1"/>
    <col min="12447" max="12447" width="9.85546875" style="1" bestFit="1" customWidth="1"/>
    <col min="12448" max="12448" width="12.85546875" style="1" bestFit="1" customWidth="1"/>
    <col min="12449" max="12460" width="10.5703125" style="1" customWidth="1"/>
    <col min="12461" max="12461" width="11.140625" style="1" bestFit="1" customWidth="1"/>
    <col min="12462" max="12462" width="2.7109375" style="1" customWidth="1"/>
    <col min="12463" max="12463" width="9.85546875" style="1" bestFit="1" customWidth="1"/>
    <col min="12464" max="12465" width="9.140625" style="1"/>
    <col min="12466" max="12466" width="24" style="1" customWidth="1"/>
    <col min="12467" max="12469" width="9.140625" style="1"/>
    <col min="12470" max="12470" width="9" style="1" bestFit="1" customWidth="1"/>
    <col min="12471" max="12480" width="9.28515625" style="1" bestFit="1" customWidth="1"/>
    <col min="12481" max="12481" width="10.28515625" style="1" bestFit="1" customWidth="1"/>
    <col min="12482" max="12482" width="11.28515625" style="1" bestFit="1" customWidth="1"/>
    <col min="12483" max="12483" width="11.7109375" style="1" customWidth="1"/>
    <col min="12484" max="12484" width="9.140625" style="1"/>
    <col min="12485" max="12485" width="22.28515625" style="1" customWidth="1"/>
    <col min="12486" max="12486" width="9.140625" style="1"/>
    <col min="12487" max="12487" width="9.28515625" style="1" bestFit="1" customWidth="1"/>
    <col min="12488" max="12488" width="9.42578125" style="1" bestFit="1" customWidth="1"/>
    <col min="12489" max="12489" width="9.28515625" style="1" bestFit="1" customWidth="1"/>
    <col min="12490" max="12490" width="10.28515625" style="1" bestFit="1" customWidth="1"/>
    <col min="12491" max="12492" width="9.28515625" style="1" bestFit="1" customWidth="1"/>
    <col min="12493" max="12494" width="10.28515625" style="1" bestFit="1" customWidth="1"/>
    <col min="12495" max="12499" width="9.28515625" style="1" bestFit="1" customWidth="1"/>
    <col min="12500" max="12500" width="10.42578125" style="1" bestFit="1" customWidth="1"/>
    <col min="12501" max="12501" width="9.140625" style="1"/>
    <col min="12502" max="12502" width="24.85546875" style="1" customWidth="1"/>
    <col min="12503" max="12503" width="9.140625" style="1"/>
    <col min="12504" max="12516" width="9.28515625" style="1" bestFit="1" customWidth="1"/>
    <col min="12517" max="12517" width="10.28515625" style="1" bestFit="1" customWidth="1"/>
    <col min="12518" max="12518" width="9.5703125" style="1" bestFit="1" customWidth="1"/>
    <col min="12519" max="12519" width="18.5703125" style="1" customWidth="1"/>
    <col min="12520" max="12521" width="9.140625" style="1"/>
    <col min="12522" max="12524" width="12.140625" style="1" bestFit="1" customWidth="1"/>
    <col min="12525" max="12533" width="10.28515625" style="1" bestFit="1" customWidth="1"/>
    <col min="12534" max="12534" width="11.28515625" style="1" bestFit="1" customWidth="1"/>
    <col min="12535" max="12535" width="9.140625" style="1"/>
    <col min="12536" max="12536" width="19" style="1" customWidth="1"/>
    <col min="12537" max="12553" width="9.140625" style="1"/>
    <col min="12554" max="12564" width="11.28515625" style="1" bestFit="1" customWidth="1"/>
    <col min="12565" max="12565" width="10.28515625" style="1" bestFit="1" customWidth="1"/>
    <col min="12566" max="12566" width="12.85546875" style="1" bestFit="1" customWidth="1"/>
    <col min="12567" max="12689" width="9.140625" style="1"/>
    <col min="12690" max="12690" width="11" style="1" bestFit="1" customWidth="1"/>
    <col min="12691" max="12691" width="28.140625" style="1" bestFit="1" customWidth="1"/>
    <col min="12692" max="12692" width="14" style="1" bestFit="1" customWidth="1"/>
    <col min="12693" max="12693" width="9.140625" style="1"/>
    <col min="12694" max="12694" width="13.85546875" style="1" bestFit="1" customWidth="1"/>
    <col min="12695" max="12695" width="9.140625" style="1"/>
    <col min="12696" max="12696" width="14" style="1" customWidth="1"/>
    <col min="12697" max="12697" width="9.140625" style="1"/>
    <col min="12698" max="12698" width="12.85546875" style="1" bestFit="1" customWidth="1"/>
    <col min="12699" max="12699" width="10" style="1" customWidth="1"/>
    <col min="12700" max="12700" width="14" style="1" bestFit="1" customWidth="1"/>
    <col min="12701" max="12701" width="9.85546875" style="1" bestFit="1" customWidth="1"/>
    <col min="12702" max="12702" width="13.5703125" style="1" bestFit="1" customWidth="1"/>
    <col min="12703" max="12703" width="9.85546875" style="1" bestFit="1" customWidth="1"/>
    <col min="12704" max="12704" width="12.85546875" style="1" bestFit="1" customWidth="1"/>
    <col min="12705" max="12716" width="10.5703125" style="1" customWidth="1"/>
    <col min="12717" max="12717" width="11.140625" style="1" bestFit="1" customWidth="1"/>
    <col min="12718" max="12718" width="2.7109375" style="1" customWidth="1"/>
    <col min="12719" max="12719" width="9.85546875" style="1" bestFit="1" customWidth="1"/>
    <col min="12720" max="12721" width="9.140625" style="1"/>
    <col min="12722" max="12722" width="24" style="1" customWidth="1"/>
    <col min="12723" max="12725" width="9.140625" style="1"/>
    <col min="12726" max="12726" width="9" style="1" bestFit="1" customWidth="1"/>
    <col min="12727" max="12736" width="9.28515625" style="1" bestFit="1" customWidth="1"/>
    <col min="12737" max="12737" width="10.28515625" style="1" bestFit="1" customWidth="1"/>
    <col min="12738" max="12738" width="11.28515625" style="1" bestFit="1" customWidth="1"/>
    <col min="12739" max="12739" width="11.7109375" style="1" customWidth="1"/>
    <col min="12740" max="12740" width="9.140625" style="1"/>
    <col min="12741" max="12741" width="22.28515625" style="1" customWidth="1"/>
    <col min="12742" max="12742" width="9.140625" style="1"/>
    <col min="12743" max="12743" width="9.28515625" style="1" bestFit="1" customWidth="1"/>
    <col min="12744" max="12744" width="9.42578125" style="1" bestFit="1" customWidth="1"/>
    <col min="12745" max="12745" width="9.28515625" style="1" bestFit="1" customWidth="1"/>
    <col min="12746" max="12746" width="10.28515625" style="1" bestFit="1" customWidth="1"/>
    <col min="12747" max="12748" width="9.28515625" style="1" bestFit="1" customWidth="1"/>
    <col min="12749" max="12750" width="10.28515625" style="1" bestFit="1" customWidth="1"/>
    <col min="12751" max="12755" width="9.28515625" style="1" bestFit="1" customWidth="1"/>
    <col min="12756" max="12756" width="10.42578125" style="1" bestFit="1" customWidth="1"/>
    <col min="12757" max="12757" width="9.140625" style="1"/>
    <col min="12758" max="12758" width="24.85546875" style="1" customWidth="1"/>
    <col min="12759" max="12759" width="9.140625" style="1"/>
    <col min="12760" max="12772" width="9.28515625" style="1" bestFit="1" customWidth="1"/>
    <col min="12773" max="12773" width="10.28515625" style="1" bestFit="1" customWidth="1"/>
    <col min="12774" max="12774" width="9.5703125" style="1" bestFit="1" customWidth="1"/>
    <col min="12775" max="12775" width="18.5703125" style="1" customWidth="1"/>
    <col min="12776" max="12777" width="9.140625" style="1"/>
    <col min="12778" max="12780" width="12.140625" style="1" bestFit="1" customWidth="1"/>
    <col min="12781" max="12789" width="10.28515625" style="1" bestFit="1" customWidth="1"/>
    <col min="12790" max="12790" width="11.28515625" style="1" bestFit="1" customWidth="1"/>
    <col min="12791" max="12791" width="9.140625" style="1"/>
    <col min="12792" max="12792" width="19" style="1" customWidth="1"/>
    <col min="12793" max="12809" width="9.140625" style="1"/>
    <col min="12810" max="12820" width="11.28515625" style="1" bestFit="1" customWidth="1"/>
    <col min="12821" max="12821" width="10.28515625" style="1" bestFit="1" customWidth="1"/>
    <col min="12822" max="12822" width="12.85546875" style="1" bestFit="1" customWidth="1"/>
    <col min="12823" max="12945" width="9.140625" style="1"/>
    <col min="12946" max="12946" width="11" style="1" bestFit="1" customWidth="1"/>
    <col min="12947" max="12947" width="28.140625" style="1" bestFit="1" customWidth="1"/>
    <col min="12948" max="12948" width="14" style="1" bestFit="1" customWidth="1"/>
    <col min="12949" max="12949" width="9.140625" style="1"/>
    <col min="12950" max="12950" width="13.85546875" style="1" bestFit="1" customWidth="1"/>
    <col min="12951" max="12951" width="9.140625" style="1"/>
    <col min="12952" max="12952" width="14" style="1" customWidth="1"/>
    <col min="12953" max="12953" width="9.140625" style="1"/>
    <col min="12954" max="12954" width="12.85546875" style="1" bestFit="1" customWidth="1"/>
    <col min="12955" max="12955" width="10" style="1" customWidth="1"/>
    <col min="12956" max="12956" width="14" style="1" bestFit="1" customWidth="1"/>
    <col min="12957" max="12957" width="9.85546875" style="1" bestFit="1" customWidth="1"/>
    <col min="12958" max="12958" width="13.5703125" style="1" bestFit="1" customWidth="1"/>
    <col min="12959" max="12959" width="9.85546875" style="1" bestFit="1" customWidth="1"/>
    <col min="12960" max="12960" width="12.85546875" style="1" bestFit="1" customWidth="1"/>
    <col min="12961" max="12972" width="10.5703125" style="1" customWidth="1"/>
    <col min="12973" max="12973" width="11.140625" style="1" bestFit="1" customWidth="1"/>
    <col min="12974" max="12974" width="2.7109375" style="1" customWidth="1"/>
    <col min="12975" max="12975" width="9.85546875" style="1" bestFit="1" customWidth="1"/>
    <col min="12976" max="12977" width="9.140625" style="1"/>
    <col min="12978" max="12978" width="24" style="1" customWidth="1"/>
    <col min="12979" max="12981" width="9.140625" style="1"/>
    <col min="12982" max="12982" width="9" style="1" bestFit="1" customWidth="1"/>
    <col min="12983" max="12992" width="9.28515625" style="1" bestFit="1" customWidth="1"/>
    <col min="12993" max="12993" width="10.28515625" style="1" bestFit="1" customWidth="1"/>
    <col min="12994" max="12994" width="11.28515625" style="1" bestFit="1" customWidth="1"/>
    <col min="12995" max="12995" width="11.7109375" style="1" customWidth="1"/>
    <col min="12996" max="12996" width="9.140625" style="1"/>
    <col min="12997" max="12997" width="22.28515625" style="1" customWidth="1"/>
    <col min="12998" max="12998" width="9.140625" style="1"/>
    <col min="12999" max="12999" width="9.28515625" style="1" bestFit="1" customWidth="1"/>
    <col min="13000" max="13000" width="9.42578125" style="1" bestFit="1" customWidth="1"/>
    <col min="13001" max="13001" width="9.28515625" style="1" bestFit="1" customWidth="1"/>
    <col min="13002" max="13002" width="10.28515625" style="1" bestFit="1" customWidth="1"/>
    <col min="13003" max="13004" width="9.28515625" style="1" bestFit="1" customWidth="1"/>
    <col min="13005" max="13006" width="10.28515625" style="1" bestFit="1" customWidth="1"/>
    <col min="13007" max="13011" width="9.28515625" style="1" bestFit="1" customWidth="1"/>
    <col min="13012" max="13012" width="10.42578125" style="1" bestFit="1" customWidth="1"/>
    <col min="13013" max="13013" width="9.140625" style="1"/>
    <col min="13014" max="13014" width="24.85546875" style="1" customWidth="1"/>
    <col min="13015" max="13015" width="9.140625" style="1"/>
    <col min="13016" max="13028" width="9.28515625" style="1" bestFit="1" customWidth="1"/>
    <col min="13029" max="13029" width="10.28515625" style="1" bestFit="1" customWidth="1"/>
    <col min="13030" max="13030" width="9.5703125" style="1" bestFit="1" customWidth="1"/>
    <col min="13031" max="13031" width="18.5703125" style="1" customWidth="1"/>
    <col min="13032" max="13033" width="9.140625" style="1"/>
    <col min="13034" max="13036" width="12.140625" style="1" bestFit="1" customWidth="1"/>
    <col min="13037" max="13045" width="10.28515625" style="1" bestFit="1" customWidth="1"/>
    <col min="13046" max="13046" width="11.28515625" style="1" bestFit="1" customWidth="1"/>
    <col min="13047" max="13047" width="9.140625" style="1"/>
    <col min="13048" max="13048" width="19" style="1" customWidth="1"/>
    <col min="13049" max="13065" width="9.140625" style="1"/>
    <col min="13066" max="13076" width="11.28515625" style="1" bestFit="1" customWidth="1"/>
    <col min="13077" max="13077" width="10.28515625" style="1" bestFit="1" customWidth="1"/>
    <col min="13078" max="13078" width="12.85546875" style="1" bestFit="1" customWidth="1"/>
    <col min="13079" max="13201" width="9.140625" style="1"/>
    <col min="13202" max="13202" width="11" style="1" bestFit="1" customWidth="1"/>
    <col min="13203" max="13203" width="28.140625" style="1" bestFit="1" customWidth="1"/>
    <col min="13204" max="13204" width="14" style="1" bestFit="1" customWidth="1"/>
    <col min="13205" max="13205" width="9.140625" style="1"/>
    <col min="13206" max="13206" width="13.85546875" style="1" bestFit="1" customWidth="1"/>
    <col min="13207" max="13207" width="9.140625" style="1"/>
    <col min="13208" max="13208" width="14" style="1" customWidth="1"/>
    <col min="13209" max="13209" width="9.140625" style="1"/>
    <col min="13210" max="13210" width="12.85546875" style="1" bestFit="1" customWidth="1"/>
    <col min="13211" max="13211" width="10" style="1" customWidth="1"/>
    <col min="13212" max="13212" width="14" style="1" bestFit="1" customWidth="1"/>
    <col min="13213" max="13213" width="9.85546875" style="1" bestFit="1" customWidth="1"/>
    <col min="13214" max="13214" width="13.5703125" style="1" bestFit="1" customWidth="1"/>
    <col min="13215" max="13215" width="9.85546875" style="1" bestFit="1" customWidth="1"/>
    <col min="13216" max="13216" width="12.85546875" style="1" bestFit="1" customWidth="1"/>
    <col min="13217" max="13228" width="10.5703125" style="1" customWidth="1"/>
    <col min="13229" max="13229" width="11.140625" style="1" bestFit="1" customWidth="1"/>
    <col min="13230" max="13230" width="2.7109375" style="1" customWidth="1"/>
    <col min="13231" max="13231" width="9.85546875" style="1" bestFit="1" customWidth="1"/>
    <col min="13232" max="13233" width="9.140625" style="1"/>
    <col min="13234" max="13234" width="24" style="1" customWidth="1"/>
    <col min="13235" max="13237" width="9.140625" style="1"/>
    <col min="13238" max="13238" width="9" style="1" bestFit="1" customWidth="1"/>
    <col min="13239" max="13248" width="9.28515625" style="1" bestFit="1" customWidth="1"/>
    <col min="13249" max="13249" width="10.28515625" style="1" bestFit="1" customWidth="1"/>
    <col min="13250" max="13250" width="11.28515625" style="1" bestFit="1" customWidth="1"/>
    <col min="13251" max="13251" width="11.7109375" style="1" customWidth="1"/>
    <col min="13252" max="13252" width="9.140625" style="1"/>
    <col min="13253" max="13253" width="22.28515625" style="1" customWidth="1"/>
    <col min="13254" max="13254" width="9.140625" style="1"/>
    <col min="13255" max="13255" width="9.28515625" style="1" bestFit="1" customWidth="1"/>
    <col min="13256" max="13256" width="9.42578125" style="1" bestFit="1" customWidth="1"/>
    <col min="13257" max="13257" width="9.28515625" style="1" bestFit="1" customWidth="1"/>
    <col min="13258" max="13258" width="10.28515625" style="1" bestFit="1" customWidth="1"/>
    <col min="13259" max="13260" width="9.28515625" style="1" bestFit="1" customWidth="1"/>
    <col min="13261" max="13262" width="10.28515625" style="1" bestFit="1" customWidth="1"/>
    <col min="13263" max="13267" width="9.28515625" style="1" bestFit="1" customWidth="1"/>
    <col min="13268" max="13268" width="10.42578125" style="1" bestFit="1" customWidth="1"/>
    <col min="13269" max="13269" width="9.140625" style="1"/>
    <col min="13270" max="13270" width="24.85546875" style="1" customWidth="1"/>
    <col min="13271" max="13271" width="9.140625" style="1"/>
    <col min="13272" max="13284" width="9.28515625" style="1" bestFit="1" customWidth="1"/>
    <col min="13285" max="13285" width="10.28515625" style="1" bestFit="1" customWidth="1"/>
    <col min="13286" max="13286" width="9.5703125" style="1" bestFit="1" customWidth="1"/>
    <col min="13287" max="13287" width="18.5703125" style="1" customWidth="1"/>
    <col min="13288" max="13289" width="9.140625" style="1"/>
    <col min="13290" max="13292" width="12.140625" style="1" bestFit="1" customWidth="1"/>
    <col min="13293" max="13301" width="10.28515625" style="1" bestFit="1" customWidth="1"/>
    <col min="13302" max="13302" width="11.28515625" style="1" bestFit="1" customWidth="1"/>
    <col min="13303" max="13303" width="9.140625" style="1"/>
    <col min="13304" max="13304" width="19" style="1" customWidth="1"/>
    <col min="13305" max="13321" width="9.140625" style="1"/>
    <col min="13322" max="13332" width="11.28515625" style="1" bestFit="1" customWidth="1"/>
    <col min="13333" max="13333" width="10.28515625" style="1" bestFit="1" customWidth="1"/>
    <col min="13334" max="13334" width="12.85546875" style="1" bestFit="1" customWidth="1"/>
    <col min="13335" max="13457" width="9.140625" style="1"/>
    <col min="13458" max="13458" width="11" style="1" bestFit="1" customWidth="1"/>
    <col min="13459" max="13459" width="28.140625" style="1" bestFit="1" customWidth="1"/>
    <col min="13460" max="13460" width="14" style="1" bestFit="1" customWidth="1"/>
    <col min="13461" max="13461" width="9.140625" style="1"/>
    <col min="13462" max="13462" width="13.85546875" style="1" bestFit="1" customWidth="1"/>
    <col min="13463" max="13463" width="9.140625" style="1"/>
    <col min="13464" max="13464" width="14" style="1" customWidth="1"/>
    <col min="13465" max="13465" width="9.140625" style="1"/>
    <col min="13466" max="13466" width="12.85546875" style="1" bestFit="1" customWidth="1"/>
    <col min="13467" max="13467" width="10" style="1" customWidth="1"/>
    <col min="13468" max="13468" width="14" style="1" bestFit="1" customWidth="1"/>
    <col min="13469" max="13469" width="9.85546875" style="1" bestFit="1" customWidth="1"/>
    <col min="13470" max="13470" width="13.5703125" style="1" bestFit="1" customWidth="1"/>
    <col min="13471" max="13471" width="9.85546875" style="1" bestFit="1" customWidth="1"/>
    <col min="13472" max="13472" width="12.85546875" style="1" bestFit="1" customWidth="1"/>
    <col min="13473" max="13484" width="10.5703125" style="1" customWidth="1"/>
    <col min="13485" max="13485" width="11.140625" style="1" bestFit="1" customWidth="1"/>
    <col min="13486" max="13486" width="2.7109375" style="1" customWidth="1"/>
    <col min="13487" max="13487" width="9.85546875" style="1" bestFit="1" customWidth="1"/>
    <col min="13488" max="13489" width="9.140625" style="1"/>
    <col min="13490" max="13490" width="24" style="1" customWidth="1"/>
    <col min="13491" max="13493" width="9.140625" style="1"/>
    <col min="13494" max="13494" width="9" style="1" bestFit="1" customWidth="1"/>
    <col min="13495" max="13504" width="9.28515625" style="1" bestFit="1" customWidth="1"/>
    <col min="13505" max="13505" width="10.28515625" style="1" bestFit="1" customWidth="1"/>
    <col min="13506" max="13506" width="11.28515625" style="1" bestFit="1" customWidth="1"/>
    <col min="13507" max="13507" width="11.7109375" style="1" customWidth="1"/>
    <col min="13508" max="13508" width="9.140625" style="1"/>
    <col min="13509" max="13509" width="22.28515625" style="1" customWidth="1"/>
    <col min="13510" max="13510" width="9.140625" style="1"/>
    <col min="13511" max="13511" width="9.28515625" style="1" bestFit="1" customWidth="1"/>
    <col min="13512" max="13512" width="9.42578125" style="1" bestFit="1" customWidth="1"/>
    <col min="13513" max="13513" width="9.28515625" style="1" bestFit="1" customWidth="1"/>
    <col min="13514" max="13514" width="10.28515625" style="1" bestFit="1" customWidth="1"/>
    <col min="13515" max="13516" width="9.28515625" style="1" bestFit="1" customWidth="1"/>
    <col min="13517" max="13518" width="10.28515625" style="1" bestFit="1" customWidth="1"/>
    <col min="13519" max="13523" width="9.28515625" style="1" bestFit="1" customWidth="1"/>
    <col min="13524" max="13524" width="10.42578125" style="1" bestFit="1" customWidth="1"/>
    <col min="13525" max="13525" width="9.140625" style="1"/>
    <col min="13526" max="13526" width="24.85546875" style="1" customWidth="1"/>
    <col min="13527" max="13527" width="9.140625" style="1"/>
    <col min="13528" max="13540" width="9.28515625" style="1" bestFit="1" customWidth="1"/>
    <col min="13541" max="13541" width="10.28515625" style="1" bestFit="1" customWidth="1"/>
    <col min="13542" max="13542" width="9.5703125" style="1" bestFit="1" customWidth="1"/>
    <col min="13543" max="13543" width="18.5703125" style="1" customWidth="1"/>
    <col min="13544" max="13545" width="9.140625" style="1"/>
    <col min="13546" max="13548" width="12.140625" style="1" bestFit="1" customWidth="1"/>
    <col min="13549" max="13557" width="10.28515625" style="1" bestFit="1" customWidth="1"/>
    <col min="13558" max="13558" width="11.28515625" style="1" bestFit="1" customWidth="1"/>
    <col min="13559" max="13559" width="9.140625" style="1"/>
    <col min="13560" max="13560" width="19" style="1" customWidth="1"/>
    <col min="13561" max="13577" width="9.140625" style="1"/>
    <col min="13578" max="13588" width="11.28515625" style="1" bestFit="1" customWidth="1"/>
    <col min="13589" max="13589" width="10.28515625" style="1" bestFit="1" customWidth="1"/>
    <col min="13590" max="13590" width="12.85546875" style="1" bestFit="1" customWidth="1"/>
    <col min="13591" max="13713" width="9.140625" style="1"/>
    <col min="13714" max="13714" width="11" style="1" bestFit="1" customWidth="1"/>
    <col min="13715" max="13715" width="28.140625" style="1" bestFit="1" customWidth="1"/>
    <col min="13716" max="13716" width="14" style="1" bestFit="1" customWidth="1"/>
    <col min="13717" max="13717" width="9.140625" style="1"/>
    <col min="13718" max="13718" width="13.85546875" style="1" bestFit="1" customWidth="1"/>
    <col min="13719" max="13719" width="9.140625" style="1"/>
    <col min="13720" max="13720" width="14" style="1" customWidth="1"/>
    <col min="13721" max="13721" width="9.140625" style="1"/>
    <col min="13722" max="13722" width="12.85546875" style="1" bestFit="1" customWidth="1"/>
    <col min="13723" max="13723" width="10" style="1" customWidth="1"/>
    <col min="13724" max="13724" width="14" style="1" bestFit="1" customWidth="1"/>
    <col min="13725" max="13725" width="9.85546875" style="1" bestFit="1" customWidth="1"/>
    <col min="13726" max="13726" width="13.5703125" style="1" bestFit="1" customWidth="1"/>
    <col min="13727" max="13727" width="9.85546875" style="1" bestFit="1" customWidth="1"/>
    <col min="13728" max="13728" width="12.85546875" style="1" bestFit="1" customWidth="1"/>
    <col min="13729" max="13740" width="10.5703125" style="1" customWidth="1"/>
    <col min="13741" max="13741" width="11.140625" style="1" bestFit="1" customWidth="1"/>
    <col min="13742" max="13742" width="2.7109375" style="1" customWidth="1"/>
    <col min="13743" max="13743" width="9.85546875" style="1" bestFit="1" customWidth="1"/>
    <col min="13744" max="13745" width="9.140625" style="1"/>
    <col min="13746" max="13746" width="24" style="1" customWidth="1"/>
    <col min="13747" max="13749" width="9.140625" style="1"/>
    <col min="13750" max="13750" width="9" style="1" bestFit="1" customWidth="1"/>
    <col min="13751" max="13760" width="9.28515625" style="1" bestFit="1" customWidth="1"/>
    <col min="13761" max="13761" width="10.28515625" style="1" bestFit="1" customWidth="1"/>
    <col min="13762" max="13762" width="11.28515625" style="1" bestFit="1" customWidth="1"/>
    <col min="13763" max="13763" width="11.7109375" style="1" customWidth="1"/>
    <col min="13764" max="13764" width="9.140625" style="1"/>
    <col min="13765" max="13765" width="22.28515625" style="1" customWidth="1"/>
    <col min="13766" max="13766" width="9.140625" style="1"/>
    <col min="13767" max="13767" width="9.28515625" style="1" bestFit="1" customWidth="1"/>
    <col min="13768" max="13768" width="9.42578125" style="1" bestFit="1" customWidth="1"/>
    <col min="13769" max="13769" width="9.28515625" style="1" bestFit="1" customWidth="1"/>
    <col min="13770" max="13770" width="10.28515625" style="1" bestFit="1" customWidth="1"/>
    <col min="13771" max="13772" width="9.28515625" style="1" bestFit="1" customWidth="1"/>
    <col min="13773" max="13774" width="10.28515625" style="1" bestFit="1" customWidth="1"/>
    <col min="13775" max="13779" width="9.28515625" style="1" bestFit="1" customWidth="1"/>
    <col min="13780" max="13780" width="10.42578125" style="1" bestFit="1" customWidth="1"/>
    <col min="13781" max="13781" width="9.140625" style="1"/>
    <col min="13782" max="13782" width="24.85546875" style="1" customWidth="1"/>
    <col min="13783" max="13783" width="9.140625" style="1"/>
    <col min="13784" max="13796" width="9.28515625" style="1" bestFit="1" customWidth="1"/>
    <col min="13797" max="13797" width="10.28515625" style="1" bestFit="1" customWidth="1"/>
    <col min="13798" max="13798" width="9.5703125" style="1" bestFit="1" customWidth="1"/>
    <col min="13799" max="13799" width="18.5703125" style="1" customWidth="1"/>
    <col min="13800" max="13801" width="9.140625" style="1"/>
    <col min="13802" max="13804" width="12.140625" style="1" bestFit="1" customWidth="1"/>
    <col min="13805" max="13813" width="10.28515625" style="1" bestFit="1" customWidth="1"/>
    <col min="13814" max="13814" width="11.28515625" style="1" bestFit="1" customWidth="1"/>
    <col min="13815" max="13815" width="9.140625" style="1"/>
    <col min="13816" max="13816" width="19" style="1" customWidth="1"/>
    <col min="13817" max="13833" width="9.140625" style="1"/>
    <col min="13834" max="13844" width="11.28515625" style="1" bestFit="1" customWidth="1"/>
    <col min="13845" max="13845" width="10.28515625" style="1" bestFit="1" customWidth="1"/>
    <col min="13846" max="13846" width="12.85546875" style="1" bestFit="1" customWidth="1"/>
    <col min="13847" max="13969" width="9.140625" style="1"/>
    <col min="13970" max="13970" width="11" style="1" bestFit="1" customWidth="1"/>
    <col min="13971" max="13971" width="28.140625" style="1" bestFit="1" customWidth="1"/>
    <col min="13972" max="13972" width="14" style="1" bestFit="1" customWidth="1"/>
    <col min="13973" max="13973" width="9.140625" style="1"/>
    <col min="13974" max="13974" width="13.85546875" style="1" bestFit="1" customWidth="1"/>
    <col min="13975" max="13975" width="9.140625" style="1"/>
    <col min="13976" max="13976" width="14" style="1" customWidth="1"/>
    <col min="13977" max="13977" width="9.140625" style="1"/>
    <col min="13978" max="13978" width="12.85546875" style="1" bestFit="1" customWidth="1"/>
    <col min="13979" max="13979" width="10" style="1" customWidth="1"/>
    <col min="13980" max="13980" width="14" style="1" bestFit="1" customWidth="1"/>
    <col min="13981" max="13981" width="9.85546875" style="1" bestFit="1" customWidth="1"/>
    <col min="13982" max="13982" width="13.5703125" style="1" bestFit="1" customWidth="1"/>
    <col min="13983" max="13983" width="9.85546875" style="1" bestFit="1" customWidth="1"/>
    <col min="13984" max="13984" width="12.85546875" style="1" bestFit="1" customWidth="1"/>
    <col min="13985" max="13996" width="10.5703125" style="1" customWidth="1"/>
    <col min="13997" max="13997" width="11.140625" style="1" bestFit="1" customWidth="1"/>
    <col min="13998" max="13998" width="2.7109375" style="1" customWidth="1"/>
    <col min="13999" max="13999" width="9.85546875" style="1" bestFit="1" customWidth="1"/>
    <col min="14000" max="14001" width="9.140625" style="1"/>
    <col min="14002" max="14002" width="24" style="1" customWidth="1"/>
    <col min="14003" max="14005" width="9.140625" style="1"/>
    <col min="14006" max="14006" width="9" style="1" bestFit="1" customWidth="1"/>
    <col min="14007" max="14016" width="9.28515625" style="1" bestFit="1" customWidth="1"/>
    <col min="14017" max="14017" width="10.28515625" style="1" bestFit="1" customWidth="1"/>
    <col min="14018" max="14018" width="11.28515625" style="1" bestFit="1" customWidth="1"/>
    <col min="14019" max="14019" width="11.7109375" style="1" customWidth="1"/>
    <col min="14020" max="14020" width="9.140625" style="1"/>
    <col min="14021" max="14021" width="22.28515625" style="1" customWidth="1"/>
    <col min="14022" max="14022" width="9.140625" style="1"/>
    <col min="14023" max="14023" width="9.28515625" style="1" bestFit="1" customWidth="1"/>
    <col min="14024" max="14024" width="9.42578125" style="1" bestFit="1" customWidth="1"/>
    <col min="14025" max="14025" width="9.28515625" style="1" bestFit="1" customWidth="1"/>
    <col min="14026" max="14026" width="10.28515625" style="1" bestFit="1" customWidth="1"/>
    <col min="14027" max="14028" width="9.28515625" style="1" bestFit="1" customWidth="1"/>
    <col min="14029" max="14030" width="10.28515625" style="1" bestFit="1" customWidth="1"/>
    <col min="14031" max="14035" width="9.28515625" style="1" bestFit="1" customWidth="1"/>
    <col min="14036" max="14036" width="10.42578125" style="1" bestFit="1" customWidth="1"/>
    <col min="14037" max="14037" width="9.140625" style="1"/>
    <col min="14038" max="14038" width="24.85546875" style="1" customWidth="1"/>
    <col min="14039" max="14039" width="9.140625" style="1"/>
    <col min="14040" max="14052" width="9.28515625" style="1" bestFit="1" customWidth="1"/>
    <col min="14053" max="14053" width="10.28515625" style="1" bestFit="1" customWidth="1"/>
    <col min="14054" max="14054" width="9.5703125" style="1" bestFit="1" customWidth="1"/>
    <col min="14055" max="14055" width="18.5703125" style="1" customWidth="1"/>
    <col min="14056" max="14057" width="9.140625" style="1"/>
    <col min="14058" max="14060" width="12.140625" style="1" bestFit="1" customWidth="1"/>
    <col min="14061" max="14069" width="10.28515625" style="1" bestFit="1" customWidth="1"/>
    <col min="14070" max="14070" width="11.28515625" style="1" bestFit="1" customWidth="1"/>
    <col min="14071" max="14071" width="9.140625" style="1"/>
    <col min="14072" max="14072" width="19" style="1" customWidth="1"/>
    <col min="14073" max="14089" width="9.140625" style="1"/>
    <col min="14090" max="14100" width="11.28515625" style="1" bestFit="1" customWidth="1"/>
    <col min="14101" max="14101" width="10.28515625" style="1" bestFit="1" customWidth="1"/>
    <col min="14102" max="14102" width="12.85546875" style="1" bestFit="1" customWidth="1"/>
    <col min="14103" max="14225" width="9.140625" style="1"/>
    <col min="14226" max="14226" width="11" style="1" bestFit="1" customWidth="1"/>
    <col min="14227" max="14227" width="28.140625" style="1" bestFit="1" customWidth="1"/>
    <col min="14228" max="14228" width="14" style="1" bestFit="1" customWidth="1"/>
    <col min="14229" max="14229" width="9.140625" style="1"/>
    <col min="14230" max="14230" width="13.85546875" style="1" bestFit="1" customWidth="1"/>
    <col min="14231" max="14231" width="9.140625" style="1"/>
    <col min="14232" max="14232" width="14" style="1" customWidth="1"/>
    <col min="14233" max="14233" width="9.140625" style="1"/>
    <col min="14234" max="14234" width="12.85546875" style="1" bestFit="1" customWidth="1"/>
    <col min="14235" max="14235" width="10" style="1" customWidth="1"/>
    <col min="14236" max="14236" width="14" style="1" bestFit="1" customWidth="1"/>
    <col min="14237" max="14237" width="9.85546875" style="1" bestFit="1" customWidth="1"/>
    <col min="14238" max="14238" width="13.5703125" style="1" bestFit="1" customWidth="1"/>
    <col min="14239" max="14239" width="9.85546875" style="1" bestFit="1" customWidth="1"/>
    <col min="14240" max="14240" width="12.85546875" style="1" bestFit="1" customWidth="1"/>
    <col min="14241" max="14252" width="10.5703125" style="1" customWidth="1"/>
    <col min="14253" max="14253" width="11.140625" style="1" bestFit="1" customWidth="1"/>
    <col min="14254" max="14254" width="2.7109375" style="1" customWidth="1"/>
    <col min="14255" max="14255" width="9.85546875" style="1" bestFit="1" customWidth="1"/>
    <col min="14256" max="14257" width="9.140625" style="1"/>
    <col min="14258" max="14258" width="24" style="1" customWidth="1"/>
    <col min="14259" max="14261" width="9.140625" style="1"/>
    <col min="14262" max="14262" width="9" style="1" bestFit="1" customWidth="1"/>
    <col min="14263" max="14272" width="9.28515625" style="1" bestFit="1" customWidth="1"/>
    <col min="14273" max="14273" width="10.28515625" style="1" bestFit="1" customWidth="1"/>
    <col min="14274" max="14274" width="11.28515625" style="1" bestFit="1" customWidth="1"/>
    <col min="14275" max="14275" width="11.7109375" style="1" customWidth="1"/>
    <col min="14276" max="14276" width="9.140625" style="1"/>
    <col min="14277" max="14277" width="22.28515625" style="1" customWidth="1"/>
    <col min="14278" max="14278" width="9.140625" style="1"/>
    <col min="14279" max="14279" width="9.28515625" style="1" bestFit="1" customWidth="1"/>
    <col min="14280" max="14280" width="9.42578125" style="1" bestFit="1" customWidth="1"/>
    <col min="14281" max="14281" width="9.28515625" style="1" bestFit="1" customWidth="1"/>
    <col min="14282" max="14282" width="10.28515625" style="1" bestFit="1" customWidth="1"/>
    <col min="14283" max="14284" width="9.28515625" style="1" bestFit="1" customWidth="1"/>
    <col min="14285" max="14286" width="10.28515625" style="1" bestFit="1" customWidth="1"/>
    <col min="14287" max="14291" width="9.28515625" style="1" bestFit="1" customWidth="1"/>
    <col min="14292" max="14292" width="10.42578125" style="1" bestFit="1" customWidth="1"/>
    <col min="14293" max="14293" width="9.140625" style="1"/>
    <col min="14294" max="14294" width="24.85546875" style="1" customWidth="1"/>
    <col min="14295" max="14295" width="9.140625" style="1"/>
    <col min="14296" max="14308" width="9.28515625" style="1" bestFit="1" customWidth="1"/>
    <col min="14309" max="14309" width="10.28515625" style="1" bestFit="1" customWidth="1"/>
    <col min="14310" max="14310" width="9.5703125" style="1" bestFit="1" customWidth="1"/>
    <col min="14311" max="14311" width="18.5703125" style="1" customWidth="1"/>
    <col min="14312" max="14313" width="9.140625" style="1"/>
    <col min="14314" max="14316" width="12.140625" style="1" bestFit="1" customWidth="1"/>
    <col min="14317" max="14325" width="10.28515625" style="1" bestFit="1" customWidth="1"/>
    <col min="14326" max="14326" width="11.28515625" style="1" bestFit="1" customWidth="1"/>
    <col min="14327" max="14327" width="9.140625" style="1"/>
    <col min="14328" max="14328" width="19" style="1" customWidth="1"/>
    <col min="14329" max="14345" width="9.140625" style="1"/>
    <col min="14346" max="14356" width="11.28515625" style="1" bestFit="1" customWidth="1"/>
    <col min="14357" max="14357" width="10.28515625" style="1" bestFit="1" customWidth="1"/>
    <col min="14358" max="14358" width="12.85546875" style="1" bestFit="1" customWidth="1"/>
    <col min="14359" max="14481" width="9.140625" style="1"/>
    <col min="14482" max="14482" width="11" style="1" bestFit="1" customWidth="1"/>
    <col min="14483" max="14483" width="28.140625" style="1" bestFit="1" customWidth="1"/>
    <col min="14484" max="14484" width="14" style="1" bestFit="1" customWidth="1"/>
    <col min="14485" max="14485" width="9.140625" style="1"/>
    <col min="14486" max="14486" width="13.85546875" style="1" bestFit="1" customWidth="1"/>
    <col min="14487" max="14487" width="9.140625" style="1"/>
    <col min="14488" max="14488" width="14" style="1" customWidth="1"/>
    <col min="14489" max="14489" width="9.140625" style="1"/>
    <col min="14490" max="14490" width="12.85546875" style="1" bestFit="1" customWidth="1"/>
    <col min="14491" max="14491" width="10" style="1" customWidth="1"/>
    <col min="14492" max="14492" width="14" style="1" bestFit="1" customWidth="1"/>
    <col min="14493" max="14493" width="9.85546875" style="1" bestFit="1" customWidth="1"/>
    <col min="14494" max="14494" width="13.5703125" style="1" bestFit="1" customWidth="1"/>
    <col min="14495" max="14495" width="9.85546875" style="1" bestFit="1" customWidth="1"/>
    <col min="14496" max="14496" width="12.85546875" style="1" bestFit="1" customWidth="1"/>
    <col min="14497" max="14508" width="10.5703125" style="1" customWidth="1"/>
    <col min="14509" max="14509" width="11.140625" style="1" bestFit="1" customWidth="1"/>
    <col min="14510" max="14510" width="2.7109375" style="1" customWidth="1"/>
    <col min="14511" max="14511" width="9.85546875" style="1" bestFit="1" customWidth="1"/>
    <col min="14512" max="14513" width="9.140625" style="1"/>
    <col min="14514" max="14514" width="24" style="1" customWidth="1"/>
    <col min="14515" max="14517" width="9.140625" style="1"/>
    <col min="14518" max="14518" width="9" style="1" bestFit="1" customWidth="1"/>
    <col min="14519" max="14528" width="9.28515625" style="1" bestFit="1" customWidth="1"/>
    <col min="14529" max="14529" width="10.28515625" style="1" bestFit="1" customWidth="1"/>
    <col min="14530" max="14530" width="11.28515625" style="1" bestFit="1" customWidth="1"/>
    <col min="14531" max="14531" width="11.7109375" style="1" customWidth="1"/>
    <col min="14532" max="14532" width="9.140625" style="1"/>
    <col min="14533" max="14533" width="22.28515625" style="1" customWidth="1"/>
    <col min="14534" max="14534" width="9.140625" style="1"/>
    <col min="14535" max="14535" width="9.28515625" style="1" bestFit="1" customWidth="1"/>
    <col min="14536" max="14536" width="9.42578125" style="1" bestFit="1" customWidth="1"/>
    <col min="14537" max="14537" width="9.28515625" style="1" bestFit="1" customWidth="1"/>
    <col min="14538" max="14538" width="10.28515625" style="1" bestFit="1" customWidth="1"/>
    <col min="14539" max="14540" width="9.28515625" style="1" bestFit="1" customWidth="1"/>
    <col min="14541" max="14542" width="10.28515625" style="1" bestFit="1" customWidth="1"/>
    <col min="14543" max="14547" width="9.28515625" style="1" bestFit="1" customWidth="1"/>
    <col min="14548" max="14548" width="10.42578125" style="1" bestFit="1" customWidth="1"/>
    <col min="14549" max="14549" width="9.140625" style="1"/>
    <col min="14550" max="14550" width="24.85546875" style="1" customWidth="1"/>
    <col min="14551" max="14551" width="9.140625" style="1"/>
    <col min="14552" max="14564" width="9.28515625" style="1" bestFit="1" customWidth="1"/>
    <col min="14565" max="14565" width="10.28515625" style="1" bestFit="1" customWidth="1"/>
    <col min="14566" max="14566" width="9.5703125" style="1" bestFit="1" customWidth="1"/>
    <col min="14567" max="14567" width="18.5703125" style="1" customWidth="1"/>
    <col min="14568" max="14569" width="9.140625" style="1"/>
    <col min="14570" max="14572" width="12.140625" style="1" bestFit="1" customWidth="1"/>
    <col min="14573" max="14581" width="10.28515625" style="1" bestFit="1" customWidth="1"/>
    <col min="14582" max="14582" width="11.28515625" style="1" bestFit="1" customWidth="1"/>
    <col min="14583" max="14583" width="9.140625" style="1"/>
    <col min="14584" max="14584" width="19" style="1" customWidth="1"/>
    <col min="14585" max="14601" width="9.140625" style="1"/>
    <col min="14602" max="14612" width="11.28515625" style="1" bestFit="1" customWidth="1"/>
    <col min="14613" max="14613" width="10.28515625" style="1" bestFit="1" customWidth="1"/>
    <col min="14614" max="14614" width="12.85546875" style="1" bestFit="1" customWidth="1"/>
    <col min="14615" max="14737" width="9.140625" style="1"/>
    <col min="14738" max="14738" width="11" style="1" bestFit="1" customWidth="1"/>
    <col min="14739" max="14739" width="28.140625" style="1" bestFit="1" customWidth="1"/>
    <col min="14740" max="14740" width="14" style="1" bestFit="1" customWidth="1"/>
    <col min="14741" max="14741" width="9.140625" style="1"/>
    <col min="14742" max="14742" width="13.85546875" style="1" bestFit="1" customWidth="1"/>
    <col min="14743" max="14743" width="9.140625" style="1"/>
    <col min="14744" max="14744" width="14" style="1" customWidth="1"/>
    <col min="14745" max="14745" width="9.140625" style="1"/>
    <col min="14746" max="14746" width="12.85546875" style="1" bestFit="1" customWidth="1"/>
    <col min="14747" max="14747" width="10" style="1" customWidth="1"/>
    <col min="14748" max="14748" width="14" style="1" bestFit="1" customWidth="1"/>
    <col min="14749" max="14749" width="9.85546875" style="1" bestFit="1" customWidth="1"/>
    <col min="14750" max="14750" width="13.5703125" style="1" bestFit="1" customWidth="1"/>
    <col min="14751" max="14751" width="9.85546875" style="1" bestFit="1" customWidth="1"/>
    <col min="14752" max="14752" width="12.85546875" style="1" bestFit="1" customWidth="1"/>
    <col min="14753" max="14764" width="10.5703125" style="1" customWidth="1"/>
    <col min="14765" max="14765" width="11.140625" style="1" bestFit="1" customWidth="1"/>
    <col min="14766" max="14766" width="2.7109375" style="1" customWidth="1"/>
    <col min="14767" max="14767" width="9.85546875" style="1" bestFit="1" customWidth="1"/>
    <col min="14768" max="14769" width="9.140625" style="1"/>
    <col min="14770" max="14770" width="24" style="1" customWidth="1"/>
    <col min="14771" max="14773" width="9.140625" style="1"/>
    <col min="14774" max="14774" width="9" style="1" bestFit="1" customWidth="1"/>
    <col min="14775" max="14784" width="9.28515625" style="1" bestFit="1" customWidth="1"/>
    <col min="14785" max="14785" width="10.28515625" style="1" bestFit="1" customWidth="1"/>
    <col min="14786" max="14786" width="11.28515625" style="1" bestFit="1" customWidth="1"/>
    <col min="14787" max="14787" width="11.7109375" style="1" customWidth="1"/>
    <col min="14788" max="14788" width="9.140625" style="1"/>
    <col min="14789" max="14789" width="22.28515625" style="1" customWidth="1"/>
    <col min="14790" max="14790" width="9.140625" style="1"/>
    <col min="14791" max="14791" width="9.28515625" style="1" bestFit="1" customWidth="1"/>
    <col min="14792" max="14792" width="9.42578125" style="1" bestFit="1" customWidth="1"/>
    <col min="14793" max="14793" width="9.28515625" style="1" bestFit="1" customWidth="1"/>
    <col min="14794" max="14794" width="10.28515625" style="1" bestFit="1" customWidth="1"/>
    <col min="14795" max="14796" width="9.28515625" style="1" bestFit="1" customWidth="1"/>
    <col min="14797" max="14798" width="10.28515625" style="1" bestFit="1" customWidth="1"/>
    <col min="14799" max="14803" width="9.28515625" style="1" bestFit="1" customWidth="1"/>
    <col min="14804" max="14804" width="10.42578125" style="1" bestFit="1" customWidth="1"/>
    <col min="14805" max="14805" width="9.140625" style="1"/>
    <col min="14806" max="14806" width="24.85546875" style="1" customWidth="1"/>
    <col min="14807" max="14807" width="9.140625" style="1"/>
    <col min="14808" max="14820" width="9.28515625" style="1" bestFit="1" customWidth="1"/>
    <col min="14821" max="14821" width="10.28515625" style="1" bestFit="1" customWidth="1"/>
    <col min="14822" max="14822" width="9.5703125" style="1" bestFit="1" customWidth="1"/>
    <col min="14823" max="14823" width="18.5703125" style="1" customWidth="1"/>
    <col min="14824" max="14825" width="9.140625" style="1"/>
    <col min="14826" max="14828" width="12.140625" style="1" bestFit="1" customWidth="1"/>
    <col min="14829" max="14837" width="10.28515625" style="1" bestFit="1" customWidth="1"/>
    <col min="14838" max="14838" width="11.28515625" style="1" bestFit="1" customWidth="1"/>
    <col min="14839" max="14839" width="9.140625" style="1"/>
    <col min="14840" max="14840" width="19" style="1" customWidth="1"/>
    <col min="14841" max="14857" width="9.140625" style="1"/>
    <col min="14858" max="14868" width="11.28515625" style="1" bestFit="1" customWidth="1"/>
    <col min="14869" max="14869" width="10.28515625" style="1" bestFit="1" customWidth="1"/>
    <col min="14870" max="14870" width="12.85546875" style="1" bestFit="1" customWidth="1"/>
    <col min="14871" max="14993" width="9.140625" style="1"/>
    <col min="14994" max="14994" width="11" style="1" bestFit="1" customWidth="1"/>
    <col min="14995" max="14995" width="28.140625" style="1" bestFit="1" customWidth="1"/>
    <col min="14996" max="14996" width="14" style="1" bestFit="1" customWidth="1"/>
    <col min="14997" max="14997" width="9.140625" style="1"/>
    <col min="14998" max="14998" width="13.85546875" style="1" bestFit="1" customWidth="1"/>
    <col min="14999" max="14999" width="9.140625" style="1"/>
    <col min="15000" max="15000" width="14" style="1" customWidth="1"/>
    <col min="15001" max="15001" width="9.140625" style="1"/>
    <col min="15002" max="15002" width="12.85546875" style="1" bestFit="1" customWidth="1"/>
    <col min="15003" max="15003" width="10" style="1" customWidth="1"/>
    <col min="15004" max="15004" width="14" style="1" bestFit="1" customWidth="1"/>
    <col min="15005" max="15005" width="9.85546875" style="1" bestFit="1" customWidth="1"/>
    <col min="15006" max="15006" width="13.5703125" style="1" bestFit="1" customWidth="1"/>
    <col min="15007" max="15007" width="9.85546875" style="1" bestFit="1" customWidth="1"/>
    <col min="15008" max="15008" width="12.85546875" style="1" bestFit="1" customWidth="1"/>
    <col min="15009" max="15020" width="10.5703125" style="1" customWidth="1"/>
    <col min="15021" max="15021" width="11.140625" style="1" bestFit="1" customWidth="1"/>
    <col min="15022" max="15022" width="2.7109375" style="1" customWidth="1"/>
    <col min="15023" max="15023" width="9.85546875" style="1" bestFit="1" customWidth="1"/>
    <col min="15024" max="15025" width="9.140625" style="1"/>
    <col min="15026" max="15026" width="24" style="1" customWidth="1"/>
    <col min="15027" max="15029" width="9.140625" style="1"/>
    <col min="15030" max="15030" width="9" style="1" bestFit="1" customWidth="1"/>
    <col min="15031" max="15040" width="9.28515625" style="1" bestFit="1" customWidth="1"/>
    <col min="15041" max="15041" width="10.28515625" style="1" bestFit="1" customWidth="1"/>
    <col min="15042" max="15042" width="11.28515625" style="1" bestFit="1" customWidth="1"/>
    <col min="15043" max="15043" width="11.7109375" style="1" customWidth="1"/>
    <col min="15044" max="15044" width="9.140625" style="1"/>
    <col min="15045" max="15045" width="22.28515625" style="1" customWidth="1"/>
    <col min="15046" max="15046" width="9.140625" style="1"/>
    <col min="15047" max="15047" width="9.28515625" style="1" bestFit="1" customWidth="1"/>
    <col min="15048" max="15048" width="9.42578125" style="1" bestFit="1" customWidth="1"/>
    <col min="15049" max="15049" width="9.28515625" style="1" bestFit="1" customWidth="1"/>
    <col min="15050" max="15050" width="10.28515625" style="1" bestFit="1" customWidth="1"/>
    <col min="15051" max="15052" width="9.28515625" style="1" bestFit="1" customWidth="1"/>
    <col min="15053" max="15054" width="10.28515625" style="1" bestFit="1" customWidth="1"/>
    <col min="15055" max="15059" width="9.28515625" style="1" bestFit="1" customWidth="1"/>
    <col min="15060" max="15060" width="10.42578125" style="1" bestFit="1" customWidth="1"/>
    <col min="15061" max="15061" width="9.140625" style="1"/>
    <col min="15062" max="15062" width="24.85546875" style="1" customWidth="1"/>
    <col min="15063" max="15063" width="9.140625" style="1"/>
    <col min="15064" max="15076" width="9.28515625" style="1" bestFit="1" customWidth="1"/>
    <col min="15077" max="15077" width="10.28515625" style="1" bestFit="1" customWidth="1"/>
    <col min="15078" max="15078" width="9.5703125" style="1" bestFit="1" customWidth="1"/>
    <col min="15079" max="15079" width="18.5703125" style="1" customWidth="1"/>
    <col min="15080" max="15081" width="9.140625" style="1"/>
    <col min="15082" max="15084" width="12.140625" style="1" bestFit="1" customWidth="1"/>
    <col min="15085" max="15093" width="10.28515625" style="1" bestFit="1" customWidth="1"/>
    <col min="15094" max="15094" width="11.28515625" style="1" bestFit="1" customWidth="1"/>
    <col min="15095" max="15095" width="9.140625" style="1"/>
    <col min="15096" max="15096" width="19" style="1" customWidth="1"/>
    <col min="15097" max="15113" width="9.140625" style="1"/>
    <col min="15114" max="15124" width="11.28515625" style="1" bestFit="1" customWidth="1"/>
    <col min="15125" max="15125" width="10.28515625" style="1" bestFit="1" customWidth="1"/>
    <col min="15126" max="15126" width="12.85546875" style="1" bestFit="1" customWidth="1"/>
    <col min="15127" max="15249" width="9.140625" style="1"/>
    <col min="15250" max="15250" width="11" style="1" bestFit="1" customWidth="1"/>
    <col min="15251" max="15251" width="28.140625" style="1" bestFit="1" customWidth="1"/>
    <col min="15252" max="15252" width="14" style="1" bestFit="1" customWidth="1"/>
    <col min="15253" max="15253" width="9.140625" style="1"/>
    <col min="15254" max="15254" width="13.85546875" style="1" bestFit="1" customWidth="1"/>
    <col min="15255" max="15255" width="9.140625" style="1"/>
    <col min="15256" max="15256" width="14" style="1" customWidth="1"/>
    <col min="15257" max="15257" width="9.140625" style="1"/>
    <col min="15258" max="15258" width="12.85546875" style="1" bestFit="1" customWidth="1"/>
    <col min="15259" max="15259" width="10" style="1" customWidth="1"/>
    <col min="15260" max="15260" width="14" style="1" bestFit="1" customWidth="1"/>
    <col min="15261" max="15261" width="9.85546875" style="1" bestFit="1" customWidth="1"/>
    <col min="15262" max="15262" width="13.5703125" style="1" bestFit="1" customWidth="1"/>
    <col min="15263" max="15263" width="9.85546875" style="1" bestFit="1" customWidth="1"/>
    <col min="15264" max="15264" width="12.85546875" style="1" bestFit="1" customWidth="1"/>
    <col min="15265" max="15276" width="10.5703125" style="1" customWidth="1"/>
    <col min="15277" max="15277" width="11.140625" style="1" bestFit="1" customWidth="1"/>
    <col min="15278" max="15278" width="2.7109375" style="1" customWidth="1"/>
    <col min="15279" max="15279" width="9.85546875" style="1" bestFit="1" customWidth="1"/>
    <col min="15280" max="15281" width="9.140625" style="1"/>
    <col min="15282" max="15282" width="24" style="1" customWidth="1"/>
    <col min="15283" max="15285" width="9.140625" style="1"/>
    <col min="15286" max="15286" width="9" style="1" bestFit="1" customWidth="1"/>
    <col min="15287" max="15296" width="9.28515625" style="1" bestFit="1" customWidth="1"/>
    <col min="15297" max="15297" width="10.28515625" style="1" bestFit="1" customWidth="1"/>
    <col min="15298" max="15298" width="11.28515625" style="1" bestFit="1" customWidth="1"/>
    <col min="15299" max="15299" width="11.7109375" style="1" customWidth="1"/>
    <col min="15300" max="15300" width="9.140625" style="1"/>
    <col min="15301" max="15301" width="22.28515625" style="1" customWidth="1"/>
    <col min="15302" max="15302" width="9.140625" style="1"/>
    <col min="15303" max="15303" width="9.28515625" style="1" bestFit="1" customWidth="1"/>
    <col min="15304" max="15304" width="9.42578125" style="1" bestFit="1" customWidth="1"/>
    <col min="15305" max="15305" width="9.28515625" style="1" bestFit="1" customWidth="1"/>
    <col min="15306" max="15306" width="10.28515625" style="1" bestFit="1" customWidth="1"/>
    <col min="15307" max="15308" width="9.28515625" style="1" bestFit="1" customWidth="1"/>
    <col min="15309" max="15310" width="10.28515625" style="1" bestFit="1" customWidth="1"/>
    <col min="15311" max="15315" width="9.28515625" style="1" bestFit="1" customWidth="1"/>
    <col min="15316" max="15316" width="10.42578125" style="1" bestFit="1" customWidth="1"/>
    <col min="15317" max="15317" width="9.140625" style="1"/>
    <col min="15318" max="15318" width="24.85546875" style="1" customWidth="1"/>
    <col min="15319" max="15319" width="9.140625" style="1"/>
    <col min="15320" max="15332" width="9.28515625" style="1" bestFit="1" customWidth="1"/>
    <col min="15333" max="15333" width="10.28515625" style="1" bestFit="1" customWidth="1"/>
    <col min="15334" max="15334" width="9.5703125" style="1" bestFit="1" customWidth="1"/>
    <col min="15335" max="15335" width="18.5703125" style="1" customWidth="1"/>
    <col min="15336" max="15337" width="9.140625" style="1"/>
    <col min="15338" max="15340" width="12.140625" style="1" bestFit="1" customWidth="1"/>
    <col min="15341" max="15349" width="10.28515625" style="1" bestFit="1" customWidth="1"/>
    <col min="15350" max="15350" width="11.28515625" style="1" bestFit="1" customWidth="1"/>
    <col min="15351" max="15351" width="9.140625" style="1"/>
    <col min="15352" max="15352" width="19" style="1" customWidth="1"/>
    <col min="15353" max="15369" width="9.140625" style="1"/>
    <col min="15370" max="15380" width="11.28515625" style="1" bestFit="1" customWidth="1"/>
    <col min="15381" max="15381" width="10.28515625" style="1" bestFit="1" customWidth="1"/>
    <col min="15382" max="15382" width="12.85546875" style="1" bestFit="1" customWidth="1"/>
    <col min="15383" max="15505" width="9.140625" style="1"/>
    <col min="15506" max="15506" width="11" style="1" bestFit="1" customWidth="1"/>
    <col min="15507" max="15507" width="28.140625" style="1" bestFit="1" customWidth="1"/>
    <col min="15508" max="15508" width="14" style="1" bestFit="1" customWidth="1"/>
    <col min="15509" max="15509" width="9.140625" style="1"/>
    <col min="15510" max="15510" width="13.85546875" style="1" bestFit="1" customWidth="1"/>
    <col min="15511" max="15511" width="9.140625" style="1"/>
    <col min="15512" max="15512" width="14" style="1" customWidth="1"/>
    <col min="15513" max="15513" width="9.140625" style="1"/>
    <col min="15514" max="15514" width="12.85546875" style="1" bestFit="1" customWidth="1"/>
    <col min="15515" max="15515" width="10" style="1" customWidth="1"/>
    <col min="15516" max="15516" width="14" style="1" bestFit="1" customWidth="1"/>
    <col min="15517" max="15517" width="9.85546875" style="1" bestFit="1" customWidth="1"/>
    <col min="15518" max="15518" width="13.5703125" style="1" bestFit="1" customWidth="1"/>
    <col min="15519" max="15519" width="9.85546875" style="1" bestFit="1" customWidth="1"/>
    <col min="15520" max="15520" width="12.85546875" style="1" bestFit="1" customWidth="1"/>
    <col min="15521" max="15532" width="10.5703125" style="1" customWidth="1"/>
    <col min="15533" max="15533" width="11.140625" style="1" bestFit="1" customWidth="1"/>
    <col min="15534" max="15534" width="2.7109375" style="1" customWidth="1"/>
    <col min="15535" max="15535" width="9.85546875" style="1" bestFit="1" customWidth="1"/>
    <col min="15536" max="15537" width="9.140625" style="1"/>
    <col min="15538" max="15538" width="24" style="1" customWidth="1"/>
    <col min="15539" max="15541" width="9.140625" style="1"/>
    <col min="15542" max="15542" width="9" style="1" bestFit="1" customWidth="1"/>
    <col min="15543" max="15552" width="9.28515625" style="1" bestFit="1" customWidth="1"/>
    <col min="15553" max="15553" width="10.28515625" style="1" bestFit="1" customWidth="1"/>
    <col min="15554" max="15554" width="11.28515625" style="1" bestFit="1" customWidth="1"/>
    <col min="15555" max="15555" width="11.7109375" style="1" customWidth="1"/>
    <col min="15556" max="15556" width="9.140625" style="1"/>
    <col min="15557" max="15557" width="22.28515625" style="1" customWidth="1"/>
    <col min="15558" max="15558" width="9.140625" style="1"/>
    <col min="15559" max="15559" width="9.28515625" style="1" bestFit="1" customWidth="1"/>
    <col min="15560" max="15560" width="9.42578125" style="1" bestFit="1" customWidth="1"/>
    <col min="15561" max="15561" width="9.28515625" style="1" bestFit="1" customWidth="1"/>
    <col min="15562" max="15562" width="10.28515625" style="1" bestFit="1" customWidth="1"/>
    <col min="15563" max="15564" width="9.28515625" style="1" bestFit="1" customWidth="1"/>
    <col min="15565" max="15566" width="10.28515625" style="1" bestFit="1" customWidth="1"/>
    <col min="15567" max="15571" width="9.28515625" style="1" bestFit="1" customWidth="1"/>
    <col min="15572" max="15572" width="10.42578125" style="1" bestFit="1" customWidth="1"/>
    <col min="15573" max="15573" width="9.140625" style="1"/>
    <col min="15574" max="15574" width="24.85546875" style="1" customWidth="1"/>
    <col min="15575" max="15575" width="9.140625" style="1"/>
    <col min="15576" max="15588" width="9.28515625" style="1" bestFit="1" customWidth="1"/>
    <col min="15589" max="15589" width="10.28515625" style="1" bestFit="1" customWidth="1"/>
    <col min="15590" max="15590" width="9.5703125" style="1" bestFit="1" customWidth="1"/>
    <col min="15591" max="15591" width="18.5703125" style="1" customWidth="1"/>
    <col min="15592" max="15593" width="9.140625" style="1"/>
    <col min="15594" max="15596" width="12.140625" style="1" bestFit="1" customWidth="1"/>
    <col min="15597" max="15605" width="10.28515625" style="1" bestFit="1" customWidth="1"/>
    <col min="15606" max="15606" width="11.28515625" style="1" bestFit="1" customWidth="1"/>
    <col min="15607" max="15607" width="9.140625" style="1"/>
    <col min="15608" max="15608" width="19" style="1" customWidth="1"/>
    <col min="15609" max="15625" width="9.140625" style="1"/>
    <col min="15626" max="15636" width="11.28515625" style="1" bestFit="1" customWidth="1"/>
    <col min="15637" max="15637" width="10.28515625" style="1" bestFit="1" customWidth="1"/>
    <col min="15638" max="15638" width="12.85546875" style="1" bestFit="1" customWidth="1"/>
    <col min="15639" max="15761" width="9.140625" style="1"/>
    <col min="15762" max="15762" width="11" style="1" bestFit="1" customWidth="1"/>
    <col min="15763" max="15763" width="28.140625" style="1" bestFit="1" customWidth="1"/>
    <col min="15764" max="15764" width="14" style="1" bestFit="1" customWidth="1"/>
    <col min="15765" max="15765" width="9.140625" style="1"/>
    <col min="15766" max="15766" width="13.85546875" style="1" bestFit="1" customWidth="1"/>
    <col min="15767" max="15767" width="9.140625" style="1"/>
    <col min="15768" max="15768" width="14" style="1" customWidth="1"/>
    <col min="15769" max="15769" width="9.140625" style="1"/>
    <col min="15770" max="15770" width="12.85546875" style="1" bestFit="1" customWidth="1"/>
    <col min="15771" max="15771" width="10" style="1" customWidth="1"/>
    <col min="15772" max="15772" width="14" style="1" bestFit="1" customWidth="1"/>
    <col min="15773" max="15773" width="9.85546875" style="1" bestFit="1" customWidth="1"/>
    <col min="15774" max="15774" width="13.5703125" style="1" bestFit="1" customWidth="1"/>
    <col min="15775" max="15775" width="9.85546875" style="1" bestFit="1" customWidth="1"/>
    <col min="15776" max="15776" width="12.85546875" style="1" bestFit="1" customWidth="1"/>
    <col min="15777" max="15788" width="10.5703125" style="1" customWidth="1"/>
    <col min="15789" max="15789" width="11.140625" style="1" bestFit="1" customWidth="1"/>
    <col min="15790" max="15790" width="2.7109375" style="1" customWidth="1"/>
    <col min="15791" max="15791" width="9.85546875" style="1" bestFit="1" customWidth="1"/>
    <col min="15792" max="15793" width="9.140625" style="1"/>
    <col min="15794" max="15794" width="24" style="1" customWidth="1"/>
    <col min="15795" max="15797" width="9.140625" style="1"/>
    <col min="15798" max="15798" width="9" style="1" bestFit="1" customWidth="1"/>
    <col min="15799" max="15808" width="9.28515625" style="1" bestFit="1" customWidth="1"/>
    <col min="15809" max="15809" width="10.28515625" style="1" bestFit="1" customWidth="1"/>
    <col min="15810" max="15810" width="11.28515625" style="1" bestFit="1" customWidth="1"/>
    <col min="15811" max="15811" width="11.7109375" style="1" customWidth="1"/>
    <col min="15812" max="15812" width="9.140625" style="1"/>
    <col min="15813" max="15813" width="22.28515625" style="1" customWidth="1"/>
    <col min="15814" max="15814" width="9.140625" style="1"/>
    <col min="15815" max="15815" width="9.28515625" style="1" bestFit="1" customWidth="1"/>
    <col min="15816" max="15816" width="9.42578125" style="1" bestFit="1" customWidth="1"/>
    <col min="15817" max="15817" width="9.28515625" style="1" bestFit="1" customWidth="1"/>
    <col min="15818" max="15818" width="10.28515625" style="1" bestFit="1" customWidth="1"/>
    <col min="15819" max="15820" width="9.28515625" style="1" bestFit="1" customWidth="1"/>
    <col min="15821" max="15822" width="10.28515625" style="1" bestFit="1" customWidth="1"/>
    <col min="15823" max="15827" width="9.28515625" style="1" bestFit="1" customWidth="1"/>
    <col min="15828" max="15828" width="10.42578125" style="1" bestFit="1" customWidth="1"/>
    <col min="15829" max="15829" width="9.140625" style="1"/>
    <col min="15830" max="15830" width="24.85546875" style="1" customWidth="1"/>
    <col min="15831" max="15831" width="9.140625" style="1"/>
    <col min="15832" max="15844" width="9.28515625" style="1" bestFit="1" customWidth="1"/>
    <col min="15845" max="15845" width="10.28515625" style="1" bestFit="1" customWidth="1"/>
    <col min="15846" max="15846" width="9.5703125" style="1" bestFit="1" customWidth="1"/>
    <col min="15847" max="15847" width="18.5703125" style="1" customWidth="1"/>
    <col min="15848" max="15849" width="9.140625" style="1"/>
    <col min="15850" max="15852" width="12.140625" style="1" bestFit="1" customWidth="1"/>
    <col min="15853" max="15861" width="10.28515625" style="1" bestFit="1" customWidth="1"/>
    <col min="15862" max="15862" width="11.28515625" style="1" bestFit="1" customWidth="1"/>
    <col min="15863" max="15863" width="9.140625" style="1"/>
    <col min="15864" max="15864" width="19" style="1" customWidth="1"/>
    <col min="15865" max="15881" width="9.140625" style="1"/>
    <col min="15882" max="15892" width="11.28515625" style="1" bestFit="1" customWidth="1"/>
    <col min="15893" max="15893" width="10.28515625" style="1" bestFit="1" customWidth="1"/>
    <col min="15894" max="15894" width="12.85546875" style="1" bestFit="1" customWidth="1"/>
    <col min="15895" max="16017" width="9.140625" style="1"/>
    <col min="16018" max="16018" width="11" style="1" bestFit="1" customWidth="1"/>
    <col min="16019" max="16019" width="28.140625" style="1" bestFit="1" customWidth="1"/>
    <col min="16020" max="16020" width="14" style="1" bestFit="1" customWidth="1"/>
    <col min="16021" max="16021" width="9.140625" style="1"/>
    <col min="16022" max="16022" width="13.85546875" style="1" bestFit="1" customWidth="1"/>
    <col min="16023" max="16023" width="9.140625" style="1"/>
    <col min="16024" max="16024" width="14" style="1" customWidth="1"/>
    <col min="16025" max="16025" width="9.140625" style="1"/>
    <col min="16026" max="16026" width="12.85546875" style="1" bestFit="1" customWidth="1"/>
    <col min="16027" max="16027" width="10" style="1" customWidth="1"/>
    <col min="16028" max="16028" width="14" style="1" bestFit="1" customWidth="1"/>
    <col min="16029" max="16029" width="9.85546875" style="1" bestFit="1" customWidth="1"/>
    <col min="16030" max="16030" width="13.5703125" style="1" bestFit="1" customWidth="1"/>
    <col min="16031" max="16031" width="9.85546875" style="1" bestFit="1" customWidth="1"/>
    <col min="16032" max="16032" width="12.85546875" style="1" bestFit="1" customWidth="1"/>
    <col min="16033" max="16044" width="10.5703125" style="1" customWidth="1"/>
    <col min="16045" max="16045" width="11.140625" style="1" bestFit="1" customWidth="1"/>
    <col min="16046" max="16046" width="2.7109375" style="1" customWidth="1"/>
    <col min="16047" max="16047" width="9.85546875" style="1" bestFit="1" customWidth="1"/>
    <col min="16048" max="16049" width="9.140625" style="1"/>
    <col min="16050" max="16050" width="24" style="1" customWidth="1"/>
    <col min="16051" max="16053" width="9.140625" style="1"/>
    <col min="16054" max="16054" width="9" style="1" bestFit="1" customWidth="1"/>
    <col min="16055" max="16064" width="9.28515625" style="1" bestFit="1" customWidth="1"/>
    <col min="16065" max="16065" width="10.28515625" style="1" bestFit="1" customWidth="1"/>
    <col min="16066" max="16066" width="11.28515625" style="1" bestFit="1" customWidth="1"/>
    <col min="16067" max="16067" width="11.7109375" style="1" customWidth="1"/>
    <col min="16068" max="16068" width="9.140625" style="1"/>
    <col min="16069" max="16069" width="22.28515625" style="1" customWidth="1"/>
    <col min="16070" max="16070" width="9.140625" style="1"/>
    <col min="16071" max="16071" width="9.28515625" style="1" bestFit="1" customWidth="1"/>
    <col min="16072" max="16072" width="9.42578125" style="1" bestFit="1" customWidth="1"/>
    <col min="16073" max="16073" width="9.28515625" style="1" bestFit="1" customWidth="1"/>
    <col min="16074" max="16074" width="10.28515625" style="1" bestFit="1" customWidth="1"/>
    <col min="16075" max="16076" width="9.28515625" style="1" bestFit="1" customWidth="1"/>
    <col min="16077" max="16078" width="10.28515625" style="1" bestFit="1" customWidth="1"/>
    <col min="16079" max="16083" width="9.28515625" style="1" bestFit="1" customWidth="1"/>
    <col min="16084" max="16084" width="10.42578125" style="1" bestFit="1" customWidth="1"/>
    <col min="16085" max="16085" width="9.140625" style="1"/>
    <col min="16086" max="16086" width="24.85546875" style="1" customWidth="1"/>
    <col min="16087" max="16087" width="9.140625" style="1"/>
    <col min="16088" max="16100" width="9.28515625" style="1" bestFit="1" customWidth="1"/>
    <col min="16101" max="16101" width="10.28515625" style="1" bestFit="1" customWidth="1"/>
    <col min="16102" max="16102" width="9.5703125" style="1" bestFit="1" customWidth="1"/>
    <col min="16103" max="16103" width="18.5703125" style="1" customWidth="1"/>
    <col min="16104" max="16105" width="9.140625" style="1"/>
    <col min="16106" max="16108" width="12.140625" style="1" bestFit="1" customWidth="1"/>
    <col min="16109" max="16117" width="10.28515625" style="1" bestFit="1" customWidth="1"/>
    <col min="16118" max="16118" width="11.28515625" style="1" bestFit="1" customWidth="1"/>
    <col min="16119" max="16119" width="9.140625" style="1"/>
    <col min="16120" max="16120" width="19" style="1" customWidth="1"/>
    <col min="16121" max="16137" width="9.140625" style="1"/>
    <col min="16138" max="16148" width="11.28515625" style="1" bestFit="1" customWidth="1"/>
    <col min="16149" max="16149" width="10.28515625" style="1" bestFit="1" customWidth="1"/>
    <col min="16150" max="16150" width="12.85546875" style="1" bestFit="1" customWidth="1"/>
    <col min="16151" max="16384" width="9.140625" style="1"/>
  </cols>
  <sheetData>
    <row r="1" spans="1:20" x14ac:dyDescent="0.2">
      <c r="F1" s="39" t="s">
        <v>49</v>
      </c>
      <c r="G1" s="39" t="s">
        <v>48</v>
      </c>
      <c r="H1" s="39" t="s">
        <v>47</v>
      </c>
      <c r="I1" s="39" t="s">
        <v>46</v>
      </c>
      <c r="J1" s="39" t="s">
        <v>45</v>
      </c>
      <c r="K1" s="39" t="s">
        <v>44</v>
      </c>
      <c r="L1" s="39" t="s">
        <v>43</v>
      </c>
      <c r="M1" s="39" t="s">
        <v>42</v>
      </c>
      <c r="N1" s="39" t="s">
        <v>41</v>
      </c>
      <c r="O1" s="39" t="s">
        <v>40</v>
      </c>
      <c r="P1" s="39" t="s">
        <v>39</v>
      </c>
      <c r="Q1" s="39" t="s">
        <v>38</v>
      </c>
      <c r="R1" s="39" t="s">
        <v>37</v>
      </c>
    </row>
    <row r="2" spans="1:20" x14ac:dyDescent="0.2">
      <c r="B2" s="105" t="s">
        <v>229</v>
      </c>
      <c r="C2" s="106">
        <f>STATS!D22</f>
        <v>90</v>
      </c>
      <c r="F2" s="131">
        <f>'MO STATS'!E18</f>
        <v>7</v>
      </c>
      <c r="G2" s="131">
        <f>'MO STATS'!F18</f>
        <v>1</v>
      </c>
      <c r="H2" s="131">
        <f>'MO STATS'!G18</f>
        <v>7</v>
      </c>
      <c r="I2" s="131">
        <f>'MO STATS'!H18</f>
        <v>7</v>
      </c>
      <c r="J2" s="131">
        <f>'MO STATS'!I18</f>
        <v>9</v>
      </c>
      <c r="K2" s="131">
        <f>'MO STATS'!J18</f>
        <v>5</v>
      </c>
      <c r="L2" s="131">
        <f>'MO STATS'!K18</f>
        <v>7</v>
      </c>
      <c r="M2" s="131">
        <f>'MO STATS'!L18</f>
        <v>7</v>
      </c>
      <c r="N2" s="131">
        <f>'MO STATS'!M18</f>
        <v>5</v>
      </c>
      <c r="O2" s="131">
        <f>'MO STATS'!N18</f>
        <v>12</v>
      </c>
      <c r="P2" s="131">
        <f>'MO STATS'!O18</f>
        <v>18</v>
      </c>
      <c r="Q2" s="131">
        <f>'MO STATS'!P18</f>
        <v>5</v>
      </c>
      <c r="R2" s="96">
        <f>SUM(F2:Q2)</f>
        <v>90</v>
      </c>
      <c r="T2" s="3">
        <f>C2-R2</f>
        <v>0</v>
      </c>
    </row>
    <row r="3" spans="1:20" x14ac:dyDescent="0.2">
      <c r="B3" s="105" t="s">
        <v>230</v>
      </c>
      <c r="C3" s="106">
        <f>STATS!D23</f>
        <v>501</v>
      </c>
      <c r="F3" s="131">
        <f>'MO STATS'!E19</f>
        <v>42</v>
      </c>
      <c r="G3" s="131">
        <f>'MO STATS'!F19</f>
        <v>51</v>
      </c>
      <c r="H3" s="131">
        <f>'MO STATS'!G19</f>
        <v>31</v>
      </c>
      <c r="I3" s="131">
        <f>'MO STATS'!H19</f>
        <v>33</v>
      </c>
      <c r="J3" s="131">
        <f>'MO STATS'!I19</f>
        <v>48</v>
      </c>
      <c r="K3" s="131">
        <f>'MO STATS'!J19</f>
        <v>39</v>
      </c>
      <c r="L3" s="131">
        <f>'MO STATS'!K19</f>
        <v>39</v>
      </c>
      <c r="M3" s="131">
        <f>'MO STATS'!L19</f>
        <v>53</v>
      </c>
      <c r="N3" s="131">
        <f>'MO STATS'!M19</f>
        <v>39</v>
      </c>
      <c r="O3" s="131">
        <f>'MO STATS'!N19</f>
        <v>38</v>
      </c>
      <c r="P3" s="131">
        <f>'MO STATS'!O19</f>
        <v>50</v>
      </c>
      <c r="Q3" s="131">
        <f>'MO STATS'!P19</f>
        <v>38</v>
      </c>
      <c r="R3" s="96">
        <f t="shared" ref="R3:R4" si="0">SUM(F3:Q3)</f>
        <v>501</v>
      </c>
      <c r="T3" s="3">
        <f t="shared" ref="T3:T4" si="1">C3-R3</f>
        <v>0</v>
      </c>
    </row>
    <row r="4" spans="1:20" x14ac:dyDescent="0.2">
      <c r="B4" s="105" t="s">
        <v>231</v>
      </c>
      <c r="C4" s="106">
        <f>C2+C3</f>
        <v>591</v>
      </c>
      <c r="F4" s="131">
        <f>'MO STATS'!E20</f>
        <v>49</v>
      </c>
      <c r="G4" s="131">
        <f>'MO STATS'!F20</f>
        <v>52</v>
      </c>
      <c r="H4" s="131">
        <f>'MO STATS'!G20</f>
        <v>38</v>
      </c>
      <c r="I4" s="131">
        <f>'MO STATS'!H20</f>
        <v>40</v>
      </c>
      <c r="J4" s="131">
        <f>'MO STATS'!I20</f>
        <v>57</v>
      </c>
      <c r="K4" s="131">
        <f>'MO STATS'!J20</f>
        <v>44</v>
      </c>
      <c r="L4" s="131">
        <f>'MO STATS'!K20</f>
        <v>46</v>
      </c>
      <c r="M4" s="131">
        <f>'MO STATS'!L20</f>
        <v>60</v>
      </c>
      <c r="N4" s="131">
        <f>'MO STATS'!M20</f>
        <v>44</v>
      </c>
      <c r="O4" s="131">
        <f>'MO STATS'!N20</f>
        <v>50</v>
      </c>
      <c r="P4" s="131">
        <f>'MO STATS'!O20</f>
        <v>68</v>
      </c>
      <c r="Q4" s="131">
        <f>'MO STATS'!P20</f>
        <v>43</v>
      </c>
      <c r="R4" s="96">
        <f t="shared" si="0"/>
        <v>591</v>
      </c>
      <c r="T4" s="3">
        <f t="shared" si="1"/>
        <v>0</v>
      </c>
    </row>
    <row r="5" spans="1:20" x14ac:dyDescent="0.2">
      <c r="B5" s="35"/>
      <c r="C5" s="6"/>
    </row>
    <row r="6" spans="1:20" x14ac:dyDescent="0.2">
      <c r="A6" s="711" t="s">
        <v>35</v>
      </c>
      <c r="B6" s="711"/>
      <c r="C6" s="711"/>
      <c r="D6" s="711"/>
      <c r="E6" s="37"/>
    </row>
    <row r="7" spans="1:20" ht="26.25" customHeight="1" x14ac:dyDescent="0.2">
      <c r="A7" s="21"/>
      <c r="B7" s="10" t="s">
        <v>408</v>
      </c>
      <c r="C7" s="107" t="s">
        <v>409</v>
      </c>
      <c r="D7" s="102" t="s">
        <v>410</v>
      </c>
      <c r="E7" s="103"/>
      <c r="F7" s="39" t="s">
        <v>49</v>
      </c>
      <c r="G7" s="39" t="s">
        <v>48</v>
      </c>
      <c r="H7" s="39" t="s">
        <v>47</v>
      </c>
      <c r="I7" s="39" t="s">
        <v>46</v>
      </c>
      <c r="J7" s="39" t="s">
        <v>45</v>
      </c>
      <c r="K7" s="39" t="s">
        <v>44</v>
      </c>
      <c r="L7" s="39" t="s">
        <v>43</v>
      </c>
      <c r="M7" s="39" t="s">
        <v>42</v>
      </c>
      <c r="N7" s="39" t="s">
        <v>41</v>
      </c>
      <c r="O7" s="39" t="s">
        <v>40</v>
      </c>
      <c r="P7" s="39" t="s">
        <v>39</v>
      </c>
      <c r="Q7" s="39" t="s">
        <v>38</v>
      </c>
      <c r="R7" s="39" t="s">
        <v>37</v>
      </c>
    </row>
    <row r="8" spans="1:20" x14ac:dyDescent="0.2">
      <c r="A8" s="16"/>
      <c r="B8" s="29" t="s">
        <v>352</v>
      </c>
      <c r="C8" s="28">
        <f>C$2*D8</f>
        <v>0</v>
      </c>
      <c r="D8" s="13">
        <v>0</v>
      </c>
      <c r="E8" s="7"/>
      <c r="F8" s="375">
        <f>$D8*F$2</f>
        <v>0</v>
      </c>
      <c r="G8" s="375">
        <f t="shared" ref="G8:Q14" si="2">$D8*G$2</f>
        <v>0</v>
      </c>
      <c r="H8" s="375">
        <f t="shared" si="2"/>
        <v>0</v>
      </c>
      <c r="I8" s="375">
        <f t="shared" si="2"/>
        <v>0</v>
      </c>
      <c r="J8" s="375">
        <f t="shared" si="2"/>
        <v>0</v>
      </c>
      <c r="K8" s="375">
        <f t="shared" si="2"/>
        <v>0</v>
      </c>
      <c r="L8" s="375">
        <f t="shared" si="2"/>
        <v>0</v>
      </c>
      <c r="M8" s="375">
        <f t="shared" si="2"/>
        <v>0</v>
      </c>
      <c r="N8" s="375">
        <f t="shared" si="2"/>
        <v>0</v>
      </c>
      <c r="O8" s="375">
        <f t="shared" si="2"/>
        <v>0</v>
      </c>
      <c r="P8" s="375">
        <f t="shared" si="2"/>
        <v>0</v>
      </c>
      <c r="Q8" s="375">
        <f t="shared" si="2"/>
        <v>0</v>
      </c>
      <c r="R8" s="109">
        <f>SUM(F8:Q8)</f>
        <v>0</v>
      </c>
      <c r="S8" s="3"/>
      <c r="T8" s="3">
        <f>C8-R8</f>
        <v>0</v>
      </c>
    </row>
    <row r="9" spans="1:20" x14ac:dyDescent="0.2">
      <c r="A9" s="16"/>
      <c r="B9" s="29" t="s">
        <v>353</v>
      </c>
      <c r="C9" s="28">
        <f t="shared" ref="C9:C22" si="3">C$2*D9</f>
        <v>0</v>
      </c>
      <c r="D9" s="13">
        <v>0</v>
      </c>
      <c r="E9" s="7"/>
      <c r="F9" s="375">
        <f t="shared" ref="F9:Q22" si="4">$D9*F$2</f>
        <v>0</v>
      </c>
      <c r="G9" s="375">
        <f t="shared" si="2"/>
        <v>0</v>
      </c>
      <c r="H9" s="375">
        <f t="shared" si="2"/>
        <v>0</v>
      </c>
      <c r="I9" s="375">
        <f t="shared" si="2"/>
        <v>0</v>
      </c>
      <c r="J9" s="375">
        <f t="shared" si="2"/>
        <v>0</v>
      </c>
      <c r="K9" s="375">
        <f t="shared" si="2"/>
        <v>0</v>
      </c>
      <c r="L9" s="375">
        <f t="shared" si="2"/>
        <v>0</v>
      </c>
      <c r="M9" s="375">
        <f t="shared" si="2"/>
        <v>0</v>
      </c>
      <c r="N9" s="375">
        <f t="shared" si="2"/>
        <v>0</v>
      </c>
      <c r="O9" s="375">
        <f t="shared" si="2"/>
        <v>0</v>
      </c>
      <c r="P9" s="375">
        <f t="shared" si="2"/>
        <v>0</v>
      </c>
      <c r="Q9" s="375">
        <f t="shared" si="2"/>
        <v>0</v>
      </c>
      <c r="R9" s="109">
        <f t="shared" ref="R9:R15" si="5">SUM(F9:Q9)</f>
        <v>0</v>
      </c>
      <c r="S9" s="3"/>
      <c r="T9" s="3">
        <f t="shared" ref="T9:T32" si="6">C9-R9</f>
        <v>0</v>
      </c>
    </row>
    <row r="10" spans="1:20" x14ac:dyDescent="0.2">
      <c r="A10" s="16"/>
      <c r="B10" s="29" t="s">
        <v>355</v>
      </c>
      <c r="C10" s="28">
        <f t="shared" si="3"/>
        <v>0</v>
      </c>
      <c r="D10" s="13">
        <v>0</v>
      </c>
      <c r="E10" s="7"/>
      <c r="F10" s="375">
        <f t="shared" si="4"/>
        <v>0</v>
      </c>
      <c r="G10" s="375">
        <f t="shared" si="2"/>
        <v>0</v>
      </c>
      <c r="H10" s="375">
        <f t="shared" si="2"/>
        <v>0</v>
      </c>
      <c r="I10" s="375">
        <f t="shared" si="2"/>
        <v>0</v>
      </c>
      <c r="J10" s="375">
        <f t="shared" si="2"/>
        <v>0</v>
      </c>
      <c r="K10" s="375">
        <f t="shared" si="2"/>
        <v>0</v>
      </c>
      <c r="L10" s="375">
        <f t="shared" si="2"/>
        <v>0</v>
      </c>
      <c r="M10" s="375">
        <f t="shared" si="2"/>
        <v>0</v>
      </c>
      <c r="N10" s="375">
        <f t="shared" si="2"/>
        <v>0</v>
      </c>
      <c r="O10" s="375">
        <f t="shared" si="2"/>
        <v>0</v>
      </c>
      <c r="P10" s="375">
        <f t="shared" si="2"/>
        <v>0</v>
      </c>
      <c r="Q10" s="375">
        <f t="shared" si="2"/>
        <v>0</v>
      </c>
      <c r="R10" s="109">
        <f t="shared" si="5"/>
        <v>0</v>
      </c>
      <c r="S10" s="3"/>
      <c r="T10" s="3">
        <f t="shared" si="6"/>
        <v>0</v>
      </c>
    </row>
    <row r="11" spans="1:20" x14ac:dyDescent="0.2">
      <c r="A11" s="16"/>
      <c r="B11" s="29" t="s">
        <v>370</v>
      </c>
      <c r="C11" s="28">
        <f t="shared" si="3"/>
        <v>0</v>
      </c>
      <c r="D11" s="13">
        <v>0</v>
      </c>
      <c r="E11" s="7"/>
      <c r="F11" s="375">
        <f t="shared" si="4"/>
        <v>0</v>
      </c>
      <c r="G11" s="375">
        <f t="shared" si="2"/>
        <v>0</v>
      </c>
      <c r="H11" s="375">
        <f t="shared" si="2"/>
        <v>0</v>
      </c>
      <c r="I11" s="375">
        <f t="shared" si="2"/>
        <v>0</v>
      </c>
      <c r="J11" s="375">
        <f t="shared" si="2"/>
        <v>0</v>
      </c>
      <c r="K11" s="375">
        <f t="shared" si="2"/>
        <v>0</v>
      </c>
      <c r="L11" s="375">
        <f t="shared" si="2"/>
        <v>0</v>
      </c>
      <c r="M11" s="375">
        <f t="shared" si="2"/>
        <v>0</v>
      </c>
      <c r="N11" s="375">
        <f t="shared" si="2"/>
        <v>0</v>
      </c>
      <c r="O11" s="375">
        <f t="shared" si="2"/>
        <v>0</v>
      </c>
      <c r="P11" s="375">
        <f t="shared" si="2"/>
        <v>0</v>
      </c>
      <c r="Q11" s="375">
        <f t="shared" si="2"/>
        <v>0</v>
      </c>
      <c r="R11" s="109">
        <f t="shared" si="5"/>
        <v>0</v>
      </c>
      <c r="S11" s="3"/>
      <c r="T11" s="3">
        <f t="shared" si="6"/>
        <v>0</v>
      </c>
    </row>
    <row r="12" spans="1:20" x14ac:dyDescent="0.2">
      <c r="A12" s="16"/>
      <c r="B12" s="29" t="s">
        <v>356</v>
      </c>
      <c r="C12" s="28">
        <f t="shared" si="3"/>
        <v>0</v>
      </c>
      <c r="D12" s="13">
        <v>0</v>
      </c>
      <c r="E12" s="7"/>
      <c r="F12" s="375">
        <f t="shared" si="4"/>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109">
        <f t="shared" si="5"/>
        <v>0</v>
      </c>
      <c r="S12" s="3"/>
      <c r="T12" s="3">
        <f t="shared" si="6"/>
        <v>0</v>
      </c>
    </row>
    <row r="13" spans="1:20" x14ac:dyDescent="0.2">
      <c r="A13" s="16"/>
      <c r="B13" s="29" t="s">
        <v>354</v>
      </c>
      <c r="C13" s="28">
        <f t="shared" si="3"/>
        <v>0</v>
      </c>
      <c r="D13" s="13">
        <v>0</v>
      </c>
      <c r="E13" s="7"/>
      <c r="F13" s="375">
        <f t="shared" si="4"/>
        <v>0</v>
      </c>
      <c r="G13" s="375">
        <f t="shared" si="2"/>
        <v>0</v>
      </c>
      <c r="H13" s="375">
        <f t="shared" si="2"/>
        <v>0</v>
      </c>
      <c r="I13" s="375">
        <f t="shared" si="2"/>
        <v>0</v>
      </c>
      <c r="J13" s="375">
        <f t="shared" si="2"/>
        <v>0</v>
      </c>
      <c r="K13" s="375">
        <f t="shared" si="2"/>
        <v>0</v>
      </c>
      <c r="L13" s="375">
        <f t="shared" si="2"/>
        <v>0</v>
      </c>
      <c r="M13" s="375">
        <f t="shared" si="2"/>
        <v>0</v>
      </c>
      <c r="N13" s="375">
        <f t="shared" si="2"/>
        <v>0</v>
      </c>
      <c r="O13" s="375">
        <f t="shared" si="2"/>
        <v>0</v>
      </c>
      <c r="P13" s="375">
        <f t="shared" si="2"/>
        <v>0</v>
      </c>
      <c r="Q13" s="375">
        <f t="shared" si="2"/>
        <v>0</v>
      </c>
      <c r="R13" s="109">
        <f t="shared" si="5"/>
        <v>0</v>
      </c>
      <c r="S13" s="3"/>
      <c r="T13" s="3">
        <f t="shared" si="6"/>
        <v>0</v>
      </c>
    </row>
    <row r="14" spans="1:20" x14ac:dyDescent="0.2">
      <c r="A14" s="16"/>
      <c r="B14" s="29" t="s">
        <v>357</v>
      </c>
      <c r="C14" s="28">
        <f t="shared" si="3"/>
        <v>0</v>
      </c>
      <c r="D14" s="13">
        <v>0</v>
      </c>
      <c r="E14" s="7"/>
      <c r="F14" s="375">
        <f t="shared" si="4"/>
        <v>0</v>
      </c>
      <c r="G14" s="375">
        <f t="shared" si="2"/>
        <v>0</v>
      </c>
      <c r="H14" s="375">
        <f t="shared" si="2"/>
        <v>0</v>
      </c>
      <c r="I14" s="375">
        <f t="shared" si="2"/>
        <v>0</v>
      </c>
      <c r="J14" s="375">
        <f t="shared" si="2"/>
        <v>0</v>
      </c>
      <c r="K14" s="375">
        <f t="shared" si="2"/>
        <v>0</v>
      </c>
      <c r="L14" s="375">
        <f t="shared" si="2"/>
        <v>0</v>
      </c>
      <c r="M14" s="375">
        <f t="shared" si="2"/>
        <v>0</v>
      </c>
      <c r="N14" s="375">
        <f t="shared" si="2"/>
        <v>0</v>
      </c>
      <c r="O14" s="375">
        <f t="shared" si="2"/>
        <v>0</v>
      </c>
      <c r="P14" s="375">
        <f t="shared" si="2"/>
        <v>0</v>
      </c>
      <c r="Q14" s="375">
        <f t="shared" si="2"/>
        <v>0</v>
      </c>
      <c r="R14" s="109">
        <f t="shared" si="5"/>
        <v>0</v>
      </c>
      <c r="S14" s="3"/>
      <c r="T14" s="3">
        <f t="shared" si="6"/>
        <v>0</v>
      </c>
    </row>
    <row r="15" spans="1:20" ht="13.5" customHeight="1" x14ac:dyDescent="0.2">
      <c r="A15" s="87">
        <v>31110.017</v>
      </c>
      <c r="B15" s="161" t="s">
        <v>411</v>
      </c>
      <c r="C15" s="290">
        <f>SUM(C8:C14)</f>
        <v>0</v>
      </c>
      <c r="D15" s="291"/>
      <c r="E15" s="291"/>
      <c r="F15" s="372">
        <f>SUM(F8:F14)</f>
        <v>0</v>
      </c>
      <c r="G15" s="372">
        <f t="shared" ref="G15:Q15" si="7">SUM(G8:G14)</f>
        <v>0</v>
      </c>
      <c r="H15" s="372">
        <f t="shared" si="7"/>
        <v>0</v>
      </c>
      <c r="I15" s="372">
        <f t="shared" si="7"/>
        <v>0</v>
      </c>
      <c r="J15" s="372">
        <f t="shared" si="7"/>
        <v>0</v>
      </c>
      <c r="K15" s="372">
        <f t="shared" si="7"/>
        <v>0</v>
      </c>
      <c r="L15" s="372">
        <f t="shared" si="7"/>
        <v>0</v>
      </c>
      <c r="M15" s="372">
        <f t="shared" si="7"/>
        <v>0</v>
      </c>
      <c r="N15" s="372">
        <f t="shared" si="7"/>
        <v>0</v>
      </c>
      <c r="O15" s="372">
        <f t="shared" si="7"/>
        <v>0</v>
      </c>
      <c r="P15" s="372">
        <f t="shared" si="7"/>
        <v>0</v>
      </c>
      <c r="Q15" s="372">
        <f t="shared" si="7"/>
        <v>0</v>
      </c>
      <c r="R15" s="369">
        <f t="shared" si="5"/>
        <v>0</v>
      </c>
      <c r="S15" s="291"/>
      <c r="T15" s="291">
        <f t="shared" si="6"/>
        <v>0</v>
      </c>
    </row>
    <row r="16" spans="1:20" ht="13.5" customHeight="1" x14ac:dyDescent="0.2">
      <c r="A16" s="87"/>
      <c r="B16" s="29" t="s">
        <v>424</v>
      </c>
      <c r="C16" s="28">
        <f t="shared" si="3"/>
        <v>0</v>
      </c>
      <c r="D16" s="13">
        <v>0</v>
      </c>
      <c r="E16" s="7"/>
      <c r="F16" s="375">
        <f t="shared" si="4"/>
        <v>0</v>
      </c>
      <c r="G16" s="375">
        <f t="shared" si="4"/>
        <v>0</v>
      </c>
      <c r="H16" s="375">
        <f t="shared" si="4"/>
        <v>0</v>
      </c>
      <c r="I16" s="375">
        <f t="shared" si="4"/>
        <v>0</v>
      </c>
      <c r="J16" s="375">
        <f t="shared" si="4"/>
        <v>0</v>
      </c>
      <c r="K16" s="375">
        <f t="shared" si="4"/>
        <v>0</v>
      </c>
      <c r="L16" s="375">
        <f t="shared" si="4"/>
        <v>0</v>
      </c>
      <c r="M16" s="375">
        <f t="shared" si="4"/>
        <v>0</v>
      </c>
      <c r="N16" s="375">
        <f t="shared" si="4"/>
        <v>0</v>
      </c>
      <c r="O16" s="375">
        <f t="shared" si="4"/>
        <v>0</v>
      </c>
      <c r="P16" s="375">
        <f t="shared" si="4"/>
        <v>0</v>
      </c>
      <c r="Q16" s="375">
        <f t="shared" si="4"/>
        <v>0</v>
      </c>
      <c r="R16" s="109">
        <f t="shared" ref="R16:R22" si="8">SUM(F16:Q16)</f>
        <v>0</v>
      </c>
      <c r="S16" s="3"/>
      <c r="T16" s="3">
        <f t="shared" ref="T16:T22" si="9">C16-R16</f>
        <v>0</v>
      </c>
    </row>
    <row r="17" spans="1:22" ht="13.5" customHeight="1" x14ac:dyDescent="0.2">
      <c r="A17" s="87"/>
      <c r="B17" s="29" t="s">
        <v>425</v>
      </c>
      <c r="C17" s="28">
        <f t="shared" si="3"/>
        <v>0</v>
      </c>
      <c r="D17" s="13">
        <v>0</v>
      </c>
      <c r="E17" s="7"/>
      <c r="F17" s="375">
        <f t="shared" si="4"/>
        <v>0</v>
      </c>
      <c r="G17" s="375">
        <f t="shared" si="4"/>
        <v>0</v>
      </c>
      <c r="H17" s="375">
        <f t="shared" si="4"/>
        <v>0</v>
      </c>
      <c r="I17" s="375">
        <f t="shared" si="4"/>
        <v>0</v>
      </c>
      <c r="J17" s="375">
        <f t="shared" si="4"/>
        <v>0</v>
      </c>
      <c r="K17" s="375">
        <f t="shared" si="4"/>
        <v>0</v>
      </c>
      <c r="L17" s="375">
        <f t="shared" si="4"/>
        <v>0</v>
      </c>
      <c r="M17" s="375">
        <f t="shared" si="4"/>
        <v>0</v>
      </c>
      <c r="N17" s="375">
        <f t="shared" si="4"/>
        <v>0</v>
      </c>
      <c r="O17" s="375">
        <f t="shared" si="4"/>
        <v>0</v>
      </c>
      <c r="P17" s="375">
        <f t="shared" si="4"/>
        <v>0</v>
      </c>
      <c r="Q17" s="375">
        <f t="shared" si="4"/>
        <v>0</v>
      </c>
      <c r="R17" s="109">
        <f t="shared" si="8"/>
        <v>0</v>
      </c>
      <c r="S17" s="3"/>
      <c r="T17" s="3">
        <f t="shared" si="9"/>
        <v>0</v>
      </c>
    </row>
    <row r="18" spans="1:22" ht="13.5" customHeight="1" x14ac:dyDescent="0.2">
      <c r="A18" s="87"/>
      <c r="B18" s="29" t="s">
        <v>426</v>
      </c>
      <c r="C18" s="28">
        <f t="shared" si="3"/>
        <v>0</v>
      </c>
      <c r="D18" s="13">
        <v>0</v>
      </c>
      <c r="E18" s="7"/>
      <c r="F18" s="375">
        <f t="shared" si="4"/>
        <v>0</v>
      </c>
      <c r="G18" s="375">
        <f t="shared" si="4"/>
        <v>0</v>
      </c>
      <c r="H18" s="375">
        <f t="shared" si="4"/>
        <v>0</v>
      </c>
      <c r="I18" s="375">
        <f t="shared" si="4"/>
        <v>0</v>
      </c>
      <c r="J18" s="375">
        <f t="shared" si="4"/>
        <v>0</v>
      </c>
      <c r="K18" s="375">
        <f t="shared" si="4"/>
        <v>0</v>
      </c>
      <c r="L18" s="375">
        <f t="shared" si="4"/>
        <v>0</v>
      </c>
      <c r="M18" s="375">
        <f t="shared" si="4"/>
        <v>0</v>
      </c>
      <c r="N18" s="375">
        <f t="shared" si="4"/>
        <v>0</v>
      </c>
      <c r="O18" s="375">
        <f t="shared" si="4"/>
        <v>0</v>
      </c>
      <c r="P18" s="375">
        <f t="shared" si="4"/>
        <v>0</v>
      </c>
      <c r="Q18" s="375">
        <f t="shared" si="4"/>
        <v>0</v>
      </c>
      <c r="R18" s="109">
        <f t="shared" si="8"/>
        <v>0</v>
      </c>
      <c r="S18" s="3"/>
      <c r="T18" s="3">
        <f t="shared" si="9"/>
        <v>0</v>
      </c>
    </row>
    <row r="19" spans="1:22" ht="13.5" customHeight="1" x14ac:dyDescent="0.2">
      <c r="A19" s="87"/>
      <c r="B19" s="29" t="s">
        <v>427</v>
      </c>
      <c r="C19" s="28">
        <f t="shared" si="3"/>
        <v>0</v>
      </c>
      <c r="D19" s="13">
        <v>0</v>
      </c>
      <c r="E19" s="7"/>
      <c r="F19" s="375">
        <f t="shared" si="4"/>
        <v>0</v>
      </c>
      <c r="G19" s="375">
        <f t="shared" si="4"/>
        <v>0</v>
      </c>
      <c r="H19" s="375">
        <f t="shared" si="4"/>
        <v>0</v>
      </c>
      <c r="I19" s="375">
        <f t="shared" si="4"/>
        <v>0</v>
      </c>
      <c r="J19" s="375">
        <f t="shared" si="4"/>
        <v>0</v>
      </c>
      <c r="K19" s="375">
        <f t="shared" si="4"/>
        <v>0</v>
      </c>
      <c r="L19" s="375">
        <f t="shared" si="4"/>
        <v>0</v>
      </c>
      <c r="M19" s="375">
        <f t="shared" si="4"/>
        <v>0</v>
      </c>
      <c r="N19" s="375">
        <f t="shared" si="4"/>
        <v>0</v>
      </c>
      <c r="O19" s="375">
        <f t="shared" si="4"/>
        <v>0</v>
      </c>
      <c r="P19" s="375">
        <f t="shared" si="4"/>
        <v>0</v>
      </c>
      <c r="Q19" s="375">
        <f t="shared" si="4"/>
        <v>0</v>
      </c>
      <c r="R19" s="109">
        <f t="shared" si="8"/>
        <v>0</v>
      </c>
      <c r="S19" s="3"/>
      <c r="T19" s="3">
        <f t="shared" si="9"/>
        <v>0</v>
      </c>
    </row>
    <row r="20" spans="1:22" ht="13.5" customHeight="1" x14ac:dyDescent="0.2">
      <c r="A20" s="87"/>
      <c r="B20" s="29" t="s">
        <v>428</v>
      </c>
      <c r="C20" s="28">
        <f t="shared" si="3"/>
        <v>0</v>
      </c>
      <c r="D20" s="13">
        <v>0</v>
      </c>
      <c r="E20" s="7"/>
      <c r="F20" s="375">
        <f t="shared" si="4"/>
        <v>0</v>
      </c>
      <c r="G20" s="375">
        <f t="shared" si="4"/>
        <v>0</v>
      </c>
      <c r="H20" s="375">
        <f t="shared" si="4"/>
        <v>0</v>
      </c>
      <c r="I20" s="375">
        <f t="shared" si="4"/>
        <v>0</v>
      </c>
      <c r="J20" s="375">
        <f t="shared" si="4"/>
        <v>0</v>
      </c>
      <c r="K20" s="375">
        <f t="shared" si="4"/>
        <v>0</v>
      </c>
      <c r="L20" s="375">
        <f t="shared" si="4"/>
        <v>0</v>
      </c>
      <c r="M20" s="375">
        <f t="shared" si="4"/>
        <v>0</v>
      </c>
      <c r="N20" s="375">
        <f t="shared" si="4"/>
        <v>0</v>
      </c>
      <c r="O20" s="375">
        <f t="shared" si="4"/>
        <v>0</v>
      </c>
      <c r="P20" s="375">
        <f t="shared" si="4"/>
        <v>0</v>
      </c>
      <c r="Q20" s="375">
        <f t="shared" si="4"/>
        <v>0</v>
      </c>
      <c r="R20" s="109">
        <f t="shared" si="8"/>
        <v>0</v>
      </c>
      <c r="S20" s="3"/>
      <c r="T20" s="3">
        <f t="shared" si="9"/>
        <v>0</v>
      </c>
    </row>
    <row r="21" spans="1:22" ht="13.5" customHeight="1" x14ac:dyDescent="0.2">
      <c r="A21" s="87"/>
      <c r="B21" s="29" t="s">
        <v>429</v>
      </c>
      <c r="C21" s="28">
        <f t="shared" si="3"/>
        <v>0</v>
      </c>
      <c r="D21" s="13">
        <v>0</v>
      </c>
      <c r="E21" s="7"/>
      <c r="F21" s="375">
        <f t="shared" si="4"/>
        <v>0</v>
      </c>
      <c r="G21" s="375">
        <f t="shared" si="4"/>
        <v>0</v>
      </c>
      <c r="H21" s="375">
        <f t="shared" si="4"/>
        <v>0</v>
      </c>
      <c r="I21" s="375">
        <f t="shared" si="4"/>
        <v>0</v>
      </c>
      <c r="J21" s="375">
        <f t="shared" si="4"/>
        <v>0</v>
      </c>
      <c r="K21" s="375">
        <f t="shared" si="4"/>
        <v>0</v>
      </c>
      <c r="L21" s="375">
        <f t="shared" si="4"/>
        <v>0</v>
      </c>
      <c r="M21" s="375">
        <f t="shared" si="4"/>
        <v>0</v>
      </c>
      <c r="N21" s="375">
        <f t="shared" si="4"/>
        <v>0</v>
      </c>
      <c r="O21" s="375">
        <f t="shared" si="4"/>
        <v>0</v>
      </c>
      <c r="P21" s="375">
        <f t="shared" si="4"/>
        <v>0</v>
      </c>
      <c r="Q21" s="375">
        <f t="shared" si="4"/>
        <v>0</v>
      </c>
      <c r="R21" s="109">
        <f t="shared" si="8"/>
        <v>0</v>
      </c>
      <c r="S21" s="3"/>
      <c r="T21" s="3">
        <f t="shared" si="9"/>
        <v>0</v>
      </c>
    </row>
    <row r="22" spans="1:22" ht="13.5" customHeight="1" x14ac:dyDescent="0.2">
      <c r="A22" s="87"/>
      <c r="B22" s="29" t="s">
        <v>430</v>
      </c>
      <c r="C22" s="28">
        <f t="shared" si="3"/>
        <v>0</v>
      </c>
      <c r="D22" s="13">
        <v>0</v>
      </c>
      <c r="E22" s="7"/>
      <c r="F22" s="375">
        <f t="shared" si="4"/>
        <v>0</v>
      </c>
      <c r="G22" s="375">
        <f t="shared" si="4"/>
        <v>0</v>
      </c>
      <c r="H22" s="375">
        <f t="shared" si="4"/>
        <v>0</v>
      </c>
      <c r="I22" s="375">
        <f t="shared" si="4"/>
        <v>0</v>
      </c>
      <c r="J22" s="375">
        <f t="shared" si="4"/>
        <v>0</v>
      </c>
      <c r="K22" s="375">
        <f t="shared" si="4"/>
        <v>0</v>
      </c>
      <c r="L22" s="375">
        <f t="shared" si="4"/>
        <v>0</v>
      </c>
      <c r="M22" s="375">
        <f t="shared" si="4"/>
        <v>0</v>
      </c>
      <c r="N22" s="375">
        <f t="shared" si="4"/>
        <v>0</v>
      </c>
      <c r="O22" s="375">
        <f t="shared" si="4"/>
        <v>0</v>
      </c>
      <c r="P22" s="375">
        <f t="shared" si="4"/>
        <v>0</v>
      </c>
      <c r="Q22" s="375">
        <f t="shared" si="4"/>
        <v>0</v>
      </c>
      <c r="R22" s="109">
        <f t="shared" si="8"/>
        <v>0</v>
      </c>
      <c r="S22" s="3"/>
      <c r="T22" s="3">
        <f t="shared" si="9"/>
        <v>0</v>
      </c>
    </row>
    <row r="23" spans="1:22" s="5" customFormat="1" ht="13.5" customHeight="1" x14ac:dyDescent="0.2">
      <c r="A23" s="87">
        <v>31111.017</v>
      </c>
      <c r="B23" s="161" t="s">
        <v>412</v>
      </c>
      <c r="C23" s="293">
        <f>SUM(C16:C22)</f>
        <v>0</v>
      </c>
      <c r="D23" s="292"/>
      <c r="E23" s="292"/>
      <c r="F23" s="369">
        <f>SUM(F16:F22)</f>
        <v>0</v>
      </c>
      <c r="G23" s="369">
        <f t="shared" ref="G23:Q23" si="10">SUM(G16:G22)</f>
        <v>0</v>
      </c>
      <c r="H23" s="369">
        <f t="shared" si="10"/>
        <v>0</v>
      </c>
      <c r="I23" s="369">
        <f t="shared" si="10"/>
        <v>0</v>
      </c>
      <c r="J23" s="369">
        <f t="shared" si="10"/>
        <v>0</v>
      </c>
      <c r="K23" s="369">
        <f t="shared" si="10"/>
        <v>0</v>
      </c>
      <c r="L23" s="369">
        <f t="shared" si="10"/>
        <v>0</v>
      </c>
      <c r="M23" s="369">
        <f t="shared" si="10"/>
        <v>0</v>
      </c>
      <c r="N23" s="369">
        <f t="shared" si="10"/>
        <v>0</v>
      </c>
      <c r="O23" s="369">
        <f t="shared" si="10"/>
        <v>0</v>
      </c>
      <c r="P23" s="369">
        <f t="shared" si="10"/>
        <v>0</v>
      </c>
      <c r="Q23" s="369">
        <f t="shared" si="10"/>
        <v>0</v>
      </c>
      <c r="R23" s="369">
        <f>SUM(F23:Q23)</f>
        <v>0</v>
      </c>
      <c r="S23" s="292"/>
      <c r="T23" s="291">
        <f t="shared" si="6"/>
        <v>0</v>
      </c>
      <c r="U23" s="6"/>
      <c r="V23" s="6"/>
    </row>
    <row r="24" spans="1:22" x14ac:dyDescent="0.2">
      <c r="A24" s="16"/>
      <c r="B24" s="29" t="s">
        <v>358</v>
      </c>
      <c r="C24" s="28">
        <f>C$3*D24</f>
        <v>0</v>
      </c>
      <c r="D24" s="13">
        <v>0</v>
      </c>
      <c r="E24" s="7"/>
      <c r="F24" s="375">
        <f>$D24*F$3</f>
        <v>0</v>
      </c>
      <c r="G24" s="375">
        <f t="shared" ref="G24:Q30" si="11">$D24*G$3</f>
        <v>0</v>
      </c>
      <c r="H24" s="375">
        <f t="shared" si="11"/>
        <v>0</v>
      </c>
      <c r="I24" s="375">
        <f t="shared" si="11"/>
        <v>0</v>
      </c>
      <c r="J24" s="375">
        <f t="shared" si="11"/>
        <v>0</v>
      </c>
      <c r="K24" s="375">
        <f t="shared" si="11"/>
        <v>0</v>
      </c>
      <c r="L24" s="375">
        <f t="shared" si="11"/>
        <v>0</v>
      </c>
      <c r="M24" s="375">
        <f t="shared" si="11"/>
        <v>0</v>
      </c>
      <c r="N24" s="375">
        <f t="shared" si="11"/>
        <v>0</v>
      </c>
      <c r="O24" s="375">
        <f t="shared" si="11"/>
        <v>0</v>
      </c>
      <c r="P24" s="375">
        <f t="shared" si="11"/>
        <v>0</v>
      </c>
      <c r="Q24" s="375">
        <f t="shared" si="11"/>
        <v>0</v>
      </c>
      <c r="R24" s="109">
        <f t="shared" ref="R24:R30" si="12">SUM(F24:Q24)</f>
        <v>0</v>
      </c>
      <c r="S24" s="3"/>
      <c r="T24" s="3">
        <f t="shared" si="6"/>
        <v>0</v>
      </c>
    </row>
    <row r="25" spans="1:22" x14ac:dyDescent="0.2">
      <c r="A25" s="16"/>
      <c r="B25" s="29" t="s">
        <v>359</v>
      </c>
      <c r="C25" s="28">
        <f t="shared" ref="C25:C30" si="13">C$3*D25</f>
        <v>0</v>
      </c>
      <c r="D25" s="13">
        <v>0</v>
      </c>
      <c r="E25" s="7"/>
      <c r="F25" s="375">
        <f t="shared" ref="F25:F30" si="14">$D25*F$3</f>
        <v>0</v>
      </c>
      <c r="G25" s="375">
        <f t="shared" si="11"/>
        <v>0</v>
      </c>
      <c r="H25" s="375">
        <f t="shared" si="11"/>
        <v>0</v>
      </c>
      <c r="I25" s="375">
        <f t="shared" si="11"/>
        <v>0</v>
      </c>
      <c r="J25" s="375">
        <f t="shared" si="11"/>
        <v>0</v>
      </c>
      <c r="K25" s="375">
        <f t="shared" si="11"/>
        <v>0</v>
      </c>
      <c r="L25" s="375">
        <f t="shared" si="11"/>
        <v>0</v>
      </c>
      <c r="M25" s="375">
        <f t="shared" si="11"/>
        <v>0</v>
      </c>
      <c r="N25" s="375">
        <f t="shared" si="11"/>
        <v>0</v>
      </c>
      <c r="O25" s="375">
        <f t="shared" si="11"/>
        <v>0</v>
      </c>
      <c r="P25" s="375">
        <f t="shared" si="11"/>
        <v>0</v>
      </c>
      <c r="Q25" s="375">
        <f t="shared" si="11"/>
        <v>0</v>
      </c>
      <c r="R25" s="109">
        <f t="shared" si="12"/>
        <v>0</v>
      </c>
      <c r="S25" s="3"/>
      <c r="T25" s="3">
        <f t="shared" si="6"/>
        <v>0</v>
      </c>
    </row>
    <row r="26" spans="1:22" x14ac:dyDescent="0.2">
      <c r="A26" s="16"/>
      <c r="B26" s="29" t="s">
        <v>372</v>
      </c>
      <c r="C26" s="28">
        <f t="shared" si="13"/>
        <v>0</v>
      </c>
      <c r="D26" s="13">
        <v>0</v>
      </c>
      <c r="E26" s="7"/>
      <c r="F26" s="375">
        <f t="shared" si="14"/>
        <v>0</v>
      </c>
      <c r="G26" s="375">
        <f t="shared" si="11"/>
        <v>0</v>
      </c>
      <c r="H26" s="375">
        <f t="shared" si="11"/>
        <v>0</v>
      </c>
      <c r="I26" s="375">
        <f t="shared" si="11"/>
        <v>0</v>
      </c>
      <c r="J26" s="375">
        <f t="shared" si="11"/>
        <v>0</v>
      </c>
      <c r="K26" s="375">
        <f t="shared" si="11"/>
        <v>0</v>
      </c>
      <c r="L26" s="375">
        <f t="shared" si="11"/>
        <v>0</v>
      </c>
      <c r="M26" s="375">
        <f t="shared" si="11"/>
        <v>0</v>
      </c>
      <c r="N26" s="375">
        <f t="shared" si="11"/>
        <v>0</v>
      </c>
      <c r="O26" s="375">
        <f t="shared" si="11"/>
        <v>0</v>
      </c>
      <c r="P26" s="375">
        <f t="shared" si="11"/>
        <v>0</v>
      </c>
      <c r="Q26" s="375">
        <f t="shared" si="11"/>
        <v>0</v>
      </c>
      <c r="R26" s="109">
        <f t="shared" si="12"/>
        <v>0</v>
      </c>
      <c r="S26" s="3"/>
      <c r="T26" s="3">
        <f t="shared" si="6"/>
        <v>0</v>
      </c>
    </row>
    <row r="27" spans="1:22" x14ac:dyDescent="0.2">
      <c r="A27" s="16"/>
      <c r="B27" s="29" t="s">
        <v>373</v>
      </c>
      <c r="C27" s="28">
        <f t="shared" si="13"/>
        <v>0</v>
      </c>
      <c r="D27" s="13">
        <v>0</v>
      </c>
      <c r="E27" s="7"/>
      <c r="F27" s="375">
        <f t="shared" si="14"/>
        <v>0</v>
      </c>
      <c r="G27" s="375">
        <f t="shared" si="11"/>
        <v>0</v>
      </c>
      <c r="H27" s="375">
        <f t="shared" si="11"/>
        <v>0</v>
      </c>
      <c r="I27" s="375">
        <f t="shared" si="11"/>
        <v>0</v>
      </c>
      <c r="J27" s="375">
        <f t="shared" si="11"/>
        <v>0</v>
      </c>
      <c r="K27" s="375">
        <f t="shared" si="11"/>
        <v>0</v>
      </c>
      <c r="L27" s="375">
        <f t="shared" si="11"/>
        <v>0</v>
      </c>
      <c r="M27" s="375">
        <f t="shared" si="11"/>
        <v>0</v>
      </c>
      <c r="N27" s="375">
        <f t="shared" si="11"/>
        <v>0</v>
      </c>
      <c r="O27" s="375">
        <f t="shared" si="11"/>
        <v>0</v>
      </c>
      <c r="P27" s="375">
        <f t="shared" si="11"/>
        <v>0</v>
      </c>
      <c r="Q27" s="375">
        <f t="shared" si="11"/>
        <v>0</v>
      </c>
      <c r="R27" s="109">
        <f t="shared" si="12"/>
        <v>0</v>
      </c>
      <c r="S27" s="3"/>
      <c r="T27" s="3">
        <f t="shared" si="6"/>
        <v>0</v>
      </c>
    </row>
    <row r="28" spans="1:22" x14ac:dyDescent="0.2">
      <c r="A28" s="16"/>
      <c r="B28" s="29" t="s">
        <v>361</v>
      </c>
      <c r="C28" s="28">
        <f t="shared" si="13"/>
        <v>0</v>
      </c>
      <c r="D28" s="13">
        <v>0</v>
      </c>
      <c r="E28" s="7"/>
      <c r="F28" s="375">
        <f t="shared" si="14"/>
        <v>0</v>
      </c>
      <c r="G28" s="375">
        <f t="shared" si="11"/>
        <v>0</v>
      </c>
      <c r="H28" s="375">
        <f t="shared" si="11"/>
        <v>0</v>
      </c>
      <c r="I28" s="375">
        <f t="shared" si="11"/>
        <v>0</v>
      </c>
      <c r="J28" s="375">
        <f t="shared" si="11"/>
        <v>0</v>
      </c>
      <c r="K28" s="375">
        <f t="shared" si="11"/>
        <v>0</v>
      </c>
      <c r="L28" s="375">
        <f t="shared" si="11"/>
        <v>0</v>
      </c>
      <c r="M28" s="375">
        <f t="shared" si="11"/>
        <v>0</v>
      </c>
      <c r="N28" s="375">
        <f t="shared" si="11"/>
        <v>0</v>
      </c>
      <c r="O28" s="375">
        <f t="shared" si="11"/>
        <v>0</v>
      </c>
      <c r="P28" s="375">
        <f t="shared" si="11"/>
        <v>0</v>
      </c>
      <c r="Q28" s="375">
        <f t="shared" si="11"/>
        <v>0</v>
      </c>
      <c r="R28" s="109">
        <f t="shared" si="12"/>
        <v>0</v>
      </c>
      <c r="S28" s="3"/>
      <c r="T28" s="3">
        <f t="shared" si="6"/>
        <v>0</v>
      </c>
    </row>
    <row r="29" spans="1:22" x14ac:dyDescent="0.2">
      <c r="A29" s="16"/>
      <c r="B29" s="29" t="s">
        <v>360</v>
      </c>
      <c r="C29" s="28">
        <f t="shared" si="13"/>
        <v>0</v>
      </c>
      <c r="D29" s="13">
        <v>0</v>
      </c>
      <c r="E29" s="7"/>
      <c r="F29" s="375">
        <f t="shared" si="14"/>
        <v>0</v>
      </c>
      <c r="G29" s="375">
        <f t="shared" si="11"/>
        <v>0</v>
      </c>
      <c r="H29" s="375">
        <f t="shared" si="11"/>
        <v>0</v>
      </c>
      <c r="I29" s="375">
        <f t="shared" si="11"/>
        <v>0</v>
      </c>
      <c r="J29" s="375">
        <f t="shared" si="11"/>
        <v>0</v>
      </c>
      <c r="K29" s="375">
        <f t="shared" si="11"/>
        <v>0</v>
      </c>
      <c r="L29" s="375">
        <f t="shared" si="11"/>
        <v>0</v>
      </c>
      <c r="M29" s="375">
        <f t="shared" si="11"/>
        <v>0</v>
      </c>
      <c r="N29" s="375">
        <f t="shared" si="11"/>
        <v>0</v>
      </c>
      <c r="O29" s="375">
        <f t="shared" si="11"/>
        <v>0</v>
      </c>
      <c r="P29" s="375">
        <f t="shared" si="11"/>
        <v>0</v>
      </c>
      <c r="Q29" s="375">
        <f t="shared" si="11"/>
        <v>0</v>
      </c>
      <c r="R29" s="109">
        <f t="shared" si="12"/>
        <v>0</v>
      </c>
      <c r="S29" s="3"/>
      <c r="T29" s="3">
        <f t="shared" si="6"/>
        <v>0</v>
      </c>
    </row>
    <row r="30" spans="1:22" x14ac:dyDescent="0.2">
      <c r="A30" s="16"/>
      <c r="B30" s="29" t="s">
        <v>362</v>
      </c>
      <c r="C30" s="28">
        <f t="shared" si="13"/>
        <v>0</v>
      </c>
      <c r="D30" s="13">
        <v>0</v>
      </c>
      <c r="E30" s="7"/>
      <c r="F30" s="375">
        <f t="shared" si="14"/>
        <v>0</v>
      </c>
      <c r="G30" s="375">
        <f t="shared" si="11"/>
        <v>0</v>
      </c>
      <c r="H30" s="375">
        <f t="shared" si="11"/>
        <v>0</v>
      </c>
      <c r="I30" s="375">
        <f t="shared" si="11"/>
        <v>0</v>
      </c>
      <c r="J30" s="375">
        <f t="shared" si="11"/>
        <v>0</v>
      </c>
      <c r="K30" s="375">
        <f t="shared" si="11"/>
        <v>0</v>
      </c>
      <c r="L30" s="375">
        <f t="shared" si="11"/>
        <v>0</v>
      </c>
      <c r="M30" s="375">
        <f t="shared" si="11"/>
        <v>0</v>
      </c>
      <c r="N30" s="375">
        <f t="shared" si="11"/>
        <v>0</v>
      </c>
      <c r="O30" s="375">
        <f t="shared" si="11"/>
        <v>0</v>
      </c>
      <c r="P30" s="375">
        <f t="shared" si="11"/>
        <v>0</v>
      </c>
      <c r="Q30" s="375">
        <f t="shared" si="11"/>
        <v>0</v>
      </c>
      <c r="R30" s="109">
        <f t="shared" si="12"/>
        <v>0</v>
      </c>
      <c r="S30" s="3"/>
      <c r="T30" s="3">
        <f t="shared" si="6"/>
        <v>0</v>
      </c>
    </row>
    <row r="31" spans="1:22" s="5" customFormat="1" x14ac:dyDescent="0.2">
      <c r="A31" s="90">
        <v>31200.017</v>
      </c>
      <c r="B31" s="161" t="s">
        <v>413</v>
      </c>
      <c r="C31" s="293">
        <f>SUM(C24:C30)</f>
        <v>0</v>
      </c>
      <c r="D31" s="292"/>
      <c r="E31" s="292"/>
      <c r="F31" s="369">
        <f t="shared" ref="F31:Q31" si="15">SUM(F24:F30)</f>
        <v>0</v>
      </c>
      <c r="G31" s="369">
        <f t="shared" si="15"/>
        <v>0</v>
      </c>
      <c r="H31" s="369">
        <f t="shared" si="15"/>
        <v>0</v>
      </c>
      <c r="I31" s="369">
        <f t="shared" si="15"/>
        <v>0</v>
      </c>
      <c r="J31" s="369">
        <f t="shared" si="15"/>
        <v>0</v>
      </c>
      <c r="K31" s="369">
        <f t="shared" si="15"/>
        <v>0</v>
      </c>
      <c r="L31" s="369">
        <f t="shared" si="15"/>
        <v>0</v>
      </c>
      <c r="M31" s="369">
        <f t="shared" si="15"/>
        <v>0</v>
      </c>
      <c r="N31" s="369">
        <f t="shared" si="15"/>
        <v>0</v>
      </c>
      <c r="O31" s="369">
        <f t="shared" si="15"/>
        <v>0</v>
      </c>
      <c r="P31" s="369">
        <f t="shared" si="15"/>
        <v>0</v>
      </c>
      <c r="Q31" s="369">
        <f t="shared" si="15"/>
        <v>0</v>
      </c>
      <c r="R31" s="369">
        <f>SUM(F31:Q31)</f>
        <v>0</v>
      </c>
      <c r="S31" s="292"/>
      <c r="T31" s="291">
        <f t="shared" si="6"/>
        <v>0</v>
      </c>
      <c r="U31" s="6"/>
      <c r="V31" s="6"/>
    </row>
    <row r="32" spans="1:22" s="5" customFormat="1" x14ac:dyDescent="0.2">
      <c r="A32" s="11"/>
      <c r="B32" s="10" t="s">
        <v>0</v>
      </c>
      <c r="C32" s="293">
        <f>C23+C31+C15</f>
        <v>0</v>
      </c>
      <c r="D32" s="292" t="e">
        <f>(C32/C32)</f>
        <v>#DIV/0!</v>
      </c>
      <c r="E32" s="292"/>
      <c r="F32" s="369">
        <f>SUM(F23+F31+F15)</f>
        <v>0</v>
      </c>
      <c r="G32" s="369">
        <f t="shared" ref="G32:Q32" si="16">SUM(G23+G31+G15)</f>
        <v>0</v>
      </c>
      <c r="H32" s="369">
        <f t="shared" si="16"/>
        <v>0</v>
      </c>
      <c r="I32" s="369">
        <f t="shared" si="16"/>
        <v>0</v>
      </c>
      <c r="J32" s="369">
        <f t="shared" si="16"/>
        <v>0</v>
      </c>
      <c r="K32" s="369">
        <f t="shared" si="16"/>
        <v>0</v>
      </c>
      <c r="L32" s="369">
        <f t="shared" si="16"/>
        <v>0</v>
      </c>
      <c r="M32" s="369">
        <f t="shared" si="16"/>
        <v>0</v>
      </c>
      <c r="N32" s="369">
        <f t="shared" si="16"/>
        <v>0</v>
      </c>
      <c r="O32" s="369">
        <f t="shared" si="16"/>
        <v>0</v>
      </c>
      <c r="P32" s="369">
        <f t="shared" si="16"/>
        <v>0</v>
      </c>
      <c r="Q32" s="369">
        <f t="shared" si="16"/>
        <v>0</v>
      </c>
      <c r="R32" s="369">
        <f>SUM(F32:Q32)</f>
        <v>0</v>
      </c>
      <c r="S32" s="292"/>
      <c r="T32" s="291">
        <f t="shared" si="6"/>
        <v>0</v>
      </c>
      <c r="U32" s="6"/>
      <c r="V32" s="6"/>
    </row>
    <row r="33" spans="1:20" x14ac:dyDescent="0.2">
      <c r="A33" s="711" t="s">
        <v>25</v>
      </c>
      <c r="B33" s="711"/>
      <c r="C33" s="711"/>
      <c r="D33" s="711"/>
      <c r="E33" s="37"/>
      <c r="F33" s="375"/>
      <c r="G33" s="375"/>
      <c r="H33" s="375"/>
      <c r="I33" s="375"/>
      <c r="J33" s="375"/>
      <c r="K33" s="375"/>
      <c r="L33" s="375"/>
      <c r="M33" s="375"/>
      <c r="N33" s="376"/>
      <c r="O33" s="376"/>
      <c r="P33" s="376"/>
      <c r="Q33" s="376"/>
      <c r="R33" s="109"/>
      <c r="S33" s="3"/>
      <c r="T33" s="3"/>
    </row>
    <row r="34" spans="1:20" ht="25.5" customHeight="1" x14ac:dyDescent="0.2">
      <c r="A34" s="21"/>
      <c r="B34" s="10" t="s">
        <v>408</v>
      </c>
      <c r="C34" s="20"/>
      <c r="F34" s="375"/>
      <c r="G34" s="375"/>
      <c r="H34" s="375"/>
      <c r="I34" s="375"/>
      <c r="J34" s="375"/>
      <c r="K34" s="375"/>
      <c r="L34" s="375"/>
      <c r="M34" s="375"/>
      <c r="N34" s="376"/>
      <c r="O34" s="376"/>
      <c r="P34" s="376"/>
      <c r="Q34" s="376"/>
      <c r="R34" s="109"/>
      <c r="S34" s="3"/>
      <c r="T34" s="3"/>
    </row>
    <row r="35" spans="1:20" x14ac:dyDescent="0.2">
      <c r="A35" s="87">
        <v>41237.017</v>
      </c>
      <c r="B35" s="15" t="s">
        <v>17</v>
      </c>
      <c r="C35" s="14">
        <f>'[6]Sterile Supply'!$I$15</f>
        <v>13200</v>
      </c>
      <c r="D35" s="13">
        <f t="shared" ref="D35:D43" si="17">$C35/C$4</f>
        <v>22.335025380710661</v>
      </c>
      <c r="E35" s="131"/>
      <c r="F35" s="375">
        <f t="shared" ref="F35:Q43" si="18">$D35*F$4</f>
        <v>1094.4162436548224</v>
      </c>
      <c r="G35" s="375">
        <f t="shared" si="18"/>
        <v>1161.4213197969543</v>
      </c>
      <c r="H35" s="375">
        <f t="shared" si="18"/>
        <v>848.73096446700515</v>
      </c>
      <c r="I35" s="375">
        <f t="shared" si="18"/>
        <v>893.40101522842644</v>
      </c>
      <c r="J35" s="375">
        <f t="shared" si="18"/>
        <v>1273.0964467005076</v>
      </c>
      <c r="K35" s="375">
        <f t="shared" si="18"/>
        <v>982.74111675126915</v>
      </c>
      <c r="L35" s="375">
        <f t="shared" si="18"/>
        <v>1027.4111675126903</v>
      </c>
      <c r="M35" s="375">
        <f t="shared" si="18"/>
        <v>1340.1015228426397</v>
      </c>
      <c r="N35" s="375">
        <f t="shared" si="18"/>
        <v>982.74111675126915</v>
      </c>
      <c r="O35" s="375">
        <f t="shared" si="18"/>
        <v>1116.7512690355331</v>
      </c>
      <c r="P35" s="375">
        <f t="shared" si="18"/>
        <v>1518.7817258883249</v>
      </c>
      <c r="Q35" s="375">
        <f t="shared" si="18"/>
        <v>960.40609137055844</v>
      </c>
      <c r="R35" s="109">
        <f t="shared" ref="R35:R44" si="19">SUM(F35:Q35)</f>
        <v>13200</v>
      </c>
      <c r="S35" s="3"/>
      <c r="T35" s="7">
        <f t="shared" ref="T35:T44" si="20">C35-R35</f>
        <v>0</v>
      </c>
    </row>
    <row r="36" spans="1:20" x14ac:dyDescent="0.2">
      <c r="A36" s="87">
        <v>41246.017</v>
      </c>
      <c r="B36" s="15" t="s">
        <v>16</v>
      </c>
      <c r="C36" s="14"/>
      <c r="D36" s="13">
        <f t="shared" si="17"/>
        <v>0</v>
      </c>
      <c r="E36" s="131"/>
      <c r="F36" s="375">
        <f t="shared" si="18"/>
        <v>0</v>
      </c>
      <c r="G36" s="375">
        <f t="shared" si="18"/>
        <v>0</v>
      </c>
      <c r="H36" s="375">
        <f t="shared" si="18"/>
        <v>0</v>
      </c>
      <c r="I36" s="375">
        <f t="shared" si="18"/>
        <v>0</v>
      </c>
      <c r="J36" s="375">
        <f t="shared" si="18"/>
        <v>0</v>
      </c>
      <c r="K36" s="375">
        <f t="shared" si="18"/>
        <v>0</v>
      </c>
      <c r="L36" s="375">
        <f t="shared" si="18"/>
        <v>0</v>
      </c>
      <c r="M36" s="375">
        <f t="shared" si="18"/>
        <v>0</v>
      </c>
      <c r="N36" s="375">
        <f t="shared" si="18"/>
        <v>0</v>
      </c>
      <c r="O36" s="375">
        <f t="shared" si="18"/>
        <v>0</v>
      </c>
      <c r="P36" s="375">
        <f t="shared" si="18"/>
        <v>0</v>
      </c>
      <c r="Q36" s="375">
        <f t="shared" si="18"/>
        <v>0</v>
      </c>
      <c r="R36" s="109">
        <f t="shared" si="19"/>
        <v>0</v>
      </c>
      <c r="S36" s="3"/>
      <c r="T36" s="7">
        <f t="shared" si="20"/>
        <v>0</v>
      </c>
    </row>
    <row r="37" spans="1:20" x14ac:dyDescent="0.2">
      <c r="A37" s="87">
        <v>41250.017</v>
      </c>
      <c r="B37" s="15" t="s">
        <v>15</v>
      </c>
      <c r="C37" s="14"/>
      <c r="D37" s="13">
        <f t="shared" si="17"/>
        <v>0</v>
      </c>
      <c r="E37" s="131"/>
      <c r="F37" s="375">
        <f t="shared" si="18"/>
        <v>0</v>
      </c>
      <c r="G37" s="375">
        <f t="shared" si="18"/>
        <v>0</v>
      </c>
      <c r="H37" s="375">
        <f t="shared" si="18"/>
        <v>0</v>
      </c>
      <c r="I37" s="375">
        <f t="shared" si="18"/>
        <v>0</v>
      </c>
      <c r="J37" s="375">
        <f t="shared" si="18"/>
        <v>0</v>
      </c>
      <c r="K37" s="375">
        <f t="shared" si="18"/>
        <v>0</v>
      </c>
      <c r="L37" s="375">
        <f t="shared" si="18"/>
        <v>0</v>
      </c>
      <c r="M37" s="375">
        <f t="shared" si="18"/>
        <v>0</v>
      </c>
      <c r="N37" s="375">
        <f t="shared" si="18"/>
        <v>0</v>
      </c>
      <c r="O37" s="375">
        <f t="shared" si="18"/>
        <v>0</v>
      </c>
      <c r="P37" s="375">
        <f t="shared" si="18"/>
        <v>0</v>
      </c>
      <c r="Q37" s="375">
        <f t="shared" si="18"/>
        <v>0</v>
      </c>
      <c r="R37" s="109">
        <f t="shared" si="19"/>
        <v>0</v>
      </c>
      <c r="S37" s="3"/>
      <c r="T37" s="7">
        <f t="shared" si="20"/>
        <v>0</v>
      </c>
    </row>
    <row r="38" spans="1:20" x14ac:dyDescent="0.2">
      <c r="A38" s="87">
        <v>41260.017</v>
      </c>
      <c r="B38" s="15" t="s">
        <v>14</v>
      </c>
      <c r="C38" s="14"/>
      <c r="D38" s="13">
        <f t="shared" si="17"/>
        <v>0</v>
      </c>
      <c r="E38" s="131"/>
      <c r="F38" s="375">
        <f t="shared" si="18"/>
        <v>0</v>
      </c>
      <c r="G38" s="375">
        <f t="shared" si="18"/>
        <v>0</v>
      </c>
      <c r="H38" s="375">
        <f t="shared" si="18"/>
        <v>0</v>
      </c>
      <c r="I38" s="375">
        <f t="shared" si="18"/>
        <v>0</v>
      </c>
      <c r="J38" s="375">
        <f t="shared" si="18"/>
        <v>0</v>
      </c>
      <c r="K38" s="375">
        <f t="shared" si="18"/>
        <v>0</v>
      </c>
      <c r="L38" s="375">
        <f t="shared" si="18"/>
        <v>0</v>
      </c>
      <c r="M38" s="375">
        <f t="shared" si="18"/>
        <v>0</v>
      </c>
      <c r="N38" s="375">
        <f t="shared" si="18"/>
        <v>0</v>
      </c>
      <c r="O38" s="375">
        <f t="shared" si="18"/>
        <v>0</v>
      </c>
      <c r="P38" s="375">
        <f t="shared" si="18"/>
        <v>0</v>
      </c>
      <c r="Q38" s="375">
        <f t="shared" si="18"/>
        <v>0</v>
      </c>
      <c r="R38" s="109">
        <f t="shared" si="19"/>
        <v>0</v>
      </c>
      <c r="S38" s="3"/>
      <c r="T38" s="7">
        <f t="shared" si="20"/>
        <v>0</v>
      </c>
    </row>
    <row r="39" spans="1:20" x14ac:dyDescent="0.2">
      <c r="A39" s="132">
        <v>41365.017</v>
      </c>
      <c r="B39" s="15" t="s">
        <v>10</v>
      </c>
      <c r="C39" s="14"/>
      <c r="D39" s="13">
        <f t="shared" si="17"/>
        <v>0</v>
      </c>
      <c r="E39" s="131"/>
      <c r="F39" s="375">
        <f t="shared" si="18"/>
        <v>0</v>
      </c>
      <c r="G39" s="375">
        <f t="shared" si="18"/>
        <v>0</v>
      </c>
      <c r="H39" s="375">
        <f t="shared" si="18"/>
        <v>0</v>
      </c>
      <c r="I39" s="375">
        <f t="shared" si="18"/>
        <v>0</v>
      </c>
      <c r="J39" s="375">
        <f t="shared" si="18"/>
        <v>0</v>
      </c>
      <c r="K39" s="375">
        <f t="shared" si="18"/>
        <v>0</v>
      </c>
      <c r="L39" s="375">
        <f t="shared" si="18"/>
        <v>0</v>
      </c>
      <c r="M39" s="375">
        <f t="shared" si="18"/>
        <v>0</v>
      </c>
      <c r="N39" s="375">
        <f t="shared" si="18"/>
        <v>0</v>
      </c>
      <c r="O39" s="375">
        <f t="shared" si="18"/>
        <v>0</v>
      </c>
      <c r="P39" s="375">
        <f t="shared" si="18"/>
        <v>0</v>
      </c>
      <c r="Q39" s="375">
        <f t="shared" si="18"/>
        <v>0</v>
      </c>
      <c r="R39" s="109">
        <f t="shared" si="19"/>
        <v>0</v>
      </c>
      <c r="S39" s="3"/>
      <c r="T39" s="7">
        <f t="shared" si="20"/>
        <v>0</v>
      </c>
    </row>
    <row r="40" spans="1:20" x14ac:dyDescent="0.2">
      <c r="A40" s="87">
        <v>41426.017</v>
      </c>
      <c r="B40" s="15" t="s">
        <v>8</v>
      </c>
      <c r="C40" s="14"/>
      <c r="D40" s="13">
        <f t="shared" si="17"/>
        <v>0</v>
      </c>
      <c r="E40" s="131"/>
      <c r="F40" s="375">
        <f t="shared" si="18"/>
        <v>0</v>
      </c>
      <c r="G40" s="375">
        <f t="shared" si="18"/>
        <v>0</v>
      </c>
      <c r="H40" s="375">
        <f t="shared" si="18"/>
        <v>0</v>
      </c>
      <c r="I40" s="375">
        <f t="shared" si="18"/>
        <v>0</v>
      </c>
      <c r="J40" s="375">
        <f t="shared" si="18"/>
        <v>0</v>
      </c>
      <c r="K40" s="375">
        <f t="shared" si="18"/>
        <v>0</v>
      </c>
      <c r="L40" s="375">
        <f t="shared" si="18"/>
        <v>0</v>
      </c>
      <c r="M40" s="375">
        <f t="shared" si="18"/>
        <v>0</v>
      </c>
      <c r="N40" s="375">
        <f t="shared" si="18"/>
        <v>0</v>
      </c>
      <c r="O40" s="375">
        <f t="shared" si="18"/>
        <v>0</v>
      </c>
      <c r="P40" s="375">
        <f t="shared" si="18"/>
        <v>0</v>
      </c>
      <c r="Q40" s="375">
        <f t="shared" si="18"/>
        <v>0</v>
      </c>
      <c r="R40" s="109">
        <f t="shared" si="19"/>
        <v>0</v>
      </c>
      <c r="S40" s="3"/>
      <c r="T40" s="7">
        <f t="shared" si="20"/>
        <v>0</v>
      </c>
    </row>
    <row r="41" spans="1:20" x14ac:dyDescent="0.2">
      <c r="A41" s="87">
        <v>41490.017</v>
      </c>
      <c r="B41" s="15" t="s">
        <v>367</v>
      </c>
      <c r="C41" s="14"/>
      <c r="D41" s="13">
        <f t="shared" si="17"/>
        <v>0</v>
      </c>
      <c r="E41" s="131"/>
      <c r="F41" s="375">
        <f t="shared" si="18"/>
        <v>0</v>
      </c>
      <c r="G41" s="375">
        <f t="shared" si="18"/>
        <v>0</v>
      </c>
      <c r="H41" s="375">
        <f t="shared" si="18"/>
        <v>0</v>
      </c>
      <c r="I41" s="375">
        <f t="shared" si="18"/>
        <v>0</v>
      </c>
      <c r="J41" s="375">
        <f t="shared" si="18"/>
        <v>0</v>
      </c>
      <c r="K41" s="375">
        <f t="shared" si="18"/>
        <v>0</v>
      </c>
      <c r="L41" s="375">
        <f t="shared" si="18"/>
        <v>0</v>
      </c>
      <c r="M41" s="375">
        <f t="shared" si="18"/>
        <v>0</v>
      </c>
      <c r="N41" s="375">
        <f t="shared" si="18"/>
        <v>0</v>
      </c>
      <c r="O41" s="375">
        <f t="shared" si="18"/>
        <v>0</v>
      </c>
      <c r="P41" s="375">
        <f t="shared" si="18"/>
        <v>0</v>
      </c>
      <c r="Q41" s="375">
        <f t="shared" si="18"/>
        <v>0</v>
      </c>
      <c r="R41" s="109">
        <f t="shared" si="19"/>
        <v>0</v>
      </c>
      <c r="S41" s="3"/>
      <c r="T41" s="7">
        <f t="shared" si="20"/>
        <v>0</v>
      </c>
    </row>
    <row r="42" spans="1:20" x14ac:dyDescent="0.2">
      <c r="A42" s="87">
        <v>41509.017</v>
      </c>
      <c r="B42" s="15" t="s">
        <v>3</v>
      </c>
      <c r="C42" s="14"/>
      <c r="D42" s="13">
        <f t="shared" si="17"/>
        <v>0</v>
      </c>
      <c r="E42" s="131"/>
      <c r="F42" s="375">
        <f t="shared" si="18"/>
        <v>0</v>
      </c>
      <c r="G42" s="375">
        <f t="shared" si="18"/>
        <v>0</v>
      </c>
      <c r="H42" s="375">
        <f t="shared" si="18"/>
        <v>0</v>
      </c>
      <c r="I42" s="375">
        <f t="shared" si="18"/>
        <v>0</v>
      </c>
      <c r="J42" s="375">
        <f t="shared" si="18"/>
        <v>0</v>
      </c>
      <c r="K42" s="375">
        <f t="shared" si="18"/>
        <v>0</v>
      </c>
      <c r="L42" s="375">
        <f t="shared" si="18"/>
        <v>0</v>
      </c>
      <c r="M42" s="375">
        <f t="shared" si="18"/>
        <v>0</v>
      </c>
      <c r="N42" s="375">
        <f t="shared" si="18"/>
        <v>0</v>
      </c>
      <c r="O42" s="375">
        <f t="shared" si="18"/>
        <v>0</v>
      </c>
      <c r="P42" s="375">
        <f t="shared" si="18"/>
        <v>0</v>
      </c>
      <c r="Q42" s="375">
        <f t="shared" si="18"/>
        <v>0</v>
      </c>
      <c r="R42" s="109">
        <f t="shared" si="19"/>
        <v>0</v>
      </c>
      <c r="S42" s="3"/>
      <c r="T42" s="7">
        <f t="shared" si="20"/>
        <v>0</v>
      </c>
    </row>
    <row r="43" spans="1:20" x14ac:dyDescent="0.2">
      <c r="A43" s="87">
        <v>41570.017</v>
      </c>
      <c r="B43" s="15" t="s">
        <v>2</v>
      </c>
      <c r="C43" s="14"/>
      <c r="D43" s="13">
        <f t="shared" si="17"/>
        <v>0</v>
      </c>
      <c r="E43" s="131"/>
      <c r="F43" s="375">
        <f t="shared" si="18"/>
        <v>0</v>
      </c>
      <c r="G43" s="375">
        <f t="shared" si="18"/>
        <v>0</v>
      </c>
      <c r="H43" s="375">
        <f t="shared" si="18"/>
        <v>0</v>
      </c>
      <c r="I43" s="375">
        <f t="shared" si="18"/>
        <v>0</v>
      </c>
      <c r="J43" s="375">
        <f t="shared" si="18"/>
        <v>0</v>
      </c>
      <c r="K43" s="375">
        <f t="shared" si="18"/>
        <v>0</v>
      </c>
      <c r="L43" s="375">
        <f t="shared" si="18"/>
        <v>0</v>
      </c>
      <c r="M43" s="375">
        <f t="shared" si="18"/>
        <v>0</v>
      </c>
      <c r="N43" s="375">
        <f t="shared" si="18"/>
        <v>0</v>
      </c>
      <c r="O43" s="375">
        <f t="shared" si="18"/>
        <v>0</v>
      </c>
      <c r="P43" s="375">
        <f t="shared" si="18"/>
        <v>0</v>
      </c>
      <c r="Q43" s="375">
        <f t="shared" si="18"/>
        <v>0</v>
      </c>
      <c r="R43" s="109">
        <f t="shared" si="19"/>
        <v>0</v>
      </c>
      <c r="S43" s="3"/>
      <c r="T43" s="7">
        <f t="shared" si="20"/>
        <v>0</v>
      </c>
    </row>
    <row r="44" spans="1:20" x14ac:dyDescent="0.2">
      <c r="A44" s="31"/>
      <c r="B44" s="77" t="s">
        <v>0</v>
      </c>
      <c r="C44" s="88">
        <f>SUM(C35:C43)</f>
        <v>13200</v>
      </c>
      <c r="F44" s="379">
        <f t="shared" ref="F44:Q44" si="21">SUM(F35:F43)</f>
        <v>1094.4162436548224</v>
      </c>
      <c r="G44" s="379">
        <f t="shared" si="21"/>
        <v>1161.4213197969543</v>
      </c>
      <c r="H44" s="379">
        <f t="shared" si="21"/>
        <v>848.73096446700515</v>
      </c>
      <c r="I44" s="379">
        <f t="shared" si="21"/>
        <v>893.40101522842644</v>
      </c>
      <c r="J44" s="379">
        <f t="shared" si="21"/>
        <v>1273.0964467005076</v>
      </c>
      <c r="K44" s="379">
        <f t="shared" si="21"/>
        <v>982.74111675126915</v>
      </c>
      <c r="L44" s="379">
        <f t="shared" si="21"/>
        <v>1027.4111675126903</v>
      </c>
      <c r="M44" s="379">
        <f t="shared" si="21"/>
        <v>1340.1015228426397</v>
      </c>
      <c r="N44" s="379">
        <f t="shared" si="21"/>
        <v>982.74111675126915</v>
      </c>
      <c r="O44" s="379">
        <f t="shared" si="21"/>
        <v>1116.7512690355331</v>
      </c>
      <c r="P44" s="379">
        <f t="shared" si="21"/>
        <v>1518.7817258883249</v>
      </c>
      <c r="Q44" s="379">
        <f t="shared" si="21"/>
        <v>960.40609137055844</v>
      </c>
      <c r="R44" s="109">
        <f t="shared" si="19"/>
        <v>13200</v>
      </c>
      <c r="S44" s="3"/>
      <c r="T44" s="7">
        <f t="shared" si="20"/>
        <v>0</v>
      </c>
    </row>
    <row r="45" spans="1:20" x14ac:dyDescent="0.2">
      <c r="A45" s="4"/>
      <c r="B45" s="4"/>
      <c r="C45" s="7">
        <f>C44-C32</f>
        <v>13200</v>
      </c>
    </row>
    <row r="46" spans="1:20" x14ac:dyDescent="0.2">
      <c r="C46" s="3"/>
    </row>
    <row r="47" spans="1:20" x14ac:dyDescent="0.2">
      <c r="C47" s="3"/>
    </row>
    <row r="48" spans="1:20" x14ac:dyDescent="0.2">
      <c r="C48" s="96"/>
    </row>
    <row r="50" spans="3:3" x14ac:dyDescent="0.2">
      <c r="C50" s="3"/>
    </row>
    <row r="52" spans="3:3" x14ac:dyDescent="0.2">
      <c r="C52" s="96"/>
    </row>
  </sheetData>
  <mergeCells count="2">
    <mergeCell ref="A6:D6"/>
    <mergeCell ref="A33:D33"/>
  </mergeCells>
  <printOptions gridLines="1"/>
  <pageMargins left="0.25" right="0.25" top="0.75" bottom="0.75" header="0.3" footer="0.3"/>
  <pageSetup scale="60" orientation="landscape" r:id="rId1"/>
  <headerFooter alignWithMargins="0">
    <oddHeader xml:space="preserve">&amp;C&amp;"Arial,Bold"&amp;14DOCTORS MEMORIAL HOSPITAL
FY 2017 BUDGET
</oddHeader>
    <oddFooter xml:space="preserve">&amp;R&amp;A
</oddFooter>
  </headerFooter>
  <ignoredErrors>
    <ignoredError sqref="F15:Q15 C15"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X134"/>
  <sheetViews>
    <sheetView zoomScale="80" zoomScaleNormal="80" workbookViewId="0">
      <pane xSplit="2" ySplit="7" topLeftCell="C32" activePane="bottomRight" state="frozen"/>
      <selection pane="topRight" activeCell="C1" sqref="C1"/>
      <selection pane="bottomLeft" activeCell="A8" sqref="A8"/>
      <selection pane="bottomRight" activeCell="C53" sqref="C53"/>
    </sheetView>
  </sheetViews>
  <sheetFormatPr defaultRowHeight="12.75" x14ac:dyDescent="0.2"/>
  <cols>
    <col min="1" max="1" width="12.42578125" style="2" bestFit="1" customWidth="1"/>
    <col min="2" max="2" width="25.7109375" style="2" customWidth="1"/>
    <col min="3" max="3" width="15.7109375" style="4" customWidth="1"/>
    <col min="4" max="4" width="10.5703125" style="4" customWidth="1"/>
    <col min="5" max="5" width="3" style="4" customWidth="1"/>
    <col min="6" max="10" width="13.140625" style="7" bestFit="1" customWidth="1"/>
    <col min="11" max="11" width="13.7109375" style="3" customWidth="1"/>
    <col min="12" max="17" width="13.140625" style="3" bestFit="1" customWidth="1"/>
    <col min="18" max="18" width="16" style="2" bestFit="1" customWidth="1"/>
    <col min="19" max="19" width="14" style="2" customWidth="1"/>
    <col min="20" max="27" width="9.140625" style="2" customWidth="1"/>
    <col min="28" max="28" width="10.5703125" style="1" bestFit="1" customWidth="1"/>
    <col min="29" max="32" width="11.28515625" style="1" bestFit="1" customWidth="1"/>
    <col min="33" max="33" width="10.28515625" style="1" bestFit="1" customWidth="1"/>
    <col min="34" max="39" width="9.85546875" style="1" bestFit="1" customWidth="1"/>
    <col min="40" max="40" width="11.140625" style="1" bestFit="1" customWidth="1"/>
    <col min="41" max="257" width="9.140625" style="1"/>
    <col min="258" max="258" width="28.140625" style="1" bestFit="1" customWidth="1"/>
    <col min="259" max="259" width="15.7109375" style="1" customWidth="1"/>
    <col min="260" max="260" width="10.5703125" style="1" customWidth="1"/>
    <col min="261" max="261" width="14.85546875" style="1" customWidth="1"/>
    <col min="262" max="273" width="11.28515625" style="1" customWidth="1"/>
    <col min="274" max="274" width="12.7109375" style="1" customWidth="1"/>
    <col min="275" max="275" width="14" style="1" customWidth="1"/>
    <col min="276" max="283" width="9.140625" style="1" customWidth="1"/>
    <col min="284" max="284" width="10.5703125" style="1" bestFit="1" customWidth="1"/>
    <col min="285" max="288" width="11.28515625" style="1" bestFit="1" customWidth="1"/>
    <col min="289" max="289" width="10.28515625" style="1" bestFit="1" customWidth="1"/>
    <col min="290" max="295" width="9.85546875" style="1" bestFit="1" customWidth="1"/>
    <col min="296" max="296" width="11.140625" style="1" bestFit="1" customWidth="1"/>
    <col min="297" max="513" width="9.140625" style="1"/>
    <col min="514" max="514" width="28.140625" style="1" bestFit="1" customWidth="1"/>
    <col min="515" max="515" width="15.7109375" style="1" customWidth="1"/>
    <col min="516" max="516" width="10.5703125" style="1" customWidth="1"/>
    <col min="517" max="517" width="14.85546875" style="1" customWidth="1"/>
    <col min="518" max="529" width="11.28515625" style="1" customWidth="1"/>
    <col min="530" max="530" width="12.7109375" style="1" customWidth="1"/>
    <col min="531" max="531" width="14" style="1" customWidth="1"/>
    <col min="532" max="539" width="9.140625" style="1" customWidth="1"/>
    <col min="540" max="540" width="10.5703125" style="1" bestFit="1" customWidth="1"/>
    <col min="541" max="544" width="11.28515625" style="1" bestFit="1" customWidth="1"/>
    <col min="545" max="545" width="10.28515625" style="1" bestFit="1" customWidth="1"/>
    <col min="546" max="551" width="9.85546875" style="1" bestFit="1" customWidth="1"/>
    <col min="552" max="552" width="11.140625" style="1" bestFit="1" customWidth="1"/>
    <col min="553" max="769" width="9.140625" style="1"/>
    <col min="770" max="770" width="28.140625" style="1" bestFit="1" customWidth="1"/>
    <col min="771" max="771" width="15.7109375" style="1" customWidth="1"/>
    <col min="772" max="772" width="10.5703125" style="1" customWidth="1"/>
    <col min="773" max="773" width="14.85546875" style="1" customWidth="1"/>
    <col min="774" max="785" width="11.28515625" style="1" customWidth="1"/>
    <col min="786" max="786" width="12.7109375" style="1" customWidth="1"/>
    <col min="787" max="787" width="14" style="1" customWidth="1"/>
    <col min="788" max="795" width="9.140625" style="1" customWidth="1"/>
    <col min="796" max="796" width="10.5703125" style="1" bestFit="1" customWidth="1"/>
    <col min="797" max="800" width="11.28515625" style="1" bestFit="1" customWidth="1"/>
    <col min="801" max="801" width="10.28515625" style="1" bestFit="1" customWidth="1"/>
    <col min="802" max="807" width="9.85546875" style="1" bestFit="1" customWidth="1"/>
    <col min="808" max="808" width="11.140625" style="1" bestFit="1" customWidth="1"/>
    <col min="809" max="1025" width="9.140625" style="1"/>
    <col min="1026" max="1026" width="28.140625" style="1" bestFit="1" customWidth="1"/>
    <col min="1027" max="1027" width="15.7109375" style="1" customWidth="1"/>
    <col min="1028" max="1028" width="10.5703125" style="1" customWidth="1"/>
    <col min="1029" max="1029" width="14.85546875" style="1" customWidth="1"/>
    <col min="1030" max="1041" width="11.28515625" style="1" customWidth="1"/>
    <col min="1042" max="1042" width="12.7109375" style="1" customWidth="1"/>
    <col min="1043" max="1043" width="14" style="1" customWidth="1"/>
    <col min="1044" max="1051" width="9.140625" style="1" customWidth="1"/>
    <col min="1052" max="1052" width="10.5703125" style="1" bestFit="1" customWidth="1"/>
    <col min="1053" max="1056" width="11.28515625" style="1" bestFit="1" customWidth="1"/>
    <col min="1057" max="1057" width="10.28515625" style="1" bestFit="1" customWidth="1"/>
    <col min="1058" max="1063" width="9.85546875" style="1" bestFit="1" customWidth="1"/>
    <col min="1064" max="1064" width="11.140625" style="1" bestFit="1" customWidth="1"/>
    <col min="1065" max="1281" width="9.140625" style="1"/>
    <col min="1282" max="1282" width="28.140625" style="1" bestFit="1" customWidth="1"/>
    <col min="1283" max="1283" width="15.7109375" style="1" customWidth="1"/>
    <col min="1284" max="1284" width="10.5703125" style="1" customWidth="1"/>
    <col min="1285" max="1285" width="14.85546875" style="1" customWidth="1"/>
    <col min="1286" max="1297" width="11.28515625" style="1" customWidth="1"/>
    <col min="1298" max="1298" width="12.7109375" style="1" customWidth="1"/>
    <col min="1299" max="1299" width="14" style="1" customWidth="1"/>
    <col min="1300" max="1307" width="9.140625" style="1" customWidth="1"/>
    <col min="1308" max="1308" width="10.5703125" style="1" bestFit="1" customWidth="1"/>
    <col min="1309" max="1312" width="11.28515625" style="1" bestFit="1" customWidth="1"/>
    <col min="1313" max="1313" width="10.28515625" style="1" bestFit="1" customWidth="1"/>
    <col min="1314" max="1319" width="9.85546875" style="1" bestFit="1" customWidth="1"/>
    <col min="1320" max="1320" width="11.140625" style="1" bestFit="1" customWidth="1"/>
    <col min="1321" max="1537" width="9.140625" style="1"/>
    <col min="1538" max="1538" width="28.140625" style="1" bestFit="1" customWidth="1"/>
    <col min="1539" max="1539" width="15.7109375" style="1" customWidth="1"/>
    <col min="1540" max="1540" width="10.5703125" style="1" customWidth="1"/>
    <col min="1541" max="1541" width="14.85546875" style="1" customWidth="1"/>
    <col min="1542" max="1553" width="11.28515625" style="1" customWidth="1"/>
    <col min="1554" max="1554" width="12.7109375" style="1" customWidth="1"/>
    <col min="1555" max="1555" width="14" style="1" customWidth="1"/>
    <col min="1556" max="1563" width="9.140625" style="1" customWidth="1"/>
    <col min="1564" max="1564" width="10.5703125" style="1" bestFit="1" customWidth="1"/>
    <col min="1565" max="1568" width="11.28515625" style="1" bestFit="1" customWidth="1"/>
    <col min="1569" max="1569" width="10.28515625" style="1" bestFit="1" customWidth="1"/>
    <col min="1570" max="1575" width="9.85546875" style="1" bestFit="1" customWidth="1"/>
    <col min="1576" max="1576" width="11.140625" style="1" bestFit="1" customWidth="1"/>
    <col min="1577" max="1793" width="9.140625" style="1"/>
    <col min="1794" max="1794" width="28.140625" style="1" bestFit="1" customWidth="1"/>
    <col min="1795" max="1795" width="15.7109375" style="1" customWidth="1"/>
    <col min="1796" max="1796" width="10.5703125" style="1" customWidth="1"/>
    <col min="1797" max="1797" width="14.85546875" style="1" customWidth="1"/>
    <col min="1798" max="1809" width="11.28515625" style="1" customWidth="1"/>
    <col min="1810" max="1810" width="12.7109375" style="1" customWidth="1"/>
    <col min="1811" max="1811" width="14" style="1" customWidth="1"/>
    <col min="1812" max="1819" width="9.140625" style="1" customWidth="1"/>
    <col min="1820" max="1820" width="10.5703125" style="1" bestFit="1" customWidth="1"/>
    <col min="1821" max="1824" width="11.28515625" style="1" bestFit="1" customWidth="1"/>
    <col min="1825" max="1825" width="10.28515625" style="1" bestFit="1" customWidth="1"/>
    <col min="1826" max="1831" width="9.85546875" style="1" bestFit="1" customWidth="1"/>
    <col min="1832" max="1832" width="11.140625" style="1" bestFit="1" customWidth="1"/>
    <col min="1833" max="2049" width="9.140625" style="1"/>
    <col min="2050" max="2050" width="28.140625" style="1" bestFit="1" customWidth="1"/>
    <col min="2051" max="2051" width="15.7109375" style="1" customWidth="1"/>
    <col min="2052" max="2052" width="10.5703125" style="1" customWidth="1"/>
    <col min="2053" max="2053" width="14.85546875" style="1" customWidth="1"/>
    <col min="2054" max="2065" width="11.28515625" style="1" customWidth="1"/>
    <col min="2066" max="2066" width="12.7109375" style="1" customWidth="1"/>
    <col min="2067" max="2067" width="14" style="1" customWidth="1"/>
    <col min="2068" max="2075" width="9.140625" style="1" customWidth="1"/>
    <col min="2076" max="2076" width="10.5703125" style="1" bestFit="1" customWidth="1"/>
    <col min="2077" max="2080" width="11.28515625" style="1" bestFit="1" customWidth="1"/>
    <col min="2081" max="2081" width="10.28515625" style="1" bestFit="1" customWidth="1"/>
    <col min="2082" max="2087" width="9.85546875" style="1" bestFit="1" customWidth="1"/>
    <col min="2088" max="2088" width="11.140625" style="1" bestFit="1" customWidth="1"/>
    <col min="2089" max="2305" width="9.140625" style="1"/>
    <col min="2306" max="2306" width="28.140625" style="1" bestFit="1" customWidth="1"/>
    <col min="2307" max="2307" width="15.7109375" style="1" customWidth="1"/>
    <col min="2308" max="2308" width="10.5703125" style="1" customWidth="1"/>
    <col min="2309" max="2309" width="14.85546875" style="1" customWidth="1"/>
    <col min="2310" max="2321" width="11.28515625" style="1" customWidth="1"/>
    <col min="2322" max="2322" width="12.7109375" style="1" customWidth="1"/>
    <col min="2323" max="2323" width="14" style="1" customWidth="1"/>
    <col min="2324" max="2331" width="9.140625" style="1" customWidth="1"/>
    <col min="2332" max="2332" width="10.5703125" style="1" bestFit="1" customWidth="1"/>
    <col min="2333" max="2336" width="11.28515625" style="1" bestFit="1" customWidth="1"/>
    <col min="2337" max="2337" width="10.28515625" style="1" bestFit="1" customWidth="1"/>
    <col min="2338" max="2343" width="9.85546875" style="1" bestFit="1" customWidth="1"/>
    <col min="2344" max="2344" width="11.140625" style="1" bestFit="1" customWidth="1"/>
    <col min="2345" max="2561" width="9.140625" style="1"/>
    <col min="2562" max="2562" width="28.140625" style="1" bestFit="1" customWidth="1"/>
    <col min="2563" max="2563" width="15.7109375" style="1" customWidth="1"/>
    <col min="2564" max="2564" width="10.5703125" style="1" customWidth="1"/>
    <col min="2565" max="2565" width="14.85546875" style="1" customWidth="1"/>
    <col min="2566" max="2577" width="11.28515625" style="1" customWidth="1"/>
    <col min="2578" max="2578" width="12.7109375" style="1" customWidth="1"/>
    <col min="2579" max="2579" width="14" style="1" customWidth="1"/>
    <col min="2580" max="2587" width="9.140625" style="1" customWidth="1"/>
    <col min="2588" max="2588" width="10.5703125" style="1" bestFit="1" customWidth="1"/>
    <col min="2589" max="2592" width="11.28515625" style="1" bestFit="1" customWidth="1"/>
    <col min="2593" max="2593" width="10.28515625" style="1" bestFit="1" customWidth="1"/>
    <col min="2594" max="2599" width="9.85546875" style="1" bestFit="1" customWidth="1"/>
    <col min="2600" max="2600" width="11.140625" style="1" bestFit="1" customWidth="1"/>
    <col min="2601" max="2817" width="9.140625" style="1"/>
    <col min="2818" max="2818" width="28.140625" style="1" bestFit="1" customWidth="1"/>
    <col min="2819" max="2819" width="15.7109375" style="1" customWidth="1"/>
    <col min="2820" max="2820" width="10.5703125" style="1" customWidth="1"/>
    <col min="2821" max="2821" width="14.85546875" style="1" customWidth="1"/>
    <col min="2822" max="2833" width="11.28515625" style="1" customWidth="1"/>
    <col min="2834" max="2834" width="12.7109375" style="1" customWidth="1"/>
    <col min="2835" max="2835" width="14" style="1" customWidth="1"/>
    <col min="2836" max="2843" width="9.140625" style="1" customWidth="1"/>
    <col min="2844" max="2844" width="10.5703125" style="1" bestFit="1" customWidth="1"/>
    <col min="2845" max="2848" width="11.28515625" style="1" bestFit="1" customWidth="1"/>
    <col min="2849" max="2849" width="10.28515625" style="1" bestFit="1" customWidth="1"/>
    <col min="2850" max="2855" width="9.85546875" style="1" bestFit="1" customWidth="1"/>
    <col min="2856" max="2856" width="11.140625" style="1" bestFit="1" customWidth="1"/>
    <col min="2857" max="3073" width="9.140625" style="1"/>
    <col min="3074" max="3074" width="28.140625" style="1" bestFit="1" customWidth="1"/>
    <col min="3075" max="3075" width="15.7109375" style="1" customWidth="1"/>
    <col min="3076" max="3076" width="10.5703125" style="1" customWidth="1"/>
    <col min="3077" max="3077" width="14.85546875" style="1" customWidth="1"/>
    <col min="3078" max="3089" width="11.28515625" style="1" customWidth="1"/>
    <col min="3090" max="3090" width="12.7109375" style="1" customWidth="1"/>
    <col min="3091" max="3091" width="14" style="1" customWidth="1"/>
    <col min="3092" max="3099" width="9.140625" style="1" customWidth="1"/>
    <col min="3100" max="3100" width="10.5703125" style="1" bestFit="1" customWidth="1"/>
    <col min="3101" max="3104" width="11.28515625" style="1" bestFit="1" customWidth="1"/>
    <col min="3105" max="3105" width="10.28515625" style="1" bestFit="1" customWidth="1"/>
    <col min="3106" max="3111" width="9.85546875" style="1" bestFit="1" customWidth="1"/>
    <col min="3112" max="3112" width="11.140625" style="1" bestFit="1" customWidth="1"/>
    <col min="3113" max="3329" width="9.140625" style="1"/>
    <col min="3330" max="3330" width="28.140625" style="1" bestFit="1" customWidth="1"/>
    <col min="3331" max="3331" width="15.7109375" style="1" customWidth="1"/>
    <col min="3332" max="3332" width="10.5703125" style="1" customWidth="1"/>
    <col min="3333" max="3333" width="14.85546875" style="1" customWidth="1"/>
    <col min="3334" max="3345" width="11.28515625" style="1" customWidth="1"/>
    <col min="3346" max="3346" width="12.7109375" style="1" customWidth="1"/>
    <col min="3347" max="3347" width="14" style="1" customWidth="1"/>
    <col min="3348" max="3355" width="9.140625" style="1" customWidth="1"/>
    <col min="3356" max="3356" width="10.5703125" style="1" bestFit="1" customWidth="1"/>
    <col min="3357" max="3360" width="11.28515625" style="1" bestFit="1" customWidth="1"/>
    <col min="3361" max="3361" width="10.28515625" style="1" bestFit="1" customWidth="1"/>
    <col min="3362" max="3367" width="9.85546875" style="1" bestFit="1" customWidth="1"/>
    <col min="3368" max="3368" width="11.140625" style="1" bestFit="1" customWidth="1"/>
    <col min="3369" max="3585" width="9.140625" style="1"/>
    <col min="3586" max="3586" width="28.140625" style="1" bestFit="1" customWidth="1"/>
    <col min="3587" max="3587" width="15.7109375" style="1" customWidth="1"/>
    <col min="3588" max="3588" width="10.5703125" style="1" customWidth="1"/>
    <col min="3589" max="3589" width="14.85546875" style="1" customWidth="1"/>
    <col min="3590" max="3601" width="11.28515625" style="1" customWidth="1"/>
    <col min="3602" max="3602" width="12.7109375" style="1" customWidth="1"/>
    <col min="3603" max="3603" width="14" style="1" customWidth="1"/>
    <col min="3604" max="3611" width="9.140625" style="1" customWidth="1"/>
    <col min="3612" max="3612" width="10.5703125" style="1" bestFit="1" customWidth="1"/>
    <col min="3613" max="3616" width="11.28515625" style="1" bestFit="1" customWidth="1"/>
    <col min="3617" max="3617" width="10.28515625" style="1" bestFit="1" customWidth="1"/>
    <col min="3618" max="3623" width="9.85546875" style="1" bestFit="1" customWidth="1"/>
    <col min="3624" max="3624" width="11.140625" style="1" bestFit="1" customWidth="1"/>
    <col min="3625" max="3841" width="9.140625" style="1"/>
    <col min="3842" max="3842" width="28.140625" style="1" bestFit="1" customWidth="1"/>
    <col min="3843" max="3843" width="15.7109375" style="1" customWidth="1"/>
    <col min="3844" max="3844" width="10.5703125" style="1" customWidth="1"/>
    <col min="3845" max="3845" width="14.85546875" style="1" customWidth="1"/>
    <col min="3846" max="3857" width="11.28515625" style="1" customWidth="1"/>
    <col min="3858" max="3858" width="12.7109375" style="1" customWidth="1"/>
    <col min="3859" max="3859" width="14" style="1" customWidth="1"/>
    <col min="3860" max="3867" width="9.140625" style="1" customWidth="1"/>
    <col min="3868" max="3868" width="10.5703125" style="1" bestFit="1" customWidth="1"/>
    <col min="3869" max="3872" width="11.28515625" style="1" bestFit="1" customWidth="1"/>
    <col min="3873" max="3873" width="10.28515625" style="1" bestFit="1" customWidth="1"/>
    <col min="3874" max="3879" width="9.85546875" style="1" bestFit="1" customWidth="1"/>
    <col min="3880" max="3880" width="11.140625" style="1" bestFit="1" customWidth="1"/>
    <col min="3881" max="4097" width="9.140625" style="1"/>
    <col min="4098" max="4098" width="28.140625" style="1" bestFit="1" customWidth="1"/>
    <col min="4099" max="4099" width="15.7109375" style="1" customWidth="1"/>
    <col min="4100" max="4100" width="10.5703125" style="1" customWidth="1"/>
    <col min="4101" max="4101" width="14.85546875" style="1" customWidth="1"/>
    <col min="4102" max="4113" width="11.28515625" style="1" customWidth="1"/>
    <col min="4114" max="4114" width="12.7109375" style="1" customWidth="1"/>
    <col min="4115" max="4115" width="14" style="1" customWidth="1"/>
    <col min="4116" max="4123" width="9.140625" style="1" customWidth="1"/>
    <col min="4124" max="4124" width="10.5703125" style="1" bestFit="1" customWidth="1"/>
    <col min="4125" max="4128" width="11.28515625" style="1" bestFit="1" customWidth="1"/>
    <col min="4129" max="4129" width="10.28515625" style="1" bestFit="1" customWidth="1"/>
    <col min="4130" max="4135" width="9.85546875" style="1" bestFit="1" customWidth="1"/>
    <col min="4136" max="4136" width="11.140625" style="1" bestFit="1" customWidth="1"/>
    <col min="4137" max="4353" width="9.140625" style="1"/>
    <col min="4354" max="4354" width="28.140625" style="1" bestFit="1" customWidth="1"/>
    <col min="4355" max="4355" width="15.7109375" style="1" customWidth="1"/>
    <col min="4356" max="4356" width="10.5703125" style="1" customWidth="1"/>
    <col min="4357" max="4357" width="14.85546875" style="1" customWidth="1"/>
    <col min="4358" max="4369" width="11.28515625" style="1" customWidth="1"/>
    <col min="4370" max="4370" width="12.7109375" style="1" customWidth="1"/>
    <col min="4371" max="4371" width="14" style="1" customWidth="1"/>
    <col min="4372" max="4379" width="9.140625" style="1" customWidth="1"/>
    <col min="4380" max="4380" width="10.5703125" style="1" bestFit="1" customWidth="1"/>
    <col min="4381" max="4384" width="11.28515625" style="1" bestFit="1" customWidth="1"/>
    <col min="4385" max="4385" width="10.28515625" style="1" bestFit="1" customWidth="1"/>
    <col min="4386" max="4391" width="9.85546875" style="1" bestFit="1" customWidth="1"/>
    <col min="4392" max="4392" width="11.140625" style="1" bestFit="1" customWidth="1"/>
    <col min="4393" max="4609" width="9.140625" style="1"/>
    <col min="4610" max="4610" width="28.140625" style="1" bestFit="1" customWidth="1"/>
    <col min="4611" max="4611" width="15.7109375" style="1" customWidth="1"/>
    <col min="4612" max="4612" width="10.5703125" style="1" customWidth="1"/>
    <col min="4613" max="4613" width="14.85546875" style="1" customWidth="1"/>
    <col min="4614" max="4625" width="11.28515625" style="1" customWidth="1"/>
    <col min="4626" max="4626" width="12.7109375" style="1" customWidth="1"/>
    <col min="4627" max="4627" width="14" style="1" customWidth="1"/>
    <col min="4628" max="4635" width="9.140625" style="1" customWidth="1"/>
    <col min="4636" max="4636" width="10.5703125" style="1" bestFit="1" customWidth="1"/>
    <col min="4637" max="4640" width="11.28515625" style="1" bestFit="1" customWidth="1"/>
    <col min="4641" max="4641" width="10.28515625" style="1" bestFit="1" customWidth="1"/>
    <col min="4642" max="4647" width="9.85546875" style="1" bestFit="1" customWidth="1"/>
    <col min="4648" max="4648" width="11.140625" style="1" bestFit="1" customWidth="1"/>
    <col min="4649" max="4865" width="9.140625" style="1"/>
    <col min="4866" max="4866" width="28.140625" style="1" bestFit="1" customWidth="1"/>
    <col min="4867" max="4867" width="15.7109375" style="1" customWidth="1"/>
    <col min="4868" max="4868" width="10.5703125" style="1" customWidth="1"/>
    <col min="4869" max="4869" width="14.85546875" style="1" customWidth="1"/>
    <col min="4870" max="4881" width="11.28515625" style="1" customWidth="1"/>
    <col min="4882" max="4882" width="12.7109375" style="1" customWidth="1"/>
    <col min="4883" max="4883" width="14" style="1" customWidth="1"/>
    <col min="4884" max="4891" width="9.140625" style="1" customWidth="1"/>
    <col min="4892" max="4892" width="10.5703125" style="1" bestFit="1" customWidth="1"/>
    <col min="4893" max="4896" width="11.28515625" style="1" bestFit="1" customWidth="1"/>
    <col min="4897" max="4897" width="10.28515625" style="1" bestFit="1" customWidth="1"/>
    <col min="4898" max="4903" width="9.85546875" style="1" bestFit="1" customWidth="1"/>
    <col min="4904" max="4904" width="11.140625" style="1" bestFit="1" customWidth="1"/>
    <col min="4905" max="5121" width="9.140625" style="1"/>
    <col min="5122" max="5122" width="28.140625" style="1" bestFit="1" customWidth="1"/>
    <col min="5123" max="5123" width="15.7109375" style="1" customWidth="1"/>
    <col min="5124" max="5124" width="10.5703125" style="1" customWidth="1"/>
    <col min="5125" max="5125" width="14.85546875" style="1" customWidth="1"/>
    <col min="5126" max="5137" width="11.28515625" style="1" customWidth="1"/>
    <col min="5138" max="5138" width="12.7109375" style="1" customWidth="1"/>
    <col min="5139" max="5139" width="14" style="1" customWidth="1"/>
    <col min="5140" max="5147" width="9.140625" style="1" customWidth="1"/>
    <col min="5148" max="5148" width="10.5703125" style="1" bestFit="1" customWidth="1"/>
    <col min="5149" max="5152" width="11.28515625" style="1" bestFit="1" customWidth="1"/>
    <col min="5153" max="5153" width="10.28515625" style="1" bestFit="1" customWidth="1"/>
    <col min="5154" max="5159" width="9.85546875" style="1" bestFit="1" customWidth="1"/>
    <col min="5160" max="5160" width="11.140625" style="1" bestFit="1" customWidth="1"/>
    <col min="5161" max="5377" width="9.140625" style="1"/>
    <col min="5378" max="5378" width="28.140625" style="1" bestFit="1" customWidth="1"/>
    <col min="5379" max="5379" width="15.7109375" style="1" customWidth="1"/>
    <col min="5380" max="5380" width="10.5703125" style="1" customWidth="1"/>
    <col min="5381" max="5381" width="14.85546875" style="1" customWidth="1"/>
    <col min="5382" max="5393" width="11.28515625" style="1" customWidth="1"/>
    <col min="5394" max="5394" width="12.7109375" style="1" customWidth="1"/>
    <col min="5395" max="5395" width="14" style="1" customWidth="1"/>
    <col min="5396" max="5403" width="9.140625" style="1" customWidth="1"/>
    <col min="5404" max="5404" width="10.5703125" style="1" bestFit="1" customWidth="1"/>
    <col min="5405" max="5408" width="11.28515625" style="1" bestFit="1" customWidth="1"/>
    <col min="5409" max="5409" width="10.28515625" style="1" bestFit="1" customWidth="1"/>
    <col min="5410" max="5415" width="9.85546875" style="1" bestFit="1" customWidth="1"/>
    <col min="5416" max="5416" width="11.140625" style="1" bestFit="1" customWidth="1"/>
    <col min="5417" max="5633" width="9.140625" style="1"/>
    <col min="5634" max="5634" width="28.140625" style="1" bestFit="1" customWidth="1"/>
    <col min="5635" max="5635" width="15.7109375" style="1" customWidth="1"/>
    <col min="5636" max="5636" width="10.5703125" style="1" customWidth="1"/>
    <col min="5637" max="5637" width="14.85546875" style="1" customWidth="1"/>
    <col min="5638" max="5649" width="11.28515625" style="1" customWidth="1"/>
    <col min="5650" max="5650" width="12.7109375" style="1" customWidth="1"/>
    <col min="5651" max="5651" width="14" style="1" customWidth="1"/>
    <col min="5652" max="5659" width="9.140625" style="1" customWidth="1"/>
    <col min="5660" max="5660" width="10.5703125" style="1" bestFit="1" customWidth="1"/>
    <col min="5661" max="5664" width="11.28515625" style="1" bestFit="1" customWidth="1"/>
    <col min="5665" max="5665" width="10.28515625" style="1" bestFit="1" customWidth="1"/>
    <col min="5666" max="5671" width="9.85546875" style="1" bestFit="1" customWidth="1"/>
    <col min="5672" max="5672" width="11.140625" style="1" bestFit="1" customWidth="1"/>
    <col min="5673" max="5889" width="9.140625" style="1"/>
    <col min="5890" max="5890" width="28.140625" style="1" bestFit="1" customWidth="1"/>
    <col min="5891" max="5891" width="15.7109375" style="1" customWidth="1"/>
    <col min="5892" max="5892" width="10.5703125" style="1" customWidth="1"/>
    <col min="5893" max="5893" width="14.85546875" style="1" customWidth="1"/>
    <col min="5894" max="5905" width="11.28515625" style="1" customWidth="1"/>
    <col min="5906" max="5906" width="12.7109375" style="1" customWidth="1"/>
    <col min="5907" max="5907" width="14" style="1" customWidth="1"/>
    <col min="5908" max="5915" width="9.140625" style="1" customWidth="1"/>
    <col min="5916" max="5916" width="10.5703125" style="1" bestFit="1" customWidth="1"/>
    <col min="5917" max="5920" width="11.28515625" style="1" bestFit="1" customWidth="1"/>
    <col min="5921" max="5921" width="10.28515625" style="1" bestFit="1" customWidth="1"/>
    <col min="5922" max="5927" width="9.85546875" style="1" bestFit="1" customWidth="1"/>
    <col min="5928" max="5928" width="11.140625" style="1" bestFit="1" customWidth="1"/>
    <col min="5929" max="6145" width="9.140625" style="1"/>
    <col min="6146" max="6146" width="28.140625" style="1" bestFit="1" customWidth="1"/>
    <col min="6147" max="6147" width="15.7109375" style="1" customWidth="1"/>
    <col min="6148" max="6148" width="10.5703125" style="1" customWidth="1"/>
    <col min="6149" max="6149" width="14.85546875" style="1" customWidth="1"/>
    <col min="6150" max="6161" width="11.28515625" style="1" customWidth="1"/>
    <col min="6162" max="6162" width="12.7109375" style="1" customWidth="1"/>
    <col min="6163" max="6163" width="14" style="1" customWidth="1"/>
    <col min="6164" max="6171" width="9.140625" style="1" customWidth="1"/>
    <col min="6172" max="6172" width="10.5703125" style="1" bestFit="1" customWidth="1"/>
    <col min="6173" max="6176" width="11.28515625" style="1" bestFit="1" customWidth="1"/>
    <col min="6177" max="6177" width="10.28515625" style="1" bestFit="1" customWidth="1"/>
    <col min="6178" max="6183" width="9.85546875" style="1" bestFit="1" customWidth="1"/>
    <col min="6184" max="6184" width="11.140625" style="1" bestFit="1" customWidth="1"/>
    <col min="6185" max="6401" width="9.140625" style="1"/>
    <col min="6402" max="6402" width="28.140625" style="1" bestFit="1" customWidth="1"/>
    <col min="6403" max="6403" width="15.7109375" style="1" customWidth="1"/>
    <col min="6404" max="6404" width="10.5703125" style="1" customWidth="1"/>
    <col min="6405" max="6405" width="14.85546875" style="1" customWidth="1"/>
    <col min="6406" max="6417" width="11.28515625" style="1" customWidth="1"/>
    <col min="6418" max="6418" width="12.7109375" style="1" customWidth="1"/>
    <col min="6419" max="6419" width="14" style="1" customWidth="1"/>
    <col min="6420" max="6427" width="9.140625" style="1" customWidth="1"/>
    <col min="6428" max="6428" width="10.5703125" style="1" bestFit="1" customWidth="1"/>
    <col min="6429" max="6432" width="11.28515625" style="1" bestFit="1" customWidth="1"/>
    <col min="6433" max="6433" width="10.28515625" style="1" bestFit="1" customWidth="1"/>
    <col min="6434" max="6439" width="9.85546875" style="1" bestFit="1" customWidth="1"/>
    <col min="6440" max="6440" width="11.140625" style="1" bestFit="1" customWidth="1"/>
    <col min="6441" max="6657" width="9.140625" style="1"/>
    <col min="6658" max="6658" width="28.140625" style="1" bestFit="1" customWidth="1"/>
    <col min="6659" max="6659" width="15.7109375" style="1" customWidth="1"/>
    <col min="6660" max="6660" width="10.5703125" style="1" customWidth="1"/>
    <col min="6661" max="6661" width="14.85546875" style="1" customWidth="1"/>
    <col min="6662" max="6673" width="11.28515625" style="1" customWidth="1"/>
    <col min="6674" max="6674" width="12.7109375" style="1" customWidth="1"/>
    <col min="6675" max="6675" width="14" style="1" customWidth="1"/>
    <col min="6676" max="6683" width="9.140625" style="1" customWidth="1"/>
    <col min="6684" max="6684" width="10.5703125" style="1" bestFit="1" customWidth="1"/>
    <col min="6685" max="6688" width="11.28515625" style="1" bestFit="1" customWidth="1"/>
    <col min="6689" max="6689" width="10.28515625" style="1" bestFit="1" customWidth="1"/>
    <col min="6690" max="6695" width="9.85546875" style="1" bestFit="1" customWidth="1"/>
    <col min="6696" max="6696" width="11.140625" style="1" bestFit="1" customWidth="1"/>
    <col min="6697" max="6913" width="9.140625" style="1"/>
    <col min="6914" max="6914" width="28.140625" style="1" bestFit="1" customWidth="1"/>
    <col min="6915" max="6915" width="15.7109375" style="1" customWidth="1"/>
    <col min="6916" max="6916" width="10.5703125" style="1" customWidth="1"/>
    <col min="6917" max="6917" width="14.85546875" style="1" customWidth="1"/>
    <col min="6918" max="6929" width="11.28515625" style="1" customWidth="1"/>
    <col min="6930" max="6930" width="12.7109375" style="1" customWidth="1"/>
    <col min="6931" max="6931" width="14" style="1" customWidth="1"/>
    <col min="6932" max="6939" width="9.140625" style="1" customWidth="1"/>
    <col min="6940" max="6940" width="10.5703125" style="1" bestFit="1" customWidth="1"/>
    <col min="6941" max="6944" width="11.28515625" style="1" bestFit="1" customWidth="1"/>
    <col min="6945" max="6945" width="10.28515625" style="1" bestFit="1" customWidth="1"/>
    <col min="6946" max="6951" width="9.85546875" style="1" bestFit="1" customWidth="1"/>
    <col min="6952" max="6952" width="11.140625" style="1" bestFit="1" customWidth="1"/>
    <col min="6953" max="7169" width="9.140625" style="1"/>
    <col min="7170" max="7170" width="28.140625" style="1" bestFit="1" customWidth="1"/>
    <col min="7171" max="7171" width="15.7109375" style="1" customWidth="1"/>
    <col min="7172" max="7172" width="10.5703125" style="1" customWidth="1"/>
    <col min="7173" max="7173" width="14.85546875" style="1" customWidth="1"/>
    <col min="7174" max="7185" width="11.28515625" style="1" customWidth="1"/>
    <col min="7186" max="7186" width="12.7109375" style="1" customWidth="1"/>
    <col min="7187" max="7187" width="14" style="1" customWidth="1"/>
    <col min="7188" max="7195" width="9.140625" style="1" customWidth="1"/>
    <col min="7196" max="7196" width="10.5703125" style="1" bestFit="1" customWidth="1"/>
    <col min="7197" max="7200" width="11.28515625" style="1" bestFit="1" customWidth="1"/>
    <col min="7201" max="7201" width="10.28515625" style="1" bestFit="1" customWidth="1"/>
    <col min="7202" max="7207" width="9.85546875" style="1" bestFit="1" customWidth="1"/>
    <col min="7208" max="7208" width="11.140625" style="1" bestFit="1" customWidth="1"/>
    <col min="7209" max="7425" width="9.140625" style="1"/>
    <col min="7426" max="7426" width="28.140625" style="1" bestFit="1" customWidth="1"/>
    <col min="7427" max="7427" width="15.7109375" style="1" customWidth="1"/>
    <col min="7428" max="7428" width="10.5703125" style="1" customWidth="1"/>
    <col min="7429" max="7429" width="14.85546875" style="1" customWidth="1"/>
    <col min="7430" max="7441" width="11.28515625" style="1" customWidth="1"/>
    <col min="7442" max="7442" width="12.7109375" style="1" customWidth="1"/>
    <col min="7443" max="7443" width="14" style="1" customWidth="1"/>
    <col min="7444" max="7451" width="9.140625" style="1" customWidth="1"/>
    <col min="7452" max="7452" width="10.5703125" style="1" bestFit="1" customWidth="1"/>
    <col min="7453" max="7456" width="11.28515625" style="1" bestFit="1" customWidth="1"/>
    <col min="7457" max="7457" width="10.28515625" style="1" bestFit="1" customWidth="1"/>
    <col min="7458" max="7463" width="9.85546875" style="1" bestFit="1" customWidth="1"/>
    <col min="7464" max="7464" width="11.140625" style="1" bestFit="1" customWidth="1"/>
    <col min="7465" max="7681" width="9.140625" style="1"/>
    <col min="7682" max="7682" width="28.140625" style="1" bestFit="1" customWidth="1"/>
    <col min="7683" max="7683" width="15.7109375" style="1" customWidth="1"/>
    <col min="7684" max="7684" width="10.5703125" style="1" customWidth="1"/>
    <col min="7685" max="7685" width="14.85546875" style="1" customWidth="1"/>
    <col min="7686" max="7697" width="11.28515625" style="1" customWidth="1"/>
    <col min="7698" max="7698" width="12.7109375" style="1" customWidth="1"/>
    <col min="7699" max="7699" width="14" style="1" customWidth="1"/>
    <col min="7700" max="7707" width="9.140625" style="1" customWidth="1"/>
    <col min="7708" max="7708" width="10.5703125" style="1" bestFit="1" customWidth="1"/>
    <col min="7709" max="7712" width="11.28515625" style="1" bestFit="1" customWidth="1"/>
    <col min="7713" max="7713" width="10.28515625" style="1" bestFit="1" customWidth="1"/>
    <col min="7714" max="7719" width="9.85546875" style="1" bestFit="1" customWidth="1"/>
    <col min="7720" max="7720" width="11.140625" style="1" bestFit="1" customWidth="1"/>
    <col min="7721" max="7937" width="9.140625" style="1"/>
    <col min="7938" max="7938" width="28.140625" style="1" bestFit="1" customWidth="1"/>
    <col min="7939" max="7939" width="15.7109375" style="1" customWidth="1"/>
    <col min="7940" max="7940" width="10.5703125" style="1" customWidth="1"/>
    <col min="7941" max="7941" width="14.85546875" style="1" customWidth="1"/>
    <col min="7942" max="7953" width="11.28515625" style="1" customWidth="1"/>
    <col min="7954" max="7954" width="12.7109375" style="1" customWidth="1"/>
    <col min="7955" max="7955" width="14" style="1" customWidth="1"/>
    <col min="7956" max="7963" width="9.140625" style="1" customWidth="1"/>
    <col min="7964" max="7964" width="10.5703125" style="1" bestFit="1" customWidth="1"/>
    <col min="7965" max="7968" width="11.28515625" style="1" bestFit="1" customWidth="1"/>
    <col min="7969" max="7969" width="10.28515625" style="1" bestFit="1" customWidth="1"/>
    <col min="7970" max="7975" width="9.85546875" style="1" bestFit="1" customWidth="1"/>
    <col min="7976" max="7976" width="11.140625" style="1" bestFit="1" customWidth="1"/>
    <col min="7977" max="8193" width="9.140625" style="1"/>
    <col min="8194" max="8194" width="28.140625" style="1" bestFit="1" customWidth="1"/>
    <col min="8195" max="8195" width="15.7109375" style="1" customWidth="1"/>
    <col min="8196" max="8196" width="10.5703125" style="1" customWidth="1"/>
    <col min="8197" max="8197" width="14.85546875" style="1" customWidth="1"/>
    <col min="8198" max="8209" width="11.28515625" style="1" customWidth="1"/>
    <col min="8210" max="8210" width="12.7109375" style="1" customWidth="1"/>
    <col min="8211" max="8211" width="14" style="1" customWidth="1"/>
    <col min="8212" max="8219" width="9.140625" style="1" customWidth="1"/>
    <col min="8220" max="8220" width="10.5703125" style="1" bestFit="1" customWidth="1"/>
    <col min="8221" max="8224" width="11.28515625" style="1" bestFit="1" customWidth="1"/>
    <col min="8225" max="8225" width="10.28515625" style="1" bestFit="1" customWidth="1"/>
    <col min="8226" max="8231" width="9.85546875" style="1" bestFit="1" customWidth="1"/>
    <col min="8232" max="8232" width="11.140625" style="1" bestFit="1" customWidth="1"/>
    <col min="8233" max="8449" width="9.140625" style="1"/>
    <col min="8450" max="8450" width="28.140625" style="1" bestFit="1" customWidth="1"/>
    <col min="8451" max="8451" width="15.7109375" style="1" customWidth="1"/>
    <col min="8452" max="8452" width="10.5703125" style="1" customWidth="1"/>
    <col min="8453" max="8453" width="14.85546875" style="1" customWidth="1"/>
    <col min="8454" max="8465" width="11.28515625" style="1" customWidth="1"/>
    <col min="8466" max="8466" width="12.7109375" style="1" customWidth="1"/>
    <col min="8467" max="8467" width="14" style="1" customWidth="1"/>
    <col min="8468" max="8475" width="9.140625" style="1" customWidth="1"/>
    <col min="8476" max="8476" width="10.5703125" style="1" bestFit="1" customWidth="1"/>
    <col min="8477" max="8480" width="11.28515625" style="1" bestFit="1" customWidth="1"/>
    <col min="8481" max="8481" width="10.28515625" style="1" bestFit="1" customWidth="1"/>
    <col min="8482" max="8487" width="9.85546875" style="1" bestFit="1" customWidth="1"/>
    <col min="8488" max="8488" width="11.140625" style="1" bestFit="1" customWidth="1"/>
    <col min="8489" max="8705" width="9.140625" style="1"/>
    <col min="8706" max="8706" width="28.140625" style="1" bestFit="1" customWidth="1"/>
    <col min="8707" max="8707" width="15.7109375" style="1" customWidth="1"/>
    <col min="8708" max="8708" width="10.5703125" style="1" customWidth="1"/>
    <col min="8709" max="8709" width="14.85546875" style="1" customWidth="1"/>
    <col min="8710" max="8721" width="11.28515625" style="1" customWidth="1"/>
    <col min="8722" max="8722" width="12.7109375" style="1" customWidth="1"/>
    <col min="8723" max="8723" width="14" style="1" customWidth="1"/>
    <col min="8724" max="8731" width="9.140625" style="1" customWidth="1"/>
    <col min="8732" max="8732" width="10.5703125" style="1" bestFit="1" customWidth="1"/>
    <col min="8733" max="8736" width="11.28515625" style="1" bestFit="1" customWidth="1"/>
    <col min="8737" max="8737" width="10.28515625" style="1" bestFit="1" customWidth="1"/>
    <col min="8738" max="8743" width="9.85546875" style="1" bestFit="1" customWidth="1"/>
    <col min="8744" max="8744" width="11.140625" style="1" bestFit="1" customWidth="1"/>
    <col min="8745" max="8961" width="9.140625" style="1"/>
    <col min="8962" max="8962" width="28.140625" style="1" bestFit="1" customWidth="1"/>
    <col min="8963" max="8963" width="15.7109375" style="1" customWidth="1"/>
    <col min="8964" max="8964" width="10.5703125" style="1" customWidth="1"/>
    <col min="8965" max="8965" width="14.85546875" style="1" customWidth="1"/>
    <col min="8966" max="8977" width="11.28515625" style="1" customWidth="1"/>
    <col min="8978" max="8978" width="12.7109375" style="1" customWidth="1"/>
    <col min="8979" max="8979" width="14" style="1" customWidth="1"/>
    <col min="8980" max="8987" width="9.140625" style="1" customWidth="1"/>
    <col min="8988" max="8988" width="10.5703125" style="1" bestFit="1" customWidth="1"/>
    <col min="8989" max="8992" width="11.28515625" style="1" bestFit="1" customWidth="1"/>
    <col min="8993" max="8993" width="10.28515625" style="1" bestFit="1" customWidth="1"/>
    <col min="8994" max="8999" width="9.85546875" style="1" bestFit="1" customWidth="1"/>
    <col min="9000" max="9000" width="11.140625" style="1" bestFit="1" customWidth="1"/>
    <col min="9001" max="9217" width="9.140625" style="1"/>
    <col min="9218" max="9218" width="28.140625" style="1" bestFit="1" customWidth="1"/>
    <col min="9219" max="9219" width="15.7109375" style="1" customWidth="1"/>
    <col min="9220" max="9220" width="10.5703125" style="1" customWidth="1"/>
    <col min="9221" max="9221" width="14.85546875" style="1" customWidth="1"/>
    <col min="9222" max="9233" width="11.28515625" style="1" customWidth="1"/>
    <col min="9234" max="9234" width="12.7109375" style="1" customWidth="1"/>
    <col min="9235" max="9235" width="14" style="1" customWidth="1"/>
    <col min="9236" max="9243" width="9.140625" style="1" customWidth="1"/>
    <col min="9244" max="9244" width="10.5703125" style="1" bestFit="1" customWidth="1"/>
    <col min="9245" max="9248" width="11.28515625" style="1" bestFit="1" customWidth="1"/>
    <col min="9249" max="9249" width="10.28515625" style="1" bestFit="1" customWidth="1"/>
    <col min="9250" max="9255" width="9.85546875" style="1" bestFit="1" customWidth="1"/>
    <col min="9256" max="9256" width="11.140625" style="1" bestFit="1" customWidth="1"/>
    <col min="9257" max="9473" width="9.140625" style="1"/>
    <col min="9474" max="9474" width="28.140625" style="1" bestFit="1" customWidth="1"/>
    <col min="9475" max="9475" width="15.7109375" style="1" customWidth="1"/>
    <col min="9476" max="9476" width="10.5703125" style="1" customWidth="1"/>
    <col min="9477" max="9477" width="14.85546875" style="1" customWidth="1"/>
    <col min="9478" max="9489" width="11.28515625" style="1" customWidth="1"/>
    <col min="9490" max="9490" width="12.7109375" style="1" customWidth="1"/>
    <col min="9491" max="9491" width="14" style="1" customWidth="1"/>
    <col min="9492" max="9499" width="9.140625" style="1" customWidth="1"/>
    <col min="9500" max="9500" width="10.5703125" style="1" bestFit="1" customWidth="1"/>
    <col min="9501" max="9504" width="11.28515625" style="1" bestFit="1" customWidth="1"/>
    <col min="9505" max="9505" width="10.28515625" style="1" bestFit="1" customWidth="1"/>
    <col min="9506" max="9511" width="9.85546875" style="1" bestFit="1" customWidth="1"/>
    <col min="9512" max="9512" width="11.140625" style="1" bestFit="1" customWidth="1"/>
    <col min="9513" max="9729" width="9.140625" style="1"/>
    <col min="9730" max="9730" width="28.140625" style="1" bestFit="1" customWidth="1"/>
    <col min="9731" max="9731" width="15.7109375" style="1" customWidth="1"/>
    <col min="9732" max="9732" width="10.5703125" style="1" customWidth="1"/>
    <col min="9733" max="9733" width="14.85546875" style="1" customWidth="1"/>
    <col min="9734" max="9745" width="11.28515625" style="1" customWidth="1"/>
    <col min="9746" max="9746" width="12.7109375" style="1" customWidth="1"/>
    <col min="9747" max="9747" width="14" style="1" customWidth="1"/>
    <col min="9748" max="9755" width="9.140625" style="1" customWidth="1"/>
    <col min="9756" max="9756" width="10.5703125" style="1" bestFit="1" customWidth="1"/>
    <col min="9757" max="9760" width="11.28515625" style="1" bestFit="1" customWidth="1"/>
    <col min="9761" max="9761" width="10.28515625" style="1" bestFit="1" customWidth="1"/>
    <col min="9762" max="9767" width="9.85546875" style="1" bestFit="1" customWidth="1"/>
    <col min="9768" max="9768" width="11.140625" style="1" bestFit="1" customWidth="1"/>
    <col min="9769" max="9985" width="9.140625" style="1"/>
    <col min="9986" max="9986" width="28.140625" style="1" bestFit="1" customWidth="1"/>
    <col min="9987" max="9987" width="15.7109375" style="1" customWidth="1"/>
    <col min="9988" max="9988" width="10.5703125" style="1" customWidth="1"/>
    <col min="9989" max="9989" width="14.85546875" style="1" customWidth="1"/>
    <col min="9990" max="10001" width="11.28515625" style="1" customWidth="1"/>
    <col min="10002" max="10002" width="12.7109375" style="1" customWidth="1"/>
    <col min="10003" max="10003" width="14" style="1" customWidth="1"/>
    <col min="10004" max="10011" width="9.140625" style="1" customWidth="1"/>
    <col min="10012" max="10012" width="10.5703125" style="1" bestFit="1" customWidth="1"/>
    <col min="10013" max="10016" width="11.28515625" style="1" bestFit="1" customWidth="1"/>
    <col min="10017" max="10017" width="10.28515625" style="1" bestFit="1" customWidth="1"/>
    <col min="10018" max="10023" width="9.85546875" style="1" bestFit="1" customWidth="1"/>
    <col min="10024" max="10024" width="11.140625" style="1" bestFit="1" customWidth="1"/>
    <col min="10025" max="10241" width="9.140625" style="1"/>
    <col min="10242" max="10242" width="28.140625" style="1" bestFit="1" customWidth="1"/>
    <col min="10243" max="10243" width="15.7109375" style="1" customWidth="1"/>
    <col min="10244" max="10244" width="10.5703125" style="1" customWidth="1"/>
    <col min="10245" max="10245" width="14.85546875" style="1" customWidth="1"/>
    <col min="10246" max="10257" width="11.28515625" style="1" customWidth="1"/>
    <col min="10258" max="10258" width="12.7109375" style="1" customWidth="1"/>
    <col min="10259" max="10259" width="14" style="1" customWidth="1"/>
    <col min="10260" max="10267" width="9.140625" style="1" customWidth="1"/>
    <col min="10268" max="10268" width="10.5703125" style="1" bestFit="1" customWidth="1"/>
    <col min="10269" max="10272" width="11.28515625" style="1" bestFit="1" customWidth="1"/>
    <col min="10273" max="10273" width="10.28515625" style="1" bestFit="1" customWidth="1"/>
    <col min="10274" max="10279" width="9.85546875" style="1" bestFit="1" customWidth="1"/>
    <col min="10280" max="10280" width="11.140625" style="1" bestFit="1" customWidth="1"/>
    <col min="10281" max="10497" width="9.140625" style="1"/>
    <col min="10498" max="10498" width="28.140625" style="1" bestFit="1" customWidth="1"/>
    <col min="10499" max="10499" width="15.7109375" style="1" customWidth="1"/>
    <col min="10500" max="10500" width="10.5703125" style="1" customWidth="1"/>
    <col min="10501" max="10501" width="14.85546875" style="1" customWidth="1"/>
    <col min="10502" max="10513" width="11.28515625" style="1" customWidth="1"/>
    <col min="10514" max="10514" width="12.7109375" style="1" customWidth="1"/>
    <col min="10515" max="10515" width="14" style="1" customWidth="1"/>
    <col min="10516" max="10523" width="9.140625" style="1" customWidth="1"/>
    <col min="10524" max="10524" width="10.5703125" style="1" bestFit="1" customWidth="1"/>
    <col min="10525" max="10528" width="11.28515625" style="1" bestFit="1" customWidth="1"/>
    <col min="10529" max="10529" width="10.28515625" style="1" bestFit="1" customWidth="1"/>
    <col min="10530" max="10535" width="9.85546875" style="1" bestFit="1" customWidth="1"/>
    <col min="10536" max="10536" width="11.140625" style="1" bestFit="1" customWidth="1"/>
    <col min="10537" max="10753" width="9.140625" style="1"/>
    <col min="10754" max="10754" width="28.140625" style="1" bestFit="1" customWidth="1"/>
    <col min="10755" max="10755" width="15.7109375" style="1" customWidth="1"/>
    <col min="10756" max="10756" width="10.5703125" style="1" customWidth="1"/>
    <col min="10757" max="10757" width="14.85546875" style="1" customWidth="1"/>
    <col min="10758" max="10769" width="11.28515625" style="1" customWidth="1"/>
    <col min="10770" max="10770" width="12.7109375" style="1" customWidth="1"/>
    <col min="10771" max="10771" width="14" style="1" customWidth="1"/>
    <col min="10772" max="10779" width="9.140625" style="1" customWidth="1"/>
    <col min="10780" max="10780" width="10.5703125" style="1" bestFit="1" customWidth="1"/>
    <col min="10781" max="10784" width="11.28515625" style="1" bestFit="1" customWidth="1"/>
    <col min="10785" max="10785" width="10.28515625" style="1" bestFit="1" customWidth="1"/>
    <col min="10786" max="10791" width="9.85546875" style="1" bestFit="1" customWidth="1"/>
    <col min="10792" max="10792" width="11.140625" style="1" bestFit="1" customWidth="1"/>
    <col min="10793" max="11009" width="9.140625" style="1"/>
    <col min="11010" max="11010" width="28.140625" style="1" bestFit="1" customWidth="1"/>
    <col min="11011" max="11011" width="15.7109375" style="1" customWidth="1"/>
    <col min="11012" max="11012" width="10.5703125" style="1" customWidth="1"/>
    <col min="11013" max="11013" width="14.85546875" style="1" customWidth="1"/>
    <col min="11014" max="11025" width="11.28515625" style="1" customWidth="1"/>
    <col min="11026" max="11026" width="12.7109375" style="1" customWidth="1"/>
    <col min="11027" max="11027" width="14" style="1" customWidth="1"/>
    <col min="11028" max="11035" width="9.140625" style="1" customWidth="1"/>
    <col min="11036" max="11036" width="10.5703125" style="1" bestFit="1" customWidth="1"/>
    <col min="11037" max="11040" width="11.28515625" style="1" bestFit="1" customWidth="1"/>
    <col min="11041" max="11041" width="10.28515625" style="1" bestFit="1" customWidth="1"/>
    <col min="11042" max="11047" width="9.85546875" style="1" bestFit="1" customWidth="1"/>
    <col min="11048" max="11048" width="11.140625" style="1" bestFit="1" customWidth="1"/>
    <col min="11049" max="11265" width="9.140625" style="1"/>
    <col min="11266" max="11266" width="28.140625" style="1" bestFit="1" customWidth="1"/>
    <col min="11267" max="11267" width="15.7109375" style="1" customWidth="1"/>
    <col min="11268" max="11268" width="10.5703125" style="1" customWidth="1"/>
    <col min="11269" max="11269" width="14.85546875" style="1" customWidth="1"/>
    <col min="11270" max="11281" width="11.28515625" style="1" customWidth="1"/>
    <col min="11282" max="11282" width="12.7109375" style="1" customWidth="1"/>
    <col min="11283" max="11283" width="14" style="1" customWidth="1"/>
    <col min="11284" max="11291" width="9.140625" style="1" customWidth="1"/>
    <col min="11292" max="11292" width="10.5703125" style="1" bestFit="1" customWidth="1"/>
    <col min="11293" max="11296" width="11.28515625" style="1" bestFit="1" customWidth="1"/>
    <col min="11297" max="11297" width="10.28515625" style="1" bestFit="1" customWidth="1"/>
    <col min="11298" max="11303" width="9.85546875" style="1" bestFit="1" customWidth="1"/>
    <col min="11304" max="11304" width="11.140625" style="1" bestFit="1" customWidth="1"/>
    <col min="11305" max="11521" width="9.140625" style="1"/>
    <col min="11522" max="11522" width="28.140625" style="1" bestFit="1" customWidth="1"/>
    <col min="11523" max="11523" width="15.7109375" style="1" customWidth="1"/>
    <col min="11524" max="11524" width="10.5703125" style="1" customWidth="1"/>
    <col min="11525" max="11525" width="14.85546875" style="1" customWidth="1"/>
    <col min="11526" max="11537" width="11.28515625" style="1" customWidth="1"/>
    <col min="11538" max="11538" width="12.7109375" style="1" customWidth="1"/>
    <col min="11539" max="11539" width="14" style="1" customWidth="1"/>
    <col min="11540" max="11547" width="9.140625" style="1" customWidth="1"/>
    <col min="11548" max="11548" width="10.5703125" style="1" bestFit="1" customWidth="1"/>
    <col min="11549" max="11552" width="11.28515625" style="1" bestFit="1" customWidth="1"/>
    <col min="11553" max="11553" width="10.28515625" style="1" bestFit="1" customWidth="1"/>
    <col min="11554" max="11559" width="9.85546875" style="1" bestFit="1" customWidth="1"/>
    <col min="11560" max="11560" width="11.140625" style="1" bestFit="1" customWidth="1"/>
    <col min="11561" max="11777" width="9.140625" style="1"/>
    <col min="11778" max="11778" width="28.140625" style="1" bestFit="1" customWidth="1"/>
    <col min="11779" max="11779" width="15.7109375" style="1" customWidth="1"/>
    <col min="11780" max="11780" width="10.5703125" style="1" customWidth="1"/>
    <col min="11781" max="11781" width="14.85546875" style="1" customWidth="1"/>
    <col min="11782" max="11793" width="11.28515625" style="1" customWidth="1"/>
    <col min="11794" max="11794" width="12.7109375" style="1" customWidth="1"/>
    <col min="11795" max="11795" width="14" style="1" customWidth="1"/>
    <col min="11796" max="11803" width="9.140625" style="1" customWidth="1"/>
    <col min="11804" max="11804" width="10.5703125" style="1" bestFit="1" customWidth="1"/>
    <col min="11805" max="11808" width="11.28515625" style="1" bestFit="1" customWidth="1"/>
    <col min="11809" max="11809" width="10.28515625" style="1" bestFit="1" customWidth="1"/>
    <col min="11810" max="11815" width="9.85546875" style="1" bestFit="1" customWidth="1"/>
    <col min="11816" max="11816" width="11.140625" style="1" bestFit="1" customWidth="1"/>
    <col min="11817" max="12033" width="9.140625" style="1"/>
    <col min="12034" max="12034" width="28.140625" style="1" bestFit="1" customWidth="1"/>
    <col min="12035" max="12035" width="15.7109375" style="1" customWidth="1"/>
    <col min="12036" max="12036" width="10.5703125" style="1" customWidth="1"/>
    <col min="12037" max="12037" width="14.85546875" style="1" customWidth="1"/>
    <col min="12038" max="12049" width="11.28515625" style="1" customWidth="1"/>
    <col min="12050" max="12050" width="12.7109375" style="1" customWidth="1"/>
    <col min="12051" max="12051" width="14" style="1" customWidth="1"/>
    <col min="12052" max="12059" width="9.140625" style="1" customWidth="1"/>
    <col min="12060" max="12060" width="10.5703125" style="1" bestFit="1" customWidth="1"/>
    <col min="12061" max="12064" width="11.28515625" style="1" bestFit="1" customWidth="1"/>
    <col min="12065" max="12065" width="10.28515625" style="1" bestFit="1" customWidth="1"/>
    <col min="12066" max="12071" width="9.85546875" style="1" bestFit="1" customWidth="1"/>
    <col min="12072" max="12072" width="11.140625" style="1" bestFit="1" customWidth="1"/>
    <col min="12073" max="12289" width="9.140625" style="1"/>
    <col min="12290" max="12290" width="28.140625" style="1" bestFit="1" customWidth="1"/>
    <col min="12291" max="12291" width="15.7109375" style="1" customWidth="1"/>
    <col min="12292" max="12292" width="10.5703125" style="1" customWidth="1"/>
    <col min="12293" max="12293" width="14.85546875" style="1" customWidth="1"/>
    <col min="12294" max="12305" width="11.28515625" style="1" customWidth="1"/>
    <col min="12306" max="12306" width="12.7109375" style="1" customWidth="1"/>
    <col min="12307" max="12307" width="14" style="1" customWidth="1"/>
    <col min="12308" max="12315" width="9.140625" style="1" customWidth="1"/>
    <col min="12316" max="12316" width="10.5703125" style="1" bestFit="1" customWidth="1"/>
    <col min="12317" max="12320" width="11.28515625" style="1" bestFit="1" customWidth="1"/>
    <col min="12321" max="12321" width="10.28515625" style="1" bestFit="1" customWidth="1"/>
    <col min="12322" max="12327" width="9.85546875" style="1" bestFit="1" customWidth="1"/>
    <col min="12328" max="12328" width="11.140625" style="1" bestFit="1" customWidth="1"/>
    <col min="12329" max="12545" width="9.140625" style="1"/>
    <col min="12546" max="12546" width="28.140625" style="1" bestFit="1" customWidth="1"/>
    <col min="12547" max="12547" width="15.7109375" style="1" customWidth="1"/>
    <col min="12548" max="12548" width="10.5703125" style="1" customWidth="1"/>
    <col min="12549" max="12549" width="14.85546875" style="1" customWidth="1"/>
    <col min="12550" max="12561" width="11.28515625" style="1" customWidth="1"/>
    <col min="12562" max="12562" width="12.7109375" style="1" customWidth="1"/>
    <col min="12563" max="12563" width="14" style="1" customWidth="1"/>
    <col min="12564" max="12571" width="9.140625" style="1" customWidth="1"/>
    <col min="12572" max="12572" width="10.5703125" style="1" bestFit="1" customWidth="1"/>
    <col min="12573" max="12576" width="11.28515625" style="1" bestFit="1" customWidth="1"/>
    <col min="12577" max="12577" width="10.28515625" style="1" bestFit="1" customWidth="1"/>
    <col min="12578" max="12583" width="9.85546875" style="1" bestFit="1" customWidth="1"/>
    <col min="12584" max="12584" width="11.140625" style="1" bestFit="1" customWidth="1"/>
    <col min="12585" max="12801" width="9.140625" style="1"/>
    <col min="12802" max="12802" width="28.140625" style="1" bestFit="1" customWidth="1"/>
    <col min="12803" max="12803" width="15.7109375" style="1" customWidth="1"/>
    <col min="12804" max="12804" width="10.5703125" style="1" customWidth="1"/>
    <col min="12805" max="12805" width="14.85546875" style="1" customWidth="1"/>
    <col min="12806" max="12817" width="11.28515625" style="1" customWidth="1"/>
    <col min="12818" max="12818" width="12.7109375" style="1" customWidth="1"/>
    <col min="12819" max="12819" width="14" style="1" customWidth="1"/>
    <col min="12820" max="12827" width="9.140625" style="1" customWidth="1"/>
    <col min="12828" max="12828" width="10.5703125" style="1" bestFit="1" customWidth="1"/>
    <col min="12829" max="12832" width="11.28515625" style="1" bestFit="1" customWidth="1"/>
    <col min="12833" max="12833" width="10.28515625" style="1" bestFit="1" customWidth="1"/>
    <col min="12834" max="12839" width="9.85546875" style="1" bestFit="1" customWidth="1"/>
    <col min="12840" max="12840" width="11.140625" style="1" bestFit="1" customWidth="1"/>
    <col min="12841" max="13057" width="9.140625" style="1"/>
    <col min="13058" max="13058" width="28.140625" style="1" bestFit="1" customWidth="1"/>
    <col min="13059" max="13059" width="15.7109375" style="1" customWidth="1"/>
    <col min="13060" max="13060" width="10.5703125" style="1" customWidth="1"/>
    <col min="13061" max="13061" width="14.85546875" style="1" customWidth="1"/>
    <col min="13062" max="13073" width="11.28515625" style="1" customWidth="1"/>
    <col min="13074" max="13074" width="12.7109375" style="1" customWidth="1"/>
    <col min="13075" max="13075" width="14" style="1" customWidth="1"/>
    <col min="13076" max="13083" width="9.140625" style="1" customWidth="1"/>
    <col min="13084" max="13084" width="10.5703125" style="1" bestFit="1" customWidth="1"/>
    <col min="13085" max="13088" width="11.28515625" style="1" bestFit="1" customWidth="1"/>
    <col min="13089" max="13089" width="10.28515625" style="1" bestFit="1" customWidth="1"/>
    <col min="13090" max="13095" width="9.85546875" style="1" bestFit="1" customWidth="1"/>
    <col min="13096" max="13096" width="11.140625" style="1" bestFit="1" customWidth="1"/>
    <col min="13097" max="13313" width="9.140625" style="1"/>
    <col min="13314" max="13314" width="28.140625" style="1" bestFit="1" customWidth="1"/>
    <col min="13315" max="13315" width="15.7109375" style="1" customWidth="1"/>
    <col min="13316" max="13316" width="10.5703125" style="1" customWidth="1"/>
    <col min="13317" max="13317" width="14.85546875" style="1" customWidth="1"/>
    <col min="13318" max="13329" width="11.28515625" style="1" customWidth="1"/>
    <col min="13330" max="13330" width="12.7109375" style="1" customWidth="1"/>
    <col min="13331" max="13331" width="14" style="1" customWidth="1"/>
    <col min="13332" max="13339" width="9.140625" style="1" customWidth="1"/>
    <col min="13340" max="13340" width="10.5703125" style="1" bestFit="1" customWidth="1"/>
    <col min="13341" max="13344" width="11.28515625" style="1" bestFit="1" customWidth="1"/>
    <col min="13345" max="13345" width="10.28515625" style="1" bestFit="1" customWidth="1"/>
    <col min="13346" max="13351" width="9.85546875" style="1" bestFit="1" customWidth="1"/>
    <col min="13352" max="13352" width="11.140625" style="1" bestFit="1" customWidth="1"/>
    <col min="13353" max="13569" width="9.140625" style="1"/>
    <col min="13570" max="13570" width="28.140625" style="1" bestFit="1" customWidth="1"/>
    <col min="13571" max="13571" width="15.7109375" style="1" customWidth="1"/>
    <col min="13572" max="13572" width="10.5703125" style="1" customWidth="1"/>
    <col min="13573" max="13573" width="14.85546875" style="1" customWidth="1"/>
    <col min="13574" max="13585" width="11.28515625" style="1" customWidth="1"/>
    <col min="13586" max="13586" width="12.7109375" style="1" customWidth="1"/>
    <col min="13587" max="13587" width="14" style="1" customWidth="1"/>
    <col min="13588" max="13595" width="9.140625" style="1" customWidth="1"/>
    <col min="13596" max="13596" width="10.5703125" style="1" bestFit="1" customWidth="1"/>
    <col min="13597" max="13600" width="11.28515625" style="1" bestFit="1" customWidth="1"/>
    <col min="13601" max="13601" width="10.28515625" style="1" bestFit="1" customWidth="1"/>
    <col min="13602" max="13607" width="9.85546875" style="1" bestFit="1" customWidth="1"/>
    <col min="13608" max="13608" width="11.140625" style="1" bestFit="1" customWidth="1"/>
    <col min="13609" max="13825" width="9.140625" style="1"/>
    <col min="13826" max="13826" width="28.140625" style="1" bestFit="1" customWidth="1"/>
    <col min="13827" max="13827" width="15.7109375" style="1" customWidth="1"/>
    <col min="13828" max="13828" width="10.5703125" style="1" customWidth="1"/>
    <col min="13829" max="13829" width="14.85546875" style="1" customWidth="1"/>
    <col min="13830" max="13841" width="11.28515625" style="1" customWidth="1"/>
    <col min="13842" max="13842" width="12.7109375" style="1" customWidth="1"/>
    <col min="13843" max="13843" width="14" style="1" customWidth="1"/>
    <col min="13844" max="13851" width="9.140625" style="1" customWidth="1"/>
    <col min="13852" max="13852" width="10.5703125" style="1" bestFit="1" customWidth="1"/>
    <col min="13853" max="13856" width="11.28515625" style="1" bestFit="1" customWidth="1"/>
    <col min="13857" max="13857" width="10.28515625" style="1" bestFit="1" customWidth="1"/>
    <col min="13858" max="13863" width="9.85546875" style="1" bestFit="1" customWidth="1"/>
    <col min="13864" max="13864" width="11.140625" style="1" bestFit="1" customWidth="1"/>
    <col min="13865" max="14081" width="9.140625" style="1"/>
    <col min="14082" max="14082" width="28.140625" style="1" bestFit="1" customWidth="1"/>
    <col min="14083" max="14083" width="15.7109375" style="1" customWidth="1"/>
    <col min="14084" max="14084" width="10.5703125" style="1" customWidth="1"/>
    <col min="14085" max="14085" width="14.85546875" style="1" customWidth="1"/>
    <col min="14086" max="14097" width="11.28515625" style="1" customWidth="1"/>
    <col min="14098" max="14098" width="12.7109375" style="1" customWidth="1"/>
    <col min="14099" max="14099" width="14" style="1" customWidth="1"/>
    <col min="14100" max="14107" width="9.140625" style="1" customWidth="1"/>
    <col min="14108" max="14108" width="10.5703125" style="1" bestFit="1" customWidth="1"/>
    <col min="14109" max="14112" width="11.28515625" style="1" bestFit="1" customWidth="1"/>
    <col min="14113" max="14113" width="10.28515625" style="1" bestFit="1" customWidth="1"/>
    <col min="14114" max="14119" width="9.85546875" style="1" bestFit="1" customWidth="1"/>
    <col min="14120" max="14120" width="11.140625" style="1" bestFit="1" customWidth="1"/>
    <col min="14121" max="14337" width="9.140625" style="1"/>
    <col min="14338" max="14338" width="28.140625" style="1" bestFit="1" customWidth="1"/>
    <col min="14339" max="14339" width="15.7109375" style="1" customWidth="1"/>
    <col min="14340" max="14340" width="10.5703125" style="1" customWidth="1"/>
    <col min="14341" max="14341" width="14.85546875" style="1" customWidth="1"/>
    <col min="14342" max="14353" width="11.28515625" style="1" customWidth="1"/>
    <col min="14354" max="14354" width="12.7109375" style="1" customWidth="1"/>
    <col min="14355" max="14355" width="14" style="1" customWidth="1"/>
    <col min="14356" max="14363" width="9.140625" style="1" customWidth="1"/>
    <col min="14364" max="14364" width="10.5703125" style="1" bestFit="1" customWidth="1"/>
    <col min="14365" max="14368" width="11.28515625" style="1" bestFit="1" customWidth="1"/>
    <col min="14369" max="14369" width="10.28515625" style="1" bestFit="1" customWidth="1"/>
    <col min="14370" max="14375" width="9.85546875" style="1" bestFit="1" customWidth="1"/>
    <col min="14376" max="14376" width="11.140625" style="1" bestFit="1" customWidth="1"/>
    <col min="14377" max="14593" width="9.140625" style="1"/>
    <col min="14594" max="14594" width="28.140625" style="1" bestFit="1" customWidth="1"/>
    <col min="14595" max="14595" width="15.7109375" style="1" customWidth="1"/>
    <col min="14596" max="14596" width="10.5703125" style="1" customWidth="1"/>
    <col min="14597" max="14597" width="14.85546875" style="1" customWidth="1"/>
    <col min="14598" max="14609" width="11.28515625" style="1" customWidth="1"/>
    <col min="14610" max="14610" width="12.7109375" style="1" customWidth="1"/>
    <col min="14611" max="14611" width="14" style="1" customWidth="1"/>
    <col min="14612" max="14619" width="9.140625" style="1" customWidth="1"/>
    <col min="14620" max="14620" width="10.5703125" style="1" bestFit="1" customWidth="1"/>
    <col min="14621" max="14624" width="11.28515625" style="1" bestFit="1" customWidth="1"/>
    <col min="14625" max="14625" width="10.28515625" style="1" bestFit="1" customWidth="1"/>
    <col min="14626" max="14631" width="9.85546875" style="1" bestFit="1" customWidth="1"/>
    <col min="14632" max="14632" width="11.140625" style="1" bestFit="1" customWidth="1"/>
    <col min="14633" max="14849" width="9.140625" style="1"/>
    <col min="14850" max="14850" width="28.140625" style="1" bestFit="1" customWidth="1"/>
    <col min="14851" max="14851" width="15.7109375" style="1" customWidth="1"/>
    <col min="14852" max="14852" width="10.5703125" style="1" customWidth="1"/>
    <col min="14853" max="14853" width="14.85546875" style="1" customWidth="1"/>
    <col min="14854" max="14865" width="11.28515625" style="1" customWidth="1"/>
    <col min="14866" max="14866" width="12.7109375" style="1" customWidth="1"/>
    <col min="14867" max="14867" width="14" style="1" customWidth="1"/>
    <col min="14868" max="14875" width="9.140625" style="1" customWidth="1"/>
    <col min="14876" max="14876" width="10.5703125" style="1" bestFit="1" customWidth="1"/>
    <col min="14877" max="14880" width="11.28515625" style="1" bestFit="1" customWidth="1"/>
    <col min="14881" max="14881" width="10.28515625" style="1" bestFit="1" customWidth="1"/>
    <col min="14882" max="14887" width="9.85546875" style="1" bestFit="1" customWidth="1"/>
    <col min="14888" max="14888" width="11.140625" style="1" bestFit="1" customWidth="1"/>
    <col min="14889" max="15105" width="9.140625" style="1"/>
    <col min="15106" max="15106" width="28.140625" style="1" bestFit="1" customWidth="1"/>
    <col min="15107" max="15107" width="15.7109375" style="1" customWidth="1"/>
    <col min="15108" max="15108" width="10.5703125" style="1" customWidth="1"/>
    <col min="15109" max="15109" width="14.85546875" style="1" customWidth="1"/>
    <col min="15110" max="15121" width="11.28515625" style="1" customWidth="1"/>
    <col min="15122" max="15122" width="12.7109375" style="1" customWidth="1"/>
    <col min="15123" max="15123" width="14" style="1" customWidth="1"/>
    <col min="15124" max="15131" width="9.140625" style="1" customWidth="1"/>
    <col min="15132" max="15132" width="10.5703125" style="1" bestFit="1" customWidth="1"/>
    <col min="15133" max="15136" width="11.28515625" style="1" bestFit="1" customWidth="1"/>
    <col min="15137" max="15137" width="10.28515625" style="1" bestFit="1" customWidth="1"/>
    <col min="15138" max="15143" width="9.85546875" style="1" bestFit="1" customWidth="1"/>
    <col min="15144" max="15144" width="11.140625" style="1" bestFit="1" customWidth="1"/>
    <col min="15145" max="15361" width="9.140625" style="1"/>
    <col min="15362" max="15362" width="28.140625" style="1" bestFit="1" customWidth="1"/>
    <col min="15363" max="15363" width="15.7109375" style="1" customWidth="1"/>
    <col min="15364" max="15364" width="10.5703125" style="1" customWidth="1"/>
    <col min="15365" max="15365" width="14.85546875" style="1" customWidth="1"/>
    <col min="15366" max="15377" width="11.28515625" style="1" customWidth="1"/>
    <col min="15378" max="15378" width="12.7109375" style="1" customWidth="1"/>
    <col min="15379" max="15379" width="14" style="1" customWidth="1"/>
    <col min="15380" max="15387" width="9.140625" style="1" customWidth="1"/>
    <col min="15388" max="15388" width="10.5703125" style="1" bestFit="1" customWidth="1"/>
    <col min="15389" max="15392" width="11.28515625" style="1" bestFit="1" customWidth="1"/>
    <col min="15393" max="15393" width="10.28515625" style="1" bestFit="1" customWidth="1"/>
    <col min="15394" max="15399" width="9.85546875" style="1" bestFit="1" customWidth="1"/>
    <col min="15400" max="15400" width="11.140625" style="1" bestFit="1" customWidth="1"/>
    <col min="15401" max="15617" width="9.140625" style="1"/>
    <col min="15618" max="15618" width="28.140625" style="1" bestFit="1" customWidth="1"/>
    <col min="15619" max="15619" width="15.7109375" style="1" customWidth="1"/>
    <col min="15620" max="15620" width="10.5703125" style="1" customWidth="1"/>
    <col min="15621" max="15621" width="14.85546875" style="1" customWidth="1"/>
    <col min="15622" max="15633" width="11.28515625" style="1" customWidth="1"/>
    <col min="15634" max="15634" width="12.7109375" style="1" customWidth="1"/>
    <col min="15635" max="15635" width="14" style="1" customWidth="1"/>
    <col min="15636" max="15643" width="9.140625" style="1" customWidth="1"/>
    <col min="15644" max="15644" width="10.5703125" style="1" bestFit="1" customWidth="1"/>
    <col min="15645" max="15648" width="11.28515625" style="1" bestFit="1" customWidth="1"/>
    <col min="15649" max="15649" width="10.28515625" style="1" bestFit="1" customWidth="1"/>
    <col min="15650" max="15655" width="9.85546875" style="1" bestFit="1" customWidth="1"/>
    <col min="15656" max="15656" width="11.140625" style="1" bestFit="1" customWidth="1"/>
    <col min="15657" max="15873" width="9.140625" style="1"/>
    <col min="15874" max="15874" width="28.140625" style="1" bestFit="1" customWidth="1"/>
    <col min="15875" max="15875" width="15.7109375" style="1" customWidth="1"/>
    <col min="15876" max="15876" width="10.5703125" style="1" customWidth="1"/>
    <col min="15877" max="15877" width="14.85546875" style="1" customWidth="1"/>
    <col min="15878" max="15889" width="11.28515625" style="1" customWidth="1"/>
    <col min="15890" max="15890" width="12.7109375" style="1" customWidth="1"/>
    <col min="15891" max="15891" width="14" style="1" customWidth="1"/>
    <col min="15892" max="15899" width="9.140625" style="1" customWidth="1"/>
    <col min="15900" max="15900" width="10.5703125" style="1" bestFit="1" customWidth="1"/>
    <col min="15901" max="15904" width="11.28515625" style="1" bestFit="1" customWidth="1"/>
    <col min="15905" max="15905" width="10.28515625" style="1" bestFit="1" customWidth="1"/>
    <col min="15906" max="15911" width="9.85546875" style="1" bestFit="1" customWidth="1"/>
    <col min="15912" max="15912" width="11.140625" style="1" bestFit="1" customWidth="1"/>
    <col min="15913" max="16129" width="9.140625" style="1"/>
    <col min="16130" max="16130" width="28.140625" style="1" bestFit="1" customWidth="1"/>
    <col min="16131" max="16131" width="15.7109375" style="1" customWidth="1"/>
    <col min="16132" max="16132" width="10.5703125" style="1" customWidth="1"/>
    <col min="16133" max="16133" width="14.85546875" style="1" customWidth="1"/>
    <col min="16134" max="16145" width="11.28515625" style="1" customWidth="1"/>
    <col min="16146" max="16146" width="12.7109375" style="1" customWidth="1"/>
    <col min="16147" max="16147" width="14" style="1" customWidth="1"/>
    <col min="16148" max="16155" width="9.140625" style="1" customWidth="1"/>
    <col min="16156" max="16156" width="10.5703125" style="1" bestFit="1" customWidth="1"/>
    <col min="16157" max="16160" width="11.28515625" style="1" bestFit="1" customWidth="1"/>
    <col min="16161" max="16161" width="10.28515625" style="1" bestFit="1" customWidth="1"/>
    <col min="16162" max="16167" width="9.85546875" style="1" bestFit="1" customWidth="1"/>
    <col min="16168" max="16168" width="11.140625" style="1" bestFit="1" customWidth="1"/>
    <col min="16169" max="16384" width="9.140625" style="1"/>
  </cols>
  <sheetData>
    <row r="1" spans="1:50" x14ac:dyDescent="0.2">
      <c r="A1" s="133"/>
      <c r="B1" s="133"/>
      <c r="C1" s="134"/>
      <c r="D1" s="134"/>
      <c r="E1" s="134"/>
      <c r="F1" s="119" t="s">
        <v>49</v>
      </c>
      <c r="G1" s="119" t="s">
        <v>48</v>
      </c>
      <c r="H1" s="119" t="s">
        <v>47</v>
      </c>
      <c r="I1" s="119" t="s">
        <v>46</v>
      </c>
      <c r="J1" s="119" t="s">
        <v>45</v>
      </c>
      <c r="K1" s="119" t="s">
        <v>44</v>
      </c>
      <c r="L1" s="119" t="s">
        <v>43</v>
      </c>
      <c r="M1" s="119" t="s">
        <v>42</v>
      </c>
      <c r="N1" s="119" t="s">
        <v>41</v>
      </c>
      <c r="O1" s="119" t="s">
        <v>40</v>
      </c>
      <c r="P1" s="119" t="s">
        <v>39</v>
      </c>
      <c r="Q1" s="119" t="s">
        <v>38</v>
      </c>
      <c r="R1" s="119" t="s">
        <v>37</v>
      </c>
      <c r="S1" s="133"/>
      <c r="T1" s="133"/>
      <c r="U1" s="133"/>
      <c r="V1" s="133"/>
      <c r="W1" s="4"/>
      <c r="X1" s="4"/>
      <c r="Y1" s="4"/>
      <c r="Z1" s="4"/>
      <c r="AA1" s="4"/>
      <c r="AB1" s="119"/>
      <c r="AC1" s="119"/>
      <c r="AD1" s="119"/>
      <c r="AE1" s="119"/>
      <c r="AF1" s="119"/>
      <c r="AG1" s="119"/>
      <c r="AH1" s="119"/>
      <c r="AI1" s="119"/>
      <c r="AJ1" s="119"/>
      <c r="AK1" s="119"/>
      <c r="AL1" s="119"/>
      <c r="AM1" s="119"/>
      <c r="AN1" s="119"/>
      <c r="AO1" s="135"/>
      <c r="AP1" s="135"/>
      <c r="AQ1" s="135"/>
      <c r="AR1" s="135"/>
      <c r="AS1" s="135"/>
      <c r="AT1" s="135"/>
      <c r="AU1" s="135"/>
      <c r="AV1" s="135"/>
      <c r="AW1" s="135"/>
      <c r="AX1" s="135"/>
    </row>
    <row r="2" spans="1:50" x14ac:dyDescent="0.2">
      <c r="A2" s="134"/>
      <c r="B2" s="136" t="s">
        <v>414</v>
      </c>
      <c r="C2" s="4">
        <f>STATS!D31</f>
        <v>68990</v>
      </c>
      <c r="D2" s="134"/>
      <c r="E2" s="134"/>
      <c r="F2" s="305">
        <f>'MO STATS'!E27</f>
        <v>4277</v>
      </c>
      <c r="G2" s="305">
        <f>'MO STATS'!F27</f>
        <v>4223</v>
      </c>
      <c r="H2" s="305">
        <f>'MO STATS'!G27</f>
        <v>3985</v>
      </c>
      <c r="I2" s="305">
        <f>'MO STATS'!H27</f>
        <v>5460</v>
      </c>
      <c r="J2" s="305">
        <f>'MO STATS'!I27</f>
        <v>5515</v>
      </c>
      <c r="K2" s="305">
        <f>'MO STATS'!J27</f>
        <v>7520</v>
      </c>
      <c r="L2" s="305">
        <f>'MO STATS'!K27</f>
        <v>4575</v>
      </c>
      <c r="M2" s="305">
        <f>'MO STATS'!L27</f>
        <v>5497</v>
      </c>
      <c r="N2" s="305">
        <f>'MO STATS'!M27</f>
        <v>6654</v>
      </c>
      <c r="O2" s="305">
        <f>'MO STATS'!N27</f>
        <v>7676</v>
      </c>
      <c r="P2" s="305">
        <f>'MO STATS'!O27</f>
        <v>7256</v>
      </c>
      <c r="Q2" s="305">
        <f>'MO STATS'!P27</f>
        <v>6352</v>
      </c>
      <c r="R2" s="137">
        <f>SUM(F2:Q2)</f>
        <v>68990</v>
      </c>
      <c r="S2" s="138">
        <f>C2-R2</f>
        <v>0</v>
      </c>
      <c r="T2" s="133"/>
      <c r="U2" s="133"/>
      <c r="V2" s="133"/>
      <c r="W2" s="139"/>
      <c r="X2" s="111"/>
      <c r="Y2" s="4"/>
      <c r="Z2" s="4"/>
      <c r="AA2" s="4"/>
      <c r="AB2" s="4"/>
      <c r="AC2" s="4"/>
      <c r="AD2" s="4"/>
      <c r="AE2" s="4"/>
      <c r="AF2" s="4"/>
      <c r="AG2" s="4"/>
      <c r="AH2" s="4"/>
      <c r="AI2" s="4"/>
      <c r="AJ2" s="4"/>
      <c r="AK2" s="4"/>
      <c r="AL2" s="4"/>
      <c r="AM2" s="4"/>
      <c r="AN2" s="2"/>
      <c r="AO2" s="135"/>
      <c r="AP2" s="135"/>
      <c r="AQ2" s="135"/>
      <c r="AR2" s="135"/>
      <c r="AS2" s="135"/>
      <c r="AT2" s="135"/>
      <c r="AU2" s="135"/>
      <c r="AV2" s="135"/>
      <c r="AW2" s="135"/>
      <c r="AX2" s="135"/>
    </row>
    <row r="3" spans="1:50" x14ac:dyDescent="0.2">
      <c r="A3" s="133"/>
      <c r="B3" s="136" t="s">
        <v>415</v>
      </c>
      <c r="C3" s="4">
        <f>STATS!D32</f>
        <v>21236</v>
      </c>
      <c r="D3" s="134"/>
      <c r="E3" s="134"/>
      <c r="F3" s="305">
        <f>'MO STATS'!E28</f>
        <v>1862</v>
      </c>
      <c r="G3" s="305">
        <f>'MO STATS'!F28</f>
        <v>1485</v>
      </c>
      <c r="H3" s="305">
        <f>'MO STATS'!G28</f>
        <v>1659</v>
      </c>
      <c r="I3" s="305">
        <f>'MO STATS'!H28</f>
        <v>1609</v>
      </c>
      <c r="J3" s="305">
        <f>'MO STATS'!I28</f>
        <v>1624</v>
      </c>
      <c r="K3" s="305">
        <f>'MO STATS'!J28</f>
        <v>1885</v>
      </c>
      <c r="L3" s="305">
        <f>'MO STATS'!K28</f>
        <v>1908</v>
      </c>
      <c r="M3" s="305">
        <f>'MO STATS'!L28</f>
        <v>2199</v>
      </c>
      <c r="N3" s="305">
        <f>'MO STATS'!M28</f>
        <v>2178</v>
      </c>
      <c r="O3" s="305">
        <f>'MO STATS'!N28</f>
        <v>1271</v>
      </c>
      <c r="P3" s="305">
        <f>'MO STATS'!O28</f>
        <v>1839</v>
      </c>
      <c r="Q3" s="305">
        <f>'MO STATS'!P28</f>
        <v>1717</v>
      </c>
      <c r="R3" s="137">
        <f>SUM(F3:Q3)</f>
        <v>21236</v>
      </c>
      <c r="S3" s="138">
        <f>C3-R3</f>
        <v>0</v>
      </c>
      <c r="T3" s="133"/>
      <c r="U3" s="133"/>
      <c r="V3" s="133"/>
      <c r="W3" s="133"/>
      <c r="X3" s="133"/>
      <c r="Y3" s="133"/>
      <c r="Z3" s="133"/>
      <c r="AA3" s="133"/>
      <c r="AB3" s="135"/>
      <c r="AC3" s="135"/>
      <c r="AD3" s="135"/>
      <c r="AE3" s="135"/>
      <c r="AF3" s="135"/>
      <c r="AG3" s="135"/>
      <c r="AH3" s="135"/>
      <c r="AI3" s="135"/>
      <c r="AJ3" s="135"/>
      <c r="AK3" s="135"/>
      <c r="AL3" s="135"/>
      <c r="AM3" s="135"/>
      <c r="AN3" s="135"/>
      <c r="AO3" s="135"/>
      <c r="AP3" s="135"/>
      <c r="AQ3" s="135"/>
      <c r="AR3" s="135"/>
      <c r="AS3" s="135"/>
      <c r="AT3" s="135"/>
      <c r="AU3" s="135"/>
      <c r="AV3" s="135"/>
      <c r="AW3" s="135"/>
      <c r="AX3" s="135"/>
    </row>
    <row r="4" spans="1:50" x14ac:dyDescent="0.2">
      <c r="A4" s="133"/>
      <c r="B4" s="136" t="s">
        <v>451</v>
      </c>
      <c r="C4" s="140">
        <f>SUM(C2:C3)</f>
        <v>90226</v>
      </c>
      <c r="D4" s="134"/>
      <c r="E4" s="134"/>
      <c r="F4" s="305">
        <f>'MO STATS'!E29</f>
        <v>6139</v>
      </c>
      <c r="G4" s="305">
        <f>'MO STATS'!F29</f>
        <v>5708</v>
      </c>
      <c r="H4" s="305">
        <f>'MO STATS'!G29</f>
        <v>5644</v>
      </c>
      <c r="I4" s="305">
        <f>'MO STATS'!H29</f>
        <v>7069</v>
      </c>
      <c r="J4" s="305">
        <f>'MO STATS'!I29</f>
        <v>7139</v>
      </c>
      <c r="K4" s="305">
        <f>'MO STATS'!J29</f>
        <v>9405</v>
      </c>
      <c r="L4" s="305">
        <f>'MO STATS'!K29</f>
        <v>6483</v>
      </c>
      <c r="M4" s="305">
        <f>'MO STATS'!L29</f>
        <v>7696</v>
      </c>
      <c r="N4" s="305">
        <f>'MO STATS'!M29</f>
        <v>8832</v>
      </c>
      <c r="O4" s="305">
        <f>'MO STATS'!N29</f>
        <v>8947</v>
      </c>
      <c r="P4" s="305">
        <f>'MO STATS'!O29</f>
        <v>9095</v>
      </c>
      <c r="Q4" s="305">
        <f>'MO STATS'!P29</f>
        <v>8069</v>
      </c>
      <c r="R4" s="141">
        <f t="shared" ref="R4" si="0">SUM(R2:R3)</f>
        <v>90226</v>
      </c>
      <c r="S4" s="138">
        <f>C4-R4</f>
        <v>0</v>
      </c>
      <c r="T4" s="133"/>
      <c r="U4" s="133"/>
      <c r="V4" s="133"/>
      <c r="W4" s="133"/>
      <c r="X4" s="133"/>
      <c r="Y4" s="133"/>
      <c r="Z4" s="133"/>
      <c r="AA4" s="133"/>
      <c r="AB4" s="135"/>
      <c r="AC4" s="135"/>
      <c r="AD4" s="135"/>
      <c r="AE4" s="135"/>
      <c r="AF4" s="135"/>
      <c r="AG4" s="135"/>
      <c r="AH4" s="135"/>
      <c r="AI4" s="135"/>
      <c r="AJ4" s="135"/>
      <c r="AK4" s="135"/>
      <c r="AL4" s="135"/>
      <c r="AM4" s="135"/>
      <c r="AN4" s="135"/>
      <c r="AO4" s="135"/>
      <c r="AP4" s="135"/>
      <c r="AQ4" s="135"/>
      <c r="AR4" s="135"/>
      <c r="AS4" s="135"/>
      <c r="AT4" s="135"/>
      <c r="AU4" s="135"/>
      <c r="AV4" s="135"/>
      <c r="AW4" s="135"/>
      <c r="AX4" s="135"/>
    </row>
    <row r="5" spans="1:50" x14ac:dyDescent="0.2">
      <c r="A5" s="133"/>
      <c r="B5" s="136"/>
      <c r="C5" s="140"/>
      <c r="D5" s="134"/>
      <c r="E5" s="134"/>
      <c r="F5" s="305"/>
      <c r="G5" s="305"/>
      <c r="H5" s="305"/>
      <c r="I5" s="305"/>
      <c r="J5" s="305"/>
      <c r="K5" s="305"/>
      <c r="L5" s="305"/>
      <c r="M5" s="305"/>
      <c r="N5" s="305"/>
      <c r="O5" s="305"/>
      <c r="P5" s="305"/>
      <c r="Q5" s="305"/>
      <c r="R5" s="141"/>
      <c r="S5" s="138"/>
      <c r="T5" s="133"/>
      <c r="U5" s="133"/>
      <c r="V5" s="133"/>
      <c r="W5" s="133"/>
      <c r="X5" s="133"/>
      <c r="Y5" s="133"/>
      <c r="Z5" s="133"/>
      <c r="AA5" s="133"/>
      <c r="AB5" s="135"/>
      <c r="AC5" s="135"/>
      <c r="AD5" s="135"/>
      <c r="AE5" s="135"/>
      <c r="AF5" s="135"/>
      <c r="AG5" s="135"/>
      <c r="AH5" s="135"/>
      <c r="AI5" s="135"/>
      <c r="AJ5" s="135"/>
      <c r="AK5" s="135"/>
      <c r="AL5" s="135"/>
      <c r="AM5" s="135"/>
      <c r="AN5" s="135"/>
      <c r="AO5" s="135"/>
      <c r="AP5" s="135"/>
      <c r="AQ5" s="135"/>
      <c r="AR5" s="135"/>
      <c r="AS5" s="135"/>
      <c r="AT5" s="135"/>
      <c r="AU5" s="135"/>
      <c r="AV5" s="135"/>
      <c r="AW5" s="135"/>
      <c r="AX5" s="135"/>
    </row>
    <row r="6" spans="1:50" x14ac:dyDescent="0.2">
      <c r="A6" s="133"/>
      <c r="B6" s="38" t="s">
        <v>940</v>
      </c>
      <c r="C6" s="481">
        <f>'[4]2017 FTEs'!$AS$19</f>
        <v>2.5</v>
      </c>
      <c r="D6" s="134"/>
      <c r="E6" s="134"/>
      <c r="F6" s="305"/>
      <c r="G6" s="305"/>
      <c r="H6" s="305"/>
      <c r="I6" s="305"/>
      <c r="J6" s="305"/>
      <c r="K6" s="305"/>
      <c r="L6" s="305"/>
      <c r="M6" s="305"/>
      <c r="N6" s="305"/>
      <c r="O6" s="305"/>
      <c r="P6" s="305"/>
      <c r="Q6" s="305"/>
      <c r="R6" s="141"/>
      <c r="S6" s="138"/>
      <c r="T6" s="133"/>
      <c r="U6" s="133"/>
      <c r="V6" s="133"/>
      <c r="W6" s="133"/>
      <c r="X6" s="133"/>
      <c r="Y6" s="133"/>
      <c r="Z6" s="133"/>
      <c r="AA6" s="133"/>
      <c r="AB6" s="135"/>
      <c r="AC6" s="135"/>
      <c r="AD6" s="135"/>
      <c r="AE6" s="135"/>
      <c r="AF6" s="135"/>
      <c r="AG6" s="135"/>
      <c r="AH6" s="135"/>
      <c r="AI6" s="135"/>
      <c r="AJ6" s="135"/>
      <c r="AK6" s="135"/>
      <c r="AL6" s="135"/>
      <c r="AM6" s="135"/>
      <c r="AN6" s="135"/>
      <c r="AO6" s="135"/>
      <c r="AP6" s="135"/>
      <c r="AQ6" s="135"/>
      <c r="AR6" s="135"/>
      <c r="AS6" s="135"/>
      <c r="AT6" s="135"/>
      <c r="AU6" s="135"/>
      <c r="AV6" s="135"/>
      <c r="AW6" s="135"/>
      <c r="AX6" s="135"/>
    </row>
    <row r="7" spans="1:50" x14ac:dyDescent="0.2">
      <c r="A7" s="133"/>
      <c r="B7" s="38" t="s">
        <v>939</v>
      </c>
      <c r="C7" s="140">
        <f>C6*2080</f>
        <v>5200</v>
      </c>
      <c r="D7" s="134"/>
      <c r="E7" s="134"/>
      <c r="F7" s="427">
        <f>($C7/$R8)*F8</f>
        <v>441.64383561643837</v>
      </c>
      <c r="G7" s="427">
        <f t="shared" ref="G7:Q7" si="1">($C7/$R8)*G8</f>
        <v>427.39726027397262</v>
      </c>
      <c r="H7" s="427">
        <f t="shared" si="1"/>
        <v>441.64383561643837</v>
      </c>
      <c r="I7" s="427">
        <f t="shared" si="1"/>
        <v>441.64383561643837</v>
      </c>
      <c r="J7" s="427">
        <f t="shared" si="1"/>
        <v>398.90410958904113</v>
      </c>
      <c r="K7" s="427">
        <f t="shared" si="1"/>
        <v>441.64383561643837</v>
      </c>
      <c r="L7" s="427">
        <f t="shared" si="1"/>
        <v>427.39726027397262</v>
      </c>
      <c r="M7" s="427">
        <f t="shared" si="1"/>
        <v>441.64383561643837</v>
      </c>
      <c r="N7" s="427">
        <f t="shared" si="1"/>
        <v>427.39726027397262</v>
      </c>
      <c r="O7" s="427">
        <f t="shared" si="1"/>
        <v>441.64383561643837</v>
      </c>
      <c r="P7" s="427">
        <f t="shared" si="1"/>
        <v>441.64383561643837</v>
      </c>
      <c r="Q7" s="427">
        <f t="shared" si="1"/>
        <v>427.39726027397262</v>
      </c>
      <c r="R7" s="141">
        <f>SUM(F7:Q7)</f>
        <v>5200</v>
      </c>
      <c r="S7" s="138"/>
      <c r="T7" s="133"/>
      <c r="U7" s="133"/>
      <c r="V7" s="133"/>
      <c r="W7" s="133"/>
      <c r="X7" s="133"/>
      <c r="Y7" s="133"/>
      <c r="Z7" s="133"/>
      <c r="AA7" s="133"/>
      <c r="AB7" s="135"/>
      <c r="AC7" s="135"/>
      <c r="AD7" s="135"/>
      <c r="AE7" s="135"/>
      <c r="AF7" s="135"/>
      <c r="AG7" s="135"/>
      <c r="AH7" s="135"/>
      <c r="AI7" s="135"/>
      <c r="AJ7" s="135"/>
      <c r="AK7" s="135"/>
      <c r="AL7" s="135"/>
      <c r="AM7" s="135"/>
      <c r="AN7" s="135"/>
      <c r="AO7" s="135"/>
      <c r="AP7" s="135"/>
      <c r="AQ7" s="135"/>
      <c r="AR7" s="135"/>
      <c r="AS7" s="135"/>
      <c r="AT7" s="135"/>
      <c r="AU7" s="135"/>
      <c r="AV7" s="135"/>
      <c r="AW7" s="135"/>
      <c r="AX7" s="135"/>
    </row>
    <row r="8" spans="1:50" x14ac:dyDescent="0.2">
      <c r="A8" s="133"/>
      <c r="B8" s="136"/>
      <c r="C8" s="140"/>
      <c r="D8" s="134"/>
      <c r="E8" s="134"/>
      <c r="F8" s="2">
        <v>31</v>
      </c>
      <c r="G8" s="2">
        <v>30</v>
      </c>
      <c r="H8" s="2">
        <v>31</v>
      </c>
      <c r="I8" s="2">
        <v>31</v>
      </c>
      <c r="J8" s="2">
        <v>28</v>
      </c>
      <c r="K8" s="2">
        <v>31</v>
      </c>
      <c r="L8" s="2">
        <v>30</v>
      </c>
      <c r="M8" s="2">
        <v>31</v>
      </c>
      <c r="N8" s="2">
        <v>30</v>
      </c>
      <c r="O8" s="2">
        <v>31</v>
      </c>
      <c r="P8" s="2">
        <v>31</v>
      </c>
      <c r="Q8" s="2">
        <v>30</v>
      </c>
      <c r="R8" s="6">
        <f t="shared" ref="R8" si="2">SUM(F8:Q8)</f>
        <v>365</v>
      </c>
      <c r="S8" s="138"/>
      <c r="T8" s="133"/>
      <c r="U8" s="133"/>
      <c r="V8" s="133"/>
      <c r="W8" s="133"/>
      <c r="X8" s="133"/>
      <c r="Y8" s="133"/>
      <c r="Z8" s="133"/>
      <c r="AA8" s="133"/>
      <c r="AB8" s="135"/>
      <c r="AC8" s="135"/>
      <c r="AD8" s="135"/>
      <c r="AE8" s="135"/>
      <c r="AF8" s="135"/>
      <c r="AG8" s="135"/>
      <c r="AH8" s="135"/>
      <c r="AI8" s="135"/>
      <c r="AJ8" s="135"/>
      <c r="AK8" s="135"/>
      <c r="AL8" s="135"/>
      <c r="AM8" s="135"/>
      <c r="AN8" s="135"/>
      <c r="AO8" s="135"/>
      <c r="AP8" s="135"/>
      <c r="AQ8" s="135"/>
      <c r="AR8" s="135"/>
      <c r="AS8" s="135"/>
      <c r="AT8" s="135"/>
      <c r="AU8" s="135"/>
      <c r="AV8" s="135"/>
      <c r="AW8" s="135"/>
      <c r="AX8" s="135"/>
    </row>
    <row r="9" spans="1:50" x14ac:dyDescent="0.2">
      <c r="A9" s="714" t="s">
        <v>35</v>
      </c>
      <c r="B9" s="714"/>
      <c r="C9" s="714"/>
      <c r="D9" s="714"/>
      <c r="E9" s="134"/>
      <c r="F9" s="142"/>
      <c r="G9" s="142"/>
      <c r="H9" s="142"/>
      <c r="I9" s="142"/>
      <c r="J9" s="142"/>
      <c r="K9" s="138"/>
      <c r="L9" s="138"/>
      <c r="M9" s="138"/>
      <c r="N9" s="138"/>
      <c r="O9" s="138"/>
      <c r="P9" s="138"/>
      <c r="Q9" s="138"/>
      <c r="R9" s="133"/>
      <c r="S9" s="133"/>
      <c r="T9" s="133"/>
      <c r="U9" s="133"/>
      <c r="V9" s="133"/>
      <c r="W9" s="133"/>
      <c r="X9" s="133"/>
      <c r="Y9" s="133"/>
      <c r="Z9" s="133"/>
      <c r="AA9" s="133"/>
      <c r="AB9" s="135"/>
      <c r="AC9" s="135"/>
      <c r="AD9" s="135"/>
      <c r="AE9" s="135"/>
      <c r="AF9" s="135"/>
      <c r="AG9" s="135"/>
      <c r="AH9" s="135"/>
      <c r="AI9" s="135"/>
      <c r="AJ9" s="135"/>
      <c r="AK9" s="135"/>
      <c r="AL9" s="135"/>
      <c r="AM9" s="135"/>
      <c r="AN9" s="135"/>
      <c r="AO9" s="135"/>
      <c r="AP9" s="135"/>
      <c r="AQ9" s="135"/>
      <c r="AR9" s="135"/>
      <c r="AS9" s="135"/>
      <c r="AT9" s="135"/>
      <c r="AU9" s="135"/>
      <c r="AV9" s="135"/>
      <c r="AW9" s="135"/>
      <c r="AX9" s="135"/>
    </row>
    <row r="10" spans="1:50" x14ac:dyDescent="0.2">
      <c r="A10" s="21"/>
      <c r="B10" s="10" t="s">
        <v>416</v>
      </c>
      <c r="C10" s="78"/>
      <c r="D10" s="102" t="s">
        <v>417</v>
      </c>
      <c r="E10" s="134"/>
      <c r="F10" s="142"/>
      <c r="G10" s="142"/>
      <c r="H10" s="142"/>
      <c r="I10" s="142"/>
      <c r="J10" s="142"/>
      <c r="K10" s="138"/>
      <c r="L10" s="138"/>
      <c r="M10" s="138"/>
      <c r="N10" s="138"/>
      <c r="O10" s="138"/>
      <c r="P10" s="138"/>
      <c r="Q10" s="138"/>
      <c r="R10" s="133"/>
      <c r="S10" s="133"/>
      <c r="T10" s="133"/>
      <c r="U10" s="133"/>
      <c r="V10" s="133"/>
      <c r="W10" s="133"/>
      <c r="X10" s="133"/>
      <c r="Y10" s="133"/>
      <c r="Z10" s="133"/>
      <c r="AA10" s="133"/>
      <c r="AB10" s="119"/>
      <c r="AC10" s="119"/>
      <c r="AD10" s="119"/>
      <c r="AE10" s="119"/>
      <c r="AF10" s="119"/>
      <c r="AG10" s="119"/>
      <c r="AH10" s="119"/>
      <c r="AI10" s="119"/>
      <c r="AJ10" s="119"/>
      <c r="AK10" s="119"/>
      <c r="AL10" s="119"/>
      <c r="AM10" s="119"/>
      <c r="AN10" s="119"/>
      <c r="AO10" s="135"/>
      <c r="AP10" s="135"/>
      <c r="AQ10" s="135"/>
      <c r="AR10" s="135"/>
      <c r="AS10" s="135"/>
      <c r="AT10" s="135"/>
      <c r="AU10" s="135"/>
      <c r="AV10" s="135"/>
      <c r="AW10" s="135"/>
      <c r="AX10" s="135"/>
    </row>
    <row r="11" spans="1:50" x14ac:dyDescent="0.2">
      <c r="A11" s="16"/>
      <c r="B11" s="29" t="s">
        <v>352</v>
      </c>
      <c r="C11" s="28">
        <f>D11*C$2</f>
        <v>200214.64027752649</v>
      </c>
      <c r="D11" s="143">
        <f>[5]Pharmacy!$J$11</f>
        <v>2.902082044898195</v>
      </c>
      <c r="E11" s="134"/>
      <c r="F11" s="408">
        <f>$D11*F$2</f>
        <v>12412.204906029579</v>
      </c>
      <c r="G11" s="408">
        <f t="shared" ref="G11:Q11" si="3">$D11*G$2</f>
        <v>12255.492475605077</v>
      </c>
      <c r="H11" s="408">
        <f t="shared" si="3"/>
        <v>11564.796948919307</v>
      </c>
      <c r="I11" s="408">
        <f t="shared" si="3"/>
        <v>15845.367965144145</v>
      </c>
      <c r="J11" s="408">
        <f t="shared" si="3"/>
        <v>16004.982477613545</v>
      </c>
      <c r="K11" s="408">
        <f t="shared" si="3"/>
        <v>21823.656977634426</v>
      </c>
      <c r="L11" s="408">
        <f t="shared" si="3"/>
        <v>13277.025355409241</v>
      </c>
      <c r="M11" s="408">
        <f t="shared" si="3"/>
        <v>15952.745000805378</v>
      </c>
      <c r="N11" s="408">
        <f t="shared" si="3"/>
        <v>19310.453926752591</v>
      </c>
      <c r="O11" s="408">
        <f t="shared" si="3"/>
        <v>22276.381776638544</v>
      </c>
      <c r="P11" s="408">
        <f t="shared" si="3"/>
        <v>21057.507317781303</v>
      </c>
      <c r="Q11" s="408">
        <f t="shared" si="3"/>
        <v>18434.025149193334</v>
      </c>
      <c r="R11" s="409">
        <f>SUM(F11:Q11)</f>
        <v>200214.64027752646</v>
      </c>
      <c r="S11" s="138">
        <f>C11-R11</f>
        <v>0</v>
      </c>
      <c r="T11" s="133"/>
      <c r="U11" s="133"/>
      <c r="V11" s="133"/>
      <c r="W11" s="133"/>
      <c r="X11" s="133"/>
      <c r="Y11" s="133"/>
      <c r="Z11" s="133"/>
      <c r="AA11" s="3"/>
      <c r="AB11" s="3"/>
      <c r="AC11" s="3"/>
      <c r="AD11" s="3"/>
      <c r="AE11" s="3"/>
      <c r="AF11" s="3"/>
      <c r="AG11" s="3"/>
      <c r="AH11" s="3"/>
      <c r="AI11" s="3"/>
      <c r="AJ11" s="3"/>
      <c r="AK11" s="3"/>
      <c r="AL11" s="3"/>
      <c r="AM11" s="3"/>
      <c r="AN11" s="96"/>
      <c r="AO11" s="144"/>
      <c r="AP11" s="135"/>
      <c r="AQ11" s="135"/>
      <c r="AR11" s="135"/>
      <c r="AS11" s="135"/>
      <c r="AT11" s="135"/>
      <c r="AU11" s="135"/>
      <c r="AV11" s="135"/>
      <c r="AW11" s="135"/>
      <c r="AX11" s="135"/>
    </row>
    <row r="12" spans="1:50" x14ac:dyDescent="0.2">
      <c r="A12" s="16"/>
      <c r="B12" s="29" t="s">
        <v>353</v>
      </c>
      <c r="C12" s="28">
        <f t="shared" ref="C12:C25" si="4">D12*C$2</f>
        <v>1465.1033923212913</v>
      </c>
      <c r="D12" s="143">
        <f>[5]Pharmacy!$J$12</f>
        <v>2.1236460245271652E-2</v>
      </c>
      <c r="E12" s="134"/>
      <c r="F12" s="408">
        <f t="shared" ref="F12:Q25" si="5">$D12*F$2</f>
        <v>90.828340469026855</v>
      </c>
      <c r="G12" s="408">
        <f t="shared" si="5"/>
        <v>89.68157161578219</v>
      </c>
      <c r="H12" s="408">
        <f t="shared" si="5"/>
        <v>84.627294077407541</v>
      </c>
      <c r="I12" s="408">
        <f t="shared" si="5"/>
        <v>115.95107293918322</v>
      </c>
      <c r="J12" s="408">
        <f t="shared" si="5"/>
        <v>117.11907825267316</v>
      </c>
      <c r="K12" s="408">
        <f t="shared" si="5"/>
        <v>159.69818104444283</v>
      </c>
      <c r="L12" s="408">
        <f t="shared" si="5"/>
        <v>97.156805622117815</v>
      </c>
      <c r="M12" s="408">
        <f t="shared" si="5"/>
        <v>116.73682196825827</v>
      </c>
      <c r="N12" s="408">
        <f t="shared" si="5"/>
        <v>141.30740647203757</v>
      </c>
      <c r="O12" s="408">
        <f t="shared" si="5"/>
        <v>163.01106884270521</v>
      </c>
      <c r="P12" s="408">
        <f t="shared" si="5"/>
        <v>154.09175553969112</v>
      </c>
      <c r="Q12" s="408">
        <f t="shared" si="5"/>
        <v>134.89399547796555</v>
      </c>
      <c r="R12" s="409">
        <f t="shared" ref="R12:R26" si="6">SUM(F12:Q12)</f>
        <v>1465.1033923212913</v>
      </c>
      <c r="S12" s="138">
        <f t="shared" ref="S12:S64" si="7">C12-R12</f>
        <v>0</v>
      </c>
      <c r="T12" s="133"/>
      <c r="U12" s="133"/>
      <c r="V12" s="133"/>
      <c r="W12" s="133"/>
      <c r="X12" s="133"/>
      <c r="Y12" s="133"/>
      <c r="Z12" s="133"/>
      <c r="AA12" s="3"/>
      <c r="AB12" s="3"/>
      <c r="AC12" s="3"/>
      <c r="AD12" s="3"/>
      <c r="AE12" s="3"/>
      <c r="AF12" s="3"/>
      <c r="AG12" s="3"/>
      <c r="AH12" s="3"/>
      <c r="AI12" s="3"/>
      <c r="AJ12" s="3"/>
      <c r="AK12" s="3"/>
      <c r="AL12" s="3"/>
      <c r="AM12" s="3"/>
      <c r="AN12" s="96"/>
      <c r="AO12" s="144"/>
      <c r="AP12" s="135"/>
      <c r="AQ12" s="135"/>
      <c r="AR12" s="135"/>
      <c r="AS12" s="135"/>
      <c r="AT12" s="135"/>
      <c r="AU12" s="135"/>
      <c r="AV12" s="135"/>
      <c r="AW12" s="135"/>
      <c r="AX12" s="135"/>
    </row>
    <row r="13" spans="1:50" x14ac:dyDescent="0.2">
      <c r="A13" s="16"/>
      <c r="B13" s="29" t="s">
        <v>355</v>
      </c>
      <c r="C13" s="28">
        <f t="shared" si="4"/>
        <v>18416.357324244189</v>
      </c>
      <c r="D13" s="143">
        <f>[5]Pharmacy!$J$13</f>
        <v>0.26694241664363227</v>
      </c>
      <c r="E13" s="134"/>
      <c r="F13" s="408">
        <f t="shared" si="5"/>
        <v>1141.7127159848153</v>
      </c>
      <c r="G13" s="408">
        <f t="shared" si="5"/>
        <v>1127.2978254860591</v>
      </c>
      <c r="H13" s="408">
        <f t="shared" si="5"/>
        <v>1063.7655303248746</v>
      </c>
      <c r="I13" s="408">
        <f t="shared" si="5"/>
        <v>1457.5055948742322</v>
      </c>
      <c r="J13" s="408">
        <f t="shared" si="5"/>
        <v>1472.187427789632</v>
      </c>
      <c r="K13" s="408">
        <f t="shared" si="5"/>
        <v>2007.4069731601146</v>
      </c>
      <c r="L13" s="408">
        <f t="shared" si="5"/>
        <v>1221.2615561446175</v>
      </c>
      <c r="M13" s="408">
        <f t="shared" si="5"/>
        <v>1467.3824642900465</v>
      </c>
      <c r="N13" s="408">
        <f t="shared" si="5"/>
        <v>1776.2348403467292</v>
      </c>
      <c r="O13" s="408">
        <f t="shared" si="5"/>
        <v>2049.0499901565213</v>
      </c>
      <c r="P13" s="408">
        <f t="shared" si="5"/>
        <v>1936.9341751661957</v>
      </c>
      <c r="Q13" s="408">
        <f t="shared" si="5"/>
        <v>1695.6182305203522</v>
      </c>
      <c r="R13" s="409">
        <f t="shared" si="6"/>
        <v>18416.357324244189</v>
      </c>
      <c r="S13" s="138">
        <f t="shared" si="7"/>
        <v>0</v>
      </c>
      <c r="T13" s="133"/>
      <c r="U13" s="133"/>
      <c r="V13" s="133"/>
      <c r="W13" s="133"/>
      <c r="X13" s="133"/>
      <c r="Y13" s="133"/>
      <c r="Z13" s="133"/>
      <c r="AA13" s="3"/>
      <c r="AB13" s="3"/>
      <c r="AC13" s="3"/>
      <c r="AD13" s="3"/>
      <c r="AE13" s="3"/>
      <c r="AF13" s="3"/>
      <c r="AG13" s="3"/>
      <c r="AH13" s="3"/>
      <c r="AI13" s="3"/>
      <c r="AJ13" s="3"/>
      <c r="AK13" s="3"/>
      <c r="AL13" s="3"/>
      <c r="AM13" s="3"/>
      <c r="AN13" s="96"/>
      <c r="AO13" s="144"/>
      <c r="AP13" s="135"/>
      <c r="AQ13" s="135"/>
      <c r="AR13" s="135"/>
      <c r="AS13" s="135"/>
      <c r="AT13" s="135"/>
      <c r="AU13" s="135"/>
      <c r="AV13" s="135"/>
      <c r="AW13" s="135"/>
      <c r="AX13" s="135"/>
    </row>
    <row r="14" spans="1:50" x14ac:dyDescent="0.2">
      <c r="A14" s="16"/>
      <c r="B14" s="29" t="s">
        <v>370</v>
      </c>
      <c r="C14" s="28">
        <f t="shared" si="4"/>
        <v>0</v>
      </c>
      <c r="D14" s="143">
        <v>0</v>
      </c>
      <c r="E14" s="134"/>
      <c r="F14" s="408">
        <f t="shared" si="5"/>
        <v>0</v>
      </c>
      <c r="G14" s="408">
        <f t="shared" si="5"/>
        <v>0</v>
      </c>
      <c r="H14" s="408">
        <f t="shared" si="5"/>
        <v>0</v>
      </c>
      <c r="I14" s="408">
        <f t="shared" si="5"/>
        <v>0</v>
      </c>
      <c r="J14" s="408">
        <f t="shared" si="5"/>
        <v>0</v>
      </c>
      <c r="K14" s="408">
        <f t="shared" si="5"/>
        <v>0</v>
      </c>
      <c r="L14" s="408">
        <f t="shared" si="5"/>
        <v>0</v>
      </c>
      <c r="M14" s="408">
        <f t="shared" si="5"/>
        <v>0</v>
      </c>
      <c r="N14" s="408">
        <f t="shared" si="5"/>
        <v>0</v>
      </c>
      <c r="O14" s="408">
        <f t="shared" si="5"/>
        <v>0</v>
      </c>
      <c r="P14" s="408">
        <f t="shared" si="5"/>
        <v>0</v>
      </c>
      <c r="Q14" s="408">
        <f t="shared" si="5"/>
        <v>0</v>
      </c>
      <c r="R14" s="409">
        <f t="shared" si="6"/>
        <v>0</v>
      </c>
      <c r="S14" s="138">
        <f t="shared" si="7"/>
        <v>0</v>
      </c>
      <c r="T14" s="133"/>
      <c r="U14" s="133"/>
      <c r="V14" s="133"/>
      <c r="W14" s="133"/>
      <c r="X14" s="133"/>
      <c r="Y14" s="133"/>
      <c r="Z14" s="133"/>
      <c r="AA14" s="3"/>
      <c r="AB14" s="3"/>
      <c r="AC14" s="3"/>
      <c r="AD14" s="3"/>
      <c r="AE14" s="3"/>
      <c r="AF14" s="3"/>
      <c r="AG14" s="3"/>
      <c r="AH14" s="3"/>
      <c r="AI14" s="3"/>
      <c r="AJ14" s="3"/>
      <c r="AK14" s="3"/>
      <c r="AL14" s="3"/>
      <c r="AM14" s="3"/>
      <c r="AN14" s="96"/>
      <c r="AO14" s="144"/>
      <c r="AP14" s="135"/>
      <c r="AQ14" s="135"/>
      <c r="AR14" s="135"/>
      <c r="AS14" s="135"/>
      <c r="AT14" s="135"/>
      <c r="AU14" s="135"/>
      <c r="AV14" s="135"/>
      <c r="AW14" s="135"/>
      <c r="AX14" s="135"/>
    </row>
    <row r="15" spans="1:50" x14ac:dyDescent="0.2">
      <c r="A15" s="16"/>
      <c r="B15" s="29" t="s">
        <v>356</v>
      </c>
      <c r="C15" s="28">
        <f t="shared" si="4"/>
        <v>34693.969908783765</v>
      </c>
      <c r="D15" s="143">
        <f>[5]Pharmacy!$J$15+[5]Pharmacy!$J$14</f>
        <v>0.50288403984322028</v>
      </c>
      <c r="E15" s="134"/>
      <c r="F15" s="408">
        <f t="shared" si="5"/>
        <v>2150.8350384094533</v>
      </c>
      <c r="G15" s="408">
        <f t="shared" si="5"/>
        <v>2123.6793002579193</v>
      </c>
      <c r="H15" s="408">
        <f t="shared" si="5"/>
        <v>2003.9928987752328</v>
      </c>
      <c r="I15" s="408">
        <f t="shared" si="5"/>
        <v>2745.7468575439825</v>
      </c>
      <c r="J15" s="408">
        <f t="shared" si="5"/>
        <v>2773.4054797353597</v>
      </c>
      <c r="K15" s="408">
        <f t="shared" si="5"/>
        <v>3781.6879796210164</v>
      </c>
      <c r="L15" s="408">
        <f t="shared" si="5"/>
        <v>2300.6944822827327</v>
      </c>
      <c r="M15" s="408">
        <f t="shared" si="5"/>
        <v>2764.3535670181818</v>
      </c>
      <c r="N15" s="408">
        <f t="shared" si="5"/>
        <v>3346.1904011167876</v>
      </c>
      <c r="O15" s="408">
        <f t="shared" si="5"/>
        <v>3860.1378898365588</v>
      </c>
      <c r="P15" s="408">
        <f t="shared" si="5"/>
        <v>3648.9265931024065</v>
      </c>
      <c r="Q15" s="408">
        <f t="shared" si="5"/>
        <v>3194.3194210841352</v>
      </c>
      <c r="R15" s="409">
        <f t="shared" si="6"/>
        <v>34693.969908783758</v>
      </c>
      <c r="S15" s="138">
        <f t="shared" si="7"/>
        <v>0</v>
      </c>
      <c r="T15" s="133"/>
      <c r="U15" s="133"/>
      <c r="V15" s="133"/>
      <c r="W15" s="133"/>
      <c r="X15" s="133"/>
      <c r="Y15" s="133"/>
      <c r="Z15" s="133"/>
      <c r="AA15" s="3"/>
      <c r="AB15" s="3"/>
      <c r="AC15" s="3"/>
      <c r="AD15" s="3"/>
      <c r="AE15" s="3"/>
      <c r="AF15" s="3"/>
      <c r="AG15" s="3"/>
      <c r="AH15" s="3"/>
      <c r="AI15" s="3"/>
      <c r="AJ15" s="3"/>
      <c r="AK15" s="3"/>
      <c r="AL15" s="3"/>
      <c r="AM15" s="3"/>
      <c r="AN15" s="96"/>
      <c r="AO15" s="144"/>
      <c r="AP15" s="135"/>
      <c r="AQ15" s="135"/>
      <c r="AR15" s="135"/>
      <c r="AS15" s="135"/>
      <c r="AT15" s="135"/>
      <c r="AU15" s="135"/>
      <c r="AV15" s="135"/>
      <c r="AW15" s="135"/>
      <c r="AX15" s="135"/>
    </row>
    <row r="16" spans="1:50" x14ac:dyDescent="0.2">
      <c r="A16" s="16"/>
      <c r="B16" s="29" t="s">
        <v>354</v>
      </c>
      <c r="C16" s="28">
        <f t="shared" si="4"/>
        <v>83413.363397372275</v>
      </c>
      <c r="D16" s="143">
        <f>[5]Pharmacy!$J$16</f>
        <v>1.2090645513461702</v>
      </c>
      <c r="E16" s="134"/>
      <c r="F16" s="408">
        <f t="shared" si="5"/>
        <v>5171.1690861075695</v>
      </c>
      <c r="G16" s="408">
        <f t="shared" si="5"/>
        <v>5105.8796003348771</v>
      </c>
      <c r="H16" s="408">
        <f t="shared" si="5"/>
        <v>4818.1222371144886</v>
      </c>
      <c r="I16" s="408">
        <f t="shared" si="5"/>
        <v>6601.4924503500888</v>
      </c>
      <c r="J16" s="408">
        <f t="shared" si="5"/>
        <v>6667.9910006741284</v>
      </c>
      <c r="K16" s="408">
        <f t="shared" si="5"/>
        <v>9092.1654261231997</v>
      </c>
      <c r="L16" s="408">
        <f t="shared" si="5"/>
        <v>5531.4703224087289</v>
      </c>
      <c r="M16" s="408">
        <f t="shared" si="5"/>
        <v>6646.2278387498973</v>
      </c>
      <c r="N16" s="408">
        <f t="shared" si="5"/>
        <v>8045.1155246574162</v>
      </c>
      <c r="O16" s="408">
        <f t="shared" si="5"/>
        <v>9280.779496133202</v>
      </c>
      <c r="P16" s="408">
        <f t="shared" si="5"/>
        <v>8772.9723845678109</v>
      </c>
      <c r="Q16" s="408">
        <f t="shared" si="5"/>
        <v>7679.9780301508727</v>
      </c>
      <c r="R16" s="409">
        <f t="shared" si="6"/>
        <v>83413.363397372275</v>
      </c>
      <c r="S16" s="138">
        <f t="shared" si="7"/>
        <v>0</v>
      </c>
      <c r="T16" s="133"/>
      <c r="U16" s="133"/>
      <c r="V16" s="133"/>
      <c r="W16" s="133"/>
      <c r="X16" s="133"/>
      <c r="Y16" s="133"/>
      <c r="Z16" s="133"/>
      <c r="AA16" s="3"/>
      <c r="AB16" s="3"/>
      <c r="AC16" s="3"/>
      <c r="AD16" s="3"/>
      <c r="AE16" s="3"/>
      <c r="AF16" s="3"/>
      <c r="AG16" s="3"/>
      <c r="AH16" s="3"/>
      <c r="AI16" s="3"/>
      <c r="AJ16" s="3"/>
      <c r="AK16" s="3"/>
      <c r="AL16" s="3"/>
      <c r="AM16" s="3"/>
      <c r="AN16" s="96"/>
      <c r="AO16" s="144"/>
      <c r="AP16" s="135"/>
      <c r="AQ16" s="135"/>
      <c r="AR16" s="135"/>
      <c r="AS16" s="135"/>
      <c r="AT16" s="135"/>
      <c r="AU16" s="135"/>
      <c r="AV16" s="135"/>
      <c r="AW16" s="135"/>
      <c r="AX16" s="135"/>
    </row>
    <row r="17" spans="1:50" x14ac:dyDescent="0.2">
      <c r="A17" s="16"/>
      <c r="B17" s="29" t="s">
        <v>357</v>
      </c>
      <c r="C17" s="28">
        <f t="shared" si="4"/>
        <v>12004.856237484366</v>
      </c>
      <c r="D17" s="143">
        <f>[5]Pharmacy!$J$17</f>
        <v>0.17400864237548</v>
      </c>
      <c r="E17" s="134"/>
      <c r="F17" s="408">
        <f t="shared" si="5"/>
        <v>744.23496343992792</v>
      </c>
      <c r="G17" s="408">
        <f t="shared" si="5"/>
        <v>734.83849675165209</v>
      </c>
      <c r="H17" s="408">
        <f t="shared" si="5"/>
        <v>693.4244398662878</v>
      </c>
      <c r="I17" s="408">
        <f t="shared" si="5"/>
        <v>950.08718737012077</v>
      </c>
      <c r="J17" s="408">
        <f t="shared" si="5"/>
        <v>959.65766270077222</v>
      </c>
      <c r="K17" s="408">
        <f t="shared" si="5"/>
        <v>1308.5449906636095</v>
      </c>
      <c r="L17" s="408">
        <f t="shared" si="5"/>
        <v>796.08953886782103</v>
      </c>
      <c r="M17" s="408">
        <f t="shared" si="5"/>
        <v>956.52550713801361</v>
      </c>
      <c r="N17" s="408">
        <f t="shared" si="5"/>
        <v>1157.853506366444</v>
      </c>
      <c r="O17" s="408">
        <f t="shared" si="5"/>
        <v>1335.6903388741844</v>
      </c>
      <c r="P17" s="408">
        <f t="shared" si="5"/>
        <v>1262.606709076483</v>
      </c>
      <c r="Q17" s="408">
        <f t="shared" si="5"/>
        <v>1105.302896369049</v>
      </c>
      <c r="R17" s="409">
        <f t="shared" si="6"/>
        <v>12004.856237484364</v>
      </c>
      <c r="S17" s="138">
        <f t="shared" si="7"/>
        <v>0</v>
      </c>
      <c r="T17" s="133"/>
      <c r="U17" s="133"/>
      <c r="V17" s="133"/>
      <c r="W17" s="133"/>
      <c r="X17" s="133"/>
      <c r="Y17" s="133"/>
      <c r="Z17" s="133"/>
      <c r="AA17" s="3"/>
      <c r="AB17" s="3"/>
      <c r="AC17" s="3"/>
      <c r="AD17" s="3"/>
      <c r="AE17" s="3"/>
      <c r="AF17" s="3"/>
      <c r="AG17" s="3"/>
      <c r="AH17" s="3"/>
      <c r="AI17" s="3"/>
      <c r="AJ17" s="3"/>
      <c r="AK17" s="3"/>
      <c r="AL17" s="3"/>
      <c r="AM17" s="3"/>
      <c r="AN17" s="96"/>
      <c r="AO17" s="144"/>
      <c r="AP17" s="135"/>
      <c r="AQ17" s="135"/>
      <c r="AR17" s="135"/>
      <c r="AS17" s="135"/>
      <c r="AT17" s="135"/>
      <c r="AU17" s="135"/>
      <c r="AV17" s="135"/>
      <c r="AW17" s="135"/>
      <c r="AX17" s="135"/>
    </row>
    <row r="18" spans="1:50" x14ac:dyDescent="0.2">
      <c r="A18" s="87">
        <v>31110.021000000001</v>
      </c>
      <c r="B18" s="161" t="s">
        <v>421</v>
      </c>
      <c r="C18" s="293">
        <f>SUM(C11:C17)</f>
        <v>350208.29053773242</v>
      </c>
      <c r="D18" s="300"/>
      <c r="E18" s="301"/>
      <c r="F18" s="410">
        <f>SUM(F11:F17)</f>
        <v>21710.985050440373</v>
      </c>
      <c r="G18" s="410">
        <f t="shared" ref="G18:Q18" si="8">SUM(G11:G17)</f>
        <v>21436.869270051364</v>
      </c>
      <c r="H18" s="410">
        <f t="shared" si="8"/>
        <v>20228.729349077596</v>
      </c>
      <c r="I18" s="410">
        <f t="shared" si="8"/>
        <v>27716.151128221754</v>
      </c>
      <c r="J18" s="410">
        <f t="shared" si="8"/>
        <v>27995.343126766111</v>
      </c>
      <c r="K18" s="410">
        <f t="shared" si="8"/>
        <v>38173.160528246808</v>
      </c>
      <c r="L18" s="410">
        <f t="shared" si="8"/>
        <v>23223.69806073526</v>
      </c>
      <c r="M18" s="410">
        <f t="shared" si="8"/>
        <v>27903.971199969772</v>
      </c>
      <c r="N18" s="410">
        <f t="shared" si="8"/>
        <v>33777.155605712003</v>
      </c>
      <c r="O18" s="410">
        <f t="shared" si="8"/>
        <v>38965.050560481715</v>
      </c>
      <c r="P18" s="410">
        <f t="shared" si="8"/>
        <v>36833.03893523389</v>
      </c>
      <c r="Q18" s="410">
        <f t="shared" si="8"/>
        <v>32244.137722795709</v>
      </c>
      <c r="R18" s="410">
        <f t="shared" si="6"/>
        <v>350208.2905377323</v>
      </c>
      <c r="S18" s="300">
        <f t="shared" si="7"/>
        <v>0</v>
      </c>
      <c r="T18" s="133"/>
      <c r="U18" s="133"/>
      <c r="V18" s="133"/>
      <c r="W18" s="133"/>
      <c r="X18" s="133"/>
      <c r="Y18" s="133"/>
      <c r="Z18" s="133"/>
      <c r="AA18" s="3"/>
      <c r="AB18" s="3"/>
      <c r="AC18" s="3"/>
      <c r="AD18" s="3"/>
      <c r="AE18" s="3"/>
      <c r="AF18" s="3"/>
      <c r="AG18" s="3"/>
      <c r="AH18" s="3"/>
      <c r="AI18" s="3"/>
      <c r="AJ18" s="3"/>
      <c r="AK18" s="3"/>
      <c r="AL18" s="3"/>
      <c r="AM18" s="3"/>
      <c r="AN18" s="96"/>
      <c r="AO18" s="144"/>
      <c r="AP18" s="135"/>
      <c r="AQ18" s="135"/>
      <c r="AR18" s="135"/>
      <c r="AS18" s="135"/>
      <c r="AT18" s="135"/>
      <c r="AU18" s="135"/>
      <c r="AV18" s="135"/>
      <c r="AW18" s="135"/>
      <c r="AX18" s="135"/>
    </row>
    <row r="19" spans="1:50" x14ac:dyDescent="0.2">
      <c r="A19" s="87"/>
      <c r="B19" s="29" t="s">
        <v>424</v>
      </c>
      <c r="C19" s="28">
        <f t="shared" si="4"/>
        <v>196100.32725092521</v>
      </c>
      <c r="D19" s="143">
        <f>[5]Pharmacy!$J$21</f>
        <v>2.8424456769231079</v>
      </c>
      <c r="E19" s="134"/>
      <c r="F19" s="408">
        <f t="shared" si="5"/>
        <v>12157.140160200133</v>
      </c>
      <c r="G19" s="408">
        <f t="shared" si="5"/>
        <v>12003.648093646285</v>
      </c>
      <c r="H19" s="408">
        <f t="shared" si="5"/>
        <v>11327.146022538585</v>
      </c>
      <c r="I19" s="408">
        <f t="shared" si="5"/>
        <v>15519.753396000169</v>
      </c>
      <c r="J19" s="408">
        <f t="shared" si="5"/>
        <v>15676.08790823094</v>
      </c>
      <c r="K19" s="408">
        <f t="shared" si="5"/>
        <v>21375.19149046177</v>
      </c>
      <c r="L19" s="408">
        <f t="shared" si="5"/>
        <v>13004.188971923219</v>
      </c>
      <c r="M19" s="408">
        <f t="shared" si="5"/>
        <v>15624.923886046325</v>
      </c>
      <c r="N19" s="408">
        <f t="shared" si="5"/>
        <v>18913.633534246361</v>
      </c>
      <c r="O19" s="408">
        <f t="shared" si="5"/>
        <v>21818.613016061776</v>
      </c>
      <c r="P19" s="408">
        <f t="shared" si="5"/>
        <v>20624.78583175407</v>
      </c>
      <c r="Q19" s="408">
        <f>$D19*Q$2</f>
        <v>18055.214939815582</v>
      </c>
      <c r="R19" s="409">
        <f t="shared" si="6"/>
        <v>196100.32725092521</v>
      </c>
      <c r="S19" s="138">
        <f t="shared" si="7"/>
        <v>0</v>
      </c>
      <c r="T19" s="133"/>
      <c r="U19" s="133"/>
      <c r="V19" s="133"/>
      <c r="W19" s="133"/>
      <c r="X19" s="133"/>
      <c r="Y19" s="133"/>
      <c r="Z19" s="133"/>
      <c r="AA19" s="3"/>
      <c r="AB19" s="3"/>
      <c r="AC19" s="3"/>
      <c r="AD19" s="3"/>
      <c r="AE19" s="3"/>
      <c r="AF19" s="3"/>
      <c r="AG19" s="3"/>
      <c r="AH19" s="3"/>
      <c r="AI19" s="3"/>
      <c r="AJ19" s="3"/>
      <c r="AK19" s="3"/>
      <c r="AL19" s="3"/>
      <c r="AM19" s="3"/>
      <c r="AN19" s="96"/>
      <c r="AO19" s="144"/>
      <c r="AP19" s="135"/>
      <c r="AQ19" s="135"/>
      <c r="AR19" s="135"/>
      <c r="AS19" s="135"/>
      <c r="AT19" s="135"/>
      <c r="AU19" s="135"/>
      <c r="AV19" s="135"/>
      <c r="AW19" s="135"/>
      <c r="AX19" s="135"/>
    </row>
    <row r="20" spans="1:50" x14ac:dyDescent="0.2">
      <c r="A20" s="87"/>
      <c r="B20" s="29" t="s">
        <v>425</v>
      </c>
      <c r="C20" s="28">
        <f t="shared" si="4"/>
        <v>0</v>
      </c>
      <c r="D20" s="143">
        <v>0</v>
      </c>
      <c r="E20" s="134"/>
      <c r="F20" s="408">
        <f t="shared" si="5"/>
        <v>0</v>
      </c>
      <c r="G20" s="408">
        <f t="shared" si="5"/>
        <v>0</v>
      </c>
      <c r="H20" s="408">
        <f t="shared" si="5"/>
        <v>0</v>
      </c>
      <c r="I20" s="408">
        <f t="shared" si="5"/>
        <v>0</v>
      </c>
      <c r="J20" s="408">
        <f t="shared" si="5"/>
        <v>0</v>
      </c>
      <c r="K20" s="408">
        <f t="shared" si="5"/>
        <v>0</v>
      </c>
      <c r="L20" s="408">
        <f t="shared" si="5"/>
        <v>0</v>
      </c>
      <c r="M20" s="408">
        <f t="shared" si="5"/>
        <v>0</v>
      </c>
      <c r="N20" s="408">
        <f t="shared" si="5"/>
        <v>0</v>
      </c>
      <c r="O20" s="408">
        <f t="shared" si="5"/>
        <v>0</v>
      </c>
      <c r="P20" s="408">
        <f t="shared" si="5"/>
        <v>0</v>
      </c>
      <c r="Q20" s="408">
        <f t="shared" si="5"/>
        <v>0</v>
      </c>
      <c r="R20" s="409">
        <f t="shared" si="6"/>
        <v>0</v>
      </c>
      <c r="S20" s="138">
        <f t="shared" si="7"/>
        <v>0</v>
      </c>
      <c r="T20" s="133"/>
      <c r="U20" s="133"/>
      <c r="V20" s="133"/>
      <c r="W20" s="133"/>
      <c r="X20" s="133"/>
      <c r="Y20" s="133"/>
      <c r="Z20" s="133"/>
      <c r="AA20" s="3"/>
      <c r="AB20" s="3"/>
      <c r="AC20" s="3"/>
      <c r="AD20" s="3"/>
      <c r="AE20" s="3"/>
      <c r="AF20" s="3"/>
      <c r="AG20" s="3"/>
      <c r="AH20" s="3"/>
      <c r="AI20" s="3"/>
      <c r="AJ20" s="3"/>
      <c r="AK20" s="3"/>
      <c r="AL20" s="3"/>
      <c r="AM20" s="3"/>
      <c r="AN20" s="96"/>
      <c r="AO20" s="144"/>
      <c r="AP20" s="135"/>
      <c r="AQ20" s="135"/>
      <c r="AR20" s="135"/>
      <c r="AS20" s="135"/>
      <c r="AT20" s="135"/>
      <c r="AU20" s="135"/>
      <c r="AV20" s="135"/>
      <c r="AW20" s="135"/>
      <c r="AX20" s="135"/>
    </row>
    <row r="21" spans="1:50" x14ac:dyDescent="0.2">
      <c r="A21" s="87"/>
      <c r="B21" s="29" t="s">
        <v>426</v>
      </c>
      <c r="C21" s="28">
        <f t="shared" si="4"/>
        <v>0</v>
      </c>
      <c r="D21" s="143">
        <v>0</v>
      </c>
      <c r="E21" s="134"/>
      <c r="F21" s="408">
        <f t="shared" si="5"/>
        <v>0</v>
      </c>
      <c r="G21" s="408">
        <f t="shared" si="5"/>
        <v>0</v>
      </c>
      <c r="H21" s="408">
        <f t="shared" si="5"/>
        <v>0</v>
      </c>
      <c r="I21" s="408">
        <f t="shared" si="5"/>
        <v>0</v>
      </c>
      <c r="J21" s="408">
        <f t="shared" si="5"/>
        <v>0</v>
      </c>
      <c r="K21" s="408">
        <f t="shared" si="5"/>
        <v>0</v>
      </c>
      <c r="L21" s="408">
        <f t="shared" si="5"/>
        <v>0</v>
      </c>
      <c r="M21" s="408">
        <f t="shared" si="5"/>
        <v>0</v>
      </c>
      <c r="N21" s="408">
        <f t="shared" si="5"/>
        <v>0</v>
      </c>
      <c r="O21" s="408">
        <f t="shared" si="5"/>
        <v>0</v>
      </c>
      <c r="P21" s="408">
        <f t="shared" si="5"/>
        <v>0</v>
      </c>
      <c r="Q21" s="408">
        <f t="shared" si="5"/>
        <v>0</v>
      </c>
      <c r="R21" s="409">
        <f t="shared" si="6"/>
        <v>0</v>
      </c>
      <c r="S21" s="138">
        <f t="shared" si="7"/>
        <v>0</v>
      </c>
      <c r="T21" s="133"/>
      <c r="U21" s="133"/>
      <c r="V21" s="133"/>
      <c r="W21" s="133"/>
      <c r="X21" s="133"/>
      <c r="Y21" s="133"/>
      <c r="Z21" s="133"/>
      <c r="AA21" s="3"/>
      <c r="AB21" s="3"/>
      <c r="AC21" s="3"/>
      <c r="AD21" s="3"/>
      <c r="AE21" s="3"/>
      <c r="AF21" s="3"/>
      <c r="AG21" s="3"/>
      <c r="AH21" s="3"/>
      <c r="AI21" s="3"/>
      <c r="AJ21" s="3"/>
      <c r="AK21" s="3"/>
      <c r="AL21" s="3"/>
      <c r="AM21" s="3"/>
      <c r="AN21" s="96"/>
      <c r="AO21" s="144"/>
      <c r="AP21" s="135"/>
      <c r="AQ21" s="135"/>
      <c r="AR21" s="135"/>
      <c r="AS21" s="135"/>
      <c r="AT21" s="135"/>
      <c r="AU21" s="135"/>
      <c r="AV21" s="135"/>
      <c r="AW21" s="135"/>
      <c r="AX21" s="135"/>
    </row>
    <row r="22" spans="1:50" x14ac:dyDescent="0.2">
      <c r="A22" s="87"/>
      <c r="B22" s="29" t="s">
        <v>427</v>
      </c>
      <c r="C22" s="28">
        <f t="shared" si="4"/>
        <v>0</v>
      </c>
      <c r="D22" s="143">
        <v>0</v>
      </c>
      <c r="E22" s="134"/>
      <c r="F22" s="408">
        <f t="shared" si="5"/>
        <v>0</v>
      </c>
      <c r="G22" s="408">
        <f t="shared" si="5"/>
        <v>0</v>
      </c>
      <c r="H22" s="408">
        <f t="shared" si="5"/>
        <v>0</v>
      </c>
      <c r="I22" s="408">
        <f t="shared" si="5"/>
        <v>0</v>
      </c>
      <c r="J22" s="408">
        <f t="shared" si="5"/>
        <v>0</v>
      </c>
      <c r="K22" s="408">
        <f t="shared" si="5"/>
        <v>0</v>
      </c>
      <c r="L22" s="408">
        <f t="shared" si="5"/>
        <v>0</v>
      </c>
      <c r="M22" s="408">
        <f t="shared" si="5"/>
        <v>0</v>
      </c>
      <c r="N22" s="408">
        <f t="shared" si="5"/>
        <v>0</v>
      </c>
      <c r="O22" s="408">
        <f t="shared" si="5"/>
        <v>0</v>
      </c>
      <c r="P22" s="408">
        <f t="shared" si="5"/>
        <v>0</v>
      </c>
      <c r="Q22" s="408">
        <f t="shared" si="5"/>
        <v>0</v>
      </c>
      <c r="R22" s="409">
        <f t="shared" si="6"/>
        <v>0</v>
      </c>
      <c r="S22" s="138">
        <f t="shared" si="7"/>
        <v>0</v>
      </c>
      <c r="T22" s="133"/>
      <c r="U22" s="133"/>
      <c r="V22" s="133"/>
      <c r="W22" s="133"/>
      <c r="X22" s="133"/>
      <c r="Y22" s="133"/>
      <c r="Z22" s="133"/>
      <c r="AA22" s="3"/>
      <c r="AB22" s="3"/>
      <c r="AC22" s="3"/>
      <c r="AD22" s="3"/>
      <c r="AE22" s="3"/>
      <c r="AF22" s="3"/>
      <c r="AG22" s="3"/>
      <c r="AH22" s="3"/>
      <c r="AI22" s="3"/>
      <c r="AJ22" s="3"/>
      <c r="AK22" s="3"/>
      <c r="AL22" s="3"/>
      <c r="AM22" s="3"/>
      <c r="AN22" s="96"/>
      <c r="AO22" s="144"/>
      <c r="AP22" s="135"/>
      <c r="AQ22" s="135"/>
      <c r="AR22" s="135"/>
      <c r="AS22" s="135"/>
      <c r="AT22" s="135"/>
      <c r="AU22" s="135"/>
      <c r="AV22" s="135"/>
      <c r="AW22" s="135"/>
      <c r="AX22" s="135"/>
    </row>
    <row r="23" spans="1:50" x14ac:dyDescent="0.2">
      <c r="A23" s="87"/>
      <c r="B23" s="29" t="s">
        <v>428</v>
      </c>
      <c r="C23" s="28">
        <f t="shared" si="4"/>
        <v>0</v>
      </c>
      <c r="D23" s="143">
        <v>0</v>
      </c>
      <c r="E23" s="134"/>
      <c r="F23" s="408">
        <f t="shared" si="5"/>
        <v>0</v>
      </c>
      <c r="G23" s="408">
        <f t="shared" si="5"/>
        <v>0</v>
      </c>
      <c r="H23" s="408">
        <f t="shared" si="5"/>
        <v>0</v>
      </c>
      <c r="I23" s="408">
        <f t="shared" si="5"/>
        <v>0</v>
      </c>
      <c r="J23" s="408">
        <f t="shared" si="5"/>
        <v>0</v>
      </c>
      <c r="K23" s="408">
        <f t="shared" si="5"/>
        <v>0</v>
      </c>
      <c r="L23" s="408">
        <f t="shared" si="5"/>
        <v>0</v>
      </c>
      <c r="M23" s="408">
        <f t="shared" si="5"/>
        <v>0</v>
      </c>
      <c r="N23" s="408">
        <f t="shared" si="5"/>
        <v>0</v>
      </c>
      <c r="O23" s="408">
        <f t="shared" si="5"/>
        <v>0</v>
      </c>
      <c r="P23" s="408">
        <f t="shared" si="5"/>
        <v>0</v>
      </c>
      <c r="Q23" s="408">
        <f t="shared" si="5"/>
        <v>0</v>
      </c>
      <c r="R23" s="409">
        <f t="shared" si="6"/>
        <v>0</v>
      </c>
      <c r="S23" s="138">
        <f t="shared" si="7"/>
        <v>0</v>
      </c>
      <c r="T23" s="133"/>
      <c r="U23" s="133"/>
      <c r="V23" s="133"/>
      <c r="W23" s="133"/>
      <c r="X23" s="133"/>
      <c r="Y23" s="133"/>
      <c r="Z23" s="133"/>
      <c r="AA23" s="3"/>
      <c r="AB23" s="3"/>
      <c r="AC23" s="3"/>
      <c r="AD23" s="3"/>
      <c r="AE23" s="3"/>
      <c r="AF23" s="3"/>
      <c r="AG23" s="3"/>
      <c r="AH23" s="3"/>
      <c r="AI23" s="3"/>
      <c r="AJ23" s="3"/>
      <c r="AK23" s="3"/>
      <c r="AL23" s="3"/>
      <c r="AM23" s="3"/>
      <c r="AN23" s="96"/>
      <c r="AO23" s="144"/>
      <c r="AP23" s="135"/>
      <c r="AQ23" s="135"/>
      <c r="AR23" s="135"/>
      <c r="AS23" s="135"/>
      <c r="AT23" s="135"/>
      <c r="AU23" s="135"/>
      <c r="AV23" s="135"/>
      <c r="AW23" s="135"/>
      <c r="AX23" s="135"/>
    </row>
    <row r="24" spans="1:50" x14ac:dyDescent="0.2">
      <c r="A24" s="87"/>
      <c r="B24" s="29" t="s">
        <v>429</v>
      </c>
      <c r="C24" s="28">
        <f t="shared" si="4"/>
        <v>0</v>
      </c>
      <c r="D24" s="143">
        <v>0</v>
      </c>
      <c r="E24" s="134"/>
      <c r="F24" s="408">
        <f t="shared" si="5"/>
        <v>0</v>
      </c>
      <c r="G24" s="408">
        <f t="shared" si="5"/>
        <v>0</v>
      </c>
      <c r="H24" s="408">
        <f t="shared" si="5"/>
        <v>0</v>
      </c>
      <c r="I24" s="408">
        <f t="shared" si="5"/>
        <v>0</v>
      </c>
      <c r="J24" s="408">
        <f t="shared" si="5"/>
        <v>0</v>
      </c>
      <c r="K24" s="408">
        <f t="shared" si="5"/>
        <v>0</v>
      </c>
      <c r="L24" s="408">
        <f t="shared" si="5"/>
        <v>0</v>
      </c>
      <c r="M24" s="408">
        <f t="shared" si="5"/>
        <v>0</v>
      </c>
      <c r="N24" s="408">
        <f t="shared" si="5"/>
        <v>0</v>
      </c>
      <c r="O24" s="408">
        <f t="shared" si="5"/>
        <v>0</v>
      </c>
      <c r="P24" s="408">
        <f t="shared" si="5"/>
        <v>0</v>
      </c>
      <c r="Q24" s="408">
        <f t="shared" si="5"/>
        <v>0</v>
      </c>
      <c r="R24" s="409">
        <f t="shared" si="6"/>
        <v>0</v>
      </c>
      <c r="S24" s="138">
        <f t="shared" si="7"/>
        <v>0</v>
      </c>
      <c r="T24" s="133"/>
      <c r="U24" s="133"/>
      <c r="V24" s="133"/>
      <c r="W24" s="133"/>
      <c r="X24" s="133"/>
      <c r="Y24" s="133"/>
      <c r="Z24" s="133"/>
      <c r="AA24" s="3"/>
      <c r="AB24" s="3"/>
      <c r="AC24" s="3"/>
      <c r="AD24" s="3"/>
      <c r="AE24" s="3"/>
      <c r="AF24" s="3"/>
      <c r="AG24" s="3"/>
      <c r="AH24" s="3"/>
      <c r="AI24" s="3"/>
      <c r="AJ24" s="3"/>
      <c r="AK24" s="3"/>
      <c r="AL24" s="3"/>
      <c r="AM24" s="3"/>
      <c r="AN24" s="96"/>
      <c r="AO24" s="144"/>
      <c r="AP24" s="135"/>
      <c r="AQ24" s="135"/>
      <c r="AR24" s="135"/>
      <c r="AS24" s="135"/>
      <c r="AT24" s="135"/>
      <c r="AU24" s="135"/>
      <c r="AV24" s="135"/>
      <c r="AW24" s="135"/>
      <c r="AX24" s="135"/>
    </row>
    <row r="25" spans="1:50" x14ac:dyDescent="0.2">
      <c r="A25" s="87"/>
      <c r="B25" s="29" t="s">
        <v>430</v>
      </c>
      <c r="C25" s="28">
        <f t="shared" si="4"/>
        <v>0</v>
      </c>
      <c r="D25" s="143">
        <f>[9]PHARMACY!$M$26</f>
        <v>0</v>
      </c>
      <c r="E25" s="134"/>
      <c r="F25" s="408">
        <f t="shared" si="5"/>
        <v>0</v>
      </c>
      <c r="G25" s="408">
        <f t="shared" si="5"/>
        <v>0</v>
      </c>
      <c r="H25" s="408">
        <f t="shared" si="5"/>
        <v>0</v>
      </c>
      <c r="I25" s="408">
        <f t="shared" si="5"/>
        <v>0</v>
      </c>
      <c r="J25" s="408">
        <f t="shared" si="5"/>
        <v>0</v>
      </c>
      <c r="K25" s="408">
        <f t="shared" si="5"/>
        <v>0</v>
      </c>
      <c r="L25" s="408">
        <f t="shared" si="5"/>
        <v>0</v>
      </c>
      <c r="M25" s="408">
        <f t="shared" si="5"/>
        <v>0</v>
      </c>
      <c r="N25" s="408">
        <f t="shared" si="5"/>
        <v>0</v>
      </c>
      <c r="O25" s="408">
        <f t="shared" si="5"/>
        <v>0</v>
      </c>
      <c r="P25" s="408">
        <f t="shared" si="5"/>
        <v>0</v>
      </c>
      <c r="Q25" s="408">
        <f t="shared" si="5"/>
        <v>0</v>
      </c>
      <c r="R25" s="409">
        <f t="shared" si="6"/>
        <v>0</v>
      </c>
      <c r="S25" s="138">
        <f t="shared" si="7"/>
        <v>0</v>
      </c>
      <c r="T25" s="133"/>
      <c r="U25" s="133"/>
      <c r="V25" s="133"/>
      <c r="W25" s="133"/>
      <c r="X25" s="133"/>
      <c r="Y25" s="133"/>
      <c r="Z25" s="133"/>
      <c r="AA25" s="3"/>
      <c r="AB25" s="3"/>
      <c r="AC25" s="3"/>
      <c r="AD25" s="3"/>
      <c r="AE25" s="3"/>
      <c r="AF25" s="3"/>
      <c r="AG25" s="3"/>
      <c r="AH25" s="3"/>
      <c r="AI25" s="3"/>
      <c r="AJ25" s="3"/>
      <c r="AK25" s="3"/>
      <c r="AL25" s="3"/>
      <c r="AM25" s="3"/>
      <c r="AN25" s="96"/>
      <c r="AO25" s="144"/>
      <c r="AP25" s="135"/>
      <c r="AQ25" s="135"/>
      <c r="AR25" s="135"/>
      <c r="AS25" s="135"/>
      <c r="AT25" s="135"/>
      <c r="AU25" s="135"/>
      <c r="AV25" s="135"/>
      <c r="AW25" s="135"/>
      <c r="AX25" s="135"/>
    </row>
    <row r="26" spans="1:50" x14ac:dyDescent="0.2">
      <c r="A26" s="87">
        <v>31111.021000000001</v>
      </c>
      <c r="B26" s="161" t="s">
        <v>422</v>
      </c>
      <c r="C26" s="293">
        <f>SUM(C19:C25)</f>
        <v>196100.32725092521</v>
      </c>
      <c r="D26" s="300"/>
      <c r="E26" s="301"/>
      <c r="F26" s="410">
        <f>SUM(F19:F25)</f>
        <v>12157.140160200133</v>
      </c>
      <c r="G26" s="410">
        <f t="shared" ref="G26:Q26" si="9">SUM(G19:G25)</f>
        <v>12003.648093646285</v>
      </c>
      <c r="H26" s="410">
        <f t="shared" si="9"/>
        <v>11327.146022538585</v>
      </c>
      <c r="I26" s="410">
        <f t="shared" si="9"/>
        <v>15519.753396000169</v>
      </c>
      <c r="J26" s="410">
        <f t="shared" si="9"/>
        <v>15676.08790823094</v>
      </c>
      <c r="K26" s="410">
        <f t="shared" si="9"/>
        <v>21375.19149046177</v>
      </c>
      <c r="L26" s="410">
        <f t="shared" si="9"/>
        <v>13004.188971923219</v>
      </c>
      <c r="M26" s="410">
        <f t="shared" si="9"/>
        <v>15624.923886046325</v>
      </c>
      <c r="N26" s="410">
        <f t="shared" si="9"/>
        <v>18913.633534246361</v>
      </c>
      <c r="O26" s="410">
        <f t="shared" si="9"/>
        <v>21818.613016061776</v>
      </c>
      <c r="P26" s="410">
        <f t="shared" si="9"/>
        <v>20624.78583175407</v>
      </c>
      <c r="Q26" s="410">
        <f t="shared" si="9"/>
        <v>18055.214939815582</v>
      </c>
      <c r="R26" s="410">
        <f t="shared" si="6"/>
        <v>196100.32725092521</v>
      </c>
      <c r="S26" s="300">
        <f t="shared" si="7"/>
        <v>0</v>
      </c>
      <c r="T26" s="133"/>
      <c r="U26" s="133"/>
      <c r="V26" s="133"/>
      <c r="W26" s="133"/>
      <c r="X26" s="133"/>
      <c r="Y26" s="133"/>
      <c r="Z26" s="133"/>
      <c r="AA26" s="3"/>
      <c r="AB26" s="3"/>
      <c r="AC26" s="3"/>
      <c r="AD26" s="3"/>
      <c r="AE26" s="3"/>
      <c r="AF26" s="3"/>
      <c r="AG26" s="3"/>
      <c r="AH26" s="3"/>
      <c r="AI26" s="3"/>
      <c r="AJ26" s="3"/>
      <c r="AK26" s="3"/>
      <c r="AL26" s="3"/>
      <c r="AM26" s="3"/>
      <c r="AN26" s="96"/>
      <c r="AO26" s="144"/>
      <c r="AP26" s="135"/>
      <c r="AQ26" s="135"/>
      <c r="AR26" s="135"/>
      <c r="AS26" s="135"/>
      <c r="AT26" s="135"/>
      <c r="AU26" s="135"/>
      <c r="AV26" s="135"/>
      <c r="AW26" s="135"/>
      <c r="AX26" s="135"/>
    </row>
    <row r="27" spans="1:50" x14ac:dyDescent="0.2">
      <c r="A27" s="16"/>
      <c r="B27" s="29" t="s">
        <v>358</v>
      </c>
      <c r="C27" s="28">
        <f>D27*C$3</f>
        <v>165905.0690718508</v>
      </c>
      <c r="D27" s="143">
        <f>[5]Pharmacy!$J$31</f>
        <v>7.8124443902736296</v>
      </c>
      <c r="E27" s="134"/>
      <c r="F27" s="408">
        <f>$D27*F$3</f>
        <v>14546.771454689499</v>
      </c>
      <c r="G27" s="408">
        <f t="shared" ref="G27:Q27" si="10">$D27*G$3</f>
        <v>11601.479919556339</v>
      </c>
      <c r="H27" s="408">
        <f t="shared" si="10"/>
        <v>12960.845243463951</v>
      </c>
      <c r="I27" s="408">
        <f t="shared" si="10"/>
        <v>12570.22302395027</v>
      </c>
      <c r="J27" s="408">
        <f t="shared" si="10"/>
        <v>12687.409689804374</v>
      </c>
      <c r="K27" s="408">
        <f t="shared" si="10"/>
        <v>14726.457675665792</v>
      </c>
      <c r="L27" s="408">
        <f t="shared" si="10"/>
        <v>14906.143896642085</v>
      </c>
      <c r="M27" s="408">
        <f t="shared" si="10"/>
        <v>17179.565214211711</v>
      </c>
      <c r="N27" s="408">
        <f t="shared" si="10"/>
        <v>17015.503882015964</v>
      </c>
      <c r="O27" s="408">
        <f t="shared" si="10"/>
        <v>9929.6168200377833</v>
      </c>
      <c r="P27" s="408">
        <f t="shared" si="10"/>
        <v>14367.085233713206</v>
      </c>
      <c r="Q27" s="408">
        <f t="shared" si="10"/>
        <v>13413.967018099822</v>
      </c>
      <c r="R27" s="409">
        <f>SUM(F27:Q27)</f>
        <v>165905.06907185077</v>
      </c>
      <c r="S27" s="138">
        <f t="shared" si="7"/>
        <v>0</v>
      </c>
      <c r="T27" s="133"/>
      <c r="U27" s="133"/>
      <c r="V27" s="133"/>
      <c r="W27" s="133"/>
      <c r="X27" s="133"/>
      <c r="Y27" s="133"/>
      <c r="Z27" s="133"/>
      <c r="AA27" s="3"/>
      <c r="AB27" s="3"/>
      <c r="AC27" s="3"/>
      <c r="AD27" s="3"/>
      <c r="AE27" s="3"/>
      <c r="AF27" s="3"/>
      <c r="AG27" s="3"/>
      <c r="AH27" s="3"/>
      <c r="AI27" s="3"/>
      <c r="AJ27" s="3"/>
      <c r="AK27" s="3"/>
      <c r="AL27" s="3"/>
      <c r="AM27" s="3"/>
      <c r="AN27" s="96"/>
      <c r="AO27" s="144"/>
      <c r="AP27" s="135"/>
      <c r="AQ27" s="135"/>
      <c r="AR27" s="135"/>
      <c r="AS27" s="135"/>
      <c r="AT27" s="135"/>
      <c r="AU27" s="135"/>
      <c r="AV27" s="135"/>
      <c r="AW27" s="135"/>
      <c r="AX27" s="135"/>
    </row>
    <row r="28" spans="1:50" x14ac:dyDescent="0.2">
      <c r="A28" s="16"/>
      <c r="B28" s="29" t="s">
        <v>359</v>
      </c>
      <c r="C28" s="28">
        <f t="shared" ref="C28:C33" si="11">D28*C$3</f>
        <v>7827.3858979828137</v>
      </c>
      <c r="D28" s="143">
        <f>[5]Pharmacy!$J$32</f>
        <v>0.36859040770308976</v>
      </c>
      <c r="E28" s="134"/>
      <c r="F28" s="408">
        <f t="shared" ref="F28:Q33" si="12">$D28*F$3</f>
        <v>686.3153391431531</v>
      </c>
      <c r="G28" s="408">
        <f t="shared" si="12"/>
        <v>547.35675543908826</v>
      </c>
      <c r="H28" s="408">
        <f t="shared" si="12"/>
        <v>611.49148637942596</v>
      </c>
      <c r="I28" s="408">
        <f t="shared" si="12"/>
        <v>593.06196599427142</v>
      </c>
      <c r="J28" s="408">
        <f t="shared" si="12"/>
        <v>598.59082210981774</v>
      </c>
      <c r="K28" s="408">
        <f t="shared" si="12"/>
        <v>694.79291852032418</v>
      </c>
      <c r="L28" s="408">
        <f t="shared" si="12"/>
        <v>703.27049789749526</v>
      </c>
      <c r="M28" s="408">
        <f t="shared" si="12"/>
        <v>810.53030653909434</v>
      </c>
      <c r="N28" s="408">
        <f t="shared" si="12"/>
        <v>802.78990797732945</v>
      </c>
      <c r="O28" s="408">
        <f t="shared" si="12"/>
        <v>468.47840819062708</v>
      </c>
      <c r="P28" s="408">
        <f t="shared" si="12"/>
        <v>677.83775976598213</v>
      </c>
      <c r="Q28" s="408">
        <f t="shared" si="12"/>
        <v>632.86973002620516</v>
      </c>
      <c r="R28" s="409">
        <f t="shared" ref="R28:R33" si="13">SUM(F28:Q28)</f>
        <v>7827.3858979828146</v>
      </c>
      <c r="S28" s="138">
        <f t="shared" si="7"/>
        <v>0</v>
      </c>
      <c r="T28" s="133"/>
      <c r="U28" s="133"/>
      <c r="V28" s="133"/>
      <c r="W28" s="133"/>
      <c r="X28" s="133"/>
      <c r="Y28" s="133"/>
      <c r="Z28" s="133"/>
      <c r="AA28" s="3"/>
      <c r="AB28" s="3"/>
      <c r="AC28" s="3"/>
      <c r="AD28" s="3"/>
      <c r="AE28" s="3"/>
      <c r="AF28" s="3"/>
      <c r="AG28" s="3"/>
      <c r="AH28" s="3"/>
      <c r="AI28" s="3"/>
      <c r="AJ28" s="3"/>
      <c r="AK28" s="3"/>
      <c r="AL28" s="3"/>
      <c r="AM28" s="3"/>
      <c r="AN28" s="96"/>
      <c r="AO28" s="144"/>
      <c r="AP28" s="135"/>
      <c r="AQ28" s="135"/>
      <c r="AR28" s="135"/>
      <c r="AS28" s="135"/>
      <c r="AT28" s="135"/>
      <c r="AU28" s="135"/>
      <c r="AV28" s="135"/>
      <c r="AW28" s="135"/>
      <c r="AX28" s="135"/>
    </row>
    <row r="29" spans="1:50" x14ac:dyDescent="0.2">
      <c r="A29" s="16"/>
      <c r="B29" s="29" t="s">
        <v>372</v>
      </c>
      <c r="C29" s="28">
        <f t="shared" si="11"/>
        <v>120034.77846303857</v>
      </c>
      <c r="D29" s="143">
        <f>[5]Pharmacy!$J$33</f>
        <v>5.6524194039856175</v>
      </c>
      <c r="E29" s="134"/>
      <c r="F29" s="408">
        <f t="shared" si="12"/>
        <v>10524.80493022122</v>
      </c>
      <c r="G29" s="408">
        <f t="shared" si="12"/>
        <v>8393.842814918642</v>
      </c>
      <c r="H29" s="408">
        <f t="shared" si="12"/>
        <v>9377.3637912121394</v>
      </c>
      <c r="I29" s="408">
        <f t="shared" si="12"/>
        <v>9094.7428210128583</v>
      </c>
      <c r="J29" s="408">
        <f t="shared" si="12"/>
        <v>9179.5291120726433</v>
      </c>
      <c r="K29" s="408">
        <f t="shared" si="12"/>
        <v>10654.810576512889</v>
      </c>
      <c r="L29" s="408">
        <f t="shared" si="12"/>
        <v>10784.816222804558</v>
      </c>
      <c r="M29" s="408">
        <f t="shared" si="12"/>
        <v>12429.670269364373</v>
      </c>
      <c r="N29" s="408">
        <f t="shared" si="12"/>
        <v>12310.969461880675</v>
      </c>
      <c r="O29" s="408">
        <f t="shared" si="12"/>
        <v>7184.2250624657199</v>
      </c>
      <c r="P29" s="408">
        <f t="shared" si="12"/>
        <v>10394.799283929551</v>
      </c>
      <c r="Q29" s="408">
        <f t="shared" si="12"/>
        <v>9705.2041166433046</v>
      </c>
      <c r="R29" s="409">
        <f t="shared" si="13"/>
        <v>120034.77846303856</v>
      </c>
      <c r="S29" s="138">
        <f t="shared" si="7"/>
        <v>0</v>
      </c>
      <c r="T29" s="133"/>
      <c r="U29" s="133"/>
      <c r="V29" s="133"/>
      <c r="W29" s="133"/>
      <c r="X29" s="133"/>
      <c r="Y29" s="133"/>
      <c r="Z29" s="133"/>
      <c r="AA29" s="3"/>
      <c r="AB29" s="3"/>
      <c r="AC29" s="3"/>
      <c r="AD29" s="3"/>
      <c r="AE29" s="3"/>
      <c r="AF29" s="3"/>
      <c r="AG29" s="3"/>
      <c r="AH29" s="3"/>
      <c r="AI29" s="3"/>
      <c r="AJ29" s="3"/>
      <c r="AK29" s="3"/>
      <c r="AL29" s="3"/>
      <c r="AM29" s="3"/>
      <c r="AN29" s="96"/>
      <c r="AO29" s="144"/>
      <c r="AP29" s="135"/>
      <c r="AQ29" s="135"/>
      <c r="AR29" s="135"/>
      <c r="AS29" s="135"/>
      <c r="AT29" s="135"/>
      <c r="AU29" s="135"/>
      <c r="AV29" s="135"/>
      <c r="AW29" s="135"/>
      <c r="AX29" s="135"/>
    </row>
    <row r="30" spans="1:50" x14ac:dyDescent="0.2">
      <c r="A30" s="16"/>
      <c r="B30" s="29" t="s">
        <v>373</v>
      </c>
      <c r="C30" s="28">
        <f t="shared" si="11"/>
        <v>0</v>
      </c>
      <c r="D30" s="143">
        <v>0</v>
      </c>
      <c r="E30" s="134"/>
      <c r="F30" s="408">
        <f t="shared" si="12"/>
        <v>0</v>
      </c>
      <c r="G30" s="408">
        <f t="shared" si="12"/>
        <v>0</v>
      </c>
      <c r="H30" s="408">
        <f t="shared" si="12"/>
        <v>0</v>
      </c>
      <c r="I30" s="408">
        <f t="shared" si="12"/>
        <v>0</v>
      </c>
      <c r="J30" s="408">
        <f t="shared" si="12"/>
        <v>0</v>
      </c>
      <c r="K30" s="408">
        <f t="shared" si="12"/>
        <v>0</v>
      </c>
      <c r="L30" s="408">
        <f t="shared" si="12"/>
        <v>0</v>
      </c>
      <c r="M30" s="408">
        <f t="shared" si="12"/>
        <v>0</v>
      </c>
      <c r="N30" s="408">
        <f t="shared" si="12"/>
        <v>0</v>
      </c>
      <c r="O30" s="408">
        <f t="shared" si="12"/>
        <v>0</v>
      </c>
      <c r="P30" s="408">
        <f t="shared" si="12"/>
        <v>0</v>
      </c>
      <c r="Q30" s="408">
        <f t="shared" si="12"/>
        <v>0</v>
      </c>
      <c r="R30" s="409">
        <f t="shared" si="13"/>
        <v>0</v>
      </c>
      <c r="S30" s="138">
        <f t="shared" si="7"/>
        <v>0</v>
      </c>
      <c r="T30" s="133"/>
      <c r="U30" s="133"/>
      <c r="V30" s="133"/>
      <c r="W30" s="133"/>
      <c r="X30" s="133"/>
      <c r="Y30" s="133"/>
      <c r="Z30" s="133"/>
      <c r="AA30" s="3"/>
      <c r="AB30" s="3"/>
      <c r="AC30" s="3"/>
      <c r="AD30" s="3"/>
      <c r="AE30" s="3"/>
      <c r="AF30" s="3"/>
      <c r="AG30" s="3"/>
      <c r="AH30" s="3"/>
      <c r="AI30" s="3"/>
      <c r="AJ30" s="3"/>
      <c r="AK30" s="3"/>
      <c r="AL30" s="3"/>
      <c r="AM30" s="3"/>
      <c r="AN30" s="96"/>
      <c r="AO30" s="144"/>
      <c r="AP30" s="135"/>
      <c r="AQ30" s="135"/>
      <c r="AR30" s="135"/>
      <c r="AS30" s="135"/>
      <c r="AT30" s="135"/>
      <c r="AU30" s="135"/>
      <c r="AV30" s="135"/>
      <c r="AW30" s="135"/>
      <c r="AX30" s="135"/>
    </row>
    <row r="31" spans="1:50" x14ac:dyDescent="0.2">
      <c r="A31" s="16"/>
      <c r="B31" s="29" t="s">
        <v>361</v>
      </c>
      <c r="C31" s="28">
        <f t="shared" si="11"/>
        <v>22091.768480711806</v>
      </c>
      <c r="D31" s="143">
        <f>[5]Pharmacy!$J$34+[5]Pharmacy!$J$35</f>
        <v>1.0402980071911756</v>
      </c>
      <c r="E31" s="134"/>
      <c r="F31" s="408">
        <f t="shared" si="12"/>
        <v>1937.0348893899691</v>
      </c>
      <c r="G31" s="408">
        <f t="shared" si="12"/>
        <v>1544.8425406788958</v>
      </c>
      <c r="H31" s="408">
        <f t="shared" si="12"/>
        <v>1725.8543939301603</v>
      </c>
      <c r="I31" s="408">
        <f t="shared" si="12"/>
        <v>1673.8394935706015</v>
      </c>
      <c r="J31" s="408">
        <f t="shared" si="12"/>
        <v>1689.4439636784691</v>
      </c>
      <c r="K31" s="408">
        <f t="shared" si="12"/>
        <v>1960.961743555366</v>
      </c>
      <c r="L31" s="408">
        <f t="shared" si="12"/>
        <v>1984.8885977207631</v>
      </c>
      <c r="M31" s="408">
        <f t="shared" si="12"/>
        <v>2287.615317813395</v>
      </c>
      <c r="N31" s="408">
        <f t="shared" si="12"/>
        <v>2265.7690596623806</v>
      </c>
      <c r="O31" s="408">
        <f t="shared" si="12"/>
        <v>1322.2187671399843</v>
      </c>
      <c r="P31" s="408">
        <f t="shared" si="12"/>
        <v>1913.1080352245719</v>
      </c>
      <c r="Q31" s="408">
        <f t="shared" si="12"/>
        <v>1786.1916783472484</v>
      </c>
      <c r="R31" s="409">
        <f t="shared" si="13"/>
        <v>22091.768480711806</v>
      </c>
      <c r="S31" s="138">
        <f t="shared" si="7"/>
        <v>0</v>
      </c>
      <c r="T31" s="133"/>
      <c r="U31" s="133"/>
      <c r="V31" s="133"/>
      <c r="W31" s="133"/>
      <c r="X31" s="133"/>
      <c r="Y31" s="133"/>
      <c r="Z31" s="133"/>
      <c r="AA31" s="3"/>
      <c r="AB31" s="3"/>
      <c r="AC31" s="3"/>
      <c r="AD31" s="3"/>
      <c r="AE31" s="3"/>
      <c r="AF31" s="3"/>
      <c r="AG31" s="3"/>
      <c r="AH31" s="3"/>
      <c r="AI31" s="3"/>
      <c r="AJ31" s="3"/>
      <c r="AK31" s="3"/>
      <c r="AL31" s="3"/>
      <c r="AM31" s="3"/>
      <c r="AN31" s="96"/>
      <c r="AO31" s="144"/>
      <c r="AP31" s="135"/>
      <c r="AQ31" s="135"/>
      <c r="AR31" s="135"/>
      <c r="AS31" s="135"/>
      <c r="AT31" s="135"/>
      <c r="AU31" s="135"/>
      <c r="AV31" s="135"/>
      <c r="AW31" s="135"/>
      <c r="AX31" s="135"/>
    </row>
    <row r="32" spans="1:50" x14ac:dyDescent="0.2">
      <c r="A32" s="16"/>
      <c r="B32" s="29" t="s">
        <v>360</v>
      </c>
      <c r="C32" s="28">
        <f t="shared" si="11"/>
        <v>96668.254665122804</v>
      </c>
      <c r="D32" s="143">
        <f>[5]Pharmacy!$J$36</f>
        <v>4.5520933633981358</v>
      </c>
      <c r="E32" s="134"/>
      <c r="F32" s="408">
        <f t="shared" si="12"/>
        <v>8475.9978426473281</v>
      </c>
      <c r="G32" s="408">
        <f t="shared" si="12"/>
        <v>6759.8586446462314</v>
      </c>
      <c r="H32" s="408">
        <f t="shared" si="12"/>
        <v>7551.9228898775073</v>
      </c>
      <c r="I32" s="408">
        <f t="shared" si="12"/>
        <v>7324.3182217076001</v>
      </c>
      <c r="J32" s="408">
        <f t="shared" si="12"/>
        <v>7392.5996221585729</v>
      </c>
      <c r="K32" s="408">
        <f t="shared" si="12"/>
        <v>8580.6959900054862</v>
      </c>
      <c r="L32" s="408">
        <f t="shared" si="12"/>
        <v>8685.3941373636426</v>
      </c>
      <c r="M32" s="408">
        <f t="shared" si="12"/>
        <v>10010.053306112501</v>
      </c>
      <c r="N32" s="408">
        <f t="shared" si="12"/>
        <v>9914.4593454811402</v>
      </c>
      <c r="O32" s="408">
        <f t="shared" si="12"/>
        <v>5785.7106648790304</v>
      </c>
      <c r="P32" s="408">
        <f t="shared" si="12"/>
        <v>8371.2996952891717</v>
      </c>
      <c r="Q32" s="408">
        <f t="shared" si="12"/>
        <v>7815.9443049545989</v>
      </c>
      <c r="R32" s="409">
        <f t="shared" si="13"/>
        <v>96668.254665122819</v>
      </c>
      <c r="S32" s="138">
        <f t="shared" si="7"/>
        <v>0</v>
      </c>
      <c r="T32" s="133"/>
      <c r="U32" s="133"/>
      <c r="V32" s="133"/>
      <c r="W32" s="133"/>
      <c r="X32" s="133"/>
      <c r="Y32" s="133"/>
      <c r="Z32" s="133"/>
      <c r="AA32" s="3"/>
      <c r="AB32" s="3"/>
      <c r="AC32" s="3"/>
      <c r="AD32" s="3"/>
      <c r="AE32" s="3"/>
      <c r="AF32" s="3"/>
      <c r="AG32" s="3"/>
      <c r="AH32" s="3"/>
      <c r="AI32" s="3"/>
      <c r="AJ32" s="3"/>
      <c r="AK32" s="3"/>
      <c r="AL32" s="3"/>
      <c r="AM32" s="3"/>
      <c r="AN32" s="96"/>
      <c r="AO32" s="144"/>
      <c r="AP32" s="135"/>
      <c r="AQ32" s="135"/>
      <c r="AR32" s="135"/>
      <c r="AS32" s="135"/>
      <c r="AT32" s="135"/>
      <c r="AU32" s="135"/>
      <c r="AV32" s="135"/>
      <c r="AW32" s="135"/>
      <c r="AX32" s="135"/>
    </row>
    <row r="33" spans="1:50" x14ac:dyDescent="0.2">
      <c r="A33" s="16"/>
      <c r="B33" s="29" t="s">
        <v>362</v>
      </c>
      <c r="C33" s="28">
        <f t="shared" si="11"/>
        <v>67071.412785666398</v>
      </c>
      <c r="D33" s="143">
        <f>[5]Pharmacy!$J$37</f>
        <v>3.1583825949174233</v>
      </c>
      <c r="E33" s="134"/>
      <c r="F33" s="408">
        <f t="shared" si="12"/>
        <v>5880.9083917362423</v>
      </c>
      <c r="G33" s="408">
        <f t="shared" si="12"/>
        <v>4690.1981534523738</v>
      </c>
      <c r="H33" s="408">
        <f t="shared" si="12"/>
        <v>5239.7567249680051</v>
      </c>
      <c r="I33" s="408">
        <f t="shared" si="12"/>
        <v>5081.837595222134</v>
      </c>
      <c r="J33" s="408">
        <f t="shared" si="12"/>
        <v>5129.2133341458957</v>
      </c>
      <c r="K33" s="408">
        <f t="shared" si="12"/>
        <v>5953.551191419343</v>
      </c>
      <c r="L33" s="408">
        <f t="shared" si="12"/>
        <v>6026.1939911024438</v>
      </c>
      <c r="M33" s="408">
        <f t="shared" si="12"/>
        <v>6945.2833262234135</v>
      </c>
      <c r="N33" s="408">
        <f t="shared" si="12"/>
        <v>6878.9572917301484</v>
      </c>
      <c r="O33" s="408">
        <f t="shared" si="12"/>
        <v>4014.304278140045</v>
      </c>
      <c r="P33" s="408">
        <f t="shared" si="12"/>
        <v>5808.2655920531415</v>
      </c>
      <c r="Q33" s="408">
        <f t="shared" si="12"/>
        <v>5422.9429154732161</v>
      </c>
      <c r="R33" s="409">
        <f t="shared" si="13"/>
        <v>67071.412785666398</v>
      </c>
      <c r="S33" s="138">
        <f t="shared" si="7"/>
        <v>0</v>
      </c>
      <c r="T33" s="133"/>
      <c r="U33" s="133"/>
      <c r="V33" s="133"/>
      <c r="W33" s="133"/>
      <c r="X33" s="133"/>
      <c r="Y33" s="133"/>
      <c r="Z33" s="133"/>
      <c r="AA33" s="3"/>
      <c r="AB33" s="3"/>
      <c r="AC33" s="3"/>
      <c r="AD33" s="3"/>
      <c r="AE33" s="3"/>
      <c r="AF33" s="3"/>
      <c r="AG33" s="3"/>
      <c r="AH33" s="3"/>
      <c r="AI33" s="3"/>
      <c r="AJ33" s="3"/>
      <c r="AK33" s="3"/>
      <c r="AL33" s="3"/>
      <c r="AM33" s="3"/>
      <c r="AN33" s="96"/>
      <c r="AO33" s="144"/>
      <c r="AP33" s="135"/>
      <c r="AQ33" s="135"/>
      <c r="AR33" s="135"/>
      <c r="AS33" s="135"/>
      <c r="AT33" s="135"/>
      <c r="AU33" s="135"/>
      <c r="AV33" s="135"/>
      <c r="AW33" s="135"/>
      <c r="AX33" s="135"/>
    </row>
    <row r="34" spans="1:50" s="5" customFormat="1" x14ac:dyDescent="0.2">
      <c r="A34" s="90">
        <v>31200.021000000001</v>
      </c>
      <c r="B34" s="161" t="s">
        <v>423</v>
      </c>
      <c r="C34" s="293">
        <f>SUM(C27:C33)</f>
        <v>479598.6693643732</v>
      </c>
      <c r="D34" s="302"/>
      <c r="E34" s="302"/>
      <c r="F34" s="410">
        <f t="shared" ref="F34:R34" si="14">SUM(F27:F33)</f>
        <v>42051.832847827412</v>
      </c>
      <c r="G34" s="410">
        <f t="shared" si="14"/>
        <v>33537.57882869157</v>
      </c>
      <c r="H34" s="410">
        <f t="shared" si="14"/>
        <v>37467.234529831185</v>
      </c>
      <c r="I34" s="410">
        <f t="shared" si="14"/>
        <v>36338.023121457736</v>
      </c>
      <c r="J34" s="410">
        <f t="shared" si="14"/>
        <v>36676.786543969771</v>
      </c>
      <c r="K34" s="410">
        <f t="shared" si="14"/>
        <v>42571.270095679203</v>
      </c>
      <c r="L34" s="410">
        <f t="shared" si="14"/>
        <v>43090.707343530994</v>
      </c>
      <c r="M34" s="410">
        <f t="shared" si="14"/>
        <v>49662.717740264481</v>
      </c>
      <c r="N34" s="410">
        <f t="shared" si="14"/>
        <v>49188.448948747638</v>
      </c>
      <c r="O34" s="410">
        <f t="shared" si="14"/>
        <v>28704.55400085319</v>
      </c>
      <c r="P34" s="410">
        <f t="shared" si="14"/>
        <v>41532.395599975622</v>
      </c>
      <c r="Q34" s="410">
        <f t="shared" si="14"/>
        <v>38777.11976354439</v>
      </c>
      <c r="R34" s="410">
        <f t="shared" si="14"/>
        <v>479598.66936437314</v>
      </c>
      <c r="S34" s="300">
        <f>C34-R34</f>
        <v>0</v>
      </c>
      <c r="T34" s="146"/>
      <c r="U34" s="146"/>
      <c r="V34" s="146"/>
      <c r="W34" s="146"/>
      <c r="X34" s="146"/>
      <c r="Y34" s="146"/>
      <c r="Z34" s="146"/>
      <c r="AA34" s="96"/>
      <c r="AB34" s="96"/>
      <c r="AC34" s="96"/>
      <c r="AD34" s="96"/>
      <c r="AE34" s="96"/>
      <c r="AF34" s="96"/>
      <c r="AG34" s="96"/>
      <c r="AH34" s="96"/>
      <c r="AI34" s="96"/>
      <c r="AJ34" s="96"/>
      <c r="AK34" s="96"/>
      <c r="AL34" s="96"/>
      <c r="AM34" s="96"/>
      <c r="AN34" s="96"/>
      <c r="AO34" s="144"/>
      <c r="AP34" s="147"/>
      <c r="AQ34" s="147"/>
      <c r="AR34" s="147"/>
      <c r="AS34" s="147"/>
      <c r="AT34" s="147"/>
      <c r="AU34" s="147"/>
      <c r="AV34" s="147"/>
      <c r="AW34" s="147"/>
      <c r="AX34" s="147"/>
    </row>
    <row r="35" spans="1:50" s="5" customFormat="1" x14ac:dyDescent="0.2">
      <c r="A35" s="11"/>
      <c r="B35" s="10" t="s">
        <v>0</v>
      </c>
      <c r="C35" s="293">
        <f>C18+C26+C34</f>
        <v>1025907.2871530309</v>
      </c>
      <c r="D35" s="302">
        <f>C35/(C$2+C$3)</f>
        <v>11.370417475594961</v>
      </c>
      <c r="E35" s="302"/>
      <c r="F35" s="410">
        <f t="shared" ref="F35:R35" si="15">F18+F26+F34</f>
        <v>75919.958058467921</v>
      </c>
      <c r="G35" s="410">
        <f t="shared" si="15"/>
        <v>66978.096192389217</v>
      </c>
      <c r="H35" s="410">
        <f t="shared" si="15"/>
        <v>69023.109901447373</v>
      </c>
      <c r="I35" s="410">
        <f t="shared" si="15"/>
        <v>79573.927645679651</v>
      </c>
      <c r="J35" s="410">
        <f t="shared" si="15"/>
        <v>80348.217578966811</v>
      </c>
      <c r="K35" s="410">
        <f t="shared" si="15"/>
        <v>102119.62211438778</v>
      </c>
      <c r="L35" s="410">
        <f t="shared" si="15"/>
        <v>79318.594376189474</v>
      </c>
      <c r="M35" s="410">
        <f t="shared" si="15"/>
        <v>93191.612826280587</v>
      </c>
      <c r="N35" s="410">
        <f t="shared" si="15"/>
        <v>101879.238088706</v>
      </c>
      <c r="O35" s="410">
        <f t="shared" si="15"/>
        <v>89488.217577396688</v>
      </c>
      <c r="P35" s="410">
        <f t="shared" si="15"/>
        <v>98990.220366963593</v>
      </c>
      <c r="Q35" s="410">
        <f t="shared" si="15"/>
        <v>89076.472426155669</v>
      </c>
      <c r="R35" s="410">
        <f t="shared" si="15"/>
        <v>1025907.2871530307</v>
      </c>
      <c r="S35" s="300">
        <f t="shared" si="7"/>
        <v>0</v>
      </c>
      <c r="T35" s="146"/>
      <c r="U35" s="146"/>
      <c r="V35" s="146"/>
      <c r="W35" s="146"/>
      <c r="X35" s="146"/>
      <c r="Y35" s="146"/>
      <c r="Z35" s="146"/>
      <c r="AA35" s="96"/>
      <c r="AB35" s="96"/>
      <c r="AC35" s="96"/>
      <c r="AD35" s="96"/>
      <c r="AE35" s="96"/>
      <c r="AF35" s="96"/>
      <c r="AG35" s="96"/>
      <c r="AH35" s="96"/>
      <c r="AI35" s="96"/>
      <c r="AJ35" s="96"/>
      <c r="AK35" s="96"/>
      <c r="AL35" s="96"/>
      <c r="AM35" s="96"/>
      <c r="AN35" s="96"/>
      <c r="AO35" s="144"/>
      <c r="AP35" s="147"/>
      <c r="AQ35" s="147"/>
      <c r="AR35" s="147"/>
      <c r="AS35" s="147"/>
      <c r="AT35" s="147"/>
      <c r="AU35" s="147"/>
      <c r="AV35" s="147"/>
      <c r="AW35" s="147"/>
      <c r="AX35" s="147"/>
    </row>
    <row r="36" spans="1:50" s="5" customFormat="1" x14ac:dyDescent="0.2">
      <c r="A36" s="11"/>
      <c r="B36" s="10"/>
      <c r="C36" s="88"/>
      <c r="D36" s="140"/>
      <c r="E36" s="140"/>
      <c r="F36" s="411"/>
      <c r="G36" s="411"/>
      <c r="H36" s="411"/>
      <c r="I36" s="411"/>
      <c r="J36" s="411"/>
      <c r="K36" s="409"/>
      <c r="L36" s="409"/>
      <c r="M36" s="409"/>
      <c r="N36" s="409"/>
      <c r="O36" s="409"/>
      <c r="P36" s="409"/>
      <c r="Q36" s="409"/>
      <c r="R36" s="147"/>
      <c r="S36" s="138"/>
      <c r="T36" s="146"/>
      <c r="U36" s="146"/>
      <c r="V36" s="146"/>
      <c r="W36" s="146"/>
      <c r="X36" s="146"/>
      <c r="Y36" s="146"/>
      <c r="Z36" s="146"/>
      <c r="AA36" s="146"/>
      <c r="AB36" s="147"/>
      <c r="AC36" s="147"/>
      <c r="AD36" s="147"/>
      <c r="AE36" s="147"/>
      <c r="AF36" s="147"/>
      <c r="AG36" s="147"/>
      <c r="AH36" s="147"/>
      <c r="AI36" s="147"/>
      <c r="AJ36" s="147"/>
      <c r="AK36" s="147"/>
      <c r="AL36" s="147"/>
      <c r="AM36" s="147"/>
      <c r="AN36" s="147"/>
      <c r="AO36" s="144"/>
      <c r="AP36" s="147"/>
      <c r="AQ36" s="147"/>
      <c r="AR36" s="147"/>
      <c r="AS36" s="147"/>
      <c r="AT36" s="147"/>
      <c r="AU36" s="147"/>
      <c r="AV36" s="147"/>
      <c r="AW36" s="147"/>
      <c r="AX36" s="147"/>
    </row>
    <row r="37" spans="1:50" x14ac:dyDescent="0.2">
      <c r="A37" s="714" t="s">
        <v>25</v>
      </c>
      <c r="B37" s="714"/>
      <c r="C37" s="714"/>
      <c r="D37" s="714"/>
      <c r="E37" s="134"/>
      <c r="F37" s="408"/>
      <c r="G37" s="408"/>
      <c r="H37" s="408"/>
      <c r="I37" s="408"/>
      <c r="J37" s="408"/>
      <c r="K37" s="144"/>
      <c r="L37" s="144"/>
      <c r="M37" s="144"/>
      <c r="N37" s="144"/>
      <c r="O37" s="144"/>
      <c r="P37" s="144"/>
      <c r="Q37" s="144"/>
      <c r="R37" s="135"/>
      <c r="S37" s="138"/>
      <c r="T37" s="133"/>
      <c r="U37" s="133"/>
      <c r="V37" s="133"/>
      <c r="W37" s="133"/>
      <c r="X37" s="133"/>
      <c r="Y37" s="133"/>
      <c r="Z37" s="133"/>
      <c r="AA37" s="133"/>
      <c r="AB37" s="135"/>
      <c r="AC37" s="135"/>
      <c r="AD37" s="135"/>
      <c r="AE37" s="135"/>
      <c r="AF37" s="135"/>
      <c r="AG37" s="135"/>
      <c r="AH37" s="135"/>
      <c r="AI37" s="135"/>
      <c r="AJ37" s="135"/>
      <c r="AK37" s="135"/>
      <c r="AL37" s="135"/>
      <c r="AM37" s="135"/>
      <c r="AN37" s="135"/>
      <c r="AO37" s="144"/>
      <c r="AP37" s="135"/>
      <c r="AQ37" s="135"/>
      <c r="AR37" s="135"/>
      <c r="AS37" s="135"/>
      <c r="AT37" s="135"/>
      <c r="AU37" s="135"/>
      <c r="AV37" s="135"/>
      <c r="AW37" s="135"/>
      <c r="AX37" s="135"/>
    </row>
    <row r="38" spans="1:50" s="151" customFormat="1" x14ac:dyDescent="0.2">
      <c r="A38" s="21"/>
      <c r="B38" s="10" t="s">
        <v>416</v>
      </c>
      <c r="C38" s="78"/>
      <c r="D38" s="102" t="s">
        <v>417</v>
      </c>
      <c r="E38" s="148"/>
      <c r="F38" s="406"/>
      <c r="G38" s="406"/>
      <c r="H38" s="412"/>
      <c r="I38" s="412"/>
      <c r="J38" s="412"/>
      <c r="K38" s="413"/>
      <c r="L38" s="413"/>
      <c r="M38" s="413"/>
      <c r="N38" s="413"/>
      <c r="O38" s="413"/>
      <c r="P38" s="413"/>
      <c r="Q38" s="413"/>
      <c r="R38" s="150"/>
      <c r="S38" s="138"/>
      <c r="T38" s="149"/>
      <c r="U38" s="149"/>
      <c r="V38" s="149"/>
      <c r="W38" s="149"/>
      <c r="X38" s="149"/>
      <c r="Y38" s="149"/>
      <c r="Z38" s="149"/>
      <c r="AA38" s="149"/>
      <c r="AB38" s="150"/>
      <c r="AC38" s="150"/>
      <c r="AD38" s="150"/>
      <c r="AE38" s="150"/>
      <c r="AF38" s="150"/>
      <c r="AG38" s="150"/>
      <c r="AH38" s="150"/>
      <c r="AI38" s="150"/>
      <c r="AJ38" s="150"/>
      <c r="AK38" s="150"/>
      <c r="AL38" s="150"/>
      <c r="AM38" s="150"/>
      <c r="AN38" s="150"/>
      <c r="AO38" s="144"/>
      <c r="AP38" s="150"/>
      <c r="AQ38" s="150"/>
      <c r="AR38" s="150"/>
      <c r="AS38" s="150"/>
      <c r="AT38" s="150"/>
      <c r="AU38" s="150"/>
      <c r="AV38" s="150"/>
      <c r="AW38" s="150"/>
      <c r="AX38" s="150"/>
    </row>
    <row r="39" spans="1:50" s="92" customFormat="1" x14ac:dyDescent="0.2">
      <c r="A39" s="87">
        <v>41101.021000000001</v>
      </c>
      <c r="B39" s="15" t="s">
        <v>22</v>
      </c>
      <c r="C39" s="429">
        <f>[6]Pharmacy!$J$15</f>
        <v>130050.20439372328</v>
      </c>
      <c r="D39" s="432">
        <f>$C39/C$7</f>
        <v>25.009654691100632</v>
      </c>
      <c r="E39" s="120"/>
      <c r="F39" s="406">
        <f>$D39*F$7</f>
        <v>11045.359825220334</v>
      </c>
      <c r="G39" s="406">
        <f t="shared" ref="G39:Q39" si="16">$D39*G$7</f>
        <v>10689.057895374517</v>
      </c>
      <c r="H39" s="406">
        <f t="shared" si="16"/>
        <v>11045.359825220334</v>
      </c>
      <c r="I39" s="406">
        <f t="shared" si="16"/>
        <v>11045.359825220334</v>
      </c>
      <c r="J39" s="406">
        <f t="shared" si="16"/>
        <v>9976.4540356828838</v>
      </c>
      <c r="K39" s="406">
        <f t="shared" si="16"/>
        <v>11045.359825220334</v>
      </c>
      <c r="L39" s="406">
        <f t="shared" si="16"/>
        <v>10689.057895374517</v>
      </c>
      <c r="M39" s="406">
        <f t="shared" si="16"/>
        <v>11045.359825220334</v>
      </c>
      <c r="N39" s="406">
        <f t="shared" si="16"/>
        <v>10689.057895374517</v>
      </c>
      <c r="O39" s="406">
        <f t="shared" si="16"/>
        <v>11045.359825220334</v>
      </c>
      <c r="P39" s="406">
        <f t="shared" si="16"/>
        <v>11045.359825220334</v>
      </c>
      <c r="Q39" s="406">
        <f t="shared" si="16"/>
        <v>10689.057895374517</v>
      </c>
      <c r="R39" s="409">
        <f t="shared" ref="R39" si="17">SUM(F39:Q39)</f>
        <v>130050.2043937233</v>
      </c>
      <c r="S39" s="138">
        <f t="shared" si="7"/>
        <v>0</v>
      </c>
      <c r="T39" s="152"/>
      <c r="U39" s="152"/>
      <c r="V39" s="152"/>
      <c r="W39" s="152"/>
      <c r="X39" s="152"/>
      <c r="Y39" s="152"/>
      <c r="Z39" s="152"/>
      <c r="AA39" s="153"/>
      <c r="AB39" s="153"/>
      <c r="AC39" s="153"/>
      <c r="AD39" s="153"/>
      <c r="AE39" s="153"/>
      <c r="AF39" s="153"/>
      <c r="AG39" s="153"/>
      <c r="AH39" s="153"/>
      <c r="AI39" s="153"/>
      <c r="AJ39" s="153"/>
      <c r="AK39" s="153"/>
      <c r="AL39" s="153"/>
      <c r="AM39" s="153"/>
      <c r="AN39" s="154"/>
      <c r="AO39" s="144"/>
      <c r="AP39" s="155"/>
      <c r="AQ39" s="155"/>
      <c r="AR39" s="155"/>
      <c r="AS39" s="155"/>
      <c r="AT39" s="155"/>
      <c r="AU39" s="155"/>
      <c r="AV39" s="155"/>
      <c r="AW39" s="155"/>
      <c r="AX39" s="155"/>
    </row>
    <row r="40" spans="1:50" s="92" customFormat="1" x14ac:dyDescent="0.2">
      <c r="A40" s="87">
        <v>41110.021000000001</v>
      </c>
      <c r="B40" s="15" t="s">
        <v>21</v>
      </c>
      <c r="C40" s="429">
        <f>[6]Pharmacy!$J$16</f>
        <v>14450.022710413699</v>
      </c>
      <c r="D40" s="432">
        <f t="shared" ref="D40:D43" si="18">$C40/C$7</f>
        <v>2.7788505212334038</v>
      </c>
      <c r="E40" s="120"/>
      <c r="F40" s="406">
        <f t="shared" ref="F40:Q43" si="19">$D40*F$7</f>
        <v>1227.2622028022595</v>
      </c>
      <c r="G40" s="406">
        <f t="shared" si="19"/>
        <v>1187.6730994860575</v>
      </c>
      <c r="H40" s="406">
        <f t="shared" si="19"/>
        <v>1227.2622028022595</v>
      </c>
      <c r="I40" s="406">
        <f t="shared" si="19"/>
        <v>1227.2622028022595</v>
      </c>
      <c r="J40" s="406">
        <f t="shared" si="19"/>
        <v>1108.4948928536537</v>
      </c>
      <c r="K40" s="406">
        <f t="shared" si="19"/>
        <v>1227.2622028022595</v>
      </c>
      <c r="L40" s="406">
        <f t="shared" si="19"/>
        <v>1187.6730994860575</v>
      </c>
      <c r="M40" s="406">
        <f t="shared" si="19"/>
        <v>1227.2622028022595</v>
      </c>
      <c r="N40" s="406">
        <f t="shared" si="19"/>
        <v>1187.6730994860575</v>
      </c>
      <c r="O40" s="406">
        <f t="shared" si="19"/>
        <v>1227.2622028022595</v>
      </c>
      <c r="P40" s="406">
        <f t="shared" si="19"/>
        <v>1227.2622028022595</v>
      </c>
      <c r="Q40" s="406">
        <f t="shared" si="19"/>
        <v>1187.6730994860575</v>
      </c>
      <c r="R40" s="409">
        <f t="shared" ref="R40:R62" si="20">SUM(F40:Q40)</f>
        <v>14450.022710413701</v>
      </c>
      <c r="S40" s="138">
        <f t="shared" si="7"/>
        <v>0</v>
      </c>
      <c r="T40" s="152"/>
      <c r="U40" s="152"/>
      <c r="V40" s="152"/>
      <c r="W40" s="152"/>
      <c r="X40" s="152"/>
      <c r="Y40" s="152"/>
      <c r="Z40" s="152"/>
      <c r="AA40" s="153"/>
      <c r="AB40" s="153"/>
      <c r="AC40" s="153"/>
      <c r="AD40" s="153"/>
      <c r="AE40" s="153"/>
      <c r="AF40" s="153"/>
      <c r="AG40" s="153"/>
      <c r="AH40" s="153"/>
      <c r="AI40" s="153"/>
      <c r="AJ40" s="153"/>
      <c r="AK40" s="153"/>
      <c r="AL40" s="153"/>
      <c r="AM40" s="153"/>
      <c r="AN40" s="154"/>
      <c r="AO40" s="144"/>
      <c r="AP40" s="155"/>
      <c r="AQ40" s="155"/>
      <c r="AR40" s="155"/>
      <c r="AS40" s="155"/>
      <c r="AT40" s="155"/>
      <c r="AU40" s="155"/>
      <c r="AV40" s="155"/>
      <c r="AW40" s="155"/>
      <c r="AX40" s="155"/>
    </row>
    <row r="41" spans="1:50" s="92" customFormat="1" x14ac:dyDescent="0.2">
      <c r="A41" s="87">
        <v>41115.021000000001</v>
      </c>
      <c r="B41" s="15" t="s">
        <v>20</v>
      </c>
      <c r="C41" s="429">
        <f>[6]Pharmacy!$J$17</f>
        <v>600</v>
      </c>
      <c r="D41" s="432">
        <f t="shared" si="18"/>
        <v>0.11538461538461539</v>
      </c>
      <c r="E41" s="120"/>
      <c r="F41" s="406">
        <f t="shared" si="19"/>
        <v>50.958904109589042</v>
      </c>
      <c r="G41" s="406">
        <f t="shared" si="19"/>
        <v>49.31506849315069</v>
      </c>
      <c r="H41" s="406">
        <f t="shared" si="19"/>
        <v>50.958904109589042</v>
      </c>
      <c r="I41" s="406">
        <f t="shared" si="19"/>
        <v>50.958904109589042</v>
      </c>
      <c r="J41" s="406">
        <f t="shared" si="19"/>
        <v>46.027397260273979</v>
      </c>
      <c r="K41" s="406">
        <f t="shared" si="19"/>
        <v>50.958904109589042</v>
      </c>
      <c r="L41" s="406">
        <f t="shared" si="19"/>
        <v>49.31506849315069</v>
      </c>
      <c r="M41" s="406">
        <f t="shared" si="19"/>
        <v>50.958904109589042</v>
      </c>
      <c r="N41" s="406">
        <f t="shared" si="19"/>
        <v>49.31506849315069</v>
      </c>
      <c r="O41" s="406">
        <f t="shared" si="19"/>
        <v>50.958904109589042</v>
      </c>
      <c r="P41" s="406">
        <f t="shared" si="19"/>
        <v>50.958904109589042</v>
      </c>
      <c r="Q41" s="406">
        <f t="shared" si="19"/>
        <v>49.31506849315069</v>
      </c>
      <c r="R41" s="409">
        <f t="shared" si="20"/>
        <v>600</v>
      </c>
      <c r="S41" s="138">
        <f t="shared" si="7"/>
        <v>0</v>
      </c>
      <c r="T41" s="152"/>
      <c r="U41" s="152"/>
      <c r="V41" s="152"/>
      <c r="W41" s="152"/>
      <c r="X41" s="152"/>
      <c r="Y41" s="152"/>
      <c r="Z41" s="152"/>
      <c r="AA41" s="153"/>
      <c r="AB41" s="153"/>
      <c r="AC41" s="153"/>
      <c r="AD41" s="153"/>
      <c r="AE41" s="153"/>
      <c r="AF41" s="153"/>
      <c r="AG41" s="153"/>
      <c r="AH41" s="153"/>
      <c r="AI41" s="153"/>
      <c r="AJ41" s="153"/>
      <c r="AK41" s="153"/>
      <c r="AL41" s="153"/>
      <c r="AM41" s="153"/>
      <c r="AN41" s="154"/>
      <c r="AO41" s="144"/>
      <c r="AP41" s="155"/>
      <c r="AQ41" s="155"/>
      <c r="AR41" s="155"/>
      <c r="AS41" s="155"/>
      <c r="AT41" s="155"/>
      <c r="AU41" s="155"/>
      <c r="AV41" s="155"/>
      <c r="AW41" s="155"/>
      <c r="AX41" s="155"/>
    </row>
    <row r="42" spans="1:50" s="92" customFormat="1" x14ac:dyDescent="0.2">
      <c r="A42" s="87">
        <v>41150.021000000001</v>
      </c>
      <c r="B42" s="15" t="s">
        <v>19</v>
      </c>
      <c r="C42" s="429">
        <f>[6]Pharmacy!$J$18</f>
        <v>11100.167373466478</v>
      </c>
      <c r="D42" s="432">
        <f t="shared" si="18"/>
        <v>2.1346475718204765</v>
      </c>
      <c r="E42" s="120"/>
      <c r="F42" s="406">
        <f t="shared" si="19"/>
        <v>942.75394130811185</v>
      </c>
      <c r="G42" s="406">
        <f t="shared" si="19"/>
        <v>912.34252384655986</v>
      </c>
      <c r="H42" s="406">
        <f t="shared" si="19"/>
        <v>942.75394130811185</v>
      </c>
      <c r="I42" s="406">
        <f t="shared" si="19"/>
        <v>942.75394130811185</v>
      </c>
      <c r="J42" s="406">
        <f t="shared" si="19"/>
        <v>851.51968892345587</v>
      </c>
      <c r="K42" s="406">
        <f t="shared" si="19"/>
        <v>942.75394130811185</v>
      </c>
      <c r="L42" s="406">
        <f t="shared" si="19"/>
        <v>912.34252384655986</v>
      </c>
      <c r="M42" s="406">
        <f t="shared" si="19"/>
        <v>942.75394130811185</v>
      </c>
      <c r="N42" s="406">
        <f t="shared" si="19"/>
        <v>912.34252384655986</v>
      </c>
      <c r="O42" s="406">
        <f t="shared" si="19"/>
        <v>942.75394130811185</v>
      </c>
      <c r="P42" s="406">
        <f t="shared" si="19"/>
        <v>942.75394130811185</v>
      </c>
      <c r="Q42" s="406">
        <f t="shared" si="19"/>
        <v>912.34252384655986</v>
      </c>
      <c r="R42" s="409">
        <f t="shared" si="20"/>
        <v>11100.16737346648</v>
      </c>
      <c r="S42" s="138">
        <f t="shared" si="7"/>
        <v>0</v>
      </c>
      <c r="T42" s="152"/>
      <c r="U42" s="152"/>
      <c r="V42" s="152"/>
      <c r="W42" s="152"/>
      <c r="X42" s="152"/>
      <c r="Y42" s="152"/>
      <c r="Z42" s="152"/>
      <c r="AA42" s="153"/>
      <c r="AB42" s="153"/>
      <c r="AC42" s="153"/>
      <c r="AD42" s="153"/>
      <c r="AE42" s="153"/>
      <c r="AF42" s="153"/>
      <c r="AG42" s="153"/>
      <c r="AH42" s="153"/>
      <c r="AI42" s="153"/>
      <c r="AJ42" s="153"/>
      <c r="AK42" s="153"/>
      <c r="AL42" s="153"/>
      <c r="AM42" s="153"/>
      <c r="AN42" s="154"/>
      <c r="AO42" s="144"/>
      <c r="AP42" s="155"/>
      <c r="AQ42" s="155"/>
      <c r="AR42" s="155"/>
      <c r="AS42" s="155"/>
      <c r="AT42" s="155"/>
      <c r="AU42" s="155"/>
      <c r="AV42" s="155"/>
      <c r="AW42" s="155"/>
      <c r="AX42" s="155"/>
    </row>
    <row r="43" spans="1:50" s="92" customFormat="1" x14ac:dyDescent="0.2">
      <c r="A43" s="87">
        <v>41216.019</v>
      </c>
      <c r="B43" s="15" t="s">
        <v>1076</v>
      </c>
      <c r="C43" s="429">
        <f>[6]Pharmacy!$J$19</f>
        <v>80000</v>
      </c>
      <c r="D43" s="432">
        <f t="shared" si="18"/>
        <v>15.384615384615385</v>
      </c>
      <c r="E43" s="120"/>
      <c r="F43" s="406">
        <f t="shared" si="19"/>
        <v>6794.5205479452061</v>
      </c>
      <c r="G43" s="406">
        <f t="shared" si="19"/>
        <v>6575.3424657534251</v>
      </c>
      <c r="H43" s="406">
        <f t="shared" si="19"/>
        <v>6794.5205479452061</v>
      </c>
      <c r="I43" s="406">
        <f t="shared" si="19"/>
        <v>6794.5205479452061</v>
      </c>
      <c r="J43" s="406">
        <f t="shared" si="19"/>
        <v>6136.9863013698632</v>
      </c>
      <c r="K43" s="406">
        <f t="shared" si="19"/>
        <v>6794.5205479452061</v>
      </c>
      <c r="L43" s="406">
        <f t="shared" si="19"/>
        <v>6575.3424657534251</v>
      </c>
      <c r="M43" s="406">
        <f t="shared" si="19"/>
        <v>6794.5205479452061</v>
      </c>
      <c r="N43" s="406">
        <f t="shared" si="19"/>
        <v>6575.3424657534251</v>
      </c>
      <c r="O43" s="406">
        <f t="shared" si="19"/>
        <v>6794.5205479452061</v>
      </c>
      <c r="P43" s="406">
        <f t="shared" si="19"/>
        <v>6794.5205479452061</v>
      </c>
      <c r="Q43" s="406">
        <f t="shared" si="19"/>
        <v>6575.3424657534251</v>
      </c>
      <c r="R43" s="409">
        <f t="shared" si="20"/>
        <v>80000.000000000015</v>
      </c>
      <c r="S43" s="138">
        <f t="shared" si="7"/>
        <v>0</v>
      </c>
      <c r="T43" s="152"/>
      <c r="U43" s="152"/>
      <c r="V43" s="152"/>
      <c r="W43" s="152"/>
      <c r="X43" s="152"/>
      <c r="Y43" s="152"/>
      <c r="Z43" s="152"/>
      <c r="AA43" s="641"/>
      <c r="AB43" s="641"/>
      <c r="AC43" s="641"/>
      <c r="AD43" s="641"/>
      <c r="AE43" s="641"/>
      <c r="AF43" s="641"/>
      <c r="AG43" s="641"/>
      <c r="AH43" s="641"/>
      <c r="AI43" s="641"/>
      <c r="AJ43" s="641"/>
      <c r="AK43" s="641"/>
      <c r="AL43" s="641"/>
      <c r="AM43" s="641"/>
      <c r="AN43" s="642"/>
      <c r="AO43" s="144"/>
      <c r="AP43" s="155"/>
      <c r="AQ43" s="155"/>
      <c r="AR43" s="155"/>
      <c r="AS43" s="155"/>
      <c r="AT43" s="155"/>
      <c r="AU43" s="155"/>
      <c r="AV43" s="155"/>
      <c r="AW43" s="155"/>
      <c r="AX43" s="155"/>
    </row>
    <row r="44" spans="1:50" s="92" customFormat="1" x14ac:dyDescent="0.2">
      <c r="A44" s="87">
        <v>41216.019999999997</v>
      </c>
      <c r="B44" s="15" t="s">
        <v>987</v>
      </c>
      <c r="C44" s="13">
        <f>[6]Pharmacy!$J$20</f>
        <v>86500</v>
      </c>
      <c r="D44" s="143">
        <f>$C44/C$3</f>
        <v>4.0732718025993595</v>
      </c>
      <c r="E44" s="120"/>
      <c r="F44" s="406">
        <f>$D44*F$3</f>
        <v>7584.4320964400076</v>
      </c>
      <c r="G44" s="406">
        <f t="shared" ref="G44:Q44" si="21">$D44*G$3</f>
        <v>6048.8086268600491</v>
      </c>
      <c r="H44" s="406">
        <f t="shared" si="21"/>
        <v>6757.5579205123377</v>
      </c>
      <c r="I44" s="406">
        <f t="shared" si="21"/>
        <v>6553.8943303823698</v>
      </c>
      <c r="J44" s="406">
        <f t="shared" si="21"/>
        <v>6614.9934074213597</v>
      </c>
      <c r="K44" s="406">
        <f t="shared" si="21"/>
        <v>7678.1173478997925</v>
      </c>
      <c r="L44" s="406">
        <f t="shared" si="21"/>
        <v>7771.8025993595784</v>
      </c>
      <c r="M44" s="406">
        <f t="shared" si="21"/>
        <v>8957.1246939159919</v>
      </c>
      <c r="N44" s="406">
        <f t="shared" si="21"/>
        <v>8871.5859860614055</v>
      </c>
      <c r="O44" s="406">
        <f t="shared" si="21"/>
        <v>5177.1284611037863</v>
      </c>
      <c r="P44" s="406">
        <f t="shared" si="21"/>
        <v>7490.7468449802218</v>
      </c>
      <c r="Q44" s="406">
        <f t="shared" si="21"/>
        <v>6993.8076850631005</v>
      </c>
      <c r="R44" s="411">
        <f t="shared" ref="R44" si="22">SUM(F44:Q44)</f>
        <v>86500</v>
      </c>
      <c r="S44" s="142">
        <f t="shared" ref="S44" si="23">C44-R44</f>
        <v>0</v>
      </c>
      <c r="T44" s="152"/>
      <c r="U44" s="152"/>
      <c r="V44" s="152"/>
      <c r="W44" s="152"/>
      <c r="X44" s="152"/>
      <c r="Y44" s="152"/>
      <c r="Z44" s="152"/>
      <c r="AA44" s="153"/>
      <c r="AB44" s="153"/>
      <c r="AC44" s="153"/>
      <c r="AD44" s="153"/>
      <c r="AE44" s="153"/>
      <c r="AF44" s="153"/>
      <c r="AG44" s="153"/>
      <c r="AH44" s="153"/>
      <c r="AI44" s="153"/>
      <c r="AJ44" s="153"/>
      <c r="AK44" s="153"/>
      <c r="AL44" s="153"/>
      <c r="AM44" s="153"/>
      <c r="AN44" s="154"/>
      <c r="AO44" s="144"/>
      <c r="AP44" s="155"/>
      <c r="AQ44" s="155"/>
      <c r="AR44" s="155"/>
      <c r="AS44" s="155"/>
      <c r="AT44" s="155"/>
      <c r="AU44" s="155"/>
      <c r="AV44" s="155"/>
      <c r="AW44" s="155"/>
      <c r="AX44" s="155"/>
    </row>
    <row r="45" spans="1:50" s="92" customFormat="1" x14ac:dyDescent="0.2">
      <c r="A45" s="87">
        <v>41216.021000000001</v>
      </c>
      <c r="B45" s="15" t="s">
        <v>418</v>
      </c>
      <c r="C45" s="14">
        <f>[6]Pharmacy!$J$21</f>
        <v>163200</v>
      </c>
      <c r="D45" s="143">
        <f t="shared" ref="D45:D62" si="24">$C45/C$4</f>
        <v>1.808791257508922</v>
      </c>
      <c r="E45" s="120"/>
      <c r="F45" s="406">
        <f t="shared" ref="F45:Q62" si="25">$D45*F$4</f>
        <v>11104.169529847271</v>
      </c>
      <c r="G45" s="406">
        <f t="shared" ref="G45:Q58" si="26">$D45*G$4</f>
        <v>10324.580497860927</v>
      </c>
      <c r="H45" s="406">
        <f t="shared" si="26"/>
        <v>10208.817857380356</v>
      </c>
      <c r="I45" s="406">
        <f t="shared" si="26"/>
        <v>12786.34539933057</v>
      </c>
      <c r="J45" s="406">
        <f t="shared" si="26"/>
        <v>12912.960787356194</v>
      </c>
      <c r="K45" s="406">
        <f t="shared" si="26"/>
        <v>17011.68177687141</v>
      </c>
      <c r="L45" s="406">
        <f t="shared" si="26"/>
        <v>11726.393722430341</v>
      </c>
      <c r="M45" s="406">
        <f t="shared" si="26"/>
        <v>13920.457517788664</v>
      </c>
      <c r="N45" s="406">
        <f t="shared" si="26"/>
        <v>15975.244386318798</v>
      </c>
      <c r="O45" s="406">
        <f t="shared" si="26"/>
        <v>16183.255380932325</v>
      </c>
      <c r="P45" s="406">
        <f t="shared" si="26"/>
        <v>16450.956487043644</v>
      </c>
      <c r="Q45" s="406">
        <f t="shared" si="26"/>
        <v>14595.136656839491</v>
      </c>
      <c r="R45" s="409">
        <f t="shared" si="20"/>
        <v>163199.99999999997</v>
      </c>
      <c r="S45" s="138">
        <f t="shared" si="7"/>
        <v>0</v>
      </c>
      <c r="T45" s="152"/>
      <c r="U45" s="152"/>
      <c r="V45" s="152"/>
      <c r="W45" s="152"/>
      <c r="X45" s="152"/>
      <c r="Y45" s="152"/>
      <c r="Z45" s="152"/>
      <c r="AA45" s="153"/>
      <c r="AB45" s="153"/>
      <c r="AC45" s="153"/>
      <c r="AD45" s="153"/>
      <c r="AE45" s="153"/>
      <c r="AF45" s="153"/>
      <c r="AG45" s="153"/>
      <c r="AH45" s="153"/>
      <c r="AI45" s="153"/>
      <c r="AJ45" s="153"/>
      <c r="AK45" s="153"/>
      <c r="AL45" s="153"/>
      <c r="AM45" s="153"/>
      <c r="AN45" s="154"/>
      <c r="AO45" s="144"/>
      <c r="AP45" s="155"/>
      <c r="AQ45" s="155"/>
      <c r="AR45" s="155"/>
      <c r="AS45" s="155"/>
      <c r="AT45" s="155"/>
      <c r="AU45" s="155"/>
      <c r="AV45" s="155"/>
      <c r="AW45" s="155"/>
      <c r="AX45" s="155"/>
    </row>
    <row r="46" spans="1:50" s="92" customFormat="1" x14ac:dyDescent="0.2">
      <c r="A46" s="87">
        <v>41237.021000000001</v>
      </c>
      <c r="B46" s="15" t="s">
        <v>17</v>
      </c>
      <c r="C46" s="14">
        <f>[6]Pharmacy!$J$22</f>
        <v>1475</v>
      </c>
      <c r="D46" s="143">
        <f t="shared" si="24"/>
        <v>1.6347837652118016E-2</v>
      </c>
      <c r="E46" s="120"/>
      <c r="F46" s="406">
        <f t="shared" si="25"/>
        <v>100.35937534635251</v>
      </c>
      <c r="G46" s="406">
        <f t="shared" si="26"/>
        <v>93.313457318289636</v>
      </c>
      <c r="H46" s="406">
        <f t="shared" si="26"/>
        <v>92.267195708554084</v>
      </c>
      <c r="I46" s="406">
        <f t="shared" si="26"/>
        <v>115.56286436282225</v>
      </c>
      <c r="J46" s="406">
        <f t="shared" si="26"/>
        <v>116.70721299847052</v>
      </c>
      <c r="K46" s="406">
        <f t="shared" si="26"/>
        <v>153.75141311816995</v>
      </c>
      <c r="L46" s="406">
        <f t="shared" si="26"/>
        <v>105.9830314986811</v>
      </c>
      <c r="M46" s="406">
        <f t="shared" si="26"/>
        <v>125.81295857070026</v>
      </c>
      <c r="N46" s="406">
        <f t="shared" si="26"/>
        <v>144.38410214350631</v>
      </c>
      <c r="O46" s="406">
        <f t="shared" si="26"/>
        <v>146.26410347349989</v>
      </c>
      <c r="P46" s="406">
        <f t="shared" si="26"/>
        <v>148.68358344601336</v>
      </c>
      <c r="Q46" s="406">
        <f t="shared" si="26"/>
        <v>131.91070201494028</v>
      </c>
      <c r="R46" s="409">
        <f t="shared" si="20"/>
        <v>1475.0000000000005</v>
      </c>
      <c r="S46" s="138">
        <f t="shared" si="7"/>
        <v>0</v>
      </c>
      <c r="T46" s="152"/>
      <c r="U46" s="152"/>
      <c r="V46" s="152"/>
      <c r="W46" s="152"/>
      <c r="X46" s="152"/>
      <c r="Y46" s="152"/>
      <c r="Z46" s="152"/>
      <c r="AA46" s="153"/>
      <c r="AB46" s="153"/>
      <c r="AC46" s="153"/>
      <c r="AD46" s="153"/>
      <c r="AE46" s="153"/>
      <c r="AF46" s="153"/>
      <c r="AG46" s="153"/>
      <c r="AH46" s="153"/>
      <c r="AI46" s="153"/>
      <c r="AJ46" s="153"/>
      <c r="AK46" s="153"/>
      <c r="AL46" s="153"/>
      <c r="AM46" s="153"/>
      <c r="AN46" s="154"/>
      <c r="AO46" s="144"/>
      <c r="AP46" s="155"/>
      <c r="AQ46" s="155"/>
      <c r="AR46" s="155"/>
      <c r="AS46" s="155"/>
      <c r="AT46" s="155"/>
      <c r="AU46" s="155"/>
      <c r="AV46" s="155"/>
      <c r="AW46" s="155"/>
      <c r="AX46" s="155"/>
    </row>
    <row r="47" spans="1:50" s="92" customFormat="1" x14ac:dyDescent="0.2">
      <c r="A47" s="87">
        <v>41246.021000000001</v>
      </c>
      <c r="B47" s="15" t="s">
        <v>16</v>
      </c>
      <c r="C47" s="14"/>
      <c r="D47" s="143">
        <f t="shared" si="24"/>
        <v>0</v>
      </c>
      <c r="E47" s="120"/>
      <c r="F47" s="406">
        <f t="shared" si="25"/>
        <v>0</v>
      </c>
      <c r="G47" s="406">
        <f t="shared" si="26"/>
        <v>0</v>
      </c>
      <c r="H47" s="406">
        <f t="shared" si="26"/>
        <v>0</v>
      </c>
      <c r="I47" s="406">
        <f t="shared" si="26"/>
        <v>0</v>
      </c>
      <c r="J47" s="406">
        <f t="shared" si="26"/>
        <v>0</v>
      </c>
      <c r="K47" s="406">
        <f t="shared" si="26"/>
        <v>0</v>
      </c>
      <c r="L47" s="406">
        <f t="shared" si="26"/>
        <v>0</v>
      </c>
      <c r="M47" s="406">
        <f t="shared" si="26"/>
        <v>0</v>
      </c>
      <c r="N47" s="406">
        <f t="shared" si="26"/>
        <v>0</v>
      </c>
      <c r="O47" s="406">
        <f t="shared" si="26"/>
        <v>0</v>
      </c>
      <c r="P47" s="406">
        <f t="shared" si="26"/>
        <v>0</v>
      </c>
      <c r="Q47" s="406">
        <f t="shared" si="26"/>
        <v>0</v>
      </c>
      <c r="R47" s="409">
        <f t="shared" si="20"/>
        <v>0</v>
      </c>
      <c r="S47" s="138">
        <f t="shared" si="7"/>
        <v>0</v>
      </c>
      <c r="T47" s="152"/>
      <c r="U47" s="152"/>
      <c r="V47" s="152"/>
      <c r="W47" s="152"/>
      <c r="X47" s="152"/>
      <c r="Y47" s="152"/>
      <c r="Z47" s="152"/>
      <c r="AA47" s="153"/>
      <c r="AB47" s="153"/>
      <c r="AC47" s="153"/>
      <c r="AD47" s="153"/>
      <c r="AE47" s="153"/>
      <c r="AF47" s="153"/>
      <c r="AG47" s="153"/>
      <c r="AH47" s="153"/>
      <c r="AI47" s="153"/>
      <c r="AJ47" s="153"/>
      <c r="AK47" s="153"/>
      <c r="AL47" s="153"/>
      <c r="AM47" s="153"/>
      <c r="AN47" s="154"/>
      <c r="AO47" s="144"/>
      <c r="AP47" s="155"/>
      <c r="AQ47" s="155"/>
      <c r="AR47" s="155"/>
      <c r="AS47" s="155"/>
      <c r="AT47" s="155"/>
      <c r="AU47" s="155"/>
      <c r="AV47" s="155"/>
      <c r="AW47" s="155"/>
      <c r="AX47" s="155"/>
    </row>
    <row r="48" spans="1:50" s="92" customFormat="1" x14ac:dyDescent="0.2">
      <c r="A48" s="87">
        <v>41250.021000000001</v>
      </c>
      <c r="B48" s="15" t="s">
        <v>15</v>
      </c>
      <c r="C48" s="14"/>
      <c r="D48" s="143">
        <f t="shared" si="24"/>
        <v>0</v>
      </c>
      <c r="E48" s="120"/>
      <c r="F48" s="406">
        <f t="shared" si="25"/>
        <v>0</v>
      </c>
      <c r="G48" s="406">
        <f t="shared" si="26"/>
        <v>0</v>
      </c>
      <c r="H48" s="406">
        <f t="shared" si="26"/>
        <v>0</v>
      </c>
      <c r="I48" s="406">
        <f t="shared" si="26"/>
        <v>0</v>
      </c>
      <c r="J48" s="406">
        <f t="shared" si="26"/>
        <v>0</v>
      </c>
      <c r="K48" s="406">
        <f t="shared" si="26"/>
        <v>0</v>
      </c>
      <c r="L48" s="406">
        <f t="shared" si="26"/>
        <v>0</v>
      </c>
      <c r="M48" s="406">
        <f t="shared" si="26"/>
        <v>0</v>
      </c>
      <c r="N48" s="406">
        <f t="shared" si="26"/>
        <v>0</v>
      </c>
      <c r="O48" s="406">
        <f t="shared" si="26"/>
        <v>0</v>
      </c>
      <c r="P48" s="406">
        <f t="shared" si="26"/>
        <v>0</v>
      </c>
      <c r="Q48" s="406">
        <f t="shared" si="26"/>
        <v>0</v>
      </c>
      <c r="R48" s="409">
        <f t="shared" si="20"/>
        <v>0</v>
      </c>
      <c r="S48" s="138">
        <f t="shared" si="7"/>
        <v>0</v>
      </c>
      <c r="T48" s="152"/>
      <c r="U48" s="152"/>
      <c r="V48" s="152"/>
      <c r="W48" s="152"/>
      <c r="X48" s="152"/>
      <c r="Y48" s="152"/>
      <c r="Z48" s="152"/>
      <c r="AA48" s="153"/>
      <c r="AB48" s="153"/>
      <c r="AC48" s="153"/>
      <c r="AD48" s="153"/>
      <c r="AE48" s="153"/>
      <c r="AF48" s="153"/>
      <c r="AG48" s="153"/>
      <c r="AH48" s="153"/>
      <c r="AI48" s="153"/>
      <c r="AJ48" s="153"/>
      <c r="AK48" s="153"/>
      <c r="AL48" s="153"/>
      <c r="AM48" s="153"/>
      <c r="AN48" s="154"/>
      <c r="AO48" s="144"/>
      <c r="AP48" s="155"/>
      <c r="AQ48" s="155"/>
      <c r="AR48" s="155"/>
      <c r="AS48" s="155"/>
      <c r="AT48" s="155"/>
      <c r="AU48" s="155"/>
      <c r="AV48" s="155"/>
      <c r="AW48" s="155"/>
      <c r="AX48" s="155"/>
    </row>
    <row r="49" spans="1:50" s="92" customFormat="1" x14ac:dyDescent="0.2">
      <c r="A49" s="87">
        <v>41260.021000000001</v>
      </c>
      <c r="B49" s="15" t="s">
        <v>14</v>
      </c>
      <c r="C49" s="14"/>
      <c r="D49" s="143">
        <f t="shared" si="24"/>
        <v>0</v>
      </c>
      <c r="E49" s="120"/>
      <c r="F49" s="406">
        <f t="shared" si="25"/>
        <v>0</v>
      </c>
      <c r="G49" s="406">
        <f t="shared" si="26"/>
        <v>0</v>
      </c>
      <c r="H49" s="406">
        <f t="shared" si="26"/>
        <v>0</v>
      </c>
      <c r="I49" s="406">
        <f t="shared" si="26"/>
        <v>0</v>
      </c>
      <c r="J49" s="406">
        <f t="shared" si="26"/>
        <v>0</v>
      </c>
      <c r="K49" s="406">
        <f t="shared" si="26"/>
        <v>0</v>
      </c>
      <c r="L49" s="406">
        <f t="shared" si="26"/>
        <v>0</v>
      </c>
      <c r="M49" s="406">
        <f t="shared" si="26"/>
        <v>0</v>
      </c>
      <c r="N49" s="406">
        <f t="shared" si="26"/>
        <v>0</v>
      </c>
      <c r="O49" s="406">
        <f t="shared" si="26"/>
        <v>0</v>
      </c>
      <c r="P49" s="406">
        <f t="shared" si="26"/>
        <v>0</v>
      </c>
      <c r="Q49" s="406">
        <f t="shared" si="26"/>
        <v>0</v>
      </c>
      <c r="R49" s="409">
        <f t="shared" si="20"/>
        <v>0</v>
      </c>
      <c r="S49" s="138">
        <f t="shared" si="7"/>
        <v>0</v>
      </c>
      <c r="T49" s="152"/>
      <c r="U49" s="152"/>
      <c r="V49" s="152"/>
      <c r="W49" s="152"/>
      <c r="X49" s="152"/>
      <c r="Y49" s="152"/>
      <c r="Z49" s="152"/>
      <c r="AA49" s="153"/>
      <c r="AB49" s="153"/>
      <c r="AC49" s="153"/>
      <c r="AD49" s="153"/>
      <c r="AE49" s="153"/>
      <c r="AF49" s="153"/>
      <c r="AG49" s="153"/>
      <c r="AH49" s="153"/>
      <c r="AI49" s="153"/>
      <c r="AJ49" s="153"/>
      <c r="AK49" s="153"/>
      <c r="AL49" s="153"/>
      <c r="AM49" s="153"/>
      <c r="AN49" s="154"/>
      <c r="AO49" s="144"/>
      <c r="AP49" s="155"/>
      <c r="AQ49" s="155"/>
      <c r="AR49" s="155"/>
      <c r="AS49" s="155"/>
      <c r="AT49" s="155"/>
      <c r="AU49" s="155"/>
      <c r="AV49" s="155"/>
      <c r="AW49" s="155"/>
      <c r="AX49" s="155"/>
    </row>
    <row r="50" spans="1:50" s="92" customFormat="1" x14ac:dyDescent="0.2">
      <c r="A50" s="87">
        <v>41265.021000000001</v>
      </c>
      <c r="B50" s="15" t="s">
        <v>365</v>
      </c>
      <c r="C50" s="14">
        <f>[6]Pharmacy!$J$24</f>
        <v>-3600</v>
      </c>
      <c r="D50" s="143">
        <f t="shared" si="24"/>
        <v>-3.9899807150932103E-2</v>
      </c>
      <c r="E50" s="120"/>
      <c r="F50" s="406">
        <f t="shared" si="25"/>
        <v>-244.94491609957217</v>
      </c>
      <c r="G50" s="406">
        <f t="shared" si="26"/>
        <v>-227.74809921752043</v>
      </c>
      <c r="H50" s="406">
        <f t="shared" si="26"/>
        <v>-225.19451155986079</v>
      </c>
      <c r="I50" s="406">
        <f t="shared" si="26"/>
        <v>-282.05173674993904</v>
      </c>
      <c r="J50" s="406">
        <f t="shared" si="26"/>
        <v>-284.84472325050427</v>
      </c>
      <c r="K50" s="406">
        <f t="shared" si="26"/>
        <v>-375.25768625451644</v>
      </c>
      <c r="L50" s="406">
        <f t="shared" si="26"/>
        <v>-258.67044975949284</v>
      </c>
      <c r="M50" s="406">
        <f t="shared" si="26"/>
        <v>-307.06891583357344</v>
      </c>
      <c r="N50" s="406">
        <f t="shared" si="26"/>
        <v>-352.39509675703232</v>
      </c>
      <c r="O50" s="406">
        <f t="shared" si="26"/>
        <v>-356.98357457938954</v>
      </c>
      <c r="P50" s="406">
        <f t="shared" si="26"/>
        <v>-362.88874603772746</v>
      </c>
      <c r="Q50" s="406">
        <f t="shared" si="26"/>
        <v>-321.95154390087112</v>
      </c>
      <c r="R50" s="409">
        <f t="shared" si="20"/>
        <v>-3599.9999999999995</v>
      </c>
      <c r="S50" s="138">
        <f t="shared" si="7"/>
        <v>0</v>
      </c>
      <c r="T50" s="152"/>
      <c r="U50" s="152"/>
      <c r="V50" s="152"/>
      <c r="W50" s="152"/>
      <c r="X50" s="152"/>
      <c r="Y50" s="152"/>
      <c r="Z50" s="152"/>
      <c r="AA50" s="153"/>
      <c r="AB50" s="153"/>
      <c r="AC50" s="153"/>
      <c r="AD50" s="153"/>
      <c r="AE50" s="153"/>
      <c r="AF50" s="153"/>
      <c r="AG50" s="153"/>
      <c r="AH50" s="153"/>
      <c r="AI50" s="153"/>
      <c r="AJ50" s="153"/>
      <c r="AK50" s="153"/>
      <c r="AL50" s="153"/>
      <c r="AM50" s="153"/>
      <c r="AN50" s="154"/>
      <c r="AO50" s="144"/>
      <c r="AP50" s="155"/>
      <c r="AQ50" s="155"/>
      <c r="AR50" s="155"/>
      <c r="AS50" s="155"/>
      <c r="AT50" s="155"/>
      <c r="AU50" s="155"/>
      <c r="AV50" s="155"/>
      <c r="AW50" s="155"/>
      <c r="AX50" s="155"/>
    </row>
    <row r="51" spans="1:50" s="92" customFormat="1" x14ac:dyDescent="0.2">
      <c r="A51" s="87">
        <v>41313.021000000001</v>
      </c>
      <c r="B51" s="15" t="s">
        <v>394</v>
      </c>
      <c r="C51" s="14">
        <f>[6]Pharmacy!$J$25</f>
        <v>11120</v>
      </c>
      <c r="D51" s="143">
        <f t="shared" si="24"/>
        <v>0.12324607097732361</v>
      </c>
      <c r="E51" s="120"/>
      <c r="F51" s="406">
        <f t="shared" si="25"/>
        <v>756.60762972978966</v>
      </c>
      <c r="G51" s="406">
        <f t="shared" si="26"/>
        <v>703.4885731385632</v>
      </c>
      <c r="H51" s="406">
        <f t="shared" si="26"/>
        <v>695.60082459601449</v>
      </c>
      <c r="I51" s="406">
        <f t="shared" si="26"/>
        <v>871.22647573870063</v>
      </c>
      <c r="J51" s="406">
        <f t="shared" si="26"/>
        <v>879.85370070711326</v>
      </c>
      <c r="K51" s="406">
        <f t="shared" si="26"/>
        <v>1159.1292975417286</v>
      </c>
      <c r="L51" s="406">
        <f t="shared" si="26"/>
        <v>799.00427814598902</v>
      </c>
      <c r="M51" s="406">
        <f t="shared" si="26"/>
        <v>948.50176224148254</v>
      </c>
      <c r="N51" s="406">
        <f t="shared" si="26"/>
        <v>1088.5092988717222</v>
      </c>
      <c r="O51" s="406">
        <f t="shared" si="26"/>
        <v>1102.6825970341145</v>
      </c>
      <c r="P51" s="406">
        <f t="shared" si="26"/>
        <v>1120.9230155387581</v>
      </c>
      <c r="Q51" s="406">
        <f t="shared" si="26"/>
        <v>994.47254671602423</v>
      </c>
      <c r="R51" s="409">
        <f t="shared" si="20"/>
        <v>11120</v>
      </c>
      <c r="S51" s="138">
        <f t="shared" si="7"/>
        <v>0</v>
      </c>
      <c r="T51" s="152"/>
      <c r="U51" s="152"/>
      <c r="V51" s="152"/>
      <c r="W51" s="152"/>
      <c r="X51" s="152"/>
      <c r="Y51" s="152"/>
      <c r="Z51" s="152"/>
      <c r="AA51" s="153"/>
      <c r="AB51" s="153"/>
      <c r="AC51" s="153"/>
      <c r="AD51" s="153"/>
      <c r="AE51" s="153"/>
      <c r="AF51" s="153"/>
      <c r="AG51" s="153"/>
      <c r="AH51" s="153"/>
      <c r="AI51" s="153"/>
      <c r="AJ51" s="153"/>
      <c r="AK51" s="153"/>
      <c r="AL51" s="153"/>
      <c r="AM51" s="153"/>
      <c r="AN51" s="154"/>
      <c r="AO51" s="144"/>
      <c r="AP51" s="155"/>
      <c r="AQ51" s="155"/>
      <c r="AR51" s="155"/>
      <c r="AS51" s="155"/>
      <c r="AT51" s="155"/>
      <c r="AU51" s="155"/>
      <c r="AV51" s="155"/>
      <c r="AW51" s="155"/>
      <c r="AX51" s="155"/>
    </row>
    <row r="52" spans="1:50" s="92" customFormat="1" x14ac:dyDescent="0.2">
      <c r="A52" s="87">
        <v>41342.021000000001</v>
      </c>
      <c r="B52" s="15" t="s">
        <v>11</v>
      </c>
      <c r="C52" s="14">
        <f>[6]Pharmacy!$J$26</f>
        <v>300</v>
      </c>
      <c r="D52" s="143">
        <f t="shared" si="24"/>
        <v>3.3249839292443422E-3</v>
      </c>
      <c r="E52" s="120"/>
      <c r="F52" s="406">
        <f t="shared" si="25"/>
        <v>20.412076341631018</v>
      </c>
      <c r="G52" s="406">
        <f t="shared" si="25"/>
        <v>18.979008268126705</v>
      </c>
      <c r="H52" s="406">
        <f t="shared" si="25"/>
        <v>18.766209296655067</v>
      </c>
      <c r="I52" s="406">
        <f t="shared" si="25"/>
        <v>23.504311395828253</v>
      </c>
      <c r="J52" s="406">
        <f t="shared" si="25"/>
        <v>23.737060270875357</v>
      </c>
      <c r="K52" s="406">
        <f t="shared" si="25"/>
        <v>31.271473854543039</v>
      </c>
      <c r="L52" s="406">
        <f t="shared" si="25"/>
        <v>21.555870813291069</v>
      </c>
      <c r="M52" s="406">
        <f t="shared" si="25"/>
        <v>25.589076319464457</v>
      </c>
      <c r="N52" s="406">
        <f t="shared" si="25"/>
        <v>29.366258063086029</v>
      </c>
      <c r="O52" s="406">
        <f t="shared" si="25"/>
        <v>29.748631214949128</v>
      </c>
      <c r="P52" s="406">
        <f t="shared" si="25"/>
        <v>30.240728836477292</v>
      </c>
      <c r="Q52" s="406">
        <f t="shared" si="25"/>
        <v>26.829295325072597</v>
      </c>
      <c r="R52" s="409">
        <f t="shared" ref="R52:R53" si="27">SUM(F52:Q52)</f>
        <v>300.00000000000006</v>
      </c>
      <c r="S52" s="138">
        <f t="shared" ref="S52:S53" si="28">C52-R52</f>
        <v>0</v>
      </c>
      <c r="T52" s="152"/>
      <c r="U52" s="152"/>
      <c r="V52" s="152"/>
      <c r="W52" s="152"/>
      <c r="X52" s="152"/>
      <c r="Y52" s="152"/>
      <c r="Z52" s="152"/>
      <c r="AA52" s="153"/>
      <c r="AB52" s="153"/>
      <c r="AC52" s="153"/>
      <c r="AD52" s="153"/>
      <c r="AE52" s="153"/>
      <c r="AF52" s="153"/>
      <c r="AG52" s="153"/>
      <c r="AH52" s="153"/>
      <c r="AI52" s="153"/>
      <c r="AJ52" s="153"/>
      <c r="AK52" s="153"/>
      <c r="AL52" s="153"/>
      <c r="AM52" s="153"/>
      <c r="AN52" s="154"/>
      <c r="AO52" s="144"/>
      <c r="AP52" s="155"/>
      <c r="AQ52" s="155"/>
      <c r="AR52" s="155"/>
      <c r="AS52" s="155"/>
      <c r="AT52" s="155"/>
      <c r="AU52" s="155"/>
      <c r="AV52" s="155"/>
      <c r="AW52" s="155"/>
      <c r="AX52" s="155"/>
    </row>
    <row r="53" spans="1:50" s="92" customFormat="1" x14ac:dyDescent="0.2">
      <c r="A53" s="87">
        <v>41365.019</v>
      </c>
      <c r="B53" s="15" t="s">
        <v>1077</v>
      </c>
      <c r="C53" s="14">
        <f>[6]Pharmacy!$J$23</f>
        <v>32000</v>
      </c>
      <c r="D53" s="143">
        <f t="shared" si="24"/>
        <v>0.35466495245272983</v>
      </c>
      <c r="E53" s="120"/>
      <c r="F53" s="406">
        <f t="shared" si="25"/>
        <v>2177.2881431073083</v>
      </c>
      <c r="G53" s="406">
        <f t="shared" si="25"/>
        <v>2024.4275486001818</v>
      </c>
      <c r="H53" s="406">
        <f t="shared" si="25"/>
        <v>2001.7289916432071</v>
      </c>
      <c r="I53" s="406">
        <f t="shared" si="25"/>
        <v>2507.1265488883473</v>
      </c>
      <c r="J53" s="406">
        <f t="shared" si="25"/>
        <v>2531.9530955600385</v>
      </c>
      <c r="K53" s="406">
        <f t="shared" si="25"/>
        <v>3335.623877817924</v>
      </c>
      <c r="L53" s="406">
        <f t="shared" si="25"/>
        <v>2299.2928867510477</v>
      </c>
      <c r="M53" s="406">
        <f t="shared" si="25"/>
        <v>2729.501474076209</v>
      </c>
      <c r="N53" s="406">
        <f t="shared" si="25"/>
        <v>3132.4008600625098</v>
      </c>
      <c r="O53" s="406">
        <f t="shared" si="25"/>
        <v>3173.1873295945738</v>
      </c>
      <c r="P53" s="406">
        <f t="shared" si="25"/>
        <v>3225.6777425575779</v>
      </c>
      <c r="Q53" s="406">
        <f t="shared" si="25"/>
        <v>2861.791501341077</v>
      </c>
      <c r="R53" s="409">
        <f t="shared" si="27"/>
        <v>32000.000000000004</v>
      </c>
      <c r="S53" s="138">
        <f t="shared" si="28"/>
        <v>0</v>
      </c>
      <c r="T53" s="152"/>
      <c r="U53" s="152"/>
      <c r="V53" s="152"/>
      <c r="W53" s="152"/>
      <c r="X53" s="152"/>
      <c r="Y53" s="152"/>
      <c r="Z53" s="152"/>
      <c r="AA53" s="641"/>
      <c r="AB53" s="641"/>
      <c r="AC53" s="641"/>
      <c r="AD53" s="641"/>
      <c r="AE53" s="641"/>
      <c r="AF53" s="641"/>
      <c r="AG53" s="641"/>
      <c r="AH53" s="641"/>
      <c r="AI53" s="641"/>
      <c r="AJ53" s="641"/>
      <c r="AK53" s="641"/>
      <c r="AL53" s="641"/>
      <c r="AM53" s="641"/>
      <c r="AN53" s="642"/>
      <c r="AO53" s="144"/>
      <c r="AP53" s="155"/>
      <c r="AQ53" s="155"/>
      <c r="AR53" s="155"/>
      <c r="AS53" s="155"/>
      <c r="AT53" s="155"/>
      <c r="AU53" s="155"/>
      <c r="AV53" s="155"/>
      <c r="AW53" s="155"/>
      <c r="AX53" s="155"/>
    </row>
    <row r="54" spans="1:50" s="92" customFormat="1" x14ac:dyDescent="0.2">
      <c r="A54" s="87">
        <v>41365.021000000001</v>
      </c>
      <c r="B54" s="15" t="s">
        <v>10</v>
      </c>
      <c r="C54" s="14">
        <f>[6]Pharmacy!$J$27</f>
        <v>26040</v>
      </c>
      <c r="D54" s="143">
        <f t="shared" si="24"/>
        <v>0.28860860505840891</v>
      </c>
      <c r="E54" s="120"/>
      <c r="F54" s="406">
        <f t="shared" si="25"/>
        <v>1771.7682264535722</v>
      </c>
      <c r="G54" s="406">
        <f t="shared" si="26"/>
        <v>1647.3779176733981</v>
      </c>
      <c r="H54" s="406">
        <f t="shared" si="26"/>
        <v>1628.9069669496598</v>
      </c>
      <c r="I54" s="406">
        <f t="shared" si="26"/>
        <v>2040.1742291578926</v>
      </c>
      <c r="J54" s="406">
        <f t="shared" si="26"/>
        <v>2060.376831511981</v>
      </c>
      <c r="K54" s="406">
        <f t="shared" si="26"/>
        <v>2714.3639305743359</v>
      </c>
      <c r="L54" s="406">
        <f t="shared" si="26"/>
        <v>1871.049586593665</v>
      </c>
      <c r="M54" s="406">
        <f t="shared" si="26"/>
        <v>2221.1318245295151</v>
      </c>
      <c r="N54" s="406">
        <f t="shared" si="26"/>
        <v>2548.9911998758676</v>
      </c>
      <c r="O54" s="406">
        <f t="shared" si="26"/>
        <v>2582.1811894575844</v>
      </c>
      <c r="P54" s="406">
        <f t="shared" si="26"/>
        <v>2624.895263006229</v>
      </c>
      <c r="Q54" s="406">
        <f t="shared" si="26"/>
        <v>2328.7828342163016</v>
      </c>
      <c r="R54" s="409">
        <f t="shared" si="20"/>
        <v>26040.000000000004</v>
      </c>
      <c r="S54" s="138">
        <f t="shared" si="7"/>
        <v>0</v>
      </c>
      <c r="T54" s="152"/>
      <c r="U54" s="152"/>
      <c r="V54" s="152"/>
      <c r="W54" s="152"/>
      <c r="X54" s="152"/>
      <c r="Y54" s="152"/>
      <c r="Z54" s="152"/>
      <c r="AA54" s="153"/>
      <c r="AB54" s="153"/>
      <c r="AC54" s="153"/>
      <c r="AD54" s="153"/>
      <c r="AE54" s="153"/>
      <c r="AF54" s="153"/>
      <c r="AG54" s="153"/>
      <c r="AH54" s="153"/>
      <c r="AI54" s="153"/>
      <c r="AJ54" s="153"/>
      <c r="AK54" s="153"/>
      <c r="AL54" s="153"/>
      <c r="AM54" s="153"/>
      <c r="AN54" s="154"/>
      <c r="AO54" s="144"/>
      <c r="AP54" s="155"/>
      <c r="AQ54" s="155"/>
      <c r="AR54" s="155"/>
      <c r="AS54" s="155"/>
      <c r="AT54" s="155"/>
      <c r="AU54" s="155"/>
      <c r="AV54" s="155"/>
      <c r="AW54" s="155"/>
      <c r="AX54" s="155"/>
    </row>
    <row r="55" spans="1:50" s="92" customFormat="1" x14ac:dyDescent="0.2">
      <c r="A55" s="87">
        <v>41423.021000000001</v>
      </c>
      <c r="B55" s="15" t="s">
        <v>419</v>
      </c>
      <c r="C55" s="14">
        <f>[6]Pharmacy!$J$28</f>
        <v>340</v>
      </c>
      <c r="D55" s="143">
        <f t="shared" si="24"/>
        <v>3.7683151198102541E-3</v>
      </c>
      <c r="E55" s="120"/>
      <c r="F55" s="406">
        <f t="shared" si="25"/>
        <v>23.133686520515148</v>
      </c>
      <c r="G55" s="406">
        <f t="shared" si="26"/>
        <v>21.509542703876932</v>
      </c>
      <c r="H55" s="406">
        <f t="shared" si="26"/>
        <v>21.268370536209073</v>
      </c>
      <c r="I55" s="406">
        <f t="shared" si="26"/>
        <v>26.638219581938685</v>
      </c>
      <c r="J55" s="406">
        <f t="shared" si="26"/>
        <v>26.902001640325405</v>
      </c>
      <c r="K55" s="406">
        <f t="shared" si="26"/>
        <v>35.44100370181544</v>
      </c>
      <c r="L55" s="406">
        <f t="shared" si="26"/>
        <v>24.429986921729878</v>
      </c>
      <c r="M55" s="406">
        <f t="shared" si="26"/>
        <v>29.000953162059716</v>
      </c>
      <c r="N55" s="406">
        <f t="shared" si="26"/>
        <v>33.281759138164162</v>
      </c>
      <c r="O55" s="406">
        <f t="shared" si="26"/>
        <v>33.715115376942343</v>
      </c>
      <c r="P55" s="406">
        <f t="shared" si="26"/>
        <v>34.272826014674258</v>
      </c>
      <c r="Q55" s="406">
        <f t="shared" si="26"/>
        <v>30.406534701748939</v>
      </c>
      <c r="R55" s="409">
        <f t="shared" si="20"/>
        <v>339.99999999999989</v>
      </c>
      <c r="S55" s="138">
        <f t="shared" si="7"/>
        <v>0</v>
      </c>
      <c r="T55" s="152"/>
      <c r="U55" s="152"/>
      <c r="V55" s="152"/>
      <c r="W55" s="152"/>
      <c r="X55" s="152"/>
      <c r="Y55" s="152"/>
      <c r="Z55" s="152"/>
      <c r="AA55" s="153"/>
      <c r="AB55" s="153"/>
      <c r="AC55" s="153"/>
      <c r="AD55" s="153"/>
      <c r="AE55" s="153"/>
      <c r="AF55" s="153"/>
      <c r="AG55" s="153"/>
      <c r="AH55" s="153"/>
      <c r="AI55" s="153"/>
      <c r="AJ55" s="153"/>
      <c r="AK55" s="153"/>
      <c r="AL55" s="153"/>
      <c r="AM55" s="153"/>
      <c r="AN55" s="154"/>
      <c r="AO55" s="144"/>
      <c r="AP55" s="155"/>
      <c r="AQ55" s="155"/>
      <c r="AR55" s="155"/>
      <c r="AS55" s="155"/>
      <c r="AT55" s="155"/>
      <c r="AU55" s="155"/>
      <c r="AV55" s="155"/>
      <c r="AW55" s="155"/>
      <c r="AX55" s="155"/>
    </row>
    <row r="56" spans="1:50" s="92" customFormat="1" x14ac:dyDescent="0.2">
      <c r="A56" s="87">
        <v>41426.021000000001</v>
      </c>
      <c r="B56" s="15" t="s">
        <v>8</v>
      </c>
      <c r="C56" s="14"/>
      <c r="D56" s="143">
        <f t="shared" si="24"/>
        <v>0</v>
      </c>
      <c r="E56" s="120"/>
      <c r="F56" s="406">
        <f t="shared" si="25"/>
        <v>0</v>
      </c>
      <c r="G56" s="406">
        <f t="shared" si="26"/>
        <v>0</v>
      </c>
      <c r="H56" s="406">
        <f t="shared" si="26"/>
        <v>0</v>
      </c>
      <c r="I56" s="406">
        <f t="shared" si="26"/>
        <v>0</v>
      </c>
      <c r="J56" s="406">
        <f t="shared" si="26"/>
        <v>0</v>
      </c>
      <c r="K56" s="406">
        <f t="shared" si="26"/>
        <v>0</v>
      </c>
      <c r="L56" s="406">
        <f t="shared" si="26"/>
        <v>0</v>
      </c>
      <c r="M56" s="406">
        <f t="shared" si="26"/>
        <v>0</v>
      </c>
      <c r="N56" s="406">
        <f t="shared" si="26"/>
        <v>0</v>
      </c>
      <c r="O56" s="406">
        <f t="shared" si="26"/>
        <v>0</v>
      </c>
      <c r="P56" s="406">
        <f t="shared" si="26"/>
        <v>0</v>
      </c>
      <c r="Q56" s="406">
        <f t="shared" si="26"/>
        <v>0</v>
      </c>
      <c r="R56" s="409">
        <f t="shared" si="20"/>
        <v>0</v>
      </c>
      <c r="S56" s="138">
        <f t="shared" si="7"/>
        <v>0</v>
      </c>
      <c r="T56" s="152"/>
      <c r="U56" s="152"/>
      <c r="V56" s="152"/>
      <c r="W56" s="152"/>
      <c r="X56" s="152"/>
      <c r="Y56" s="152"/>
      <c r="Z56" s="152"/>
      <c r="AA56" s="153"/>
      <c r="AB56" s="153"/>
      <c r="AC56" s="153"/>
      <c r="AD56" s="153"/>
      <c r="AE56" s="153"/>
      <c r="AF56" s="153"/>
      <c r="AG56" s="153"/>
      <c r="AH56" s="153"/>
      <c r="AI56" s="153"/>
      <c r="AJ56" s="153"/>
      <c r="AK56" s="153"/>
      <c r="AL56" s="153"/>
      <c r="AM56" s="153"/>
      <c r="AN56" s="154"/>
      <c r="AO56" s="144"/>
      <c r="AP56" s="155"/>
      <c r="AQ56" s="155"/>
      <c r="AR56" s="155"/>
      <c r="AS56" s="155"/>
      <c r="AT56" s="155"/>
      <c r="AU56" s="155"/>
      <c r="AV56" s="155"/>
      <c r="AW56" s="155"/>
      <c r="AX56" s="155"/>
    </row>
    <row r="57" spans="1:50" s="92" customFormat="1" x14ac:dyDescent="0.2">
      <c r="A57" s="87">
        <v>41440.021000000001</v>
      </c>
      <c r="B57" s="15" t="s">
        <v>7</v>
      </c>
      <c r="C57" s="14">
        <v>0</v>
      </c>
      <c r="D57" s="143">
        <f t="shared" si="24"/>
        <v>0</v>
      </c>
      <c r="E57" s="120"/>
      <c r="F57" s="406">
        <f t="shared" si="25"/>
        <v>0</v>
      </c>
      <c r="G57" s="406">
        <f t="shared" si="26"/>
        <v>0</v>
      </c>
      <c r="H57" s="406">
        <f t="shared" si="26"/>
        <v>0</v>
      </c>
      <c r="I57" s="406">
        <f t="shared" si="26"/>
        <v>0</v>
      </c>
      <c r="J57" s="406">
        <f t="shared" si="26"/>
        <v>0</v>
      </c>
      <c r="K57" s="406">
        <f t="shared" si="26"/>
        <v>0</v>
      </c>
      <c r="L57" s="406">
        <f t="shared" si="26"/>
        <v>0</v>
      </c>
      <c r="M57" s="406">
        <f t="shared" si="26"/>
        <v>0</v>
      </c>
      <c r="N57" s="406">
        <f t="shared" si="26"/>
        <v>0</v>
      </c>
      <c r="O57" s="406">
        <f t="shared" si="26"/>
        <v>0</v>
      </c>
      <c r="P57" s="406">
        <f t="shared" si="26"/>
        <v>0</v>
      </c>
      <c r="Q57" s="406">
        <f t="shared" si="26"/>
        <v>0</v>
      </c>
      <c r="R57" s="409">
        <f t="shared" si="20"/>
        <v>0</v>
      </c>
      <c r="S57" s="138">
        <f t="shared" si="7"/>
        <v>0</v>
      </c>
      <c r="T57" s="152"/>
      <c r="U57" s="152"/>
      <c r="V57" s="152"/>
      <c r="W57" s="152"/>
      <c r="X57" s="152"/>
      <c r="Y57" s="152"/>
      <c r="Z57" s="152"/>
      <c r="AA57" s="153"/>
      <c r="AB57" s="153"/>
      <c r="AC57" s="153"/>
      <c r="AD57" s="153"/>
      <c r="AE57" s="153"/>
      <c r="AF57" s="153"/>
      <c r="AG57" s="153"/>
      <c r="AH57" s="153"/>
      <c r="AI57" s="153"/>
      <c r="AJ57" s="153"/>
      <c r="AK57" s="153"/>
      <c r="AL57" s="153"/>
      <c r="AM57" s="153"/>
      <c r="AN57" s="154"/>
      <c r="AO57" s="144"/>
      <c r="AP57" s="155"/>
      <c r="AQ57" s="155"/>
      <c r="AR57" s="155"/>
      <c r="AS57" s="155"/>
      <c r="AT57" s="155"/>
      <c r="AU57" s="155"/>
      <c r="AV57" s="155"/>
      <c r="AW57" s="155"/>
      <c r="AX57" s="155"/>
    </row>
    <row r="58" spans="1:50" s="92" customFormat="1" x14ac:dyDescent="0.2">
      <c r="A58" s="87">
        <v>41460.021000000001</v>
      </c>
      <c r="B58" s="15" t="s">
        <v>6</v>
      </c>
      <c r="C58" s="14">
        <f>[6]Pharmacy!$J$29</f>
        <v>175</v>
      </c>
      <c r="D58" s="143">
        <f t="shared" si="24"/>
        <v>1.9395739587258663E-3</v>
      </c>
      <c r="E58" s="120"/>
      <c r="F58" s="406">
        <f t="shared" si="25"/>
        <v>11.907044532618093</v>
      </c>
      <c r="G58" s="406">
        <f t="shared" si="26"/>
        <v>11.071088156407244</v>
      </c>
      <c r="H58" s="406">
        <f t="shared" si="26"/>
        <v>10.94695542304879</v>
      </c>
      <c r="I58" s="406">
        <f t="shared" si="26"/>
        <v>13.710848314233148</v>
      </c>
      <c r="J58" s="406">
        <f t="shared" si="26"/>
        <v>13.846618491343959</v>
      </c>
      <c r="K58" s="406">
        <f t="shared" si="26"/>
        <v>18.241693081816774</v>
      </c>
      <c r="L58" s="406">
        <f t="shared" si="26"/>
        <v>12.57425797441979</v>
      </c>
      <c r="M58" s="406">
        <f t="shared" si="26"/>
        <v>14.926961186354267</v>
      </c>
      <c r="N58" s="406">
        <f t="shared" si="26"/>
        <v>17.130317203466852</v>
      </c>
      <c r="O58" s="406">
        <f t="shared" si="26"/>
        <v>17.353368208720326</v>
      </c>
      <c r="P58" s="406">
        <f t="shared" si="26"/>
        <v>17.640425154611755</v>
      </c>
      <c r="Q58" s="406">
        <f t="shared" si="26"/>
        <v>15.650422272959014</v>
      </c>
      <c r="R58" s="409">
        <f t="shared" si="20"/>
        <v>175.00000000000003</v>
      </c>
      <c r="S58" s="138">
        <f t="shared" si="7"/>
        <v>0</v>
      </c>
      <c r="T58" s="152"/>
      <c r="U58" s="152"/>
      <c r="V58" s="152"/>
      <c r="W58" s="152"/>
      <c r="X58" s="152"/>
      <c r="Y58" s="152"/>
      <c r="Z58" s="152"/>
      <c r="AA58" s="153"/>
      <c r="AB58" s="153"/>
      <c r="AC58" s="153"/>
      <c r="AD58" s="153"/>
      <c r="AE58" s="153"/>
      <c r="AF58" s="153"/>
      <c r="AG58" s="153"/>
      <c r="AH58" s="153"/>
      <c r="AI58" s="153"/>
      <c r="AJ58" s="153"/>
      <c r="AK58" s="153"/>
      <c r="AL58" s="153"/>
      <c r="AM58" s="153"/>
      <c r="AN58" s="154"/>
      <c r="AO58" s="144"/>
      <c r="AP58" s="155"/>
      <c r="AQ58" s="155"/>
      <c r="AR58" s="155"/>
      <c r="AS58" s="155"/>
      <c r="AT58" s="155"/>
      <c r="AU58" s="155"/>
      <c r="AV58" s="155"/>
      <c r="AW58" s="155"/>
      <c r="AX58" s="155"/>
    </row>
    <row r="59" spans="1:50" s="92" customFormat="1" x14ac:dyDescent="0.2">
      <c r="A59" s="87">
        <v>41509.021000000001</v>
      </c>
      <c r="B59" s="15" t="s">
        <v>3</v>
      </c>
      <c r="C59" s="14">
        <f>[6]Pharmacy!$J$30</f>
        <v>19800</v>
      </c>
      <c r="D59" s="143">
        <f t="shared" si="24"/>
        <v>0.21944893933012657</v>
      </c>
      <c r="E59" s="120"/>
      <c r="F59" s="406">
        <f t="shared" si="25"/>
        <v>1347.197038547647</v>
      </c>
      <c r="G59" s="406">
        <f t="shared" si="25"/>
        <v>1252.6145456963625</v>
      </c>
      <c r="H59" s="406">
        <f t="shared" si="25"/>
        <v>1238.5698135792343</v>
      </c>
      <c r="I59" s="406">
        <f t="shared" si="25"/>
        <v>1551.2845521246647</v>
      </c>
      <c r="J59" s="406">
        <f t="shared" si="25"/>
        <v>1566.6459778777737</v>
      </c>
      <c r="K59" s="406">
        <f t="shared" si="25"/>
        <v>2063.9172743998406</v>
      </c>
      <c r="L59" s="406">
        <f t="shared" si="25"/>
        <v>1422.6874736772106</v>
      </c>
      <c r="M59" s="406">
        <f t="shared" si="25"/>
        <v>1688.8790370846541</v>
      </c>
      <c r="N59" s="406">
        <f t="shared" si="25"/>
        <v>1938.1730321636778</v>
      </c>
      <c r="O59" s="406">
        <f t="shared" si="25"/>
        <v>1963.4096601866424</v>
      </c>
      <c r="P59" s="406">
        <f t="shared" si="25"/>
        <v>1995.8881032075012</v>
      </c>
      <c r="Q59" s="406">
        <f t="shared" si="25"/>
        <v>1770.7334914547914</v>
      </c>
      <c r="R59" s="409">
        <f t="shared" si="20"/>
        <v>19800</v>
      </c>
      <c r="S59" s="138">
        <f t="shared" si="7"/>
        <v>0</v>
      </c>
      <c r="T59" s="152"/>
      <c r="U59" s="152"/>
      <c r="V59" s="152"/>
      <c r="W59" s="152"/>
      <c r="X59" s="152"/>
      <c r="Y59" s="152"/>
      <c r="Z59" s="152"/>
      <c r="AA59" s="153"/>
      <c r="AB59" s="153"/>
      <c r="AC59" s="153"/>
      <c r="AD59" s="153"/>
      <c r="AE59" s="153"/>
      <c r="AF59" s="153"/>
      <c r="AG59" s="153"/>
      <c r="AH59" s="153"/>
      <c r="AI59" s="153"/>
      <c r="AJ59" s="153"/>
      <c r="AK59" s="153"/>
      <c r="AL59" s="153"/>
      <c r="AM59" s="153"/>
      <c r="AN59" s="154"/>
      <c r="AO59" s="144"/>
      <c r="AP59" s="155"/>
      <c r="AQ59" s="155"/>
      <c r="AR59" s="155"/>
      <c r="AS59" s="155"/>
      <c r="AT59" s="155"/>
      <c r="AU59" s="155"/>
      <c r="AV59" s="155"/>
      <c r="AW59" s="155"/>
      <c r="AX59" s="155"/>
    </row>
    <row r="60" spans="1:50" s="92" customFormat="1" x14ac:dyDescent="0.2">
      <c r="A60" s="87">
        <v>41560.021000000001</v>
      </c>
      <c r="B60" s="15" t="s">
        <v>420</v>
      </c>
      <c r="C60" s="14">
        <v>0</v>
      </c>
      <c r="D60" s="143">
        <f t="shared" si="24"/>
        <v>0</v>
      </c>
      <c r="E60" s="120"/>
      <c r="F60" s="406">
        <f t="shared" si="25"/>
        <v>0</v>
      </c>
      <c r="G60" s="406">
        <f t="shared" si="25"/>
        <v>0</v>
      </c>
      <c r="H60" s="406">
        <f t="shared" si="25"/>
        <v>0</v>
      </c>
      <c r="I60" s="406">
        <f t="shared" si="25"/>
        <v>0</v>
      </c>
      <c r="J60" s="406">
        <f t="shared" si="25"/>
        <v>0</v>
      </c>
      <c r="K60" s="406">
        <f t="shared" si="25"/>
        <v>0</v>
      </c>
      <c r="L60" s="406">
        <f t="shared" si="25"/>
        <v>0</v>
      </c>
      <c r="M60" s="406">
        <f t="shared" si="25"/>
        <v>0</v>
      </c>
      <c r="N60" s="406">
        <f t="shared" si="25"/>
        <v>0</v>
      </c>
      <c r="O60" s="406">
        <f t="shared" si="25"/>
        <v>0</v>
      </c>
      <c r="P60" s="406">
        <f t="shared" si="25"/>
        <v>0</v>
      </c>
      <c r="Q60" s="406">
        <f t="shared" si="25"/>
        <v>0</v>
      </c>
      <c r="R60" s="409">
        <f t="shared" si="20"/>
        <v>0</v>
      </c>
      <c r="S60" s="138">
        <f t="shared" si="7"/>
        <v>0</v>
      </c>
      <c r="T60" s="152"/>
      <c r="U60" s="152"/>
      <c r="V60" s="152"/>
      <c r="W60" s="152"/>
      <c r="X60" s="152"/>
      <c r="Y60" s="152"/>
      <c r="Z60" s="152"/>
      <c r="AA60" s="153"/>
      <c r="AB60" s="153"/>
      <c r="AC60" s="153"/>
      <c r="AD60" s="153"/>
      <c r="AE60" s="153"/>
      <c r="AF60" s="153"/>
      <c r="AG60" s="153"/>
      <c r="AH60" s="153"/>
      <c r="AI60" s="153"/>
      <c r="AJ60" s="153"/>
      <c r="AK60" s="153"/>
      <c r="AL60" s="153"/>
      <c r="AM60" s="153"/>
      <c r="AN60" s="154"/>
      <c r="AO60" s="144"/>
      <c r="AP60" s="155"/>
      <c r="AQ60" s="155"/>
      <c r="AR60" s="155"/>
      <c r="AS60" s="155"/>
      <c r="AT60" s="155"/>
      <c r="AU60" s="155"/>
      <c r="AV60" s="155"/>
      <c r="AW60" s="155"/>
      <c r="AX60" s="155"/>
    </row>
    <row r="61" spans="1:50" s="92" customFormat="1" x14ac:dyDescent="0.2">
      <c r="A61" s="87">
        <v>41570.021000000001</v>
      </c>
      <c r="B61" s="15" t="s">
        <v>2</v>
      </c>
      <c r="C61" s="14"/>
      <c r="D61" s="143">
        <f t="shared" si="24"/>
        <v>0</v>
      </c>
      <c r="E61" s="120"/>
      <c r="F61" s="406">
        <f t="shared" si="25"/>
        <v>0</v>
      </c>
      <c r="G61" s="406">
        <f t="shared" si="25"/>
        <v>0</v>
      </c>
      <c r="H61" s="406">
        <f t="shared" si="25"/>
        <v>0</v>
      </c>
      <c r="I61" s="406">
        <f t="shared" si="25"/>
        <v>0</v>
      </c>
      <c r="J61" s="406">
        <f t="shared" si="25"/>
        <v>0</v>
      </c>
      <c r="K61" s="406">
        <f t="shared" si="25"/>
        <v>0</v>
      </c>
      <c r="L61" s="406">
        <f t="shared" si="25"/>
        <v>0</v>
      </c>
      <c r="M61" s="406">
        <f t="shared" si="25"/>
        <v>0</v>
      </c>
      <c r="N61" s="406">
        <f t="shared" si="25"/>
        <v>0</v>
      </c>
      <c r="O61" s="406">
        <f t="shared" si="25"/>
        <v>0</v>
      </c>
      <c r="P61" s="406">
        <f t="shared" si="25"/>
        <v>0</v>
      </c>
      <c r="Q61" s="406">
        <f t="shared" si="25"/>
        <v>0</v>
      </c>
      <c r="R61" s="409">
        <f t="shared" si="20"/>
        <v>0</v>
      </c>
      <c r="S61" s="138">
        <f t="shared" si="7"/>
        <v>0</v>
      </c>
      <c r="T61" s="152"/>
      <c r="U61" s="152"/>
      <c r="V61" s="152"/>
      <c r="W61" s="152"/>
      <c r="X61" s="152"/>
      <c r="Y61" s="152"/>
      <c r="Z61" s="152"/>
      <c r="AA61" s="153"/>
      <c r="AB61" s="153"/>
      <c r="AC61" s="153"/>
      <c r="AD61" s="153"/>
      <c r="AE61" s="153"/>
      <c r="AF61" s="153"/>
      <c r="AG61" s="153"/>
      <c r="AH61" s="153"/>
      <c r="AI61" s="153"/>
      <c r="AJ61" s="153"/>
      <c r="AK61" s="153"/>
      <c r="AL61" s="153"/>
      <c r="AM61" s="153"/>
      <c r="AN61" s="154"/>
      <c r="AO61" s="144"/>
      <c r="AP61" s="155"/>
      <c r="AQ61" s="155"/>
      <c r="AR61" s="155"/>
      <c r="AS61" s="155"/>
      <c r="AT61" s="155"/>
      <c r="AU61" s="155"/>
      <c r="AV61" s="155"/>
      <c r="AW61" s="155"/>
      <c r="AX61" s="155"/>
    </row>
    <row r="62" spans="1:50" s="92" customFormat="1" x14ac:dyDescent="0.2">
      <c r="A62" s="87">
        <v>41571.021000000001</v>
      </c>
      <c r="B62" s="15" t="s">
        <v>1</v>
      </c>
      <c r="C62" s="14">
        <f>[6]Pharmacy!$J$31</f>
        <v>8100</v>
      </c>
      <c r="D62" s="143">
        <f t="shared" si="24"/>
        <v>8.9774566089597232E-2</v>
      </c>
      <c r="E62" s="120"/>
      <c r="F62" s="406">
        <f t="shared" si="25"/>
        <v>551.12606122403736</v>
      </c>
      <c r="G62" s="406">
        <f t="shared" si="25"/>
        <v>512.43322323942095</v>
      </c>
      <c r="H62" s="406">
        <f t="shared" si="25"/>
        <v>506.68765100968676</v>
      </c>
      <c r="I62" s="406">
        <f t="shared" si="25"/>
        <v>634.61640768736288</v>
      </c>
      <c r="J62" s="406">
        <f t="shared" si="25"/>
        <v>640.90062731363469</v>
      </c>
      <c r="K62" s="406">
        <f t="shared" si="25"/>
        <v>844.32979407266203</v>
      </c>
      <c r="L62" s="406">
        <f t="shared" si="25"/>
        <v>582.00851195885889</v>
      </c>
      <c r="M62" s="406">
        <f t="shared" si="25"/>
        <v>690.90506062554027</v>
      </c>
      <c r="N62" s="406">
        <f t="shared" si="25"/>
        <v>792.88896770332281</v>
      </c>
      <c r="O62" s="406">
        <f t="shared" si="25"/>
        <v>803.21304280362642</v>
      </c>
      <c r="P62" s="406">
        <f t="shared" si="25"/>
        <v>816.49967858488685</v>
      </c>
      <c r="Q62" s="406">
        <f t="shared" si="25"/>
        <v>724.3909737769601</v>
      </c>
      <c r="R62" s="409">
        <f t="shared" si="20"/>
        <v>8100.0000000000009</v>
      </c>
      <c r="S62" s="138">
        <f t="shared" si="7"/>
        <v>0</v>
      </c>
      <c r="T62" s="152"/>
      <c r="U62" s="152"/>
      <c r="V62" s="152"/>
      <c r="W62" s="152"/>
      <c r="X62" s="152"/>
      <c r="Y62" s="152"/>
      <c r="Z62" s="152"/>
      <c r="AA62" s="153"/>
      <c r="AB62" s="153"/>
      <c r="AC62" s="153"/>
      <c r="AD62" s="153"/>
      <c r="AE62" s="153"/>
      <c r="AF62" s="153"/>
      <c r="AG62" s="153"/>
      <c r="AH62" s="153"/>
      <c r="AI62" s="153"/>
      <c r="AJ62" s="153"/>
      <c r="AK62" s="153"/>
      <c r="AL62" s="153"/>
      <c r="AM62" s="153"/>
      <c r="AN62" s="154"/>
      <c r="AO62" s="144"/>
      <c r="AP62" s="155"/>
      <c r="AQ62" s="155"/>
      <c r="AR62" s="155"/>
      <c r="AS62" s="155"/>
      <c r="AT62" s="155"/>
      <c r="AU62" s="155"/>
      <c r="AV62" s="155"/>
      <c r="AW62" s="155"/>
      <c r="AX62" s="155"/>
    </row>
    <row r="63" spans="1:50" s="159" customFormat="1" x14ac:dyDescent="0.2">
      <c r="A63" s="11"/>
      <c r="B63" s="10" t="s">
        <v>0</v>
      </c>
      <c r="C63" s="88">
        <f>SUM(C39:C62)</f>
        <v>581650.39447760349</v>
      </c>
      <c r="D63" s="145">
        <f>C63/(C$2+C$3)</f>
        <v>6.4465940469222121</v>
      </c>
      <c r="E63" s="128"/>
      <c r="F63" s="407">
        <f>SUM(F39:F62)</f>
        <v>45264.311413376679</v>
      </c>
      <c r="G63" s="407">
        <f t="shared" ref="G63:Q63" si="29">SUM(G39:G62)</f>
        <v>41844.5869832518</v>
      </c>
      <c r="H63" s="407">
        <f t="shared" si="29"/>
        <v>43016.779666460592</v>
      </c>
      <c r="I63" s="407">
        <f t="shared" si="29"/>
        <v>46902.887871600302</v>
      </c>
      <c r="J63" s="407">
        <f t="shared" si="29"/>
        <v>45223.514913988729</v>
      </c>
      <c r="K63" s="407">
        <f t="shared" si="29"/>
        <v>54731.466618065017</v>
      </c>
      <c r="L63" s="407">
        <f t="shared" si="29"/>
        <v>45791.842809319045</v>
      </c>
      <c r="M63" s="407">
        <f t="shared" si="29"/>
        <v>51105.617825052563</v>
      </c>
      <c r="N63" s="407">
        <f t="shared" si="29"/>
        <v>53633.292123802203</v>
      </c>
      <c r="O63" s="407">
        <f t="shared" si="29"/>
        <v>50916.010726192879</v>
      </c>
      <c r="P63" s="407">
        <f t="shared" si="29"/>
        <v>53654.391373718361</v>
      </c>
      <c r="Q63" s="407">
        <f t="shared" si="29"/>
        <v>49565.6921527753</v>
      </c>
      <c r="R63" s="409">
        <f>SUM(R39:R62)</f>
        <v>581650.39447760349</v>
      </c>
      <c r="S63" s="138">
        <f t="shared" si="7"/>
        <v>0</v>
      </c>
      <c r="T63" s="156"/>
      <c r="U63" s="156"/>
      <c r="V63" s="156"/>
      <c r="W63" s="156"/>
      <c r="X63" s="156"/>
      <c r="Y63" s="156"/>
      <c r="Z63" s="156"/>
      <c r="AA63" s="157"/>
      <c r="AB63" s="157"/>
      <c r="AC63" s="157"/>
      <c r="AD63" s="157"/>
      <c r="AE63" s="157"/>
      <c r="AF63" s="157"/>
      <c r="AG63" s="157"/>
      <c r="AH63" s="157"/>
      <c r="AI63" s="157"/>
      <c r="AJ63" s="157"/>
      <c r="AK63" s="157"/>
      <c r="AL63" s="157"/>
      <c r="AM63" s="157"/>
      <c r="AN63" s="154"/>
      <c r="AO63" s="144"/>
      <c r="AP63" s="158"/>
      <c r="AQ63" s="158"/>
      <c r="AR63" s="158"/>
      <c r="AS63" s="158"/>
      <c r="AT63" s="158"/>
      <c r="AU63" s="158"/>
      <c r="AV63" s="158"/>
      <c r="AW63" s="158"/>
      <c r="AX63" s="158"/>
    </row>
    <row r="64" spans="1:50" x14ac:dyDescent="0.2">
      <c r="A64" s="133"/>
      <c r="B64" s="133"/>
      <c r="C64" s="142">
        <f>C63-C35</f>
        <v>-444256.89267542737</v>
      </c>
      <c r="D64" s="134"/>
      <c r="E64" s="134"/>
      <c r="F64" s="142"/>
      <c r="G64" s="142"/>
      <c r="H64" s="142"/>
      <c r="I64" s="142"/>
      <c r="J64" s="142"/>
      <c r="K64" s="138"/>
      <c r="L64" s="138"/>
      <c r="M64" s="138"/>
      <c r="N64" s="138"/>
      <c r="O64" s="138"/>
      <c r="P64" s="138"/>
      <c r="Q64" s="138"/>
      <c r="R64" s="133"/>
      <c r="S64" s="138">
        <f t="shared" si="7"/>
        <v>-444256.89267542737</v>
      </c>
      <c r="T64" s="133"/>
      <c r="U64" s="133"/>
      <c r="V64" s="133"/>
      <c r="W64" s="133"/>
      <c r="X64" s="133"/>
      <c r="Y64" s="133"/>
      <c r="Z64" s="133"/>
      <c r="AB64" s="2"/>
      <c r="AC64" s="2"/>
      <c r="AD64" s="2"/>
      <c r="AE64" s="2"/>
      <c r="AF64" s="2"/>
      <c r="AG64" s="2"/>
      <c r="AH64" s="2"/>
      <c r="AI64" s="2"/>
      <c r="AJ64" s="2"/>
      <c r="AK64" s="2"/>
      <c r="AL64" s="2"/>
      <c r="AM64" s="2"/>
      <c r="AN64" s="2"/>
      <c r="AO64" s="144"/>
      <c r="AP64" s="135"/>
      <c r="AQ64" s="135"/>
      <c r="AR64" s="135"/>
      <c r="AS64" s="135"/>
      <c r="AT64" s="135"/>
      <c r="AU64" s="135"/>
      <c r="AV64" s="135"/>
      <c r="AW64" s="135"/>
      <c r="AX64" s="135"/>
    </row>
    <row r="65" spans="1:50" x14ac:dyDescent="0.2">
      <c r="A65" s="134"/>
      <c r="B65" s="133"/>
      <c r="C65" s="142"/>
      <c r="D65" s="134"/>
      <c r="E65" s="134"/>
      <c r="F65" s="142"/>
      <c r="G65" s="142"/>
      <c r="H65" s="142"/>
      <c r="I65" s="142"/>
      <c r="J65" s="142"/>
      <c r="K65" s="142"/>
      <c r="L65" s="142"/>
      <c r="M65" s="142"/>
      <c r="N65" s="142"/>
      <c r="O65" s="142"/>
      <c r="P65" s="142"/>
      <c r="Q65" s="142"/>
      <c r="R65" s="142"/>
      <c r="S65" s="138"/>
      <c r="T65" s="133"/>
      <c r="U65" s="133"/>
      <c r="V65" s="133"/>
      <c r="W65" s="133"/>
      <c r="X65" s="134"/>
      <c r="Y65" s="133"/>
      <c r="Z65" s="133"/>
      <c r="AB65" s="3"/>
      <c r="AC65" s="3"/>
      <c r="AD65" s="3"/>
      <c r="AE65" s="3"/>
      <c r="AF65" s="3"/>
      <c r="AG65" s="3"/>
      <c r="AH65" s="3"/>
      <c r="AI65" s="3"/>
      <c r="AJ65" s="3"/>
      <c r="AK65" s="3"/>
      <c r="AL65" s="3"/>
      <c r="AM65" s="3"/>
      <c r="AN65" s="96"/>
      <c r="AO65" s="144"/>
      <c r="AP65" s="135"/>
      <c r="AQ65" s="135"/>
      <c r="AR65" s="135"/>
      <c r="AS65" s="135"/>
      <c r="AT65" s="135"/>
      <c r="AU65" s="135"/>
      <c r="AV65" s="135"/>
      <c r="AW65" s="135"/>
      <c r="AX65" s="135"/>
    </row>
    <row r="66" spans="1:50" x14ac:dyDescent="0.2">
      <c r="A66" s="134"/>
      <c r="B66" s="133"/>
      <c r="C66" s="142"/>
      <c r="D66" s="134"/>
      <c r="E66" s="134"/>
      <c r="F66" s="142"/>
      <c r="G66" s="142"/>
      <c r="H66" s="142"/>
      <c r="I66" s="142"/>
      <c r="J66" s="142"/>
      <c r="K66" s="142"/>
      <c r="L66" s="142"/>
      <c r="M66" s="142"/>
      <c r="N66" s="142"/>
      <c r="O66" s="142"/>
      <c r="P66" s="142"/>
      <c r="Q66" s="142"/>
      <c r="R66" s="142"/>
      <c r="S66" s="138"/>
      <c r="T66" s="133"/>
      <c r="U66" s="133"/>
      <c r="V66" s="133"/>
      <c r="W66" s="133"/>
      <c r="X66" s="134"/>
      <c r="Y66" s="133"/>
      <c r="Z66" s="133"/>
      <c r="AB66" s="3"/>
      <c r="AC66" s="3"/>
      <c r="AD66" s="3"/>
      <c r="AE66" s="3"/>
      <c r="AF66" s="3"/>
      <c r="AG66" s="3"/>
      <c r="AH66" s="3"/>
      <c r="AI66" s="3"/>
      <c r="AJ66" s="3"/>
      <c r="AK66" s="3"/>
      <c r="AL66" s="3"/>
      <c r="AM66" s="3"/>
      <c r="AN66" s="96"/>
      <c r="AO66" s="144"/>
      <c r="AP66" s="135"/>
      <c r="AQ66" s="135"/>
      <c r="AR66" s="135"/>
      <c r="AS66" s="135"/>
      <c r="AT66" s="135"/>
      <c r="AU66" s="135"/>
      <c r="AV66" s="135"/>
      <c r="AW66" s="135"/>
      <c r="AX66" s="135"/>
    </row>
    <row r="67" spans="1:50" x14ac:dyDescent="0.2">
      <c r="A67" s="133"/>
      <c r="B67" s="133"/>
      <c r="C67" s="142"/>
      <c r="D67" s="134"/>
      <c r="E67" s="134"/>
      <c r="F67" s="142"/>
      <c r="G67" s="142"/>
      <c r="H67" s="142"/>
      <c r="I67" s="142"/>
      <c r="J67" s="142"/>
      <c r="K67" s="142"/>
      <c r="L67" s="142"/>
      <c r="M67" s="142"/>
      <c r="N67" s="142"/>
      <c r="O67" s="142"/>
      <c r="P67" s="142"/>
      <c r="Q67" s="142"/>
      <c r="R67" s="142"/>
      <c r="S67" s="138"/>
      <c r="T67" s="133"/>
      <c r="U67" s="133"/>
      <c r="V67" s="133"/>
      <c r="W67" s="133"/>
      <c r="X67" s="133"/>
      <c r="Y67" s="133"/>
      <c r="Z67" s="133"/>
      <c r="AB67" s="3"/>
      <c r="AC67" s="3"/>
      <c r="AD67" s="3"/>
      <c r="AE67" s="3"/>
      <c r="AF67" s="3"/>
      <c r="AG67" s="3"/>
      <c r="AH67" s="3"/>
      <c r="AI67" s="3"/>
      <c r="AJ67" s="3"/>
      <c r="AK67" s="3"/>
      <c r="AL67" s="3"/>
      <c r="AM67" s="3"/>
      <c r="AN67" s="96"/>
      <c r="AO67" s="144"/>
      <c r="AP67" s="135"/>
      <c r="AQ67" s="135"/>
      <c r="AR67" s="135"/>
      <c r="AS67" s="135"/>
      <c r="AT67" s="135"/>
      <c r="AU67" s="135"/>
      <c r="AV67" s="135"/>
      <c r="AW67" s="135"/>
      <c r="AX67" s="135"/>
    </row>
    <row r="68" spans="1:50" x14ac:dyDescent="0.2">
      <c r="A68" s="133"/>
      <c r="B68" s="133"/>
      <c r="C68" s="142"/>
      <c r="D68" s="134"/>
      <c r="E68" s="134"/>
      <c r="F68" s="142"/>
      <c r="G68" s="142"/>
      <c r="H68" s="142"/>
      <c r="I68" s="142"/>
      <c r="J68" s="142"/>
      <c r="K68" s="138"/>
      <c r="L68" s="138"/>
      <c r="M68" s="138"/>
      <c r="N68" s="138"/>
      <c r="O68" s="138"/>
      <c r="P68" s="138"/>
      <c r="Q68" s="138"/>
      <c r="R68" s="133"/>
      <c r="S68" s="138"/>
      <c r="T68" s="133"/>
      <c r="U68" s="133"/>
      <c r="V68" s="133"/>
      <c r="W68" s="133"/>
      <c r="X68" s="133"/>
      <c r="Y68" s="133"/>
      <c r="Z68" s="133"/>
      <c r="AB68" s="2"/>
      <c r="AC68" s="2"/>
      <c r="AD68" s="2"/>
      <c r="AE68" s="2"/>
      <c r="AF68" s="2"/>
      <c r="AG68" s="2"/>
      <c r="AH68" s="2"/>
      <c r="AI68" s="2"/>
      <c r="AJ68" s="2"/>
      <c r="AK68" s="2"/>
      <c r="AL68" s="2"/>
      <c r="AM68" s="2"/>
      <c r="AN68" s="96"/>
      <c r="AO68" s="144"/>
      <c r="AP68" s="135"/>
      <c r="AQ68" s="135"/>
      <c r="AR68" s="135"/>
      <c r="AS68" s="135"/>
      <c r="AT68" s="135"/>
      <c r="AU68" s="135"/>
      <c r="AV68" s="135"/>
      <c r="AW68" s="135"/>
      <c r="AX68" s="135"/>
    </row>
    <row r="69" spans="1:50" x14ac:dyDescent="0.2">
      <c r="A69" s="134"/>
      <c r="B69" s="133"/>
      <c r="C69" s="142"/>
      <c r="D69" s="134"/>
      <c r="E69" s="134"/>
      <c r="F69" s="142"/>
      <c r="G69" s="142"/>
      <c r="H69" s="142"/>
      <c r="I69" s="142"/>
      <c r="J69" s="142"/>
      <c r="K69" s="142"/>
      <c r="L69" s="142"/>
      <c r="M69" s="142"/>
      <c r="N69" s="142"/>
      <c r="O69" s="142"/>
      <c r="P69" s="142"/>
      <c r="Q69" s="142"/>
      <c r="R69" s="138"/>
      <c r="S69" s="138"/>
      <c r="T69" s="133"/>
      <c r="U69" s="133"/>
      <c r="V69" s="133"/>
      <c r="W69" s="133"/>
      <c r="X69" s="134"/>
      <c r="Y69" s="133"/>
      <c r="Z69" s="133"/>
      <c r="AB69" s="3"/>
      <c r="AC69" s="3"/>
      <c r="AD69" s="3"/>
      <c r="AE69" s="3"/>
      <c r="AF69" s="3"/>
      <c r="AG69" s="3"/>
      <c r="AH69" s="3"/>
      <c r="AI69" s="3"/>
      <c r="AJ69" s="3"/>
      <c r="AK69" s="3"/>
      <c r="AL69" s="3"/>
      <c r="AM69" s="3"/>
      <c r="AN69" s="96"/>
      <c r="AO69" s="144"/>
      <c r="AP69" s="135"/>
      <c r="AQ69" s="135"/>
      <c r="AR69" s="135"/>
      <c r="AS69" s="135"/>
      <c r="AT69" s="135"/>
      <c r="AU69" s="135"/>
      <c r="AV69" s="135"/>
      <c r="AW69" s="135"/>
      <c r="AX69" s="135"/>
    </row>
    <row r="70" spans="1:50" x14ac:dyDescent="0.2">
      <c r="A70" s="133"/>
      <c r="B70" s="133"/>
      <c r="C70" s="134"/>
      <c r="D70" s="134"/>
      <c r="E70" s="134"/>
      <c r="F70" s="142"/>
      <c r="G70" s="142"/>
      <c r="H70" s="142"/>
      <c r="I70" s="142"/>
      <c r="J70" s="142"/>
      <c r="K70" s="138"/>
      <c r="L70" s="138"/>
      <c r="M70" s="138"/>
      <c r="N70" s="138"/>
      <c r="O70" s="138"/>
      <c r="P70" s="138"/>
      <c r="Q70" s="138"/>
      <c r="R70" s="133"/>
      <c r="S70" s="138"/>
      <c r="T70" s="133"/>
      <c r="U70" s="133"/>
      <c r="V70" s="133"/>
      <c r="W70" s="133"/>
      <c r="X70" s="133"/>
      <c r="Y70" s="133"/>
      <c r="Z70" s="133"/>
      <c r="AB70" s="2"/>
      <c r="AC70" s="2"/>
      <c r="AD70" s="2"/>
      <c r="AE70" s="2"/>
      <c r="AF70" s="2"/>
      <c r="AG70" s="2"/>
      <c r="AH70" s="2"/>
      <c r="AI70" s="2"/>
      <c r="AJ70" s="2"/>
      <c r="AK70" s="2"/>
      <c r="AL70" s="2"/>
      <c r="AM70" s="2"/>
      <c r="AN70" s="2"/>
      <c r="AO70" s="144"/>
      <c r="AP70" s="135"/>
      <c r="AQ70" s="135"/>
      <c r="AR70" s="135"/>
      <c r="AS70" s="135"/>
      <c r="AT70" s="135"/>
      <c r="AU70" s="135"/>
      <c r="AV70" s="135"/>
      <c r="AW70" s="135"/>
      <c r="AX70" s="135"/>
    </row>
    <row r="71" spans="1:50" x14ac:dyDescent="0.2">
      <c r="A71" s="133"/>
      <c r="B71" s="133"/>
      <c r="C71" s="134"/>
      <c r="D71" s="134"/>
      <c r="E71" s="134"/>
      <c r="F71" s="142"/>
      <c r="G71" s="142"/>
      <c r="H71" s="142"/>
      <c r="I71" s="142"/>
      <c r="J71" s="142"/>
      <c r="K71" s="138"/>
      <c r="L71" s="138"/>
      <c r="M71" s="138"/>
      <c r="N71" s="138"/>
      <c r="O71" s="138"/>
      <c r="P71" s="138"/>
      <c r="Q71" s="138"/>
      <c r="R71" s="133"/>
      <c r="S71" s="138"/>
      <c r="T71" s="133"/>
      <c r="U71" s="133"/>
      <c r="V71" s="133"/>
      <c r="W71" s="133"/>
      <c r="X71" s="133"/>
      <c r="Y71" s="133"/>
      <c r="Z71" s="133"/>
      <c r="AB71" s="2"/>
      <c r="AC71" s="2"/>
      <c r="AD71" s="2"/>
      <c r="AE71" s="2"/>
      <c r="AF71" s="2"/>
      <c r="AG71" s="2"/>
      <c r="AH71" s="2"/>
      <c r="AI71" s="2"/>
      <c r="AJ71" s="2"/>
      <c r="AK71" s="2"/>
      <c r="AL71" s="2"/>
      <c r="AM71" s="2"/>
      <c r="AN71" s="2"/>
      <c r="AO71" s="135"/>
      <c r="AP71" s="135"/>
      <c r="AQ71" s="135"/>
      <c r="AR71" s="135"/>
      <c r="AS71" s="135"/>
      <c r="AT71" s="135"/>
      <c r="AU71" s="135"/>
      <c r="AV71" s="135"/>
      <c r="AW71" s="135"/>
      <c r="AX71" s="135"/>
    </row>
    <row r="72" spans="1:50" x14ac:dyDescent="0.2">
      <c r="A72" s="133"/>
      <c r="B72" s="133"/>
      <c r="C72" s="134"/>
      <c r="D72" s="134"/>
      <c r="E72" s="134"/>
      <c r="F72" s="142"/>
      <c r="G72" s="142"/>
      <c r="H72" s="142"/>
      <c r="I72" s="142"/>
      <c r="J72" s="142"/>
      <c r="K72" s="138"/>
      <c r="L72" s="138"/>
      <c r="M72" s="138"/>
      <c r="N72" s="138"/>
      <c r="O72" s="138"/>
      <c r="P72" s="138"/>
      <c r="Q72" s="138"/>
      <c r="R72" s="133"/>
      <c r="S72" s="138"/>
      <c r="T72" s="133"/>
      <c r="U72" s="133"/>
      <c r="V72" s="133"/>
      <c r="W72" s="133"/>
      <c r="X72" s="133"/>
      <c r="Y72" s="133"/>
      <c r="Z72" s="133"/>
      <c r="AB72" s="2"/>
      <c r="AC72" s="2"/>
      <c r="AD72" s="2"/>
      <c r="AE72" s="2"/>
      <c r="AF72" s="2"/>
      <c r="AG72" s="2"/>
      <c r="AH72" s="2"/>
      <c r="AI72" s="2"/>
      <c r="AJ72" s="2"/>
      <c r="AK72" s="2"/>
      <c r="AL72" s="2"/>
      <c r="AM72" s="2"/>
      <c r="AN72" s="2"/>
      <c r="AO72" s="135"/>
      <c r="AP72" s="135"/>
      <c r="AQ72" s="135"/>
      <c r="AR72" s="135"/>
      <c r="AS72" s="135"/>
      <c r="AT72" s="135"/>
      <c r="AU72" s="135"/>
      <c r="AV72" s="135"/>
      <c r="AW72" s="135"/>
      <c r="AX72" s="135"/>
    </row>
    <row r="73" spans="1:50" x14ac:dyDescent="0.2">
      <c r="A73" s="133"/>
      <c r="B73" s="133"/>
      <c r="C73" s="134"/>
      <c r="D73" s="134"/>
      <c r="E73" s="134"/>
      <c r="F73" s="142"/>
      <c r="G73" s="142"/>
      <c r="H73" s="142"/>
      <c r="I73" s="142"/>
      <c r="J73" s="142"/>
      <c r="K73" s="138"/>
      <c r="L73" s="138"/>
      <c r="M73" s="138"/>
      <c r="N73" s="138"/>
      <c r="O73" s="138"/>
      <c r="P73" s="138"/>
      <c r="Q73" s="138"/>
      <c r="R73" s="133"/>
      <c r="S73" s="138"/>
      <c r="T73" s="133"/>
      <c r="U73" s="133"/>
      <c r="V73" s="133"/>
      <c r="W73" s="133"/>
      <c r="X73" s="133"/>
      <c r="Y73" s="133"/>
      <c r="Z73" s="133"/>
      <c r="AB73" s="2"/>
      <c r="AC73" s="2"/>
      <c r="AD73" s="2"/>
      <c r="AE73" s="2"/>
      <c r="AF73" s="2"/>
      <c r="AG73" s="2"/>
      <c r="AH73" s="2"/>
      <c r="AI73" s="2"/>
      <c r="AJ73" s="2"/>
      <c r="AK73" s="2"/>
      <c r="AL73" s="2"/>
      <c r="AM73" s="2"/>
      <c r="AN73" s="2"/>
      <c r="AO73" s="135"/>
      <c r="AP73" s="135"/>
      <c r="AQ73" s="135"/>
      <c r="AR73" s="135"/>
      <c r="AS73" s="135"/>
      <c r="AT73" s="135"/>
      <c r="AU73" s="135"/>
      <c r="AV73" s="135"/>
      <c r="AW73" s="135"/>
      <c r="AX73" s="135"/>
    </row>
    <row r="74" spans="1:50" x14ac:dyDescent="0.2">
      <c r="A74" s="133"/>
      <c r="B74" s="133"/>
      <c r="C74" s="134"/>
      <c r="D74" s="134"/>
      <c r="E74" s="134"/>
      <c r="F74" s="142"/>
      <c r="G74" s="142"/>
      <c r="H74" s="142"/>
      <c r="I74" s="142"/>
      <c r="J74" s="142"/>
      <c r="K74" s="138"/>
      <c r="L74" s="138"/>
      <c r="M74" s="138"/>
      <c r="N74" s="138"/>
      <c r="O74" s="138"/>
      <c r="P74" s="138"/>
      <c r="Q74" s="138"/>
      <c r="R74" s="133"/>
      <c r="S74" s="138"/>
      <c r="T74" s="133"/>
      <c r="U74" s="133"/>
      <c r="V74" s="133"/>
      <c r="W74" s="133"/>
      <c r="X74" s="133"/>
      <c r="Y74" s="133"/>
      <c r="Z74" s="133"/>
      <c r="AB74" s="2"/>
      <c r="AC74" s="2"/>
      <c r="AD74" s="2"/>
      <c r="AE74" s="2"/>
      <c r="AF74" s="2"/>
      <c r="AG74" s="2"/>
      <c r="AH74" s="2"/>
      <c r="AI74" s="2"/>
      <c r="AJ74" s="2"/>
      <c r="AK74" s="2"/>
      <c r="AL74" s="2"/>
      <c r="AM74" s="2"/>
      <c r="AN74" s="2"/>
      <c r="AO74" s="135"/>
      <c r="AP74" s="135"/>
      <c r="AQ74" s="135"/>
      <c r="AR74" s="135"/>
      <c r="AS74" s="135"/>
      <c r="AT74" s="135"/>
      <c r="AU74" s="135"/>
      <c r="AV74" s="135"/>
      <c r="AW74" s="135"/>
      <c r="AX74" s="135"/>
    </row>
    <row r="75" spans="1:50" x14ac:dyDescent="0.2">
      <c r="A75" s="133"/>
      <c r="B75" s="133"/>
      <c r="C75" s="134"/>
      <c r="D75" s="134"/>
      <c r="E75" s="134"/>
      <c r="F75" s="142"/>
      <c r="G75" s="142"/>
      <c r="H75" s="142"/>
      <c r="I75" s="142"/>
      <c r="J75" s="142"/>
      <c r="K75" s="138"/>
      <c r="L75" s="138"/>
      <c r="M75" s="138"/>
      <c r="N75" s="138"/>
      <c r="O75" s="138"/>
      <c r="P75" s="138"/>
      <c r="Q75" s="138"/>
      <c r="R75" s="133"/>
      <c r="S75" s="138"/>
      <c r="T75" s="133"/>
      <c r="U75" s="133"/>
      <c r="V75" s="133"/>
      <c r="W75" s="133"/>
      <c r="X75" s="133"/>
      <c r="Y75" s="133"/>
      <c r="Z75" s="133"/>
      <c r="AB75" s="2"/>
      <c r="AC75" s="2"/>
      <c r="AD75" s="2"/>
      <c r="AE75" s="2"/>
      <c r="AF75" s="2"/>
      <c r="AG75" s="2"/>
      <c r="AH75" s="2"/>
      <c r="AI75" s="2"/>
      <c r="AJ75" s="2"/>
      <c r="AK75" s="2"/>
      <c r="AL75" s="2"/>
      <c r="AM75" s="2"/>
      <c r="AN75" s="2"/>
      <c r="AO75" s="135"/>
      <c r="AP75" s="135"/>
      <c r="AQ75" s="135"/>
      <c r="AR75" s="135"/>
      <c r="AS75" s="135"/>
      <c r="AT75" s="135"/>
      <c r="AU75" s="135"/>
      <c r="AV75" s="135"/>
      <c r="AW75" s="135"/>
      <c r="AX75" s="135"/>
    </row>
    <row r="76" spans="1:50" x14ac:dyDescent="0.2">
      <c r="A76" s="133"/>
      <c r="B76" s="133"/>
      <c r="C76" s="134"/>
      <c r="D76" s="134"/>
      <c r="E76" s="134"/>
      <c r="F76" s="142"/>
      <c r="G76" s="142"/>
      <c r="H76" s="142"/>
      <c r="I76" s="142"/>
      <c r="J76" s="142"/>
      <c r="K76" s="138"/>
      <c r="L76" s="138"/>
      <c r="M76" s="138"/>
      <c r="N76" s="138"/>
      <c r="O76" s="138"/>
      <c r="P76" s="138"/>
      <c r="Q76" s="138"/>
      <c r="R76" s="133"/>
      <c r="S76" s="138"/>
      <c r="T76" s="133"/>
      <c r="U76" s="133"/>
      <c r="V76" s="133"/>
      <c r="W76" s="133"/>
      <c r="X76" s="133"/>
      <c r="Y76" s="133"/>
      <c r="Z76" s="133"/>
      <c r="AB76" s="2"/>
      <c r="AC76" s="2"/>
      <c r="AD76" s="2"/>
      <c r="AE76" s="2"/>
      <c r="AF76" s="2"/>
      <c r="AG76" s="2"/>
      <c r="AH76" s="2"/>
      <c r="AI76" s="2"/>
      <c r="AJ76" s="2"/>
      <c r="AK76" s="2"/>
      <c r="AL76" s="2"/>
      <c r="AM76" s="2"/>
      <c r="AN76" s="2"/>
      <c r="AO76" s="135"/>
      <c r="AP76" s="135"/>
      <c r="AQ76" s="135"/>
      <c r="AR76" s="135"/>
      <c r="AS76" s="135"/>
      <c r="AT76" s="135"/>
      <c r="AU76" s="135"/>
      <c r="AV76" s="135"/>
      <c r="AW76" s="135"/>
      <c r="AX76" s="135"/>
    </row>
    <row r="77" spans="1:50" x14ac:dyDescent="0.2">
      <c r="A77" s="133"/>
      <c r="B77" s="133"/>
      <c r="C77" s="134"/>
      <c r="D77" s="134"/>
      <c r="E77" s="134"/>
      <c r="F77" s="142"/>
      <c r="G77" s="142"/>
      <c r="H77" s="142"/>
      <c r="I77" s="142"/>
      <c r="J77" s="142"/>
      <c r="K77" s="138"/>
      <c r="L77" s="138"/>
      <c r="M77" s="138"/>
      <c r="N77" s="138"/>
      <c r="O77" s="138"/>
      <c r="P77" s="138"/>
      <c r="Q77" s="138"/>
      <c r="R77" s="133"/>
      <c r="S77" s="138"/>
      <c r="T77" s="133"/>
      <c r="U77" s="133"/>
      <c r="V77" s="133"/>
      <c r="W77" s="133"/>
      <c r="X77" s="133"/>
      <c r="Y77" s="133"/>
      <c r="Z77" s="133"/>
      <c r="AB77" s="2"/>
      <c r="AC77" s="2"/>
      <c r="AD77" s="2"/>
      <c r="AE77" s="2"/>
      <c r="AF77" s="2"/>
      <c r="AG77" s="2"/>
      <c r="AH77" s="2"/>
      <c r="AI77" s="2"/>
      <c r="AJ77" s="2"/>
      <c r="AK77" s="2"/>
      <c r="AL77" s="2"/>
      <c r="AM77" s="2"/>
      <c r="AN77" s="2"/>
      <c r="AO77" s="135"/>
      <c r="AP77" s="135"/>
      <c r="AQ77" s="135"/>
      <c r="AR77" s="135"/>
      <c r="AS77" s="135"/>
      <c r="AT77" s="135"/>
      <c r="AU77" s="135"/>
      <c r="AV77" s="135"/>
      <c r="AW77" s="135"/>
      <c r="AX77" s="135"/>
    </row>
    <row r="78" spans="1:50" x14ac:dyDescent="0.2">
      <c r="A78" s="133"/>
      <c r="B78" s="133"/>
      <c r="C78" s="134"/>
      <c r="D78" s="134"/>
      <c r="E78" s="134"/>
      <c r="F78" s="142"/>
      <c r="G78" s="142"/>
      <c r="H78" s="142"/>
      <c r="I78" s="142"/>
      <c r="J78" s="142"/>
      <c r="K78" s="138"/>
      <c r="L78" s="138"/>
      <c r="M78" s="138"/>
      <c r="N78" s="138"/>
      <c r="O78" s="138"/>
      <c r="P78" s="138"/>
      <c r="Q78" s="138"/>
      <c r="R78" s="133"/>
      <c r="S78" s="138"/>
      <c r="T78" s="133"/>
      <c r="U78" s="133"/>
      <c r="V78" s="133"/>
      <c r="W78" s="133"/>
      <c r="X78" s="133"/>
      <c r="Y78" s="133"/>
      <c r="Z78" s="133"/>
      <c r="AB78" s="2"/>
      <c r="AC78" s="2"/>
      <c r="AD78" s="2"/>
      <c r="AE78" s="2"/>
      <c r="AF78" s="2"/>
      <c r="AG78" s="2"/>
      <c r="AH78" s="2"/>
      <c r="AI78" s="2"/>
      <c r="AJ78" s="2"/>
      <c r="AK78" s="2"/>
      <c r="AL78" s="2"/>
      <c r="AM78" s="2"/>
      <c r="AN78" s="2"/>
      <c r="AO78" s="135"/>
      <c r="AP78" s="135"/>
      <c r="AQ78" s="135"/>
      <c r="AR78" s="135"/>
      <c r="AS78" s="135"/>
      <c r="AT78" s="135"/>
      <c r="AU78" s="135"/>
      <c r="AV78" s="135"/>
      <c r="AW78" s="135"/>
      <c r="AX78" s="135"/>
    </row>
    <row r="79" spans="1:50" x14ac:dyDescent="0.2">
      <c r="A79" s="133"/>
      <c r="B79" s="133"/>
      <c r="C79" s="134"/>
      <c r="D79" s="134"/>
      <c r="E79" s="134"/>
      <c r="F79" s="142"/>
      <c r="G79" s="142"/>
      <c r="H79" s="142"/>
      <c r="I79" s="142"/>
      <c r="J79" s="142"/>
      <c r="K79" s="138"/>
      <c r="L79" s="138"/>
      <c r="M79" s="138"/>
      <c r="N79" s="138"/>
      <c r="O79" s="138"/>
      <c r="P79" s="138"/>
      <c r="Q79" s="138"/>
      <c r="R79" s="133"/>
      <c r="S79" s="138"/>
      <c r="T79" s="133"/>
      <c r="U79" s="133"/>
      <c r="V79" s="133"/>
      <c r="W79" s="133"/>
      <c r="X79" s="133"/>
      <c r="Y79" s="133"/>
      <c r="Z79" s="133"/>
      <c r="AB79" s="2"/>
      <c r="AC79" s="2"/>
      <c r="AD79" s="2"/>
      <c r="AE79" s="2"/>
      <c r="AF79" s="2"/>
      <c r="AG79" s="2"/>
      <c r="AH79" s="2"/>
      <c r="AI79" s="2"/>
      <c r="AJ79" s="2"/>
      <c r="AK79" s="2"/>
      <c r="AL79" s="2"/>
      <c r="AM79" s="2"/>
      <c r="AN79" s="2"/>
      <c r="AO79" s="135"/>
      <c r="AP79" s="135"/>
      <c r="AQ79" s="135"/>
      <c r="AR79" s="135"/>
      <c r="AS79" s="135"/>
      <c r="AT79" s="135"/>
      <c r="AU79" s="135"/>
      <c r="AV79" s="135"/>
      <c r="AW79" s="135"/>
      <c r="AX79" s="135"/>
    </row>
    <row r="80" spans="1:50" x14ac:dyDescent="0.2">
      <c r="A80" s="133"/>
      <c r="B80" s="133"/>
      <c r="C80" s="134"/>
      <c r="D80" s="134"/>
      <c r="E80" s="134"/>
      <c r="F80" s="142"/>
      <c r="G80" s="142"/>
      <c r="H80" s="142"/>
      <c r="I80" s="142"/>
      <c r="J80" s="142"/>
      <c r="K80" s="138"/>
      <c r="L80" s="138"/>
      <c r="M80" s="138"/>
      <c r="N80" s="138"/>
      <c r="O80" s="138"/>
      <c r="P80" s="138"/>
      <c r="Q80" s="138"/>
      <c r="R80" s="133"/>
      <c r="S80" s="138"/>
      <c r="T80" s="133"/>
      <c r="U80" s="133"/>
      <c r="V80" s="133"/>
      <c r="W80" s="133"/>
      <c r="X80" s="133"/>
      <c r="Y80" s="133"/>
      <c r="Z80" s="133"/>
      <c r="AB80" s="2"/>
      <c r="AC80" s="2"/>
      <c r="AD80" s="2"/>
      <c r="AE80" s="2"/>
      <c r="AF80" s="2"/>
      <c r="AG80" s="2"/>
      <c r="AH80" s="2"/>
      <c r="AI80" s="2"/>
      <c r="AJ80" s="2"/>
      <c r="AK80" s="2"/>
      <c r="AL80" s="2"/>
      <c r="AM80" s="2"/>
      <c r="AN80" s="2"/>
      <c r="AO80" s="135"/>
      <c r="AP80" s="135"/>
      <c r="AQ80" s="135"/>
      <c r="AR80" s="135"/>
      <c r="AS80" s="135"/>
      <c r="AT80" s="135"/>
      <c r="AU80" s="135"/>
      <c r="AV80" s="135"/>
      <c r="AW80" s="135"/>
      <c r="AX80" s="135"/>
    </row>
    <row r="81" spans="1:50" x14ac:dyDescent="0.2">
      <c r="A81" s="133"/>
      <c r="B81" s="133"/>
      <c r="C81" s="134"/>
      <c r="D81" s="134"/>
      <c r="E81" s="134"/>
      <c r="F81" s="142"/>
      <c r="G81" s="142"/>
      <c r="H81" s="142"/>
      <c r="I81" s="142"/>
      <c r="J81" s="142"/>
      <c r="K81" s="138"/>
      <c r="L81" s="138"/>
      <c r="M81" s="138"/>
      <c r="N81" s="138"/>
      <c r="O81" s="138"/>
      <c r="P81" s="138"/>
      <c r="Q81" s="138"/>
      <c r="R81" s="133"/>
      <c r="S81" s="138"/>
      <c r="T81" s="133"/>
      <c r="U81" s="133"/>
      <c r="V81" s="133"/>
      <c r="W81" s="133"/>
      <c r="X81" s="133"/>
      <c r="Y81" s="133"/>
      <c r="Z81" s="133"/>
      <c r="AB81" s="2"/>
      <c r="AC81" s="2"/>
      <c r="AD81" s="2"/>
      <c r="AE81" s="2"/>
      <c r="AF81" s="2"/>
      <c r="AG81" s="2"/>
      <c r="AH81" s="2"/>
      <c r="AI81" s="2"/>
      <c r="AJ81" s="2"/>
      <c r="AK81" s="2"/>
      <c r="AL81" s="2"/>
      <c r="AM81" s="2"/>
      <c r="AN81" s="2"/>
      <c r="AO81" s="135"/>
      <c r="AP81" s="135"/>
      <c r="AQ81" s="135"/>
      <c r="AR81" s="135"/>
      <c r="AS81" s="135"/>
      <c r="AT81" s="135"/>
      <c r="AU81" s="135"/>
      <c r="AV81" s="135"/>
      <c r="AW81" s="135"/>
      <c r="AX81" s="135"/>
    </row>
    <row r="82" spans="1:50" x14ac:dyDescent="0.2">
      <c r="A82" s="133"/>
      <c r="B82" s="133"/>
      <c r="C82" s="134"/>
      <c r="D82" s="134"/>
      <c r="E82" s="134"/>
      <c r="F82" s="142"/>
      <c r="G82" s="142"/>
      <c r="H82" s="142"/>
      <c r="I82" s="142"/>
      <c r="J82" s="142"/>
      <c r="K82" s="138"/>
      <c r="L82" s="138"/>
      <c r="M82" s="138"/>
      <c r="N82" s="138"/>
      <c r="O82" s="138"/>
      <c r="P82" s="138"/>
      <c r="Q82" s="138"/>
      <c r="R82" s="133"/>
      <c r="S82" s="138"/>
      <c r="T82" s="133"/>
      <c r="U82" s="133"/>
      <c r="V82" s="133"/>
      <c r="W82" s="133"/>
      <c r="X82" s="133"/>
      <c r="Y82" s="133"/>
      <c r="Z82" s="133"/>
      <c r="AB82" s="2"/>
      <c r="AC82" s="2"/>
      <c r="AD82" s="2"/>
      <c r="AE82" s="2"/>
      <c r="AF82" s="2"/>
      <c r="AG82" s="2"/>
      <c r="AH82" s="2"/>
      <c r="AI82" s="2"/>
      <c r="AJ82" s="2"/>
      <c r="AK82" s="2"/>
      <c r="AL82" s="2"/>
      <c r="AM82" s="2"/>
      <c r="AN82" s="2"/>
      <c r="AO82" s="135"/>
      <c r="AP82" s="135"/>
      <c r="AQ82" s="135"/>
      <c r="AR82" s="135"/>
      <c r="AS82" s="135"/>
      <c r="AT82" s="135"/>
      <c r="AU82" s="135"/>
      <c r="AV82" s="135"/>
      <c r="AW82" s="135"/>
      <c r="AX82" s="135"/>
    </row>
    <row r="83" spans="1:50" x14ac:dyDescent="0.2">
      <c r="A83" s="133"/>
      <c r="B83" s="133"/>
      <c r="C83" s="134"/>
      <c r="D83" s="134"/>
      <c r="E83" s="134"/>
      <c r="F83" s="142"/>
      <c r="G83" s="142"/>
      <c r="H83" s="142"/>
      <c r="I83" s="142"/>
      <c r="J83" s="142"/>
      <c r="K83" s="138"/>
      <c r="L83" s="138"/>
      <c r="M83" s="138"/>
      <c r="N83" s="138"/>
      <c r="O83" s="138"/>
      <c r="P83" s="138"/>
      <c r="Q83" s="138"/>
      <c r="R83" s="133"/>
      <c r="S83" s="133"/>
      <c r="T83" s="133"/>
      <c r="U83" s="133"/>
      <c r="V83" s="133"/>
      <c r="W83" s="133"/>
      <c r="X83" s="133"/>
      <c r="Y83" s="133"/>
      <c r="Z83" s="133"/>
      <c r="AB83" s="2"/>
      <c r="AC83" s="2"/>
      <c r="AD83" s="2"/>
      <c r="AE83" s="2"/>
      <c r="AF83" s="2"/>
      <c r="AG83" s="2"/>
      <c r="AH83" s="2"/>
      <c r="AI83" s="2"/>
      <c r="AJ83" s="2"/>
      <c r="AK83" s="2"/>
      <c r="AL83" s="2"/>
      <c r="AM83" s="2"/>
      <c r="AN83" s="2"/>
      <c r="AO83" s="135"/>
      <c r="AP83" s="135"/>
      <c r="AQ83" s="135"/>
      <c r="AR83" s="135"/>
      <c r="AS83" s="135"/>
      <c r="AT83" s="135"/>
      <c r="AU83" s="135"/>
      <c r="AV83" s="135"/>
      <c r="AW83" s="135"/>
      <c r="AX83" s="135"/>
    </row>
    <row r="84" spans="1:50" x14ac:dyDescent="0.2">
      <c r="A84" s="133"/>
      <c r="B84" s="133"/>
      <c r="C84" s="134"/>
      <c r="D84" s="134"/>
      <c r="E84" s="134"/>
      <c r="F84" s="142"/>
      <c r="G84" s="142"/>
      <c r="H84" s="142"/>
      <c r="I84" s="142"/>
      <c r="J84" s="142"/>
      <c r="K84" s="138"/>
      <c r="L84" s="138"/>
      <c r="M84" s="138"/>
      <c r="N84" s="138"/>
      <c r="O84" s="138"/>
      <c r="P84" s="138"/>
      <c r="Q84" s="138"/>
      <c r="R84" s="133"/>
      <c r="S84" s="133"/>
      <c r="T84" s="133"/>
      <c r="U84" s="133"/>
      <c r="V84" s="133"/>
      <c r="W84" s="133"/>
      <c r="X84" s="133"/>
      <c r="Y84" s="133"/>
      <c r="Z84" s="133"/>
      <c r="AB84" s="2"/>
      <c r="AC84" s="2"/>
      <c r="AD84" s="2"/>
      <c r="AE84" s="2"/>
      <c r="AF84" s="2"/>
      <c r="AG84" s="2"/>
      <c r="AH84" s="2"/>
      <c r="AI84" s="2"/>
      <c r="AJ84" s="2"/>
      <c r="AK84" s="2"/>
      <c r="AL84" s="2"/>
      <c r="AM84" s="2"/>
      <c r="AN84" s="2"/>
      <c r="AO84" s="135"/>
      <c r="AP84" s="135"/>
      <c r="AQ84" s="135"/>
      <c r="AR84" s="135"/>
      <c r="AS84" s="135"/>
      <c r="AT84" s="135"/>
      <c r="AU84" s="135"/>
      <c r="AV84" s="135"/>
      <c r="AW84" s="135"/>
      <c r="AX84" s="135"/>
    </row>
    <row r="85" spans="1:50" x14ac:dyDescent="0.2">
      <c r="A85" s="133"/>
      <c r="B85" s="133"/>
      <c r="C85" s="134"/>
      <c r="D85" s="134"/>
      <c r="E85" s="134"/>
      <c r="F85" s="142"/>
      <c r="G85" s="142"/>
      <c r="H85" s="142"/>
      <c r="I85" s="142"/>
      <c r="J85" s="142"/>
      <c r="K85" s="138"/>
      <c r="L85" s="138"/>
      <c r="M85" s="138"/>
      <c r="N85" s="138"/>
      <c r="O85" s="138"/>
      <c r="P85" s="138"/>
      <c r="Q85" s="138"/>
      <c r="R85" s="133"/>
      <c r="S85" s="133"/>
      <c r="T85" s="133"/>
      <c r="U85" s="133"/>
      <c r="V85" s="133"/>
      <c r="W85" s="133"/>
      <c r="X85" s="133"/>
      <c r="Y85" s="133"/>
      <c r="Z85" s="133"/>
      <c r="AB85" s="2"/>
      <c r="AC85" s="2"/>
      <c r="AD85" s="2"/>
      <c r="AE85" s="2"/>
      <c r="AF85" s="2"/>
      <c r="AG85" s="2"/>
      <c r="AH85" s="2"/>
      <c r="AI85" s="2"/>
      <c r="AJ85" s="2"/>
      <c r="AK85" s="2"/>
      <c r="AL85" s="2"/>
      <c r="AM85" s="2"/>
      <c r="AN85" s="2"/>
      <c r="AO85" s="135"/>
      <c r="AP85" s="135"/>
      <c r="AQ85" s="135"/>
      <c r="AR85" s="135"/>
      <c r="AS85" s="135"/>
      <c r="AT85" s="135"/>
      <c r="AU85" s="135"/>
      <c r="AV85" s="135"/>
      <c r="AW85" s="135"/>
      <c r="AX85" s="135"/>
    </row>
    <row r="86" spans="1:50" x14ac:dyDescent="0.2">
      <c r="A86" s="133"/>
      <c r="B86" s="133"/>
      <c r="C86" s="134"/>
      <c r="D86" s="134"/>
      <c r="E86" s="134"/>
      <c r="F86" s="142"/>
      <c r="G86" s="142"/>
      <c r="H86" s="142"/>
      <c r="I86" s="142"/>
      <c r="J86" s="142"/>
      <c r="K86" s="138"/>
      <c r="L86" s="138"/>
      <c r="M86" s="138"/>
      <c r="N86" s="138"/>
      <c r="O86" s="138"/>
      <c r="P86" s="138"/>
      <c r="Q86" s="138"/>
      <c r="R86" s="133"/>
      <c r="S86" s="133"/>
      <c r="T86" s="133"/>
      <c r="U86" s="133"/>
      <c r="V86" s="133"/>
      <c r="W86" s="133"/>
      <c r="X86" s="133"/>
      <c r="Y86" s="133"/>
      <c r="Z86" s="133"/>
      <c r="AB86" s="2"/>
      <c r="AC86" s="2"/>
      <c r="AD86" s="2"/>
      <c r="AE86" s="2"/>
      <c r="AF86" s="2"/>
      <c r="AG86" s="2"/>
      <c r="AH86" s="2"/>
      <c r="AI86" s="2"/>
      <c r="AJ86" s="2"/>
      <c r="AK86" s="2"/>
      <c r="AL86" s="2"/>
      <c r="AM86" s="2"/>
      <c r="AN86" s="2"/>
      <c r="AO86" s="135"/>
      <c r="AP86" s="135"/>
      <c r="AQ86" s="135"/>
      <c r="AR86" s="135"/>
      <c r="AS86" s="135"/>
      <c r="AT86" s="135"/>
      <c r="AU86" s="135"/>
      <c r="AV86" s="135"/>
      <c r="AW86" s="135"/>
      <c r="AX86" s="135"/>
    </row>
    <row r="87" spans="1:50" x14ac:dyDescent="0.2">
      <c r="A87" s="133"/>
      <c r="B87" s="133"/>
      <c r="C87" s="134"/>
      <c r="D87" s="134"/>
      <c r="E87" s="134"/>
      <c r="F87" s="142"/>
      <c r="G87" s="142"/>
      <c r="H87" s="142"/>
      <c r="I87" s="142"/>
      <c r="J87" s="142"/>
      <c r="K87" s="138"/>
      <c r="L87" s="138"/>
      <c r="M87" s="138"/>
      <c r="N87" s="138"/>
      <c r="O87" s="138"/>
      <c r="P87" s="138"/>
      <c r="Q87" s="138"/>
      <c r="R87" s="133"/>
      <c r="S87" s="133"/>
      <c r="T87" s="133"/>
      <c r="U87" s="133"/>
      <c r="V87" s="133"/>
      <c r="W87" s="133"/>
      <c r="X87" s="133"/>
      <c r="Y87" s="133"/>
      <c r="Z87" s="133"/>
      <c r="AB87" s="2"/>
      <c r="AC87" s="2"/>
      <c r="AD87" s="2"/>
      <c r="AE87" s="2"/>
      <c r="AF87" s="2"/>
      <c r="AG87" s="2"/>
      <c r="AH87" s="2"/>
      <c r="AI87" s="2"/>
      <c r="AJ87" s="2"/>
      <c r="AK87" s="2"/>
      <c r="AL87" s="2"/>
      <c r="AM87" s="2"/>
      <c r="AN87" s="2"/>
      <c r="AO87" s="135"/>
      <c r="AP87" s="135"/>
      <c r="AQ87" s="135"/>
      <c r="AR87" s="135"/>
      <c r="AS87" s="135"/>
      <c r="AT87" s="135"/>
      <c r="AU87" s="135"/>
      <c r="AV87" s="135"/>
      <c r="AW87" s="135"/>
      <c r="AX87" s="135"/>
    </row>
    <row r="88" spans="1:50" x14ac:dyDescent="0.2">
      <c r="A88" s="133"/>
      <c r="B88" s="133"/>
      <c r="C88" s="134"/>
      <c r="D88" s="134"/>
      <c r="E88" s="134"/>
      <c r="F88" s="142"/>
      <c r="G88" s="142"/>
      <c r="H88" s="142"/>
      <c r="I88" s="142"/>
      <c r="J88" s="142"/>
      <c r="K88" s="138"/>
      <c r="L88" s="138"/>
      <c r="M88" s="138"/>
      <c r="N88" s="138"/>
      <c r="O88" s="138"/>
      <c r="P88" s="138"/>
      <c r="Q88" s="138"/>
      <c r="R88" s="133"/>
      <c r="S88" s="133"/>
      <c r="T88" s="133"/>
      <c r="U88" s="133"/>
      <c r="V88" s="133"/>
      <c r="W88" s="133"/>
      <c r="X88" s="133"/>
      <c r="Y88" s="133"/>
      <c r="Z88" s="133"/>
      <c r="AB88" s="2"/>
      <c r="AC88" s="2"/>
      <c r="AD88" s="2"/>
      <c r="AE88" s="2"/>
      <c r="AF88" s="2"/>
      <c r="AG88" s="2"/>
      <c r="AH88" s="2"/>
      <c r="AI88" s="2"/>
      <c r="AJ88" s="2"/>
      <c r="AK88" s="2"/>
      <c r="AL88" s="2"/>
      <c r="AM88" s="2"/>
      <c r="AN88" s="2"/>
      <c r="AO88" s="135"/>
      <c r="AP88" s="135"/>
      <c r="AQ88" s="135"/>
      <c r="AR88" s="135"/>
      <c r="AS88" s="135"/>
      <c r="AT88" s="135"/>
      <c r="AU88" s="135"/>
      <c r="AV88" s="135"/>
      <c r="AW88" s="135"/>
      <c r="AX88" s="135"/>
    </row>
    <row r="89" spans="1:50" x14ac:dyDescent="0.2">
      <c r="A89" s="133"/>
      <c r="B89" s="133"/>
      <c r="C89" s="134"/>
      <c r="D89" s="134"/>
      <c r="E89" s="134"/>
      <c r="F89" s="142"/>
      <c r="G89" s="142"/>
      <c r="H89" s="142"/>
      <c r="I89" s="142"/>
      <c r="J89" s="142"/>
      <c r="K89" s="138"/>
      <c r="L89" s="138"/>
      <c r="M89" s="138"/>
      <c r="N89" s="138"/>
      <c r="O89" s="138"/>
      <c r="P89" s="138"/>
      <c r="Q89" s="138"/>
      <c r="R89" s="133"/>
      <c r="S89" s="133"/>
      <c r="T89" s="133"/>
      <c r="U89" s="133"/>
      <c r="V89" s="133"/>
      <c r="W89" s="133"/>
      <c r="X89" s="133"/>
      <c r="Y89" s="133"/>
      <c r="Z89" s="133"/>
      <c r="AB89" s="2"/>
      <c r="AC89" s="2"/>
      <c r="AD89" s="2"/>
      <c r="AE89" s="2"/>
      <c r="AF89" s="2"/>
      <c r="AG89" s="2"/>
      <c r="AH89" s="2"/>
      <c r="AI89" s="2"/>
      <c r="AJ89" s="2"/>
      <c r="AK89" s="2"/>
      <c r="AL89" s="2"/>
      <c r="AM89" s="2"/>
      <c r="AN89" s="2"/>
      <c r="AO89" s="135"/>
      <c r="AP89" s="135"/>
      <c r="AQ89" s="135"/>
      <c r="AR89" s="135"/>
      <c r="AS89" s="135"/>
      <c r="AT89" s="135"/>
      <c r="AU89" s="135"/>
      <c r="AV89" s="135"/>
      <c r="AW89" s="135"/>
      <c r="AX89" s="135"/>
    </row>
    <row r="90" spans="1:50" x14ac:dyDescent="0.2">
      <c r="A90" s="133"/>
      <c r="B90" s="133"/>
      <c r="C90" s="134"/>
      <c r="D90" s="134"/>
      <c r="E90" s="134"/>
      <c r="F90" s="142"/>
      <c r="G90" s="142"/>
      <c r="H90" s="142"/>
      <c r="I90" s="142"/>
      <c r="J90" s="142"/>
      <c r="K90" s="138"/>
      <c r="L90" s="138"/>
      <c r="M90" s="138"/>
      <c r="N90" s="138"/>
      <c r="O90" s="138"/>
      <c r="P90" s="138"/>
      <c r="Q90" s="138"/>
      <c r="R90" s="133"/>
      <c r="S90" s="133"/>
      <c r="T90" s="133"/>
      <c r="U90" s="133"/>
      <c r="V90" s="133"/>
      <c r="W90" s="133"/>
      <c r="X90" s="133"/>
      <c r="Y90" s="133"/>
      <c r="Z90" s="133"/>
      <c r="AB90" s="2"/>
      <c r="AC90" s="2"/>
      <c r="AD90" s="2"/>
      <c r="AE90" s="2"/>
      <c r="AF90" s="2"/>
      <c r="AG90" s="2"/>
      <c r="AH90" s="2"/>
      <c r="AI90" s="2"/>
      <c r="AJ90" s="2"/>
      <c r="AK90" s="2"/>
      <c r="AL90" s="2"/>
      <c r="AM90" s="2"/>
      <c r="AN90" s="2"/>
      <c r="AO90" s="135"/>
      <c r="AP90" s="135"/>
      <c r="AQ90" s="135"/>
      <c r="AR90" s="135"/>
      <c r="AS90" s="135"/>
      <c r="AT90" s="135"/>
      <c r="AU90" s="135"/>
      <c r="AV90" s="135"/>
      <c r="AW90" s="135"/>
      <c r="AX90" s="135"/>
    </row>
    <row r="91" spans="1:50" x14ac:dyDescent="0.2">
      <c r="A91" s="133"/>
      <c r="B91" s="133"/>
      <c r="C91" s="134"/>
      <c r="D91" s="134"/>
      <c r="E91" s="134"/>
      <c r="F91" s="142"/>
      <c r="G91" s="142"/>
      <c r="H91" s="142"/>
      <c r="I91" s="142"/>
      <c r="J91" s="142"/>
      <c r="K91" s="138"/>
      <c r="L91" s="138"/>
      <c r="M91" s="138"/>
      <c r="N91" s="138"/>
      <c r="O91" s="138"/>
      <c r="P91" s="138"/>
      <c r="Q91" s="138"/>
      <c r="R91" s="133"/>
      <c r="S91" s="133"/>
      <c r="T91" s="133"/>
      <c r="U91" s="133"/>
      <c r="V91" s="133"/>
      <c r="W91" s="133"/>
      <c r="X91" s="133"/>
      <c r="Y91" s="133"/>
      <c r="Z91" s="133"/>
      <c r="AB91" s="2"/>
      <c r="AC91" s="2"/>
      <c r="AD91" s="2"/>
      <c r="AE91" s="2"/>
      <c r="AF91" s="2"/>
      <c r="AG91" s="2"/>
      <c r="AH91" s="2"/>
      <c r="AI91" s="2"/>
      <c r="AJ91" s="2"/>
      <c r="AK91" s="2"/>
      <c r="AL91" s="2"/>
      <c r="AM91" s="2"/>
      <c r="AN91" s="2"/>
      <c r="AO91" s="135"/>
      <c r="AP91" s="135"/>
      <c r="AQ91" s="135"/>
      <c r="AR91" s="135"/>
      <c r="AS91" s="135"/>
      <c r="AT91" s="135"/>
      <c r="AU91" s="135"/>
      <c r="AV91" s="135"/>
      <c r="AW91" s="135"/>
      <c r="AX91" s="135"/>
    </row>
    <row r="92" spans="1:50" x14ac:dyDescent="0.2">
      <c r="A92" s="133"/>
      <c r="B92" s="133"/>
      <c r="C92" s="134"/>
      <c r="D92" s="134"/>
      <c r="E92" s="134"/>
      <c r="F92" s="142"/>
      <c r="G92" s="142"/>
      <c r="H92" s="142"/>
      <c r="I92" s="142"/>
      <c r="J92" s="142"/>
      <c r="K92" s="138"/>
      <c r="L92" s="138"/>
      <c r="M92" s="138"/>
      <c r="N92" s="138"/>
      <c r="O92" s="138"/>
      <c r="P92" s="138"/>
      <c r="Q92" s="138"/>
      <c r="R92" s="133"/>
      <c r="S92" s="133"/>
      <c r="T92" s="133"/>
      <c r="U92" s="133"/>
      <c r="V92" s="133"/>
      <c r="W92" s="133"/>
      <c r="X92" s="133"/>
      <c r="Y92" s="133"/>
      <c r="Z92" s="133"/>
      <c r="AB92" s="2"/>
      <c r="AC92" s="2"/>
      <c r="AD92" s="2"/>
      <c r="AE92" s="2"/>
      <c r="AF92" s="2"/>
      <c r="AG92" s="2"/>
      <c r="AH92" s="2"/>
      <c r="AI92" s="2"/>
      <c r="AJ92" s="2"/>
      <c r="AK92" s="2"/>
      <c r="AL92" s="2"/>
      <c r="AM92" s="2"/>
      <c r="AN92" s="2"/>
      <c r="AO92" s="135"/>
      <c r="AP92" s="135"/>
      <c r="AQ92" s="135"/>
      <c r="AR92" s="135"/>
      <c r="AS92" s="135"/>
      <c r="AT92" s="135"/>
      <c r="AU92" s="135"/>
      <c r="AV92" s="135"/>
      <c r="AW92" s="135"/>
      <c r="AX92" s="135"/>
    </row>
    <row r="93" spans="1:50" x14ac:dyDescent="0.2">
      <c r="A93" s="133"/>
      <c r="B93" s="133"/>
      <c r="C93" s="134"/>
      <c r="D93" s="134"/>
      <c r="E93" s="134"/>
      <c r="F93" s="142"/>
      <c r="G93" s="142"/>
      <c r="H93" s="142"/>
      <c r="I93" s="142"/>
      <c r="J93" s="142"/>
      <c r="K93" s="138"/>
      <c r="L93" s="138"/>
      <c r="M93" s="138"/>
      <c r="N93" s="138"/>
      <c r="O93" s="138"/>
      <c r="P93" s="138"/>
      <c r="Q93" s="138"/>
      <c r="R93" s="133"/>
      <c r="S93" s="133"/>
      <c r="T93" s="133"/>
      <c r="U93" s="133"/>
      <c r="V93" s="133"/>
      <c r="W93" s="133"/>
      <c r="X93" s="133"/>
      <c r="Y93" s="133"/>
      <c r="Z93" s="133"/>
      <c r="AB93" s="2"/>
      <c r="AC93" s="2"/>
      <c r="AD93" s="2"/>
      <c r="AE93" s="2"/>
      <c r="AF93" s="2"/>
      <c r="AG93" s="2"/>
      <c r="AH93" s="2"/>
      <c r="AI93" s="2"/>
      <c r="AJ93" s="2"/>
      <c r="AK93" s="2"/>
      <c r="AL93" s="2"/>
      <c r="AM93" s="2"/>
      <c r="AN93" s="2"/>
      <c r="AO93" s="135"/>
      <c r="AP93" s="135"/>
      <c r="AQ93" s="135"/>
      <c r="AR93" s="135"/>
      <c r="AS93" s="135"/>
      <c r="AT93" s="135"/>
      <c r="AU93" s="135"/>
      <c r="AV93" s="135"/>
      <c r="AW93" s="135"/>
      <c r="AX93" s="135"/>
    </row>
    <row r="94" spans="1:50" x14ac:dyDescent="0.2">
      <c r="A94" s="133"/>
      <c r="B94" s="133"/>
      <c r="C94" s="134"/>
      <c r="D94" s="134"/>
      <c r="E94" s="134"/>
      <c r="F94" s="142"/>
      <c r="G94" s="142"/>
      <c r="H94" s="142"/>
      <c r="I94" s="142"/>
      <c r="J94" s="142"/>
      <c r="K94" s="138"/>
      <c r="L94" s="138"/>
      <c r="M94" s="138"/>
      <c r="N94" s="138"/>
      <c r="O94" s="138"/>
      <c r="P94" s="138"/>
      <c r="Q94" s="138"/>
      <c r="R94" s="133"/>
      <c r="S94" s="133"/>
      <c r="T94" s="133"/>
      <c r="U94" s="133"/>
      <c r="V94" s="133"/>
      <c r="W94" s="133"/>
      <c r="X94" s="133"/>
      <c r="Y94" s="133"/>
      <c r="Z94" s="133"/>
      <c r="AB94" s="2"/>
      <c r="AC94" s="2"/>
      <c r="AD94" s="2"/>
      <c r="AE94" s="2"/>
      <c r="AF94" s="2"/>
      <c r="AG94" s="2"/>
      <c r="AH94" s="2"/>
      <c r="AI94" s="2"/>
      <c r="AJ94" s="2"/>
      <c r="AK94" s="2"/>
      <c r="AL94" s="2"/>
      <c r="AM94" s="2"/>
      <c r="AN94" s="2"/>
      <c r="AO94" s="135"/>
      <c r="AP94" s="135"/>
      <c r="AQ94" s="135"/>
      <c r="AR94" s="135"/>
      <c r="AS94" s="135"/>
      <c r="AT94" s="135"/>
      <c r="AU94" s="135"/>
      <c r="AV94" s="135"/>
      <c r="AW94" s="135"/>
      <c r="AX94" s="135"/>
    </row>
    <row r="95" spans="1:50" x14ac:dyDescent="0.2">
      <c r="A95" s="133"/>
      <c r="B95" s="133"/>
      <c r="C95" s="134"/>
      <c r="D95" s="134"/>
      <c r="E95" s="134"/>
      <c r="F95" s="142"/>
      <c r="G95" s="142"/>
      <c r="H95" s="142"/>
      <c r="I95" s="142"/>
      <c r="J95" s="142"/>
      <c r="K95" s="138"/>
      <c r="L95" s="138"/>
      <c r="M95" s="138"/>
      <c r="N95" s="138"/>
      <c r="O95" s="138"/>
      <c r="P95" s="138"/>
      <c r="Q95" s="138"/>
      <c r="R95" s="133"/>
      <c r="S95" s="133"/>
      <c r="T95" s="133"/>
      <c r="U95" s="133"/>
      <c r="V95" s="133"/>
      <c r="W95" s="133"/>
      <c r="X95" s="133"/>
      <c r="Y95" s="133"/>
      <c r="Z95" s="133"/>
      <c r="AB95" s="2"/>
      <c r="AC95" s="2"/>
      <c r="AD95" s="2"/>
      <c r="AE95" s="2"/>
      <c r="AF95" s="2"/>
      <c r="AG95" s="2"/>
      <c r="AH95" s="2"/>
      <c r="AI95" s="2"/>
      <c r="AJ95" s="2"/>
      <c r="AK95" s="2"/>
      <c r="AL95" s="2"/>
      <c r="AM95" s="2"/>
      <c r="AN95" s="2"/>
      <c r="AO95" s="135"/>
      <c r="AP95" s="135"/>
      <c r="AQ95" s="135"/>
      <c r="AR95" s="135"/>
      <c r="AS95" s="135"/>
      <c r="AT95" s="135"/>
      <c r="AU95" s="135"/>
      <c r="AV95" s="135"/>
      <c r="AW95" s="135"/>
      <c r="AX95" s="135"/>
    </row>
    <row r="96" spans="1:50" x14ac:dyDescent="0.2">
      <c r="A96" s="133"/>
      <c r="B96" s="133"/>
      <c r="C96" s="134"/>
      <c r="D96" s="134"/>
      <c r="E96" s="134"/>
      <c r="F96" s="142"/>
      <c r="G96" s="142"/>
      <c r="H96" s="142"/>
      <c r="I96" s="142"/>
      <c r="J96" s="142"/>
      <c r="K96" s="138"/>
      <c r="L96" s="138"/>
      <c r="M96" s="138"/>
      <c r="N96" s="138"/>
      <c r="O96" s="138"/>
      <c r="P96" s="138"/>
      <c r="Q96" s="138"/>
      <c r="R96" s="133"/>
      <c r="S96" s="133"/>
      <c r="T96" s="133"/>
      <c r="U96" s="133"/>
      <c r="V96" s="133"/>
      <c r="W96" s="133"/>
      <c r="X96" s="133"/>
      <c r="Y96" s="133"/>
      <c r="Z96" s="133"/>
      <c r="AB96" s="2"/>
      <c r="AC96" s="2"/>
      <c r="AD96" s="2"/>
      <c r="AE96" s="2"/>
      <c r="AF96" s="2"/>
      <c r="AG96" s="2"/>
      <c r="AH96" s="2"/>
      <c r="AI96" s="2"/>
      <c r="AJ96" s="2"/>
      <c r="AK96" s="2"/>
      <c r="AL96" s="2"/>
      <c r="AM96" s="2"/>
      <c r="AN96" s="2"/>
      <c r="AO96" s="135"/>
      <c r="AP96" s="135"/>
      <c r="AQ96" s="135"/>
      <c r="AR96" s="135"/>
      <c r="AS96" s="135"/>
      <c r="AT96" s="135"/>
      <c r="AU96" s="135"/>
      <c r="AV96" s="135"/>
      <c r="AW96" s="135"/>
      <c r="AX96" s="135"/>
    </row>
    <row r="97" spans="1:50" x14ac:dyDescent="0.2">
      <c r="A97" s="133"/>
      <c r="B97" s="133"/>
      <c r="C97" s="134"/>
      <c r="D97" s="134"/>
      <c r="E97" s="134"/>
      <c r="F97" s="142"/>
      <c r="G97" s="142"/>
      <c r="H97" s="142"/>
      <c r="I97" s="142"/>
      <c r="J97" s="142"/>
      <c r="K97" s="138"/>
      <c r="L97" s="138"/>
      <c r="M97" s="138"/>
      <c r="N97" s="138"/>
      <c r="O97" s="138"/>
      <c r="P97" s="138"/>
      <c r="Q97" s="138"/>
      <c r="R97" s="133"/>
      <c r="S97" s="133"/>
      <c r="T97" s="133"/>
      <c r="U97" s="133"/>
      <c r="V97" s="133"/>
      <c r="W97" s="133"/>
      <c r="X97" s="133"/>
      <c r="Y97" s="133"/>
      <c r="Z97" s="133"/>
      <c r="AB97" s="2"/>
      <c r="AC97" s="2"/>
      <c r="AD97" s="2"/>
      <c r="AE97" s="2"/>
      <c r="AF97" s="2"/>
      <c r="AG97" s="2"/>
      <c r="AH97" s="2"/>
      <c r="AI97" s="2"/>
      <c r="AJ97" s="2"/>
      <c r="AK97" s="2"/>
      <c r="AL97" s="2"/>
      <c r="AM97" s="2"/>
      <c r="AN97" s="2"/>
      <c r="AO97" s="135"/>
      <c r="AP97" s="135"/>
      <c r="AQ97" s="135"/>
      <c r="AR97" s="135"/>
      <c r="AS97" s="135"/>
      <c r="AT97" s="135"/>
      <c r="AU97" s="135"/>
      <c r="AV97" s="135"/>
      <c r="AW97" s="135"/>
      <c r="AX97" s="135"/>
    </row>
    <row r="98" spans="1:50" x14ac:dyDescent="0.2">
      <c r="A98" s="133"/>
      <c r="B98" s="133"/>
      <c r="C98" s="134"/>
      <c r="D98" s="134"/>
      <c r="E98" s="134"/>
      <c r="F98" s="142"/>
      <c r="G98" s="142"/>
      <c r="H98" s="142"/>
      <c r="I98" s="142"/>
      <c r="J98" s="142"/>
      <c r="K98" s="138"/>
      <c r="L98" s="138"/>
      <c r="M98" s="138"/>
      <c r="N98" s="138"/>
      <c r="O98" s="138"/>
      <c r="P98" s="138"/>
      <c r="Q98" s="138"/>
      <c r="R98" s="133"/>
      <c r="S98" s="133"/>
      <c r="T98" s="133"/>
      <c r="U98" s="133"/>
      <c r="V98" s="133"/>
      <c r="W98" s="133"/>
      <c r="X98" s="133"/>
      <c r="Y98" s="133"/>
      <c r="Z98" s="133"/>
      <c r="AB98" s="2"/>
      <c r="AC98" s="2"/>
      <c r="AD98" s="2"/>
      <c r="AE98" s="2"/>
      <c r="AF98" s="2"/>
      <c r="AG98" s="2"/>
      <c r="AH98" s="2"/>
      <c r="AI98" s="2"/>
      <c r="AJ98" s="2"/>
      <c r="AK98" s="2"/>
      <c r="AL98" s="2"/>
      <c r="AM98" s="2"/>
      <c r="AN98" s="2"/>
      <c r="AO98" s="135"/>
      <c r="AP98" s="135"/>
      <c r="AQ98" s="135"/>
      <c r="AR98" s="135"/>
      <c r="AS98" s="135"/>
      <c r="AT98" s="135"/>
      <c r="AU98" s="135"/>
      <c r="AV98" s="135"/>
      <c r="AW98" s="135"/>
      <c r="AX98" s="135"/>
    </row>
    <row r="99" spans="1:50" x14ac:dyDescent="0.2">
      <c r="A99" s="133"/>
      <c r="B99" s="133"/>
      <c r="C99" s="134"/>
      <c r="D99" s="134"/>
      <c r="E99" s="134"/>
      <c r="F99" s="142"/>
      <c r="G99" s="142"/>
      <c r="H99" s="142"/>
      <c r="I99" s="142"/>
      <c r="J99" s="142"/>
      <c r="K99" s="138"/>
      <c r="L99" s="138"/>
      <c r="M99" s="138"/>
      <c r="N99" s="138"/>
      <c r="O99" s="138"/>
      <c r="P99" s="138"/>
      <c r="Q99" s="138"/>
      <c r="R99" s="133"/>
      <c r="S99" s="133"/>
      <c r="T99" s="133"/>
      <c r="U99" s="133"/>
      <c r="V99" s="133"/>
      <c r="W99" s="133"/>
      <c r="X99" s="133"/>
      <c r="Y99" s="133"/>
      <c r="Z99" s="133"/>
      <c r="AB99" s="2"/>
      <c r="AC99" s="2"/>
      <c r="AD99" s="2"/>
      <c r="AE99" s="2"/>
      <c r="AF99" s="2"/>
      <c r="AG99" s="2"/>
      <c r="AH99" s="2"/>
      <c r="AI99" s="2"/>
      <c r="AJ99" s="2"/>
      <c r="AK99" s="2"/>
      <c r="AL99" s="2"/>
      <c r="AM99" s="2"/>
      <c r="AN99" s="2"/>
      <c r="AO99" s="135"/>
      <c r="AP99" s="135"/>
      <c r="AQ99" s="135"/>
      <c r="AR99" s="135"/>
      <c r="AS99" s="135"/>
      <c r="AT99" s="135"/>
      <c r="AU99" s="135"/>
      <c r="AV99" s="135"/>
      <c r="AW99" s="135"/>
      <c r="AX99" s="135"/>
    </row>
    <row r="100" spans="1:50" x14ac:dyDescent="0.2">
      <c r="A100" s="133"/>
      <c r="B100" s="133"/>
      <c r="C100" s="134"/>
      <c r="D100" s="134"/>
      <c r="E100" s="134"/>
      <c r="F100" s="142"/>
      <c r="G100" s="142"/>
      <c r="H100" s="142"/>
      <c r="I100" s="142"/>
      <c r="J100" s="142"/>
      <c r="K100" s="138"/>
      <c r="L100" s="138"/>
      <c r="M100" s="138"/>
      <c r="N100" s="138"/>
      <c r="O100" s="138"/>
      <c r="P100" s="138"/>
      <c r="Q100" s="138"/>
      <c r="R100" s="133"/>
      <c r="S100" s="133"/>
      <c r="T100" s="133"/>
      <c r="U100" s="133"/>
      <c r="V100" s="133"/>
      <c r="W100" s="133"/>
      <c r="X100" s="133"/>
      <c r="Y100" s="133"/>
      <c r="Z100" s="133"/>
      <c r="AB100" s="2"/>
      <c r="AC100" s="2"/>
      <c r="AD100" s="2"/>
      <c r="AE100" s="2"/>
      <c r="AF100" s="2"/>
      <c r="AG100" s="2"/>
      <c r="AH100" s="2"/>
      <c r="AI100" s="2"/>
      <c r="AJ100" s="2"/>
      <c r="AK100" s="2"/>
      <c r="AL100" s="2"/>
      <c r="AM100" s="2"/>
      <c r="AN100" s="2"/>
      <c r="AO100" s="135"/>
      <c r="AP100" s="135"/>
      <c r="AQ100" s="135"/>
      <c r="AR100" s="135"/>
      <c r="AS100" s="135"/>
      <c r="AT100" s="135"/>
      <c r="AU100" s="135"/>
      <c r="AV100" s="135"/>
      <c r="AW100" s="135"/>
      <c r="AX100" s="135"/>
    </row>
    <row r="101" spans="1:50" x14ac:dyDescent="0.2">
      <c r="A101" s="133"/>
      <c r="B101" s="133"/>
      <c r="C101" s="134"/>
      <c r="D101" s="134"/>
      <c r="E101" s="134"/>
      <c r="F101" s="142"/>
      <c r="G101" s="142"/>
      <c r="H101" s="142"/>
      <c r="I101" s="142"/>
      <c r="J101" s="142"/>
      <c r="K101" s="138"/>
      <c r="L101" s="138"/>
      <c r="M101" s="138"/>
      <c r="N101" s="138"/>
      <c r="O101" s="138"/>
      <c r="P101" s="138"/>
      <c r="Q101" s="138"/>
      <c r="R101" s="133"/>
      <c r="S101" s="133"/>
      <c r="T101" s="133"/>
      <c r="U101" s="133"/>
      <c r="V101" s="133"/>
      <c r="W101" s="133"/>
      <c r="X101" s="133"/>
      <c r="Y101" s="133"/>
      <c r="Z101" s="133"/>
      <c r="AB101" s="2"/>
      <c r="AC101" s="2"/>
      <c r="AD101" s="2"/>
      <c r="AE101" s="2"/>
      <c r="AF101" s="2"/>
      <c r="AG101" s="2"/>
      <c r="AH101" s="2"/>
      <c r="AI101" s="2"/>
      <c r="AJ101" s="2"/>
      <c r="AK101" s="2"/>
      <c r="AL101" s="2"/>
      <c r="AM101" s="2"/>
      <c r="AN101" s="2"/>
      <c r="AO101" s="135"/>
      <c r="AP101" s="135"/>
      <c r="AQ101" s="135"/>
      <c r="AR101" s="135"/>
      <c r="AS101" s="135"/>
      <c r="AT101" s="135"/>
      <c r="AU101" s="135"/>
      <c r="AV101" s="135"/>
      <c r="AW101" s="135"/>
      <c r="AX101" s="135"/>
    </row>
    <row r="102" spans="1:50" x14ac:dyDescent="0.2">
      <c r="A102" s="133"/>
      <c r="B102" s="133"/>
      <c r="C102" s="134"/>
      <c r="D102" s="134"/>
      <c r="E102" s="134"/>
      <c r="F102" s="142"/>
      <c r="G102" s="142"/>
      <c r="H102" s="142"/>
      <c r="I102" s="142"/>
      <c r="J102" s="142"/>
      <c r="K102" s="138"/>
      <c r="L102" s="138"/>
      <c r="M102" s="138"/>
      <c r="N102" s="138"/>
      <c r="O102" s="138"/>
      <c r="P102" s="138"/>
      <c r="Q102" s="138"/>
      <c r="R102" s="133"/>
      <c r="S102" s="133"/>
      <c r="T102" s="133"/>
      <c r="U102" s="133"/>
      <c r="V102" s="133"/>
      <c r="W102" s="133"/>
      <c r="X102" s="133"/>
      <c r="Y102" s="133"/>
      <c r="Z102" s="133"/>
      <c r="AB102" s="2"/>
      <c r="AC102" s="2"/>
      <c r="AD102" s="2"/>
      <c r="AE102" s="2"/>
      <c r="AF102" s="2"/>
      <c r="AG102" s="2"/>
      <c r="AH102" s="2"/>
      <c r="AI102" s="2"/>
      <c r="AJ102" s="2"/>
      <c r="AK102" s="2"/>
      <c r="AL102" s="2"/>
      <c r="AM102" s="2"/>
      <c r="AN102" s="2"/>
      <c r="AO102" s="135"/>
      <c r="AP102" s="135"/>
      <c r="AQ102" s="135"/>
      <c r="AR102" s="135"/>
      <c r="AS102" s="135"/>
      <c r="AT102" s="135"/>
      <c r="AU102" s="135"/>
      <c r="AV102" s="135"/>
      <c r="AW102" s="135"/>
      <c r="AX102" s="135"/>
    </row>
    <row r="103" spans="1:50" x14ac:dyDescent="0.2">
      <c r="A103" s="133"/>
      <c r="B103" s="133"/>
      <c r="C103" s="134"/>
      <c r="D103" s="134"/>
      <c r="E103" s="134"/>
      <c r="F103" s="142"/>
      <c r="G103" s="142"/>
      <c r="H103" s="142"/>
      <c r="I103" s="142"/>
      <c r="J103" s="142"/>
      <c r="K103" s="138"/>
      <c r="L103" s="138"/>
      <c r="M103" s="138"/>
      <c r="N103" s="138"/>
      <c r="O103" s="138"/>
      <c r="P103" s="138"/>
      <c r="Q103" s="138"/>
      <c r="R103" s="133"/>
      <c r="S103" s="133"/>
      <c r="T103" s="133"/>
      <c r="U103" s="133"/>
      <c r="V103" s="133"/>
      <c r="W103" s="133"/>
      <c r="X103" s="133"/>
      <c r="Y103" s="133"/>
      <c r="Z103" s="133"/>
      <c r="AB103" s="2"/>
      <c r="AC103" s="2"/>
      <c r="AD103" s="2"/>
      <c r="AE103" s="2"/>
      <c r="AF103" s="2"/>
      <c r="AG103" s="2"/>
      <c r="AH103" s="2"/>
      <c r="AI103" s="2"/>
      <c r="AJ103" s="2"/>
      <c r="AK103" s="2"/>
      <c r="AL103" s="2"/>
      <c r="AM103" s="2"/>
      <c r="AN103" s="2"/>
      <c r="AO103" s="135"/>
      <c r="AP103" s="135"/>
      <c r="AQ103" s="135"/>
      <c r="AR103" s="135"/>
      <c r="AS103" s="135"/>
      <c r="AT103" s="135"/>
      <c r="AU103" s="135"/>
      <c r="AV103" s="135"/>
      <c r="AW103" s="135"/>
      <c r="AX103" s="135"/>
    </row>
    <row r="104" spans="1:50" x14ac:dyDescent="0.2">
      <c r="A104" s="133"/>
      <c r="B104" s="133"/>
      <c r="C104" s="134"/>
      <c r="D104" s="134"/>
      <c r="E104" s="134"/>
      <c r="F104" s="142"/>
      <c r="G104" s="142"/>
      <c r="H104" s="142"/>
      <c r="I104" s="142"/>
      <c r="J104" s="142"/>
      <c r="K104" s="138"/>
      <c r="L104" s="138"/>
      <c r="M104" s="138"/>
      <c r="N104" s="138"/>
      <c r="O104" s="138"/>
      <c r="P104" s="138"/>
      <c r="Q104" s="138"/>
      <c r="R104" s="133"/>
      <c r="S104" s="133"/>
      <c r="T104" s="133"/>
      <c r="U104" s="133"/>
      <c r="V104" s="133"/>
      <c r="W104" s="133"/>
      <c r="X104" s="133"/>
      <c r="Y104" s="133"/>
      <c r="Z104" s="133"/>
      <c r="AB104" s="2"/>
      <c r="AC104" s="2"/>
      <c r="AD104" s="2"/>
      <c r="AE104" s="2"/>
      <c r="AF104" s="2"/>
      <c r="AG104" s="2"/>
      <c r="AH104" s="2"/>
      <c r="AI104" s="2"/>
      <c r="AJ104" s="2"/>
      <c r="AK104" s="2"/>
      <c r="AL104" s="2"/>
      <c r="AM104" s="2"/>
      <c r="AN104" s="2"/>
      <c r="AO104" s="135"/>
      <c r="AP104" s="135"/>
      <c r="AQ104" s="135"/>
      <c r="AR104" s="135"/>
      <c r="AS104" s="135"/>
      <c r="AT104" s="135"/>
      <c r="AU104" s="135"/>
      <c r="AV104" s="135"/>
      <c r="AW104" s="135"/>
      <c r="AX104" s="135"/>
    </row>
    <row r="105" spans="1:50" x14ac:dyDescent="0.2">
      <c r="A105" s="133"/>
      <c r="B105" s="133"/>
      <c r="C105" s="134"/>
      <c r="D105" s="134"/>
      <c r="E105" s="134"/>
      <c r="F105" s="142"/>
      <c r="G105" s="142"/>
      <c r="H105" s="142"/>
      <c r="I105" s="142"/>
      <c r="J105" s="142"/>
      <c r="K105" s="138"/>
      <c r="L105" s="138"/>
      <c r="M105" s="138"/>
      <c r="N105" s="138"/>
      <c r="O105" s="138"/>
      <c r="P105" s="138"/>
      <c r="Q105" s="138"/>
      <c r="R105" s="133"/>
      <c r="S105" s="133"/>
      <c r="T105" s="133"/>
      <c r="U105" s="133"/>
      <c r="V105" s="133"/>
      <c r="W105" s="133"/>
      <c r="X105" s="133"/>
      <c r="Y105" s="133"/>
      <c r="Z105" s="133"/>
      <c r="AB105" s="2"/>
      <c r="AC105" s="2"/>
      <c r="AD105" s="2"/>
      <c r="AE105" s="2"/>
      <c r="AF105" s="2"/>
      <c r="AG105" s="2"/>
      <c r="AH105" s="2"/>
      <c r="AI105" s="2"/>
      <c r="AJ105" s="2"/>
      <c r="AK105" s="2"/>
      <c r="AL105" s="2"/>
      <c r="AM105" s="2"/>
      <c r="AN105" s="2"/>
      <c r="AO105" s="135"/>
      <c r="AP105" s="135"/>
      <c r="AQ105" s="135"/>
      <c r="AR105" s="135"/>
      <c r="AS105" s="135"/>
      <c r="AT105" s="135"/>
      <c r="AU105" s="135"/>
      <c r="AV105" s="135"/>
      <c r="AW105" s="135"/>
      <c r="AX105" s="135"/>
    </row>
    <row r="106" spans="1:50" x14ac:dyDescent="0.2">
      <c r="A106" s="133"/>
      <c r="B106" s="133"/>
      <c r="C106" s="134"/>
      <c r="D106" s="134"/>
      <c r="E106" s="134"/>
      <c r="F106" s="142"/>
      <c r="G106" s="142"/>
      <c r="H106" s="142"/>
      <c r="I106" s="142"/>
      <c r="J106" s="142"/>
      <c r="K106" s="138"/>
      <c r="L106" s="138"/>
      <c r="M106" s="138"/>
      <c r="N106" s="138"/>
      <c r="O106" s="138"/>
      <c r="P106" s="138"/>
      <c r="Q106" s="138"/>
      <c r="R106" s="133"/>
      <c r="S106" s="133"/>
      <c r="T106" s="133"/>
      <c r="U106" s="133"/>
      <c r="V106" s="133"/>
      <c r="W106" s="133"/>
      <c r="X106" s="133"/>
      <c r="Y106" s="133"/>
      <c r="Z106" s="133"/>
      <c r="AB106" s="2"/>
      <c r="AC106" s="2"/>
      <c r="AD106" s="2"/>
      <c r="AE106" s="2"/>
      <c r="AF106" s="2"/>
      <c r="AG106" s="2"/>
      <c r="AH106" s="2"/>
      <c r="AI106" s="2"/>
      <c r="AJ106" s="2"/>
      <c r="AK106" s="2"/>
      <c r="AL106" s="2"/>
      <c r="AM106" s="2"/>
      <c r="AN106" s="2"/>
      <c r="AO106" s="135"/>
      <c r="AP106" s="135"/>
      <c r="AQ106" s="135"/>
      <c r="AR106" s="135"/>
      <c r="AS106" s="135"/>
      <c r="AT106" s="135"/>
      <c r="AU106" s="135"/>
      <c r="AV106" s="135"/>
      <c r="AW106" s="135"/>
      <c r="AX106" s="135"/>
    </row>
    <row r="107" spans="1:50" x14ac:dyDescent="0.2">
      <c r="A107" s="133"/>
      <c r="B107" s="133"/>
      <c r="C107" s="134"/>
      <c r="D107" s="134"/>
      <c r="E107" s="134"/>
      <c r="F107" s="142"/>
      <c r="G107" s="142"/>
      <c r="H107" s="142"/>
      <c r="I107" s="142"/>
      <c r="J107" s="142"/>
      <c r="K107" s="138"/>
      <c r="L107" s="138"/>
      <c r="M107" s="138"/>
      <c r="N107" s="138"/>
      <c r="O107" s="138"/>
      <c r="P107" s="138"/>
      <c r="Q107" s="138"/>
      <c r="R107" s="133"/>
      <c r="S107" s="133"/>
      <c r="T107" s="133"/>
      <c r="U107" s="133"/>
      <c r="V107" s="133"/>
      <c r="W107" s="133"/>
      <c r="X107" s="133"/>
      <c r="Y107" s="133"/>
      <c r="Z107" s="133"/>
      <c r="AB107" s="2"/>
      <c r="AC107" s="2"/>
      <c r="AD107" s="2"/>
      <c r="AE107" s="2"/>
      <c r="AF107" s="2"/>
      <c r="AG107" s="2"/>
      <c r="AH107" s="2"/>
      <c r="AI107" s="2"/>
      <c r="AJ107" s="2"/>
      <c r="AK107" s="2"/>
      <c r="AL107" s="2"/>
      <c r="AM107" s="2"/>
      <c r="AN107" s="2"/>
      <c r="AO107" s="135"/>
      <c r="AP107" s="135"/>
      <c r="AQ107" s="135"/>
      <c r="AR107" s="135"/>
      <c r="AS107" s="135"/>
      <c r="AT107" s="135"/>
      <c r="AU107" s="135"/>
      <c r="AV107" s="135"/>
      <c r="AW107" s="135"/>
      <c r="AX107" s="135"/>
    </row>
    <row r="108" spans="1:50" x14ac:dyDescent="0.2">
      <c r="A108" s="133"/>
      <c r="B108" s="133"/>
      <c r="C108" s="134"/>
      <c r="D108" s="134"/>
      <c r="E108" s="134"/>
      <c r="F108" s="142"/>
      <c r="G108" s="142"/>
      <c r="H108" s="142"/>
      <c r="I108" s="142"/>
      <c r="J108" s="142"/>
      <c r="K108" s="138"/>
      <c r="L108" s="138"/>
      <c r="M108" s="138"/>
      <c r="N108" s="138"/>
      <c r="O108" s="138"/>
      <c r="P108" s="138"/>
      <c r="Q108" s="138"/>
      <c r="R108" s="133"/>
      <c r="S108" s="133"/>
      <c r="T108" s="133"/>
      <c r="U108" s="133"/>
      <c r="V108" s="133"/>
      <c r="W108" s="133"/>
      <c r="X108" s="133"/>
      <c r="Y108" s="133"/>
      <c r="Z108" s="133"/>
      <c r="AB108" s="2"/>
      <c r="AC108" s="2"/>
      <c r="AD108" s="2"/>
      <c r="AE108" s="2"/>
      <c r="AF108" s="2"/>
      <c r="AG108" s="2"/>
      <c r="AH108" s="2"/>
      <c r="AI108" s="2"/>
      <c r="AJ108" s="2"/>
      <c r="AK108" s="2"/>
      <c r="AL108" s="2"/>
      <c r="AM108" s="2"/>
      <c r="AN108" s="2"/>
      <c r="AO108" s="135"/>
      <c r="AP108" s="135"/>
      <c r="AQ108" s="135"/>
      <c r="AR108" s="135"/>
      <c r="AS108" s="135"/>
      <c r="AT108" s="135"/>
      <c r="AU108" s="135"/>
      <c r="AV108" s="135"/>
      <c r="AW108" s="135"/>
      <c r="AX108" s="135"/>
    </row>
    <row r="109" spans="1:50" x14ac:dyDescent="0.2">
      <c r="A109" s="133"/>
      <c r="B109" s="133"/>
      <c r="C109" s="134"/>
      <c r="D109" s="134"/>
      <c r="E109" s="134"/>
      <c r="F109" s="142"/>
      <c r="G109" s="142"/>
      <c r="H109" s="142"/>
      <c r="I109" s="142"/>
      <c r="J109" s="142"/>
      <c r="K109" s="138"/>
      <c r="L109" s="138"/>
      <c r="M109" s="138"/>
      <c r="N109" s="138"/>
      <c r="O109" s="138"/>
      <c r="P109" s="138"/>
      <c r="Q109" s="138"/>
      <c r="R109" s="133"/>
      <c r="S109" s="133"/>
      <c r="T109" s="133"/>
      <c r="U109" s="133"/>
      <c r="V109" s="133"/>
      <c r="W109" s="133"/>
      <c r="X109" s="133"/>
      <c r="Y109" s="133"/>
      <c r="Z109" s="133"/>
      <c r="AB109" s="2"/>
      <c r="AC109" s="2"/>
      <c r="AD109" s="2"/>
      <c r="AE109" s="2"/>
      <c r="AF109" s="2"/>
      <c r="AG109" s="2"/>
      <c r="AH109" s="2"/>
      <c r="AI109" s="2"/>
      <c r="AJ109" s="2"/>
      <c r="AK109" s="2"/>
      <c r="AL109" s="2"/>
      <c r="AM109" s="2"/>
      <c r="AN109" s="2"/>
      <c r="AO109" s="135"/>
      <c r="AP109" s="135"/>
      <c r="AQ109" s="135"/>
      <c r="AR109" s="135"/>
      <c r="AS109" s="135"/>
      <c r="AT109" s="135"/>
      <c r="AU109" s="135"/>
      <c r="AV109" s="135"/>
      <c r="AW109" s="135"/>
      <c r="AX109" s="135"/>
    </row>
    <row r="110" spans="1:50" x14ac:dyDescent="0.2">
      <c r="A110" s="133"/>
      <c r="B110" s="133"/>
      <c r="C110" s="134"/>
      <c r="D110" s="134"/>
      <c r="E110" s="134"/>
      <c r="F110" s="142"/>
      <c r="G110" s="142"/>
      <c r="H110" s="142"/>
      <c r="I110" s="142"/>
      <c r="J110" s="142"/>
      <c r="K110" s="138"/>
      <c r="L110" s="138"/>
      <c r="M110" s="138"/>
      <c r="N110" s="138"/>
      <c r="O110" s="138"/>
      <c r="P110" s="138"/>
      <c r="Q110" s="138"/>
      <c r="R110" s="133"/>
      <c r="S110" s="133"/>
      <c r="T110" s="133"/>
      <c r="U110" s="133"/>
      <c r="V110" s="133"/>
      <c r="W110" s="133"/>
      <c r="X110" s="133"/>
      <c r="Y110" s="133"/>
      <c r="Z110" s="133"/>
      <c r="AB110" s="2"/>
      <c r="AC110" s="2"/>
      <c r="AD110" s="2"/>
      <c r="AE110" s="2"/>
      <c r="AF110" s="2"/>
      <c r="AG110" s="2"/>
      <c r="AH110" s="2"/>
      <c r="AI110" s="2"/>
      <c r="AJ110" s="2"/>
      <c r="AK110" s="2"/>
      <c r="AL110" s="2"/>
      <c r="AM110" s="2"/>
      <c r="AN110" s="2"/>
      <c r="AO110" s="135"/>
      <c r="AP110" s="135"/>
      <c r="AQ110" s="135"/>
      <c r="AR110" s="135"/>
      <c r="AS110" s="135"/>
      <c r="AT110" s="135"/>
      <c r="AU110" s="135"/>
      <c r="AV110" s="135"/>
      <c r="AW110" s="135"/>
      <c r="AX110" s="135"/>
    </row>
    <row r="111" spans="1:50" x14ac:dyDescent="0.2">
      <c r="A111" s="133"/>
      <c r="B111" s="133"/>
      <c r="C111" s="134"/>
      <c r="D111" s="134"/>
      <c r="E111" s="134"/>
      <c r="F111" s="142"/>
      <c r="G111" s="142"/>
      <c r="H111" s="142"/>
      <c r="I111" s="142"/>
      <c r="J111" s="142"/>
      <c r="K111" s="138"/>
      <c r="L111" s="138"/>
      <c r="M111" s="138"/>
      <c r="N111" s="138"/>
      <c r="O111" s="138"/>
      <c r="P111" s="138"/>
      <c r="Q111" s="138"/>
      <c r="R111" s="133"/>
      <c r="S111" s="133"/>
      <c r="T111" s="133"/>
      <c r="U111" s="133"/>
      <c r="V111" s="133"/>
      <c r="W111" s="133"/>
      <c r="X111" s="133"/>
      <c r="Y111" s="133"/>
      <c r="Z111" s="133"/>
      <c r="AB111" s="2"/>
      <c r="AC111" s="2"/>
      <c r="AD111" s="2"/>
      <c r="AE111" s="2"/>
      <c r="AF111" s="2"/>
      <c r="AG111" s="2"/>
      <c r="AH111" s="2"/>
      <c r="AI111" s="2"/>
      <c r="AJ111" s="2"/>
      <c r="AK111" s="2"/>
      <c r="AL111" s="2"/>
      <c r="AM111" s="2"/>
      <c r="AN111" s="2"/>
      <c r="AO111" s="135"/>
      <c r="AP111" s="135"/>
      <c r="AQ111" s="135"/>
      <c r="AR111" s="135"/>
      <c r="AS111" s="135"/>
      <c r="AT111" s="135"/>
      <c r="AU111" s="135"/>
      <c r="AV111" s="135"/>
      <c r="AW111" s="135"/>
      <c r="AX111" s="135"/>
    </row>
    <row r="112" spans="1:50" x14ac:dyDescent="0.2">
      <c r="A112" s="133"/>
      <c r="B112" s="133"/>
      <c r="C112" s="134"/>
      <c r="D112" s="134"/>
      <c r="E112" s="134"/>
      <c r="F112" s="142"/>
      <c r="G112" s="142"/>
      <c r="H112" s="142"/>
      <c r="I112" s="142"/>
      <c r="J112" s="142"/>
      <c r="K112" s="138"/>
      <c r="L112" s="138"/>
      <c r="M112" s="138"/>
      <c r="N112" s="138"/>
      <c r="O112" s="138"/>
      <c r="P112" s="138"/>
      <c r="Q112" s="138"/>
      <c r="R112" s="133"/>
      <c r="S112" s="133"/>
      <c r="T112" s="133"/>
      <c r="U112" s="133"/>
      <c r="V112" s="133"/>
      <c r="W112" s="133"/>
      <c r="X112" s="133"/>
      <c r="Y112" s="133"/>
      <c r="Z112" s="133"/>
      <c r="AB112" s="2"/>
      <c r="AC112" s="2"/>
      <c r="AD112" s="2"/>
      <c r="AE112" s="2"/>
      <c r="AF112" s="2"/>
      <c r="AG112" s="2"/>
      <c r="AH112" s="2"/>
      <c r="AI112" s="2"/>
      <c r="AJ112" s="2"/>
      <c r="AK112" s="2"/>
      <c r="AL112" s="2"/>
      <c r="AM112" s="2"/>
      <c r="AN112" s="2"/>
      <c r="AO112" s="135"/>
      <c r="AP112" s="135"/>
      <c r="AQ112" s="135"/>
      <c r="AR112" s="135"/>
      <c r="AS112" s="135"/>
      <c r="AT112" s="135"/>
      <c r="AU112" s="135"/>
      <c r="AV112" s="135"/>
      <c r="AW112" s="135"/>
      <c r="AX112" s="135"/>
    </row>
    <row r="113" spans="1:50" x14ac:dyDescent="0.2">
      <c r="A113" s="133"/>
      <c r="B113" s="133"/>
      <c r="C113" s="134"/>
      <c r="D113" s="134"/>
      <c r="E113" s="134"/>
      <c r="F113" s="142"/>
      <c r="G113" s="142"/>
      <c r="H113" s="142"/>
      <c r="I113" s="142"/>
      <c r="J113" s="142"/>
      <c r="K113" s="138"/>
      <c r="L113" s="138"/>
      <c r="M113" s="138"/>
      <c r="N113" s="138"/>
      <c r="O113" s="138"/>
      <c r="P113" s="138"/>
      <c r="Q113" s="138"/>
      <c r="R113" s="133"/>
      <c r="S113" s="133"/>
      <c r="T113" s="133"/>
      <c r="U113" s="133"/>
      <c r="V113" s="133"/>
      <c r="W113" s="133"/>
      <c r="X113" s="133"/>
      <c r="Y113" s="133"/>
      <c r="Z113" s="133"/>
      <c r="AB113" s="2"/>
      <c r="AC113" s="2"/>
      <c r="AD113" s="2"/>
      <c r="AE113" s="2"/>
      <c r="AF113" s="2"/>
      <c r="AG113" s="2"/>
      <c r="AH113" s="2"/>
      <c r="AI113" s="2"/>
      <c r="AJ113" s="2"/>
      <c r="AK113" s="2"/>
      <c r="AL113" s="2"/>
      <c r="AM113" s="2"/>
      <c r="AN113" s="2"/>
      <c r="AO113" s="135"/>
      <c r="AP113" s="135"/>
      <c r="AQ113" s="135"/>
      <c r="AR113" s="135"/>
      <c r="AS113" s="135"/>
      <c r="AT113" s="135"/>
      <c r="AU113" s="135"/>
      <c r="AV113" s="135"/>
      <c r="AW113" s="135"/>
      <c r="AX113" s="135"/>
    </row>
    <row r="114" spans="1:50" x14ac:dyDescent="0.2">
      <c r="A114" s="133"/>
      <c r="B114" s="133"/>
      <c r="C114" s="134"/>
      <c r="D114" s="134"/>
      <c r="E114" s="134"/>
      <c r="F114" s="142"/>
      <c r="G114" s="142"/>
      <c r="H114" s="142"/>
      <c r="I114" s="142"/>
      <c r="J114" s="142"/>
      <c r="K114" s="138"/>
      <c r="L114" s="138"/>
      <c r="M114" s="138"/>
      <c r="N114" s="138"/>
      <c r="O114" s="138"/>
      <c r="P114" s="138"/>
      <c r="Q114" s="138"/>
      <c r="R114" s="133"/>
      <c r="S114" s="133"/>
      <c r="T114" s="133"/>
      <c r="U114" s="133"/>
      <c r="V114" s="133"/>
      <c r="W114" s="133"/>
      <c r="X114" s="133"/>
      <c r="Y114" s="133"/>
      <c r="Z114" s="133"/>
      <c r="AB114" s="2"/>
      <c r="AC114" s="2"/>
      <c r="AD114" s="2"/>
      <c r="AE114" s="2"/>
      <c r="AF114" s="2"/>
      <c r="AG114" s="2"/>
      <c r="AH114" s="2"/>
      <c r="AI114" s="2"/>
      <c r="AJ114" s="2"/>
      <c r="AK114" s="2"/>
      <c r="AL114" s="2"/>
      <c r="AM114" s="2"/>
      <c r="AN114" s="2"/>
      <c r="AO114" s="135"/>
      <c r="AP114" s="135"/>
      <c r="AQ114" s="135"/>
      <c r="AR114" s="135"/>
      <c r="AS114" s="135"/>
      <c r="AT114" s="135"/>
      <c r="AU114" s="135"/>
      <c r="AV114" s="135"/>
      <c r="AW114" s="135"/>
      <c r="AX114" s="135"/>
    </row>
    <row r="115" spans="1:50" x14ac:dyDescent="0.2">
      <c r="A115" s="133"/>
      <c r="B115" s="133"/>
      <c r="C115" s="134"/>
      <c r="D115" s="134"/>
      <c r="E115" s="134"/>
      <c r="F115" s="142"/>
      <c r="G115" s="142"/>
      <c r="H115" s="142"/>
      <c r="I115" s="142"/>
      <c r="J115" s="142"/>
      <c r="K115" s="138"/>
      <c r="L115" s="138"/>
      <c r="M115" s="138"/>
      <c r="N115" s="138"/>
      <c r="O115" s="138"/>
      <c r="P115" s="138"/>
      <c r="Q115" s="138"/>
      <c r="R115" s="133"/>
      <c r="S115" s="133"/>
      <c r="T115" s="133"/>
      <c r="U115" s="133"/>
      <c r="V115" s="133"/>
      <c r="W115" s="133"/>
      <c r="X115" s="133"/>
      <c r="Y115" s="133"/>
      <c r="Z115" s="133"/>
      <c r="AB115" s="2"/>
      <c r="AC115" s="2"/>
      <c r="AD115" s="2"/>
      <c r="AE115" s="2"/>
      <c r="AF115" s="2"/>
      <c r="AG115" s="2"/>
      <c r="AH115" s="2"/>
      <c r="AI115" s="2"/>
      <c r="AJ115" s="2"/>
      <c r="AK115" s="2"/>
      <c r="AL115" s="2"/>
      <c r="AM115" s="2"/>
      <c r="AN115" s="2"/>
      <c r="AO115" s="135"/>
      <c r="AP115" s="135"/>
      <c r="AQ115" s="135"/>
      <c r="AR115" s="135"/>
      <c r="AS115" s="135"/>
      <c r="AT115" s="135"/>
      <c r="AU115" s="135"/>
      <c r="AV115" s="135"/>
      <c r="AW115" s="135"/>
      <c r="AX115" s="135"/>
    </row>
    <row r="116" spans="1:50" x14ac:dyDescent="0.2">
      <c r="A116" s="133"/>
      <c r="B116" s="133"/>
      <c r="C116" s="134"/>
      <c r="D116" s="134"/>
      <c r="E116" s="134"/>
      <c r="F116" s="142"/>
      <c r="G116" s="142"/>
      <c r="H116" s="142"/>
      <c r="I116" s="142"/>
      <c r="J116" s="142"/>
      <c r="K116" s="138"/>
      <c r="L116" s="138"/>
      <c r="M116" s="138"/>
      <c r="N116" s="138"/>
      <c r="O116" s="138"/>
      <c r="P116" s="138"/>
      <c r="Q116" s="138"/>
      <c r="R116" s="133"/>
      <c r="S116" s="133"/>
      <c r="T116" s="133"/>
      <c r="U116" s="133"/>
      <c r="V116" s="133"/>
      <c r="W116" s="133"/>
      <c r="X116" s="133"/>
      <c r="Y116" s="133"/>
      <c r="Z116" s="133"/>
      <c r="AB116" s="2"/>
      <c r="AC116" s="2"/>
      <c r="AD116" s="2"/>
      <c r="AE116" s="2"/>
      <c r="AF116" s="2"/>
      <c r="AG116" s="2"/>
      <c r="AH116" s="2"/>
      <c r="AI116" s="2"/>
      <c r="AJ116" s="2"/>
      <c r="AK116" s="2"/>
      <c r="AL116" s="2"/>
      <c r="AM116" s="2"/>
      <c r="AN116" s="2"/>
      <c r="AO116" s="135"/>
      <c r="AP116" s="135"/>
      <c r="AQ116" s="135"/>
      <c r="AR116" s="135"/>
      <c r="AS116" s="135"/>
      <c r="AT116" s="135"/>
      <c r="AU116" s="135"/>
      <c r="AV116" s="135"/>
      <c r="AW116" s="135"/>
      <c r="AX116" s="135"/>
    </row>
    <row r="117" spans="1:50" x14ac:dyDescent="0.2">
      <c r="A117" s="133"/>
      <c r="B117" s="133"/>
      <c r="C117" s="134"/>
      <c r="D117" s="134"/>
      <c r="E117" s="134"/>
      <c r="F117" s="142"/>
      <c r="G117" s="142"/>
      <c r="H117" s="142"/>
      <c r="I117" s="142"/>
      <c r="J117" s="142"/>
      <c r="K117" s="138"/>
      <c r="L117" s="138"/>
      <c r="M117" s="138"/>
      <c r="N117" s="138"/>
      <c r="O117" s="138"/>
      <c r="P117" s="138"/>
      <c r="Q117" s="138"/>
      <c r="R117" s="133"/>
      <c r="S117" s="133"/>
      <c r="T117" s="133"/>
      <c r="U117" s="133"/>
      <c r="V117" s="133"/>
      <c r="W117" s="133"/>
      <c r="X117" s="133"/>
      <c r="Y117" s="133"/>
      <c r="Z117" s="133"/>
      <c r="AB117" s="160"/>
      <c r="AC117" s="160"/>
      <c r="AD117" s="160"/>
      <c r="AE117" s="160"/>
      <c r="AF117" s="160"/>
      <c r="AG117" s="160"/>
      <c r="AH117" s="160"/>
      <c r="AI117" s="160"/>
      <c r="AJ117" s="160"/>
      <c r="AK117" s="160"/>
      <c r="AL117" s="160"/>
      <c r="AM117" s="160"/>
      <c r="AN117" s="160"/>
      <c r="AO117" s="135"/>
      <c r="AP117" s="135"/>
      <c r="AQ117" s="135"/>
      <c r="AR117" s="135"/>
      <c r="AS117" s="135"/>
      <c r="AT117" s="135"/>
      <c r="AU117" s="135"/>
      <c r="AV117" s="135"/>
      <c r="AW117" s="135"/>
      <c r="AX117" s="135"/>
    </row>
    <row r="118" spans="1:50" x14ac:dyDescent="0.2">
      <c r="A118" s="133"/>
      <c r="B118" s="133"/>
      <c r="C118" s="134"/>
      <c r="D118" s="134"/>
      <c r="E118" s="134"/>
      <c r="F118" s="142"/>
      <c r="G118" s="142"/>
      <c r="H118" s="142"/>
      <c r="I118" s="142"/>
      <c r="J118" s="142"/>
      <c r="K118" s="138"/>
      <c r="L118" s="138"/>
      <c r="M118" s="138"/>
      <c r="N118" s="138"/>
      <c r="O118" s="138"/>
      <c r="P118" s="138"/>
      <c r="Q118" s="138"/>
      <c r="R118" s="133"/>
      <c r="S118" s="133"/>
      <c r="T118" s="133"/>
      <c r="U118" s="133"/>
      <c r="V118" s="133"/>
      <c r="W118" s="133"/>
      <c r="X118" s="133"/>
      <c r="Y118" s="133"/>
      <c r="Z118" s="133"/>
      <c r="AB118" s="160"/>
      <c r="AC118" s="160"/>
      <c r="AD118" s="160"/>
      <c r="AE118" s="160"/>
      <c r="AF118" s="160"/>
      <c r="AG118" s="160"/>
      <c r="AH118" s="160"/>
      <c r="AI118" s="160"/>
      <c r="AJ118" s="160"/>
      <c r="AK118" s="160"/>
      <c r="AL118" s="160"/>
      <c r="AM118" s="160"/>
      <c r="AN118" s="160"/>
      <c r="AO118" s="135"/>
      <c r="AP118" s="135"/>
      <c r="AQ118" s="135"/>
      <c r="AR118" s="135"/>
      <c r="AS118" s="135"/>
      <c r="AT118" s="135"/>
      <c r="AU118" s="135"/>
      <c r="AV118" s="135"/>
      <c r="AW118" s="135"/>
      <c r="AX118" s="135"/>
    </row>
    <row r="119" spans="1:50" x14ac:dyDescent="0.2">
      <c r="A119" s="133"/>
      <c r="B119" s="133"/>
      <c r="C119" s="134"/>
      <c r="D119" s="134"/>
      <c r="E119" s="134"/>
      <c r="F119" s="142"/>
      <c r="G119" s="142"/>
      <c r="H119" s="142"/>
      <c r="I119" s="142"/>
      <c r="J119" s="142"/>
      <c r="K119" s="138"/>
      <c r="L119" s="138"/>
      <c r="M119" s="138"/>
      <c r="N119" s="138"/>
      <c r="O119" s="138"/>
      <c r="P119" s="138"/>
      <c r="Q119" s="138"/>
      <c r="R119" s="133"/>
      <c r="S119" s="133"/>
      <c r="T119" s="133"/>
      <c r="U119" s="133"/>
      <c r="V119" s="133"/>
      <c r="W119" s="133"/>
      <c r="X119" s="133"/>
      <c r="Y119" s="133"/>
      <c r="Z119" s="133"/>
      <c r="AA119" s="133"/>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row>
    <row r="120" spans="1:50" x14ac:dyDescent="0.2">
      <c r="A120" s="133"/>
      <c r="B120" s="133"/>
      <c r="C120" s="134"/>
      <c r="D120" s="134"/>
      <c r="E120" s="134"/>
      <c r="F120" s="142"/>
      <c r="G120" s="142"/>
      <c r="H120" s="142"/>
      <c r="I120" s="142"/>
      <c r="J120" s="142"/>
      <c r="K120" s="138"/>
      <c r="L120" s="138"/>
      <c r="M120" s="138"/>
      <c r="N120" s="138"/>
      <c r="O120" s="138"/>
      <c r="P120" s="138"/>
      <c r="Q120" s="138"/>
      <c r="R120" s="133"/>
      <c r="S120" s="133"/>
      <c r="T120" s="133"/>
      <c r="U120" s="133"/>
      <c r="V120" s="133"/>
      <c r="W120" s="133"/>
      <c r="X120" s="133"/>
      <c r="Y120" s="133"/>
      <c r="Z120" s="133"/>
      <c r="AA120" s="133"/>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row>
    <row r="121" spans="1:50" x14ac:dyDescent="0.2">
      <c r="A121" s="133"/>
      <c r="B121" s="133"/>
      <c r="C121" s="134"/>
      <c r="D121" s="134"/>
      <c r="E121" s="134"/>
      <c r="F121" s="142"/>
      <c r="G121" s="142"/>
      <c r="H121" s="142"/>
      <c r="I121" s="142"/>
      <c r="J121" s="142"/>
      <c r="K121" s="138"/>
      <c r="L121" s="138"/>
      <c r="M121" s="138"/>
      <c r="N121" s="138"/>
      <c r="O121" s="138"/>
      <c r="P121" s="138"/>
      <c r="Q121" s="138"/>
      <c r="R121" s="133"/>
      <c r="S121" s="133"/>
      <c r="T121" s="133"/>
      <c r="U121" s="133"/>
      <c r="V121" s="133"/>
      <c r="W121" s="133"/>
      <c r="X121" s="133"/>
      <c r="Y121" s="133"/>
      <c r="Z121" s="133"/>
      <c r="AA121" s="133"/>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row>
    <row r="122" spans="1:50" x14ac:dyDescent="0.2">
      <c r="A122" s="133"/>
      <c r="B122" s="133"/>
      <c r="C122" s="134"/>
      <c r="D122" s="134"/>
      <c r="E122" s="134"/>
      <c r="F122" s="142"/>
      <c r="G122" s="142"/>
      <c r="H122" s="142"/>
      <c r="I122" s="142"/>
      <c r="J122" s="142"/>
      <c r="K122" s="138"/>
      <c r="L122" s="138"/>
      <c r="M122" s="138"/>
      <c r="N122" s="138"/>
      <c r="O122" s="138"/>
      <c r="P122" s="138"/>
      <c r="Q122" s="138"/>
      <c r="R122" s="133"/>
      <c r="S122" s="133"/>
      <c r="T122" s="133"/>
      <c r="U122" s="133"/>
      <c r="V122" s="133"/>
      <c r="W122" s="133"/>
      <c r="X122" s="133"/>
      <c r="Y122" s="133"/>
      <c r="Z122" s="133"/>
      <c r="AA122" s="133"/>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row>
    <row r="123" spans="1:50" x14ac:dyDescent="0.2">
      <c r="A123" s="133"/>
      <c r="B123" s="133"/>
      <c r="C123" s="134"/>
      <c r="D123" s="134"/>
      <c r="E123" s="134"/>
      <c r="F123" s="142"/>
      <c r="G123" s="142"/>
      <c r="H123" s="142"/>
      <c r="I123" s="142"/>
      <c r="J123" s="142"/>
      <c r="K123" s="138"/>
      <c r="L123" s="138"/>
      <c r="M123" s="138"/>
      <c r="N123" s="138"/>
      <c r="O123" s="138"/>
      <c r="P123" s="138"/>
      <c r="Q123" s="138"/>
      <c r="R123" s="133"/>
      <c r="S123" s="133"/>
      <c r="T123" s="133"/>
      <c r="U123" s="133"/>
      <c r="V123" s="133"/>
      <c r="W123" s="133"/>
      <c r="X123" s="133"/>
      <c r="Y123" s="133"/>
      <c r="Z123" s="133"/>
      <c r="AA123" s="133"/>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row>
    <row r="124" spans="1:50" x14ac:dyDescent="0.2">
      <c r="A124" s="133"/>
      <c r="B124" s="133"/>
      <c r="C124" s="134"/>
      <c r="D124" s="134"/>
      <c r="E124" s="134"/>
      <c r="F124" s="142"/>
      <c r="G124" s="142"/>
      <c r="H124" s="142"/>
      <c r="I124" s="142"/>
      <c r="J124" s="142"/>
      <c r="K124" s="138"/>
      <c r="L124" s="138"/>
      <c r="M124" s="138"/>
      <c r="N124" s="138"/>
      <c r="O124" s="138"/>
      <c r="P124" s="138"/>
      <c r="Q124" s="138"/>
      <c r="R124" s="133"/>
      <c r="S124" s="133"/>
      <c r="T124" s="133"/>
      <c r="U124" s="133"/>
      <c r="V124" s="133"/>
      <c r="W124" s="133"/>
      <c r="X124" s="133"/>
      <c r="Y124" s="133"/>
      <c r="Z124" s="133"/>
      <c r="AA124" s="133"/>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row>
    <row r="125" spans="1:50" x14ac:dyDescent="0.2">
      <c r="A125" s="133"/>
      <c r="B125" s="133"/>
      <c r="C125" s="134"/>
      <c r="D125" s="134"/>
      <c r="E125" s="134"/>
      <c r="F125" s="142"/>
      <c r="G125" s="142"/>
      <c r="H125" s="142"/>
      <c r="I125" s="142"/>
      <c r="J125" s="142"/>
      <c r="K125" s="138"/>
      <c r="L125" s="138"/>
      <c r="M125" s="138"/>
      <c r="N125" s="138"/>
      <c r="O125" s="138"/>
      <c r="P125" s="138"/>
      <c r="Q125" s="138"/>
      <c r="R125" s="133"/>
      <c r="S125" s="133"/>
      <c r="T125" s="133"/>
      <c r="U125" s="133"/>
      <c r="V125" s="133"/>
      <c r="W125" s="133"/>
      <c r="X125" s="133"/>
      <c r="Y125" s="133"/>
      <c r="Z125" s="133"/>
      <c r="AA125" s="133"/>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row>
    <row r="126" spans="1:50" x14ac:dyDescent="0.2">
      <c r="A126" s="133"/>
      <c r="B126" s="133"/>
      <c r="C126" s="134"/>
      <c r="D126" s="134"/>
      <c r="E126" s="134"/>
      <c r="F126" s="142"/>
      <c r="G126" s="142"/>
      <c r="H126" s="142"/>
      <c r="I126" s="142"/>
      <c r="J126" s="142"/>
      <c r="K126" s="138"/>
      <c r="L126" s="138"/>
      <c r="M126" s="138"/>
      <c r="N126" s="138"/>
      <c r="O126" s="138"/>
      <c r="P126" s="138"/>
      <c r="Q126" s="138"/>
      <c r="R126" s="133"/>
      <c r="S126" s="133"/>
      <c r="T126" s="133"/>
      <c r="U126" s="133"/>
      <c r="V126" s="133"/>
      <c r="W126" s="133"/>
      <c r="X126" s="133"/>
      <c r="Y126" s="133"/>
      <c r="Z126" s="133"/>
      <c r="AA126" s="133"/>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row>
    <row r="127" spans="1:50" x14ac:dyDescent="0.2">
      <c r="A127" s="133"/>
      <c r="B127" s="133"/>
      <c r="C127" s="134"/>
      <c r="D127" s="134"/>
      <c r="E127" s="134"/>
      <c r="F127" s="142"/>
      <c r="G127" s="142"/>
      <c r="H127" s="142"/>
      <c r="I127" s="142"/>
      <c r="J127" s="142"/>
      <c r="K127" s="138"/>
      <c r="L127" s="138"/>
      <c r="M127" s="138"/>
      <c r="N127" s="138"/>
      <c r="O127" s="138"/>
      <c r="P127" s="138"/>
      <c r="Q127" s="138"/>
      <c r="R127" s="133"/>
      <c r="S127" s="133"/>
      <c r="T127" s="133"/>
      <c r="U127" s="133"/>
      <c r="V127" s="133"/>
      <c r="W127" s="133"/>
      <c r="X127" s="133"/>
      <c r="Y127" s="133"/>
      <c r="Z127" s="133"/>
      <c r="AA127" s="133"/>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row>
    <row r="128" spans="1:50" x14ac:dyDescent="0.2">
      <c r="A128" s="133"/>
      <c r="B128" s="133"/>
      <c r="C128" s="134"/>
      <c r="D128" s="134"/>
      <c r="E128" s="134"/>
      <c r="F128" s="142"/>
      <c r="G128" s="142"/>
      <c r="H128" s="142"/>
      <c r="I128" s="142"/>
      <c r="J128" s="142"/>
      <c r="K128" s="138"/>
      <c r="L128" s="138"/>
      <c r="M128" s="138"/>
      <c r="N128" s="138"/>
      <c r="O128" s="138"/>
      <c r="P128" s="138"/>
      <c r="Q128" s="138"/>
      <c r="R128" s="133"/>
      <c r="S128" s="133"/>
      <c r="T128" s="133"/>
      <c r="U128" s="133"/>
      <c r="V128" s="133"/>
      <c r="W128" s="133"/>
      <c r="X128" s="133"/>
      <c r="Y128" s="133"/>
      <c r="Z128" s="133"/>
      <c r="AA128" s="133"/>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row>
    <row r="129" spans="1:50" x14ac:dyDescent="0.2">
      <c r="A129" s="133"/>
      <c r="B129" s="133"/>
      <c r="C129" s="134"/>
      <c r="D129" s="134"/>
      <c r="E129" s="134"/>
      <c r="F129" s="142"/>
      <c r="G129" s="142"/>
      <c r="H129" s="142"/>
      <c r="I129" s="142"/>
      <c r="J129" s="142"/>
      <c r="K129" s="138"/>
      <c r="L129" s="138"/>
      <c r="M129" s="138"/>
      <c r="N129" s="138"/>
      <c r="O129" s="138"/>
      <c r="P129" s="138"/>
      <c r="Q129" s="138"/>
      <c r="R129" s="133"/>
      <c r="S129" s="133"/>
      <c r="T129" s="133"/>
      <c r="U129" s="133"/>
      <c r="V129" s="133"/>
      <c r="W129" s="133"/>
      <c r="X129" s="133"/>
      <c r="Y129" s="133"/>
      <c r="Z129" s="133"/>
      <c r="AA129" s="133"/>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row>
    <row r="130" spans="1:50" x14ac:dyDescent="0.2">
      <c r="A130" s="133"/>
      <c r="B130" s="133"/>
      <c r="C130" s="134"/>
      <c r="D130" s="134"/>
      <c r="E130" s="134"/>
      <c r="F130" s="142"/>
      <c r="G130" s="142"/>
      <c r="H130" s="142"/>
      <c r="I130" s="142"/>
      <c r="J130" s="142"/>
      <c r="K130" s="138"/>
      <c r="L130" s="138"/>
      <c r="M130" s="138"/>
      <c r="N130" s="138"/>
      <c r="O130" s="138"/>
      <c r="P130" s="138"/>
      <c r="Q130" s="138"/>
      <c r="R130" s="133"/>
      <c r="S130" s="133"/>
      <c r="T130" s="133"/>
      <c r="U130" s="133"/>
      <c r="V130" s="133"/>
      <c r="W130" s="133"/>
      <c r="X130" s="133"/>
      <c r="Y130" s="133"/>
      <c r="Z130" s="133"/>
      <c r="AA130" s="133"/>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row>
    <row r="131" spans="1:50" x14ac:dyDescent="0.2">
      <c r="A131" s="133"/>
      <c r="B131" s="133"/>
      <c r="C131" s="134"/>
      <c r="D131" s="134"/>
      <c r="E131" s="134"/>
      <c r="F131" s="142"/>
      <c r="G131" s="142"/>
      <c r="H131" s="142"/>
      <c r="I131" s="142"/>
      <c r="J131" s="142"/>
      <c r="K131" s="138"/>
      <c r="L131" s="138"/>
      <c r="M131" s="138"/>
      <c r="N131" s="138"/>
      <c r="O131" s="138"/>
      <c r="P131" s="138"/>
      <c r="Q131" s="138"/>
      <c r="R131" s="133"/>
      <c r="S131" s="133"/>
      <c r="T131" s="133"/>
      <c r="U131" s="133"/>
      <c r="V131" s="133"/>
      <c r="W131" s="133"/>
      <c r="X131" s="133"/>
      <c r="Y131" s="133"/>
      <c r="Z131" s="133"/>
      <c r="AA131" s="133"/>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row>
    <row r="132" spans="1:50" x14ac:dyDescent="0.2">
      <c r="A132" s="133"/>
      <c r="B132" s="133"/>
      <c r="C132" s="134"/>
      <c r="D132" s="134"/>
      <c r="E132" s="134"/>
      <c r="F132" s="142"/>
      <c r="G132" s="142"/>
      <c r="H132" s="142"/>
      <c r="I132" s="142"/>
      <c r="J132" s="142"/>
      <c r="K132" s="138"/>
      <c r="L132" s="138"/>
      <c r="M132" s="138"/>
      <c r="N132" s="138"/>
      <c r="O132" s="138"/>
      <c r="P132" s="138"/>
      <c r="Q132" s="138"/>
      <c r="R132" s="133"/>
      <c r="S132" s="133"/>
      <c r="T132" s="133"/>
      <c r="U132" s="133"/>
      <c r="V132" s="133"/>
      <c r="W132" s="133"/>
      <c r="X132" s="133"/>
      <c r="Y132" s="133"/>
      <c r="Z132" s="133"/>
      <c r="AA132" s="133"/>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row>
    <row r="133" spans="1:50" x14ac:dyDescent="0.2">
      <c r="A133" s="133"/>
      <c r="B133" s="133"/>
      <c r="C133" s="134"/>
      <c r="D133" s="134"/>
      <c r="E133" s="134"/>
      <c r="F133" s="142"/>
      <c r="G133" s="142"/>
      <c r="H133" s="142"/>
      <c r="I133" s="142"/>
      <c r="J133" s="142"/>
      <c r="K133" s="138"/>
      <c r="L133" s="138"/>
      <c r="M133" s="138"/>
      <c r="N133" s="138"/>
      <c r="O133" s="138"/>
      <c r="P133" s="138"/>
      <c r="Q133" s="138"/>
      <c r="R133" s="133"/>
      <c r="S133" s="133"/>
      <c r="T133" s="133"/>
      <c r="U133" s="133"/>
      <c r="V133" s="133"/>
      <c r="W133" s="133"/>
      <c r="X133" s="133"/>
      <c r="Y133" s="133"/>
      <c r="Z133" s="133"/>
      <c r="AA133" s="133"/>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row>
    <row r="134" spans="1:50" x14ac:dyDescent="0.2">
      <c r="A134" s="133"/>
      <c r="B134" s="133"/>
      <c r="C134" s="134"/>
      <c r="D134" s="134"/>
      <c r="E134" s="134"/>
      <c r="F134" s="142"/>
      <c r="G134" s="142"/>
      <c r="H134" s="142"/>
      <c r="I134" s="142"/>
      <c r="J134" s="142"/>
      <c r="K134" s="138"/>
      <c r="L134" s="138"/>
      <c r="M134" s="138"/>
      <c r="N134" s="138"/>
      <c r="O134" s="138"/>
      <c r="P134" s="138"/>
      <c r="Q134" s="138"/>
      <c r="R134" s="133"/>
      <c r="S134" s="133"/>
      <c r="T134" s="133"/>
      <c r="U134" s="133"/>
      <c r="V134" s="133"/>
      <c r="W134" s="133"/>
      <c r="X134" s="133"/>
      <c r="Y134" s="133"/>
      <c r="Z134" s="133"/>
      <c r="AA134" s="133"/>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row>
  </sheetData>
  <mergeCells count="2">
    <mergeCell ref="A9:D9"/>
    <mergeCell ref="A37:D37"/>
  </mergeCells>
  <printOptions gridLines="1"/>
  <pageMargins left="0.25" right="0.25" top="0.75" bottom="0.75" header="0.3" footer="0.3"/>
  <pageSetup scale="56" orientation="landscape" r:id="rId1"/>
  <headerFooter alignWithMargins="0">
    <oddHeader>&amp;C&amp;"Arial,Bold"&amp;14DOCTORS MEMORIAL HOSPITAL
FY 2017 BUDGET</oddHeader>
    <oddFooter>&amp;R&amp;A</oddFooter>
  </headerFooter>
  <ignoredErrors>
    <ignoredError sqref="C1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43"/>
  <sheetViews>
    <sheetView zoomScale="80" zoomScaleNormal="80" workbookViewId="0">
      <pane xSplit="2" ySplit="4" topLeftCell="C5" activePane="bottomRight" state="frozen"/>
      <selection pane="topRight" activeCell="C1" sqref="C1"/>
      <selection pane="bottomLeft" activeCell="A5" sqref="A5"/>
      <selection pane="bottomRight" activeCell="C5" sqref="C5"/>
    </sheetView>
  </sheetViews>
  <sheetFormatPr defaultRowHeight="12.75" x14ac:dyDescent="0.2"/>
  <cols>
    <col min="1" max="1" width="10.28515625" style="2" bestFit="1" customWidth="1"/>
    <col min="2" max="2" width="24.7109375" style="4" customWidth="1"/>
    <col min="3" max="3" width="14" style="4" customWidth="1"/>
    <col min="4" max="4" width="9.140625" style="4" customWidth="1"/>
    <col min="5" max="5" width="3.7109375" style="4" customWidth="1"/>
    <col min="6" max="6" width="14.7109375" style="4" customWidth="1"/>
    <col min="7" max="7" width="14.5703125" style="4" customWidth="1"/>
    <col min="8" max="8" width="14.7109375" style="4" customWidth="1"/>
    <col min="9" max="9" width="15.7109375" style="4" customWidth="1"/>
    <col min="10" max="10" width="15.28515625" style="2" customWidth="1"/>
    <col min="11" max="11" width="14" style="2" customWidth="1"/>
    <col min="12" max="12" width="15" style="2" customWidth="1"/>
    <col min="13" max="13" width="15.7109375" style="2" customWidth="1"/>
    <col min="14" max="14" width="15" style="2" customWidth="1"/>
    <col min="15" max="15" width="15.42578125" style="2" customWidth="1"/>
    <col min="16" max="17" width="14.28515625" style="2" customWidth="1"/>
    <col min="18" max="18" width="16.42578125" style="2" customWidth="1"/>
    <col min="19" max="19" width="10.42578125" style="2" bestFit="1" customWidth="1"/>
    <col min="20" max="31" width="9.140625" style="2"/>
    <col min="32" max="256" width="9.140625" style="1"/>
    <col min="257" max="257" width="28.140625" style="1" bestFit="1" customWidth="1"/>
    <col min="258" max="258" width="14" style="1" customWidth="1"/>
    <col min="259" max="259" width="9.140625" style="1" customWidth="1"/>
    <col min="260" max="260" width="11.28515625" style="1" customWidth="1"/>
    <col min="261" max="261" width="9.140625" style="1" customWidth="1"/>
    <col min="262" max="265" width="12" style="1" bestFit="1" customWidth="1"/>
    <col min="266" max="266" width="11" style="1" bestFit="1" customWidth="1"/>
    <col min="267" max="267" width="12" style="1" bestFit="1" customWidth="1"/>
    <col min="268" max="270" width="9.140625" style="1"/>
    <col min="271" max="272" width="12" style="1" bestFit="1" customWidth="1"/>
    <col min="273" max="273" width="9.140625" style="1"/>
    <col min="274" max="274" width="11.140625" style="1" bestFit="1" customWidth="1"/>
    <col min="275" max="275" width="10.42578125" style="1" bestFit="1" customWidth="1"/>
    <col min="276" max="512" width="9.140625" style="1"/>
    <col min="513" max="513" width="28.140625" style="1" bestFit="1" customWidth="1"/>
    <col min="514" max="514" width="14" style="1" customWidth="1"/>
    <col min="515" max="515" width="9.140625" style="1" customWidth="1"/>
    <col min="516" max="516" width="11.28515625" style="1" customWidth="1"/>
    <col min="517" max="517" width="9.140625" style="1" customWidth="1"/>
    <col min="518" max="521" width="12" style="1" bestFit="1" customWidth="1"/>
    <col min="522" max="522" width="11" style="1" bestFit="1" customWidth="1"/>
    <col min="523" max="523" width="12" style="1" bestFit="1" customWidth="1"/>
    <col min="524" max="526" width="9.140625" style="1"/>
    <col min="527" max="528" width="12" style="1" bestFit="1" customWidth="1"/>
    <col min="529" max="529" width="9.140625" style="1"/>
    <col min="530" max="530" width="11.140625" style="1" bestFit="1" customWidth="1"/>
    <col min="531" max="531" width="10.42578125" style="1" bestFit="1" customWidth="1"/>
    <col min="532" max="768" width="9.140625" style="1"/>
    <col min="769" max="769" width="28.140625" style="1" bestFit="1" customWidth="1"/>
    <col min="770" max="770" width="14" style="1" customWidth="1"/>
    <col min="771" max="771" width="9.140625" style="1" customWidth="1"/>
    <col min="772" max="772" width="11.28515625" style="1" customWidth="1"/>
    <col min="773" max="773" width="9.140625" style="1" customWidth="1"/>
    <col min="774" max="777" width="12" style="1" bestFit="1" customWidth="1"/>
    <col min="778" max="778" width="11" style="1" bestFit="1" customWidth="1"/>
    <col min="779" max="779" width="12" style="1" bestFit="1" customWidth="1"/>
    <col min="780" max="782" width="9.140625" style="1"/>
    <col min="783" max="784" width="12" style="1" bestFit="1" customWidth="1"/>
    <col min="785" max="785" width="9.140625" style="1"/>
    <col min="786" max="786" width="11.140625" style="1" bestFit="1" customWidth="1"/>
    <col min="787" max="787" width="10.42578125" style="1" bestFit="1" customWidth="1"/>
    <col min="788" max="1024" width="9.140625" style="1"/>
    <col min="1025" max="1025" width="28.140625" style="1" bestFit="1" customWidth="1"/>
    <col min="1026" max="1026" width="14" style="1" customWidth="1"/>
    <col min="1027" max="1027" width="9.140625" style="1" customWidth="1"/>
    <col min="1028" max="1028" width="11.28515625" style="1" customWidth="1"/>
    <col min="1029" max="1029" width="9.140625" style="1" customWidth="1"/>
    <col min="1030" max="1033" width="12" style="1" bestFit="1" customWidth="1"/>
    <col min="1034" max="1034" width="11" style="1" bestFit="1" customWidth="1"/>
    <col min="1035" max="1035" width="12" style="1" bestFit="1" customWidth="1"/>
    <col min="1036" max="1038" width="9.140625" style="1"/>
    <col min="1039" max="1040" width="12" style="1" bestFit="1" customWidth="1"/>
    <col min="1041" max="1041" width="9.140625" style="1"/>
    <col min="1042" max="1042" width="11.140625" style="1" bestFit="1" customWidth="1"/>
    <col min="1043" max="1043" width="10.42578125" style="1" bestFit="1" customWidth="1"/>
    <col min="1044" max="1280" width="9.140625" style="1"/>
    <col min="1281" max="1281" width="28.140625" style="1" bestFit="1" customWidth="1"/>
    <col min="1282" max="1282" width="14" style="1" customWidth="1"/>
    <col min="1283" max="1283" width="9.140625" style="1" customWidth="1"/>
    <col min="1284" max="1284" width="11.28515625" style="1" customWidth="1"/>
    <col min="1285" max="1285" width="9.140625" style="1" customWidth="1"/>
    <col min="1286" max="1289" width="12" style="1" bestFit="1" customWidth="1"/>
    <col min="1290" max="1290" width="11" style="1" bestFit="1" customWidth="1"/>
    <col min="1291" max="1291" width="12" style="1" bestFit="1" customWidth="1"/>
    <col min="1292" max="1294" width="9.140625" style="1"/>
    <col min="1295" max="1296" width="12" style="1" bestFit="1" customWidth="1"/>
    <col min="1297" max="1297" width="9.140625" style="1"/>
    <col min="1298" max="1298" width="11.140625" style="1" bestFit="1" customWidth="1"/>
    <col min="1299" max="1299" width="10.42578125" style="1" bestFit="1" customWidth="1"/>
    <col min="1300" max="1536" width="9.140625" style="1"/>
    <col min="1537" max="1537" width="28.140625" style="1" bestFit="1" customWidth="1"/>
    <col min="1538" max="1538" width="14" style="1" customWidth="1"/>
    <col min="1539" max="1539" width="9.140625" style="1" customWidth="1"/>
    <col min="1540" max="1540" width="11.28515625" style="1" customWidth="1"/>
    <col min="1541" max="1541" width="9.140625" style="1" customWidth="1"/>
    <col min="1542" max="1545" width="12" style="1" bestFit="1" customWidth="1"/>
    <col min="1546" max="1546" width="11" style="1" bestFit="1" customWidth="1"/>
    <col min="1547" max="1547" width="12" style="1" bestFit="1" customWidth="1"/>
    <col min="1548" max="1550" width="9.140625" style="1"/>
    <col min="1551" max="1552" width="12" style="1" bestFit="1" customWidth="1"/>
    <col min="1553" max="1553" width="9.140625" style="1"/>
    <col min="1554" max="1554" width="11.140625" style="1" bestFit="1" customWidth="1"/>
    <col min="1555" max="1555" width="10.42578125" style="1" bestFit="1" customWidth="1"/>
    <col min="1556" max="1792" width="9.140625" style="1"/>
    <col min="1793" max="1793" width="28.140625" style="1" bestFit="1" customWidth="1"/>
    <col min="1794" max="1794" width="14" style="1" customWidth="1"/>
    <col min="1795" max="1795" width="9.140625" style="1" customWidth="1"/>
    <col min="1796" max="1796" width="11.28515625" style="1" customWidth="1"/>
    <col min="1797" max="1797" width="9.140625" style="1" customWidth="1"/>
    <col min="1798" max="1801" width="12" style="1" bestFit="1" customWidth="1"/>
    <col min="1802" max="1802" width="11" style="1" bestFit="1" customWidth="1"/>
    <col min="1803" max="1803" width="12" style="1" bestFit="1" customWidth="1"/>
    <col min="1804" max="1806" width="9.140625" style="1"/>
    <col min="1807" max="1808" width="12" style="1" bestFit="1" customWidth="1"/>
    <col min="1809" max="1809" width="9.140625" style="1"/>
    <col min="1810" max="1810" width="11.140625" style="1" bestFit="1" customWidth="1"/>
    <col min="1811" max="1811" width="10.42578125" style="1" bestFit="1" customWidth="1"/>
    <col min="1812" max="2048" width="9.140625" style="1"/>
    <col min="2049" max="2049" width="28.140625" style="1" bestFit="1" customWidth="1"/>
    <col min="2050" max="2050" width="14" style="1" customWidth="1"/>
    <col min="2051" max="2051" width="9.140625" style="1" customWidth="1"/>
    <col min="2052" max="2052" width="11.28515625" style="1" customWidth="1"/>
    <col min="2053" max="2053" width="9.140625" style="1" customWidth="1"/>
    <col min="2054" max="2057" width="12" style="1" bestFit="1" customWidth="1"/>
    <col min="2058" max="2058" width="11" style="1" bestFit="1" customWidth="1"/>
    <col min="2059" max="2059" width="12" style="1" bestFit="1" customWidth="1"/>
    <col min="2060" max="2062" width="9.140625" style="1"/>
    <col min="2063" max="2064" width="12" style="1" bestFit="1" customWidth="1"/>
    <col min="2065" max="2065" width="9.140625" style="1"/>
    <col min="2066" max="2066" width="11.140625" style="1" bestFit="1" customWidth="1"/>
    <col min="2067" max="2067" width="10.42578125" style="1" bestFit="1" customWidth="1"/>
    <col min="2068" max="2304" width="9.140625" style="1"/>
    <col min="2305" max="2305" width="28.140625" style="1" bestFit="1" customWidth="1"/>
    <col min="2306" max="2306" width="14" style="1" customWidth="1"/>
    <col min="2307" max="2307" width="9.140625" style="1" customWidth="1"/>
    <col min="2308" max="2308" width="11.28515625" style="1" customWidth="1"/>
    <col min="2309" max="2309" width="9.140625" style="1" customWidth="1"/>
    <col min="2310" max="2313" width="12" style="1" bestFit="1" customWidth="1"/>
    <col min="2314" max="2314" width="11" style="1" bestFit="1" customWidth="1"/>
    <col min="2315" max="2315" width="12" style="1" bestFit="1" customWidth="1"/>
    <col min="2316" max="2318" width="9.140625" style="1"/>
    <col min="2319" max="2320" width="12" style="1" bestFit="1" customWidth="1"/>
    <col min="2321" max="2321" width="9.140625" style="1"/>
    <col min="2322" max="2322" width="11.140625" style="1" bestFit="1" customWidth="1"/>
    <col min="2323" max="2323" width="10.42578125" style="1" bestFit="1" customWidth="1"/>
    <col min="2324" max="2560" width="9.140625" style="1"/>
    <col min="2561" max="2561" width="28.140625" style="1" bestFit="1" customWidth="1"/>
    <col min="2562" max="2562" width="14" style="1" customWidth="1"/>
    <col min="2563" max="2563" width="9.140625" style="1" customWidth="1"/>
    <col min="2564" max="2564" width="11.28515625" style="1" customWidth="1"/>
    <col min="2565" max="2565" width="9.140625" style="1" customWidth="1"/>
    <col min="2566" max="2569" width="12" style="1" bestFit="1" customWidth="1"/>
    <col min="2570" max="2570" width="11" style="1" bestFit="1" customWidth="1"/>
    <col min="2571" max="2571" width="12" style="1" bestFit="1" customWidth="1"/>
    <col min="2572" max="2574" width="9.140625" style="1"/>
    <col min="2575" max="2576" width="12" style="1" bestFit="1" customWidth="1"/>
    <col min="2577" max="2577" width="9.140625" style="1"/>
    <col min="2578" max="2578" width="11.140625" style="1" bestFit="1" customWidth="1"/>
    <col min="2579" max="2579" width="10.42578125" style="1" bestFit="1" customWidth="1"/>
    <col min="2580" max="2816" width="9.140625" style="1"/>
    <col min="2817" max="2817" width="28.140625" style="1" bestFit="1" customWidth="1"/>
    <col min="2818" max="2818" width="14" style="1" customWidth="1"/>
    <col min="2819" max="2819" width="9.140625" style="1" customWidth="1"/>
    <col min="2820" max="2820" width="11.28515625" style="1" customWidth="1"/>
    <col min="2821" max="2821" width="9.140625" style="1" customWidth="1"/>
    <col min="2822" max="2825" width="12" style="1" bestFit="1" customWidth="1"/>
    <col min="2826" max="2826" width="11" style="1" bestFit="1" customWidth="1"/>
    <col min="2827" max="2827" width="12" style="1" bestFit="1" customWidth="1"/>
    <col min="2828" max="2830" width="9.140625" style="1"/>
    <col min="2831" max="2832" width="12" style="1" bestFit="1" customWidth="1"/>
    <col min="2833" max="2833" width="9.140625" style="1"/>
    <col min="2834" max="2834" width="11.140625" style="1" bestFit="1" customWidth="1"/>
    <col min="2835" max="2835" width="10.42578125" style="1" bestFit="1" customWidth="1"/>
    <col min="2836" max="3072" width="9.140625" style="1"/>
    <col min="3073" max="3073" width="28.140625" style="1" bestFit="1" customWidth="1"/>
    <col min="3074" max="3074" width="14" style="1" customWidth="1"/>
    <col min="3075" max="3075" width="9.140625" style="1" customWidth="1"/>
    <col min="3076" max="3076" width="11.28515625" style="1" customWidth="1"/>
    <col min="3077" max="3077" width="9.140625" style="1" customWidth="1"/>
    <col min="3078" max="3081" width="12" style="1" bestFit="1" customWidth="1"/>
    <col min="3082" max="3082" width="11" style="1" bestFit="1" customWidth="1"/>
    <col min="3083" max="3083" width="12" style="1" bestFit="1" customWidth="1"/>
    <col min="3084" max="3086" width="9.140625" style="1"/>
    <col min="3087" max="3088" width="12" style="1" bestFit="1" customWidth="1"/>
    <col min="3089" max="3089" width="9.140625" style="1"/>
    <col min="3090" max="3090" width="11.140625" style="1" bestFit="1" customWidth="1"/>
    <col min="3091" max="3091" width="10.42578125" style="1" bestFit="1" customWidth="1"/>
    <col min="3092" max="3328" width="9.140625" style="1"/>
    <col min="3329" max="3329" width="28.140625" style="1" bestFit="1" customWidth="1"/>
    <col min="3330" max="3330" width="14" style="1" customWidth="1"/>
    <col min="3331" max="3331" width="9.140625" style="1" customWidth="1"/>
    <col min="3332" max="3332" width="11.28515625" style="1" customWidth="1"/>
    <col min="3333" max="3333" width="9.140625" style="1" customWidth="1"/>
    <col min="3334" max="3337" width="12" style="1" bestFit="1" customWidth="1"/>
    <col min="3338" max="3338" width="11" style="1" bestFit="1" customWidth="1"/>
    <col min="3339" max="3339" width="12" style="1" bestFit="1" customWidth="1"/>
    <col min="3340" max="3342" width="9.140625" style="1"/>
    <col min="3343" max="3344" width="12" style="1" bestFit="1" customWidth="1"/>
    <col min="3345" max="3345" width="9.140625" style="1"/>
    <col min="3346" max="3346" width="11.140625" style="1" bestFit="1" customWidth="1"/>
    <col min="3347" max="3347" width="10.42578125" style="1" bestFit="1" customWidth="1"/>
    <col min="3348" max="3584" width="9.140625" style="1"/>
    <col min="3585" max="3585" width="28.140625" style="1" bestFit="1" customWidth="1"/>
    <col min="3586" max="3586" width="14" style="1" customWidth="1"/>
    <col min="3587" max="3587" width="9.140625" style="1" customWidth="1"/>
    <col min="3588" max="3588" width="11.28515625" style="1" customWidth="1"/>
    <col min="3589" max="3589" width="9.140625" style="1" customWidth="1"/>
    <col min="3590" max="3593" width="12" style="1" bestFit="1" customWidth="1"/>
    <col min="3594" max="3594" width="11" style="1" bestFit="1" customWidth="1"/>
    <col min="3595" max="3595" width="12" style="1" bestFit="1" customWidth="1"/>
    <col min="3596" max="3598" width="9.140625" style="1"/>
    <col min="3599" max="3600" width="12" style="1" bestFit="1" customWidth="1"/>
    <col min="3601" max="3601" width="9.140625" style="1"/>
    <col min="3602" max="3602" width="11.140625" style="1" bestFit="1" customWidth="1"/>
    <col min="3603" max="3603" width="10.42578125" style="1" bestFit="1" customWidth="1"/>
    <col min="3604" max="3840" width="9.140625" style="1"/>
    <col min="3841" max="3841" width="28.140625" style="1" bestFit="1" customWidth="1"/>
    <col min="3842" max="3842" width="14" style="1" customWidth="1"/>
    <col min="3843" max="3843" width="9.140625" style="1" customWidth="1"/>
    <col min="3844" max="3844" width="11.28515625" style="1" customWidth="1"/>
    <col min="3845" max="3845" width="9.140625" style="1" customWidth="1"/>
    <col min="3846" max="3849" width="12" style="1" bestFit="1" customWidth="1"/>
    <col min="3850" max="3850" width="11" style="1" bestFit="1" customWidth="1"/>
    <col min="3851" max="3851" width="12" style="1" bestFit="1" customWidth="1"/>
    <col min="3852" max="3854" width="9.140625" style="1"/>
    <col min="3855" max="3856" width="12" style="1" bestFit="1" customWidth="1"/>
    <col min="3857" max="3857" width="9.140625" style="1"/>
    <col min="3858" max="3858" width="11.140625" style="1" bestFit="1" customWidth="1"/>
    <col min="3859" max="3859" width="10.42578125" style="1" bestFit="1" customWidth="1"/>
    <col min="3860" max="4096" width="9.140625" style="1"/>
    <col min="4097" max="4097" width="28.140625" style="1" bestFit="1" customWidth="1"/>
    <col min="4098" max="4098" width="14" style="1" customWidth="1"/>
    <col min="4099" max="4099" width="9.140625" style="1" customWidth="1"/>
    <col min="4100" max="4100" width="11.28515625" style="1" customWidth="1"/>
    <col min="4101" max="4101" width="9.140625" style="1" customWidth="1"/>
    <col min="4102" max="4105" width="12" style="1" bestFit="1" customWidth="1"/>
    <col min="4106" max="4106" width="11" style="1" bestFit="1" customWidth="1"/>
    <col min="4107" max="4107" width="12" style="1" bestFit="1" customWidth="1"/>
    <col min="4108" max="4110" width="9.140625" style="1"/>
    <col min="4111" max="4112" width="12" style="1" bestFit="1" customWidth="1"/>
    <col min="4113" max="4113" width="9.140625" style="1"/>
    <col min="4114" max="4114" width="11.140625" style="1" bestFit="1" customWidth="1"/>
    <col min="4115" max="4115" width="10.42578125" style="1" bestFit="1" customWidth="1"/>
    <col min="4116" max="4352" width="9.140625" style="1"/>
    <col min="4353" max="4353" width="28.140625" style="1" bestFit="1" customWidth="1"/>
    <col min="4354" max="4354" width="14" style="1" customWidth="1"/>
    <col min="4355" max="4355" width="9.140625" style="1" customWidth="1"/>
    <col min="4356" max="4356" width="11.28515625" style="1" customWidth="1"/>
    <col min="4357" max="4357" width="9.140625" style="1" customWidth="1"/>
    <col min="4358" max="4361" width="12" style="1" bestFit="1" customWidth="1"/>
    <col min="4362" max="4362" width="11" style="1" bestFit="1" customWidth="1"/>
    <col min="4363" max="4363" width="12" style="1" bestFit="1" customWidth="1"/>
    <col min="4364" max="4366" width="9.140625" style="1"/>
    <col min="4367" max="4368" width="12" style="1" bestFit="1" customWidth="1"/>
    <col min="4369" max="4369" width="9.140625" style="1"/>
    <col min="4370" max="4370" width="11.140625" style="1" bestFit="1" customWidth="1"/>
    <col min="4371" max="4371" width="10.42578125" style="1" bestFit="1" customWidth="1"/>
    <col min="4372" max="4608" width="9.140625" style="1"/>
    <col min="4609" max="4609" width="28.140625" style="1" bestFit="1" customWidth="1"/>
    <col min="4610" max="4610" width="14" style="1" customWidth="1"/>
    <col min="4611" max="4611" width="9.140625" style="1" customWidth="1"/>
    <col min="4612" max="4612" width="11.28515625" style="1" customWidth="1"/>
    <col min="4613" max="4613" width="9.140625" style="1" customWidth="1"/>
    <col min="4614" max="4617" width="12" style="1" bestFit="1" customWidth="1"/>
    <col min="4618" max="4618" width="11" style="1" bestFit="1" customWidth="1"/>
    <col min="4619" max="4619" width="12" style="1" bestFit="1" customWidth="1"/>
    <col min="4620" max="4622" width="9.140625" style="1"/>
    <col min="4623" max="4624" width="12" style="1" bestFit="1" customWidth="1"/>
    <col min="4625" max="4625" width="9.140625" style="1"/>
    <col min="4626" max="4626" width="11.140625" style="1" bestFit="1" customWidth="1"/>
    <col min="4627" max="4627" width="10.42578125" style="1" bestFit="1" customWidth="1"/>
    <col min="4628" max="4864" width="9.140625" style="1"/>
    <col min="4865" max="4865" width="28.140625" style="1" bestFit="1" customWidth="1"/>
    <col min="4866" max="4866" width="14" style="1" customWidth="1"/>
    <col min="4867" max="4867" width="9.140625" style="1" customWidth="1"/>
    <col min="4868" max="4868" width="11.28515625" style="1" customWidth="1"/>
    <col min="4869" max="4869" width="9.140625" style="1" customWidth="1"/>
    <col min="4870" max="4873" width="12" style="1" bestFit="1" customWidth="1"/>
    <col min="4874" max="4874" width="11" style="1" bestFit="1" customWidth="1"/>
    <col min="4875" max="4875" width="12" style="1" bestFit="1" customWidth="1"/>
    <col min="4876" max="4878" width="9.140625" style="1"/>
    <col min="4879" max="4880" width="12" style="1" bestFit="1" customWidth="1"/>
    <col min="4881" max="4881" width="9.140625" style="1"/>
    <col min="4882" max="4882" width="11.140625" style="1" bestFit="1" customWidth="1"/>
    <col min="4883" max="4883" width="10.42578125" style="1" bestFit="1" customWidth="1"/>
    <col min="4884" max="5120" width="9.140625" style="1"/>
    <col min="5121" max="5121" width="28.140625" style="1" bestFit="1" customWidth="1"/>
    <col min="5122" max="5122" width="14" style="1" customWidth="1"/>
    <col min="5123" max="5123" width="9.140625" style="1" customWidth="1"/>
    <col min="5124" max="5124" width="11.28515625" style="1" customWidth="1"/>
    <col min="5125" max="5125" width="9.140625" style="1" customWidth="1"/>
    <col min="5126" max="5129" width="12" style="1" bestFit="1" customWidth="1"/>
    <col min="5130" max="5130" width="11" style="1" bestFit="1" customWidth="1"/>
    <col min="5131" max="5131" width="12" style="1" bestFit="1" customWidth="1"/>
    <col min="5132" max="5134" width="9.140625" style="1"/>
    <col min="5135" max="5136" width="12" style="1" bestFit="1" customWidth="1"/>
    <col min="5137" max="5137" width="9.140625" style="1"/>
    <col min="5138" max="5138" width="11.140625" style="1" bestFit="1" customWidth="1"/>
    <col min="5139" max="5139" width="10.42578125" style="1" bestFit="1" customWidth="1"/>
    <col min="5140" max="5376" width="9.140625" style="1"/>
    <col min="5377" max="5377" width="28.140625" style="1" bestFit="1" customWidth="1"/>
    <col min="5378" max="5378" width="14" style="1" customWidth="1"/>
    <col min="5379" max="5379" width="9.140625" style="1" customWidth="1"/>
    <col min="5380" max="5380" width="11.28515625" style="1" customWidth="1"/>
    <col min="5381" max="5381" width="9.140625" style="1" customWidth="1"/>
    <col min="5382" max="5385" width="12" style="1" bestFit="1" customWidth="1"/>
    <col min="5386" max="5386" width="11" style="1" bestFit="1" customWidth="1"/>
    <col min="5387" max="5387" width="12" style="1" bestFit="1" customWidth="1"/>
    <col min="5388" max="5390" width="9.140625" style="1"/>
    <col min="5391" max="5392" width="12" style="1" bestFit="1" customWidth="1"/>
    <col min="5393" max="5393" width="9.140625" style="1"/>
    <col min="5394" max="5394" width="11.140625" style="1" bestFit="1" customWidth="1"/>
    <col min="5395" max="5395" width="10.42578125" style="1" bestFit="1" customWidth="1"/>
    <col min="5396" max="5632" width="9.140625" style="1"/>
    <col min="5633" max="5633" width="28.140625" style="1" bestFit="1" customWidth="1"/>
    <col min="5634" max="5634" width="14" style="1" customWidth="1"/>
    <col min="5635" max="5635" width="9.140625" style="1" customWidth="1"/>
    <col min="5636" max="5636" width="11.28515625" style="1" customWidth="1"/>
    <col min="5637" max="5637" width="9.140625" style="1" customWidth="1"/>
    <col min="5638" max="5641" width="12" style="1" bestFit="1" customWidth="1"/>
    <col min="5642" max="5642" width="11" style="1" bestFit="1" customWidth="1"/>
    <col min="5643" max="5643" width="12" style="1" bestFit="1" customWidth="1"/>
    <col min="5644" max="5646" width="9.140625" style="1"/>
    <col min="5647" max="5648" width="12" style="1" bestFit="1" customWidth="1"/>
    <col min="5649" max="5649" width="9.140625" style="1"/>
    <col min="5650" max="5650" width="11.140625" style="1" bestFit="1" customWidth="1"/>
    <col min="5651" max="5651" width="10.42578125" style="1" bestFit="1" customWidth="1"/>
    <col min="5652" max="5888" width="9.140625" style="1"/>
    <col min="5889" max="5889" width="28.140625" style="1" bestFit="1" customWidth="1"/>
    <col min="5890" max="5890" width="14" style="1" customWidth="1"/>
    <col min="5891" max="5891" width="9.140625" style="1" customWidth="1"/>
    <col min="5892" max="5892" width="11.28515625" style="1" customWidth="1"/>
    <col min="5893" max="5893" width="9.140625" style="1" customWidth="1"/>
    <col min="5894" max="5897" width="12" style="1" bestFit="1" customWidth="1"/>
    <col min="5898" max="5898" width="11" style="1" bestFit="1" customWidth="1"/>
    <col min="5899" max="5899" width="12" style="1" bestFit="1" customWidth="1"/>
    <col min="5900" max="5902" width="9.140625" style="1"/>
    <col min="5903" max="5904" width="12" style="1" bestFit="1" customWidth="1"/>
    <col min="5905" max="5905" width="9.140625" style="1"/>
    <col min="5906" max="5906" width="11.140625" style="1" bestFit="1" customWidth="1"/>
    <col min="5907" max="5907" width="10.42578125" style="1" bestFit="1" customWidth="1"/>
    <col min="5908" max="6144" width="9.140625" style="1"/>
    <col min="6145" max="6145" width="28.140625" style="1" bestFit="1" customWidth="1"/>
    <col min="6146" max="6146" width="14" style="1" customWidth="1"/>
    <col min="6147" max="6147" width="9.140625" style="1" customWidth="1"/>
    <col min="6148" max="6148" width="11.28515625" style="1" customWidth="1"/>
    <col min="6149" max="6149" width="9.140625" style="1" customWidth="1"/>
    <col min="6150" max="6153" width="12" style="1" bestFit="1" customWidth="1"/>
    <col min="6154" max="6154" width="11" style="1" bestFit="1" customWidth="1"/>
    <col min="6155" max="6155" width="12" style="1" bestFit="1" customWidth="1"/>
    <col min="6156" max="6158" width="9.140625" style="1"/>
    <col min="6159" max="6160" width="12" style="1" bestFit="1" customWidth="1"/>
    <col min="6161" max="6161" width="9.140625" style="1"/>
    <col min="6162" max="6162" width="11.140625" style="1" bestFit="1" customWidth="1"/>
    <col min="6163" max="6163" width="10.42578125" style="1" bestFit="1" customWidth="1"/>
    <col min="6164" max="6400" width="9.140625" style="1"/>
    <col min="6401" max="6401" width="28.140625" style="1" bestFit="1" customWidth="1"/>
    <col min="6402" max="6402" width="14" style="1" customWidth="1"/>
    <col min="6403" max="6403" width="9.140625" style="1" customWidth="1"/>
    <col min="6404" max="6404" width="11.28515625" style="1" customWidth="1"/>
    <col min="6405" max="6405" width="9.140625" style="1" customWidth="1"/>
    <col min="6406" max="6409" width="12" style="1" bestFit="1" customWidth="1"/>
    <col min="6410" max="6410" width="11" style="1" bestFit="1" customWidth="1"/>
    <col min="6411" max="6411" width="12" style="1" bestFit="1" customWidth="1"/>
    <col min="6412" max="6414" width="9.140625" style="1"/>
    <col min="6415" max="6416" width="12" style="1" bestFit="1" customWidth="1"/>
    <col min="6417" max="6417" width="9.140625" style="1"/>
    <col min="6418" max="6418" width="11.140625" style="1" bestFit="1" customWidth="1"/>
    <col min="6419" max="6419" width="10.42578125" style="1" bestFit="1" customWidth="1"/>
    <col min="6420" max="6656" width="9.140625" style="1"/>
    <col min="6657" max="6657" width="28.140625" style="1" bestFit="1" customWidth="1"/>
    <col min="6658" max="6658" width="14" style="1" customWidth="1"/>
    <col min="6659" max="6659" width="9.140625" style="1" customWidth="1"/>
    <col min="6660" max="6660" width="11.28515625" style="1" customWidth="1"/>
    <col min="6661" max="6661" width="9.140625" style="1" customWidth="1"/>
    <col min="6662" max="6665" width="12" style="1" bestFit="1" customWidth="1"/>
    <col min="6666" max="6666" width="11" style="1" bestFit="1" customWidth="1"/>
    <col min="6667" max="6667" width="12" style="1" bestFit="1" customWidth="1"/>
    <col min="6668" max="6670" width="9.140625" style="1"/>
    <col min="6671" max="6672" width="12" style="1" bestFit="1" customWidth="1"/>
    <col min="6673" max="6673" width="9.140625" style="1"/>
    <col min="6674" max="6674" width="11.140625" style="1" bestFit="1" customWidth="1"/>
    <col min="6675" max="6675" width="10.42578125" style="1" bestFit="1" customWidth="1"/>
    <col min="6676" max="6912" width="9.140625" style="1"/>
    <col min="6913" max="6913" width="28.140625" style="1" bestFit="1" customWidth="1"/>
    <col min="6914" max="6914" width="14" style="1" customWidth="1"/>
    <col min="6915" max="6915" width="9.140625" style="1" customWidth="1"/>
    <col min="6916" max="6916" width="11.28515625" style="1" customWidth="1"/>
    <col min="6917" max="6917" width="9.140625" style="1" customWidth="1"/>
    <col min="6918" max="6921" width="12" style="1" bestFit="1" customWidth="1"/>
    <col min="6922" max="6922" width="11" style="1" bestFit="1" customWidth="1"/>
    <col min="6923" max="6923" width="12" style="1" bestFit="1" customWidth="1"/>
    <col min="6924" max="6926" width="9.140625" style="1"/>
    <col min="6927" max="6928" width="12" style="1" bestFit="1" customWidth="1"/>
    <col min="6929" max="6929" width="9.140625" style="1"/>
    <col min="6930" max="6930" width="11.140625" style="1" bestFit="1" customWidth="1"/>
    <col min="6931" max="6931" width="10.42578125" style="1" bestFit="1" customWidth="1"/>
    <col min="6932" max="7168" width="9.140625" style="1"/>
    <col min="7169" max="7169" width="28.140625" style="1" bestFit="1" customWidth="1"/>
    <col min="7170" max="7170" width="14" style="1" customWidth="1"/>
    <col min="7171" max="7171" width="9.140625" style="1" customWidth="1"/>
    <col min="7172" max="7172" width="11.28515625" style="1" customWidth="1"/>
    <col min="7173" max="7173" width="9.140625" style="1" customWidth="1"/>
    <col min="7174" max="7177" width="12" style="1" bestFit="1" customWidth="1"/>
    <col min="7178" max="7178" width="11" style="1" bestFit="1" customWidth="1"/>
    <col min="7179" max="7179" width="12" style="1" bestFit="1" customWidth="1"/>
    <col min="7180" max="7182" width="9.140625" style="1"/>
    <col min="7183" max="7184" width="12" style="1" bestFit="1" customWidth="1"/>
    <col min="7185" max="7185" width="9.140625" style="1"/>
    <col min="7186" max="7186" width="11.140625" style="1" bestFit="1" customWidth="1"/>
    <col min="7187" max="7187" width="10.42578125" style="1" bestFit="1" customWidth="1"/>
    <col min="7188" max="7424" width="9.140625" style="1"/>
    <col min="7425" max="7425" width="28.140625" style="1" bestFit="1" customWidth="1"/>
    <col min="7426" max="7426" width="14" style="1" customWidth="1"/>
    <col min="7427" max="7427" width="9.140625" style="1" customWidth="1"/>
    <col min="7428" max="7428" width="11.28515625" style="1" customWidth="1"/>
    <col min="7429" max="7429" width="9.140625" style="1" customWidth="1"/>
    <col min="7430" max="7433" width="12" style="1" bestFit="1" customWidth="1"/>
    <col min="7434" max="7434" width="11" style="1" bestFit="1" customWidth="1"/>
    <col min="7435" max="7435" width="12" style="1" bestFit="1" customWidth="1"/>
    <col min="7436" max="7438" width="9.140625" style="1"/>
    <col min="7439" max="7440" width="12" style="1" bestFit="1" customWidth="1"/>
    <col min="7441" max="7441" width="9.140625" style="1"/>
    <col min="7442" max="7442" width="11.140625" style="1" bestFit="1" customWidth="1"/>
    <col min="7443" max="7443" width="10.42578125" style="1" bestFit="1" customWidth="1"/>
    <col min="7444" max="7680" width="9.140625" style="1"/>
    <col min="7681" max="7681" width="28.140625" style="1" bestFit="1" customWidth="1"/>
    <col min="7682" max="7682" width="14" style="1" customWidth="1"/>
    <col min="7683" max="7683" width="9.140625" style="1" customWidth="1"/>
    <col min="7684" max="7684" width="11.28515625" style="1" customWidth="1"/>
    <col min="7685" max="7685" width="9.140625" style="1" customWidth="1"/>
    <col min="7686" max="7689" width="12" style="1" bestFit="1" customWidth="1"/>
    <col min="7690" max="7690" width="11" style="1" bestFit="1" customWidth="1"/>
    <col min="7691" max="7691" width="12" style="1" bestFit="1" customWidth="1"/>
    <col min="7692" max="7694" width="9.140625" style="1"/>
    <col min="7695" max="7696" width="12" style="1" bestFit="1" customWidth="1"/>
    <col min="7697" max="7697" width="9.140625" style="1"/>
    <col min="7698" max="7698" width="11.140625" style="1" bestFit="1" customWidth="1"/>
    <col min="7699" max="7699" width="10.42578125" style="1" bestFit="1" customWidth="1"/>
    <col min="7700" max="7936" width="9.140625" style="1"/>
    <col min="7937" max="7937" width="28.140625" style="1" bestFit="1" customWidth="1"/>
    <col min="7938" max="7938" width="14" style="1" customWidth="1"/>
    <col min="7939" max="7939" width="9.140625" style="1" customWidth="1"/>
    <col min="7940" max="7940" width="11.28515625" style="1" customWidth="1"/>
    <col min="7941" max="7941" width="9.140625" style="1" customWidth="1"/>
    <col min="7942" max="7945" width="12" style="1" bestFit="1" customWidth="1"/>
    <col min="7946" max="7946" width="11" style="1" bestFit="1" customWidth="1"/>
    <col min="7947" max="7947" width="12" style="1" bestFit="1" customWidth="1"/>
    <col min="7948" max="7950" width="9.140625" style="1"/>
    <col min="7951" max="7952" width="12" style="1" bestFit="1" customWidth="1"/>
    <col min="7953" max="7953" width="9.140625" style="1"/>
    <col min="7954" max="7954" width="11.140625" style="1" bestFit="1" customWidth="1"/>
    <col min="7955" max="7955" width="10.42578125" style="1" bestFit="1" customWidth="1"/>
    <col min="7956" max="8192" width="9.140625" style="1"/>
    <col min="8193" max="8193" width="28.140625" style="1" bestFit="1" customWidth="1"/>
    <col min="8194" max="8194" width="14" style="1" customWidth="1"/>
    <col min="8195" max="8195" width="9.140625" style="1" customWidth="1"/>
    <col min="8196" max="8196" width="11.28515625" style="1" customWidth="1"/>
    <col min="8197" max="8197" width="9.140625" style="1" customWidth="1"/>
    <col min="8198" max="8201" width="12" style="1" bestFit="1" customWidth="1"/>
    <col min="8202" max="8202" width="11" style="1" bestFit="1" customWidth="1"/>
    <col min="8203" max="8203" width="12" style="1" bestFit="1" customWidth="1"/>
    <col min="8204" max="8206" width="9.140625" style="1"/>
    <col min="8207" max="8208" width="12" style="1" bestFit="1" customWidth="1"/>
    <col min="8209" max="8209" width="9.140625" style="1"/>
    <col min="8210" max="8210" width="11.140625" style="1" bestFit="1" customWidth="1"/>
    <col min="8211" max="8211" width="10.42578125" style="1" bestFit="1" customWidth="1"/>
    <col min="8212" max="8448" width="9.140625" style="1"/>
    <col min="8449" max="8449" width="28.140625" style="1" bestFit="1" customWidth="1"/>
    <col min="8450" max="8450" width="14" style="1" customWidth="1"/>
    <col min="8451" max="8451" width="9.140625" style="1" customWidth="1"/>
    <col min="8452" max="8452" width="11.28515625" style="1" customWidth="1"/>
    <col min="8453" max="8453" width="9.140625" style="1" customWidth="1"/>
    <col min="8454" max="8457" width="12" style="1" bestFit="1" customWidth="1"/>
    <col min="8458" max="8458" width="11" style="1" bestFit="1" customWidth="1"/>
    <col min="8459" max="8459" width="12" style="1" bestFit="1" customWidth="1"/>
    <col min="8460" max="8462" width="9.140625" style="1"/>
    <col min="8463" max="8464" width="12" style="1" bestFit="1" customWidth="1"/>
    <col min="8465" max="8465" width="9.140625" style="1"/>
    <col min="8466" max="8466" width="11.140625" style="1" bestFit="1" customWidth="1"/>
    <col min="8467" max="8467" width="10.42578125" style="1" bestFit="1" customWidth="1"/>
    <col min="8468" max="8704" width="9.140625" style="1"/>
    <col min="8705" max="8705" width="28.140625" style="1" bestFit="1" customWidth="1"/>
    <col min="8706" max="8706" width="14" style="1" customWidth="1"/>
    <col min="8707" max="8707" width="9.140625" style="1" customWidth="1"/>
    <col min="8708" max="8708" width="11.28515625" style="1" customWidth="1"/>
    <col min="8709" max="8709" width="9.140625" style="1" customWidth="1"/>
    <col min="8710" max="8713" width="12" style="1" bestFit="1" customWidth="1"/>
    <col min="8714" max="8714" width="11" style="1" bestFit="1" customWidth="1"/>
    <col min="8715" max="8715" width="12" style="1" bestFit="1" customWidth="1"/>
    <col min="8716" max="8718" width="9.140625" style="1"/>
    <col min="8719" max="8720" width="12" style="1" bestFit="1" customWidth="1"/>
    <col min="8721" max="8721" width="9.140625" style="1"/>
    <col min="8722" max="8722" width="11.140625" style="1" bestFit="1" customWidth="1"/>
    <col min="8723" max="8723" width="10.42578125" style="1" bestFit="1" customWidth="1"/>
    <col min="8724" max="8960" width="9.140625" style="1"/>
    <col min="8961" max="8961" width="28.140625" style="1" bestFit="1" customWidth="1"/>
    <col min="8962" max="8962" width="14" style="1" customWidth="1"/>
    <col min="8963" max="8963" width="9.140625" style="1" customWidth="1"/>
    <col min="8964" max="8964" width="11.28515625" style="1" customWidth="1"/>
    <col min="8965" max="8965" width="9.140625" style="1" customWidth="1"/>
    <col min="8966" max="8969" width="12" style="1" bestFit="1" customWidth="1"/>
    <col min="8970" max="8970" width="11" style="1" bestFit="1" customWidth="1"/>
    <col min="8971" max="8971" width="12" style="1" bestFit="1" customWidth="1"/>
    <col min="8972" max="8974" width="9.140625" style="1"/>
    <col min="8975" max="8976" width="12" style="1" bestFit="1" customWidth="1"/>
    <col min="8977" max="8977" width="9.140625" style="1"/>
    <col min="8978" max="8978" width="11.140625" style="1" bestFit="1" customWidth="1"/>
    <col min="8979" max="8979" width="10.42578125" style="1" bestFit="1" customWidth="1"/>
    <col min="8980" max="9216" width="9.140625" style="1"/>
    <col min="9217" max="9217" width="28.140625" style="1" bestFit="1" customWidth="1"/>
    <col min="9218" max="9218" width="14" style="1" customWidth="1"/>
    <col min="9219" max="9219" width="9.140625" style="1" customWidth="1"/>
    <col min="9220" max="9220" width="11.28515625" style="1" customWidth="1"/>
    <col min="9221" max="9221" width="9.140625" style="1" customWidth="1"/>
    <col min="9222" max="9225" width="12" style="1" bestFit="1" customWidth="1"/>
    <col min="9226" max="9226" width="11" style="1" bestFit="1" customWidth="1"/>
    <col min="9227" max="9227" width="12" style="1" bestFit="1" customWidth="1"/>
    <col min="9228" max="9230" width="9.140625" style="1"/>
    <col min="9231" max="9232" width="12" style="1" bestFit="1" customWidth="1"/>
    <col min="9233" max="9233" width="9.140625" style="1"/>
    <col min="9234" max="9234" width="11.140625" style="1" bestFit="1" customWidth="1"/>
    <col min="9235" max="9235" width="10.42578125" style="1" bestFit="1" customWidth="1"/>
    <col min="9236" max="9472" width="9.140625" style="1"/>
    <col min="9473" max="9473" width="28.140625" style="1" bestFit="1" customWidth="1"/>
    <col min="9474" max="9474" width="14" style="1" customWidth="1"/>
    <col min="9475" max="9475" width="9.140625" style="1" customWidth="1"/>
    <col min="9476" max="9476" width="11.28515625" style="1" customWidth="1"/>
    <col min="9477" max="9477" width="9.140625" style="1" customWidth="1"/>
    <col min="9478" max="9481" width="12" style="1" bestFit="1" customWidth="1"/>
    <col min="9482" max="9482" width="11" style="1" bestFit="1" customWidth="1"/>
    <col min="9483" max="9483" width="12" style="1" bestFit="1" customWidth="1"/>
    <col min="9484" max="9486" width="9.140625" style="1"/>
    <col min="9487" max="9488" width="12" style="1" bestFit="1" customWidth="1"/>
    <col min="9489" max="9489" width="9.140625" style="1"/>
    <col min="9490" max="9490" width="11.140625" style="1" bestFit="1" customWidth="1"/>
    <col min="9491" max="9491" width="10.42578125" style="1" bestFit="1" customWidth="1"/>
    <col min="9492" max="9728" width="9.140625" style="1"/>
    <col min="9729" max="9729" width="28.140625" style="1" bestFit="1" customWidth="1"/>
    <col min="9730" max="9730" width="14" style="1" customWidth="1"/>
    <col min="9731" max="9731" width="9.140625" style="1" customWidth="1"/>
    <col min="9732" max="9732" width="11.28515625" style="1" customWidth="1"/>
    <col min="9733" max="9733" width="9.140625" style="1" customWidth="1"/>
    <col min="9734" max="9737" width="12" style="1" bestFit="1" customWidth="1"/>
    <col min="9738" max="9738" width="11" style="1" bestFit="1" customWidth="1"/>
    <col min="9739" max="9739" width="12" style="1" bestFit="1" customWidth="1"/>
    <col min="9740" max="9742" width="9.140625" style="1"/>
    <col min="9743" max="9744" width="12" style="1" bestFit="1" customWidth="1"/>
    <col min="9745" max="9745" width="9.140625" style="1"/>
    <col min="9746" max="9746" width="11.140625" style="1" bestFit="1" customWidth="1"/>
    <col min="9747" max="9747" width="10.42578125" style="1" bestFit="1" customWidth="1"/>
    <col min="9748" max="9984" width="9.140625" style="1"/>
    <col min="9985" max="9985" width="28.140625" style="1" bestFit="1" customWidth="1"/>
    <col min="9986" max="9986" width="14" style="1" customWidth="1"/>
    <col min="9987" max="9987" width="9.140625" style="1" customWidth="1"/>
    <col min="9988" max="9988" width="11.28515625" style="1" customWidth="1"/>
    <col min="9989" max="9989" width="9.140625" style="1" customWidth="1"/>
    <col min="9990" max="9993" width="12" style="1" bestFit="1" customWidth="1"/>
    <col min="9994" max="9994" width="11" style="1" bestFit="1" customWidth="1"/>
    <col min="9995" max="9995" width="12" style="1" bestFit="1" customWidth="1"/>
    <col min="9996" max="9998" width="9.140625" style="1"/>
    <col min="9999" max="10000" width="12" style="1" bestFit="1" customWidth="1"/>
    <col min="10001" max="10001" width="9.140625" style="1"/>
    <col min="10002" max="10002" width="11.140625" style="1" bestFit="1" customWidth="1"/>
    <col min="10003" max="10003" width="10.42578125" style="1" bestFit="1" customWidth="1"/>
    <col min="10004" max="10240" width="9.140625" style="1"/>
    <col min="10241" max="10241" width="28.140625" style="1" bestFit="1" customWidth="1"/>
    <col min="10242" max="10242" width="14" style="1" customWidth="1"/>
    <col min="10243" max="10243" width="9.140625" style="1" customWidth="1"/>
    <col min="10244" max="10244" width="11.28515625" style="1" customWidth="1"/>
    <col min="10245" max="10245" width="9.140625" style="1" customWidth="1"/>
    <col min="10246" max="10249" width="12" style="1" bestFit="1" customWidth="1"/>
    <col min="10250" max="10250" width="11" style="1" bestFit="1" customWidth="1"/>
    <col min="10251" max="10251" width="12" style="1" bestFit="1" customWidth="1"/>
    <col min="10252" max="10254" width="9.140625" style="1"/>
    <col min="10255" max="10256" width="12" style="1" bestFit="1" customWidth="1"/>
    <col min="10257" max="10257" width="9.140625" style="1"/>
    <col min="10258" max="10258" width="11.140625" style="1" bestFit="1" customWidth="1"/>
    <col min="10259" max="10259" width="10.42578125" style="1" bestFit="1" customWidth="1"/>
    <col min="10260" max="10496" width="9.140625" style="1"/>
    <col min="10497" max="10497" width="28.140625" style="1" bestFit="1" customWidth="1"/>
    <col min="10498" max="10498" width="14" style="1" customWidth="1"/>
    <col min="10499" max="10499" width="9.140625" style="1" customWidth="1"/>
    <col min="10500" max="10500" width="11.28515625" style="1" customWidth="1"/>
    <col min="10501" max="10501" width="9.140625" style="1" customWidth="1"/>
    <col min="10502" max="10505" width="12" style="1" bestFit="1" customWidth="1"/>
    <col min="10506" max="10506" width="11" style="1" bestFit="1" customWidth="1"/>
    <col min="10507" max="10507" width="12" style="1" bestFit="1" customWidth="1"/>
    <col min="10508" max="10510" width="9.140625" style="1"/>
    <col min="10511" max="10512" width="12" style="1" bestFit="1" customWidth="1"/>
    <col min="10513" max="10513" width="9.140625" style="1"/>
    <col min="10514" max="10514" width="11.140625" style="1" bestFit="1" customWidth="1"/>
    <col min="10515" max="10515" width="10.42578125" style="1" bestFit="1" customWidth="1"/>
    <col min="10516" max="10752" width="9.140625" style="1"/>
    <col min="10753" max="10753" width="28.140625" style="1" bestFit="1" customWidth="1"/>
    <col min="10754" max="10754" width="14" style="1" customWidth="1"/>
    <col min="10755" max="10755" width="9.140625" style="1" customWidth="1"/>
    <col min="10756" max="10756" width="11.28515625" style="1" customWidth="1"/>
    <col min="10757" max="10757" width="9.140625" style="1" customWidth="1"/>
    <col min="10758" max="10761" width="12" style="1" bestFit="1" customWidth="1"/>
    <col min="10762" max="10762" width="11" style="1" bestFit="1" customWidth="1"/>
    <col min="10763" max="10763" width="12" style="1" bestFit="1" customWidth="1"/>
    <col min="10764" max="10766" width="9.140625" style="1"/>
    <col min="10767" max="10768" width="12" style="1" bestFit="1" customWidth="1"/>
    <col min="10769" max="10769" width="9.140625" style="1"/>
    <col min="10770" max="10770" width="11.140625" style="1" bestFit="1" customWidth="1"/>
    <col min="10771" max="10771" width="10.42578125" style="1" bestFit="1" customWidth="1"/>
    <col min="10772" max="11008" width="9.140625" style="1"/>
    <col min="11009" max="11009" width="28.140625" style="1" bestFit="1" customWidth="1"/>
    <col min="11010" max="11010" width="14" style="1" customWidth="1"/>
    <col min="11011" max="11011" width="9.140625" style="1" customWidth="1"/>
    <col min="11012" max="11012" width="11.28515625" style="1" customWidth="1"/>
    <col min="11013" max="11013" width="9.140625" style="1" customWidth="1"/>
    <col min="11014" max="11017" width="12" style="1" bestFit="1" customWidth="1"/>
    <col min="11018" max="11018" width="11" style="1" bestFit="1" customWidth="1"/>
    <col min="11019" max="11019" width="12" style="1" bestFit="1" customWidth="1"/>
    <col min="11020" max="11022" width="9.140625" style="1"/>
    <col min="11023" max="11024" width="12" style="1" bestFit="1" customWidth="1"/>
    <col min="11025" max="11025" width="9.140625" style="1"/>
    <col min="11026" max="11026" width="11.140625" style="1" bestFit="1" customWidth="1"/>
    <col min="11027" max="11027" width="10.42578125" style="1" bestFit="1" customWidth="1"/>
    <col min="11028" max="11264" width="9.140625" style="1"/>
    <col min="11265" max="11265" width="28.140625" style="1" bestFit="1" customWidth="1"/>
    <col min="11266" max="11266" width="14" style="1" customWidth="1"/>
    <col min="11267" max="11267" width="9.140625" style="1" customWidth="1"/>
    <col min="11268" max="11268" width="11.28515625" style="1" customWidth="1"/>
    <col min="11269" max="11269" width="9.140625" style="1" customWidth="1"/>
    <col min="11270" max="11273" width="12" style="1" bestFit="1" customWidth="1"/>
    <col min="11274" max="11274" width="11" style="1" bestFit="1" customWidth="1"/>
    <col min="11275" max="11275" width="12" style="1" bestFit="1" customWidth="1"/>
    <col min="11276" max="11278" width="9.140625" style="1"/>
    <col min="11279" max="11280" width="12" style="1" bestFit="1" customWidth="1"/>
    <col min="11281" max="11281" width="9.140625" style="1"/>
    <col min="11282" max="11282" width="11.140625" style="1" bestFit="1" customWidth="1"/>
    <col min="11283" max="11283" width="10.42578125" style="1" bestFit="1" customWidth="1"/>
    <col min="11284" max="11520" width="9.140625" style="1"/>
    <col min="11521" max="11521" width="28.140625" style="1" bestFit="1" customWidth="1"/>
    <col min="11522" max="11522" width="14" style="1" customWidth="1"/>
    <col min="11523" max="11523" width="9.140625" style="1" customWidth="1"/>
    <col min="11524" max="11524" width="11.28515625" style="1" customWidth="1"/>
    <col min="11525" max="11525" width="9.140625" style="1" customWidth="1"/>
    <col min="11526" max="11529" width="12" style="1" bestFit="1" customWidth="1"/>
    <col min="11530" max="11530" width="11" style="1" bestFit="1" customWidth="1"/>
    <col min="11531" max="11531" width="12" style="1" bestFit="1" customWidth="1"/>
    <col min="11532" max="11534" width="9.140625" style="1"/>
    <col min="11535" max="11536" width="12" style="1" bestFit="1" customWidth="1"/>
    <col min="11537" max="11537" width="9.140625" style="1"/>
    <col min="11538" max="11538" width="11.140625" style="1" bestFit="1" customWidth="1"/>
    <col min="11539" max="11539" width="10.42578125" style="1" bestFit="1" customWidth="1"/>
    <col min="11540" max="11776" width="9.140625" style="1"/>
    <col min="11777" max="11777" width="28.140625" style="1" bestFit="1" customWidth="1"/>
    <col min="11778" max="11778" width="14" style="1" customWidth="1"/>
    <col min="11779" max="11779" width="9.140625" style="1" customWidth="1"/>
    <col min="11780" max="11780" width="11.28515625" style="1" customWidth="1"/>
    <col min="11781" max="11781" width="9.140625" style="1" customWidth="1"/>
    <col min="11782" max="11785" width="12" style="1" bestFit="1" customWidth="1"/>
    <col min="11786" max="11786" width="11" style="1" bestFit="1" customWidth="1"/>
    <col min="11787" max="11787" width="12" style="1" bestFit="1" customWidth="1"/>
    <col min="11788" max="11790" width="9.140625" style="1"/>
    <col min="11791" max="11792" width="12" style="1" bestFit="1" customWidth="1"/>
    <col min="11793" max="11793" width="9.140625" style="1"/>
    <col min="11794" max="11794" width="11.140625" style="1" bestFit="1" customWidth="1"/>
    <col min="11795" max="11795" width="10.42578125" style="1" bestFit="1" customWidth="1"/>
    <col min="11796" max="12032" width="9.140625" style="1"/>
    <col min="12033" max="12033" width="28.140625" style="1" bestFit="1" customWidth="1"/>
    <col min="12034" max="12034" width="14" style="1" customWidth="1"/>
    <col min="12035" max="12035" width="9.140625" style="1" customWidth="1"/>
    <col min="12036" max="12036" width="11.28515625" style="1" customWidth="1"/>
    <col min="12037" max="12037" width="9.140625" style="1" customWidth="1"/>
    <col min="12038" max="12041" width="12" style="1" bestFit="1" customWidth="1"/>
    <col min="12042" max="12042" width="11" style="1" bestFit="1" customWidth="1"/>
    <col min="12043" max="12043" width="12" style="1" bestFit="1" customWidth="1"/>
    <col min="12044" max="12046" width="9.140625" style="1"/>
    <col min="12047" max="12048" width="12" style="1" bestFit="1" customWidth="1"/>
    <col min="12049" max="12049" width="9.140625" style="1"/>
    <col min="12050" max="12050" width="11.140625" style="1" bestFit="1" customWidth="1"/>
    <col min="12051" max="12051" width="10.42578125" style="1" bestFit="1" customWidth="1"/>
    <col min="12052" max="12288" width="9.140625" style="1"/>
    <col min="12289" max="12289" width="28.140625" style="1" bestFit="1" customWidth="1"/>
    <col min="12290" max="12290" width="14" style="1" customWidth="1"/>
    <col min="12291" max="12291" width="9.140625" style="1" customWidth="1"/>
    <col min="12292" max="12292" width="11.28515625" style="1" customWidth="1"/>
    <col min="12293" max="12293" width="9.140625" style="1" customWidth="1"/>
    <col min="12294" max="12297" width="12" style="1" bestFit="1" customWidth="1"/>
    <col min="12298" max="12298" width="11" style="1" bestFit="1" customWidth="1"/>
    <col min="12299" max="12299" width="12" style="1" bestFit="1" customWidth="1"/>
    <col min="12300" max="12302" width="9.140625" style="1"/>
    <col min="12303" max="12304" width="12" style="1" bestFit="1" customWidth="1"/>
    <col min="12305" max="12305" width="9.140625" style="1"/>
    <col min="12306" max="12306" width="11.140625" style="1" bestFit="1" customWidth="1"/>
    <col min="12307" max="12307" width="10.42578125" style="1" bestFit="1" customWidth="1"/>
    <col min="12308" max="12544" width="9.140625" style="1"/>
    <col min="12545" max="12545" width="28.140625" style="1" bestFit="1" customWidth="1"/>
    <col min="12546" max="12546" width="14" style="1" customWidth="1"/>
    <col min="12547" max="12547" width="9.140625" style="1" customWidth="1"/>
    <col min="12548" max="12548" width="11.28515625" style="1" customWidth="1"/>
    <col min="12549" max="12549" width="9.140625" style="1" customWidth="1"/>
    <col min="12550" max="12553" width="12" style="1" bestFit="1" customWidth="1"/>
    <col min="12554" max="12554" width="11" style="1" bestFit="1" customWidth="1"/>
    <col min="12555" max="12555" width="12" style="1" bestFit="1" customWidth="1"/>
    <col min="12556" max="12558" width="9.140625" style="1"/>
    <col min="12559" max="12560" width="12" style="1" bestFit="1" customWidth="1"/>
    <col min="12561" max="12561" width="9.140625" style="1"/>
    <col min="12562" max="12562" width="11.140625" style="1" bestFit="1" customWidth="1"/>
    <col min="12563" max="12563" width="10.42578125" style="1" bestFit="1" customWidth="1"/>
    <col min="12564" max="12800" width="9.140625" style="1"/>
    <col min="12801" max="12801" width="28.140625" style="1" bestFit="1" customWidth="1"/>
    <col min="12802" max="12802" width="14" style="1" customWidth="1"/>
    <col min="12803" max="12803" width="9.140625" style="1" customWidth="1"/>
    <col min="12804" max="12804" width="11.28515625" style="1" customWidth="1"/>
    <col min="12805" max="12805" width="9.140625" style="1" customWidth="1"/>
    <col min="12806" max="12809" width="12" style="1" bestFit="1" customWidth="1"/>
    <col min="12810" max="12810" width="11" style="1" bestFit="1" customWidth="1"/>
    <col min="12811" max="12811" width="12" style="1" bestFit="1" customWidth="1"/>
    <col min="12812" max="12814" width="9.140625" style="1"/>
    <col min="12815" max="12816" width="12" style="1" bestFit="1" customWidth="1"/>
    <col min="12817" max="12817" width="9.140625" style="1"/>
    <col min="12818" max="12818" width="11.140625" style="1" bestFit="1" customWidth="1"/>
    <col min="12819" max="12819" width="10.42578125" style="1" bestFit="1" customWidth="1"/>
    <col min="12820" max="13056" width="9.140625" style="1"/>
    <col min="13057" max="13057" width="28.140625" style="1" bestFit="1" customWidth="1"/>
    <col min="13058" max="13058" width="14" style="1" customWidth="1"/>
    <col min="13059" max="13059" width="9.140625" style="1" customWidth="1"/>
    <col min="13060" max="13060" width="11.28515625" style="1" customWidth="1"/>
    <col min="13061" max="13061" width="9.140625" style="1" customWidth="1"/>
    <col min="13062" max="13065" width="12" style="1" bestFit="1" customWidth="1"/>
    <col min="13066" max="13066" width="11" style="1" bestFit="1" customWidth="1"/>
    <col min="13067" max="13067" width="12" style="1" bestFit="1" customWidth="1"/>
    <col min="13068" max="13070" width="9.140625" style="1"/>
    <col min="13071" max="13072" width="12" style="1" bestFit="1" customWidth="1"/>
    <col min="13073" max="13073" width="9.140625" style="1"/>
    <col min="13074" max="13074" width="11.140625" style="1" bestFit="1" customWidth="1"/>
    <col min="13075" max="13075" width="10.42578125" style="1" bestFit="1" customWidth="1"/>
    <col min="13076" max="13312" width="9.140625" style="1"/>
    <col min="13313" max="13313" width="28.140625" style="1" bestFit="1" customWidth="1"/>
    <col min="13314" max="13314" width="14" style="1" customWidth="1"/>
    <col min="13315" max="13315" width="9.140625" style="1" customWidth="1"/>
    <col min="13316" max="13316" width="11.28515625" style="1" customWidth="1"/>
    <col min="13317" max="13317" width="9.140625" style="1" customWidth="1"/>
    <col min="13318" max="13321" width="12" style="1" bestFit="1" customWidth="1"/>
    <col min="13322" max="13322" width="11" style="1" bestFit="1" customWidth="1"/>
    <col min="13323" max="13323" width="12" style="1" bestFit="1" customWidth="1"/>
    <col min="13324" max="13326" width="9.140625" style="1"/>
    <col min="13327" max="13328" width="12" style="1" bestFit="1" customWidth="1"/>
    <col min="13329" max="13329" width="9.140625" style="1"/>
    <col min="13330" max="13330" width="11.140625" style="1" bestFit="1" customWidth="1"/>
    <col min="13331" max="13331" width="10.42578125" style="1" bestFit="1" customWidth="1"/>
    <col min="13332" max="13568" width="9.140625" style="1"/>
    <col min="13569" max="13569" width="28.140625" style="1" bestFit="1" customWidth="1"/>
    <col min="13570" max="13570" width="14" style="1" customWidth="1"/>
    <col min="13571" max="13571" width="9.140625" style="1" customWidth="1"/>
    <col min="13572" max="13572" width="11.28515625" style="1" customWidth="1"/>
    <col min="13573" max="13573" width="9.140625" style="1" customWidth="1"/>
    <col min="13574" max="13577" width="12" style="1" bestFit="1" customWidth="1"/>
    <col min="13578" max="13578" width="11" style="1" bestFit="1" customWidth="1"/>
    <col min="13579" max="13579" width="12" style="1" bestFit="1" customWidth="1"/>
    <col min="13580" max="13582" width="9.140625" style="1"/>
    <col min="13583" max="13584" width="12" style="1" bestFit="1" customWidth="1"/>
    <col min="13585" max="13585" width="9.140625" style="1"/>
    <col min="13586" max="13586" width="11.140625" style="1" bestFit="1" customWidth="1"/>
    <col min="13587" max="13587" width="10.42578125" style="1" bestFit="1" customWidth="1"/>
    <col min="13588" max="13824" width="9.140625" style="1"/>
    <col min="13825" max="13825" width="28.140625" style="1" bestFit="1" customWidth="1"/>
    <col min="13826" max="13826" width="14" style="1" customWidth="1"/>
    <col min="13827" max="13827" width="9.140625" style="1" customWidth="1"/>
    <col min="13828" max="13828" width="11.28515625" style="1" customWidth="1"/>
    <col min="13829" max="13829" width="9.140625" style="1" customWidth="1"/>
    <col min="13830" max="13833" width="12" style="1" bestFit="1" customWidth="1"/>
    <col min="13834" max="13834" width="11" style="1" bestFit="1" customWidth="1"/>
    <col min="13835" max="13835" width="12" style="1" bestFit="1" customWidth="1"/>
    <col min="13836" max="13838" width="9.140625" style="1"/>
    <col min="13839" max="13840" width="12" style="1" bestFit="1" customWidth="1"/>
    <col min="13841" max="13841" width="9.140625" style="1"/>
    <col min="13842" max="13842" width="11.140625" style="1" bestFit="1" customWidth="1"/>
    <col min="13843" max="13843" width="10.42578125" style="1" bestFit="1" customWidth="1"/>
    <col min="13844" max="14080" width="9.140625" style="1"/>
    <col min="14081" max="14081" width="28.140625" style="1" bestFit="1" customWidth="1"/>
    <col min="14082" max="14082" width="14" style="1" customWidth="1"/>
    <col min="14083" max="14083" width="9.140625" style="1" customWidth="1"/>
    <col min="14084" max="14084" width="11.28515625" style="1" customWidth="1"/>
    <col min="14085" max="14085" width="9.140625" style="1" customWidth="1"/>
    <col min="14086" max="14089" width="12" style="1" bestFit="1" customWidth="1"/>
    <col min="14090" max="14090" width="11" style="1" bestFit="1" customWidth="1"/>
    <col min="14091" max="14091" width="12" style="1" bestFit="1" customWidth="1"/>
    <col min="14092" max="14094" width="9.140625" style="1"/>
    <col min="14095" max="14096" width="12" style="1" bestFit="1" customWidth="1"/>
    <col min="14097" max="14097" width="9.140625" style="1"/>
    <col min="14098" max="14098" width="11.140625" style="1" bestFit="1" customWidth="1"/>
    <col min="14099" max="14099" width="10.42578125" style="1" bestFit="1" customWidth="1"/>
    <col min="14100" max="14336" width="9.140625" style="1"/>
    <col min="14337" max="14337" width="28.140625" style="1" bestFit="1" customWidth="1"/>
    <col min="14338" max="14338" width="14" style="1" customWidth="1"/>
    <col min="14339" max="14339" width="9.140625" style="1" customWidth="1"/>
    <col min="14340" max="14340" width="11.28515625" style="1" customWidth="1"/>
    <col min="14341" max="14341" width="9.140625" style="1" customWidth="1"/>
    <col min="14342" max="14345" width="12" style="1" bestFit="1" customWidth="1"/>
    <col min="14346" max="14346" width="11" style="1" bestFit="1" customWidth="1"/>
    <col min="14347" max="14347" width="12" style="1" bestFit="1" customWidth="1"/>
    <col min="14348" max="14350" width="9.140625" style="1"/>
    <col min="14351" max="14352" width="12" style="1" bestFit="1" customWidth="1"/>
    <col min="14353" max="14353" width="9.140625" style="1"/>
    <col min="14354" max="14354" width="11.140625" style="1" bestFit="1" customWidth="1"/>
    <col min="14355" max="14355" width="10.42578125" style="1" bestFit="1" customWidth="1"/>
    <col min="14356" max="14592" width="9.140625" style="1"/>
    <col min="14593" max="14593" width="28.140625" style="1" bestFit="1" customWidth="1"/>
    <col min="14594" max="14594" width="14" style="1" customWidth="1"/>
    <col min="14595" max="14595" width="9.140625" style="1" customWidth="1"/>
    <col min="14596" max="14596" width="11.28515625" style="1" customWidth="1"/>
    <col min="14597" max="14597" width="9.140625" style="1" customWidth="1"/>
    <col min="14598" max="14601" width="12" style="1" bestFit="1" customWidth="1"/>
    <col min="14602" max="14602" width="11" style="1" bestFit="1" customWidth="1"/>
    <col min="14603" max="14603" width="12" style="1" bestFit="1" customWidth="1"/>
    <col min="14604" max="14606" width="9.140625" style="1"/>
    <col min="14607" max="14608" width="12" style="1" bestFit="1" customWidth="1"/>
    <col min="14609" max="14609" width="9.140625" style="1"/>
    <col min="14610" max="14610" width="11.140625" style="1" bestFit="1" customWidth="1"/>
    <col min="14611" max="14611" width="10.42578125" style="1" bestFit="1" customWidth="1"/>
    <col min="14612" max="14848" width="9.140625" style="1"/>
    <col min="14849" max="14849" width="28.140625" style="1" bestFit="1" customWidth="1"/>
    <col min="14850" max="14850" width="14" style="1" customWidth="1"/>
    <col min="14851" max="14851" width="9.140625" style="1" customWidth="1"/>
    <col min="14852" max="14852" width="11.28515625" style="1" customWidth="1"/>
    <col min="14853" max="14853" width="9.140625" style="1" customWidth="1"/>
    <col min="14854" max="14857" width="12" style="1" bestFit="1" customWidth="1"/>
    <col min="14858" max="14858" width="11" style="1" bestFit="1" customWidth="1"/>
    <col min="14859" max="14859" width="12" style="1" bestFit="1" customWidth="1"/>
    <col min="14860" max="14862" width="9.140625" style="1"/>
    <col min="14863" max="14864" width="12" style="1" bestFit="1" customWidth="1"/>
    <col min="14865" max="14865" width="9.140625" style="1"/>
    <col min="14866" max="14866" width="11.140625" style="1" bestFit="1" customWidth="1"/>
    <col min="14867" max="14867" width="10.42578125" style="1" bestFit="1" customWidth="1"/>
    <col min="14868" max="15104" width="9.140625" style="1"/>
    <col min="15105" max="15105" width="28.140625" style="1" bestFit="1" customWidth="1"/>
    <col min="15106" max="15106" width="14" style="1" customWidth="1"/>
    <col min="15107" max="15107" width="9.140625" style="1" customWidth="1"/>
    <col min="15108" max="15108" width="11.28515625" style="1" customWidth="1"/>
    <col min="15109" max="15109" width="9.140625" style="1" customWidth="1"/>
    <col min="15110" max="15113" width="12" style="1" bestFit="1" customWidth="1"/>
    <col min="15114" max="15114" width="11" style="1" bestFit="1" customWidth="1"/>
    <col min="15115" max="15115" width="12" style="1" bestFit="1" customWidth="1"/>
    <col min="15116" max="15118" width="9.140625" style="1"/>
    <col min="15119" max="15120" width="12" style="1" bestFit="1" customWidth="1"/>
    <col min="15121" max="15121" width="9.140625" style="1"/>
    <col min="15122" max="15122" width="11.140625" style="1" bestFit="1" customWidth="1"/>
    <col min="15123" max="15123" width="10.42578125" style="1" bestFit="1" customWidth="1"/>
    <col min="15124" max="15360" width="9.140625" style="1"/>
    <col min="15361" max="15361" width="28.140625" style="1" bestFit="1" customWidth="1"/>
    <col min="15362" max="15362" width="14" style="1" customWidth="1"/>
    <col min="15363" max="15363" width="9.140625" style="1" customWidth="1"/>
    <col min="15364" max="15364" width="11.28515625" style="1" customWidth="1"/>
    <col min="15365" max="15365" width="9.140625" style="1" customWidth="1"/>
    <col min="15366" max="15369" width="12" style="1" bestFit="1" customWidth="1"/>
    <col min="15370" max="15370" width="11" style="1" bestFit="1" customWidth="1"/>
    <col min="15371" max="15371" width="12" style="1" bestFit="1" customWidth="1"/>
    <col min="15372" max="15374" width="9.140625" style="1"/>
    <col min="15375" max="15376" width="12" style="1" bestFit="1" customWidth="1"/>
    <col min="15377" max="15377" width="9.140625" style="1"/>
    <col min="15378" max="15378" width="11.140625" style="1" bestFit="1" customWidth="1"/>
    <col min="15379" max="15379" width="10.42578125" style="1" bestFit="1" customWidth="1"/>
    <col min="15380" max="15616" width="9.140625" style="1"/>
    <col min="15617" max="15617" width="28.140625" style="1" bestFit="1" customWidth="1"/>
    <col min="15618" max="15618" width="14" style="1" customWidth="1"/>
    <col min="15619" max="15619" width="9.140625" style="1" customWidth="1"/>
    <col min="15620" max="15620" width="11.28515625" style="1" customWidth="1"/>
    <col min="15621" max="15621" width="9.140625" style="1" customWidth="1"/>
    <col min="15622" max="15625" width="12" style="1" bestFit="1" customWidth="1"/>
    <col min="15626" max="15626" width="11" style="1" bestFit="1" customWidth="1"/>
    <col min="15627" max="15627" width="12" style="1" bestFit="1" customWidth="1"/>
    <col min="15628" max="15630" width="9.140625" style="1"/>
    <col min="15631" max="15632" width="12" style="1" bestFit="1" customWidth="1"/>
    <col min="15633" max="15633" width="9.140625" style="1"/>
    <col min="15634" max="15634" width="11.140625" style="1" bestFit="1" customWidth="1"/>
    <col min="15635" max="15635" width="10.42578125" style="1" bestFit="1" customWidth="1"/>
    <col min="15636" max="15872" width="9.140625" style="1"/>
    <col min="15873" max="15873" width="28.140625" style="1" bestFit="1" customWidth="1"/>
    <col min="15874" max="15874" width="14" style="1" customWidth="1"/>
    <col min="15875" max="15875" width="9.140625" style="1" customWidth="1"/>
    <col min="15876" max="15876" width="11.28515625" style="1" customWidth="1"/>
    <col min="15877" max="15877" width="9.140625" style="1" customWidth="1"/>
    <col min="15878" max="15881" width="12" style="1" bestFit="1" customWidth="1"/>
    <col min="15882" max="15882" width="11" style="1" bestFit="1" customWidth="1"/>
    <col min="15883" max="15883" width="12" style="1" bestFit="1" customWidth="1"/>
    <col min="15884" max="15886" width="9.140625" style="1"/>
    <col min="15887" max="15888" width="12" style="1" bestFit="1" customWidth="1"/>
    <col min="15889" max="15889" width="9.140625" style="1"/>
    <col min="15890" max="15890" width="11.140625" style="1" bestFit="1" customWidth="1"/>
    <col min="15891" max="15891" width="10.42578125" style="1" bestFit="1" customWidth="1"/>
    <col min="15892" max="16128" width="9.140625" style="1"/>
    <col min="16129" max="16129" width="28.140625" style="1" bestFit="1" customWidth="1"/>
    <col min="16130" max="16130" width="14" style="1" customWidth="1"/>
    <col min="16131" max="16131" width="9.140625" style="1" customWidth="1"/>
    <col min="16132" max="16132" width="11.28515625" style="1" customWidth="1"/>
    <col min="16133" max="16133" width="9.140625" style="1" customWidth="1"/>
    <col min="16134" max="16137" width="12" style="1" bestFit="1" customWidth="1"/>
    <col min="16138" max="16138" width="11" style="1" bestFit="1" customWidth="1"/>
    <col min="16139" max="16139" width="12" style="1" bestFit="1" customWidth="1"/>
    <col min="16140" max="16142" width="9.140625" style="1"/>
    <col min="16143" max="16144" width="12" style="1" bestFit="1" customWidth="1"/>
    <col min="16145" max="16145" width="9.140625" style="1"/>
    <col min="16146" max="16146" width="11.140625" style="1" bestFit="1" customWidth="1"/>
    <col min="16147" max="16147" width="10.42578125" style="1" bestFit="1" customWidth="1"/>
    <col min="16148" max="16384" width="9.140625" style="1"/>
  </cols>
  <sheetData>
    <row r="1" spans="1:19" x14ac:dyDescent="0.2">
      <c r="F1" s="119" t="s">
        <v>49</v>
      </c>
      <c r="G1" s="119" t="s">
        <v>48</v>
      </c>
      <c r="H1" s="119" t="s">
        <v>47</v>
      </c>
      <c r="I1" s="119" t="s">
        <v>46</v>
      </c>
      <c r="J1" s="119" t="s">
        <v>45</v>
      </c>
      <c r="K1" s="119" t="s">
        <v>44</v>
      </c>
      <c r="L1" s="119" t="s">
        <v>43</v>
      </c>
      <c r="M1" s="119" t="s">
        <v>42</v>
      </c>
      <c r="N1" s="119" t="s">
        <v>41</v>
      </c>
      <c r="O1" s="119" t="s">
        <v>40</v>
      </c>
      <c r="P1" s="119" t="s">
        <v>39</v>
      </c>
      <c r="Q1" s="119" t="s">
        <v>38</v>
      </c>
      <c r="R1" s="119" t="s">
        <v>37</v>
      </c>
    </row>
    <row r="2" spans="1:19" x14ac:dyDescent="0.2">
      <c r="B2" s="139" t="s">
        <v>248</v>
      </c>
      <c r="C2" s="4">
        <f>STATS!D34</f>
        <v>7102</v>
      </c>
      <c r="F2" s="131">
        <f>'MO STATS'!E30</f>
        <v>318</v>
      </c>
      <c r="G2" s="131">
        <f>'MO STATS'!F30</f>
        <v>545</v>
      </c>
      <c r="H2" s="131">
        <f>'MO STATS'!G30</f>
        <v>458</v>
      </c>
      <c r="I2" s="131">
        <f>'MO STATS'!H30</f>
        <v>405</v>
      </c>
      <c r="J2" s="131">
        <f>'MO STATS'!I30</f>
        <v>645</v>
      </c>
      <c r="K2" s="131">
        <f>'MO STATS'!J30</f>
        <v>912</v>
      </c>
      <c r="L2" s="131">
        <f>'MO STATS'!K30</f>
        <v>564</v>
      </c>
      <c r="M2" s="131">
        <f>'MO STATS'!L30</f>
        <v>490</v>
      </c>
      <c r="N2" s="131">
        <f>'MO STATS'!M30</f>
        <v>638</v>
      </c>
      <c r="O2" s="131">
        <f>'MO STATS'!N30</f>
        <v>680</v>
      </c>
      <c r="P2" s="131">
        <f>'MO STATS'!O30</f>
        <v>925</v>
      </c>
      <c r="Q2" s="131">
        <f>'MO STATS'!P30</f>
        <v>522</v>
      </c>
      <c r="R2" s="96">
        <f>SUM(F2:Q2)</f>
        <v>7102</v>
      </c>
      <c r="S2" s="3">
        <f>C2-R2</f>
        <v>0</v>
      </c>
    </row>
    <row r="3" spans="1:19" x14ac:dyDescent="0.2">
      <c r="B3" s="139" t="s">
        <v>250</v>
      </c>
      <c r="C3" s="4">
        <f>STATS!D35</f>
        <v>5835</v>
      </c>
      <c r="F3" s="131">
        <f>'MO STATS'!E31</f>
        <v>508</v>
      </c>
      <c r="G3" s="131">
        <f>'MO STATS'!F31</f>
        <v>510</v>
      </c>
      <c r="H3" s="131">
        <f>'MO STATS'!G31</f>
        <v>330</v>
      </c>
      <c r="I3" s="131">
        <f>'MO STATS'!H31</f>
        <v>401</v>
      </c>
      <c r="J3" s="131">
        <f>'MO STATS'!I31</f>
        <v>475</v>
      </c>
      <c r="K3" s="131">
        <f>'MO STATS'!J31</f>
        <v>470</v>
      </c>
      <c r="L3" s="131">
        <f>'MO STATS'!K31</f>
        <v>499</v>
      </c>
      <c r="M3" s="131">
        <f>'MO STATS'!L31</f>
        <v>513</v>
      </c>
      <c r="N3" s="131">
        <f>'MO STATS'!M31</f>
        <v>466</v>
      </c>
      <c r="O3" s="131">
        <f>'MO STATS'!N31</f>
        <v>459</v>
      </c>
      <c r="P3" s="131">
        <f>'MO STATS'!O31</f>
        <v>619</v>
      </c>
      <c r="Q3" s="131">
        <f>'MO STATS'!P31</f>
        <v>585</v>
      </c>
      <c r="R3" s="96">
        <f>SUM(F3:Q3)</f>
        <v>5835</v>
      </c>
      <c r="S3" s="3">
        <f>C3-R3</f>
        <v>0</v>
      </c>
    </row>
    <row r="4" spans="1:19" x14ac:dyDescent="0.2">
      <c r="B4" s="162" t="s">
        <v>37</v>
      </c>
      <c r="C4" s="111">
        <f>C2+C3</f>
        <v>12937</v>
      </c>
      <c r="F4" s="131">
        <f>'MO STATS'!E32</f>
        <v>826</v>
      </c>
      <c r="G4" s="131">
        <f>'MO STATS'!F32</f>
        <v>1055</v>
      </c>
      <c r="H4" s="131">
        <f>'MO STATS'!G32</f>
        <v>788</v>
      </c>
      <c r="I4" s="131">
        <f>'MO STATS'!H32</f>
        <v>806</v>
      </c>
      <c r="J4" s="131">
        <f>'MO STATS'!I32</f>
        <v>1120</v>
      </c>
      <c r="K4" s="131">
        <f>'MO STATS'!J32</f>
        <v>1382</v>
      </c>
      <c r="L4" s="131">
        <f>'MO STATS'!K32</f>
        <v>1063</v>
      </c>
      <c r="M4" s="131">
        <f>'MO STATS'!L32</f>
        <v>1003</v>
      </c>
      <c r="N4" s="131">
        <f>'MO STATS'!M32</f>
        <v>1104</v>
      </c>
      <c r="O4" s="131">
        <f>'MO STATS'!N32</f>
        <v>1139</v>
      </c>
      <c r="P4" s="131">
        <f>'MO STATS'!O32</f>
        <v>1544</v>
      </c>
      <c r="Q4" s="131">
        <f>'MO STATS'!P32</f>
        <v>1107</v>
      </c>
      <c r="R4" s="96">
        <f>SUM(F4:Q4)</f>
        <v>12937</v>
      </c>
      <c r="S4" s="3">
        <f>C4-R4</f>
        <v>0</v>
      </c>
    </row>
    <row r="6" spans="1:19" x14ac:dyDescent="0.2">
      <c r="A6" s="714" t="s">
        <v>35</v>
      </c>
      <c r="B6" s="714"/>
      <c r="C6" s="714"/>
      <c r="D6" s="714"/>
    </row>
    <row r="7" spans="1:19" x14ac:dyDescent="0.2">
      <c r="A7" s="21"/>
      <c r="B7" s="10" t="s">
        <v>434</v>
      </c>
      <c r="C7" s="78"/>
      <c r="D7" s="102" t="s">
        <v>432</v>
      </c>
    </row>
    <row r="8" spans="1:19" x14ac:dyDescent="0.2">
      <c r="A8" s="16"/>
      <c r="B8" s="29" t="s">
        <v>352</v>
      </c>
      <c r="C8" s="28">
        <f>D8*C$2</f>
        <v>114360.97893777071</v>
      </c>
      <c r="D8" s="13">
        <f>[5]IV!$J$11</f>
        <v>16.102644175974472</v>
      </c>
      <c r="F8" s="375">
        <f>$D8*F$2</f>
        <v>5120.6408479598822</v>
      </c>
      <c r="G8" s="375">
        <f t="shared" ref="G8:Q22" si="0">$D8*G$2</f>
        <v>8775.9410759060866</v>
      </c>
      <c r="H8" s="375">
        <f t="shared" si="0"/>
        <v>7375.0110325963078</v>
      </c>
      <c r="I8" s="375">
        <f t="shared" si="0"/>
        <v>6521.5708912696609</v>
      </c>
      <c r="J8" s="375">
        <f t="shared" si="0"/>
        <v>10386.205493503534</v>
      </c>
      <c r="K8" s="375">
        <f t="shared" si="0"/>
        <v>14685.611488488719</v>
      </c>
      <c r="L8" s="375">
        <f t="shared" si="0"/>
        <v>9081.8913152496025</v>
      </c>
      <c r="M8" s="375">
        <f t="shared" si="0"/>
        <v>7890.2956462274915</v>
      </c>
      <c r="N8" s="375">
        <f t="shared" si="0"/>
        <v>10273.486984271713</v>
      </c>
      <c r="O8" s="375">
        <f t="shared" si="0"/>
        <v>10949.798039662641</v>
      </c>
      <c r="P8" s="375">
        <f t="shared" si="0"/>
        <v>14894.945862776387</v>
      </c>
      <c r="Q8" s="375">
        <f t="shared" si="0"/>
        <v>8405.5802598586743</v>
      </c>
      <c r="R8" s="376">
        <f>SUM(F8:Q8)</f>
        <v>114360.97893777069</v>
      </c>
      <c r="S8" s="3">
        <f t="shared" ref="S8:S18" si="1">C8-R8</f>
        <v>0</v>
      </c>
    </row>
    <row r="9" spans="1:19" x14ac:dyDescent="0.2">
      <c r="A9" s="16"/>
      <c r="B9" s="29" t="s">
        <v>353</v>
      </c>
      <c r="C9" s="28">
        <f t="shared" ref="C9:C22" si="2">D9*C$2</f>
        <v>658.88169591976293</v>
      </c>
      <c r="D9" s="13">
        <f>[5]IV!$J$12</f>
        <v>9.2774105311146576E-2</v>
      </c>
      <c r="F9" s="375">
        <f t="shared" ref="F9:F22" si="3">$D9*F$2</f>
        <v>29.502165488944613</v>
      </c>
      <c r="G9" s="375">
        <f t="shared" si="0"/>
        <v>50.561887394574882</v>
      </c>
      <c r="H9" s="375">
        <f t="shared" si="0"/>
        <v>42.490540232505133</v>
      </c>
      <c r="I9" s="375">
        <f t="shared" si="0"/>
        <v>37.573512651014362</v>
      </c>
      <c r="J9" s="375">
        <f t="shared" si="0"/>
        <v>59.839297925689543</v>
      </c>
      <c r="K9" s="375">
        <f t="shared" si="0"/>
        <v>84.609984043765678</v>
      </c>
      <c r="L9" s="375">
        <f t="shared" si="0"/>
        <v>52.324595395486668</v>
      </c>
      <c r="M9" s="375">
        <f t="shared" si="0"/>
        <v>45.459311602461824</v>
      </c>
      <c r="N9" s="375">
        <f t="shared" si="0"/>
        <v>59.189879188511519</v>
      </c>
      <c r="O9" s="375">
        <f t="shared" si="0"/>
        <v>63.086391611579671</v>
      </c>
      <c r="P9" s="375">
        <f t="shared" si="0"/>
        <v>85.816047412810576</v>
      </c>
      <c r="Q9" s="375">
        <f t="shared" si="0"/>
        <v>48.428082972418515</v>
      </c>
      <c r="R9" s="376">
        <f t="shared" ref="R9:R17" si="4">SUM(F9:Q9)</f>
        <v>658.88169591976293</v>
      </c>
      <c r="S9" s="3">
        <f t="shared" si="1"/>
        <v>0</v>
      </c>
    </row>
    <row r="10" spans="1:19" x14ac:dyDescent="0.2">
      <c r="A10" s="16"/>
      <c r="B10" s="29" t="s">
        <v>355</v>
      </c>
      <c r="C10" s="28">
        <f t="shared" si="2"/>
        <v>6710.2325051287889</v>
      </c>
      <c r="D10" s="13">
        <f>[5]IV!$J$13</f>
        <v>0.94483701846364254</v>
      </c>
      <c r="F10" s="375">
        <f t="shared" si="3"/>
        <v>300.45817187143831</v>
      </c>
      <c r="G10" s="375">
        <f t="shared" si="0"/>
        <v>514.93617506268515</v>
      </c>
      <c r="H10" s="375">
        <f t="shared" si="0"/>
        <v>432.73535445634826</v>
      </c>
      <c r="I10" s="375">
        <f t="shared" si="0"/>
        <v>382.65899247777526</v>
      </c>
      <c r="J10" s="375">
        <f t="shared" si="0"/>
        <v>609.41987690904944</v>
      </c>
      <c r="K10" s="375">
        <f t="shared" si="0"/>
        <v>861.691360838842</v>
      </c>
      <c r="L10" s="375">
        <f t="shared" si="0"/>
        <v>532.88807841349444</v>
      </c>
      <c r="M10" s="375">
        <f t="shared" si="0"/>
        <v>462.97013904718483</v>
      </c>
      <c r="N10" s="375">
        <f t="shared" si="0"/>
        <v>602.80601777980394</v>
      </c>
      <c r="O10" s="375">
        <f t="shared" si="0"/>
        <v>642.48917255527692</v>
      </c>
      <c r="P10" s="375">
        <f t="shared" si="0"/>
        <v>873.97424207886934</v>
      </c>
      <c r="Q10" s="375">
        <f t="shared" si="0"/>
        <v>493.2049236380214</v>
      </c>
      <c r="R10" s="376">
        <f t="shared" si="4"/>
        <v>6710.2325051287889</v>
      </c>
      <c r="S10" s="3">
        <f t="shared" si="1"/>
        <v>0</v>
      </c>
    </row>
    <row r="11" spans="1:19" x14ac:dyDescent="0.2">
      <c r="A11" s="16"/>
      <c r="B11" s="29" t="s">
        <v>370</v>
      </c>
      <c r="C11" s="28">
        <f t="shared" si="2"/>
        <v>0</v>
      </c>
      <c r="D11" s="13">
        <v>0</v>
      </c>
      <c r="F11" s="375">
        <f t="shared" si="3"/>
        <v>0</v>
      </c>
      <c r="G11" s="375">
        <f t="shared" si="0"/>
        <v>0</v>
      </c>
      <c r="H11" s="375">
        <f t="shared" si="0"/>
        <v>0</v>
      </c>
      <c r="I11" s="375">
        <f t="shared" si="0"/>
        <v>0</v>
      </c>
      <c r="J11" s="375">
        <f t="shared" si="0"/>
        <v>0</v>
      </c>
      <c r="K11" s="375">
        <f t="shared" si="0"/>
        <v>0</v>
      </c>
      <c r="L11" s="375">
        <f t="shared" si="0"/>
        <v>0</v>
      </c>
      <c r="M11" s="375">
        <f t="shared" si="0"/>
        <v>0</v>
      </c>
      <c r="N11" s="375">
        <f t="shared" si="0"/>
        <v>0</v>
      </c>
      <c r="O11" s="375">
        <f t="shared" si="0"/>
        <v>0</v>
      </c>
      <c r="P11" s="375">
        <f t="shared" si="0"/>
        <v>0</v>
      </c>
      <c r="Q11" s="375">
        <f t="shared" si="0"/>
        <v>0</v>
      </c>
      <c r="R11" s="376">
        <f t="shared" si="4"/>
        <v>0</v>
      </c>
      <c r="S11" s="3">
        <f t="shared" si="1"/>
        <v>0</v>
      </c>
    </row>
    <row r="12" spans="1:19" x14ac:dyDescent="0.2">
      <c r="A12" s="16"/>
      <c r="B12" s="29" t="s">
        <v>356</v>
      </c>
      <c r="C12" s="28">
        <f t="shared" si="2"/>
        <v>18367.743788465923</v>
      </c>
      <c r="D12" s="13">
        <f>[5]IV!$J$14+[5]IV!$J$15</f>
        <v>2.5862776384773194</v>
      </c>
      <c r="F12" s="375">
        <f t="shared" si="3"/>
        <v>822.43628903578758</v>
      </c>
      <c r="G12" s="375">
        <f t="shared" si="0"/>
        <v>1409.521312970139</v>
      </c>
      <c r="H12" s="375">
        <f t="shared" si="0"/>
        <v>1184.5151584226123</v>
      </c>
      <c r="I12" s="375">
        <f t="shared" si="0"/>
        <v>1047.4424435833143</v>
      </c>
      <c r="J12" s="375">
        <f t="shared" si="0"/>
        <v>1668.149076817871</v>
      </c>
      <c r="K12" s="375">
        <f t="shared" si="0"/>
        <v>2358.6852062913154</v>
      </c>
      <c r="L12" s="375">
        <f t="shared" si="0"/>
        <v>1458.6605881012081</v>
      </c>
      <c r="M12" s="375">
        <f t="shared" si="0"/>
        <v>1267.2760428538866</v>
      </c>
      <c r="N12" s="375">
        <f t="shared" si="0"/>
        <v>1650.0451333485298</v>
      </c>
      <c r="O12" s="375">
        <f t="shared" si="0"/>
        <v>1758.6687941645771</v>
      </c>
      <c r="P12" s="375">
        <f t="shared" si="0"/>
        <v>2392.3068155915203</v>
      </c>
      <c r="Q12" s="375">
        <f t="shared" si="0"/>
        <v>1350.0369272851608</v>
      </c>
      <c r="R12" s="376">
        <f t="shared" si="4"/>
        <v>18367.743788465919</v>
      </c>
      <c r="S12" s="3">
        <f t="shared" si="1"/>
        <v>0</v>
      </c>
    </row>
    <row r="13" spans="1:19" x14ac:dyDescent="0.2">
      <c r="A13" s="16"/>
      <c r="B13" s="29" t="s">
        <v>354</v>
      </c>
      <c r="C13" s="28">
        <f t="shared" si="2"/>
        <v>27668.579325279235</v>
      </c>
      <c r="D13" s="13">
        <f>[5]IV!$J$16</f>
        <v>3.8958855710052429</v>
      </c>
      <c r="F13" s="375">
        <f t="shared" si="3"/>
        <v>1238.8916115796671</v>
      </c>
      <c r="G13" s="375">
        <f t="shared" si="0"/>
        <v>2123.2576361978572</v>
      </c>
      <c r="H13" s="375">
        <f t="shared" si="0"/>
        <v>1784.3155915204013</v>
      </c>
      <c r="I13" s="375">
        <f t="shared" si="0"/>
        <v>1577.8336562571233</v>
      </c>
      <c r="J13" s="375">
        <f t="shared" si="0"/>
        <v>2512.8461932983819</v>
      </c>
      <c r="K13" s="375">
        <f t="shared" si="0"/>
        <v>3553.0476407567817</v>
      </c>
      <c r="L13" s="375">
        <f t="shared" si="0"/>
        <v>2197.2794620469572</v>
      </c>
      <c r="M13" s="375">
        <f t="shared" si="0"/>
        <v>1908.9839297925689</v>
      </c>
      <c r="N13" s="375">
        <f t="shared" si="0"/>
        <v>2485.5749943013448</v>
      </c>
      <c r="O13" s="375">
        <f t="shared" si="0"/>
        <v>2649.2021882835652</v>
      </c>
      <c r="P13" s="375">
        <f t="shared" si="0"/>
        <v>3603.6941531798498</v>
      </c>
      <c r="Q13" s="375">
        <f t="shared" si="0"/>
        <v>2033.6522680647367</v>
      </c>
      <c r="R13" s="376">
        <f t="shared" si="4"/>
        <v>27668.579325279235</v>
      </c>
      <c r="S13" s="3">
        <f t="shared" si="1"/>
        <v>0</v>
      </c>
    </row>
    <row r="14" spans="1:19" x14ac:dyDescent="0.2">
      <c r="A14" s="16"/>
      <c r="B14" s="29" t="s">
        <v>357</v>
      </c>
      <c r="C14" s="28">
        <f t="shared" si="2"/>
        <v>5761.6533166172785</v>
      </c>
      <c r="D14" s="13">
        <f>[5]IV!$J$17</f>
        <v>0.81127193982220203</v>
      </c>
      <c r="F14" s="375">
        <f t="shared" si="3"/>
        <v>257.98447686346026</v>
      </c>
      <c r="G14" s="375">
        <f t="shared" si="0"/>
        <v>442.14320720310013</v>
      </c>
      <c r="H14" s="375">
        <f t="shared" si="0"/>
        <v>371.56254843856851</v>
      </c>
      <c r="I14" s="375">
        <f t="shared" si="0"/>
        <v>328.56513562799182</v>
      </c>
      <c r="J14" s="375">
        <f t="shared" si="0"/>
        <v>523.27040118532034</v>
      </c>
      <c r="K14" s="375">
        <f t="shared" si="0"/>
        <v>739.8800091178482</v>
      </c>
      <c r="L14" s="375">
        <f t="shared" si="0"/>
        <v>457.55737405972195</v>
      </c>
      <c r="M14" s="375">
        <f t="shared" si="0"/>
        <v>397.52325051287897</v>
      </c>
      <c r="N14" s="375">
        <f t="shared" si="0"/>
        <v>517.59149760656487</v>
      </c>
      <c r="O14" s="375">
        <f t="shared" si="0"/>
        <v>551.66491907909733</v>
      </c>
      <c r="P14" s="375">
        <f t="shared" si="0"/>
        <v>750.42654433553685</v>
      </c>
      <c r="Q14" s="375">
        <f t="shared" si="0"/>
        <v>423.48395258718944</v>
      </c>
      <c r="R14" s="376">
        <f t="shared" si="4"/>
        <v>5761.6533166172794</v>
      </c>
      <c r="S14" s="3">
        <f t="shared" si="1"/>
        <v>0</v>
      </c>
    </row>
    <row r="15" spans="1:19" x14ac:dyDescent="0.2">
      <c r="A15" s="87">
        <v>31110.022000000001</v>
      </c>
      <c r="B15" s="161" t="s">
        <v>435</v>
      </c>
      <c r="C15" s="293">
        <f>SUM(C8:C14)</f>
        <v>173528.06956918168</v>
      </c>
      <c r="D15" s="291"/>
      <c r="E15" s="297"/>
      <c r="F15" s="410">
        <f>SUM(F8:F14)</f>
        <v>7769.91356279918</v>
      </c>
      <c r="G15" s="410">
        <f t="shared" ref="G15:Q15" si="5">SUM(G8:G14)</f>
        <v>13316.361294734443</v>
      </c>
      <c r="H15" s="410">
        <f t="shared" si="5"/>
        <v>11190.630225666742</v>
      </c>
      <c r="I15" s="410">
        <f t="shared" si="5"/>
        <v>9895.6446318668804</v>
      </c>
      <c r="J15" s="410">
        <f t="shared" si="5"/>
        <v>15759.730339639846</v>
      </c>
      <c r="K15" s="410">
        <f t="shared" si="5"/>
        <v>22283.525689537273</v>
      </c>
      <c r="L15" s="410">
        <f t="shared" si="5"/>
        <v>13780.601413266471</v>
      </c>
      <c r="M15" s="410">
        <f t="shared" si="5"/>
        <v>11972.508320036472</v>
      </c>
      <c r="N15" s="410">
        <f t="shared" si="5"/>
        <v>15588.694506496469</v>
      </c>
      <c r="O15" s="410">
        <f t="shared" si="5"/>
        <v>16614.909505356736</v>
      </c>
      <c r="P15" s="410">
        <f t="shared" si="5"/>
        <v>22601.163665374974</v>
      </c>
      <c r="Q15" s="410">
        <f t="shared" si="5"/>
        <v>12754.386414406203</v>
      </c>
      <c r="R15" s="410">
        <f t="shared" si="4"/>
        <v>173528.06956918171</v>
      </c>
      <c r="S15" s="302">
        <f t="shared" si="1"/>
        <v>0</v>
      </c>
    </row>
    <row r="16" spans="1:19" x14ac:dyDescent="0.2">
      <c r="A16" s="16"/>
      <c r="B16" s="29" t="s">
        <v>424</v>
      </c>
      <c r="C16" s="28">
        <f t="shared" si="2"/>
        <v>29706.336904490538</v>
      </c>
      <c r="D16" s="13">
        <f>[5]IV!$J$21</f>
        <v>4.1828128561659446</v>
      </c>
      <c r="F16" s="375">
        <f t="shared" si="3"/>
        <v>1330.1344882607705</v>
      </c>
      <c r="G16" s="375">
        <f t="shared" si="0"/>
        <v>2279.6330066104397</v>
      </c>
      <c r="H16" s="375">
        <f t="shared" si="0"/>
        <v>1915.7282881240026</v>
      </c>
      <c r="I16" s="375">
        <f t="shared" si="0"/>
        <v>1694.0392067472076</v>
      </c>
      <c r="J16" s="375">
        <f t="shared" si="0"/>
        <v>2697.9142922270344</v>
      </c>
      <c r="K16" s="375">
        <f t="shared" si="0"/>
        <v>3814.7253248233415</v>
      </c>
      <c r="L16" s="375">
        <f t="shared" si="0"/>
        <v>2359.1064508775926</v>
      </c>
      <c r="M16" s="375">
        <f t="shared" si="0"/>
        <v>2049.5782995213131</v>
      </c>
      <c r="N16" s="375">
        <f t="shared" si="0"/>
        <v>2668.6346022338726</v>
      </c>
      <c r="O16" s="375">
        <f t="shared" si="0"/>
        <v>2844.3127421928425</v>
      </c>
      <c r="P16" s="375">
        <f t="shared" si="0"/>
        <v>3869.1018919534986</v>
      </c>
      <c r="Q16" s="375">
        <f t="shared" si="0"/>
        <v>2183.4283109186231</v>
      </c>
      <c r="R16" s="376">
        <f t="shared" si="4"/>
        <v>29706.336904490538</v>
      </c>
      <c r="S16" s="3">
        <f t="shared" si="1"/>
        <v>0</v>
      </c>
    </row>
    <row r="17" spans="1:31" x14ac:dyDescent="0.2">
      <c r="A17" s="16"/>
      <c r="B17" s="29" t="s">
        <v>425</v>
      </c>
      <c r="C17" s="28">
        <f t="shared" si="2"/>
        <v>0</v>
      </c>
      <c r="D17" s="13">
        <v>0</v>
      </c>
      <c r="E17" s="7"/>
      <c r="F17" s="375">
        <f t="shared" si="3"/>
        <v>0</v>
      </c>
      <c r="G17" s="375">
        <f t="shared" si="0"/>
        <v>0</v>
      </c>
      <c r="H17" s="375">
        <f t="shared" si="0"/>
        <v>0</v>
      </c>
      <c r="I17" s="375">
        <f t="shared" si="0"/>
        <v>0</v>
      </c>
      <c r="J17" s="375">
        <f t="shared" si="0"/>
        <v>0</v>
      </c>
      <c r="K17" s="375">
        <f t="shared" si="0"/>
        <v>0</v>
      </c>
      <c r="L17" s="375">
        <f t="shared" si="0"/>
        <v>0</v>
      </c>
      <c r="M17" s="375">
        <f t="shared" si="0"/>
        <v>0</v>
      </c>
      <c r="N17" s="375">
        <f t="shared" si="0"/>
        <v>0</v>
      </c>
      <c r="O17" s="375">
        <f t="shared" si="0"/>
        <v>0</v>
      </c>
      <c r="P17" s="375">
        <f t="shared" si="0"/>
        <v>0</v>
      </c>
      <c r="Q17" s="375">
        <f t="shared" si="0"/>
        <v>0</v>
      </c>
      <c r="R17" s="376">
        <f t="shared" si="4"/>
        <v>0</v>
      </c>
      <c r="S17" s="3">
        <f t="shared" si="1"/>
        <v>0</v>
      </c>
    </row>
    <row r="18" spans="1:31" x14ac:dyDescent="0.2">
      <c r="A18" s="16"/>
      <c r="B18" s="29" t="s">
        <v>426</v>
      </c>
      <c r="C18" s="28">
        <f t="shared" si="2"/>
        <v>0</v>
      </c>
      <c r="D18" s="13">
        <v>0</v>
      </c>
      <c r="E18" s="7"/>
      <c r="F18" s="375">
        <f t="shared" si="3"/>
        <v>0</v>
      </c>
      <c r="G18" s="375">
        <f t="shared" si="0"/>
        <v>0</v>
      </c>
      <c r="H18" s="375">
        <f t="shared" si="0"/>
        <v>0</v>
      </c>
      <c r="I18" s="375">
        <f t="shared" si="0"/>
        <v>0</v>
      </c>
      <c r="J18" s="375">
        <f t="shared" si="0"/>
        <v>0</v>
      </c>
      <c r="K18" s="375">
        <f t="shared" si="0"/>
        <v>0</v>
      </c>
      <c r="L18" s="375">
        <f t="shared" si="0"/>
        <v>0</v>
      </c>
      <c r="M18" s="375">
        <f t="shared" si="0"/>
        <v>0</v>
      </c>
      <c r="N18" s="375">
        <f t="shared" si="0"/>
        <v>0</v>
      </c>
      <c r="O18" s="375">
        <f t="shared" si="0"/>
        <v>0</v>
      </c>
      <c r="P18" s="375">
        <f t="shared" si="0"/>
        <v>0</v>
      </c>
      <c r="Q18" s="375">
        <f t="shared" si="0"/>
        <v>0</v>
      </c>
      <c r="R18" s="376">
        <f>SUM(F18:Q18)</f>
        <v>0</v>
      </c>
      <c r="S18" s="3">
        <f t="shared" si="1"/>
        <v>0</v>
      </c>
    </row>
    <row r="19" spans="1:31" x14ac:dyDescent="0.2">
      <c r="A19" s="16"/>
      <c r="B19" s="29" t="s">
        <v>427</v>
      </c>
      <c r="C19" s="28">
        <f t="shared" si="2"/>
        <v>0</v>
      </c>
      <c r="D19" s="13">
        <v>0</v>
      </c>
      <c r="F19" s="375">
        <f t="shared" si="3"/>
        <v>0</v>
      </c>
      <c r="G19" s="375">
        <f t="shared" si="0"/>
        <v>0</v>
      </c>
      <c r="H19" s="375">
        <f t="shared" si="0"/>
        <v>0</v>
      </c>
      <c r="I19" s="375">
        <f t="shared" si="0"/>
        <v>0</v>
      </c>
      <c r="J19" s="375">
        <f t="shared" si="0"/>
        <v>0</v>
      </c>
      <c r="K19" s="375">
        <f t="shared" si="0"/>
        <v>0</v>
      </c>
      <c r="L19" s="375">
        <f t="shared" si="0"/>
        <v>0</v>
      </c>
      <c r="M19" s="375">
        <f t="shared" si="0"/>
        <v>0</v>
      </c>
      <c r="N19" s="375">
        <f t="shared" si="0"/>
        <v>0</v>
      </c>
      <c r="O19" s="375">
        <f t="shared" si="0"/>
        <v>0</v>
      </c>
      <c r="P19" s="375">
        <f t="shared" si="0"/>
        <v>0</v>
      </c>
      <c r="Q19" s="375">
        <f t="shared" si="0"/>
        <v>0</v>
      </c>
      <c r="R19" s="376">
        <f t="shared" ref="R19:R32" si="6">SUM(F19:Q19)</f>
        <v>0</v>
      </c>
      <c r="S19" s="3">
        <f>C19-R19</f>
        <v>0</v>
      </c>
    </row>
    <row r="20" spans="1:31" x14ac:dyDescent="0.2">
      <c r="A20" s="16"/>
      <c r="B20" s="29" t="s">
        <v>428</v>
      </c>
      <c r="C20" s="28">
        <f t="shared" si="2"/>
        <v>0</v>
      </c>
      <c r="D20" s="13">
        <v>0</v>
      </c>
      <c r="F20" s="375">
        <f t="shared" si="3"/>
        <v>0</v>
      </c>
      <c r="G20" s="375">
        <f t="shared" si="0"/>
        <v>0</v>
      </c>
      <c r="H20" s="375">
        <f t="shared" si="0"/>
        <v>0</v>
      </c>
      <c r="I20" s="375">
        <f t="shared" si="0"/>
        <v>0</v>
      </c>
      <c r="J20" s="375">
        <f t="shared" si="0"/>
        <v>0</v>
      </c>
      <c r="K20" s="375">
        <f t="shared" si="0"/>
        <v>0</v>
      </c>
      <c r="L20" s="375">
        <f t="shared" si="0"/>
        <v>0</v>
      </c>
      <c r="M20" s="375">
        <f t="shared" si="0"/>
        <v>0</v>
      </c>
      <c r="N20" s="375">
        <f t="shared" si="0"/>
        <v>0</v>
      </c>
      <c r="O20" s="375">
        <f t="shared" si="0"/>
        <v>0</v>
      </c>
      <c r="P20" s="375">
        <f t="shared" si="0"/>
        <v>0</v>
      </c>
      <c r="Q20" s="375">
        <f t="shared" si="0"/>
        <v>0</v>
      </c>
      <c r="R20" s="376">
        <f t="shared" si="6"/>
        <v>0</v>
      </c>
      <c r="S20" s="3">
        <f>C20-R20</f>
        <v>0</v>
      </c>
    </row>
    <row r="21" spans="1:31" x14ac:dyDescent="0.2">
      <c r="A21" s="16"/>
      <c r="B21" s="29" t="s">
        <v>429</v>
      </c>
      <c r="C21" s="28">
        <f t="shared" si="2"/>
        <v>0</v>
      </c>
      <c r="D21" s="13">
        <v>0</v>
      </c>
      <c r="F21" s="375">
        <f t="shared" si="3"/>
        <v>0</v>
      </c>
      <c r="G21" s="375">
        <f t="shared" si="0"/>
        <v>0</v>
      </c>
      <c r="H21" s="375">
        <f t="shared" si="0"/>
        <v>0</v>
      </c>
      <c r="I21" s="375">
        <f t="shared" si="0"/>
        <v>0</v>
      </c>
      <c r="J21" s="375">
        <f t="shared" si="0"/>
        <v>0</v>
      </c>
      <c r="K21" s="375">
        <f t="shared" si="0"/>
        <v>0</v>
      </c>
      <c r="L21" s="375">
        <f t="shared" si="0"/>
        <v>0</v>
      </c>
      <c r="M21" s="375">
        <f t="shared" si="0"/>
        <v>0</v>
      </c>
      <c r="N21" s="375">
        <f t="shared" si="0"/>
        <v>0</v>
      </c>
      <c r="O21" s="375">
        <f t="shared" si="0"/>
        <v>0</v>
      </c>
      <c r="P21" s="375">
        <f t="shared" si="0"/>
        <v>0</v>
      </c>
      <c r="Q21" s="375">
        <f t="shared" si="0"/>
        <v>0</v>
      </c>
      <c r="R21" s="376">
        <f t="shared" si="6"/>
        <v>0</v>
      </c>
      <c r="S21" s="3">
        <f>C21-R21</f>
        <v>0</v>
      </c>
    </row>
    <row r="22" spans="1:31" x14ac:dyDescent="0.2">
      <c r="A22" s="16"/>
      <c r="B22" s="29" t="s">
        <v>430</v>
      </c>
      <c r="C22" s="28">
        <f t="shared" si="2"/>
        <v>0</v>
      </c>
      <c r="D22" s="13">
        <f>'[9]IV THERAPY'!$M$26</f>
        <v>0</v>
      </c>
      <c r="F22" s="375">
        <f t="shared" si="3"/>
        <v>0</v>
      </c>
      <c r="G22" s="375">
        <f t="shared" si="0"/>
        <v>0</v>
      </c>
      <c r="H22" s="375">
        <f t="shared" si="0"/>
        <v>0</v>
      </c>
      <c r="I22" s="375">
        <f t="shared" si="0"/>
        <v>0</v>
      </c>
      <c r="J22" s="375">
        <f t="shared" si="0"/>
        <v>0</v>
      </c>
      <c r="K22" s="375">
        <f t="shared" si="0"/>
        <v>0</v>
      </c>
      <c r="L22" s="375">
        <f t="shared" si="0"/>
        <v>0</v>
      </c>
      <c r="M22" s="375">
        <f t="shared" si="0"/>
        <v>0</v>
      </c>
      <c r="N22" s="375">
        <f t="shared" si="0"/>
        <v>0</v>
      </c>
      <c r="O22" s="375">
        <f t="shared" si="0"/>
        <v>0</v>
      </c>
      <c r="P22" s="375">
        <f t="shared" si="0"/>
        <v>0</v>
      </c>
      <c r="Q22" s="375">
        <f t="shared" si="0"/>
        <v>0</v>
      </c>
      <c r="R22" s="376">
        <f t="shared" si="6"/>
        <v>0</v>
      </c>
      <c r="S22" s="3">
        <f>C22-R22</f>
        <v>0</v>
      </c>
    </row>
    <row r="23" spans="1:31" x14ac:dyDescent="0.2">
      <c r="A23" s="87">
        <v>31111.022000000001</v>
      </c>
      <c r="B23" s="161" t="s">
        <v>436</v>
      </c>
      <c r="C23" s="293">
        <f>SUM(C16:C22)</f>
        <v>29706.336904490538</v>
      </c>
      <c r="D23" s="291"/>
      <c r="E23" s="297"/>
      <c r="F23" s="410">
        <f>SUM(F16:F22)</f>
        <v>1330.1344882607705</v>
      </c>
      <c r="G23" s="410">
        <f t="shared" ref="G23:Q23" si="7">SUM(G16:G22)</f>
        <v>2279.6330066104397</v>
      </c>
      <c r="H23" s="410">
        <f t="shared" si="7"/>
        <v>1915.7282881240026</v>
      </c>
      <c r="I23" s="410">
        <f t="shared" si="7"/>
        <v>1694.0392067472076</v>
      </c>
      <c r="J23" s="410">
        <f t="shared" si="7"/>
        <v>2697.9142922270344</v>
      </c>
      <c r="K23" s="410">
        <f t="shared" si="7"/>
        <v>3814.7253248233415</v>
      </c>
      <c r="L23" s="410">
        <f t="shared" si="7"/>
        <v>2359.1064508775926</v>
      </c>
      <c r="M23" s="410">
        <f t="shared" si="7"/>
        <v>2049.5782995213131</v>
      </c>
      <c r="N23" s="410">
        <f t="shared" si="7"/>
        <v>2668.6346022338726</v>
      </c>
      <c r="O23" s="410">
        <f t="shared" si="7"/>
        <v>2844.3127421928425</v>
      </c>
      <c r="P23" s="410">
        <f t="shared" si="7"/>
        <v>3869.1018919534986</v>
      </c>
      <c r="Q23" s="410">
        <f t="shared" si="7"/>
        <v>2183.4283109186231</v>
      </c>
      <c r="R23" s="372">
        <f t="shared" ref="R23" si="8">SUM(F23:Q23)</f>
        <v>29706.336904490538</v>
      </c>
      <c r="S23" s="291">
        <f>C23-R23</f>
        <v>0</v>
      </c>
    </row>
    <row r="24" spans="1:31" x14ac:dyDescent="0.2">
      <c r="A24" s="16"/>
      <c r="B24" s="29" t="s">
        <v>358</v>
      </c>
      <c r="C24" s="28">
        <f t="shared" ref="C24:C30" si="9">D24*C$3</f>
        <v>67113.157832810408</v>
      </c>
      <c r="D24" s="13">
        <f>[5]IV!$J$31</f>
        <v>11.501826535186016</v>
      </c>
      <c r="F24" s="375">
        <f>$D24*F$3</f>
        <v>5842.9278798744963</v>
      </c>
      <c r="G24" s="375">
        <f t="shared" ref="G24:Q30" si="10">$D24*G$3</f>
        <v>5865.9315329448682</v>
      </c>
      <c r="H24" s="375">
        <f t="shared" si="10"/>
        <v>3795.6027566113853</v>
      </c>
      <c r="I24" s="375">
        <f t="shared" si="10"/>
        <v>4612.2324406095922</v>
      </c>
      <c r="J24" s="375">
        <f t="shared" si="10"/>
        <v>5463.3676042133575</v>
      </c>
      <c r="K24" s="375">
        <f t="shared" si="10"/>
        <v>5405.8584715374272</v>
      </c>
      <c r="L24" s="375">
        <f t="shared" si="10"/>
        <v>5739.4114410578222</v>
      </c>
      <c r="M24" s="375">
        <f t="shared" si="10"/>
        <v>5900.4370125504265</v>
      </c>
      <c r="N24" s="375">
        <f t="shared" si="10"/>
        <v>5359.8511653966834</v>
      </c>
      <c r="O24" s="375">
        <f t="shared" si="10"/>
        <v>5279.3383796503813</v>
      </c>
      <c r="P24" s="375">
        <f t="shared" si="10"/>
        <v>7119.6306252801442</v>
      </c>
      <c r="Q24" s="375">
        <f t="shared" si="10"/>
        <v>6728.5685230838189</v>
      </c>
      <c r="R24" s="376">
        <f t="shared" si="6"/>
        <v>67113.157832810408</v>
      </c>
      <c r="S24" s="3">
        <f t="shared" ref="S24:S32" si="11">C24-R24</f>
        <v>0</v>
      </c>
    </row>
    <row r="25" spans="1:31" x14ac:dyDescent="0.2">
      <c r="A25" s="16"/>
      <c r="B25" s="29" t="s">
        <v>359</v>
      </c>
      <c r="C25" s="28">
        <f t="shared" si="9"/>
        <v>4081.3614970865083</v>
      </c>
      <c r="D25" s="13">
        <f>[5]IV!$J$32</f>
        <v>0.69946212460779922</v>
      </c>
      <c r="F25" s="375">
        <f t="shared" ref="F25:F30" si="12">$D25*F$3</f>
        <v>355.32675930076198</v>
      </c>
      <c r="G25" s="375">
        <f t="shared" si="10"/>
        <v>356.72568354997759</v>
      </c>
      <c r="H25" s="375">
        <f t="shared" si="10"/>
        <v>230.82250112057375</v>
      </c>
      <c r="I25" s="375">
        <f t="shared" si="10"/>
        <v>280.48431196772748</v>
      </c>
      <c r="J25" s="375">
        <f t="shared" si="10"/>
        <v>332.24450918870463</v>
      </c>
      <c r="K25" s="375">
        <f t="shared" si="10"/>
        <v>328.74719856566566</v>
      </c>
      <c r="L25" s="375">
        <f t="shared" si="10"/>
        <v>349.03160017929179</v>
      </c>
      <c r="M25" s="375">
        <f t="shared" si="10"/>
        <v>358.82406992380101</v>
      </c>
      <c r="N25" s="375">
        <f t="shared" si="10"/>
        <v>325.94935006723443</v>
      </c>
      <c r="O25" s="375">
        <f t="shared" si="10"/>
        <v>321.05311519497985</v>
      </c>
      <c r="P25" s="375">
        <f t="shared" si="10"/>
        <v>432.9670551322277</v>
      </c>
      <c r="Q25" s="375">
        <f t="shared" si="10"/>
        <v>409.18534289556254</v>
      </c>
      <c r="R25" s="376">
        <f t="shared" si="6"/>
        <v>4081.3614970865083</v>
      </c>
      <c r="S25" s="3">
        <f t="shared" si="11"/>
        <v>0</v>
      </c>
    </row>
    <row r="26" spans="1:31" x14ac:dyDescent="0.2">
      <c r="A26" s="16"/>
      <c r="B26" s="29" t="s">
        <v>372</v>
      </c>
      <c r="C26" s="28">
        <f t="shared" si="9"/>
        <v>21711.64007171672</v>
      </c>
      <c r="D26" s="13">
        <f>[5]IV!$J$33</f>
        <v>3.7209323173464814</v>
      </c>
      <c r="E26" s="7"/>
      <c r="F26" s="375">
        <f t="shared" si="12"/>
        <v>1890.2336172120126</v>
      </c>
      <c r="G26" s="375">
        <f t="shared" si="10"/>
        <v>1897.6754818467055</v>
      </c>
      <c r="H26" s="375">
        <f t="shared" si="10"/>
        <v>1227.9076647243389</v>
      </c>
      <c r="I26" s="375">
        <f t="shared" si="10"/>
        <v>1492.0938592559392</v>
      </c>
      <c r="J26" s="375">
        <f t="shared" si="10"/>
        <v>1767.4428507395787</v>
      </c>
      <c r="K26" s="375">
        <f t="shared" si="10"/>
        <v>1748.8381891528463</v>
      </c>
      <c r="L26" s="375">
        <f t="shared" si="10"/>
        <v>1856.7452263558941</v>
      </c>
      <c r="M26" s="375">
        <f t="shared" si="10"/>
        <v>1908.838278798745</v>
      </c>
      <c r="N26" s="375">
        <f t="shared" si="10"/>
        <v>1733.9544598834605</v>
      </c>
      <c r="O26" s="375">
        <f t="shared" si="10"/>
        <v>1707.907933662035</v>
      </c>
      <c r="P26" s="375">
        <f t="shared" si="10"/>
        <v>2303.2571044374722</v>
      </c>
      <c r="Q26" s="375">
        <f t="shared" si="10"/>
        <v>2176.7454056476918</v>
      </c>
      <c r="R26" s="376">
        <f t="shared" si="6"/>
        <v>21711.64007171672</v>
      </c>
      <c r="S26" s="3">
        <f t="shared" si="11"/>
        <v>0</v>
      </c>
    </row>
    <row r="27" spans="1:31" x14ac:dyDescent="0.2">
      <c r="A27" s="16"/>
      <c r="B27" s="29" t="s">
        <v>373</v>
      </c>
      <c r="C27" s="28">
        <f t="shared" si="9"/>
        <v>0</v>
      </c>
      <c r="D27" s="13">
        <v>0</v>
      </c>
      <c r="E27" s="7"/>
      <c r="F27" s="375">
        <f t="shared" si="12"/>
        <v>0</v>
      </c>
      <c r="G27" s="375">
        <f t="shared" si="10"/>
        <v>0</v>
      </c>
      <c r="H27" s="375">
        <f t="shared" si="10"/>
        <v>0</v>
      </c>
      <c r="I27" s="375">
        <f t="shared" si="10"/>
        <v>0</v>
      </c>
      <c r="J27" s="375">
        <f t="shared" si="10"/>
        <v>0</v>
      </c>
      <c r="K27" s="375">
        <f t="shared" si="10"/>
        <v>0</v>
      </c>
      <c r="L27" s="375">
        <f t="shared" si="10"/>
        <v>0</v>
      </c>
      <c r="M27" s="375">
        <f t="shared" si="10"/>
        <v>0</v>
      </c>
      <c r="N27" s="375">
        <f t="shared" si="10"/>
        <v>0</v>
      </c>
      <c r="O27" s="375">
        <f t="shared" si="10"/>
        <v>0</v>
      </c>
      <c r="P27" s="375">
        <f t="shared" si="10"/>
        <v>0</v>
      </c>
      <c r="Q27" s="375">
        <f t="shared" si="10"/>
        <v>0</v>
      </c>
      <c r="R27" s="376">
        <f t="shared" ref="R27:R31" si="13">SUM(F27:Q27)</f>
        <v>0</v>
      </c>
      <c r="S27" s="3">
        <f t="shared" si="11"/>
        <v>0</v>
      </c>
    </row>
    <row r="28" spans="1:31" x14ac:dyDescent="0.2">
      <c r="A28" s="16"/>
      <c r="B28" s="29" t="s">
        <v>361</v>
      </c>
      <c r="C28" s="28">
        <f t="shared" si="9"/>
        <v>19842.792357687136</v>
      </c>
      <c r="D28" s="13">
        <f>[5]IV!$J$34+[5]IV!$J$35</f>
        <v>3.4006499327655759</v>
      </c>
      <c r="E28" s="7"/>
      <c r="F28" s="375">
        <f t="shared" si="12"/>
        <v>1727.5301658449125</v>
      </c>
      <c r="G28" s="375">
        <f t="shared" si="10"/>
        <v>1734.3314657104438</v>
      </c>
      <c r="H28" s="375">
        <f t="shared" si="10"/>
        <v>1122.2144778126401</v>
      </c>
      <c r="I28" s="375">
        <f t="shared" si="10"/>
        <v>1363.6606230389959</v>
      </c>
      <c r="J28" s="375">
        <f t="shared" si="10"/>
        <v>1615.3087180636485</v>
      </c>
      <c r="K28" s="375">
        <f t="shared" si="10"/>
        <v>1598.3054683998207</v>
      </c>
      <c r="L28" s="375">
        <f t="shared" si="10"/>
        <v>1696.9243164500224</v>
      </c>
      <c r="M28" s="375">
        <f t="shared" si="10"/>
        <v>1744.5334155087405</v>
      </c>
      <c r="N28" s="375">
        <f t="shared" si="10"/>
        <v>1584.7028686687584</v>
      </c>
      <c r="O28" s="375">
        <f t="shared" si="10"/>
        <v>1560.8983191393993</v>
      </c>
      <c r="P28" s="375">
        <f t="shared" si="10"/>
        <v>2105.0023083818915</v>
      </c>
      <c r="Q28" s="375">
        <f t="shared" si="10"/>
        <v>1989.380210667862</v>
      </c>
      <c r="R28" s="376">
        <f t="shared" ref="R28:R30" si="14">SUM(F28:Q28)</f>
        <v>19842.79235768714</v>
      </c>
      <c r="S28" s="3">
        <f t="shared" si="11"/>
        <v>0</v>
      </c>
    </row>
    <row r="29" spans="1:31" x14ac:dyDescent="0.2">
      <c r="A29" s="16"/>
      <c r="B29" s="29" t="s">
        <v>360</v>
      </c>
      <c r="C29" s="28">
        <f t="shared" si="9"/>
        <v>42999.516864634694</v>
      </c>
      <c r="D29" s="13">
        <f>[5]IV!$J$36</f>
        <v>7.3692402510085167</v>
      </c>
      <c r="E29" s="7"/>
      <c r="F29" s="375">
        <f t="shared" si="12"/>
        <v>3743.5740475123266</v>
      </c>
      <c r="G29" s="375">
        <f t="shared" si="10"/>
        <v>3758.3125280143436</v>
      </c>
      <c r="H29" s="375">
        <f t="shared" si="10"/>
        <v>2431.8492828328103</v>
      </c>
      <c r="I29" s="375">
        <f t="shared" si="10"/>
        <v>2955.0653406544152</v>
      </c>
      <c r="J29" s="375">
        <f t="shared" si="10"/>
        <v>3500.3891192290453</v>
      </c>
      <c r="K29" s="375">
        <f t="shared" si="10"/>
        <v>3463.5429179740026</v>
      </c>
      <c r="L29" s="375">
        <f t="shared" si="10"/>
        <v>3677.2508852532496</v>
      </c>
      <c r="M29" s="375">
        <f t="shared" si="10"/>
        <v>3780.4202487673692</v>
      </c>
      <c r="N29" s="375">
        <f t="shared" si="10"/>
        <v>3434.0659569699687</v>
      </c>
      <c r="O29" s="375">
        <f t="shared" si="10"/>
        <v>3382.4812752129092</v>
      </c>
      <c r="P29" s="375">
        <f t="shared" si="10"/>
        <v>4561.5597153742719</v>
      </c>
      <c r="Q29" s="375">
        <f t="shared" si="10"/>
        <v>4311.0055468399823</v>
      </c>
      <c r="R29" s="376">
        <f t="shared" si="14"/>
        <v>42999.516864634686</v>
      </c>
      <c r="S29" s="3">
        <f t="shared" si="11"/>
        <v>0</v>
      </c>
    </row>
    <row r="30" spans="1:31" x14ac:dyDescent="0.2">
      <c r="A30" s="16"/>
      <c r="B30" s="29" t="s">
        <v>362</v>
      </c>
      <c r="C30" s="28">
        <f t="shared" si="9"/>
        <v>15017.86721201255</v>
      </c>
      <c r="D30" s="13">
        <f>[5]IV!$J$37</f>
        <v>2.5737561631555357</v>
      </c>
      <c r="E30" s="7"/>
      <c r="F30" s="375">
        <f t="shared" si="12"/>
        <v>1307.4681308830122</v>
      </c>
      <c r="G30" s="375">
        <f t="shared" si="10"/>
        <v>1312.6156432093233</v>
      </c>
      <c r="H30" s="375">
        <f t="shared" si="10"/>
        <v>849.33953384132678</v>
      </c>
      <c r="I30" s="375">
        <f t="shared" si="10"/>
        <v>1032.0762214253698</v>
      </c>
      <c r="J30" s="375">
        <f t="shared" si="10"/>
        <v>1222.5341774988794</v>
      </c>
      <c r="K30" s="375">
        <f t="shared" si="10"/>
        <v>1209.6653966831018</v>
      </c>
      <c r="L30" s="375">
        <f t="shared" si="10"/>
        <v>1284.3043254146123</v>
      </c>
      <c r="M30" s="375">
        <f t="shared" si="10"/>
        <v>1320.3369116987899</v>
      </c>
      <c r="N30" s="375">
        <f t="shared" si="10"/>
        <v>1199.3703720304795</v>
      </c>
      <c r="O30" s="375">
        <f t="shared" si="10"/>
        <v>1181.3540788883909</v>
      </c>
      <c r="P30" s="375">
        <f t="shared" si="10"/>
        <v>1593.1550649932765</v>
      </c>
      <c r="Q30" s="375">
        <f t="shared" si="10"/>
        <v>1505.6473554459883</v>
      </c>
      <c r="R30" s="376">
        <f t="shared" si="14"/>
        <v>15017.86721201255</v>
      </c>
      <c r="S30" s="3">
        <f t="shared" si="11"/>
        <v>0</v>
      </c>
    </row>
    <row r="31" spans="1:31" x14ac:dyDescent="0.2">
      <c r="A31" s="90">
        <v>31200.022000000001</v>
      </c>
      <c r="B31" s="161" t="s">
        <v>437</v>
      </c>
      <c r="C31" s="293">
        <f>SUM(C24:C30)</f>
        <v>170766.33583594803</v>
      </c>
      <c r="D31" s="292"/>
      <c r="E31" s="292"/>
      <c r="F31" s="369">
        <f>SUM(F24:F30)</f>
        <v>14867.060600627523</v>
      </c>
      <c r="G31" s="369">
        <f t="shared" ref="G31:Q31" si="15">SUM(G24:G30)</f>
        <v>14925.592335275662</v>
      </c>
      <c r="H31" s="369">
        <f t="shared" si="15"/>
        <v>9657.7362169430744</v>
      </c>
      <c r="I31" s="369">
        <f t="shared" si="15"/>
        <v>11735.612796952038</v>
      </c>
      <c r="J31" s="369">
        <f t="shared" si="15"/>
        <v>13901.286978933214</v>
      </c>
      <c r="K31" s="369">
        <f t="shared" si="15"/>
        <v>13754.957642312864</v>
      </c>
      <c r="L31" s="369">
        <f t="shared" si="15"/>
        <v>14603.667794710893</v>
      </c>
      <c r="M31" s="369">
        <f t="shared" si="15"/>
        <v>15013.389937247872</v>
      </c>
      <c r="N31" s="369">
        <f t="shared" si="15"/>
        <v>13637.894173016586</v>
      </c>
      <c r="O31" s="369">
        <f t="shared" si="15"/>
        <v>13433.033101748097</v>
      </c>
      <c r="P31" s="369">
        <f t="shared" si="15"/>
        <v>18115.571873599281</v>
      </c>
      <c r="Q31" s="369">
        <f t="shared" si="15"/>
        <v>17120.532384580907</v>
      </c>
      <c r="R31" s="369">
        <f t="shared" si="13"/>
        <v>170766.335835948</v>
      </c>
      <c r="S31" s="292">
        <f t="shared" si="11"/>
        <v>0</v>
      </c>
    </row>
    <row r="32" spans="1:31" s="5" customFormat="1" x14ac:dyDescent="0.2">
      <c r="A32" s="11"/>
      <c r="B32" s="77" t="s">
        <v>0</v>
      </c>
      <c r="C32" s="293">
        <f>C15+C23+C31</f>
        <v>374000.74230962025</v>
      </c>
      <c r="D32" s="292">
        <f>(C32/C$2)</f>
        <v>52.66132671214028</v>
      </c>
      <c r="E32" s="292"/>
      <c r="F32" s="410">
        <f>F15+F23+F31</f>
        <v>23967.108651687471</v>
      </c>
      <c r="G32" s="410">
        <f t="shared" ref="G32:Q32" si="16">G15+G23+G31</f>
        <v>30521.586636620545</v>
      </c>
      <c r="H32" s="410">
        <f t="shared" si="16"/>
        <v>22764.094730733821</v>
      </c>
      <c r="I32" s="410">
        <f t="shared" si="16"/>
        <v>23325.296635566126</v>
      </c>
      <c r="J32" s="410">
        <f t="shared" si="16"/>
        <v>32358.931610800093</v>
      </c>
      <c r="K32" s="410">
        <f t="shared" si="16"/>
        <v>39853.20865667348</v>
      </c>
      <c r="L32" s="410">
        <f t="shared" si="16"/>
        <v>30743.375658854959</v>
      </c>
      <c r="M32" s="410">
        <f t="shared" si="16"/>
        <v>29035.476556805654</v>
      </c>
      <c r="N32" s="410">
        <f t="shared" si="16"/>
        <v>31895.223281746927</v>
      </c>
      <c r="O32" s="410">
        <f t="shared" si="16"/>
        <v>32892.255349297673</v>
      </c>
      <c r="P32" s="410">
        <f t="shared" si="16"/>
        <v>44585.837430927757</v>
      </c>
      <c r="Q32" s="410">
        <f t="shared" si="16"/>
        <v>32058.347109905735</v>
      </c>
      <c r="R32" s="410">
        <f t="shared" si="6"/>
        <v>374000.7423096202</v>
      </c>
      <c r="S32" s="302">
        <f t="shared" si="11"/>
        <v>0</v>
      </c>
      <c r="T32" s="6"/>
      <c r="U32" s="6"/>
      <c r="V32" s="6"/>
      <c r="W32" s="6"/>
      <c r="X32" s="6"/>
      <c r="Y32" s="6"/>
      <c r="Z32" s="6"/>
      <c r="AA32" s="6"/>
      <c r="AB32" s="6"/>
      <c r="AC32" s="6"/>
      <c r="AD32" s="6"/>
      <c r="AE32" s="6"/>
    </row>
    <row r="33" spans="1:31" x14ac:dyDescent="0.2">
      <c r="F33" s="414"/>
      <c r="G33" s="414"/>
      <c r="H33" s="414"/>
      <c r="I33" s="414"/>
      <c r="J33" s="160"/>
      <c r="K33" s="160"/>
      <c r="L33" s="160"/>
      <c r="M33" s="160"/>
      <c r="N33" s="160"/>
      <c r="O33" s="160"/>
      <c r="P33" s="160"/>
      <c r="Q33" s="160"/>
      <c r="R33" s="160"/>
    </row>
    <row r="34" spans="1:31" x14ac:dyDescent="0.2">
      <c r="A34" s="714" t="s">
        <v>25</v>
      </c>
      <c r="B34" s="714"/>
      <c r="C34" s="714"/>
      <c r="D34" s="714"/>
      <c r="F34" s="414"/>
      <c r="G34" s="414"/>
      <c r="H34" s="414"/>
      <c r="I34" s="414"/>
      <c r="J34" s="160"/>
      <c r="K34" s="160"/>
      <c r="L34" s="160"/>
      <c r="M34" s="160"/>
      <c r="N34" s="160"/>
      <c r="O34" s="160"/>
      <c r="P34" s="160"/>
      <c r="Q34" s="160"/>
      <c r="R34" s="160"/>
    </row>
    <row r="35" spans="1:31" s="151" customFormat="1" x14ac:dyDescent="0.2">
      <c r="A35" s="21"/>
      <c r="B35" s="77" t="s">
        <v>431</v>
      </c>
      <c r="C35" s="78"/>
      <c r="D35" s="148"/>
      <c r="E35" s="148"/>
      <c r="F35" s="415"/>
      <c r="G35" s="415"/>
      <c r="H35" s="248"/>
      <c r="I35" s="248"/>
      <c r="J35" s="277"/>
      <c r="K35" s="277"/>
      <c r="L35" s="277"/>
      <c r="M35" s="277"/>
      <c r="N35" s="277"/>
      <c r="O35" s="277"/>
      <c r="P35" s="277"/>
      <c r="Q35" s="277"/>
      <c r="R35" s="277"/>
      <c r="S35" s="164"/>
      <c r="T35" s="164"/>
      <c r="U35" s="164"/>
      <c r="V35" s="164"/>
      <c r="W35" s="164"/>
      <c r="X35" s="164"/>
      <c r="Y35" s="164"/>
      <c r="Z35" s="164"/>
      <c r="AA35" s="164"/>
      <c r="AB35" s="164"/>
      <c r="AC35" s="164"/>
      <c r="AD35" s="164"/>
      <c r="AE35" s="164"/>
    </row>
    <row r="36" spans="1:31" s="92" customFormat="1" x14ac:dyDescent="0.2">
      <c r="A36" s="87">
        <v>41212.021999999997</v>
      </c>
      <c r="B36" s="15" t="s">
        <v>433</v>
      </c>
      <c r="C36" s="28">
        <f>'[6]IV Therapy'!$I$15</f>
        <v>9500</v>
      </c>
      <c r="D36" s="27">
        <f>$C36/C$4</f>
        <v>0.7343278967303084</v>
      </c>
      <c r="E36" s="148"/>
      <c r="F36" s="406">
        <f>$D36*F$4</f>
        <v>606.55484269923477</v>
      </c>
      <c r="G36" s="406">
        <f t="shared" ref="G36:Q36" si="17">$D36*G$4</f>
        <v>774.71593105047532</v>
      </c>
      <c r="H36" s="406">
        <f t="shared" si="17"/>
        <v>578.65038262348298</v>
      </c>
      <c r="I36" s="406">
        <f t="shared" si="17"/>
        <v>591.86828476462858</v>
      </c>
      <c r="J36" s="406">
        <f t="shared" si="17"/>
        <v>822.44724433794545</v>
      </c>
      <c r="K36" s="406">
        <f t="shared" si="17"/>
        <v>1014.8411532812862</v>
      </c>
      <c r="L36" s="406">
        <f t="shared" si="17"/>
        <v>780.59055422431788</v>
      </c>
      <c r="M36" s="406">
        <f t="shared" si="17"/>
        <v>736.53088042049933</v>
      </c>
      <c r="N36" s="406">
        <f t="shared" si="17"/>
        <v>810.69799799026043</v>
      </c>
      <c r="O36" s="406">
        <f t="shared" si="17"/>
        <v>836.39947437582123</v>
      </c>
      <c r="P36" s="406">
        <f t="shared" si="17"/>
        <v>1133.8022725515962</v>
      </c>
      <c r="Q36" s="406">
        <f t="shared" si="17"/>
        <v>812.90098168045142</v>
      </c>
      <c r="R36" s="376">
        <f>SUM(F36:Q36)</f>
        <v>9500.0000000000018</v>
      </c>
      <c r="S36" s="3">
        <f>C36-R36</f>
        <v>0</v>
      </c>
      <c r="T36" s="91"/>
      <c r="U36" s="91"/>
      <c r="V36" s="91"/>
      <c r="W36" s="91"/>
      <c r="X36" s="91"/>
      <c r="Y36" s="91"/>
      <c r="Z36" s="91"/>
      <c r="AA36" s="91"/>
      <c r="AB36" s="91"/>
      <c r="AC36" s="91"/>
      <c r="AD36" s="91"/>
      <c r="AE36" s="91"/>
    </row>
    <row r="37" spans="1:31" s="159" customFormat="1" x14ac:dyDescent="0.2">
      <c r="A37" s="11"/>
      <c r="B37" s="77" t="s">
        <v>0</v>
      </c>
      <c r="C37" s="88">
        <f>SUM(C36)</f>
        <v>9500</v>
      </c>
      <c r="D37" s="104">
        <f>(C37/C$4)</f>
        <v>0.7343278967303084</v>
      </c>
      <c r="E37" s="165"/>
      <c r="F37" s="407">
        <f>SUM(F36)</f>
        <v>606.55484269923477</v>
      </c>
      <c r="G37" s="407">
        <f t="shared" ref="G37:Q37" si="18">SUM(G36)</f>
        <v>774.71593105047532</v>
      </c>
      <c r="H37" s="407">
        <f t="shared" si="18"/>
        <v>578.65038262348298</v>
      </c>
      <c r="I37" s="407">
        <f t="shared" si="18"/>
        <v>591.86828476462858</v>
      </c>
      <c r="J37" s="407">
        <f t="shared" si="18"/>
        <v>822.44724433794545</v>
      </c>
      <c r="K37" s="407">
        <f t="shared" si="18"/>
        <v>1014.8411532812862</v>
      </c>
      <c r="L37" s="407">
        <f t="shared" si="18"/>
        <v>780.59055422431788</v>
      </c>
      <c r="M37" s="407">
        <f t="shared" si="18"/>
        <v>736.53088042049933</v>
      </c>
      <c r="N37" s="407">
        <f t="shared" si="18"/>
        <v>810.69799799026043</v>
      </c>
      <c r="O37" s="407">
        <f t="shared" si="18"/>
        <v>836.39947437582123</v>
      </c>
      <c r="P37" s="407">
        <f t="shared" si="18"/>
        <v>1133.8022725515962</v>
      </c>
      <c r="Q37" s="407">
        <f t="shared" si="18"/>
        <v>812.90098168045142</v>
      </c>
      <c r="R37" s="416">
        <f>SUM(F37:Q37)</f>
        <v>9500.0000000000018</v>
      </c>
      <c r="S37" s="167">
        <f>C37-R37</f>
        <v>0</v>
      </c>
      <c r="T37" s="166"/>
      <c r="U37" s="166"/>
      <c r="V37" s="166"/>
      <c r="W37" s="166"/>
      <c r="X37" s="166"/>
      <c r="Y37" s="166"/>
      <c r="Z37" s="166"/>
      <c r="AA37" s="166"/>
      <c r="AB37" s="166"/>
      <c r="AC37" s="166"/>
      <c r="AD37" s="166"/>
      <c r="AE37" s="166"/>
    </row>
    <row r="38" spans="1:31" x14ac:dyDescent="0.2">
      <c r="C38" s="7">
        <f>C37-C32</f>
        <v>-364500.74230962025</v>
      </c>
      <c r="S38" s="3">
        <f>C38-R38</f>
        <v>-364500.74230962025</v>
      </c>
    </row>
    <row r="39" spans="1:31" x14ac:dyDescent="0.2">
      <c r="A39" s="4"/>
      <c r="B39" s="133"/>
      <c r="C39" s="7"/>
      <c r="F39" s="7"/>
      <c r="G39" s="7"/>
      <c r="H39" s="7"/>
      <c r="I39" s="7"/>
      <c r="J39" s="7"/>
      <c r="K39" s="7"/>
      <c r="L39" s="7"/>
      <c r="M39" s="7"/>
      <c r="N39" s="7"/>
      <c r="O39" s="7"/>
      <c r="P39" s="7"/>
      <c r="Q39" s="7"/>
      <c r="R39" s="7"/>
      <c r="S39" s="3"/>
    </row>
    <row r="40" spans="1:31" x14ac:dyDescent="0.2">
      <c r="A40" s="4"/>
      <c r="B40" s="133"/>
      <c r="C40" s="7"/>
      <c r="F40" s="7"/>
      <c r="G40" s="7"/>
      <c r="H40" s="7"/>
      <c r="I40" s="7"/>
      <c r="J40" s="7"/>
      <c r="K40" s="7"/>
      <c r="L40" s="7"/>
      <c r="M40" s="7"/>
      <c r="N40" s="7"/>
      <c r="O40" s="7"/>
      <c r="P40" s="7"/>
      <c r="Q40" s="7"/>
      <c r="R40" s="7"/>
      <c r="S40" s="3"/>
    </row>
    <row r="41" spans="1:31" x14ac:dyDescent="0.2">
      <c r="C41" s="7"/>
      <c r="F41" s="7"/>
      <c r="G41" s="7"/>
      <c r="H41" s="7"/>
      <c r="I41" s="7"/>
      <c r="J41" s="7"/>
      <c r="K41" s="7"/>
      <c r="L41" s="7"/>
      <c r="M41" s="7"/>
      <c r="N41" s="7"/>
      <c r="O41" s="7"/>
      <c r="P41" s="7"/>
      <c r="Q41" s="7"/>
      <c r="R41" s="7"/>
      <c r="S41" s="3"/>
    </row>
    <row r="42" spans="1:31" x14ac:dyDescent="0.2">
      <c r="S42" s="3"/>
    </row>
    <row r="43" spans="1:31" x14ac:dyDescent="0.2">
      <c r="A43" s="4"/>
      <c r="B43" s="133"/>
      <c r="C43" s="7"/>
      <c r="F43" s="7"/>
      <c r="G43" s="7"/>
      <c r="H43" s="7"/>
      <c r="I43" s="7"/>
      <c r="J43" s="7"/>
      <c r="K43" s="7"/>
      <c r="L43" s="7"/>
      <c r="M43" s="7"/>
      <c r="N43" s="7"/>
      <c r="O43" s="7"/>
      <c r="P43" s="7"/>
      <c r="Q43" s="7"/>
      <c r="R43" s="3"/>
      <c r="S43" s="3"/>
    </row>
  </sheetData>
  <mergeCells count="2">
    <mergeCell ref="A6:D6"/>
    <mergeCell ref="A34:D34"/>
  </mergeCells>
  <printOptions gridLines="1"/>
  <pageMargins left="0.25" right="0.25" top="0.75" bottom="0.75" header="0.3" footer="0.3"/>
  <pageSetup scale="53" orientation="landscape" r:id="rId1"/>
  <headerFooter alignWithMargins="0">
    <oddHeader xml:space="preserve">&amp;C&amp;"Arial,Bold"&amp;14DOCTORS MEMORIAL HOSPITAL
FY 2017 BUDGET
</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workbookViewId="0">
      <selection activeCell="A35" sqref="A35"/>
    </sheetView>
  </sheetViews>
  <sheetFormatPr defaultRowHeight="12.75" x14ac:dyDescent="0.2"/>
  <cols>
    <col min="1" max="1" width="32.5703125" customWidth="1"/>
    <col min="2" max="3" width="11.28515625" bestFit="1" customWidth="1"/>
  </cols>
  <sheetData>
    <row r="1" spans="1:3" x14ac:dyDescent="0.2">
      <c r="A1" s="707" t="s">
        <v>1066</v>
      </c>
      <c r="B1" s="708"/>
    </row>
    <row r="5" spans="1:3" x14ac:dyDescent="0.2">
      <c r="A5" t="s">
        <v>1122</v>
      </c>
    </row>
    <row r="6" spans="1:3" x14ac:dyDescent="0.2">
      <c r="A6" t="s">
        <v>1140</v>
      </c>
    </row>
    <row r="8" spans="1:3" x14ac:dyDescent="0.2">
      <c r="A8" t="s">
        <v>1139</v>
      </c>
    </row>
    <row r="9" spans="1:3" x14ac:dyDescent="0.2">
      <c r="A9" t="s">
        <v>1141</v>
      </c>
      <c r="B9" s="368">
        <v>28000</v>
      </c>
      <c r="C9" s="368"/>
    </row>
    <row r="10" spans="1:3" x14ac:dyDescent="0.2">
      <c r="A10" t="s">
        <v>1142</v>
      </c>
      <c r="B10" s="368">
        <v>31385</v>
      </c>
      <c r="C10" s="368"/>
    </row>
    <row r="11" spans="1:3" x14ac:dyDescent="0.2">
      <c r="B11" s="368"/>
      <c r="C11" s="368">
        <f>B9+B10</f>
        <v>59385</v>
      </c>
    </row>
    <row r="13" spans="1:3" x14ac:dyDescent="0.2">
      <c r="A13" t="s">
        <v>1123</v>
      </c>
      <c r="B13" s="286"/>
      <c r="C13" s="286"/>
    </row>
    <row r="14" spans="1:3" x14ac:dyDescent="0.2">
      <c r="A14" t="s">
        <v>1134</v>
      </c>
      <c r="B14" s="368">
        <v>34000</v>
      </c>
      <c r="C14" s="368"/>
    </row>
    <row r="15" spans="1:3" x14ac:dyDescent="0.2">
      <c r="B15" s="368"/>
      <c r="C15" s="368">
        <f>B14</f>
        <v>34000</v>
      </c>
    </row>
    <row r="16" spans="1:3" x14ac:dyDescent="0.2">
      <c r="A16" t="s">
        <v>1127</v>
      </c>
      <c r="B16" s="368"/>
      <c r="C16" s="368"/>
    </row>
    <row r="17" spans="1:3" x14ac:dyDescent="0.2">
      <c r="A17" t="s">
        <v>1129</v>
      </c>
      <c r="B17" s="368">
        <v>48000</v>
      </c>
      <c r="C17" s="368"/>
    </row>
    <row r="18" spans="1:3" x14ac:dyDescent="0.2">
      <c r="A18" t="s">
        <v>1128</v>
      </c>
      <c r="B18" s="368">
        <v>39000</v>
      </c>
      <c r="C18" s="368"/>
    </row>
    <row r="19" spans="1:3" x14ac:dyDescent="0.2">
      <c r="B19" s="368"/>
      <c r="C19" s="368">
        <f>B17+B18</f>
        <v>87000</v>
      </c>
    </row>
    <row r="20" spans="1:3" x14ac:dyDescent="0.2">
      <c r="A20" t="s">
        <v>1124</v>
      </c>
      <c r="B20" s="368"/>
      <c r="C20" s="368"/>
    </row>
    <row r="21" spans="1:3" x14ac:dyDescent="0.2">
      <c r="A21" t="s">
        <v>1125</v>
      </c>
      <c r="B21" s="368">
        <v>9750</v>
      </c>
      <c r="C21" s="368"/>
    </row>
    <row r="22" spans="1:3" x14ac:dyDescent="0.2">
      <c r="A22" t="s">
        <v>1126</v>
      </c>
      <c r="B22" s="368">
        <v>72000</v>
      </c>
      <c r="C22" s="368"/>
    </row>
    <row r="23" spans="1:3" x14ac:dyDescent="0.2">
      <c r="A23" t="s">
        <v>1130</v>
      </c>
      <c r="B23" s="368">
        <f>25000-25000</f>
        <v>0</v>
      </c>
      <c r="C23" s="368"/>
    </row>
    <row r="24" spans="1:3" x14ac:dyDescent="0.2">
      <c r="A24" t="s">
        <v>1131</v>
      </c>
      <c r="B24" s="368">
        <v>15994</v>
      </c>
      <c r="C24" s="368"/>
    </row>
    <row r="25" spans="1:3" x14ac:dyDescent="0.2">
      <c r="A25" t="s">
        <v>1133</v>
      </c>
      <c r="B25" s="368">
        <f>25000-19000</f>
        <v>6000</v>
      </c>
      <c r="C25" s="368"/>
    </row>
    <row r="26" spans="1:3" x14ac:dyDescent="0.2">
      <c r="A26" t="s">
        <v>1132</v>
      </c>
      <c r="B26" s="368">
        <v>17500</v>
      </c>
      <c r="C26" s="368"/>
    </row>
    <row r="27" spans="1:3" x14ac:dyDescent="0.2">
      <c r="A27" t="s">
        <v>1135</v>
      </c>
      <c r="B27" s="368">
        <v>59200</v>
      </c>
      <c r="C27" s="368"/>
    </row>
    <row r="28" spans="1:3" x14ac:dyDescent="0.2">
      <c r="B28" s="368"/>
      <c r="C28" s="368">
        <f>SUM(B21:B27)</f>
        <v>180444</v>
      </c>
    </row>
    <row r="29" spans="1:3" x14ac:dyDescent="0.2">
      <c r="A29" t="s">
        <v>1136</v>
      </c>
      <c r="B29" s="368"/>
      <c r="C29" s="368"/>
    </row>
    <row r="30" spans="1:3" x14ac:dyDescent="0.2">
      <c r="A30" t="s">
        <v>1143</v>
      </c>
      <c r="B30" s="368">
        <v>45442</v>
      </c>
      <c r="C30" s="368"/>
    </row>
    <row r="31" spans="1:3" x14ac:dyDescent="0.2">
      <c r="B31" s="368"/>
      <c r="C31" s="368">
        <f>B30</f>
        <v>45442</v>
      </c>
    </row>
    <row r="32" spans="1:3" x14ac:dyDescent="0.2">
      <c r="A32" t="s">
        <v>1137</v>
      </c>
      <c r="B32" s="368"/>
      <c r="C32" s="368"/>
    </row>
    <row r="33" spans="1:3" x14ac:dyDescent="0.2">
      <c r="A33" t="s">
        <v>1138</v>
      </c>
      <c r="B33" s="368">
        <v>270000</v>
      </c>
      <c r="C33" s="368"/>
    </row>
    <row r="34" spans="1:3" x14ac:dyDescent="0.2">
      <c r="A34" t="s">
        <v>1144</v>
      </c>
      <c r="B34" s="368">
        <v>19870</v>
      </c>
      <c r="C34" s="368"/>
    </row>
    <row r="35" spans="1:3" x14ac:dyDescent="0.2">
      <c r="B35" s="286"/>
      <c r="C35" s="368">
        <f>B33+B34</f>
        <v>289870</v>
      </c>
    </row>
    <row r="36" spans="1:3" x14ac:dyDescent="0.2">
      <c r="B36" s="286"/>
      <c r="C36" s="286"/>
    </row>
    <row r="37" spans="1:3" x14ac:dyDescent="0.2">
      <c r="B37" s="368">
        <f>SUM(B9:B35)</f>
        <v>696141</v>
      </c>
      <c r="C37" s="368">
        <f>SUM(C9:C35)</f>
        <v>696141</v>
      </c>
    </row>
  </sheetData>
  <mergeCells count="1">
    <mergeCell ref="A1:B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33"/>
  <sheetViews>
    <sheetView zoomScale="80" zoomScaleNormal="80" workbookViewId="0">
      <pane xSplit="2" ySplit="6" topLeftCell="C37" activePane="bottomRight" state="frozen"/>
      <selection pane="topRight" activeCell="C1" sqref="C1"/>
      <selection pane="bottomLeft" activeCell="A7" sqref="A7"/>
      <selection pane="bottomRight" activeCell="C50" sqref="C50"/>
    </sheetView>
  </sheetViews>
  <sheetFormatPr defaultRowHeight="12.75" x14ac:dyDescent="0.2"/>
  <cols>
    <col min="1" max="1" width="9.42578125" style="2" bestFit="1" customWidth="1"/>
    <col min="2" max="2" width="25" style="2" customWidth="1"/>
    <col min="3" max="3" width="15.7109375" style="4" customWidth="1"/>
    <col min="4" max="4" width="9.140625" style="4" customWidth="1"/>
    <col min="5" max="5" width="3.140625" style="4" customWidth="1"/>
    <col min="6" max="17" width="12.28515625" style="2" bestFit="1" customWidth="1"/>
    <col min="18" max="18" width="13.85546875" style="2" bestFit="1" customWidth="1"/>
    <col min="19" max="19" width="10.7109375" style="2" customWidth="1"/>
    <col min="20" max="20" width="9.140625" style="2" customWidth="1"/>
    <col min="21" max="219" width="9.140625" style="1"/>
    <col min="220" max="220" width="9.28515625" style="1" bestFit="1" customWidth="1"/>
    <col min="221" max="221" width="28.140625" style="1" bestFit="1" customWidth="1"/>
    <col min="222" max="222" width="15.7109375" style="1" customWidth="1"/>
    <col min="223" max="223" width="9.140625" style="1" customWidth="1"/>
    <col min="224" max="224" width="14.28515625" style="1" customWidth="1"/>
    <col min="225" max="225" width="9.140625" style="1" customWidth="1"/>
    <col min="226" max="227" width="12.85546875" style="1" customWidth="1"/>
    <col min="228" max="228" width="9.140625" style="1" customWidth="1"/>
    <col min="229" max="229" width="10.7109375" style="1" customWidth="1"/>
    <col min="230" max="231" width="12" style="1" customWidth="1"/>
    <col min="232" max="239" width="10.7109375" style="1" customWidth="1"/>
    <col min="240" max="240" width="10.5703125" style="1" customWidth="1"/>
    <col min="241" max="241" width="11.140625" style="1" customWidth="1"/>
    <col min="242" max="242" width="10.7109375" style="1" customWidth="1"/>
    <col min="243" max="244" width="9.140625" style="1" customWidth="1"/>
    <col min="245" max="245" width="10.28515625" style="1" customWidth="1"/>
    <col min="246" max="247" width="10" style="1" customWidth="1"/>
    <col min="248" max="249" width="10.140625" style="1" customWidth="1"/>
    <col min="250" max="253" width="10" style="1" customWidth="1"/>
    <col min="254" max="254" width="10.140625" style="1" customWidth="1"/>
    <col min="255" max="256" width="10" style="1" customWidth="1"/>
    <col min="257" max="257" width="10.28515625" style="1" customWidth="1"/>
    <col min="258" max="258" width="13.140625" style="1" customWidth="1"/>
    <col min="259" max="259" width="7.85546875" style="1" customWidth="1"/>
    <col min="260" max="261" width="9.140625" style="1" customWidth="1"/>
    <col min="262" max="262" width="11.7109375" style="1" customWidth="1"/>
    <col min="263" max="263" width="11.5703125" style="1" bestFit="1" customWidth="1"/>
    <col min="264" max="270" width="10.28515625" style="1" bestFit="1" customWidth="1"/>
    <col min="271" max="274" width="9.28515625" style="1" bestFit="1" customWidth="1"/>
    <col min="275" max="275" width="9.85546875" style="1" bestFit="1" customWidth="1"/>
    <col min="276" max="276" width="10.85546875" style="1" bestFit="1" customWidth="1"/>
    <col min="277" max="475" width="9.140625" style="1"/>
    <col min="476" max="476" width="9.28515625" style="1" bestFit="1" customWidth="1"/>
    <col min="477" max="477" width="28.140625" style="1" bestFit="1" customWidth="1"/>
    <col min="478" max="478" width="15.7109375" style="1" customWidth="1"/>
    <col min="479" max="479" width="9.140625" style="1" customWidth="1"/>
    <col min="480" max="480" width="14.28515625" style="1" customWidth="1"/>
    <col min="481" max="481" width="9.140625" style="1" customWidth="1"/>
    <col min="482" max="483" width="12.85546875" style="1" customWidth="1"/>
    <col min="484" max="484" width="9.140625" style="1" customWidth="1"/>
    <col min="485" max="485" width="10.7109375" style="1" customWidth="1"/>
    <col min="486" max="487" width="12" style="1" customWidth="1"/>
    <col min="488" max="495" width="10.7109375" style="1" customWidth="1"/>
    <col min="496" max="496" width="10.5703125" style="1" customWidth="1"/>
    <col min="497" max="497" width="11.140625" style="1" customWidth="1"/>
    <col min="498" max="498" width="10.7109375" style="1" customWidth="1"/>
    <col min="499" max="500" width="9.140625" style="1" customWidth="1"/>
    <col min="501" max="501" width="10.28515625" style="1" customWidth="1"/>
    <col min="502" max="503" width="10" style="1" customWidth="1"/>
    <col min="504" max="505" width="10.140625" style="1" customWidth="1"/>
    <col min="506" max="509" width="10" style="1" customWidth="1"/>
    <col min="510" max="510" width="10.140625" style="1" customWidth="1"/>
    <col min="511" max="512" width="10" style="1" customWidth="1"/>
    <col min="513" max="513" width="10.28515625" style="1" customWidth="1"/>
    <col min="514" max="514" width="13.140625" style="1" customWidth="1"/>
    <col min="515" max="515" width="7.85546875" style="1" customWidth="1"/>
    <col min="516" max="517" width="9.140625" style="1" customWidth="1"/>
    <col min="518" max="518" width="11.7109375" style="1" customWidth="1"/>
    <col min="519" max="519" width="11.5703125" style="1" bestFit="1" customWidth="1"/>
    <col min="520" max="526" width="10.28515625" style="1" bestFit="1" customWidth="1"/>
    <col min="527" max="530" width="9.28515625" style="1" bestFit="1" customWidth="1"/>
    <col min="531" max="531" width="9.85546875" style="1" bestFit="1" customWidth="1"/>
    <col min="532" max="532" width="10.85546875" style="1" bestFit="1" customWidth="1"/>
    <col min="533" max="731" width="9.140625" style="1"/>
    <col min="732" max="732" width="9.28515625" style="1" bestFit="1" customWidth="1"/>
    <col min="733" max="733" width="28.140625" style="1" bestFit="1" customWidth="1"/>
    <col min="734" max="734" width="15.7109375" style="1" customWidth="1"/>
    <col min="735" max="735" width="9.140625" style="1" customWidth="1"/>
    <col min="736" max="736" width="14.28515625" style="1" customWidth="1"/>
    <col min="737" max="737" width="9.140625" style="1" customWidth="1"/>
    <col min="738" max="739" width="12.85546875" style="1" customWidth="1"/>
    <col min="740" max="740" width="9.140625" style="1" customWidth="1"/>
    <col min="741" max="741" width="10.7109375" style="1" customWidth="1"/>
    <col min="742" max="743" width="12" style="1" customWidth="1"/>
    <col min="744" max="751" width="10.7109375" style="1" customWidth="1"/>
    <col min="752" max="752" width="10.5703125" style="1" customWidth="1"/>
    <col min="753" max="753" width="11.140625" style="1" customWidth="1"/>
    <col min="754" max="754" width="10.7109375" style="1" customWidth="1"/>
    <col min="755" max="756" width="9.140625" style="1" customWidth="1"/>
    <col min="757" max="757" width="10.28515625" style="1" customWidth="1"/>
    <col min="758" max="759" width="10" style="1" customWidth="1"/>
    <col min="760" max="761" width="10.140625" style="1" customWidth="1"/>
    <col min="762" max="765" width="10" style="1" customWidth="1"/>
    <col min="766" max="766" width="10.140625" style="1" customWidth="1"/>
    <col min="767" max="768" width="10" style="1" customWidth="1"/>
    <col min="769" max="769" width="10.28515625" style="1" customWidth="1"/>
    <col min="770" max="770" width="13.140625" style="1" customWidth="1"/>
    <col min="771" max="771" width="7.85546875" style="1" customWidth="1"/>
    <col min="772" max="773" width="9.140625" style="1" customWidth="1"/>
    <col min="774" max="774" width="11.7109375" style="1" customWidth="1"/>
    <col min="775" max="775" width="11.5703125" style="1" bestFit="1" customWidth="1"/>
    <col min="776" max="782" width="10.28515625" style="1" bestFit="1" customWidth="1"/>
    <col min="783" max="786" width="9.28515625" style="1" bestFit="1" customWidth="1"/>
    <col min="787" max="787" width="9.85546875" style="1" bestFit="1" customWidth="1"/>
    <col min="788" max="788" width="10.85546875" style="1" bestFit="1" customWidth="1"/>
    <col min="789" max="987" width="9.140625" style="1"/>
    <col min="988" max="988" width="9.28515625" style="1" bestFit="1" customWidth="1"/>
    <col min="989" max="989" width="28.140625" style="1" bestFit="1" customWidth="1"/>
    <col min="990" max="990" width="15.7109375" style="1" customWidth="1"/>
    <col min="991" max="991" width="9.140625" style="1" customWidth="1"/>
    <col min="992" max="992" width="14.28515625" style="1" customWidth="1"/>
    <col min="993" max="993" width="9.140625" style="1" customWidth="1"/>
    <col min="994" max="995" width="12.85546875" style="1" customWidth="1"/>
    <col min="996" max="996" width="9.140625" style="1" customWidth="1"/>
    <col min="997" max="997" width="10.7109375" style="1" customWidth="1"/>
    <col min="998" max="999" width="12" style="1" customWidth="1"/>
    <col min="1000" max="1007" width="10.7109375" style="1" customWidth="1"/>
    <col min="1008" max="1008" width="10.5703125" style="1" customWidth="1"/>
    <col min="1009" max="1009" width="11.140625" style="1" customWidth="1"/>
    <col min="1010" max="1010" width="10.7109375" style="1" customWidth="1"/>
    <col min="1011" max="1012" width="9.140625" style="1" customWidth="1"/>
    <col min="1013" max="1013" width="10.28515625" style="1" customWidth="1"/>
    <col min="1014" max="1015" width="10" style="1" customWidth="1"/>
    <col min="1016" max="1017" width="10.140625" style="1" customWidth="1"/>
    <col min="1018" max="1021" width="10" style="1" customWidth="1"/>
    <col min="1022" max="1022" width="10.140625" style="1" customWidth="1"/>
    <col min="1023" max="1024" width="10" style="1" customWidth="1"/>
    <col min="1025" max="1025" width="10.28515625" style="1" customWidth="1"/>
    <col min="1026" max="1026" width="13.140625" style="1" customWidth="1"/>
    <col min="1027" max="1027" width="7.85546875" style="1" customWidth="1"/>
    <col min="1028" max="1029" width="9.140625" style="1" customWidth="1"/>
    <col min="1030" max="1030" width="11.7109375" style="1" customWidth="1"/>
    <col min="1031" max="1031" width="11.5703125" style="1" bestFit="1" customWidth="1"/>
    <col min="1032" max="1038" width="10.28515625" style="1" bestFit="1" customWidth="1"/>
    <col min="1039" max="1042" width="9.28515625" style="1" bestFit="1" customWidth="1"/>
    <col min="1043" max="1043" width="9.85546875" style="1" bestFit="1" customWidth="1"/>
    <col min="1044" max="1044" width="10.85546875" style="1" bestFit="1" customWidth="1"/>
    <col min="1045" max="1243" width="9.140625" style="1"/>
    <col min="1244" max="1244" width="9.28515625" style="1" bestFit="1" customWidth="1"/>
    <col min="1245" max="1245" width="28.140625" style="1" bestFit="1" customWidth="1"/>
    <col min="1246" max="1246" width="15.7109375" style="1" customWidth="1"/>
    <col min="1247" max="1247" width="9.140625" style="1" customWidth="1"/>
    <col min="1248" max="1248" width="14.28515625" style="1" customWidth="1"/>
    <col min="1249" max="1249" width="9.140625" style="1" customWidth="1"/>
    <col min="1250" max="1251" width="12.85546875" style="1" customWidth="1"/>
    <col min="1252" max="1252" width="9.140625" style="1" customWidth="1"/>
    <col min="1253" max="1253" width="10.7109375" style="1" customWidth="1"/>
    <col min="1254" max="1255" width="12" style="1" customWidth="1"/>
    <col min="1256" max="1263" width="10.7109375" style="1" customWidth="1"/>
    <col min="1264" max="1264" width="10.5703125" style="1" customWidth="1"/>
    <col min="1265" max="1265" width="11.140625" style="1" customWidth="1"/>
    <col min="1266" max="1266" width="10.7109375" style="1" customWidth="1"/>
    <col min="1267" max="1268" width="9.140625" style="1" customWidth="1"/>
    <col min="1269" max="1269" width="10.28515625" style="1" customWidth="1"/>
    <col min="1270" max="1271" width="10" style="1" customWidth="1"/>
    <col min="1272" max="1273" width="10.140625" style="1" customWidth="1"/>
    <col min="1274" max="1277" width="10" style="1" customWidth="1"/>
    <col min="1278" max="1278" width="10.140625" style="1" customWidth="1"/>
    <col min="1279" max="1280" width="10" style="1" customWidth="1"/>
    <col min="1281" max="1281" width="10.28515625" style="1" customWidth="1"/>
    <col min="1282" max="1282" width="13.140625" style="1" customWidth="1"/>
    <col min="1283" max="1283" width="7.85546875" style="1" customWidth="1"/>
    <col min="1284" max="1285" width="9.140625" style="1" customWidth="1"/>
    <col min="1286" max="1286" width="11.7109375" style="1" customWidth="1"/>
    <col min="1287" max="1287" width="11.5703125" style="1" bestFit="1" customWidth="1"/>
    <col min="1288" max="1294" width="10.28515625" style="1" bestFit="1" customWidth="1"/>
    <col min="1295" max="1298" width="9.28515625" style="1" bestFit="1" customWidth="1"/>
    <col min="1299" max="1299" width="9.85546875" style="1" bestFit="1" customWidth="1"/>
    <col min="1300" max="1300" width="10.85546875" style="1" bestFit="1" customWidth="1"/>
    <col min="1301" max="1499" width="9.140625" style="1"/>
    <col min="1500" max="1500" width="9.28515625" style="1" bestFit="1" customWidth="1"/>
    <col min="1501" max="1501" width="28.140625" style="1" bestFit="1" customWidth="1"/>
    <col min="1502" max="1502" width="15.7109375" style="1" customWidth="1"/>
    <col min="1503" max="1503" width="9.140625" style="1" customWidth="1"/>
    <col min="1504" max="1504" width="14.28515625" style="1" customWidth="1"/>
    <col min="1505" max="1505" width="9.140625" style="1" customWidth="1"/>
    <col min="1506" max="1507" width="12.85546875" style="1" customWidth="1"/>
    <col min="1508" max="1508" width="9.140625" style="1" customWidth="1"/>
    <col min="1509" max="1509" width="10.7109375" style="1" customWidth="1"/>
    <col min="1510" max="1511" width="12" style="1" customWidth="1"/>
    <col min="1512" max="1519" width="10.7109375" style="1" customWidth="1"/>
    <col min="1520" max="1520" width="10.5703125" style="1" customWidth="1"/>
    <col min="1521" max="1521" width="11.140625" style="1" customWidth="1"/>
    <col min="1522" max="1522" width="10.7109375" style="1" customWidth="1"/>
    <col min="1523" max="1524" width="9.140625" style="1" customWidth="1"/>
    <col min="1525" max="1525" width="10.28515625" style="1" customWidth="1"/>
    <col min="1526" max="1527" width="10" style="1" customWidth="1"/>
    <col min="1528" max="1529" width="10.140625" style="1" customWidth="1"/>
    <col min="1530" max="1533" width="10" style="1" customWidth="1"/>
    <col min="1534" max="1534" width="10.140625" style="1" customWidth="1"/>
    <col min="1535" max="1536" width="10" style="1" customWidth="1"/>
    <col min="1537" max="1537" width="10.28515625" style="1" customWidth="1"/>
    <col min="1538" max="1538" width="13.140625" style="1" customWidth="1"/>
    <col min="1539" max="1539" width="7.85546875" style="1" customWidth="1"/>
    <col min="1540" max="1541" width="9.140625" style="1" customWidth="1"/>
    <col min="1542" max="1542" width="11.7109375" style="1" customWidth="1"/>
    <col min="1543" max="1543" width="11.5703125" style="1" bestFit="1" customWidth="1"/>
    <col min="1544" max="1550" width="10.28515625" style="1" bestFit="1" customWidth="1"/>
    <col min="1551" max="1554" width="9.28515625" style="1" bestFit="1" customWidth="1"/>
    <col min="1555" max="1555" width="9.85546875" style="1" bestFit="1" customWidth="1"/>
    <col min="1556" max="1556" width="10.85546875" style="1" bestFit="1" customWidth="1"/>
    <col min="1557" max="1755" width="9.140625" style="1"/>
    <col min="1756" max="1756" width="9.28515625" style="1" bestFit="1" customWidth="1"/>
    <col min="1757" max="1757" width="28.140625" style="1" bestFit="1" customWidth="1"/>
    <col min="1758" max="1758" width="15.7109375" style="1" customWidth="1"/>
    <col min="1759" max="1759" width="9.140625" style="1" customWidth="1"/>
    <col min="1760" max="1760" width="14.28515625" style="1" customWidth="1"/>
    <col min="1761" max="1761" width="9.140625" style="1" customWidth="1"/>
    <col min="1762" max="1763" width="12.85546875" style="1" customWidth="1"/>
    <col min="1764" max="1764" width="9.140625" style="1" customWidth="1"/>
    <col min="1765" max="1765" width="10.7109375" style="1" customWidth="1"/>
    <col min="1766" max="1767" width="12" style="1" customWidth="1"/>
    <col min="1768" max="1775" width="10.7109375" style="1" customWidth="1"/>
    <col min="1776" max="1776" width="10.5703125" style="1" customWidth="1"/>
    <col min="1777" max="1777" width="11.140625" style="1" customWidth="1"/>
    <col min="1778" max="1778" width="10.7109375" style="1" customWidth="1"/>
    <col min="1779" max="1780" width="9.140625" style="1" customWidth="1"/>
    <col min="1781" max="1781" width="10.28515625" style="1" customWidth="1"/>
    <col min="1782" max="1783" width="10" style="1" customWidth="1"/>
    <col min="1784" max="1785" width="10.140625" style="1" customWidth="1"/>
    <col min="1786" max="1789" width="10" style="1" customWidth="1"/>
    <col min="1790" max="1790" width="10.140625" style="1" customWidth="1"/>
    <col min="1791" max="1792" width="10" style="1" customWidth="1"/>
    <col min="1793" max="1793" width="10.28515625" style="1" customWidth="1"/>
    <col min="1794" max="1794" width="13.140625" style="1" customWidth="1"/>
    <col min="1795" max="1795" width="7.85546875" style="1" customWidth="1"/>
    <col min="1796" max="1797" width="9.140625" style="1" customWidth="1"/>
    <col min="1798" max="1798" width="11.7109375" style="1" customWidth="1"/>
    <col min="1799" max="1799" width="11.5703125" style="1" bestFit="1" customWidth="1"/>
    <col min="1800" max="1806" width="10.28515625" style="1" bestFit="1" customWidth="1"/>
    <col min="1807" max="1810" width="9.28515625" style="1" bestFit="1" customWidth="1"/>
    <col min="1811" max="1811" width="9.85546875" style="1" bestFit="1" customWidth="1"/>
    <col min="1812" max="1812" width="10.85546875" style="1" bestFit="1" customWidth="1"/>
    <col min="1813" max="2011" width="9.140625" style="1"/>
    <col min="2012" max="2012" width="9.28515625" style="1" bestFit="1" customWidth="1"/>
    <col min="2013" max="2013" width="28.140625" style="1" bestFit="1" customWidth="1"/>
    <col min="2014" max="2014" width="15.7109375" style="1" customWidth="1"/>
    <col min="2015" max="2015" width="9.140625" style="1" customWidth="1"/>
    <col min="2016" max="2016" width="14.28515625" style="1" customWidth="1"/>
    <col min="2017" max="2017" width="9.140625" style="1" customWidth="1"/>
    <col min="2018" max="2019" width="12.85546875" style="1" customWidth="1"/>
    <col min="2020" max="2020" width="9.140625" style="1" customWidth="1"/>
    <col min="2021" max="2021" width="10.7109375" style="1" customWidth="1"/>
    <col min="2022" max="2023" width="12" style="1" customWidth="1"/>
    <col min="2024" max="2031" width="10.7109375" style="1" customWidth="1"/>
    <col min="2032" max="2032" width="10.5703125" style="1" customWidth="1"/>
    <col min="2033" max="2033" width="11.140625" style="1" customWidth="1"/>
    <col min="2034" max="2034" width="10.7109375" style="1" customWidth="1"/>
    <col min="2035" max="2036" width="9.140625" style="1" customWidth="1"/>
    <col min="2037" max="2037" width="10.28515625" style="1" customWidth="1"/>
    <col min="2038" max="2039" width="10" style="1" customWidth="1"/>
    <col min="2040" max="2041" width="10.140625" style="1" customWidth="1"/>
    <col min="2042" max="2045" width="10" style="1" customWidth="1"/>
    <col min="2046" max="2046" width="10.140625" style="1" customWidth="1"/>
    <col min="2047" max="2048" width="10" style="1" customWidth="1"/>
    <col min="2049" max="2049" width="10.28515625" style="1" customWidth="1"/>
    <col min="2050" max="2050" width="13.140625" style="1" customWidth="1"/>
    <col min="2051" max="2051" width="7.85546875" style="1" customWidth="1"/>
    <col min="2052" max="2053" width="9.140625" style="1" customWidth="1"/>
    <col min="2054" max="2054" width="11.7109375" style="1" customWidth="1"/>
    <col min="2055" max="2055" width="11.5703125" style="1" bestFit="1" customWidth="1"/>
    <col min="2056" max="2062" width="10.28515625" style="1" bestFit="1" customWidth="1"/>
    <col min="2063" max="2066" width="9.28515625" style="1" bestFit="1" customWidth="1"/>
    <col min="2067" max="2067" width="9.85546875" style="1" bestFit="1" customWidth="1"/>
    <col min="2068" max="2068" width="10.85546875" style="1" bestFit="1" customWidth="1"/>
    <col min="2069" max="2267" width="9.140625" style="1"/>
    <col min="2268" max="2268" width="9.28515625" style="1" bestFit="1" customWidth="1"/>
    <col min="2269" max="2269" width="28.140625" style="1" bestFit="1" customWidth="1"/>
    <col min="2270" max="2270" width="15.7109375" style="1" customWidth="1"/>
    <col min="2271" max="2271" width="9.140625" style="1" customWidth="1"/>
    <col min="2272" max="2272" width="14.28515625" style="1" customWidth="1"/>
    <col min="2273" max="2273" width="9.140625" style="1" customWidth="1"/>
    <col min="2274" max="2275" width="12.85546875" style="1" customWidth="1"/>
    <col min="2276" max="2276" width="9.140625" style="1" customWidth="1"/>
    <col min="2277" max="2277" width="10.7109375" style="1" customWidth="1"/>
    <col min="2278" max="2279" width="12" style="1" customWidth="1"/>
    <col min="2280" max="2287" width="10.7109375" style="1" customWidth="1"/>
    <col min="2288" max="2288" width="10.5703125" style="1" customWidth="1"/>
    <col min="2289" max="2289" width="11.140625" style="1" customWidth="1"/>
    <col min="2290" max="2290" width="10.7109375" style="1" customWidth="1"/>
    <col min="2291" max="2292" width="9.140625" style="1" customWidth="1"/>
    <col min="2293" max="2293" width="10.28515625" style="1" customWidth="1"/>
    <col min="2294" max="2295" width="10" style="1" customWidth="1"/>
    <col min="2296" max="2297" width="10.140625" style="1" customWidth="1"/>
    <col min="2298" max="2301" width="10" style="1" customWidth="1"/>
    <col min="2302" max="2302" width="10.140625" style="1" customWidth="1"/>
    <col min="2303" max="2304" width="10" style="1" customWidth="1"/>
    <col min="2305" max="2305" width="10.28515625" style="1" customWidth="1"/>
    <col min="2306" max="2306" width="13.140625" style="1" customWidth="1"/>
    <col min="2307" max="2307" width="7.85546875" style="1" customWidth="1"/>
    <col min="2308" max="2309" width="9.140625" style="1" customWidth="1"/>
    <col min="2310" max="2310" width="11.7109375" style="1" customWidth="1"/>
    <col min="2311" max="2311" width="11.5703125" style="1" bestFit="1" customWidth="1"/>
    <col min="2312" max="2318" width="10.28515625" style="1" bestFit="1" customWidth="1"/>
    <col min="2319" max="2322" width="9.28515625" style="1" bestFit="1" customWidth="1"/>
    <col min="2323" max="2323" width="9.85546875" style="1" bestFit="1" customWidth="1"/>
    <col min="2324" max="2324" width="10.85546875" style="1" bestFit="1" customWidth="1"/>
    <col min="2325" max="2523" width="9.140625" style="1"/>
    <col min="2524" max="2524" width="9.28515625" style="1" bestFit="1" customWidth="1"/>
    <col min="2525" max="2525" width="28.140625" style="1" bestFit="1" customWidth="1"/>
    <col min="2526" max="2526" width="15.7109375" style="1" customWidth="1"/>
    <col min="2527" max="2527" width="9.140625" style="1" customWidth="1"/>
    <col min="2528" max="2528" width="14.28515625" style="1" customWidth="1"/>
    <col min="2529" max="2529" width="9.140625" style="1" customWidth="1"/>
    <col min="2530" max="2531" width="12.85546875" style="1" customWidth="1"/>
    <col min="2532" max="2532" width="9.140625" style="1" customWidth="1"/>
    <col min="2533" max="2533" width="10.7109375" style="1" customWidth="1"/>
    <col min="2534" max="2535" width="12" style="1" customWidth="1"/>
    <col min="2536" max="2543" width="10.7109375" style="1" customWidth="1"/>
    <col min="2544" max="2544" width="10.5703125" style="1" customWidth="1"/>
    <col min="2545" max="2545" width="11.140625" style="1" customWidth="1"/>
    <col min="2546" max="2546" width="10.7109375" style="1" customWidth="1"/>
    <col min="2547" max="2548" width="9.140625" style="1" customWidth="1"/>
    <col min="2549" max="2549" width="10.28515625" style="1" customWidth="1"/>
    <col min="2550" max="2551" width="10" style="1" customWidth="1"/>
    <col min="2552" max="2553" width="10.140625" style="1" customWidth="1"/>
    <col min="2554" max="2557" width="10" style="1" customWidth="1"/>
    <col min="2558" max="2558" width="10.140625" style="1" customWidth="1"/>
    <col min="2559" max="2560" width="10" style="1" customWidth="1"/>
    <col min="2561" max="2561" width="10.28515625" style="1" customWidth="1"/>
    <col min="2562" max="2562" width="13.140625" style="1" customWidth="1"/>
    <col min="2563" max="2563" width="7.85546875" style="1" customWidth="1"/>
    <col min="2564" max="2565" width="9.140625" style="1" customWidth="1"/>
    <col min="2566" max="2566" width="11.7109375" style="1" customWidth="1"/>
    <col min="2567" max="2567" width="11.5703125" style="1" bestFit="1" customWidth="1"/>
    <col min="2568" max="2574" width="10.28515625" style="1" bestFit="1" customWidth="1"/>
    <col min="2575" max="2578" width="9.28515625" style="1" bestFit="1" customWidth="1"/>
    <col min="2579" max="2579" width="9.85546875" style="1" bestFit="1" customWidth="1"/>
    <col min="2580" max="2580" width="10.85546875" style="1" bestFit="1" customWidth="1"/>
    <col min="2581" max="2779" width="9.140625" style="1"/>
    <col min="2780" max="2780" width="9.28515625" style="1" bestFit="1" customWidth="1"/>
    <col min="2781" max="2781" width="28.140625" style="1" bestFit="1" customWidth="1"/>
    <col min="2782" max="2782" width="15.7109375" style="1" customWidth="1"/>
    <col min="2783" max="2783" width="9.140625" style="1" customWidth="1"/>
    <col min="2784" max="2784" width="14.28515625" style="1" customWidth="1"/>
    <col min="2785" max="2785" width="9.140625" style="1" customWidth="1"/>
    <col min="2786" max="2787" width="12.85546875" style="1" customWidth="1"/>
    <col min="2788" max="2788" width="9.140625" style="1" customWidth="1"/>
    <col min="2789" max="2789" width="10.7109375" style="1" customWidth="1"/>
    <col min="2790" max="2791" width="12" style="1" customWidth="1"/>
    <col min="2792" max="2799" width="10.7109375" style="1" customWidth="1"/>
    <col min="2800" max="2800" width="10.5703125" style="1" customWidth="1"/>
    <col min="2801" max="2801" width="11.140625" style="1" customWidth="1"/>
    <col min="2802" max="2802" width="10.7109375" style="1" customWidth="1"/>
    <col min="2803" max="2804" width="9.140625" style="1" customWidth="1"/>
    <col min="2805" max="2805" width="10.28515625" style="1" customWidth="1"/>
    <col min="2806" max="2807" width="10" style="1" customWidth="1"/>
    <col min="2808" max="2809" width="10.140625" style="1" customWidth="1"/>
    <col min="2810" max="2813" width="10" style="1" customWidth="1"/>
    <col min="2814" max="2814" width="10.140625" style="1" customWidth="1"/>
    <col min="2815" max="2816" width="10" style="1" customWidth="1"/>
    <col min="2817" max="2817" width="10.28515625" style="1" customWidth="1"/>
    <col min="2818" max="2818" width="13.140625" style="1" customWidth="1"/>
    <col min="2819" max="2819" width="7.85546875" style="1" customWidth="1"/>
    <col min="2820" max="2821" width="9.140625" style="1" customWidth="1"/>
    <col min="2822" max="2822" width="11.7109375" style="1" customWidth="1"/>
    <col min="2823" max="2823" width="11.5703125" style="1" bestFit="1" customWidth="1"/>
    <col min="2824" max="2830" width="10.28515625" style="1" bestFit="1" customWidth="1"/>
    <col min="2831" max="2834" width="9.28515625" style="1" bestFit="1" customWidth="1"/>
    <col min="2835" max="2835" width="9.85546875" style="1" bestFit="1" customWidth="1"/>
    <col min="2836" max="2836" width="10.85546875" style="1" bestFit="1" customWidth="1"/>
    <col min="2837" max="3035" width="9.140625" style="1"/>
    <col min="3036" max="3036" width="9.28515625" style="1" bestFit="1" customWidth="1"/>
    <col min="3037" max="3037" width="28.140625" style="1" bestFit="1" customWidth="1"/>
    <col min="3038" max="3038" width="15.7109375" style="1" customWidth="1"/>
    <col min="3039" max="3039" width="9.140625" style="1" customWidth="1"/>
    <col min="3040" max="3040" width="14.28515625" style="1" customWidth="1"/>
    <col min="3041" max="3041" width="9.140625" style="1" customWidth="1"/>
    <col min="3042" max="3043" width="12.85546875" style="1" customWidth="1"/>
    <col min="3044" max="3044" width="9.140625" style="1" customWidth="1"/>
    <col min="3045" max="3045" width="10.7109375" style="1" customWidth="1"/>
    <col min="3046" max="3047" width="12" style="1" customWidth="1"/>
    <col min="3048" max="3055" width="10.7109375" style="1" customWidth="1"/>
    <col min="3056" max="3056" width="10.5703125" style="1" customWidth="1"/>
    <col min="3057" max="3057" width="11.140625" style="1" customWidth="1"/>
    <col min="3058" max="3058" width="10.7109375" style="1" customWidth="1"/>
    <col min="3059" max="3060" width="9.140625" style="1" customWidth="1"/>
    <col min="3061" max="3061" width="10.28515625" style="1" customWidth="1"/>
    <col min="3062" max="3063" width="10" style="1" customWidth="1"/>
    <col min="3064" max="3065" width="10.140625" style="1" customWidth="1"/>
    <col min="3066" max="3069" width="10" style="1" customWidth="1"/>
    <col min="3070" max="3070" width="10.140625" style="1" customWidth="1"/>
    <col min="3071" max="3072" width="10" style="1" customWidth="1"/>
    <col min="3073" max="3073" width="10.28515625" style="1" customWidth="1"/>
    <col min="3074" max="3074" width="13.140625" style="1" customWidth="1"/>
    <col min="3075" max="3075" width="7.85546875" style="1" customWidth="1"/>
    <col min="3076" max="3077" width="9.140625" style="1" customWidth="1"/>
    <col min="3078" max="3078" width="11.7109375" style="1" customWidth="1"/>
    <col min="3079" max="3079" width="11.5703125" style="1" bestFit="1" customWidth="1"/>
    <col min="3080" max="3086" width="10.28515625" style="1" bestFit="1" customWidth="1"/>
    <col min="3087" max="3090" width="9.28515625" style="1" bestFit="1" customWidth="1"/>
    <col min="3091" max="3091" width="9.85546875" style="1" bestFit="1" customWidth="1"/>
    <col min="3092" max="3092" width="10.85546875" style="1" bestFit="1" customWidth="1"/>
    <col min="3093" max="3291" width="9.140625" style="1"/>
    <col min="3292" max="3292" width="9.28515625" style="1" bestFit="1" customWidth="1"/>
    <col min="3293" max="3293" width="28.140625" style="1" bestFit="1" customWidth="1"/>
    <col min="3294" max="3294" width="15.7109375" style="1" customWidth="1"/>
    <col min="3295" max="3295" width="9.140625" style="1" customWidth="1"/>
    <col min="3296" max="3296" width="14.28515625" style="1" customWidth="1"/>
    <col min="3297" max="3297" width="9.140625" style="1" customWidth="1"/>
    <col min="3298" max="3299" width="12.85546875" style="1" customWidth="1"/>
    <col min="3300" max="3300" width="9.140625" style="1" customWidth="1"/>
    <col min="3301" max="3301" width="10.7109375" style="1" customWidth="1"/>
    <col min="3302" max="3303" width="12" style="1" customWidth="1"/>
    <col min="3304" max="3311" width="10.7109375" style="1" customWidth="1"/>
    <col min="3312" max="3312" width="10.5703125" style="1" customWidth="1"/>
    <col min="3313" max="3313" width="11.140625" style="1" customWidth="1"/>
    <col min="3314" max="3314" width="10.7109375" style="1" customWidth="1"/>
    <col min="3315" max="3316" width="9.140625" style="1" customWidth="1"/>
    <col min="3317" max="3317" width="10.28515625" style="1" customWidth="1"/>
    <col min="3318" max="3319" width="10" style="1" customWidth="1"/>
    <col min="3320" max="3321" width="10.140625" style="1" customWidth="1"/>
    <col min="3322" max="3325" width="10" style="1" customWidth="1"/>
    <col min="3326" max="3326" width="10.140625" style="1" customWidth="1"/>
    <col min="3327" max="3328" width="10" style="1" customWidth="1"/>
    <col min="3329" max="3329" width="10.28515625" style="1" customWidth="1"/>
    <col min="3330" max="3330" width="13.140625" style="1" customWidth="1"/>
    <col min="3331" max="3331" width="7.85546875" style="1" customWidth="1"/>
    <col min="3332" max="3333" width="9.140625" style="1" customWidth="1"/>
    <col min="3334" max="3334" width="11.7109375" style="1" customWidth="1"/>
    <col min="3335" max="3335" width="11.5703125" style="1" bestFit="1" customWidth="1"/>
    <col min="3336" max="3342" width="10.28515625" style="1" bestFit="1" customWidth="1"/>
    <col min="3343" max="3346" width="9.28515625" style="1" bestFit="1" customWidth="1"/>
    <col min="3347" max="3347" width="9.85546875" style="1" bestFit="1" customWidth="1"/>
    <col min="3348" max="3348" width="10.85546875" style="1" bestFit="1" customWidth="1"/>
    <col min="3349" max="3547" width="9.140625" style="1"/>
    <col min="3548" max="3548" width="9.28515625" style="1" bestFit="1" customWidth="1"/>
    <col min="3549" max="3549" width="28.140625" style="1" bestFit="1" customWidth="1"/>
    <col min="3550" max="3550" width="15.7109375" style="1" customWidth="1"/>
    <col min="3551" max="3551" width="9.140625" style="1" customWidth="1"/>
    <col min="3552" max="3552" width="14.28515625" style="1" customWidth="1"/>
    <col min="3553" max="3553" width="9.140625" style="1" customWidth="1"/>
    <col min="3554" max="3555" width="12.85546875" style="1" customWidth="1"/>
    <col min="3556" max="3556" width="9.140625" style="1" customWidth="1"/>
    <col min="3557" max="3557" width="10.7109375" style="1" customWidth="1"/>
    <col min="3558" max="3559" width="12" style="1" customWidth="1"/>
    <col min="3560" max="3567" width="10.7109375" style="1" customWidth="1"/>
    <col min="3568" max="3568" width="10.5703125" style="1" customWidth="1"/>
    <col min="3569" max="3569" width="11.140625" style="1" customWidth="1"/>
    <col min="3570" max="3570" width="10.7109375" style="1" customWidth="1"/>
    <col min="3571" max="3572" width="9.140625" style="1" customWidth="1"/>
    <col min="3573" max="3573" width="10.28515625" style="1" customWidth="1"/>
    <col min="3574" max="3575" width="10" style="1" customWidth="1"/>
    <col min="3576" max="3577" width="10.140625" style="1" customWidth="1"/>
    <col min="3578" max="3581" width="10" style="1" customWidth="1"/>
    <col min="3582" max="3582" width="10.140625" style="1" customWidth="1"/>
    <col min="3583" max="3584" width="10" style="1" customWidth="1"/>
    <col min="3585" max="3585" width="10.28515625" style="1" customWidth="1"/>
    <col min="3586" max="3586" width="13.140625" style="1" customWidth="1"/>
    <col min="3587" max="3587" width="7.85546875" style="1" customWidth="1"/>
    <col min="3588" max="3589" width="9.140625" style="1" customWidth="1"/>
    <col min="3590" max="3590" width="11.7109375" style="1" customWidth="1"/>
    <col min="3591" max="3591" width="11.5703125" style="1" bestFit="1" customWidth="1"/>
    <col min="3592" max="3598" width="10.28515625" style="1" bestFit="1" customWidth="1"/>
    <col min="3599" max="3602" width="9.28515625" style="1" bestFit="1" customWidth="1"/>
    <col min="3603" max="3603" width="9.85546875" style="1" bestFit="1" customWidth="1"/>
    <col min="3604" max="3604" width="10.85546875" style="1" bestFit="1" customWidth="1"/>
    <col min="3605" max="3803" width="9.140625" style="1"/>
    <col min="3804" max="3804" width="9.28515625" style="1" bestFit="1" customWidth="1"/>
    <col min="3805" max="3805" width="28.140625" style="1" bestFit="1" customWidth="1"/>
    <col min="3806" max="3806" width="15.7109375" style="1" customWidth="1"/>
    <col min="3807" max="3807" width="9.140625" style="1" customWidth="1"/>
    <col min="3808" max="3808" width="14.28515625" style="1" customWidth="1"/>
    <col min="3809" max="3809" width="9.140625" style="1" customWidth="1"/>
    <col min="3810" max="3811" width="12.85546875" style="1" customWidth="1"/>
    <col min="3812" max="3812" width="9.140625" style="1" customWidth="1"/>
    <col min="3813" max="3813" width="10.7109375" style="1" customWidth="1"/>
    <col min="3814" max="3815" width="12" style="1" customWidth="1"/>
    <col min="3816" max="3823" width="10.7109375" style="1" customWidth="1"/>
    <col min="3824" max="3824" width="10.5703125" style="1" customWidth="1"/>
    <col min="3825" max="3825" width="11.140625" style="1" customWidth="1"/>
    <col min="3826" max="3826" width="10.7109375" style="1" customWidth="1"/>
    <col min="3827" max="3828" width="9.140625" style="1" customWidth="1"/>
    <col min="3829" max="3829" width="10.28515625" style="1" customWidth="1"/>
    <col min="3830" max="3831" width="10" style="1" customWidth="1"/>
    <col min="3832" max="3833" width="10.140625" style="1" customWidth="1"/>
    <col min="3834" max="3837" width="10" style="1" customWidth="1"/>
    <col min="3838" max="3838" width="10.140625" style="1" customWidth="1"/>
    <col min="3839" max="3840" width="10" style="1" customWidth="1"/>
    <col min="3841" max="3841" width="10.28515625" style="1" customWidth="1"/>
    <col min="3842" max="3842" width="13.140625" style="1" customWidth="1"/>
    <col min="3843" max="3843" width="7.85546875" style="1" customWidth="1"/>
    <col min="3844" max="3845" width="9.140625" style="1" customWidth="1"/>
    <col min="3846" max="3846" width="11.7109375" style="1" customWidth="1"/>
    <col min="3847" max="3847" width="11.5703125" style="1" bestFit="1" customWidth="1"/>
    <col min="3848" max="3854" width="10.28515625" style="1" bestFit="1" customWidth="1"/>
    <col min="3855" max="3858" width="9.28515625" style="1" bestFit="1" customWidth="1"/>
    <col min="3859" max="3859" width="9.85546875" style="1" bestFit="1" customWidth="1"/>
    <col min="3860" max="3860" width="10.85546875" style="1" bestFit="1" customWidth="1"/>
    <col min="3861" max="4059" width="9.140625" style="1"/>
    <col min="4060" max="4060" width="9.28515625" style="1" bestFit="1" customWidth="1"/>
    <col min="4061" max="4061" width="28.140625" style="1" bestFit="1" customWidth="1"/>
    <col min="4062" max="4062" width="15.7109375" style="1" customWidth="1"/>
    <col min="4063" max="4063" width="9.140625" style="1" customWidth="1"/>
    <col min="4064" max="4064" width="14.28515625" style="1" customWidth="1"/>
    <col min="4065" max="4065" width="9.140625" style="1" customWidth="1"/>
    <col min="4066" max="4067" width="12.85546875" style="1" customWidth="1"/>
    <col min="4068" max="4068" width="9.140625" style="1" customWidth="1"/>
    <col min="4069" max="4069" width="10.7109375" style="1" customWidth="1"/>
    <col min="4070" max="4071" width="12" style="1" customWidth="1"/>
    <col min="4072" max="4079" width="10.7109375" style="1" customWidth="1"/>
    <col min="4080" max="4080" width="10.5703125" style="1" customWidth="1"/>
    <col min="4081" max="4081" width="11.140625" style="1" customWidth="1"/>
    <col min="4082" max="4082" width="10.7109375" style="1" customWidth="1"/>
    <col min="4083" max="4084" width="9.140625" style="1" customWidth="1"/>
    <col min="4085" max="4085" width="10.28515625" style="1" customWidth="1"/>
    <col min="4086" max="4087" width="10" style="1" customWidth="1"/>
    <col min="4088" max="4089" width="10.140625" style="1" customWidth="1"/>
    <col min="4090" max="4093" width="10" style="1" customWidth="1"/>
    <col min="4094" max="4094" width="10.140625" style="1" customWidth="1"/>
    <col min="4095" max="4096" width="10" style="1" customWidth="1"/>
    <col min="4097" max="4097" width="10.28515625" style="1" customWidth="1"/>
    <col min="4098" max="4098" width="13.140625" style="1" customWidth="1"/>
    <col min="4099" max="4099" width="7.85546875" style="1" customWidth="1"/>
    <col min="4100" max="4101" width="9.140625" style="1" customWidth="1"/>
    <col min="4102" max="4102" width="11.7109375" style="1" customWidth="1"/>
    <col min="4103" max="4103" width="11.5703125" style="1" bestFit="1" customWidth="1"/>
    <col min="4104" max="4110" width="10.28515625" style="1" bestFit="1" customWidth="1"/>
    <col min="4111" max="4114" width="9.28515625" style="1" bestFit="1" customWidth="1"/>
    <col min="4115" max="4115" width="9.85546875" style="1" bestFit="1" customWidth="1"/>
    <col min="4116" max="4116" width="10.85546875" style="1" bestFit="1" customWidth="1"/>
    <col min="4117" max="4315" width="9.140625" style="1"/>
    <col min="4316" max="4316" width="9.28515625" style="1" bestFit="1" customWidth="1"/>
    <col min="4317" max="4317" width="28.140625" style="1" bestFit="1" customWidth="1"/>
    <col min="4318" max="4318" width="15.7109375" style="1" customWidth="1"/>
    <col min="4319" max="4319" width="9.140625" style="1" customWidth="1"/>
    <col min="4320" max="4320" width="14.28515625" style="1" customWidth="1"/>
    <col min="4321" max="4321" width="9.140625" style="1" customWidth="1"/>
    <col min="4322" max="4323" width="12.85546875" style="1" customWidth="1"/>
    <col min="4324" max="4324" width="9.140625" style="1" customWidth="1"/>
    <col min="4325" max="4325" width="10.7109375" style="1" customWidth="1"/>
    <col min="4326" max="4327" width="12" style="1" customWidth="1"/>
    <col min="4328" max="4335" width="10.7109375" style="1" customWidth="1"/>
    <col min="4336" max="4336" width="10.5703125" style="1" customWidth="1"/>
    <col min="4337" max="4337" width="11.140625" style="1" customWidth="1"/>
    <col min="4338" max="4338" width="10.7109375" style="1" customWidth="1"/>
    <col min="4339" max="4340" width="9.140625" style="1" customWidth="1"/>
    <col min="4341" max="4341" width="10.28515625" style="1" customWidth="1"/>
    <col min="4342" max="4343" width="10" style="1" customWidth="1"/>
    <col min="4344" max="4345" width="10.140625" style="1" customWidth="1"/>
    <col min="4346" max="4349" width="10" style="1" customWidth="1"/>
    <col min="4350" max="4350" width="10.140625" style="1" customWidth="1"/>
    <col min="4351" max="4352" width="10" style="1" customWidth="1"/>
    <col min="4353" max="4353" width="10.28515625" style="1" customWidth="1"/>
    <col min="4354" max="4354" width="13.140625" style="1" customWidth="1"/>
    <col min="4355" max="4355" width="7.85546875" style="1" customWidth="1"/>
    <col min="4356" max="4357" width="9.140625" style="1" customWidth="1"/>
    <col min="4358" max="4358" width="11.7109375" style="1" customWidth="1"/>
    <col min="4359" max="4359" width="11.5703125" style="1" bestFit="1" customWidth="1"/>
    <col min="4360" max="4366" width="10.28515625" style="1" bestFit="1" customWidth="1"/>
    <col min="4367" max="4370" width="9.28515625" style="1" bestFit="1" customWidth="1"/>
    <col min="4371" max="4371" width="9.85546875" style="1" bestFit="1" customWidth="1"/>
    <col min="4372" max="4372" width="10.85546875" style="1" bestFit="1" customWidth="1"/>
    <col min="4373" max="4571" width="9.140625" style="1"/>
    <col min="4572" max="4572" width="9.28515625" style="1" bestFit="1" customWidth="1"/>
    <col min="4573" max="4573" width="28.140625" style="1" bestFit="1" customWidth="1"/>
    <col min="4574" max="4574" width="15.7109375" style="1" customWidth="1"/>
    <col min="4575" max="4575" width="9.140625" style="1" customWidth="1"/>
    <col min="4576" max="4576" width="14.28515625" style="1" customWidth="1"/>
    <col min="4577" max="4577" width="9.140625" style="1" customWidth="1"/>
    <col min="4578" max="4579" width="12.85546875" style="1" customWidth="1"/>
    <col min="4580" max="4580" width="9.140625" style="1" customWidth="1"/>
    <col min="4581" max="4581" width="10.7109375" style="1" customWidth="1"/>
    <col min="4582" max="4583" width="12" style="1" customWidth="1"/>
    <col min="4584" max="4591" width="10.7109375" style="1" customWidth="1"/>
    <col min="4592" max="4592" width="10.5703125" style="1" customWidth="1"/>
    <col min="4593" max="4593" width="11.140625" style="1" customWidth="1"/>
    <col min="4594" max="4594" width="10.7109375" style="1" customWidth="1"/>
    <col min="4595" max="4596" width="9.140625" style="1" customWidth="1"/>
    <col min="4597" max="4597" width="10.28515625" style="1" customWidth="1"/>
    <col min="4598" max="4599" width="10" style="1" customWidth="1"/>
    <col min="4600" max="4601" width="10.140625" style="1" customWidth="1"/>
    <col min="4602" max="4605" width="10" style="1" customWidth="1"/>
    <col min="4606" max="4606" width="10.140625" style="1" customWidth="1"/>
    <col min="4607" max="4608" width="10" style="1" customWidth="1"/>
    <col min="4609" max="4609" width="10.28515625" style="1" customWidth="1"/>
    <col min="4610" max="4610" width="13.140625" style="1" customWidth="1"/>
    <col min="4611" max="4611" width="7.85546875" style="1" customWidth="1"/>
    <col min="4612" max="4613" width="9.140625" style="1" customWidth="1"/>
    <col min="4614" max="4614" width="11.7109375" style="1" customWidth="1"/>
    <col min="4615" max="4615" width="11.5703125" style="1" bestFit="1" customWidth="1"/>
    <col min="4616" max="4622" width="10.28515625" style="1" bestFit="1" customWidth="1"/>
    <col min="4623" max="4626" width="9.28515625" style="1" bestFit="1" customWidth="1"/>
    <col min="4627" max="4627" width="9.85546875" style="1" bestFit="1" customWidth="1"/>
    <col min="4628" max="4628" width="10.85546875" style="1" bestFit="1" customWidth="1"/>
    <col min="4629" max="4827" width="9.140625" style="1"/>
    <col min="4828" max="4828" width="9.28515625" style="1" bestFit="1" customWidth="1"/>
    <col min="4829" max="4829" width="28.140625" style="1" bestFit="1" customWidth="1"/>
    <col min="4830" max="4830" width="15.7109375" style="1" customWidth="1"/>
    <col min="4831" max="4831" width="9.140625" style="1" customWidth="1"/>
    <col min="4832" max="4832" width="14.28515625" style="1" customWidth="1"/>
    <col min="4833" max="4833" width="9.140625" style="1" customWidth="1"/>
    <col min="4834" max="4835" width="12.85546875" style="1" customWidth="1"/>
    <col min="4836" max="4836" width="9.140625" style="1" customWidth="1"/>
    <col min="4837" max="4837" width="10.7109375" style="1" customWidth="1"/>
    <col min="4838" max="4839" width="12" style="1" customWidth="1"/>
    <col min="4840" max="4847" width="10.7109375" style="1" customWidth="1"/>
    <col min="4848" max="4848" width="10.5703125" style="1" customWidth="1"/>
    <col min="4849" max="4849" width="11.140625" style="1" customWidth="1"/>
    <col min="4850" max="4850" width="10.7109375" style="1" customWidth="1"/>
    <col min="4851" max="4852" width="9.140625" style="1" customWidth="1"/>
    <col min="4853" max="4853" width="10.28515625" style="1" customWidth="1"/>
    <col min="4854" max="4855" width="10" style="1" customWidth="1"/>
    <col min="4856" max="4857" width="10.140625" style="1" customWidth="1"/>
    <col min="4858" max="4861" width="10" style="1" customWidth="1"/>
    <col min="4862" max="4862" width="10.140625" style="1" customWidth="1"/>
    <col min="4863" max="4864" width="10" style="1" customWidth="1"/>
    <col min="4865" max="4865" width="10.28515625" style="1" customWidth="1"/>
    <col min="4866" max="4866" width="13.140625" style="1" customWidth="1"/>
    <col min="4867" max="4867" width="7.85546875" style="1" customWidth="1"/>
    <col min="4868" max="4869" width="9.140625" style="1" customWidth="1"/>
    <col min="4870" max="4870" width="11.7109375" style="1" customWidth="1"/>
    <col min="4871" max="4871" width="11.5703125" style="1" bestFit="1" customWidth="1"/>
    <col min="4872" max="4878" width="10.28515625" style="1" bestFit="1" customWidth="1"/>
    <col min="4879" max="4882" width="9.28515625" style="1" bestFit="1" customWidth="1"/>
    <col min="4883" max="4883" width="9.85546875" style="1" bestFit="1" customWidth="1"/>
    <col min="4884" max="4884" width="10.85546875" style="1" bestFit="1" customWidth="1"/>
    <col min="4885" max="5083" width="9.140625" style="1"/>
    <col min="5084" max="5084" width="9.28515625" style="1" bestFit="1" customWidth="1"/>
    <col min="5085" max="5085" width="28.140625" style="1" bestFit="1" customWidth="1"/>
    <col min="5086" max="5086" width="15.7109375" style="1" customWidth="1"/>
    <col min="5087" max="5087" width="9.140625" style="1" customWidth="1"/>
    <col min="5088" max="5088" width="14.28515625" style="1" customWidth="1"/>
    <col min="5089" max="5089" width="9.140625" style="1" customWidth="1"/>
    <col min="5090" max="5091" width="12.85546875" style="1" customWidth="1"/>
    <col min="5092" max="5092" width="9.140625" style="1" customWidth="1"/>
    <col min="5093" max="5093" width="10.7109375" style="1" customWidth="1"/>
    <col min="5094" max="5095" width="12" style="1" customWidth="1"/>
    <col min="5096" max="5103" width="10.7109375" style="1" customWidth="1"/>
    <col min="5104" max="5104" width="10.5703125" style="1" customWidth="1"/>
    <col min="5105" max="5105" width="11.140625" style="1" customWidth="1"/>
    <col min="5106" max="5106" width="10.7109375" style="1" customWidth="1"/>
    <col min="5107" max="5108" width="9.140625" style="1" customWidth="1"/>
    <col min="5109" max="5109" width="10.28515625" style="1" customWidth="1"/>
    <col min="5110" max="5111" width="10" style="1" customWidth="1"/>
    <col min="5112" max="5113" width="10.140625" style="1" customWidth="1"/>
    <col min="5114" max="5117" width="10" style="1" customWidth="1"/>
    <col min="5118" max="5118" width="10.140625" style="1" customWidth="1"/>
    <col min="5119" max="5120" width="10" style="1" customWidth="1"/>
    <col min="5121" max="5121" width="10.28515625" style="1" customWidth="1"/>
    <col min="5122" max="5122" width="13.140625" style="1" customWidth="1"/>
    <col min="5123" max="5123" width="7.85546875" style="1" customWidth="1"/>
    <col min="5124" max="5125" width="9.140625" style="1" customWidth="1"/>
    <col min="5126" max="5126" width="11.7109375" style="1" customWidth="1"/>
    <col min="5127" max="5127" width="11.5703125" style="1" bestFit="1" customWidth="1"/>
    <col min="5128" max="5134" width="10.28515625" style="1" bestFit="1" customWidth="1"/>
    <col min="5135" max="5138" width="9.28515625" style="1" bestFit="1" customWidth="1"/>
    <col min="5139" max="5139" width="9.85546875" style="1" bestFit="1" customWidth="1"/>
    <col min="5140" max="5140" width="10.85546875" style="1" bestFit="1" customWidth="1"/>
    <col min="5141" max="5339" width="9.140625" style="1"/>
    <col min="5340" max="5340" width="9.28515625" style="1" bestFit="1" customWidth="1"/>
    <col min="5341" max="5341" width="28.140625" style="1" bestFit="1" customWidth="1"/>
    <col min="5342" max="5342" width="15.7109375" style="1" customWidth="1"/>
    <col min="5343" max="5343" width="9.140625" style="1" customWidth="1"/>
    <col min="5344" max="5344" width="14.28515625" style="1" customWidth="1"/>
    <col min="5345" max="5345" width="9.140625" style="1" customWidth="1"/>
    <col min="5346" max="5347" width="12.85546875" style="1" customWidth="1"/>
    <col min="5348" max="5348" width="9.140625" style="1" customWidth="1"/>
    <col min="5349" max="5349" width="10.7109375" style="1" customWidth="1"/>
    <col min="5350" max="5351" width="12" style="1" customWidth="1"/>
    <col min="5352" max="5359" width="10.7109375" style="1" customWidth="1"/>
    <col min="5360" max="5360" width="10.5703125" style="1" customWidth="1"/>
    <col min="5361" max="5361" width="11.140625" style="1" customWidth="1"/>
    <col min="5362" max="5362" width="10.7109375" style="1" customWidth="1"/>
    <col min="5363" max="5364" width="9.140625" style="1" customWidth="1"/>
    <col min="5365" max="5365" width="10.28515625" style="1" customWidth="1"/>
    <col min="5366" max="5367" width="10" style="1" customWidth="1"/>
    <col min="5368" max="5369" width="10.140625" style="1" customWidth="1"/>
    <col min="5370" max="5373" width="10" style="1" customWidth="1"/>
    <col min="5374" max="5374" width="10.140625" style="1" customWidth="1"/>
    <col min="5375" max="5376" width="10" style="1" customWidth="1"/>
    <col min="5377" max="5377" width="10.28515625" style="1" customWidth="1"/>
    <col min="5378" max="5378" width="13.140625" style="1" customWidth="1"/>
    <col min="5379" max="5379" width="7.85546875" style="1" customWidth="1"/>
    <col min="5380" max="5381" width="9.140625" style="1" customWidth="1"/>
    <col min="5382" max="5382" width="11.7109375" style="1" customWidth="1"/>
    <col min="5383" max="5383" width="11.5703125" style="1" bestFit="1" customWidth="1"/>
    <col min="5384" max="5390" width="10.28515625" style="1" bestFit="1" customWidth="1"/>
    <col min="5391" max="5394" width="9.28515625" style="1" bestFit="1" customWidth="1"/>
    <col min="5395" max="5395" width="9.85546875" style="1" bestFit="1" customWidth="1"/>
    <col min="5396" max="5396" width="10.85546875" style="1" bestFit="1" customWidth="1"/>
    <col min="5397" max="5595" width="9.140625" style="1"/>
    <col min="5596" max="5596" width="9.28515625" style="1" bestFit="1" customWidth="1"/>
    <col min="5597" max="5597" width="28.140625" style="1" bestFit="1" customWidth="1"/>
    <col min="5598" max="5598" width="15.7109375" style="1" customWidth="1"/>
    <col min="5599" max="5599" width="9.140625" style="1" customWidth="1"/>
    <col min="5600" max="5600" width="14.28515625" style="1" customWidth="1"/>
    <col min="5601" max="5601" width="9.140625" style="1" customWidth="1"/>
    <col min="5602" max="5603" width="12.85546875" style="1" customWidth="1"/>
    <col min="5604" max="5604" width="9.140625" style="1" customWidth="1"/>
    <col min="5605" max="5605" width="10.7109375" style="1" customWidth="1"/>
    <col min="5606" max="5607" width="12" style="1" customWidth="1"/>
    <col min="5608" max="5615" width="10.7109375" style="1" customWidth="1"/>
    <col min="5616" max="5616" width="10.5703125" style="1" customWidth="1"/>
    <col min="5617" max="5617" width="11.140625" style="1" customWidth="1"/>
    <col min="5618" max="5618" width="10.7109375" style="1" customWidth="1"/>
    <col min="5619" max="5620" width="9.140625" style="1" customWidth="1"/>
    <col min="5621" max="5621" width="10.28515625" style="1" customWidth="1"/>
    <col min="5622" max="5623" width="10" style="1" customWidth="1"/>
    <col min="5624" max="5625" width="10.140625" style="1" customWidth="1"/>
    <col min="5626" max="5629" width="10" style="1" customWidth="1"/>
    <col min="5630" max="5630" width="10.140625" style="1" customWidth="1"/>
    <col min="5631" max="5632" width="10" style="1" customWidth="1"/>
    <col min="5633" max="5633" width="10.28515625" style="1" customWidth="1"/>
    <col min="5634" max="5634" width="13.140625" style="1" customWidth="1"/>
    <col min="5635" max="5635" width="7.85546875" style="1" customWidth="1"/>
    <col min="5636" max="5637" width="9.140625" style="1" customWidth="1"/>
    <col min="5638" max="5638" width="11.7109375" style="1" customWidth="1"/>
    <col min="5639" max="5639" width="11.5703125" style="1" bestFit="1" customWidth="1"/>
    <col min="5640" max="5646" width="10.28515625" style="1" bestFit="1" customWidth="1"/>
    <col min="5647" max="5650" width="9.28515625" style="1" bestFit="1" customWidth="1"/>
    <col min="5651" max="5651" width="9.85546875" style="1" bestFit="1" customWidth="1"/>
    <col min="5652" max="5652" width="10.85546875" style="1" bestFit="1" customWidth="1"/>
    <col min="5653" max="5851" width="9.140625" style="1"/>
    <col min="5852" max="5852" width="9.28515625" style="1" bestFit="1" customWidth="1"/>
    <col min="5853" max="5853" width="28.140625" style="1" bestFit="1" customWidth="1"/>
    <col min="5854" max="5854" width="15.7109375" style="1" customWidth="1"/>
    <col min="5855" max="5855" width="9.140625" style="1" customWidth="1"/>
    <col min="5856" max="5856" width="14.28515625" style="1" customWidth="1"/>
    <col min="5857" max="5857" width="9.140625" style="1" customWidth="1"/>
    <col min="5858" max="5859" width="12.85546875" style="1" customWidth="1"/>
    <col min="5860" max="5860" width="9.140625" style="1" customWidth="1"/>
    <col min="5861" max="5861" width="10.7109375" style="1" customWidth="1"/>
    <col min="5862" max="5863" width="12" style="1" customWidth="1"/>
    <col min="5864" max="5871" width="10.7109375" style="1" customWidth="1"/>
    <col min="5872" max="5872" width="10.5703125" style="1" customWidth="1"/>
    <col min="5873" max="5873" width="11.140625" style="1" customWidth="1"/>
    <col min="5874" max="5874" width="10.7109375" style="1" customWidth="1"/>
    <col min="5875" max="5876" width="9.140625" style="1" customWidth="1"/>
    <col min="5877" max="5877" width="10.28515625" style="1" customWidth="1"/>
    <col min="5878" max="5879" width="10" style="1" customWidth="1"/>
    <col min="5880" max="5881" width="10.140625" style="1" customWidth="1"/>
    <col min="5882" max="5885" width="10" style="1" customWidth="1"/>
    <col min="5886" max="5886" width="10.140625" style="1" customWidth="1"/>
    <col min="5887" max="5888" width="10" style="1" customWidth="1"/>
    <col min="5889" max="5889" width="10.28515625" style="1" customWidth="1"/>
    <col min="5890" max="5890" width="13.140625" style="1" customWidth="1"/>
    <col min="5891" max="5891" width="7.85546875" style="1" customWidth="1"/>
    <col min="5892" max="5893" width="9.140625" style="1" customWidth="1"/>
    <col min="5894" max="5894" width="11.7109375" style="1" customWidth="1"/>
    <col min="5895" max="5895" width="11.5703125" style="1" bestFit="1" customWidth="1"/>
    <col min="5896" max="5902" width="10.28515625" style="1" bestFit="1" customWidth="1"/>
    <col min="5903" max="5906" width="9.28515625" style="1" bestFit="1" customWidth="1"/>
    <col min="5907" max="5907" width="9.85546875" style="1" bestFit="1" customWidth="1"/>
    <col min="5908" max="5908" width="10.85546875" style="1" bestFit="1" customWidth="1"/>
    <col min="5909" max="6107" width="9.140625" style="1"/>
    <col min="6108" max="6108" width="9.28515625" style="1" bestFit="1" customWidth="1"/>
    <col min="6109" max="6109" width="28.140625" style="1" bestFit="1" customWidth="1"/>
    <col min="6110" max="6110" width="15.7109375" style="1" customWidth="1"/>
    <col min="6111" max="6111" width="9.140625" style="1" customWidth="1"/>
    <col min="6112" max="6112" width="14.28515625" style="1" customWidth="1"/>
    <col min="6113" max="6113" width="9.140625" style="1" customWidth="1"/>
    <col min="6114" max="6115" width="12.85546875" style="1" customWidth="1"/>
    <col min="6116" max="6116" width="9.140625" style="1" customWidth="1"/>
    <col min="6117" max="6117" width="10.7109375" style="1" customWidth="1"/>
    <col min="6118" max="6119" width="12" style="1" customWidth="1"/>
    <col min="6120" max="6127" width="10.7109375" style="1" customWidth="1"/>
    <col min="6128" max="6128" width="10.5703125" style="1" customWidth="1"/>
    <col min="6129" max="6129" width="11.140625" style="1" customWidth="1"/>
    <col min="6130" max="6130" width="10.7109375" style="1" customWidth="1"/>
    <col min="6131" max="6132" width="9.140625" style="1" customWidth="1"/>
    <col min="6133" max="6133" width="10.28515625" style="1" customWidth="1"/>
    <col min="6134" max="6135" width="10" style="1" customWidth="1"/>
    <col min="6136" max="6137" width="10.140625" style="1" customWidth="1"/>
    <col min="6138" max="6141" width="10" style="1" customWidth="1"/>
    <col min="6142" max="6142" width="10.140625" style="1" customWidth="1"/>
    <col min="6143" max="6144" width="10" style="1" customWidth="1"/>
    <col min="6145" max="6145" width="10.28515625" style="1" customWidth="1"/>
    <col min="6146" max="6146" width="13.140625" style="1" customWidth="1"/>
    <col min="6147" max="6147" width="7.85546875" style="1" customWidth="1"/>
    <col min="6148" max="6149" width="9.140625" style="1" customWidth="1"/>
    <col min="6150" max="6150" width="11.7109375" style="1" customWidth="1"/>
    <col min="6151" max="6151" width="11.5703125" style="1" bestFit="1" customWidth="1"/>
    <col min="6152" max="6158" width="10.28515625" style="1" bestFit="1" customWidth="1"/>
    <col min="6159" max="6162" width="9.28515625" style="1" bestFit="1" customWidth="1"/>
    <col min="6163" max="6163" width="9.85546875" style="1" bestFit="1" customWidth="1"/>
    <col min="6164" max="6164" width="10.85546875" style="1" bestFit="1" customWidth="1"/>
    <col min="6165" max="6363" width="9.140625" style="1"/>
    <col min="6364" max="6364" width="9.28515625" style="1" bestFit="1" customWidth="1"/>
    <col min="6365" max="6365" width="28.140625" style="1" bestFit="1" customWidth="1"/>
    <col min="6366" max="6366" width="15.7109375" style="1" customWidth="1"/>
    <col min="6367" max="6367" width="9.140625" style="1" customWidth="1"/>
    <col min="6368" max="6368" width="14.28515625" style="1" customWidth="1"/>
    <col min="6369" max="6369" width="9.140625" style="1" customWidth="1"/>
    <col min="6370" max="6371" width="12.85546875" style="1" customWidth="1"/>
    <col min="6372" max="6372" width="9.140625" style="1" customWidth="1"/>
    <col min="6373" max="6373" width="10.7109375" style="1" customWidth="1"/>
    <col min="6374" max="6375" width="12" style="1" customWidth="1"/>
    <col min="6376" max="6383" width="10.7109375" style="1" customWidth="1"/>
    <col min="6384" max="6384" width="10.5703125" style="1" customWidth="1"/>
    <col min="6385" max="6385" width="11.140625" style="1" customWidth="1"/>
    <col min="6386" max="6386" width="10.7109375" style="1" customWidth="1"/>
    <col min="6387" max="6388" width="9.140625" style="1" customWidth="1"/>
    <col min="6389" max="6389" width="10.28515625" style="1" customWidth="1"/>
    <col min="6390" max="6391" width="10" style="1" customWidth="1"/>
    <col min="6392" max="6393" width="10.140625" style="1" customWidth="1"/>
    <col min="6394" max="6397" width="10" style="1" customWidth="1"/>
    <col min="6398" max="6398" width="10.140625" style="1" customWidth="1"/>
    <col min="6399" max="6400" width="10" style="1" customWidth="1"/>
    <col min="6401" max="6401" width="10.28515625" style="1" customWidth="1"/>
    <col min="6402" max="6402" width="13.140625" style="1" customWidth="1"/>
    <col min="6403" max="6403" width="7.85546875" style="1" customWidth="1"/>
    <col min="6404" max="6405" width="9.140625" style="1" customWidth="1"/>
    <col min="6406" max="6406" width="11.7109375" style="1" customWidth="1"/>
    <col min="6407" max="6407" width="11.5703125" style="1" bestFit="1" customWidth="1"/>
    <col min="6408" max="6414" width="10.28515625" style="1" bestFit="1" customWidth="1"/>
    <col min="6415" max="6418" width="9.28515625" style="1" bestFit="1" customWidth="1"/>
    <col min="6419" max="6419" width="9.85546875" style="1" bestFit="1" customWidth="1"/>
    <col min="6420" max="6420" width="10.85546875" style="1" bestFit="1" customWidth="1"/>
    <col min="6421" max="6619" width="9.140625" style="1"/>
    <col min="6620" max="6620" width="9.28515625" style="1" bestFit="1" customWidth="1"/>
    <col min="6621" max="6621" width="28.140625" style="1" bestFit="1" customWidth="1"/>
    <col min="6622" max="6622" width="15.7109375" style="1" customWidth="1"/>
    <col min="6623" max="6623" width="9.140625" style="1" customWidth="1"/>
    <col min="6624" max="6624" width="14.28515625" style="1" customWidth="1"/>
    <col min="6625" max="6625" width="9.140625" style="1" customWidth="1"/>
    <col min="6626" max="6627" width="12.85546875" style="1" customWidth="1"/>
    <col min="6628" max="6628" width="9.140625" style="1" customWidth="1"/>
    <col min="6629" max="6629" width="10.7109375" style="1" customWidth="1"/>
    <col min="6630" max="6631" width="12" style="1" customWidth="1"/>
    <col min="6632" max="6639" width="10.7109375" style="1" customWidth="1"/>
    <col min="6640" max="6640" width="10.5703125" style="1" customWidth="1"/>
    <col min="6641" max="6641" width="11.140625" style="1" customWidth="1"/>
    <col min="6642" max="6642" width="10.7109375" style="1" customWidth="1"/>
    <col min="6643" max="6644" width="9.140625" style="1" customWidth="1"/>
    <col min="6645" max="6645" width="10.28515625" style="1" customWidth="1"/>
    <col min="6646" max="6647" width="10" style="1" customWidth="1"/>
    <col min="6648" max="6649" width="10.140625" style="1" customWidth="1"/>
    <col min="6650" max="6653" width="10" style="1" customWidth="1"/>
    <col min="6654" max="6654" width="10.140625" style="1" customWidth="1"/>
    <col min="6655" max="6656" width="10" style="1" customWidth="1"/>
    <col min="6657" max="6657" width="10.28515625" style="1" customWidth="1"/>
    <col min="6658" max="6658" width="13.140625" style="1" customWidth="1"/>
    <col min="6659" max="6659" width="7.85546875" style="1" customWidth="1"/>
    <col min="6660" max="6661" width="9.140625" style="1" customWidth="1"/>
    <col min="6662" max="6662" width="11.7109375" style="1" customWidth="1"/>
    <col min="6663" max="6663" width="11.5703125" style="1" bestFit="1" customWidth="1"/>
    <col min="6664" max="6670" width="10.28515625" style="1" bestFit="1" customWidth="1"/>
    <col min="6671" max="6674" width="9.28515625" style="1" bestFit="1" customWidth="1"/>
    <col min="6675" max="6675" width="9.85546875" style="1" bestFit="1" customWidth="1"/>
    <col min="6676" max="6676" width="10.85546875" style="1" bestFit="1" customWidth="1"/>
    <col min="6677" max="6875" width="9.140625" style="1"/>
    <col min="6876" max="6876" width="9.28515625" style="1" bestFit="1" customWidth="1"/>
    <col min="6877" max="6877" width="28.140625" style="1" bestFit="1" customWidth="1"/>
    <col min="6878" max="6878" width="15.7109375" style="1" customWidth="1"/>
    <col min="6879" max="6879" width="9.140625" style="1" customWidth="1"/>
    <col min="6880" max="6880" width="14.28515625" style="1" customWidth="1"/>
    <col min="6881" max="6881" width="9.140625" style="1" customWidth="1"/>
    <col min="6882" max="6883" width="12.85546875" style="1" customWidth="1"/>
    <col min="6884" max="6884" width="9.140625" style="1" customWidth="1"/>
    <col min="6885" max="6885" width="10.7109375" style="1" customWidth="1"/>
    <col min="6886" max="6887" width="12" style="1" customWidth="1"/>
    <col min="6888" max="6895" width="10.7109375" style="1" customWidth="1"/>
    <col min="6896" max="6896" width="10.5703125" style="1" customWidth="1"/>
    <col min="6897" max="6897" width="11.140625" style="1" customWidth="1"/>
    <col min="6898" max="6898" width="10.7109375" style="1" customWidth="1"/>
    <col min="6899" max="6900" width="9.140625" style="1" customWidth="1"/>
    <col min="6901" max="6901" width="10.28515625" style="1" customWidth="1"/>
    <col min="6902" max="6903" width="10" style="1" customWidth="1"/>
    <col min="6904" max="6905" width="10.140625" style="1" customWidth="1"/>
    <col min="6906" max="6909" width="10" style="1" customWidth="1"/>
    <col min="6910" max="6910" width="10.140625" style="1" customWidth="1"/>
    <col min="6911" max="6912" width="10" style="1" customWidth="1"/>
    <col min="6913" max="6913" width="10.28515625" style="1" customWidth="1"/>
    <col min="6914" max="6914" width="13.140625" style="1" customWidth="1"/>
    <col min="6915" max="6915" width="7.85546875" style="1" customWidth="1"/>
    <col min="6916" max="6917" width="9.140625" style="1" customWidth="1"/>
    <col min="6918" max="6918" width="11.7109375" style="1" customWidth="1"/>
    <col min="6919" max="6919" width="11.5703125" style="1" bestFit="1" customWidth="1"/>
    <col min="6920" max="6926" width="10.28515625" style="1" bestFit="1" customWidth="1"/>
    <col min="6927" max="6930" width="9.28515625" style="1" bestFit="1" customWidth="1"/>
    <col min="6931" max="6931" width="9.85546875" style="1" bestFit="1" customWidth="1"/>
    <col min="6932" max="6932" width="10.85546875" style="1" bestFit="1" customWidth="1"/>
    <col min="6933" max="7131" width="9.140625" style="1"/>
    <col min="7132" max="7132" width="9.28515625" style="1" bestFit="1" customWidth="1"/>
    <col min="7133" max="7133" width="28.140625" style="1" bestFit="1" customWidth="1"/>
    <col min="7134" max="7134" width="15.7109375" style="1" customWidth="1"/>
    <col min="7135" max="7135" width="9.140625" style="1" customWidth="1"/>
    <col min="7136" max="7136" width="14.28515625" style="1" customWidth="1"/>
    <col min="7137" max="7137" width="9.140625" style="1" customWidth="1"/>
    <col min="7138" max="7139" width="12.85546875" style="1" customWidth="1"/>
    <col min="7140" max="7140" width="9.140625" style="1" customWidth="1"/>
    <col min="7141" max="7141" width="10.7109375" style="1" customWidth="1"/>
    <col min="7142" max="7143" width="12" style="1" customWidth="1"/>
    <col min="7144" max="7151" width="10.7109375" style="1" customWidth="1"/>
    <col min="7152" max="7152" width="10.5703125" style="1" customWidth="1"/>
    <col min="7153" max="7153" width="11.140625" style="1" customWidth="1"/>
    <col min="7154" max="7154" width="10.7109375" style="1" customWidth="1"/>
    <col min="7155" max="7156" width="9.140625" style="1" customWidth="1"/>
    <col min="7157" max="7157" width="10.28515625" style="1" customWidth="1"/>
    <col min="7158" max="7159" width="10" style="1" customWidth="1"/>
    <col min="7160" max="7161" width="10.140625" style="1" customWidth="1"/>
    <col min="7162" max="7165" width="10" style="1" customWidth="1"/>
    <col min="7166" max="7166" width="10.140625" style="1" customWidth="1"/>
    <col min="7167" max="7168" width="10" style="1" customWidth="1"/>
    <col min="7169" max="7169" width="10.28515625" style="1" customWidth="1"/>
    <col min="7170" max="7170" width="13.140625" style="1" customWidth="1"/>
    <col min="7171" max="7171" width="7.85546875" style="1" customWidth="1"/>
    <col min="7172" max="7173" width="9.140625" style="1" customWidth="1"/>
    <col min="7174" max="7174" width="11.7109375" style="1" customWidth="1"/>
    <col min="7175" max="7175" width="11.5703125" style="1" bestFit="1" customWidth="1"/>
    <col min="7176" max="7182" width="10.28515625" style="1" bestFit="1" customWidth="1"/>
    <col min="7183" max="7186" width="9.28515625" style="1" bestFit="1" customWidth="1"/>
    <col min="7187" max="7187" width="9.85546875" style="1" bestFit="1" customWidth="1"/>
    <col min="7188" max="7188" width="10.85546875" style="1" bestFit="1" customWidth="1"/>
    <col min="7189" max="7387" width="9.140625" style="1"/>
    <col min="7388" max="7388" width="9.28515625" style="1" bestFit="1" customWidth="1"/>
    <col min="7389" max="7389" width="28.140625" style="1" bestFit="1" customWidth="1"/>
    <col min="7390" max="7390" width="15.7109375" style="1" customWidth="1"/>
    <col min="7391" max="7391" width="9.140625" style="1" customWidth="1"/>
    <col min="7392" max="7392" width="14.28515625" style="1" customWidth="1"/>
    <col min="7393" max="7393" width="9.140625" style="1" customWidth="1"/>
    <col min="7394" max="7395" width="12.85546875" style="1" customWidth="1"/>
    <col min="7396" max="7396" width="9.140625" style="1" customWidth="1"/>
    <col min="7397" max="7397" width="10.7109375" style="1" customWidth="1"/>
    <col min="7398" max="7399" width="12" style="1" customWidth="1"/>
    <col min="7400" max="7407" width="10.7109375" style="1" customWidth="1"/>
    <col min="7408" max="7408" width="10.5703125" style="1" customWidth="1"/>
    <col min="7409" max="7409" width="11.140625" style="1" customWidth="1"/>
    <col min="7410" max="7410" width="10.7109375" style="1" customWidth="1"/>
    <col min="7411" max="7412" width="9.140625" style="1" customWidth="1"/>
    <col min="7413" max="7413" width="10.28515625" style="1" customWidth="1"/>
    <col min="7414" max="7415" width="10" style="1" customWidth="1"/>
    <col min="7416" max="7417" width="10.140625" style="1" customWidth="1"/>
    <col min="7418" max="7421" width="10" style="1" customWidth="1"/>
    <col min="7422" max="7422" width="10.140625" style="1" customWidth="1"/>
    <col min="7423" max="7424" width="10" style="1" customWidth="1"/>
    <col min="7425" max="7425" width="10.28515625" style="1" customWidth="1"/>
    <col min="7426" max="7426" width="13.140625" style="1" customWidth="1"/>
    <col min="7427" max="7427" width="7.85546875" style="1" customWidth="1"/>
    <col min="7428" max="7429" width="9.140625" style="1" customWidth="1"/>
    <col min="7430" max="7430" width="11.7109375" style="1" customWidth="1"/>
    <col min="7431" max="7431" width="11.5703125" style="1" bestFit="1" customWidth="1"/>
    <col min="7432" max="7438" width="10.28515625" style="1" bestFit="1" customWidth="1"/>
    <col min="7439" max="7442" width="9.28515625" style="1" bestFit="1" customWidth="1"/>
    <col min="7443" max="7443" width="9.85546875" style="1" bestFit="1" customWidth="1"/>
    <col min="7444" max="7444" width="10.85546875" style="1" bestFit="1" customWidth="1"/>
    <col min="7445" max="7643" width="9.140625" style="1"/>
    <col min="7644" max="7644" width="9.28515625" style="1" bestFit="1" customWidth="1"/>
    <col min="7645" max="7645" width="28.140625" style="1" bestFit="1" customWidth="1"/>
    <col min="7646" max="7646" width="15.7109375" style="1" customWidth="1"/>
    <col min="7647" max="7647" width="9.140625" style="1" customWidth="1"/>
    <col min="7648" max="7648" width="14.28515625" style="1" customWidth="1"/>
    <col min="7649" max="7649" width="9.140625" style="1" customWidth="1"/>
    <col min="7650" max="7651" width="12.85546875" style="1" customWidth="1"/>
    <col min="7652" max="7652" width="9.140625" style="1" customWidth="1"/>
    <col min="7653" max="7653" width="10.7109375" style="1" customWidth="1"/>
    <col min="7654" max="7655" width="12" style="1" customWidth="1"/>
    <col min="7656" max="7663" width="10.7109375" style="1" customWidth="1"/>
    <col min="7664" max="7664" width="10.5703125" style="1" customWidth="1"/>
    <col min="7665" max="7665" width="11.140625" style="1" customWidth="1"/>
    <col min="7666" max="7666" width="10.7109375" style="1" customWidth="1"/>
    <col min="7667" max="7668" width="9.140625" style="1" customWidth="1"/>
    <col min="7669" max="7669" width="10.28515625" style="1" customWidth="1"/>
    <col min="7670" max="7671" width="10" style="1" customWidth="1"/>
    <col min="7672" max="7673" width="10.140625" style="1" customWidth="1"/>
    <col min="7674" max="7677" width="10" style="1" customWidth="1"/>
    <col min="7678" max="7678" width="10.140625" style="1" customWidth="1"/>
    <col min="7679" max="7680" width="10" style="1" customWidth="1"/>
    <col min="7681" max="7681" width="10.28515625" style="1" customWidth="1"/>
    <col min="7682" max="7682" width="13.140625" style="1" customWidth="1"/>
    <col min="7683" max="7683" width="7.85546875" style="1" customWidth="1"/>
    <col min="7684" max="7685" width="9.140625" style="1" customWidth="1"/>
    <col min="7686" max="7686" width="11.7109375" style="1" customWidth="1"/>
    <col min="7687" max="7687" width="11.5703125" style="1" bestFit="1" customWidth="1"/>
    <col min="7688" max="7694" width="10.28515625" style="1" bestFit="1" customWidth="1"/>
    <col min="7695" max="7698" width="9.28515625" style="1" bestFit="1" customWidth="1"/>
    <col min="7699" max="7699" width="9.85546875" style="1" bestFit="1" customWidth="1"/>
    <col min="7700" max="7700" width="10.85546875" style="1" bestFit="1" customWidth="1"/>
    <col min="7701" max="7899" width="9.140625" style="1"/>
    <col min="7900" max="7900" width="9.28515625" style="1" bestFit="1" customWidth="1"/>
    <col min="7901" max="7901" width="28.140625" style="1" bestFit="1" customWidth="1"/>
    <col min="7902" max="7902" width="15.7109375" style="1" customWidth="1"/>
    <col min="7903" max="7903" width="9.140625" style="1" customWidth="1"/>
    <col min="7904" max="7904" width="14.28515625" style="1" customWidth="1"/>
    <col min="7905" max="7905" width="9.140625" style="1" customWidth="1"/>
    <col min="7906" max="7907" width="12.85546875" style="1" customWidth="1"/>
    <col min="7908" max="7908" width="9.140625" style="1" customWidth="1"/>
    <col min="7909" max="7909" width="10.7109375" style="1" customWidth="1"/>
    <col min="7910" max="7911" width="12" style="1" customWidth="1"/>
    <col min="7912" max="7919" width="10.7109375" style="1" customWidth="1"/>
    <col min="7920" max="7920" width="10.5703125" style="1" customWidth="1"/>
    <col min="7921" max="7921" width="11.140625" style="1" customWidth="1"/>
    <col min="7922" max="7922" width="10.7109375" style="1" customWidth="1"/>
    <col min="7923" max="7924" width="9.140625" style="1" customWidth="1"/>
    <col min="7925" max="7925" width="10.28515625" style="1" customWidth="1"/>
    <col min="7926" max="7927" width="10" style="1" customWidth="1"/>
    <col min="7928" max="7929" width="10.140625" style="1" customWidth="1"/>
    <col min="7930" max="7933" width="10" style="1" customWidth="1"/>
    <col min="7934" max="7934" width="10.140625" style="1" customWidth="1"/>
    <col min="7935" max="7936" width="10" style="1" customWidth="1"/>
    <col min="7937" max="7937" width="10.28515625" style="1" customWidth="1"/>
    <col min="7938" max="7938" width="13.140625" style="1" customWidth="1"/>
    <col min="7939" max="7939" width="7.85546875" style="1" customWidth="1"/>
    <col min="7940" max="7941" width="9.140625" style="1" customWidth="1"/>
    <col min="7942" max="7942" width="11.7109375" style="1" customWidth="1"/>
    <col min="7943" max="7943" width="11.5703125" style="1" bestFit="1" customWidth="1"/>
    <col min="7944" max="7950" width="10.28515625" style="1" bestFit="1" customWidth="1"/>
    <col min="7951" max="7954" width="9.28515625" style="1" bestFit="1" customWidth="1"/>
    <col min="7955" max="7955" width="9.85546875" style="1" bestFit="1" customWidth="1"/>
    <col min="7956" max="7956" width="10.85546875" style="1" bestFit="1" customWidth="1"/>
    <col min="7957" max="8155" width="9.140625" style="1"/>
    <col min="8156" max="8156" width="9.28515625" style="1" bestFit="1" customWidth="1"/>
    <col min="8157" max="8157" width="28.140625" style="1" bestFit="1" customWidth="1"/>
    <col min="8158" max="8158" width="15.7109375" style="1" customWidth="1"/>
    <col min="8159" max="8159" width="9.140625" style="1" customWidth="1"/>
    <col min="8160" max="8160" width="14.28515625" style="1" customWidth="1"/>
    <col min="8161" max="8161" width="9.140625" style="1" customWidth="1"/>
    <col min="8162" max="8163" width="12.85546875" style="1" customWidth="1"/>
    <col min="8164" max="8164" width="9.140625" style="1" customWidth="1"/>
    <col min="8165" max="8165" width="10.7109375" style="1" customWidth="1"/>
    <col min="8166" max="8167" width="12" style="1" customWidth="1"/>
    <col min="8168" max="8175" width="10.7109375" style="1" customWidth="1"/>
    <col min="8176" max="8176" width="10.5703125" style="1" customWidth="1"/>
    <col min="8177" max="8177" width="11.140625" style="1" customWidth="1"/>
    <col min="8178" max="8178" width="10.7109375" style="1" customWidth="1"/>
    <col min="8179" max="8180" width="9.140625" style="1" customWidth="1"/>
    <col min="8181" max="8181" width="10.28515625" style="1" customWidth="1"/>
    <col min="8182" max="8183" width="10" style="1" customWidth="1"/>
    <col min="8184" max="8185" width="10.140625" style="1" customWidth="1"/>
    <col min="8186" max="8189" width="10" style="1" customWidth="1"/>
    <col min="8190" max="8190" width="10.140625" style="1" customWidth="1"/>
    <col min="8191" max="8192" width="10" style="1" customWidth="1"/>
    <col min="8193" max="8193" width="10.28515625" style="1" customWidth="1"/>
    <col min="8194" max="8194" width="13.140625" style="1" customWidth="1"/>
    <col min="8195" max="8195" width="7.85546875" style="1" customWidth="1"/>
    <col min="8196" max="8197" width="9.140625" style="1" customWidth="1"/>
    <col min="8198" max="8198" width="11.7109375" style="1" customWidth="1"/>
    <col min="8199" max="8199" width="11.5703125" style="1" bestFit="1" customWidth="1"/>
    <col min="8200" max="8206" width="10.28515625" style="1" bestFit="1" customWidth="1"/>
    <col min="8207" max="8210" width="9.28515625" style="1" bestFit="1" customWidth="1"/>
    <col min="8211" max="8211" width="9.85546875" style="1" bestFit="1" customWidth="1"/>
    <col min="8212" max="8212" width="10.85546875" style="1" bestFit="1" customWidth="1"/>
    <col min="8213" max="8411" width="9.140625" style="1"/>
    <col min="8412" max="8412" width="9.28515625" style="1" bestFit="1" customWidth="1"/>
    <col min="8413" max="8413" width="28.140625" style="1" bestFit="1" customWidth="1"/>
    <col min="8414" max="8414" width="15.7109375" style="1" customWidth="1"/>
    <col min="8415" max="8415" width="9.140625" style="1" customWidth="1"/>
    <col min="8416" max="8416" width="14.28515625" style="1" customWidth="1"/>
    <col min="8417" max="8417" width="9.140625" style="1" customWidth="1"/>
    <col min="8418" max="8419" width="12.85546875" style="1" customWidth="1"/>
    <col min="8420" max="8420" width="9.140625" style="1" customWidth="1"/>
    <col min="8421" max="8421" width="10.7109375" style="1" customWidth="1"/>
    <col min="8422" max="8423" width="12" style="1" customWidth="1"/>
    <col min="8424" max="8431" width="10.7109375" style="1" customWidth="1"/>
    <col min="8432" max="8432" width="10.5703125" style="1" customWidth="1"/>
    <col min="8433" max="8433" width="11.140625" style="1" customWidth="1"/>
    <col min="8434" max="8434" width="10.7109375" style="1" customWidth="1"/>
    <col min="8435" max="8436" width="9.140625" style="1" customWidth="1"/>
    <col min="8437" max="8437" width="10.28515625" style="1" customWidth="1"/>
    <col min="8438" max="8439" width="10" style="1" customWidth="1"/>
    <col min="8440" max="8441" width="10.140625" style="1" customWidth="1"/>
    <col min="8442" max="8445" width="10" style="1" customWidth="1"/>
    <col min="8446" max="8446" width="10.140625" style="1" customWidth="1"/>
    <col min="8447" max="8448" width="10" style="1" customWidth="1"/>
    <col min="8449" max="8449" width="10.28515625" style="1" customWidth="1"/>
    <col min="8450" max="8450" width="13.140625" style="1" customWidth="1"/>
    <col min="8451" max="8451" width="7.85546875" style="1" customWidth="1"/>
    <col min="8452" max="8453" width="9.140625" style="1" customWidth="1"/>
    <col min="8454" max="8454" width="11.7109375" style="1" customWidth="1"/>
    <col min="8455" max="8455" width="11.5703125" style="1" bestFit="1" customWidth="1"/>
    <col min="8456" max="8462" width="10.28515625" style="1" bestFit="1" customWidth="1"/>
    <col min="8463" max="8466" width="9.28515625" style="1" bestFit="1" customWidth="1"/>
    <col min="8467" max="8467" width="9.85546875" style="1" bestFit="1" customWidth="1"/>
    <col min="8468" max="8468" width="10.85546875" style="1" bestFit="1" customWidth="1"/>
    <col min="8469" max="8667" width="9.140625" style="1"/>
    <col min="8668" max="8668" width="9.28515625" style="1" bestFit="1" customWidth="1"/>
    <col min="8669" max="8669" width="28.140625" style="1" bestFit="1" customWidth="1"/>
    <col min="8670" max="8670" width="15.7109375" style="1" customWidth="1"/>
    <col min="8671" max="8671" width="9.140625" style="1" customWidth="1"/>
    <col min="8672" max="8672" width="14.28515625" style="1" customWidth="1"/>
    <col min="8673" max="8673" width="9.140625" style="1" customWidth="1"/>
    <col min="8674" max="8675" width="12.85546875" style="1" customWidth="1"/>
    <col min="8676" max="8676" width="9.140625" style="1" customWidth="1"/>
    <col min="8677" max="8677" width="10.7109375" style="1" customWidth="1"/>
    <col min="8678" max="8679" width="12" style="1" customWidth="1"/>
    <col min="8680" max="8687" width="10.7109375" style="1" customWidth="1"/>
    <col min="8688" max="8688" width="10.5703125" style="1" customWidth="1"/>
    <col min="8689" max="8689" width="11.140625" style="1" customWidth="1"/>
    <col min="8690" max="8690" width="10.7109375" style="1" customWidth="1"/>
    <col min="8691" max="8692" width="9.140625" style="1" customWidth="1"/>
    <col min="8693" max="8693" width="10.28515625" style="1" customWidth="1"/>
    <col min="8694" max="8695" width="10" style="1" customWidth="1"/>
    <col min="8696" max="8697" width="10.140625" style="1" customWidth="1"/>
    <col min="8698" max="8701" width="10" style="1" customWidth="1"/>
    <col min="8702" max="8702" width="10.140625" style="1" customWidth="1"/>
    <col min="8703" max="8704" width="10" style="1" customWidth="1"/>
    <col min="8705" max="8705" width="10.28515625" style="1" customWidth="1"/>
    <col min="8706" max="8706" width="13.140625" style="1" customWidth="1"/>
    <col min="8707" max="8707" width="7.85546875" style="1" customWidth="1"/>
    <col min="8708" max="8709" width="9.140625" style="1" customWidth="1"/>
    <col min="8710" max="8710" width="11.7109375" style="1" customWidth="1"/>
    <col min="8711" max="8711" width="11.5703125" style="1" bestFit="1" customWidth="1"/>
    <col min="8712" max="8718" width="10.28515625" style="1" bestFit="1" customWidth="1"/>
    <col min="8719" max="8722" width="9.28515625" style="1" bestFit="1" customWidth="1"/>
    <col min="8723" max="8723" width="9.85546875" style="1" bestFit="1" customWidth="1"/>
    <col min="8724" max="8724" width="10.85546875" style="1" bestFit="1" customWidth="1"/>
    <col min="8725" max="8923" width="9.140625" style="1"/>
    <col min="8924" max="8924" width="9.28515625" style="1" bestFit="1" customWidth="1"/>
    <col min="8925" max="8925" width="28.140625" style="1" bestFit="1" customWidth="1"/>
    <col min="8926" max="8926" width="15.7109375" style="1" customWidth="1"/>
    <col min="8927" max="8927" width="9.140625" style="1" customWidth="1"/>
    <col min="8928" max="8928" width="14.28515625" style="1" customWidth="1"/>
    <col min="8929" max="8929" width="9.140625" style="1" customWidth="1"/>
    <col min="8930" max="8931" width="12.85546875" style="1" customWidth="1"/>
    <col min="8932" max="8932" width="9.140625" style="1" customWidth="1"/>
    <col min="8933" max="8933" width="10.7109375" style="1" customWidth="1"/>
    <col min="8934" max="8935" width="12" style="1" customWidth="1"/>
    <col min="8936" max="8943" width="10.7109375" style="1" customWidth="1"/>
    <col min="8944" max="8944" width="10.5703125" style="1" customWidth="1"/>
    <col min="8945" max="8945" width="11.140625" style="1" customWidth="1"/>
    <col min="8946" max="8946" width="10.7109375" style="1" customWidth="1"/>
    <col min="8947" max="8948" width="9.140625" style="1" customWidth="1"/>
    <col min="8949" max="8949" width="10.28515625" style="1" customWidth="1"/>
    <col min="8950" max="8951" width="10" style="1" customWidth="1"/>
    <col min="8952" max="8953" width="10.140625" style="1" customWidth="1"/>
    <col min="8954" max="8957" width="10" style="1" customWidth="1"/>
    <col min="8958" max="8958" width="10.140625" style="1" customWidth="1"/>
    <col min="8959" max="8960" width="10" style="1" customWidth="1"/>
    <col min="8961" max="8961" width="10.28515625" style="1" customWidth="1"/>
    <col min="8962" max="8962" width="13.140625" style="1" customWidth="1"/>
    <col min="8963" max="8963" width="7.85546875" style="1" customWidth="1"/>
    <col min="8964" max="8965" width="9.140625" style="1" customWidth="1"/>
    <col min="8966" max="8966" width="11.7109375" style="1" customWidth="1"/>
    <col min="8967" max="8967" width="11.5703125" style="1" bestFit="1" customWidth="1"/>
    <col min="8968" max="8974" width="10.28515625" style="1" bestFit="1" customWidth="1"/>
    <col min="8975" max="8978" width="9.28515625" style="1" bestFit="1" customWidth="1"/>
    <col min="8979" max="8979" width="9.85546875" style="1" bestFit="1" customWidth="1"/>
    <col min="8980" max="8980" width="10.85546875" style="1" bestFit="1" customWidth="1"/>
    <col min="8981" max="9179" width="9.140625" style="1"/>
    <col min="9180" max="9180" width="9.28515625" style="1" bestFit="1" customWidth="1"/>
    <col min="9181" max="9181" width="28.140625" style="1" bestFit="1" customWidth="1"/>
    <col min="9182" max="9182" width="15.7109375" style="1" customWidth="1"/>
    <col min="9183" max="9183" width="9.140625" style="1" customWidth="1"/>
    <col min="9184" max="9184" width="14.28515625" style="1" customWidth="1"/>
    <col min="9185" max="9185" width="9.140625" style="1" customWidth="1"/>
    <col min="9186" max="9187" width="12.85546875" style="1" customWidth="1"/>
    <col min="9188" max="9188" width="9.140625" style="1" customWidth="1"/>
    <col min="9189" max="9189" width="10.7109375" style="1" customWidth="1"/>
    <col min="9190" max="9191" width="12" style="1" customWidth="1"/>
    <col min="9192" max="9199" width="10.7109375" style="1" customWidth="1"/>
    <col min="9200" max="9200" width="10.5703125" style="1" customWidth="1"/>
    <col min="9201" max="9201" width="11.140625" style="1" customWidth="1"/>
    <col min="9202" max="9202" width="10.7109375" style="1" customWidth="1"/>
    <col min="9203" max="9204" width="9.140625" style="1" customWidth="1"/>
    <col min="9205" max="9205" width="10.28515625" style="1" customWidth="1"/>
    <col min="9206" max="9207" width="10" style="1" customWidth="1"/>
    <col min="9208" max="9209" width="10.140625" style="1" customWidth="1"/>
    <col min="9210" max="9213" width="10" style="1" customWidth="1"/>
    <col min="9214" max="9214" width="10.140625" style="1" customWidth="1"/>
    <col min="9215" max="9216" width="10" style="1" customWidth="1"/>
    <col min="9217" max="9217" width="10.28515625" style="1" customWidth="1"/>
    <col min="9218" max="9218" width="13.140625" style="1" customWidth="1"/>
    <col min="9219" max="9219" width="7.85546875" style="1" customWidth="1"/>
    <col min="9220" max="9221" width="9.140625" style="1" customWidth="1"/>
    <col min="9222" max="9222" width="11.7109375" style="1" customWidth="1"/>
    <col min="9223" max="9223" width="11.5703125" style="1" bestFit="1" customWidth="1"/>
    <col min="9224" max="9230" width="10.28515625" style="1" bestFit="1" customWidth="1"/>
    <col min="9231" max="9234" width="9.28515625" style="1" bestFit="1" customWidth="1"/>
    <col min="9235" max="9235" width="9.85546875" style="1" bestFit="1" customWidth="1"/>
    <col min="9236" max="9236" width="10.85546875" style="1" bestFit="1" customWidth="1"/>
    <col min="9237" max="9435" width="9.140625" style="1"/>
    <col min="9436" max="9436" width="9.28515625" style="1" bestFit="1" customWidth="1"/>
    <col min="9437" max="9437" width="28.140625" style="1" bestFit="1" customWidth="1"/>
    <col min="9438" max="9438" width="15.7109375" style="1" customWidth="1"/>
    <col min="9439" max="9439" width="9.140625" style="1" customWidth="1"/>
    <col min="9440" max="9440" width="14.28515625" style="1" customWidth="1"/>
    <col min="9441" max="9441" width="9.140625" style="1" customWidth="1"/>
    <col min="9442" max="9443" width="12.85546875" style="1" customWidth="1"/>
    <col min="9444" max="9444" width="9.140625" style="1" customWidth="1"/>
    <col min="9445" max="9445" width="10.7109375" style="1" customWidth="1"/>
    <col min="9446" max="9447" width="12" style="1" customWidth="1"/>
    <col min="9448" max="9455" width="10.7109375" style="1" customWidth="1"/>
    <col min="9456" max="9456" width="10.5703125" style="1" customWidth="1"/>
    <col min="9457" max="9457" width="11.140625" style="1" customWidth="1"/>
    <col min="9458" max="9458" width="10.7109375" style="1" customWidth="1"/>
    <col min="9459" max="9460" width="9.140625" style="1" customWidth="1"/>
    <col min="9461" max="9461" width="10.28515625" style="1" customWidth="1"/>
    <col min="9462" max="9463" width="10" style="1" customWidth="1"/>
    <col min="9464" max="9465" width="10.140625" style="1" customWidth="1"/>
    <col min="9466" max="9469" width="10" style="1" customWidth="1"/>
    <col min="9470" max="9470" width="10.140625" style="1" customWidth="1"/>
    <col min="9471" max="9472" width="10" style="1" customWidth="1"/>
    <col min="9473" max="9473" width="10.28515625" style="1" customWidth="1"/>
    <col min="9474" max="9474" width="13.140625" style="1" customWidth="1"/>
    <col min="9475" max="9475" width="7.85546875" style="1" customWidth="1"/>
    <col min="9476" max="9477" width="9.140625" style="1" customWidth="1"/>
    <col min="9478" max="9478" width="11.7109375" style="1" customWidth="1"/>
    <col min="9479" max="9479" width="11.5703125" style="1" bestFit="1" customWidth="1"/>
    <col min="9480" max="9486" width="10.28515625" style="1" bestFit="1" customWidth="1"/>
    <col min="9487" max="9490" width="9.28515625" style="1" bestFit="1" customWidth="1"/>
    <col min="9491" max="9491" width="9.85546875" style="1" bestFit="1" customWidth="1"/>
    <col min="9492" max="9492" width="10.85546875" style="1" bestFit="1" customWidth="1"/>
    <col min="9493" max="9691" width="9.140625" style="1"/>
    <col min="9692" max="9692" width="9.28515625" style="1" bestFit="1" customWidth="1"/>
    <col min="9693" max="9693" width="28.140625" style="1" bestFit="1" customWidth="1"/>
    <col min="9694" max="9694" width="15.7109375" style="1" customWidth="1"/>
    <col min="9695" max="9695" width="9.140625" style="1" customWidth="1"/>
    <col min="9696" max="9696" width="14.28515625" style="1" customWidth="1"/>
    <col min="9697" max="9697" width="9.140625" style="1" customWidth="1"/>
    <col min="9698" max="9699" width="12.85546875" style="1" customWidth="1"/>
    <col min="9700" max="9700" width="9.140625" style="1" customWidth="1"/>
    <col min="9701" max="9701" width="10.7109375" style="1" customWidth="1"/>
    <col min="9702" max="9703" width="12" style="1" customWidth="1"/>
    <col min="9704" max="9711" width="10.7109375" style="1" customWidth="1"/>
    <col min="9712" max="9712" width="10.5703125" style="1" customWidth="1"/>
    <col min="9713" max="9713" width="11.140625" style="1" customWidth="1"/>
    <col min="9714" max="9714" width="10.7109375" style="1" customWidth="1"/>
    <col min="9715" max="9716" width="9.140625" style="1" customWidth="1"/>
    <col min="9717" max="9717" width="10.28515625" style="1" customWidth="1"/>
    <col min="9718" max="9719" width="10" style="1" customWidth="1"/>
    <col min="9720" max="9721" width="10.140625" style="1" customWidth="1"/>
    <col min="9722" max="9725" width="10" style="1" customWidth="1"/>
    <col min="9726" max="9726" width="10.140625" style="1" customWidth="1"/>
    <col min="9727" max="9728" width="10" style="1" customWidth="1"/>
    <col min="9729" max="9729" width="10.28515625" style="1" customWidth="1"/>
    <col min="9730" max="9730" width="13.140625" style="1" customWidth="1"/>
    <col min="9731" max="9731" width="7.85546875" style="1" customWidth="1"/>
    <col min="9732" max="9733" width="9.140625" style="1" customWidth="1"/>
    <col min="9734" max="9734" width="11.7109375" style="1" customWidth="1"/>
    <col min="9735" max="9735" width="11.5703125" style="1" bestFit="1" customWidth="1"/>
    <col min="9736" max="9742" width="10.28515625" style="1" bestFit="1" customWidth="1"/>
    <col min="9743" max="9746" width="9.28515625" style="1" bestFit="1" customWidth="1"/>
    <col min="9747" max="9747" width="9.85546875" style="1" bestFit="1" customWidth="1"/>
    <col min="9748" max="9748" width="10.85546875" style="1" bestFit="1" customWidth="1"/>
    <col min="9749" max="9947" width="9.140625" style="1"/>
    <col min="9948" max="9948" width="9.28515625" style="1" bestFit="1" customWidth="1"/>
    <col min="9949" max="9949" width="28.140625" style="1" bestFit="1" customWidth="1"/>
    <col min="9950" max="9950" width="15.7109375" style="1" customWidth="1"/>
    <col min="9951" max="9951" width="9.140625" style="1" customWidth="1"/>
    <col min="9952" max="9952" width="14.28515625" style="1" customWidth="1"/>
    <col min="9953" max="9953" width="9.140625" style="1" customWidth="1"/>
    <col min="9954" max="9955" width="12.85546875" style="1" customWidth="1"/>
    <col min="9956" max="9956" width="9.140625" style="1" customWidth="1"/>
    <col min="9957" max="9957" width="10.7109375" style="1" customWidth="1"/>
    <col min="9958" max="9959" width="12" style="1" customWidth="1"/>
    <col min="9960" max="9967" width="10.7109375" style="1" customWidth="1"/>
    <col min="9968" max="9968" width="10.5703125" style="1" customWidth="1"/>
    <col min="9969" max="9969" width="11.140625" style="1" customWidth="1"/>
    <col min="9970" max="9970" width="10.7109375" style="1" customWidth="1"/>
    <col min="9971" max="9972" width="9.140625" style="1" customWidth="1"/>
    <col min="9973" max="9973" width="10.28515625" style="1" customWidth="1"/>
    <col min="9974" max="9975" width="10" style="1" customWidth="1"/>
    <col min="9976" max="9977" width="10.140625" style="1" customWidth="1"/>
    <col min="9978" max="9981" width="10" style="1" customWidth="1"/>
    <col min="9982" max="9982" width="10.140625" style="1" customWidth="1"/>
    <col min="9983" max="9984" width="10" style="1" customWidth="1"/>
    <col min="9985" max="9985" width="10.28515625" style="1" customWidth="1"/>
    <col min="9986" max="9986" width="13.140625" style="1" customWidth="1"/>
    <col min="9987" max="9987" width="7.85546875" style="1" customWidth="1"/>
    <col min="9988" max="9989" width="9.140625" style="1" customWidth="1"/>
    <col min="9990" max="9990" width="11.7109375" style="1" customWidth="1"/>
    <col min="9991" max="9991" width="11.5703125" style="1" bestFit="1" customWidth="1"/>
    <col min="9992" max="9998" width="10.28515625" style="1" bestFit="1" customWidth="1"/>
    <col min="9999" max="10002" width="9.28515625" style="1" bestFit="1" customWidth="1"/>
    <col min="10003" max="10003" width="9.85546875" style="1" bestFit="1" customWidth="1"/>
    <col min="10004" max="10004" width="10.85546875" style="1" bestFit="1" customWidth="1"/>
    <col min="10005" max="10203" width="9.140625" style="1"/>
    <col min="10204" max="10204" width="9.28515625" style="1" bestFit="1" customWidth="1"/>
    <col min="10205" max="10205" width="28.140625" style="1" bestFit="1" customWidth="1"/>
    <col min="10206" max="10206" width="15.7109375" style="1" customWidth="1"/>
    <col min="10207" max="10207" width="9.140625" style="1" customWidth="1"/>
    <col min="10208" max="10208" width="14.28515625" style="1" customWidth="1"/>
    <col min="10209" max="10209" width="9.140625" style="1" customWidth="1"/>
    <col min="10210" max="10211" width="12.85546875" style="1" customWidth="1"/>
    <col min="10212" max="10212" width="9.140625" style="1" customWidth="1"/>
    <col min="10213" max="10213" width="10.7109375" style="1" customWidth="1"/>
    <col min="10214" max="10215" width="12" style="1" customWidth="1"/>
    <col min="10216" max="10223" width="10.7109375" style="1" customWidth="1"/>
    <col min="10224" max="10224" width="10.5703125" style="1" customWidth="1"/>
    <col min="10225" max="10225" width="11.140625" style="1" customWidth="1"/>
    <col min="10226" max="10226" width="10.7109375" style="1" customWidth="1"/>
    <col min="10227" max="10228" width="9.140625" style="1" customWidth="1"/>
    <col min="10229" max="10229" width="10.28515625" style="1" customWidth="1"/>
    <col min="10230" max="10231" width="10" style="1" customWidth="1"/>
    <col min="10232" max="10233" width="10.140625" style="1" customWidth="1"/>
    <col min="10234" max="10237" width="10" style="1" customWidth="1"/>
    <col min="10238" max="10238" width="10.140625" style="1" customWidth="1"/>
    <col min="10239" max="10240" width="10" style="1" customWidth="1"/>
    <col min="10241" max="10241" width="10.28515625" style="1" customWidth="1"/>
    <col min="10242" max="10242" width="13.140625" style="1" customWidth="1"/>
    <col min="10243" max="10243" width="7.85546875" style="1" customWidth="1"/>
    <col min="10244" max="10245" width="9.140625" style="1" customWidth="1"/>
    <col min="10246" max="10246" width="11.7109375" style="1" customWidth="1"/>
    <col min="10247" max="10247" width="11.5703125" style="1" bestFit="1" customWidth="1"/>
    <col min="10248" max="10254" width="10.28515625" style="1" bestFit="1" customWidth="1"/>
    <col min="10255" max="10258" width="9.28515625" style="1" bestFit="1" customWidth="1"/>
    <col min="10259" max="10259" width="9.85546875" style="1" bestFit="1" customWidth="1"/>
    <col min="10260" max="10260" width="10.85546875" style="1" bestFit="1" customWidth="1"/>
    <col min="10261" max="10459" width="9.140625" style="1"/>
    <col min="10460" max="10460" width="9.28515625" style="1" bestFit="1" customWidth="1"/>
    <col min="10461" max="10461" width="28.140625" style="1" bestFit="1" customWidth="1"/>
    <col min="10462" max="10462" width="15.7109375" style="1" customWidth="1"/>
    <col min="10463" max="10463" width="9.140625" style="1" customWidth="1"/>
    <col min="10464" max="10464" width="14.28515625" style="1" customWidth="1"/>
    <col min="10465" max="10465" width="9.140625" style="1" customWidth="1"/>
    <col min="10466" max="10467" width="12.85546875" style="1" customWidth="1"/>
    <col min="10468" max="10468" width="9.140625" style="1" customWidth="1"/>
    <col min="10469" max="10469" width="10.7109375" style="1" customWidth="1"/>
    <col min="10470" max="10471" width="12" style="1" customWidth="1"/>
    <col min="10472" max="10479" width="10.7109375" style="1" customWidth="1"/>
    <col min="10480" max="10480" width="10.5703125" style="1" customWidth="1"/>
    <col min="10481" max="10481" width="11.140625" style="1" customWidth="1"/>
    <col min="10482" max="10482" width="10.7109375" style="1" customWidth="1"/>
    <col min="10483" max="10484" width="9.140625" style="1" customWidth="1"/>
    <col min="10485" max="10485" width="10.28515625" style="1" customWidth="1"/>
    <col min="10486" max="10487" width="10" style="1" customWidth="1"/>
    <col min="10488" max="10489" width="10.140625" style="1" customWidth="1"/>
    <col min="10490" max="10493" width="10" style="1" customWidth="1"/>
    <col min="10494" max="10494" width="10.140625" style="1" customWidth="1"/>
    <col min="10495" max="10496" width="10" style="1" customWidth="1"/>
    <col min="10497" max="10497" width="10.28515625" style="1" customWidth="1"/>
    <col min="10498" max="10498" width="13.140625" style="1" customWidth="1"/>
    <col min="10499" max="10499" width="7.85546875" style="1" customWidth="1"/>
    <col min="10500" max="10501" width="9.140625" style="1" customWidth="1"/>
    <col min="10502" max="10502" width="11.7109375" style="1" customWidth="1"/>
    <col min="10503" max="10503" width="11.5703125" style="1" bestFit="1" customWidth="1"/>
    <col min="10504" max="10510" width="10.28515625" style="1" bestFit="1" customWidth="1"/>
    <col min="10511" max="10514" width="9.28515625" style="1" bestFit="1" customWidth="1"/>
    <col min="10515" max="10515" width="9.85546875" style="1" bestFit="1" customWidth="1"/>
    <col min="10516" max="10516" width="10.85546875" style="1" bestFit="1" customWidth="1"/>
    <col min="10517" max="10715" width="9.140625" style="1"/>
    <col min="10716" max="10716" width="9.28515625" style="1" bestFit="1" customWidth="1"/>
    <col min="10717" max="10717" width="28.140625" style="1" bestFit="1" customWidth="1"/>
    <col min="10718" max="10718" width="15.7109375" style="1" customWidth="1"/>
    <col min="10719" max="10719" width="9.140625" style="1" customWidth="1"/>
    <col min="10720" max="10720" width="14.28515625" style="1" customWidth="1"/>
    <col min="10721" max="10721" width="9.140625" style="1" customWidth="1"/>
    <col min="10722" max="10723" width="12.85546875" style="1" customWidth="1"/>
    <col min="10724" max="10724" width="9.140625" style="1" customWidth="1"/>
    <col min="10725" max="10725" width="10.7109375" style="1" customWidth="1"/>
    <col min="10726" max="10727" width="12" style="1" customWidth="1"/>
    <col min="10728" max="10735" width="10.7109375" style="1" customWidth="1"/>
    <col min="10736" max="10736" width="10.5703125" style="1" customWidth="1"/>
    <col min="10737" max="10737" width="11.140625" style="1" customWidth="1"/>
    <col min="10738" max="10738" width="10.7109375" style="1" customWidth="1"/>
    <col min="10739" max="10740" width="9.140625" style="1" customWidth="1"/>
    <col min="10741" max="10741" width="10.28515625" style="1" customWidth="1"/>
    <col min="10742" max="10743" width="10" style="1" customWidth="1"/>
    <col min="10744" max="10745" width="10.140625" style="1" customWidth="1"/>
    <col min="10746" max="10749" width="10" style="1" customWidth="1"/>
    <col min="10750" max="10750" width="10.140625" style="1" customWidth="1"/>
    <col min="10751" max="10752" width="10" style="1" customWidth="1"/>
    <col min="10753" max="10753" width="10.28515625" style="1" customWidth="1"/>
    <col min="10754" max="10754" width="13.140625" style="1" customWidth="1"/>
    <col min="10755" max="10755" width="7.85546875" style="1" customWidth="1"/>
    <col min="10756" max="10757" width="9.140625" style="1" customWidth="1"/>
    <col min="10758" max="10758" width="11.7109375" style="1" customWidth="1"/>
    <col min="10759" max="10759" width="11.5703125" style="1" bestFit="1" customWidth="1"/>
    <col min="10760" max="10766" width="10.28515625" style="1" bestFit="1" customWidth="1"/>
    <col min="10767" max="10770" width="9.28515625" style="1" bestFit="1" customWidth="1"/>
    <col min="10771" max="10771" width="9.85546875" style="1" bestFit="1" customWidth="1"/>
    <col min="10772" max="10772" width="10.85546875" style="1" bestFit="1" customWidth="1"/>
    <col min="10773" max="10971" width="9.140625" style="1"/>
    <col min="10972" max="10972" width="9.28515625" style="1" bestFit="1" customWidth="1"/>
    <col min="10973" max="10973" width="28.140625" style="1" bestFit="1" customWidth="1"/>
    <col min="10974" max="10974" width="15.7109375" style="1" customWidth="1"/>
    <col min="10975" max="10975" width="9.140625" style="1" customWidth="1"/>
    <col min="10976" max="10976" width="14.28515625" style="1" customWidth="1"/>
    <col min="10977" max="10977" width="9.140625" style="1" customWidth="1"/>
    <col min="10978" max="10979" width="12.85546875" style="1" customWidth="1"/>
    <col min="10980" max="10980" width="9.140625" style="1" customWidth="1"/>
    <col min="10981" max="10981" width="10.7109375" style="1" customWidth="1"/>
    <col min="10982" max="10983" width="12" style="1" customWidth="1"/>
    <col min="10984" max="10991" width="10.7109375" style="1" customWidth="1"/>
    <col min="10992" max="10992" width="10.5703125" style="1" customWidth="1"/>
    <col min="10993" max="10993" width="11.140625" style="1" customWidth="1"/>
    <col min="10994" max="10994" width="10.7109375" style="1" customWidth="1"/>
    <col min="10995" max="10996" width="9.140625" style="1" customWidth="1"/>
    <col min="10997" max="10997" width="10.28515625" style="1" customWidth="1"/>
    <col min="10998" max="10999" width="10" style="1" customWidth="1"/>
    <col min="11000" max="11001" width="10.140625" style="1" customWidth="1"/>
    <col min="11002" max="11005" width="10" style="1" customWidth="1"/>
    <col min="11006" max="11006" width="10.140625" style="1" customWidth="1"/>
    <col min="11007" max="11008" width="10" style="1" customWidth="1"/>
    <col min="11009" max="11009" width="10.28515625" style="1" customWidth="1"/>
    <col min="11010" max="11010" width="13.140625" style="1" customWidth="1"/>
    <col min="11011" max="11011" width="7.85546875" style="1" customWidth="1"/>
    <col min="11012" max="11013" width="9.140625" style="1" customWidth="1"/>
    <col min="11014" max="11014" width="11.7109375" style="1" customWidth="1"/>
    <col min="11015" max="11015" width="11.5703125" style="1" bestFit="1" customWidth="1"/>
    <col min="11016" max="11022" width="10.28515625" style="1" bestFit="1" customWidth="1"/>
    <col min="11023" max="11026" width="9.28515625" style="1" bestFit="1" customWidth="1"/>
    <col min="11027" max="11027" width="9.85546875" style="1" bestFit="1" customWidth="1"/>
    <col min="11028" max="11028" width="10.85546875" style="1" bestFit="1" customWidth="1"/>
    <col min="11029" max="11227" width="9.140625" style="1"/>
    <col min="11228" max="11228" width="9.28515625" style="1" bestFit="1" customWidth="1"/>
    <col min="11229" max="11229" width="28.140625" style="1" bestFit="1" customWidth="1"/>
    <col min="11230" max="11230" width="15.7109375" style="1" customWidth="1"/>
    <col min="11231" max="11231" width="9.140625" style="1" customWidth="1"/>
    <col min="11232" max="11232" width="14.28515625" style="1" customWidth="1"/>
    <col min="11233" max="11233" width="9.140625" style="1" customWidth="1"/>
    <col min="11234" max="11235" width="12.85546875" style="1" customWidth="1"/>
    <col min="11236" max="11236" width="9.140625" style="1" customWidth="1"/>
    <col min="11237" max="11237" width="10.7109375" style="1" customWidth="1"/>
    <col min="11238" max="11239" width="12" style="1" customWidth="1"/>
    <col min="11240" max="11247" width="10.7109375" style="1" customWidth="1"/>
    <col min="11248" max="11248" width="10.5703125" style="1" customWidth="1"/>
    <col min="11249" max="11249" width="11.140625" style="1" customWidth="1"/>
    <col min="11250" max="11250" width="10.7109375" style="1" customWidth="1"/>
    <col min="11251" max="11252" width="9.140625" style="1" customWidth="1"/>
    <col min="11253" max="11253" width="10.28515625" style="1" customWidth="1"/>
    <col min="11254" max="11255" width="10" style="1" customWidth="1"/>
    <col min="11256" max="11257" width="10.140625" style="1" customWidth="1"/>
    <col min="11258" max="11261" width="10" style="1" customWidth="1"/>
    <col min="11262" max="11262" width="10.140625" style="1" customWidth="1"/>
    <col min="11263" max="11264" width="10" style="1" customWidth="1"/>
    <col min="11265" max="11265" width="10.28515625" style="1" customWidth="1"/>
    <col min="11266" max="11266" width="13.140625" style="1" customWidth="1"/>
    <col min="11267" max="11267" width="7.85546875" style="1" customWidth="1"/>
    <col min="11268" max="11269" width="9.140625" style="1" customWidth="1"/>
    <col min="11270" max="11270" width="11.7109375" style="1" customWidth="1"/>
    <col min="11271" max="11271" width="11.5703125" style="1" bestFit="1" customWidth="1"/>
    <col min="11272" max="11278" width="10.28515625" style="1" bestFit="1" customWidth="1"/>
    <col min="11279" max="11282" width="9.28515625" style="1" bestFit="1" customWidth="1"/>
    <col min="11283" max="11283" width="9.85546875" style="1" bestFit="1" customWidth="1"/>
    <col min="11284" max="11284" width="10.85546875" style="1" bestFit="1" customWidth="1"/>
    <col min="11285" max="11483" width="9.140625" style="1"/>
    <col min="11484" max="11484" width="9.28515625" style="1" bestFit="1" customWidth="1"/>
    <col min="11485" max="11485" width="28.140625" style="1" bestFit="1" customWidth="1"/>
    <col min="11486" max="11486" width="15.7109375" style="1" customWidth="1"/>
    <col min="11487" max="11487" width="9.140625" style="1" customWidth="1"/>
    <col min="11488" max="11488" width="14.28515625" style="1" customWidth="1"/>
    <col min="11489" max="11489" width="9.140625" style="1" customWidth="1"/>
    <col min="11490" max="11491" width="12.85546875" style="1" customWidth="1"/>
    <col min="11492" max="11492" width="9.140625" style="1" customWidth="1"/>
    <col min="11493" max="11493" width="10.7109375" style="1" customWidth="1"/>
    <col min="11494" max="11495" width="12" style="1" customWidth="1"/>
    <col min="11496" max="11503" width="10.7109375" style="1" customWidth="1"/>
    <col min="11504" max="11504" width="10.5703125" style="1" customWidth="1"/>
    <col min="11505" max="11505" width="11.140625" style="1" customWidth="1"/>
    <col min="11506" max="11506" width="10.7109375" style="1" customWidth="1"/>
    <col min="11507" max="11508" width="9.140625" style="1" customWidth="1"/>
    <col min="11509" max="11509" width="10.28515625" style="1" customWidth="1"/>
    <col min="11510" max="11511" width="10" style="1" customWidth="1"/>
    <col min="11512" max="11513" width="10.140625" style="1" customWidth="1"/>
    <col min="11514" max="11517" width="10" style="1" customWidth="1"/>
    <col min="11518" max="11518" width="10.140625" style="1" customWidth="1"/>
    <col min="11519" max="11520" width="10" style="1" customWidth="1"/>
    <col min="11521" max="11521" width="10.28515625" style="1" customWidth="1"/>
    <col min="11522" max="11522" width="13.140625" style="1" customWidth="1"/>
    <col min="11523" max="11523" width="7.85546875" style="1" customWidth="1"/>
    <col min="11524" max="11525" width="9.140625" style="1" customWidth="1"/>
    <col min="11526" max="11526" width="11.7109375" style="1" customWidth="1"/>
    <col min="11527" max="11527" width="11.5703125" style="1" bestFit="1" customWidth="1"/>
    <col min="11528" max="11534" width="10.28515625" style="1" bestFit="1" customWidth="1"/>
    <col min="11535" max="11538" width="9.28515625" style="1" bestFit="1" customWidth="1"/>
    <col min="11539" max="11539" width="9.85546875" style="1" bestFit="1" customWidth="1"/>
    <col min="11540" max="11540" width="10.85546875" style="1" bestFit="1" customWidth="1"/>
    <col min="11541" max="11739" width="9.140625" style="1"/>
    <col min="11740" max="11740" width="9.28515625" style="1" bestFit="1" customWidth="1"/>
    <col min="11741" max="11741" width="28.140625" style="1" bestFit="1" customWidth="1"/>
    <col min="11742" max="11742" width="15.7109375" style="1" customWidth="1"/>
    <col min="11743" max="11743" width="9.140625" style="1" customWidth="1"/>
    <col min="11744" max="11744" width="14.28515625" style="1" customWidth="1"/>
    <col min="11745" max="11745" width="9.140625" style="1" customWidth="1"/>
    <col min="11746" max="11747" width="12.85546875" style="1" customWidth="1"/>
    <col min="11748" max="11748" width="9.140625" style="1" customWidth="1"/>
    <col min="11749" max="11749" width="10.7109375" style="1" customWidth="1"/>
    <col min="11750" max="11751" width="12" style="1" customWidth="1"/>
    <col min="11752" max="11759" width="10.7109375" style="1" customWidth="1"/>
    <col min="11760" max="11760" width="10.5703125" style="1" customWidth="1"/>
    <col min="11761" max="11761" width="11.140625" style="1" customWidth="1"/>
    <col min="11762" max="11762" width="10.7109375" style="1" customWidth="1"/>
    <col min="11763" max="11764" width="9.140625" style="1" customWidth="1"/>
    <col min="11765" max="11765" width="10.28515625" style="1" customWidth="1"/>
    <col min="11766" max="11767" width="10" style="1" customWidth="1"/>
    <col min="11768" max="11769" width="10.140625" style="1" customWidth="1"/>
    <col min="11770" max="11773" width="10" style="1" customWidth="1"/>
    <col min="11774" max="11774" width="10.140625" style="1" customWidth="1"/>
    <col min="11775" max="11776" width="10" style="1" customWidth="1"/>
    <col min="11777" max="11777" width="10.28515625" style="1" customWidth="1"/>
    <col min="11778" max="11778" width="13.140625" style="1" customWidth="1"/>
    <col min="11779" max="11779" width="7.85546875" style="1" customWidth="1"/>
    <col min="11780" max="11781" width="9.140625" style="1" customWidth="1"/>
    <col min="11782" max="11782" width="11.7109375" style="1" customWidth="1"/>
    <col min="11783" max="11783" width="11.5703125" style="1" bestFit="1" customWidth="1"/>
    <col min="11784" max="11790" width="10.28515625" style="1" bestFit="1" customWidth="1"/>
    <col min="11791" max="11794" width="9.28515625" style="1" bestFit="1" customWidth="1"/>
    <col min="11795" max="11795" width="9.85546875" style="1" bestFit="1" customWidth="1"/>
    <col min="11796" max="11796" width="10.85546875" style="1" bestFit="1" customWidth="1"/>
    <col min="11797" max="11995" width="9.140625" style="1"/>
    <col min="11996" max="11996" width="9.28515625" style="1" bestFit="1" customWidth="1"/>
    <col min="11997" max="11997" width="28.140625" style="1" bestFit="1" customWidth="1"/>
    <col min="11998" max="11998" width="15.7109375" style="1" customWidth="1"/>
    <col min="11999" max="11999" width="9.140625" style="1" customWidth="1"/>
    <col min="12000" max="12000" width="14.28515625" style="1" customWidth="1"/>
    <col min="12001" max="12001" width="9.140625" style="1" customWidth="1"/>
    <col min="12002" max="12003" width="12.85546875" style="1" customWidth="1"/>
    <col min="12004" max="12004" width="9.140625" style="1" customWidth="1"/>
    <col min="12005" max="12005" width="10.7109375" style="1" customWidth="1"/>
    <col min="12006" max="12007" width="12" style="1" customWidth="1"/>
    <col min="12008" max="12015" width="10.7109375" style="1" customWidth="1"/>
    <col min="12016" max="12016" width="10.5703125" style="1" customWidth="1"/>
    <col min="12017" max="12017" width="11.140625" style="1" customWidth="1"/>
    <col min="12018" max="12018" width="10.7109375" style="1" customWidth="1"/>
    <col min="12019" max="12020" width="9.140625" style="1" customWidth="1"/>
    <col min="12021" max="12021" width="10.28515625" style="1" customWidth="1"/>
    <col min="12022" max="12023" width="10" style="1" customWidth="1"/>
    <col min="12024" max="12025" width="10.140625" style="1" customWidth="1"/>
    <col min="12026" max="12029" width="10" style="1" customWidth="1"/>
    <col min="12030" max="12030" width="10.140625" style="1" customWidth="1"/>
    <col min="12031" max="12032" width="10" style="1" customWidth="1"/>
    <col min="12033" max="12033" width="10.28515625" style="1" customWidth="1"/>
    <col min="12034" max="12034" width="13.140625" style="1" customWidth="1"/>
    <col min="12035" max="12035" width="7.85546875" style="1" customWidth="1"/>
    <col min="12036" max="12037" width="9.140625" style="1" customWidth="1"/>
    <col min="12038" max="12038" width="11.7109375" style="1" customWidth="1"/>
    <col min="12039" max="12039" width="11.5703125" style="1" bestFit="1" customWidth="1"/>
    <col min="12040" max="12046" width="10.28515625" style="1" bestFit="1" customWidth="1"/>
    <col min="12047" max="12050" width="9.28515625" style="1" bestFit="1" customWidth="1"/>
    <col min="12051" max="12051" width="9.85546875" style="1" bestFit="1" customWidth="1"/>
    <col min="12052" max="12052" width="10.85546875" style="1" bestFit="1" customWidth="1"/>
    <col min="12053" max="12251" width="9.140625" style="1"/>
    <col min="12252" max="12252" width="9.28515625" style="1" bestFit="1" customWidth="1"/>
    <col min="12253" max="12253" width="28.140625" style="1" bestFit="1" customWidth="1"/>
    <col min="12254" max="12254" width="15.7109375" style="1" customWidth="1"/>
    <col min="12255" max="12255" width="9.140625" style="1" customWidth="1"/>
    <col min="12256" max="12256" width="14.28515625" style="1" customWidth="1"/>
    <col min="12257" max="12257" width="9.140625" style="1" customWidth="1"/>
    <col min="12258" max="12259" width="12.85546875" style="1" customWidth="1"/>
    <col min="12260" max="12260" width="9.140625" style="1" customWidth="1"/>
    <col min="12261" max="12261" width="10.7109375" style="1" customWidth="1"/>
    <col min="12262" max="12263" width="12" style="1" customWidth="1"/>
    <col min="12264" max="12271" width="10.7109375" style="1" customWidth="1"/>
    <col min="12272" max="12272" width="10.5703125" style="1" customWidth="1"/>
    <col min="12273" max="12273" width="11.140625" style="1" customWidth="1"/>
    <col min="12274" max="12274" width="10.7109375" style="1" customWidth="1"/>
    <col min="12275" max="12276" width="9.140625" style="1" customWidth="1"/>
    <col min="12277" max="12277" width="10.28515625" style="1" customWidth="1"/>
    <col min="12278" max="12279" width="10" style="1" customWidth="1"/>
    <col min="12280" max="12281" width="10.140625" style="1" customWidth="1"/>
    <col min="12282" max="12285" width="10" style="1" customWidth="1"/>
    <col min="12286" max="12286" width="10.140625" style="1" customWidth="1"/>
    <col min="12287" max="12288" width="10" style="1" customWidth="1"/>
    <col min="12289" max="12289" width="10.28515625" style="1" customWidth="1"/>
    <col min="12290" max="12290" width="13.140625" style="1" customWidth="1"/>
    <col min="12291" max="12291" width="7.85546875" style="1" customWidth="1"/>
    <col min="12292" max="12293" width="9.140625" style="1" customWidth="1"/>
    <col min="12294" max="12294" width="11.7109375" style="1" customWidth="1"/>
    <col min="12295" max="12295" width="11.5703125" style="1" bestFit="1" customWidth="1"/>
    <col min="12296" max="12302" width="10.28515625" style="1" bestFit="1" customWidth="1"/>
    <col min="12303" max="12306" width="9.28515625" style="1" bestFit="1" customWidth="1"/>
    <col min="12307" max="12307" width="9.85546875" style="1" bestFit="1" customWidth="1"/>
    <col min="12308" max="12308" width="10.85546875" style="1" bestFit="1" customWidth="1"/>
    <col min="12309" max="12507" width="9.140625" style="1"/>
    <col min="12508" max="12508" width="9.28515625" style="1" bestFit="1" customWidth="1"/>
    <col min="12509" max="12509" width="28.140625" style="1" bestFit="1" customWidth="1"/>
    <col min="12510" max="12510" width="15.7109375" style="1" customWidth="1"/>
    <col min="12511" max="12511" width="9.140625" style="1" customWidth="1"/>
    <col min="12512" max="12512" width="14.28515625" style="1" customWidth="1"/>
    <col min="12513" max="12513" width="9.140625" style="1" customWidth="1"/>
    <col min="12514" max="12515" width="12.85546875" style="1" customWidth="1"/>
    <col min="12516" max="12516" width="9.140625" style="1" customWidth="1"/>
    <col min="12517" max="12517" width="10.7109375" style="1" customWidth="1"/>
    <col min="12518" max="12519" width="12" style="1" customWidth="1"/>
    <col min="12520" max="12527" width="10.7109375" style="1" customWidth="1"/>
    <col min="12528" max="12528" width="10.5703125" style="1" customWidth="1"/>
    <col min="12529" max="12529" width="11.140625" style="1" customWidth="1"/>
    <col min="12530" max="12530" width="10.7109375" style="1" customWidth="1"/>
    <col min="12531" max="12532" width="9.140625" style="1" customWidth="1"/>
    <col min="12533" max="12533" width="10.28515625" style="1" customWidth="1"/>
    <col min="12534" max="12535" width="10" style="1" customWidth="1"/>
    <col min="12536" max="12537" width="10.140625" style="1" customWidth="1"/>
    <col min="12538" max="12541" width="10" style="1" customWidth="1"/>
    <col min="12542" max="12542" width="10.140625" style="1" customWidth="1"/>
    <col min="12543" max="12544" width="10" style="1" customWidth="1"/>
    <col min="12545" max="12545" width="10.28515625" style="1" customWidth="1"/>
    <col min="12546" max="12546" width="13.140625" style="1" customWidth="1"/>
    <col min="12547" max="12547" width="7.85546875" style="1" customWidth="1"/>
    <col min="12548" max="12549" width="9.140625" style="1" customWidth="1"/>
    <col min="12550" max="12550" width="11.7109375" style="1" customWidth="1"/>
    <col min="12551" max="12551" width="11.5703125" style="1" bestFit="1" customWidth="1"/>
    <col min="12552" max="12558" width="10.28515625" style="1" bestFit="1" customWidth="1"/>
    <col min="12559" max="12562" width="9.28515625" style="1" bestFit="1" customWidth="1"/>
    <col min="12563" max="12563" width="9.85546875" style="1" bestFit="1" customWidth="1"/>
    <col min="12564" max="12564" width="10.85546875" style="1" bestFit="1" customWidth="1"/>
    <col min="12565" max="12763" width="9.140625" style="1"/>
    <col min="12764" max="12764" width="9.28515625" style="1" bestFit="1" customWidth="1"/>
    <col min="12765" max="12765" width="28.140625" style="1" bestFit="1" customWidth="1"/>
    <col min="12766" max="12766" width="15.7109375" style="1" customWidth="1"/>
    <col min="12767" max="12767" width="9.140625" style="1" customWidth="1"/>
    <col min="12768" max="12768" width="14.28515625" style="1" customWidth="1"/>
    <col min="12769" max="12769" width="9.140625" style="1" customWidth="1"/>
    <col min="12770" max="12771" width="12.85546875" style="1" customWidth="1"/>
    <col min="12772" max="12772" width="9.140625" style="1" customWidth="1"/>
    <col min="12773" max="12773" width="10.7109375" style="1" customWidth="1"/>
    <col min="12774" max="12775" width="12" style="1" customWidth="1"/>
    <col min="12776" max="12783" width="10.7109375" style="1" customWidth="1"/>
    <col min="12784" max="12784" width="10.5703125" style="1" customWidth="1"/>
    <col min="12785" max="12785" width="11.140625" style="1" customWidth="1"/>
    <col min="12786" max="12786" width="10.7109375" style="1" customWidth="1"/>
    <col min="12787" max="12788" width="9.140625" style="1" customWidth="1"/>
    <col min="12789" max="12789" width="10.28515625" style="1" customWidth="1"/>
    <col min="12790" max="12791" width="10" style="1" customWidth="1"/>
    <col min="12792" max="12793" width="10.140625" style="1" customWidth="1"/>
    <col min="12794" max="12797" width="10" style="1" customWidth="1"/>
    <col min="12798" max="12798" width="10.140625" style="1" customWidth="1"/>
    <col min="12799" max="12800" width="10" style="1" customWidth="1"/>
    <col min="12801" max="12801" width="10.28515625" style="1" customWidth="1"/>
    <col min="12802" max="12802" width="13.140625" style="1" customWidth="1"/>
    <col min="12803" max="12803" width="7.85546875" style="1" customWidth="1"/>
    <col min="12804" max="12805" width="9.140625" style="1" customWidth="1"/>
    <col min="12806" max="12806" width="11.7109375" style="1" customWidth="1"/>
    <col min="12807" max="12807" width="11.5703125" style="1" bestFit="1" customWidth="1"/>
    <col min="12808" max="12814" width="10.28515625" style="1" bestFit="1" customWidth="1"/>
    <col min="12815" max="12818" width="9.28515625" style="1" bestFit="1" customWidth="1"/>
    <col min="12819" max="12819" width="9.85546875" style="1" bestFit="1" customWidth="1"/>
    <col min="12820" max="12820" width="10.85546875" style="1" bestFit="1" customWidth="1"/>
    <col min="12821" max="13019" width="9.140625" style="1"/>
    <col min="13020" max="13020" width="9.28515625" style="1" bestFit="1" customWidth="1"/>
    <col min="13021" max="13021" width="28.140625" style="1" bestFit="1" customWidth="1"/>
    <col min="13022" max="13022" width="15.7109375" style="1" customWidth="1"/>
    <col min="13023" max="13023" width="9.140625" style="1" customWidth="1"/>
    <col min="13024" max="13024" width="14.28515625" style="1" customWidth="1"/>
    <col min="13025" max="13025" width="9.140625" style="1" customWidth="1"/>
    <col min="13026" max="13027" width="12.85546875" style="1" customWidth="1"/>
    <col min="13028" max="13028" width="9.140625" style="1" customWidth="1"/>
    <col min="13029" max="13029" width="10.7109375" style="1" customWidth="1"/>
    <col min="13030" max="13031" width="12" style="1" customWidth="1"/>
    <col min="13032" max="13039" width="10.7109375" style="1" customWidth="1"/>
    <col min="13040" max="13040" width="10.5703125" style="1" customWidth="1"/>
    <col min="13041" max="13041" width="11.140625" style="1" customWidth="1"/>
    <col min="13042" max="13042" width="10.7109375" style="1" customWidth="1"/>
    <col min="13043" max="13044" width="9.140625" style="1" customWidth="1"/>
    <col min="13045" max="13045" width="10.28515625" style="1" customWidth="1"/>
    <col min="13046" max="13047" width="10" style="1" customWidth="1"/>
    <col min="13048" max="13049" width="10.140625" style="1" customWidth="1"/>
    <col min="13050" max="13053" width="10" style="1" customWidth="1"/>
    <col min="13054" max="13054" width="10.140625" style="1" customWidth="1"/>
    <col min="13055" max="13056" width="10" style="1" customWidth="1"/>
    <col min="13057" max="13057" width="10.28515625" style="1" customWidth="1"/>
    <col min="13058" max="13058" width="13.140625" style="1" customWidth="1"/>
    <col min="13059" max="13059" width="7.85546875" style="1" customWidth="1"/>
    <col min="13060" max="13061" width="9.140625" style="1" customWidth="1"/>
    <col min="13062" max="13062" width="11.7109375" style="1" customWidth="1"/>
    <col min="13063" max="13063" width="11.5703125" style="1" bestFit="1" customWidth="1"/>
    <col min="13064" max="13070" width="10.28515625" style="1" bestFit="1" customWidth="1"/>
    <col min="13071" max="13074" width="9.28515625" style="1" bestFit="1" customWidth="1"/>
    <col min="13075" max="13075" width="9.85546875" style="1" bestFit="1" customWidth="1"/>
    <col min="13076" max="13076" width="10.85546875" style="1" bestFit="1" customWidth="1"/>
    <col min="13077" max="13275" width="9.140625" style="1"/>
    <col min="13276" max="13276" width="9.28515625" style="1" bestFit="1" customWidth="1"/>
    <col min="13277" max="13277" width="28.140625" style="1" bestFit="1" customWidth="1"/>
    <col min="13278" max="13278" width="15.7109375" style="1" customWidth="1"/>
    <col min="13279" max="13279" width="9.140625" style="1" customWidth="1"/>
    <col min="13280" max="13280" width="14.28515625" style="1" customWidth="1"/>
    <col min="13281" max="13281" width="9.140625" style="1" customWidth="1"/>
    <col min="13282" max="13283" width="12.85546875" style="1" customWidth="1"/>
    <col min="13284" max="13284" width="9.140625" style="1" customWidth="1"/>
    <col min="13285" max="13285" width="10.7109375" style="1" customWidth="1"/>
    <col min="13286" max="13287" width="12" style="1" customWidth="1"/>
    <col min="13288" max="13295" width="10.7109375" style="1" customWidth="1"/>
    <col min="13296" max="13296" width="10.5703125" style="1" customWidth="1"/>
    <col min="13297" max="13297" width="11.140625" style="1" customWidth="1"/>
    <col min="13298" max="13298" width="10.7109375" style="1" customWidth="1"/>
    <col min="13299" max="13300" width="9.140625" style="1" customWidth="1"/>
    <col min="13301" max="13301" width="10.28515625" style="1" customWidth="1"/>
    <col min="13302" max="13303" width="10" style="1" customWidth="1"/>
    <col min="13304" max="13305" width="10.140625" style="1" customWidth="1"/>
    <col min="13306" max="13309" width="10" style="1" customWidth="1"/>
    <col min="13310" max="13310" width="10.140625" style="1" customWidth="1"/>
    <col min="13311" max="13312" width="10" style="1" customWidth="1"/>
    <col min="13313" max="13313" width="10.28515625" style="1" customWidth="1"/>
    <col min="13314" max="13314" width="13.140625" style="1" customWidth="1"/>
    <col min="13315" max="13315" width="7.85546875" style="1" customWidth="1"/>
    <col min="13316" max="13317" width="9.140625" style="1" customWidth="1"/>
    <col min="13318" max="13318" width="11.7109375" style="1" customWidth="1"/>
    <col min="13319" max="13319" width="11.5703125" style="1" bestFit="1" customWidth="1"/>
    <col min="13320" max="13326" width="10.28515625" style="1" bestFit="1" customWidth="1"/>
    <col min="13327" max="13330" width="9.28515625" style="1" bestFit="1" customWidth="1"/>
    <col min="13331" max="13331" width="9.85546875" style="1" bestFit="1" customWidth="1"/>
    <col min="13332" max="13332" width="10.85546875" style="1" bestFit="1" customWidth="1"/>
    <col min="13333" max="13531" width="9.140625" style="1"/>
    <col min="13532" max="13532" width="9.28515625" style="1" bestFit="1" customWidth="1"/>
    <col min="13533" max="13533" width="28.140625" style="1" bestFit="1" customWidth="1"/>
    <col min="13534" max="13534" width="15.7109375" style="1" customWidth="1"/>
    <col min="13535" max="13535" width="9.140625" style="1" customWidth="1"/>
    <col min="13536" max="13536" width="14.28515625" style="1" customWidth="1"/>
    <col min="13537" max="13537" width="9.140625" style="1" customWidth="1"/>
    <col min="13538" max="13539" width="12.85546875" style="1" customWidth="1"/>
    <col min="13540" max="13540" width="9.140625" style="1" customWidth="1"/>
    <col min="13541" max="13541" width="10.7109375" style="1" customWidth="1"/>
    <col min="13542" max="13543" width="12" style="1" customWidth="1"/>
    <col min="13544" max="13551" width="10.7109375" style="1" customWidth="1"/>
    <col min="13552" max="13552" width="10.5703125" style="1" customWidth="1"/>
    <col min="13553" max="13553" width="11.140625" style="1" customWidth="1"/>
    <col min="13554" max="13554" width="10.7109375" style="1" customWidth="1"/>
    <col min="13555" max="13556" width="9.140625" style="1" customWidth="1"/>
    <col min="13557" max="13557" width="10.28515625" style="1" customWidth="1"/>
    <col min="13558" max="13559" width="10" style="1" customWidth="1"/>
    <col min="13560" max="13561" width="10.140625" style="1" customWidth="1"/>
    <col min="13562" max="13565" width="10" style="1" customWidth="1"/>
    <col min="13566" max="13566" width="10.140625" style="1" customWidth="1"/>
    <col min="13567" max="13568" width="10" style="1" customWidth="1"/>
    <col min="13569" max="13569" width="10.28515625" style="1" customWidth="1"/>
    <col min="13570" max="13570" width="13.140625" style="1" customWidth="1"/>
    <col min="13571" max="13571" width="7.85546875" style="1" customWidth="1"/>
    <col min="13572" max="13573" width="9.140625" style="1" customWidth="1"/>
    <col min="13574" max="13574" width="11.7109375" style="1" customWidth="1"/>
    <col min="13575" max="13575" width="11.5703125" style="1" bestFit="1" customWidth="1"/>
    <col min="13576" max="13582" width="10.28515625" style="1" bestFit="1" customWidth="1"/>
    <col min="13583" max="13586" width="9.28515625" style="1" bestFit="1" customWidth="1"/>
    <col min="13587" max="13587" width="9.85546875" style="1" bestFit="1" customWidth="1"/>
    <col min="13588" max="13588" width="10.85546875" style="1" bestFit="1" customWidth="1"/>
    <col min="13589" max="13787" width="9.140625" style="1"/>
    <col min="13788" max="13788" width="9.28515625" style="1" bestFit="1" customWidth="1"/>
    <col min="13789" max="13789" width="28.140625" style="1" bestFit="1" customWidth="1"/>
    <col min="13790" max="13790" width="15.7109375" style="1" customWidth="1"/>
    <col min="13791" max="13791" width="9.140625" style="1" customWidth="1"/>
    <col min="13792" max="13792" width="14.28515625" style="1" customWidth="1"/>
    <col min="13793" max="13793" width="9.140625" style="1" customWidth="1"/>
    <col min="13794" max="13795" width="12.85546875" style="1" customWidth="1"/>
    <col min="13796" max="13796" width="9.140625" style="1" customWidth="1"/>
    <col min="13797" max="13797" width="10.7109375" style="1" customWidth="1"/>
    <col min="13798" max="13799" width="12" style="1" customWidth="1"/>
    <col min="13800" max="13807" width="10.7109375" style="1" customWidth="1"/>
    <col min="13808" max="13808" width="10.5703125" style="1" customWidth="1"/>
    <col min="13809" max="13809" width="11.140625" style="1" customWidth="1"/>
    <col min="13810" max="13810" width="10.7109375" style="1" customWidth="1"/>
    <col min="13811" max="13812" width="9.140625" style="1" customWidth="1"/>
    <col min="13813" max="13813" width="10.28515625" style="1" customWidth="1"/>
    <col min="13814" max="13815" width="10" style="1" customWidth="1"/>
    <col min="13816" max="13817" width="10.140625" style="1" customWidth="1"/>
    <col min="13818" max="13821" width="10" style="1" customWidth="1"/>
    <col min="13822" max="13822" width="10.140625" style="1" customWidth="1"/>
    <col min="13823" max="13824" width="10" style="1" customWidth="1"/>
    <col min="13825" max="13825" width="10.28515625" style="1" customWidth="1"/>
    <col min="13826" max="13826" width="13.140625" style="1" customWidth="1"/>
    <col min="13827" max="13827" width="7.85546875" style="1" customWidth="1"/>
    <col min="13828" max="13829" width="9.140625" style="1" customWidth="1"/>
    <col min="13830" max="13830" width="11.7109375" style="1" customWidth="1"/>
    <col min="13831" max="13831" width="11.5703125" style="1" bestFit="1" customWidth="1"/>
    <col min="13832" max="13838" width="10.28515625" style="1" bestFit="1" customWidth="1"/>
    <col min="13839" max="13842" width="9.28515625" style="1" bestFit="1" customWidth="1"/>
    <col min="13843" max="13843" width="9.85546875" style="1" bestFit="1" customWidth="1"/>
    <col min="13844" max="13844" width="10.85546875" style="1" bestFit="1" customWidth="1"/>
    <col min="13845" max="14043" width="9.140625" style="1"/>
    <col min="14044" max="14044" width="9.28515625" style="1" bestFit="1" customWidth="1"/>
    <col min="14045" max="14045" width="28.140625" style="1" bestFit="1" customWidth="1"/>
    <col min="14046" max="14046" width="15.7109375" style="1" customWidth="1"/>
    <col min="14047" max="14047" width="9.140625" style="1" customWidth="1"/>
    <col min="14048" max="14048" width="14.28515625" style="1" customWidth="1"/>
    <col min="14049" max="14049" width="9.140625" style="1" customWidth="1"/>
    <col min="14050" max="14051" width="12.85546875" style="1" customWidth="1"/>
    <col min="14052" max="14052" width="9.140625" style="1" customWidth="1"/>
    <col min="14053" max="14053" width="10.7109375" style="1" customWidth="1"/>
    <col min="14054" max="14055" width="12" style="1" customWidth="1"/>
    <col min="14056" max="14063" width="10.7109375" style="1" customWidth="1"/>
    <col min="14064" max="14064" width="10.5703125" style="1" customWidth="1"/>
    <col min="14065" max="14065" width="11.140625" style="1" customWidth="1"/>
    <col min="14066" max="14066" width="10.7109375" style="1" customWidth="1"/>
    <col min="14067" max="14068" width="9.140625" style="1" customWidth="1"/>
    <col min="14069" max="14069" width="10.28515625" style="1" customWidth="1"/>
    <col min="14070" max="14071" width="10" style="1" customWidth="1"/>
    <col min="14072" max="14073" width="10.140625" style="1" customWidth="1"/>
    <col min="14074" max="14077" width="10" style="1" customWidth="1"/>
    <col min="14078" max="14078" width="10.140625" style="1" customWidth="1"/>
    <col min="14079" max="14080" width="10" style="1" customWidth="1"/>
    <col min="14081" max="14081" width="10.28515625" style="1" customWidth="1"/>
    <col min="14082" max="14082" width="13.140625" style="1" customWidth="1"/>
    <col min="14083" max="14083" width="7.85546875" style="1" customWidth="1"/>
    <col min="14084" max="14085" width="9.140625" style="1" customWidth="1"/>
    <col min="14086" max="14086" width="11.7109375" style="1" customWidth="1"/>
    <col min="14087" max="14087" width="11.5703125" style="1" bestFit="1" customWidth="1"/>
    <col min="14088" max="14094" width="10.28515625" style="1" bestFit="1" customWidth="1"/>
    <col min="14095" max="14098" width="9.28515625" style="1" bestFit="1" customWidth="1"/>
    <col min="14099" max="14099" width="9.85546875" style="1" bestFit="1" customWidth="1"/>
    <col min="14100" max="14100" width="10.85546875" style="1" bestFit="1" customWidth="1"/>
    <col min="14101" max="14299" width="9.140625" style="1"/>
    <col min="14300" max="14300" width="9.28515625" style="1" bestFit="1" customWidth="1"/>
    <col min="14301" max="14301" width="28.140625" style="1" bestFit="1" customWidth="1"/>
    <col min="14302" max="14302" width="15.7109375" style="1" customWidth="1"/>
    <col min="14303" max="14303" width="9.140625" style="1" customWidth="1"/>
    <col min="14304" max="14304" width="14.28515625" style="1" customWidth="1"/>
    <col min="14305" max="14305" width="9.140625" style="1" customWidth="1"/>
    <col min="14306" max="14307" width="12.85546875" style="1" customWidth="1"/>
    <col min="14308" max="14308" width="9.140625" style="1" customWidth="1"/>
    <col min="14309" max="14309" width="10.7109375" style="1" customWidth="1"/>
    <col min="14310" max="14311" width="12" style="1" customWidth="1"/>
    <col min="14312" max="14319" width="10.7109375" style="1" customWidth="1"/>
    <col min="14320" max="14320" width="10.5703125" style="1" customWidth="1"/>
    <col min="14321" max="14321" width="11.140625" style="1" customWidth="1"/>
    <col min="14322" max="14322" width="10.7109375" style="1" customWidth="1"/>
    <col min="14323" max="14324" width="9.140625" style="1" customWidth="1"/>
    <col min="14325" max="14325" width="10.28515625" style="1" customWidth="1"/>
    <col min="14326" max="14327" width="10" style="1" customWidth="1"/>
    <col min="14328" max="14329" width="10.140625" style="1" customWidth="1"/>
    <col min="14330" max="14333" width="10" style="1" customWidth="1"/>
    <col min="14334" max="14334" width="10.140625" style="1" customWidth="1"/>
    <col min="14335" max="14336" width="10" style="1" customWidth="1"/>
    <col min="14337" max="14337" width="10.28515625" style="1" customWidth="1"/>
    <col min="14338" max="14338" width="13.140625" style="1" customWidth="1"/>
    <col min="14339" max="14339" width="7.85546875" style="1" customWidth="1"/>
    <col min="14340" max="14341" width="9.140625" style="1" customWidth="1"/>
    <col min="14342" max="14342" width="11.7109375" style="1" customWidth="1"/>
    <col min="14343" max="14343" width="11.5703125" style="1" bestFit="1" customWidth="1"/>
    <col min="14344" max="14350" width="10.28515625" style="1" bestFit="1" customWidth="1"/>
    <col min="14351" max="14354" width="9.28515625" style="1" bestFit="1" customWidth="1"/>
    <col min="14355" max="14355" width="9.85546875" style="1" bestFit="1" customWidth="1"/>
    <col min="14356" max="14356" width="10.85546875" style="1" bestFit="1" customWidth="1"/>
    <col min="14357" max="14555" width="9.140625" style="1"/>
    <col min="14556" max="14556" width="9.28515625" style="1" bestFit="1" customWidth="1"/>
    <col min="14557" max="14557" width="28.140625" style="1" bestFit="1" customWidth="1"/>
    <col min="14558" max="14558" width="15.7109375" style="1" customWidth="1"/>
    <col min="14559" max="14559" width="9.140625" style="1" customWidth="1"/>
    <col min="14560" max="14560" width="14.28515625" style="1" customWidth="1"/>
    <col min="14561" max="14561" width="9.140625" style="1" customWidth="1"/>
    <col min="14562" max="14563" width="12.85546875" style="1" customWidth="1"/>
    <col min="14564" max="14564" width="9.140625" style="1" customWidth="1"/>
    <col min="14565" max="14565" width="10.7109375" style="1" customWidth="1"/>
    <col min="14566" max="14567" width="12" style="1" customWidth="1"/>
    <col min="14568" max="14575" width="10.7109375" style="1" customWidth="1"/>
    <col min="14576" max="14576" width="10.5703125" style="1" customWidth="1"/>
    <col min="14577" max="14577" width="11.140625" style="1" customWidth="1"/>
    <col min="14578" max="14578" width="10.7109375" style="1" customWidth="1"/>
    <col min="14579" max="14580" width="9.140625" style="1" customWidth="1"/>
    <col min="14581" max="14581" width="10.28515625" style="1" customWidth="1"/>
    <col min="14582" max="14583" width="10" style="1" customWidth="1"/>
    <col min="14584" max="14585" width="10.140625" style="1" customWidth="1"/>
    <col min="14586" max="14589" width="10" style="1" customWidth="1"/>
    <col min="14590" max="14590" width="10.140625" style="1" customWidth="1"/>
    <col min="14591" max="14592" width="10" style="1" customWidth="1"/>
    <col min="14593" max="14593" width="10.28515625" style="1" customWidth="1"/>
    <col min="14594" max="14594" width="13.140625" style="1" customWidth="1"/>
    <col min="14595" max="14595" width="7.85546875" style="1" customWidth="1"/>
    <col min="14596" max="14597" width="9.140625" style="1" customWidth="1"/>
    <col min="14598" max="14598" width="11.7109375" style="1" customWidth="1"/>
    <col min="14599" max="14599" width="11.5703125" style="1" bestFit="1" customWidth="1"/>
    <col min="14600" max="14606" width="10.28515625" style="1" bestFit="1" customWidth="1"/>
    <col min="14607" max="14610" width="9.28515625" style="1" bestFit="1" customWidth="1"/>
    <col min="14611" max="14611" width="9.85546875" style="1" bestFit="1" customWidth="1"/>
    <col min="14612" max="14612" width="10.85546875" style="1" bestFit="1" customWidth="1"/>
    <col min="14613" max="14811" width="9.140625" style="1"/>
    <col min="14812" max="14812" width="9.28515625" style="1" bestFit="1" customWidth="1"/>
    <col min="14813" max="14813" width="28.140625" style="1" bestFit="1" customWidth="1"/>
    <col min="14814" max="14814" width="15.7109375" style="1" customWidth="1"/>
    <col min="14815" max="14815" width="9.140625" style="1" customWidth="1"/>
    <col min="14816" max="14816" width="14.28515625" style="1" customWidth="1"/>
    <col min="14817" max="14817" width="9.140625" style="1" customWidth="1"/>
    <col min="14818" max="14819" width="12.85546875" style="1" customWidth="1"/>
    <col min="14820" max="14820" width="9.140625" style="1" customWidth="1"/>
    <col min="14821" max="14821" width="10.7109375" style="1" customWidth="1"/>
    <col min="14822" max="14823" width="12" style="1" customWidth="1"/>
    <col min="14824" max="14831" width="10.7109375" style="1" customWidth="1"/>
    <col min="14832" max="14832" width="10.5703125" style="1" customWidth="1"/>
    <col min="14833" max="14833" width="11.140625" style="1" customWidth="1"/>
    <col min="14834" max="14834" width="10.7109375" style="1" customWidth="1"/>
    <col min="14835" max="14836" width="9.140625" style="1" customWidth="1"/>
    <col min="14837" max="14837" width="10.28515625" style="1" customWidth="1"/>
    <col min="14838" max="14839" width="10" style="1" customWidth="1"/>
    <col min="14840" max="14841" width="10.140625" style="1" customWidth="1"/>
    <col min="14842" max="14845" width="10" style="1" customWidth="1"/>
    <col min="14846" max="14846" width="10.140625" style="1" customWidth="1"/>
    <col min="14847" max="14848" width="10" style="1" customWidth="1"/>
    <col min="14849" max="14849" width="10.28515625" style="1" customWidth="1"/>
    <col min="14850" max="14850" width="13.140625" style="1" customWidth="1"/>
    <col min="14851" max="14851" width="7.85546875" style="1" customWidth="1"/>
    <col min="14852" max="14853" width="9.140625" style="1" customWidth="1"/>
    <col min="14854" max="14854" width="11.7109375" style="1" customWidth="1"/>
    <col min="14855" max="14855" width="11.5703125" style="1" bestFit="1" customWidth="1"/>
    <col min="14856" max="14862" width="10.28515625" style="1" bestFit="1" customWidth="1"/>
    <col min="14863" max="14866" width="9.28515625" style="1" bestFit="1" customWidth="1"/>
    <col min="14867" max="14867" width="9.85546875" style="1" bestFit="1" customWidth="1"/>
    <col min="14868" max="14868" width="10.85546875" style="1" bestFit="1" customWidth="1"/>
    <col min="14869" max="15067" width="9.140625" style="1"/>
    <col min="15068" max="15068" width="9.28515625" style="1" bestFit="1" customWidth="1"/>
    <col min="15069" max="15069" width="28.140625" style="1" bestFit="1" customWidth="1"/>
    <col min="15070" max="15070" width="15.7109375" style="1" customWidth="1"/>
    <col min="15071" max="15071" width="9.140625" style="1" customWidth="1"/>
    <col min="15072" max="15072" width="14.28515625" style="1" customWidth="1"/>
    <col min="15073" max="15073" width="9.140625" style="1" customWidth="1"/>
    <col min="15074" max="15075" width="12.85546875" style="1" customWidth="1"/>
    <col min="15076" max="15076" width="9.140625" style="1" customWidth="1"/>
    <col min="15077" max="15077" width="10.7109375" style="1" customWidth="1"/>
    <col min="15078" max="15079" width="12" style="1" customWidth="1"/>
    <col min="15080" max="15087" width="10.7109375" style="1" customWidth="1"/>
    <col min="15088" max="15088" width="10.5703125" style="1" customWidth="1"/>
    <col min="15089" max="15089" width="11.140625" style="1" customWidth="1"/>
    <col min="15090" max="15090" width="10.7109375" style="1" customWidth="1"/>
    <col min="15091" max="15092" width="9.140625" style="1" customWidth="1"/>
    <col min="15093" max="15093" width="10.28515625" style="1" customWidth="1"/>
    <col min="15094" max="15095" width="10" style="1" customWidth="1"/>
    <col min="15096" max="15097" width="10.140625" style="1" customWidth="1"/>
    <col min="15098" max="15101" width="10" style="1" customWidth="1"/>
    <col min="15102" max="15102" width="10.140625" style="1" customWidth="1"/>
    <col min="15103" max="15104" width="10" style="1" customWidth="1"/>
    <col min="15105" max="15105" width="10.28515625" style="1" customWidth="1"/>
    <col min="15106" max="15106" width="13.140625" style="1" customWidth="1"/>
    <col min="15107" max="15107" width="7.85546875" style="1" customWidth="1"/>
    <col min="15108" max="15109" width="9.140625" style="1" customWidth="1"/>
    <col min="15110" max="15110" width="11.7109375" style="1" customWidth="1"/>
    <col min="15111" max="15111" width="11.5703125" style="1" bestFit="1" customWidth="1"/>
    <col min="15112" max="15118" width="10.28515625" style="1" bestFit="1" customWidth="1"/>
    <col min="15119" max="15122" width="9.28515625" style="1" bestFit="1" customWidth="1"/>
    <col min="15123" max="15123" width="9.85546875" style="1" bestFit="1" customWidth="1"/>
    <col min="15124" max="15124" width="10.85546875" style="1" bestFit="1" customWidth="1"/>
    <col min="15125" max="15323" width="9.140625" style="1"/>
    <col min="15324" max="15324" width="9.28515625" style="1" bestFit="1" customWidth="1"/>
    <col min="15325" max="15325" width="28.140625" style="1" bestFit="1" customWidth="1"/>
    <col min="15326" max="15326" width="15.7109375" style="1" customWidth="1"/>
    <col min="15327" max="15327" width="9.140625" style="1" customWidth="1"/>
    <col min="15328" max="15328" width="14.28515625" style="1" customWidth="1"/>
    <col min="15329" max="15329" width="9.140625" style="1" customWidth="1"/>
    <col min="15330" max="15331" width="12.85546875" style="1" customWidth="1"/>
    <col min="15332" max="15332" width="9.140625" style="1" customWidth="1"/>
    <col min="15333" max="15333" width="10.7109375" style="1" customWidth="1"/>
    <col min="15334" max="15335" width="12" style="1" customWidth="1"/>
    <col min="15336" max="15343" width="10.7109375" style="1" customWidth="1"/>
    <col min="15344" max="15344" width="10.5703125" style="1" customWidth="1"/>
    <col min="15345" max="15345" width="11.140625" style="1" customWidth="1"/>
    <col min="15346" max="15346" width="10.7109375" style="1" customWidth="1"/>
    <col min="15347" max="15348" width="9.140625" style="1" customWidth="1"/>
    <col min="15349" max="15349" width="10.28515625" style="1" customWidth="1"/>
    <col min="15350" max="15351" width="10" style="1" customWidth="1"/>
    <col min="15352" max="15353" width="10.140625" style="1" customWidth="1"/>
    <col min="15354" max="15357" width="10" style="1" customWidth="1"/>
    <col min="15358" max="15358" width="10.140625" style="1" customWidth="1"/>
    <col min="15359" max="15360" width="10" style="1" customWidth="1"/>
    <col min="15361" max="15361" width="10.28515625" style="1" customWidth="1"/>
    <col min="15362" max="15362" width="13.140625" style="1" customWidth="1"/>
    <col min="15363" max="15363" width="7.85546875" style="1" customWidth="1"/>
    <col min="15364" max="15365" width="9.140625" style="1" customWidth="1"/>
    <col min="15366" max="15366" width="11.7109375" style="1" customWidth="1"/>
    <col min="15367" max="15367" width="11.5703125" style="1" bestFit="1" customWidth="1"/>
    <col min="15368" max="15374" width="10.28515625" style="1" bestFit="1" customWidth="1"/>
    <col min="15375" max="15378" width="9.28515625" style="1" bestFit="1" customWidth="1"/>
    <col min="15379" max="15379" width="9.85546875" style="1" bestFit="1" customWidth="1"/>
    <col min="15380" max="15380" width="10.85546875" style="1" bestFit="1" customWidth="1"/>
    <col min="15381" max="15579" width="9.140625" style="1"/>
    <col min="15580" max="15580" width="9.28515625" style="1" bestFit="1" customWidth="1"/>
    <col min="15581" max="15581" width="28.140625" style="1" bestFit="1" customWidth="1"/>
    <col min="15582" max="15582" width="15.7109375" style="1" customWidth="1"/>
    <col min="15583" max="15583" width="9.140625" style="1" customWidth="1"/>
    <col min="15584" max="15584" width="14.28515625" style="1" customWidth="1"/>
    <col min="15585" max="15585" width="9.140625" style="1" customWidth="1"/>
    <col min="15586" max="15587" width="12.85546875" style="1" customWidth="1"/>
    <col min="15588" max="15588" width="9.140625" style="1" customWidth="1"/>
    <col min="15589" max="15589" width="10.7109375" style="1" customWidth="1"/>
    <col min="15590" max="15591" width="12" style="1" customWidth="1"/>
    <col min="15592" max="15599" width="10.7109375" style="1" customWidth="1"/>
    <col min="15600" max="15600" width="10.5703125" style="1" customWidth="1"/>
    <col min="15601" max="15601" width="11.140625" style="1" customWidth="1"/>
    <col min="15602" max="15602" width="10.7109375" style="1" customWidth="1"/>
    <col min="15603" max="15604" width="9.140625" style="1" customWidth="1"/>
    <col min="15605" max="15605" width="10.28515625" style="1" customWidth="1"/>
    <col min="15606" max="15607" width="10" style="1" customWidth="1"/>
    <col min="15608" max="15609" width="10.140625" style="1" customWidth="1"/>
    <col min="15610" max="15613" width="10" style="1" customWidth="1"/>
    <col min="15614" max="15614" width="10.140625" style="1" customWidth="1"/>
    <col min="15615" max="15616" width="10" style="1" customWidth="1"/>
    <col min="15617" max="15617" width="10.28515625" style="1" customWidth="1"/>
    <col min="15618" max="15618" width="13.140625" style="1" customWidth="1"/>
    <col min="15619" max="15619" width="7.85546875" style="1" customWidth="1"/>
    <col min="15620" max="15621" width="9.140625" style="1" customWidth="1"/>
    <col min="15622" max="15622" width="11.7109375" style="1" customWidth="1"/>
    <col min="15623" max="15623" width="11.5703125" style="1" bestFit="1" customWidth="1"/>
    <col min="15624" max="15630" width="10.28515625" style="1" bestFit="1" customWidth="1"/>
    <col min="15631" max="15634" width="9.28515625" style="1" bestFit="1" customWidth="1"/>
    <col min="15635" max="15635" width="9.85546875" style="1" bestFit="1" customWidth="1"/>
    <col min="15636" max="15636" width="10.85546875" style="1" bestFit="1" customWidth="1"/>
    <col min="15637" max="15835" width="9.140625" style="1"/>
    <col min="15836" max="15836" width="9.28515625" style="1" bestFit="1" customWidth="1"/>
    <col min="15837" max="15837" width="28.140625" style="1" bestFit="1" customWidth="1"/>
    <col min="15838" max="15838" width="15.7109375" style="1" customWidth="1"/>
    <col min="15839" max="15839" width="9.140625" style="1" customWidth="1"/>
    <col min="15840" max="15840" width="14.28515625" style="1" customWidth="1"/>
    <col min="15841" max="15841" width="9.140625" style="1" customWidth="1"/>
    <col min="15842" max="15843" width="12.85546875" style="1" customWidth="1"/>
    <col min="15844" max="15844" width="9.140625" style="1" customWidth="1"/>
    <col min="15845" max="15845" width="10.7109375" style="1" customWidth="1"/>
    <col min="15846" max="15847" width="12" style="1" customWidth="1"/>
    <col min="15848" max="15855" width="10.7109375" style="1" customWidth="1"/>
    <col min="15856" max="15856" width="10.5703125" style="1" customWidth="1"/>
    <col min="15857" max="15857" width="11.140625" style="1" customWidth="1"/>
    <col min="15858" max="15858" width="10.7109375" style="1" customWidth="1"/>
    <col min="15859" max="15860" width="9.140625" style="1" customWidth="1"/>
    <col min="15861" max="15861" width="10.28515625" style="1" customWidth="1"/>
    <col min="15862" max="15863" width="10" style="1" customWidth="1"/>
    <col min="15864" max="15865" width="10.140625" style="1" customWidth="1"/>
    <col min="15866" max="15869" width="10" style="1" customWidth="1"/>
    <col min="15870" max="15870" width="10.140625" style="1" customWidth="1"/>
    <col min="15871" max="15872" width="10" style="1" customWidth="1"/>
    <col min="15873" max="15873" width="10.28515625" style="1" customWidth="1"/>
    <col min="15874" max="15874" width="13.140625" style="1" customWidth="1"/>
    <col min="15875" max="15875" width="7.85546875" style="1" customWidth="1"/>
    <col min="15876" max="15877" width="9.140625" style="1" customWidth="1"/>
    <col min="15878" max="15878" width="11.7109375" style="1" customWidth="1"/>
    <col min="15879" max="15879" width="11.5703125" style="1" bestFit="1" customWidth="1"/>
    <col min="15880" max="15886" width="10.28515625" style="1" bestFit="1" customWidth="1"/>
    <col min="15887" max="15890" width="9.28515625" style="1" bestFit="1" customWidth="1"/>
    <col min="15891" max="15891" width="9.85546875" style="1" bestFit="1" customWidth="1"/>
    <col min="15892" max="15892" width="10.85546875" style="1" bestFit="1" customWidth="1"/>
    <col min="15893" max="16091" width="9.140625" style="1"/>
    <col min="16092" max="16092" width="9.28515625" style="1" bestFit="1" customWidth="1"/>
    <col min="16093" max="16093" width="28.140625" style="1" bestFit="1" customWidth="1"/>
    <col min="16094" max="16094" width="15.7109375" style="1" customWidth="1"/>
    <col min="16095" max="16095" width="9.140625" style="1" customWidth="1"/>
    <col min="16096" max="16096" width="14.28515625" style="1" customWidth="1"/>
    <col min="16097" max="16097" width="9.140625" style="1" customWidth="1"/>
    <col min="16098" max="16099" width="12.85546875" style="1" customWidth="1"/>
    <col min="16100" max="16100" width="9.140625" style="1" customWidth="1"/>
    <col min="16101" max="16101" width="10.7109375" style="1" customWidth="1"/>
    <col min="16102" max="16103" width="12" style="1" customWidth="1"/>
    <col min="16104" max="16111" width="10.7109375" style="1" customWidth="1"/>
    <col min="16112" max="16112" width="10.5703125" style="1" customWidth="1"/>
    <col min="16113" max="16113" width="11.140625" style="1" customWidth="1"/>
    <col min="16114" max="16114" width="10.7109375" style="1" customWidth="1"/>
    <col min="16115" max="16116" width="9.140625" style="1" customWidth="1"/>
    <col min="16117" max="16117" width="10.28515625" style="1" customWidth="1"/>
    <col min="16118" max="16119" width="10" style="1" customWidth="1"/>
    <col min="16120" max="16121" width="10.140625" style="1" customWidth="1"/>
    <col min="16122" max="16125" width="10" style="1" customWidth="1"/>
    <col min="16126" max="16126" width="10.140625" style="1" customWidth="1"/>
    <col min="16127" max="16128" width="10" style="1" customWidth="1"/>
    <col min="16129" max="16129" width="10.28515625" style="1" customWidth="1"/>
    <col min="16130" max="16130" width="13.140625" style="1" customWidth="1"/>
    <col min="16131" max="16131" width="7.85546875" style="1" customWidth="1"/>
    <col min="16132" max="16133" width="9.140625" style="1" customWidth="1"/>
    <col min="16134" max="16134" width="11.7109375" style="1" customWidth="1"/>
    <col min="16135" max="16135" width="11.5703125" style="1" bestFit="1" customWidth="1"/>
    <col min="16136" max="16142" width="10.28515625" style="1" bestFit="1" customWidth="1"/>
    <col min="16143" max="16146" width="9.28515625" style="1" bestFit="1" customWidth="1"/>
    <col min="16147" max="16147" width="9.85546875" style="1" bestFit="1" customWidth="1"/>
    <col min="16148" max="16148" width="10.85546875" style="1" bestFit="1" customWidth="1"/>
    <col min="16149" max="16384" width="9.140625" style="1"/>
  </cols>
  <sheetData>
    <row r="1" spans="1:19" x14ac:dyDescent="0.2">
      <c r="F1" s="119" t="s">
        <v>49</v>
      </c>
      <c r="G1" s="119" t="s">
        <v>48</v>
      </c>
      <c r="H1" s="119" t="s">
        <v>47</v>
      </c>
      <c r="I1" s="119" t="s">
        <v>46</v>
      </c>
      <c r="J1" s="119" t="s">
        <v>45</v>
      </c>
      <c r="K1" s="119" t="s">
        <v>44</v>
      </c>
      <c r="L1" s="119" t="s">
        <v>43</v>
      </c>
      <c r="M1" s="119" t="s">
        <v>42</v>
      </c>
      <c r="N1" s="119" t="s">
        <v>41</v>
      </c>
      <c r="O1" s="119" t="s">
        <v>40</v>
      </c>
      <c r="P1" s="119" t="s">
        <v>39</v>
      </c>
      <c r="Q1" s="119" t="s">
        <v>38</v>
      </c>
      <c r="R1" s="119" t="s">
        <v>37</v>
      </c>
    </row>
    <row r="2" spans="1:19" x14ac:dyDescent="0.2">
      <c r="B2" s="35" t="s">
        <v>263</v>
      </c>
      <c r="C2" s="4">
        <f>STATS!D37</f>
        <v>14221</v>
      </c>
      <c r="F2" s="306">
        <f>'MO STATS'!E33</f>
        <v>1004</v>
      </c>
      <c r="G2" s="306">
        <f>'MO STATS'!F33</f>
        <v>1313</v>
      </c>
      <c r="H2" s="306">
        <f>'MO STATS'!G33</f>
        <v>1132</v>
      </c>
      <c r="I2" s="306">
        <f>'MO STATS'!H33</f>
        <v>1212</v>
      </c>
      <c r="J2" s="306">
        <f>'MO STATS'!I33</f>
        <v>1155</v>
      </c>
      <c r="K2" s="306">
        <f>'MO STATS'!J33</f>
        <v>1458</v>
      </c>
      <c r="L2" s="306">
        <f>'MO STATS'!K33</f>
        <v>1036</v>
      </c>
      <c r="M2" s="306">
        <f>'MO STATS'!L33</f>
        <v>883</v>
      </c>
      <c r="N2" s="306">
        <f>'MO STATS'!M33</f>
        <v>1275</v>
      </c>
      <c r="O2" s="306">
        <f>'MO STATS'!N33</f>
        <v>1240</v>
      </c>
      <c r="P2" s="306">
        <f>'MO STATS'!O33</f>
        <v>1410</v>
      </c>
      <c r="Q2" s="306">
        <f>'MO STATS'!P33</f>
        <v>1103</v>
      </c>
      <c r="R2" s="96">
        <f>SUM(F2:Q2)</f>
        <v>14221</v>
      </c>
      <c r="S2" s="3">
        <f>C2-R2</f>
        <v>0</v>
      </c>
    </row>
    <row r="3" spans="1:19" x14ac:dyDescent="0.2">
      <c r="B3" s="35" t="s">
        <v>265</v>
      </c>
      <c r="C3" s="4">
        <f>STATS!D38</f>
        <v>57299</v>
      </c>
      <c r="F3" s="306">
        <f>'MO STATS'!E34</f>
        <v>5145</v>
      </c>
      <c r="G3" s="306">
        <f>'MO STATS'!F34</f>
        <v>3800</v>
      </c>
      <c r="H3" s="306">
        <f>'MO STATS'!G34</f>
        <v>6501</v>
      </c>
      <c r="I3" s="306">
        <f>'MO STATS'!H34</f>
        <v>4177</v>
      </c>
      <c r="J3" s="306">
        <f>'MO STATS'!I34</f>
        <v>4417</v>
      </c>
      <c r="K3" s="306">
        <f>'MO STATS'!J34</f>
        <v>4767</v>
      </c>
      <c r="L3" s="306">
        <f>'MO STATS'!K34</f>
        <v>4421</v>
      </c>
      <c r="M3" s="306">
        <f>'MO STATS'!L34</f>
        <v>4760</v>
      </c>
      <c r="N3" s="306">
        <f>'MO STATS'!M34</f>
        <v>4166</v>
      </c>
      <c r="O3" s="306">
        <f>'MO STATS'!N34</f>
        <v>3525</v>
      </c>
      <c r="P3" s="306">
        <f>'MO STATS'!O34</f>
        <v>4004</v>
      </c>
      <c r="Q3" s="306">
        <f>'MO STATS'!P34</f>
        <v>7616</v>
      </c>
      <c r="R3" s="96">
        <f>SUM(F3:Q3)</f>
        <v>57299</v>
      </c>
      <c r="S3" s="3">
        <f>C3-R3</f>
        <v>0</v>
      </c>
    </row>
    <row r="4" spans="1:19" x14ac:dyDescent="0.2">
      <c r="B4" s="35" t="s">
        <v>267</v>
      </c>
      <c r="C4" s="6">
        <f>C2+C3</f>
        <v>71520</v>
      </c>
      <c r="F4" s="306">
        <f>'MO STATS'!E35</f>
        <v>6149</v>
      </c>
      <c r="G4" s="306">
        <f>'MO STATS'!F35</f>
        <v>5113</v>
      </c>
      <c r="H4" s="306">
        <f>'MO STATS'!G35</f>
        <v>7633</v>
      </c>
      <c r="I4" s="306">
        <f>'MO STATS'!H35</f>
        <v>5389</v>
      </c>
      <c r="J4" s="306">
        <f>'MO STATS'!I35</f>
        <v>5572</v>
      </c>
      <c r="K4" s="306">
        <f>'MO STATS'!J35</f>
        <v>6225</v>
      </c>
      <c r="L4" s="306">
        <f>'MO STATS'!K35</f>
        <v>5457</v>
      </c>
      <c r="M4" s="306">
        <f>'MO STATS'!L35</f>
        <v>5643</v>
      </c>
      <c r="N4" s="306">
        <f>'MO STATS'!M35</f>
        <v>5441</v>
      </c>
      <c r="O4" s="306">
        <f>'MO STATS'!N35</f>
        <v>4765</v>
      </c>
      <c r="P4" s="306">
        <f>'MO STATS'!O35</f>
        <v>5414</v>
      </c>
      <c r="Q4" s="306">
        <f>'MO STATS'!P35</f>
        <v>8719</v>
      </c>
      <c r="R4" s="96">
        <f>SUM(F4:Q4)</f>
        <v>71520</v>
      </c>
      <c r="S4" s="3">
        <f>C4-R4</f>
        <v>0</v>
      </c>
    </row>
    <row r="5" spans="1:19" x14ac:dyDescent="0.2">
      <c r="B5" s="38" t="s">
        <v>940</v>
      </c>
      <c r="C5" s="426">
        <f>'[4]2017 FTEs'!$AS$20</f>
        <v>9.4499999999999993</v>
      </c>
      <c r="F5" s="6"/>
      <c r="G5" s="6"/>
      <c r="H5" s="6"/>
      <c r="I5" s="6"/>
      <c r="J5" s="6"/>
      <c r="K5" s="6"/>
      <c r="L5" s="6"/>
      <c r="M5" s="6"/>
      <c r="N5" s="6"/>
      <c r="O5" s="6"/>
      <c r="P5" s="6"/>
      <c r="Q5" s="6"/>
      <c r="R5" s="6"/>
      <c r="S5" s="34"/>
    </row>
    <row r="6" spans="1:19" x14ac:dyDescent="0.2">
      <c r="B6" s="38" t="s">
        <v>939</v>
      </c>
      <c r="C6" s="4">
        <f>C5*2080</f>
        <v>19656</v>
      </c>
      <c r="F6" s="421">
        <f>($C6/$R7)*F7</f>
        <v>1669.4136986301369</v>
      </c>
      <c r="G6" s="421">
        <f t="shared" ref="G6:Q6" si="0">($C6/$R7)*G7</f>
        <v>1615.5616438356165</v>
      </c>
      <c r="H6" s="421">
        <f t="shared" si="0"/>
        <v>1669.4136986301369</v>
      </c>
      <c r="I6" s="421">
        <f t="shared" si="0"/>
        <v>1669.4136986301369</v>
      </c>
      <c r="J6" s="421">
        <f t="shared" si="0"/>
        <v>1507.8575342465754</v>
      </c>
      <c r="K6" s="421">
        <f t="shared" si="0"/>
        <v>1669.4136986301369</v>
      </c>
      <c r="L6" s="421">
        <f t="shared" si="0"/>
        <v>1615.5616438356165</v>
      </c>
      <c r="M6" s="421">
        <f t="shared" si="0"/>
        <v>1669.4136986301369</v>
      </c>
      <c r="N6" s="421">
        <f t="shared" si="0"/>
        <v>1615.5616438356165</v>
      </c>
      <c r="O6" s="421">
        <f t="shared" si="0"/>
        <v>1669.4136986301369</v>
      </c>
      <c r="P6" s="421">
        <f t="shared" si="0"/>
        <v>1669.4136986301369</v>
      </c>
      <c r="Q6" s="421">
        <f t="shared" si="0"/>
        <v>1615.5616438356165</v>
      </c>
      <c r="R6" s="6">
        <f>SUM(F6:Q6)</f>
        <v>19655.999999999996</v>
      </c>
      <c r="S6" s="34">
        <f>C6-R6</f>
        <v>0</v>
      </c>
    </row>
    <row r="7" spans="1:19" x14ac:dyDescent="0.2">
      <c r="B7" s="1"/>
      <c r="F7" s="2">
        <v>31</v>
      </c>
      <c r="G7" s="2">
        <v>30</v>
      </c>
      <c r="H7" s="2">
        <v>31</v>
      </c>
      <c r="I7" s="2">
        <v>31</v>
      </c>
      <c r="J7" s="2">
        <v>28</v>
      </c>
      <c r="K7" s="2">
        <v>31</v>
      </c>
      <c r="L7" s="2">
        <v>30</v>
      </c>
      <c r="M7" s="2">
        <v>31</v>
      </c>
      <c r="N7" s="2">
        <v>30</v>
      </c>
      <c r="O7" s="2">
        <v>31</v>
      </c>
      <c r="P7" s="2">
        <v>31</v>
      </c>
      <c r="Q7" s="2">
        <v>30</v>
      </c>
      <c r="R7" s="6">
        <f t="shared" ref="R7" si="1">SUM(F7:Q7)</f>
        <v>365</v>
      </c>
      <c r="S7" s="34"/>
    </row>
    <row r="8" spans="1:19" x14ac:dyDescent="0.2">
      <c r="A8" s="711" t="s">
        <v>35</v>
      </c>
      <c r="B8" s="711"/>
      <c r="C8" s="711"/>
      <c r="D8" s="711"/>
      <c r="E8" s="37"/>
    </row>
    <row r="9" spans="1:19" x14ac:dyDescent="0.2">
      <c r="A9" s="21"/>
      <c r="B9" s="10" t="s">
        <v>438</v>
      </c>
      <c r="C9" s="78"/>
      <c r="D9" s="168" t="s">
        <v>439</v>
      </c>
      <c r="E9" s="140"/>
    </row>
    <row r="10" spans="1:19" x14ac:dyDescent="0.2">
      <c r="A10" s="16"/>
      <c r="B10" s="29" t="s">
        <v>352</v>
      </c>
      <c r="C10" s="28">
        <f>C$2*D10</f>
        <v>303725.77685130038</v>
      </c>
      <c r="D10" s="13">
        <f>[5]Lab!$J$11</f>
        <v>21.357554099662497</v>
      </c>
      <c r="E10" s="7"/>
      <c r="F10" s="376">
        <f>$D10*F$2</f>
        <v>21442.984316061149</v>
      </c>
      <c r="G10" s="376">
        <f t="shared" ref="G10:Q24" si="2">$D10*G$2</f>
        <v>28042.468532856859</v>
      </c>
      <c r="H10" s="376">
        <f t="shared" si="2"/>
        <v>24176.751240817946</v>
      </c>
      <c r="I10" s="376">
        <f t="shared" si="2"/>
        <v>25885.355568790947</v>
      </c>
      <c r="J10" s="376">
        <f t="shared" si="2"/>
        <v>24667.974985110184</v>
      </c>
      <c r="K10" s="376">
        <f t="shared" si="2"/>
        <v>31139.313877307923</v>
      </c>
      <c r="L10" s="376">
        <f t="shared" si="2"/>
        <v>22126.426047250348</v>
      </c>
      <c r="M10" s="376">
        <f t="shared" si="2"/>
        <v>18858.720270001984</v>
      </c>
      <c r="N10" s="376">
        <f t="shared" si="2"/>
        <v>27230.881477069684</v>
      </c>
      <c r="O10" s="376">
        <f t="shared" si="2"/>
        <v>26483.367083581496</v>
      </c>
      <c r="P10" s="376">
        <f t="shared" si="2"/>
        <v>30114.151280524122</v>
      </c>
      <c r="Q10" s="376">
        <f t="shared" si="2"/>
        <v>23557.382171927733</v>
      </c>
      <c r="R10" s="376">
        <f>SUM(F10:Q10)</f>
        <v>303725.77685130032</v>
      </c>
      <c r="S10" s="96">
        <f t="shared" ref="S10:S34" si="3">C10-R10</f>
        <v>0</v>
      </c>
    </row>
    <row r="11" spans="1:19" x14ac:dyDescent="0.2">
      <c r="A11" s="16"/>
      <c r="B11" s="29" t="s">
        <v>353</v>
      </c>
      <c r="C11" s="28">
        <f t="shared" ref="C11:C24" si="4">C$2*D11</f>
        <v>1980.5502283105022</v>
      </c>
      <c r="D11" s="13">
        <f>[5]Lab!$J$12</f>
        <v>0.13926940639269406</v>
      </c>
      <c r="E11" s="7"/>
      <c r="F11" s="376">
        <f t="shared" ref="F11:F24" si="5">$D11*F$2</f>
        <v>139.82648401826484</v>
      </c>
      <c r="G11" s="376">
        <f t="shared" si="2"/>
        <v>182.86073059360729</v>
      </c>
      <c r="H11" s="376">
        <f t="shared" si="2"/>
        <v>157.65296803652967</v>
      </c>
      <c r="I11" s="376">
        <f t="shared" si="2"/>
        <v>168.79452054794518</v>
      </c>
      <c r="J11" s="376">
        <f t="shared" si="2"/>
        <v>160.85616438356163</v>
      </c>
      <c r="K11" s="376">
        <f t="shared" si="2"/>
        <v>203.05479452054794</v>
      </c>
      <c r="L11" s="376">
        <f t="shared" si="2"/>
        <v>144.28310502283105</v>
      </c>
      <c r="M11" s="376">
        <f t="shared" si="2"/>
        <v>122.97488584474885</v>
      </c>
      <c r="N11" s="376">
        <f t="shared" si="2"/>
        <v>177.56849315068493</v>
      </c>
      <c r="O11" s="376">
        <f t="shared" si="2"/>
        <v>172.69406392694063</v>
      </c>
      <c r="P11" s="376">
        <f t="shared" si="2"/>
        <v>196.36986301369862</v>
      </c>
      <c r="Q11" s="376">
        <f t="shared" si="2"/>
        <v>153.61415525114154</v>
      </c>
      <c r="R11" s="376">
        <f t="shared" ref="R11:R34" si="6">SUM(F11:Q11)</f>
        <v>1980.550228310502</v>
      </c>
      <c r="S11" s="96">
        <f t="shared" si="3"/>
        <v>0</v>
      </c>
    </row>
    <row r="12" spans="1:19" x14ac:dyDescent="0.2">
      <c r="A12" s="16"/>
      <c r="B12" s="29" t="s">
        <v>355</v>
      </c>
      <c r="C12" s="28">
        <f t="shared" si="4"/>
        <v>42003.757693071275</v>
      </c>
      <c r="D12" s="13">
        <f>[5]Lab!$J$13</f>
        <v>2.9536430414929522</v>
      </c>
      <c r="E12" s="7"/>
      <c r="F12" s="376">
        <f t="shared" si="5"/>
        <v>2965.4576136589239</v>
      </c>
      <c r="G12" s="376">
        <f t="shared" si="2"/>
        <v>3878.1333134802462</v>
      </c>
      <c r="H12" s="376">
        <f t="shared" si="2"/>
        <v>3343.5239229700219</v>
      </c>
      <c r="I12" s="376">
        <f t="shared" si="2"/>
        <v>3579.8153662894579</v>
      </c>
      <c r="J12" s="376">
        <f t="shared" si="2"/>
        <v>3411.4577129243598</v>
      </c>
      <c r="K12" s="376">
        <f t="shared" si="2"/>
        <v>4306.4115544967244</v>
      </c>
      <c r="L12" s="376">
        <f t="shared" si="2"/>
        <v>3059.9741909866984</v>
      </c>
      <c r="M12" s="376">
        <f t="shared" si="2"/>
        <v>2608.0668056382769</v>
      </c>
      <c r="N12" s="376">
        <f t="shared" si="2"/>
        <v>3765.894877903514</v>
      </c>
      <c r="O12" s="376">
        <f t="shared" si="2"/>
        <v>3662.5173714512607</v>
      </c>
      <c r="P12" s="376">
        <f t="shared" si="2"/>
        <v>4164.6366885050629</v>
      </c>
      <c r="Q12" s="376">
        <f t="shared" si="2"/>
        <v>3257.8682747667262</v>
      </c>
      <c r="R12" s="376">
        <f t="shared" si="6"/>
        <v>42003.757693071275</v>
      </c>
      <c r="S12" s="96">
        <f t="shared" si="3"/>
        <v>0</v>
      </c>
    </row>
    <row r="13" spans="1:19" x14ac:dyDescent="0.2">
      <c r="A13" s="16"/>
      <c r="B13" s="29" t="s">
        <v>370</v>
      </c>
      <c r="C13" s="28">
        <f t="shared" si="4"/>
        <v>0</v>
      </c>
      <c r="D13" s="13"/>
      <c r="E13" s="7"/>
      <c r="F13" s="376">
        <f t="shared" si="5"/>
        <v>0</v>
      </c>
      <c r="G13" s="376">
        <f t="shared" si="2"/>
        <v>0</v>
      </c>
      <c r="H13" s="376">
        <f t="shared" si="2"/>
        <v>0</v>
      </c>
      <c r="I13" s="376">
        <f t="shared" si="2"/>
        <v>0</v>
      </c>
      <c r="J13" s="376">
        <f t="shared" si="2"/>
        <v>0</v>
      </c>
      <c r="K13" s="376">
        <f t="shared" si="2"/>
        <v>0</v>
      </c>
      <c r="L13" s="376">
        <f t="shared" si="2"/>
        <v>0</v>
      </c>
      <c r="M13" s="376">
        <f t="shared" si="2"/>
        <v>0</v>
      </c>
      <c r="N13" s="376">
        <f t="shared" si="2"/>
        <v>0</v>
      </c>
      <c r="O13" s="376">
        <f t="shared" si="2"/>
        <v>0</v>
      </c>
      <c r="P13" s="376">
        <f t="shared" si="2"/>
        <v>0</v>
      </c>
      <c r="Q13" s="376">
        <f t="shared" si="2"/>
        <v>0</v>
      </c>
      <c r="R13" s="376">
        <f t="shared" si="6"/>
        <v>0</v>
      </c>
      <c r="S13" s="96">
        <f t="shared" si="3"/>
        <v>0</v>
      </c>
    </row>
    <row r="14" spans="1:19" x14ac:dyDescent="0.2">
      <c r="A14" s="16"/>
      <c r="B14" s="29" t="s">
        <v>356</v>
      </c>
      <c r="C14" s="28">
        <f t="shared" si="4"/>
        <v>41566.145026801671</v>
      </c>
      <c r="D14" s="13">
        <f>[5]Lab!$J$14+[5]Lab!$J$15</f>
        <v>2.9228707564026206</v>
      </c>
      <c r="E14" s="7"/>
      <c r="F14" s="376">
        <f t="shared" si="5"/>
        <v>2934.5622394282309</v>
      </c>
      <c r="G14" s="376">
        <f t="shared" si="2"/>
        <v>3837.729303156641</v>
      </c>
      <c r="H14" s="376">
        <f t="shared" si="2"/>
        <v>3308.6896962477667</v>
      </c>
      <c r="I14" s="376">
        <f t="shared" si="2"/>
        <v>3542.5193567599763</v>
      </c>
      <c r="J14" s="376">
        <f t="shared" si="2"/>
        <v>3375.9157236450269</v>
      </c>
      <c r="K14" s="376">
        <f t="shared" si="2"/>
        <v>4261.545562835021</v>
      </c>
      <c r="L14" s="376">
        <f t="shared" si="2"/>
        <v>3028.0941036331151</v>
      </c>
      <c r="M14" s="376">
        <f t="shared" si="2"/>
        <v>2580.894877903514</v>
      </c>
      <c r="N14" s="376">
        <f t="shared" si="2"/>
        <v>3726.6602144133412</v>
      </c>
      <c r="O14" s="376">
        <f t="shared" si="2"/>
        <v>3624.3597379392495</v>
      </c>
      <c r="P14" s="376">
        <f t="shared" si="2"/>
        <v>4121.2477665276947</v>
      </c>
      <c r="Q14" s="376">
        <f t="shared" si="2"/>
        <v>3223.9264443120906</v>
      </c>
      <c r="R14" s="376">
        <f t="shared" si="6"/>
        <v>41566.145026801678</v>
      </c>
      <c r="S14" s="96">
        <f t="shared" si="3"/>
        <v>0</v>
      </c>
    </row>
    <row r="15" spans="1:19" x14ac:dyDescent="0.2">
      <c r="A15" s="16"/>
      <c r="B15" s="29" t="s">
        <v>354</v>
      </c>
      <c r="C15" s="28">
        <f t="shared" si="4"/>
        <v>148953.47002183838</v>
      </c>
      <c r="D15" s="13">
        <f>[5]Lab!$J$16</f>
        <v>10.474190986698432</v>
      </c>
      <c r="E15" s="7"/>
      <c r="F15" s="376">
        <f t="shared" si="5"/>
        <v>10516.087750645225</v>
      </c>
      <c r="G15" s="376">
        <f t="shared" si="2"/>
        <v>13752.612765535041</v>
      </c>
      <c r="H15" s="376">
        <f t="shared" si="2"/>
        <v>11856.784196942624</v>
      </c>
      <c r="I15" s="376">
        <f t="shared" si="2"/>
        <v>12694.719475878499</v>
      </c>
      <c r="J15" s="376">
        <f t="shared" si="2"/>
        <v>12097.690589636688</v>
      </c>
      <c r="K15" s="376">
        <f t="shared" si="2"/>
        <v>15271.370458606314</v>
      </c>
      <c r="L15" s="376">
        <f t="shared" si="2"/>
        <v>10851.261862219575</v>
      </c>
      <c r="M15" s="376">
        <f t="shared" si="2"/>
        <v>9248.7106412547146</v>
      </c>
      <c r="N15" s="376">
        <f t="shared" si="2"/>
        <v>13354.5935080405</v>
      </c>
      <c r="O15" s="376">
        <f t="shared" si="2"/>
        <v>12987.996823506055</v>
      </c>
      <c r="P15" s="376">
        <f t="shared" si="2"/>
        <v>14768.609291244789</v>
      </c>
      <c r="Q15" s="376">
        <f t="shared" si="2"/>
        <v>11553.03265832837</v>
      </c>
      <c r="R15" s="376">
        <f t="shared" si="6"/>
        <v>148953.47002183838</v>
      </c>
      <c r="S15" s="96">
        <f t="shared" si="3"/>
        <v>0</v>
      </c>
    </row>
    <row r="16" spans="1:19" x14ac:dyDescent="0.2">
      <c r="A16" s="16"/>
      <c r="B16" s="29" t="s">
        <v>357</v>
      </c>
      <c r="C16" s="28">
        <f t="shared" si="4"/>
        <v>22669.747766527697</v>
      </c>
      <c r="D16" s="13">
        <f>[5]Lab!$J$17</f>
        <v>1.5941036331149494</v>
      </c>
      <c r="E16" s="7"/>
      <c r="F16" s="376">
        <f t="shared" si="5"/>
        <v>1600.4800476474093</v>
      </c>
      <c r="G16" s="376">
        <f t="shared" si="2"/>
        <v>2093.0580702799284</v>
      </c>
      <c r="H16" s="376">
        <f t="shared" si="2"/>
        <v>1804.5253126861228</v>
      </c>
      <c r="I16" s="376">
        <f t="shared" si="2"/>
        <v>1932.0536033353187</v>
      </c>
      <c r="J16" s="376">
        <f t="shared" si="2"/>
        <v>1841.1896962477665</v>
      </c>
      <c r="K16" s="376">
        <f t="shared" si="2"/>
        <v>2324.2030970815963</v>
      </c>
      <c r="L16" s="376">
        <f t="shared" si="2"/>
        <v>1651.4913639070876</v>
      </c>
      <c r="M16" s="376">
        <f t="shared" si="2"/>
        <v>1407.5935080405004</v>
      </c>
      <c r="N16" s="376">
        <f t="shared" si="2"/>
        <v>2032.4821322215605</v>
      </c>
      <c r="O16" s="376">
        <f t="shared" si="2"/>
        <v>1976.6885050625372</v>
      </c>
      <c r="P16" s="376">
        <f t="shared" si="2"/>
        <v>2247.6861226920787</v>
      </c>
      <c r="Q16" s="376">
        <f t="shared" si="2"/>
        <v>1758.2963073257893</v>
      </c>
      <c r="R16" s="376">
        <f t="shared" si="6"/>
        <v>22669.747766527693</v>
      </c>
      <c r="S16" s="96">
        <f t="shared" si="3"/>
        <v>0</v>
      </c>
    </row>
    <row r="17" spans="1:19" x14ac:dyDescent="0.2">
      <c r="A17" s="87">
        <v>31110.030999999999</v>
      </c>
      <c r="B17" s="161" t="s">
        <v>443</v>
      </c>
      <c r="C17" s="293">
        <f>SUM(C10:C16)</f>
        <v>560899.44758784992</v>
      </c>
      <c r="D17" s="292"/>
      <c r="E17" s="292"/>
      <c r="F17" s="369">
        <f>SUM(F10:F16)</f>
        <v>39599.398451459201</v>
      </c>
      <c r="G17" s="369">
        <f t="shared" ref="G17:Q17" si="7">SUM(G10:G16)</f>
        <v>51786.862715902324</v>
      </c>
      <c r="H17" s="369">
        <f t="shared" si="7"/>
        <v>44647.92733770101</v>
      </c>
      <c r="I17" s="369">
        <f t="shared" si="7"/>
        <v>47803.257891602145</v>
      </c>
      <c r="J17" s="369">
        <f t="shared" si="7"/>
        <v>45555.084871947583</v>
      </c>
      <c r="K17" s="369">
        <f t="shared" si="7"/>
        <v>57505.89934484812</v>
      </c>
      <c r="L17" s="369">
        <f t="shared" si="7"/>
        <v>40861.530673019653</v>
      </c>
      <c r="M17" s="369">
        <f t="shared" si="7"/>
        <v>34826.960988683742</v>
      </c>
      <c r="N17" s="369">
        <f t="shared" si="7"/>
        <v>50288.080702799285</v>
      </c>
      <c r="O17" s="369">
        <f t="shared" si="7"/>
        <v>48907.62358546754</v>
      </c>
      <c r="P17" s="369">
        <f t="shared" si="7"/>
        <v>55612.701012507452</v>
      </c>
      <c r="Q17" s="369">
        <f t="shared" si="7"/>
        <v>43504.120011911851</v>
      </c>
      <c r="R17" s="369">
        <f t="shared" si="6"/>
        <v>560899.44758784992</v>
      </c>
      <c r="S17" s="292">
        <f t="shared" si="3"/>
        <v>0</v>
      </c>
    </row>
    <row r="18" spans="1:19" x14ac:dyDescent="0.2">
      <c r="A18" s="16"/>
      <c r="B18" s="29" t="s">
        <v>424</v>
      </c>
      <c r="C18" s="28">
        <f t="shared" si="4"/>
        <v>119024.9986102839</v>
      </c>
      <c r="D18" s="13">
        <f>[5]Lab!$J$21</f>
        <v>8.3696644828270799</v>
      </c>
      <c r="E18" s="7"/>
      <c r="F18" s="376">
        <f t="shared" si="5"/>
        <v>8403.1431407583877</v>
      </c>
      <c r="G18" s="376">
        <f t="shared" si="2"/>
        <v>10989.369465951955</v>
      </c>
      <c r="H18" s="376">
        <f t="shared" si="2"/>
        <v>9474.4601945602535</v>
      </c>
      <c r="I18" s="376">
        <f t="shared" si="2"/>
        <v>10144.033353186422</v>
      </c>
      <c r="J18" s="376">
        <f t="shared" si="2"/>
        <v>9666.9624776652781</v>
      </c>
      <c r="K18" s="376">
        <f t="shared" si="2"/>
        <v>12202.970815961882</v>
      </c>
      <c r="L18" s="376">
        <f t="shared" si="2"/>
        <v>8670.9724042088546</v>
      </c>
      <c r="M18" s="376">
        <f t="shared" si="2"/>
        <v>7390.4137383363113</v>
      </c>
      <c r="N18" s="376">
        <f t="shared" si="2"/>
        <v>10671.322215604527</v>
      </c>
      <c r="O18" s="376">
        <f t="shared" si="2"/>
        <v>10378.383958705579</v>
      </c>
      <c r="P18" s="376">
        <f t="shared" si="2"/>
        <v>11801.226920786183</v>
      </c>
      <c r="Q18" s="376">
        <f t="shared" si="2"/>
        <v>9231.7399245582692</v>
      </c>
      <c r="R18" s="376">
        <f t="shared" si="6"/>
        <v>119024.9986102839</v>
      </c>
      <c r="S18" s="96">
        <f t="shared" si="3"/>
        <v>0</v>
      </c>
    </row>
    <row r="19" spans="1:19" x14ac:dyDescent="0.2">
      <c r="A19" s="16"/>
      <c r="B19" s="29" t="s">
        <v>425</v>
      </c>
      <c r="C19" s="28">
        <f t="shared" si="4"/>
        <v>0</v>
      </c>
      <c r="D19" s="13">
        <v>0</v>
      </c>
      <c r="E19" s="7"/>
      <c r="F19" s="376">
        <f t="shared" si="5"/>
        <v>0</v>
      </c>
      <c r="G19" s="376">
        <f t="shared" si="2"/>
        <v>0</v>
      </c>
      <c r="H19" s="376">
        <f t="shared" si="2"/>
        <v>0</v>
      </c>
      <c r="I19" s="376">
        <f t="shared" si="2"/>
        <v>0</v>
      </c>
      <c r="J19" s="376">
        <f t="shared" si="2"/>
        <v>0</v>
      </c>
      <c r="K19" s="376">
        <f t="shared" si="2"/>
        <v>0</v>
      </c>
      <c r="L19" s="376">
        <f t="shared" si="2"/>
        <v>0</v>
      </c>
      <c r="M19" s="376">
        <f t="shared" si="2"/>
        <v>0</v>
      </c>
      <c r="N19" s="376">
        <f t="shared" si="2"/>
        <v>0</v>
      </c>
      <c r="O19" s="376">
        <f t="shared" si="2"/>
        <v>0</v>
      </c>
      <c r="P19" s="376">
        <f t="shared" si="2"/>
        <v>0</v>
      </c>
      <c r="Q19" s="376">
        <f t="shared" si="2"/>
        <v>0</v>
      </c>
      <c r="R19" s="376">
        <f t="shared" si="6"/>
        <v>0</v>
      </c>
      <c r="S19" s="96">
        <f t="shared" si="3"/>
        <v>0</v>
      </c>
    </row>
    <row r="20" spans="1:19" x14ac:dyDescent="0.2">
      <c r="A20" s="16"/>
      <c r="B20" s="29" t="s">
        <v>426</v>
      </c>
      <c r="C20" s="28">
        <f t="shared" si="4"/>
        <v>0</v>
      </c>
      <c r="D20" s="13">
        <v>0</v>
      </c>
      <c r="E20" s="7"/>
      <c r="F20" s="376">
        <f t="shared" si="5"/>
        <v>0</v>
      </c>
      <c r="G20" s="376">
        <f t="shared" si="2"/>
        <v>0</v>
      </c>
      <c r="H20" s="376">
        <f t="shared" si="2"/>
        <v>0</v>
      </c>
      <c r="I20" s="376">
        <f t="shared" si="2"/>
        <v>0</v>
      </c>
      <c r="J20" s="376">
        <f t="shared" si="2"/>
        <v>0</v>
      </c>
      <c r="K20" s="376">
        <f t="shared" si="2"/>
        <v>0</v>
      </c>
      <c r="L20" s="376">
        <f t="shared" si="2"/>
        <v>0</v>
      </c>
      <c r="M20" s="376">
        <f t="shared" si="2"/>
        <v>0</v>
      </c>
      <c r="N20" s="376">
        <f t="shared" si="2"/>
        <v>0</v>
      </c>
      <c r="O20" s="376">
        <f t="shared" si="2"/>
        <v>0</v>
      </c>
      <c r="P20" s="376">
        <f t="shared" si="2"/>
        <v>0</v>
      </c>
      <c r="Q20" s="376">
        <f t="shared" si="2"/>
        <v>0</v>
      </c>
      <c r="R20" s="376">
        <f t="shared" si="6"/>
        <v>0</v>
      </c>
      <c r="S20" s="96">
        <f t="shared" si="3"/>
        <v>0</v>
      </c>
    </row>
    <row r="21" spans="1:19" x14ac:dyDescent="0.2">
      <c r="A21" s="16"/>
      <c r="B21" s="29" t="s">
        <v>427</v>
      </c>
      <c r="C21" s="28">
        <f t="shared" si="4"/>
        <v>0</v>
      </c>
      <c r="D21" s="13">
        <v>0</v>
      </c>
      <c r="E21" s="7"/>
      <c r="F21" s="376">
        <f t="shared" si="5"/>
        <v>0</v>
      </c>
      <c r="G21" s="376">
        <f t="shared" si="2"/>
        <v>0</v>
      </c>
      <c r="H21" s="376">
        <f t="shared" si="2"/>
        <v>0</v>
      </c>
      <c r="I21" s="376">
        <f t="shared" si="2"/>
        <v>0</v>
      </c>
      <c r="J21" s="376">
        <f t="shared" si="2"/>
        <v>0</v>
      </c>
      <c r="K21" s="376">
        <f t="shared" si="2"/>
        <v>0</v>
      </c>
      <c r="L21" s="376">
        <f t="shared" si="2"/>
        <v>0</v>
      </c>
      <c r="M21" s="376">
        <f t="shared" si="2"/>
        <v>0</v>
      </c>
      <c r="N21" s="376">
        <f t="shared" si="2"/>
        <v>0</v>
      </c>
      <c r="O21" s="376">
        <f t="shared" si="2"/>
        <v>0</v>
      </c>
      <c r="P21" s="376">
        <f t="shared" si="2"/>
        <v>0</v>
      </c>
      <c r="Q21" s="376">
        <f t="shared" si="2"/>
        <v>0</v>
      </c>
      <c r="R21" s="376">
        <f t="shared" si="6"/>
        <v>0</v>
      </c>
      <c r="S21" s="96">
        <f t="shared" si="3"/>
        <v>0</v>
      </c>
    </row>
    <row r="22" spans="1:19" x14ac:dyDescent="0.2">
      <c r="A22" s="16"/>
      <c r="B22" s="29" t="s">
        <v>428</v>
      </c>
      <c r="C22" s="28">
        <f t="shared" si="4"/>
        <v>0</v>
      </c>
      <c r="D22" s="13">
        <v>0</v>
      </c>
      <c r="E22" s="7"/>
      <c r="F22" s="376">
        <f t="shared" si="5"/>
        <v>0</v>
      </c>
      <c r="G22" s="376">
        <f t="shared" si="2"/>
        <v>0</v>
      </c>
      <c r="H22" s="376">
        <f t="shared" si="2"/>
        <v>0</v>
      </c>
      <c r="I22" s="376">
        <f t="shared" si="2"/>
        <v>0</v>
      </c>
      <c r="J22" s="376">
        <f t="shared" si="2"/>
        <v>0</v>
      </c>
      <c r="K22" s="376">
        <f t="shared" si="2"/>
        <v>0</v>
      </c>
      <c r="L22" s="376">
        <f t="shared" si="2"/>
        <v>0</v>
      </c>
      <c r="M22" s="376">
        <f t="shared" si="2"/>
        <v>0</v>
      </c>
      <c r="N22" s="376">
        <f t="shared" si="2"/>
        <v>0</v>
      </c>
      <c r="O22" s="376">
        <f t="shared" si="2"/>
        <v>0</v>
      </c>
      <c r="P22" s="376">
        <f t="shared" si="2"/>
        <v>0</v>
      </c>
      <c r="Q22" s="376">
        <f t="shared" si="2"/>
        <v>0</v>
      </c>
      <c r="R22" s="376">
        <f t="shared" ref="R22" si="8">SUM(F22:Q22)</f>
        <v>0</v>
      </c>
      <c r="S22" s="96">
        <f t="shared" si="3"/>
        <v>0</v>
      </c>
    </row>
    <row r="23" spans="1:19" x14ac:dyDescent="0.2">
      <c r="A23" s="16"/>
      <c r="B23" s="29" t="s">
        <v>429</v>
      </c>
      <c r="C23" s="28">
        <f t="shared" si="4"/>
        <v>0</v>
      </c>
      <c r="D23" s="13">
        <v>0</v>
      </c>
      <c r="E23" s="7"/>
      <c r="F23" s="376">
        <f t="shared" si="5"/>
        <v>0</v>
      </c>
      <c r="G23" s="376">
        <f t="shared" si="2"/>
        <v>0</v>
      </c>
      <c r="H23" s="376">
        <f t="shared" si="2"/>
        <v>0</v>
      </c>
      <c r="I23" s="376">
        <f t="shared" si="2"/>
        <v>0</v>
      </c>
      <c r="J23" s="376">
        <f t="shared" si="2"/>
        <v>0</v>
      </c>
      <c r="K23" s="376">
        <f t="shared" si="2"/>
        <v>0</v>
      </c>
      <c r="L23" s="376">
        <f t="shared" si="2"/>
        <v>0</v>
      </c>
      <c r="M23" s="376">
        <f t="shared" si="2"/>
        <v>0</v>
      </c>
      <c r="N23" s="376">
        <f t="shared" si="2"/>
        <v>0</v>
      </c>
      <c r="O23" s="376">
        <f t="shared" si="2"/>
        <v>0</v>
      </c>
      <c r="P23" s="376">
        <f t="shared" si="2"/>
        <v>0</v>
      </c>
      <c r="Q23" s="376">
        <f t="shared" si="2"/>
        <v>0</v>
      </c>
      <c r="R23" s="376">
        <f t="shared" si="6"/>
        <v>0</v>
      </c>
      <c r="S23" s="96">
        <f t="shared" si="3"/>
        <v>0</v>
      </c>
    </row>
    <row r="24" spans="1:19" x14ac:dyDescent="0.2">
      <c r="A24" s="16"/>
      <c r="B24" s="29" t="s">
        <v>430</v>
      </c>
      <c r="C24" s="28">
        <f t="shared" si="4"/>
        <v>0</v>
      </c>
      <c r="D24" s="13">
        <f>[9]LAB!$M$26</f>
        <v>0</v>
      </c>
      <c r="E24" s="7"/>
      <c r="F24" s="376">
        <f t="shared" si="5"/>
        <v>0</v>
      </c>
      <c r="G24" s="376">
        <f t="shared" si="2"/>
        <v>0</v>
      </c>
      <c r="H24" s="376">
        <f t="shared" si="2"/>
        <v>0</v>
      </c>
      <c r="I24" s="376">
        <f t="shared" si="2"/>
        <v>0</v>
      </c>
      <c r="J24" s="376">
        <f t="shared" si="2"/>
        <v>0</v>
      </c>
      <c r="K24" s="376">
        <f t="shared" si="2"/>
        <v>0</v>
      </c>
      <c r="L24" s="376">
        <f t="shared" si="2"/>
        <v>0</v>
      </c>
      <c r="M24" s="376">
        <f t="shared" si="2"/>
        <v>0</v>
      </c>
      <c r="N24" s="376">
        <f t="shared" si="2"/>
        <v>0</v>
      </c>
      <c r="O24" s="376">
        <f t="shared" si="2"/>
        <v>0</v>
      </c>
      <c r="P24" s="376">
        <f t="shared" si="2"/>
        <v>0</v>
      </c>
      <c r="Q24" s="376">
        <f t="shared" si="2"/>
        <v>0</v>
      </c>
      <c r="R24" s="376">
        <f t="shared" si="6"/>
        <v>0</v>
      </c>
      <c r="S24" s="96">
        <f t="shared" si="3"/>
        <v>0</v>
      </c>
    </row>
    <row r="25" spans="1:19" x14ac:dyDescent="0.2">
      <c r="A25" s="87">
        <v>31111.030999999999</v>
      </c>
      <c r="B25" s="161" t="s">
        <v>444</v>
      </c>
      <c r="C25" s="293">
        <f>SUM(C18:C24)</f>
        <v>119024.9986102839</v>
      </c>
      <c r="D25" s="292"/>
      <c r="E25" s="292"/>
      <c r="F25" s="369">
        <f>SUM(F18:F24)</f>
        <v>8403.1431407583877</v>
      </c>
      <c r="G25" s="369">
        <f t="shared" ref="G25:Q25" si="9">SUM(G18:G24)</f>
        <v>10989.369465951955</v>
      </c>
      <c r="H25" s="369">
        <f t="shared" si="9"/>
        <v>9474.4601945602535</v>
      </c>
      <c r="I25" s="369">
        <f t="shared" si="9"/>
        <v>10144.033353186422</v>
      </c>
      <c r="J25" s="369">
        <f t="shared" si="9"/>
        <v>9666.9624776652781</v>
      </c>
      <c r="K25" s="369">
        <f t="shared" si="9"/>
        <v>12202.970815961882</v>
      </c>
      <c r="L25" s="369">
        <f t="shared" si="9"/>
        <v>8670.9724042088546</v>
      </c>
      <c r="M25" s="369">
        <f t="shared" si="9"/>
        <v>7390.4137383363113</v>
      </c>
      <c r="N25" s="369">
        <f t="shared" si="9"/>
        <v>10671.322215604527</v>
      </c>
      <c r="O25" s="369">
        <f t="shared" si="9"/>
        <v>10378.383958705579</v>
      </c>
      <c r="P25" s="369">
        <f t="shared" si="9"/>
        <v>11801.226920786183</v>
      </c>
      <c r="Q25" s="369">
        <f t="shared" si="9"/>
        <v>9231.7399245582692</v>
      </c>
      <c r="R25" s="369">
        <f t="shared" si="6"/>
        <v>119024.9986102839</v>
      </c>
      <c r="S25" s="292">
        <f t="shared" si="3"/>
        <v>0</v>
      </c>
    </row>
    <row r="26" spans="1:19" x14ac:dyDescent="0.2">
      <c r="A26" s="16"/>
      <c r="B26" s="29" t="s">
        <v>358</v>
      </c>
      <c r="C26" s="28">
        <f>C$3*D26</f>
        <v>2011574.9450780384</v>
      </c>
      <c r="D26" s="13">
        <f>[5]Lab!$J$31</f>
        <v>35.106632665108265</v>
      </c>
      <c r="E26" s="7"/>
      <c r="F26" s="376">
        <f>$D26*F$3</f>
        <v>180623.62506198202</v>
      </c>
      <c r="G26" s="376">
        <f t="shared" ref="G26:Q32" si="10">$D26*G$3</f>
        <v>133405.20412741142</v>
      </c>
      <c r="H26" s="376">
        <f t="shared" si="10"/>
        <v>228228.21895586883</v>
      </c>
      <c r="I26" s="376">
        <f t="shared" si="10"/>
        <v>146640.40464215723</v>
      </c>
      <c r="J26" s="376">
        <f t="shared" si="10"/>
        <v>155065.99648178319</v>
      </c>
      <c r="K26" s="376">
        <f t="shared" si="10"/>
        <v>167353.31791457109</v>
      </c>
      <c r="L26" s="376">
        <f t="shared" si="10"/>
        <v>155206.42301244364</v>
      </c>
      <c r="M26" s="376">
        <f t="shared" si="10"/>
        <v>167107.57148591534</v>
      </c>
      <c r="N26" s="376">
        <f t="shared" si="10"/>
        <v>146254.23168284103</v>
      </c>
      <c r="O26" s="376">
        <f t="shared" si="10"/>
        <v>123750.88014450663</v>
      </c>
      <c r="P26" s="376">
        <f t="shared" si="10"/>
        <v>140566.9571910935</v>
      </c>
      <c r="Q26" s="376">
        <f t="shared" si="10"/>
        <v>267372.11437746452</v>
      </c>
      <c r="R26" s="376">
        <f t="shared" si="6"/>
        <v>2011574.9450780386</v>
      </c>
      <c r="S26" s="96">
        <f t="shared" si="3"/>
        <v>0</v>
      </c>
    </row>
    <row r="27" spans="1:19" x14ac:dyDescent="0.2">
      <c r="A27" s="16"/>
      <c r="B27" s="29" t="s">
        <v>359</v>
      </c>
      <c r="C27" s="28">
        <f t="shared" ref="C27:C32" si="11">C$3*D27</f>
        <v>101344.4521735024</v>
      </c>
      <c r="D27" s="13">
        <f>[5]Lab!$J$32</f>
        <v>1.768694954074284</v>
      </c>
      <c r="E27" s="7"/>
      <c r="F27" s="376">
        <f t="shared" ref="F27:F32" si="12">$D27*F$3</f>
        <v>9099.9355387121905</v>
      </c>
      <c r="G27" s="376">
        <f t="shared" si="10"/>
        <v>6721.0408254822796</v>
      </c>
      <c r="H27" s="376">
        <f t="shared" si="10"/>
        <v>11498.285896436921</v>
      </c>
      <c r="I27" s="376">
        <f t="shared" si="10"/>
        <v>7387.8388231682839</v>
      </c>
      <c r="J27" s="376">
        <f t="shared" si="10"/>
        <v>7812.3256121461127</v>
      </c>
      <c r="K27" s="376">
        <f t="shared" si="10"/>
        <v>8431.3688460721114</v>
      </c>
      <c r="L27" s="376">
        <f t="shared" si="10"/>
        <v>7819.4003919624092</v>
      </c>
      <c r="M27" s="376">
        <f t="shared" si="10"/>
        <v>8418.9879813935913</v>
      </c>
      <c r="N27" s="376">
        <f t="shared" si="10"/>
        <v>7368.3831786734672</v>
      </c>
      <c r="O27" s="376">
        <f t="shared" si="10"/>
        <v>6234.6497131118513</v>
      </c>
      <c r="P27" s="376">
        <f t="shared" si="10"/>
        <v>7081.8545961134332</v>
      </c>
      <c r="Q27" s="376">
        <f t="shared" si="10"/>
        <v>13470.380770229747</v>
      </c>
      <c r="R27" s="376">
        <f t="shared" si="6"/>
        <v>101344.4521735024</v>
      </c>
      <c r="S27" s="96">
        <f t="shared" si="3"/>
        <v>0</v>
      </c>
    </row>
    <row r="28" spans="1:19" x14ac:dyDescent="0.2">
      <c r="A28" s="16"/>
      <c r="B28" s="29" t="s">
        <v>372</v>
      </c>
      <c r="C28" s="28">
        <f t="shared" si="11"/>
        <v>466125.49115723366</v>
      </c>
      <c r="D28" s="13">
        <f>[5]Lab!$J$33</f>
        <v>8.1349672971122295</v>
      </c>
      <c r="E28" s="7"/>
      <c r="F28" s="376">
        <f t="shared" si="12"/>
        <v>41854.406743642423</v>
      </c>
      <c r="G28" s="376">
        <f t="shared" si="10"/>
        <v>30912.875729026473</v>
      </c>
      <c r="H28" s="376">
        <f t="shared" si="10"/>
        <v>52885.422398526607</v>
      </c>
      <c r="I28" s="376">
        <f t="shared" si="10"/>
        <v>33979.758400037783</v>
      </c>
      <c r="J28" s="376">
        <f t="shared" si="10"/>
        <v>35932.150551344719</v>
      </c>
      <c r="K28" s="376">
        <f t="shared" si="10"/>
        <v>38779.389105333998</v>
      </c>
      <c r="L28" s="376">
        <f t="shared" si="10"/>
        <v>35964.690420533167</v>
      </c>
      <c r="M28" s="376">
        <f t="shared" si="10"/>
        <v>38722.444334254214</v>
      </c>
      <c r="N28" s="376">
        <f t="shared" si="10"/>
        <v>33890.273759769545</v>
      </c>
      <c r="O28" s="376">
        <f t="shared" si="10"/>
        <v>28675.75972232061</v>
      </c>
      <c r="P28" s="376">
        <f t="shared" si="10"/>
        <v>32572.409057637367</v>
      </c>
      <c r="Q28" s="376">
        <f t="shared" si="10"/>
        <v>61955.910934806743</v>
      </c>
      <c r="R28" s="376">
        <f t="shared" si="6"/>
        <v>466125.49115723372</v>
      </c>
      <c r="S28" s="96">
        <f t="shared" si="3"/>
        <v>0</v>
      </c>
    </row>
    <row r="29" spans="1:19" x14ac:dyDescent="0.2">
      <c r="A29" s="16"/>
      <c r="B29" s="29" t="s">
        <v>373</v>
      </c>
      <c r="C29" s="28">
        <f t="shared" si="11"/>
        <v>0</v>
      </c>
      <c r="D29" s="13">
        <v>0</v>
      </c>
      <c r="E29" s="7"/>
      <c r="F29" s="376">
        <f t="shared" si="12"/>
        <v>0</v>
      </c>
      <c r="G29" s="376">
        <f t="shared" si="10"/>
        <v>0</v>
      </c>
      <c r="H29" s="376">
        <f t="shared" si="10"/>
        <v>0</v>
      </c>
      <c r="I29" s="376">
        <f t="shared" si="10"/>
        <v>0</v>
      </c>
      <c r="J29" s="376">
        <f t="shared" si="10"/>
        <v>0</v>
      </c>
      <c r="K29" s="376">
        <f t="shared" si="10"/>
        <v>0</v>
      </c>
      <c r="L29" s="376">
        <f t="shared" si="10"/>
        <v>0</v>
      </c>
      <c r="M29" s="376">
        <f t="shared" si="10"/>
        <v>0</v>
      </c>
      <c r="N29" s="376">
        <f t="shared" si="10"/>
        <v>0</v>
      </c>
      <c r="O29" s="376">
        <f t="shared" si="10"/>
        <v>0</v>
      </c>
      <c r="P29" s="376">
        <f t="shared" si="10"/>
        <v>0</v>
      </c>
      <c r="Q29" s="376">
        <f t="shared" si="10"/>
        <v>0</v>
      </c>
      <c r="R29" s="376">
        <f t="shared" si="6"/>
        <v>0</v>
      </c>
      <c r="S29" s="96">
        <f t="shared" si="3"/>
        <v>0</v>
      </c>
    </row>
    <row r="30" spans="1:19" x14ac:dyDescent="0.2">
      <c r="A30" s="163"/>
      <c r="B30" s="29" t="s">
        <v>361</v>
      </c>
      <c r="C30" s="28">
        <f t="shared" si="11"/>
        <v>161433.24551958631</v>
      </c>
      <c r="D30" s="13">
        <f>[5]Lab!$J$34+[5]Lab!$J$35</f>
        <v>2.8173832967344334</v>
      </c>
      <c r="E30" s="7"/>
      <c r="F30" s="376">
        <f t="shared" si="12"/>
        <v>14495.43706169866</v>
      </c>
      <c r="G30" s="376">
        <f t="shared" si="10"/>
        <v>10706.056527590847</v>
      </c>
      <c r="H30" s="376">
        <f t="shared" si="10"/>
        <v>18315.808812070551</v>
      </c>
      <c r="I30" s="376">
        <f t="shared" si="10"/>
        <v>11768.210030459728</v>
      </c>
      <c r="J30" s="376">
        <f t="shared" si="10"/>
        <v>12444.382021675992</v>
      </c>
      <c r="K30" s="376">
        <f t="shared" si="10"/>
        <v>13430.466175533043</v>
      </c>
      <c r="L30" s="376">
        <f t="shared" si="10"/>
        <v>12455.65155486293</v>
      </c>
      <c r="M30" s="376">
        <f t="shared" si="10"/>
        <v>13410.744492455904</v>
      </c>
      <c r="N30" s="376">
        <f t="shared" si="10"/>
        <v>11737.21881419565</v>
      </c>
      <c r="O30" s="376">
        <f t="shared" si="10"/>
        <v>9931.2761209888777</v>
      </c>
      <c r="P30" s="376">
        <f t="shared" si="10"/>
        <v>11280.802720124671</v>
      </c>
      <c r="Q30" s="376">
        <f t="shared" si="10"/>
        <v>21457.191187929446</v>
      </c>
      <c r="R30" s="376">
        <f t="shared" si="6"/>
        <v>161433.24551958629</v>
      </c>
      <c r="S30" s="96">
        <f t="shared" si="3"/>
        <v>0</v>
      </c>
    </row>
    <row r="31" spans="1:19" x14ac:dyDescent="0.2">
      <c r="A31" s="163"/>
      <c r="B31" s="29" t="s">
        <v>360</v>
      </c>
      <c r="C31" s="28">
        <f t="shared" si="11"/>
        <v>1079694.6724516542</v>
      </c>
      <c r="D31" s="13">
        <f>[5]Lab!$J$36</f>
        <v>18.843167811858045</v>
      </c>
      <c r="E31" s="7"/>
      <c r="F31" s="376">
        <f t="shared" si="12"/>
        <v>96948.098392009648</v>
      </c>
      <c r="G31" s="376">
        <f t="shared" si="10"/>
        <v>71604.037685060568</v>
      </c>
      <c r="H31" s="376">
        <f t="shared" si="10"/>
        <v>122499.43394488916</v>
      </c>
      <c r="I31" s="376">
        <f t="shared" si="10"/>
        <v>78707.911950131049</v>
      </c>
      <c r="J31" s="376">
        <f t="shared" si="10"/>
        <v>83230.272224976987</v>
      </c>
      <c r="K31" s="376">
        <f t="shared" si="10"/>
        <v>89825.380959127302</v>
      </c>
      <c r="L31" s="376">
        <f t="shared" si="10"/>
        <v>83305.644896224418</v>
      </c>
      <c r="M31" s="376">
        <f t="shared" si="10"/>
        <v>89693.478784444291</v>
      </c>
      <c r="N31" s="376">
        <f t="shared" si="10"/>
        <v>78500.637104200621</v>
      </c>
      <c r="O31" s="376">
        <f t="shared" si="10"/>
        <v>66422.166536799603</v>
      </c>
      <c r="P31" s="376">
        <f t="shared" si="10"/>
        <v>75448.043918679614</v>
      </c>
      <c r="Q31" s="376">
        <f t="shared" si="10"/>
        <v>143509.56605511086</v>
      </c>
      <c r="R31" s="376">
        <f t="shared" ref="R31:R32" si="13">SUM(F31:Q31)</f>
        <v>1079694.672451654</v>
      </c>
      <c r="S31" s="96">
        <f t="shared" si="3"/>
        <v>0</v>
      </c>
    </row>
    <row r="32" spans="1:19" x14ac:dyDescent="0.2">
      <c r="A32" s="163"/>
      <c r="B32" s="29" t="s">
        <v>362</v>
      </c>
      <c r="C32" s="28">
        <f t="shared" si="11"/>
        <v>386211.84722910909</v>
      </c>
      <c r="D32" s="13">
        <f>[5]Lab!$J$37</f>
        <v>6.7402894854903073</v>
      </c>
      <c r="E32" s="7"/>
      <c r="F32" s="376">
        <f t="shared" si="12"/>
        <v>34678.789402847629</v>
      </c>
      <c r="G32" s="376">
        <f t="shared" si="10"/>
        <v>25613.100044863168</v>
      </c>
      <c r="H32" s="376">
        <f t="shared" si="10"/>
        <v>43818.62194517249</v>
      </c>
      <c r="I32" s="376">
        <f t="shared" si="10"/>
        <v>28154.189180893012</v>
      </c>
      <c r="J32" s="376">
        <f t="shared" si="10"/>
        <v>29771.858657410688</v>
      </c>
      <c r="K32" s="376">
        <f t="shared" si="10"/>
        <v>32130.959977332295</v>
      </c>
      <c r="L32" s="376">
        <f t="shared" si="10"/>
        <v>29798.81981535265</v>
      </c>
      <c r="M32" s="376">
        <f t="shared" si="10"/>
        <v>32083.777950933862</v>
      </c>
      <c r="N32" s="376">
        <f t="shared" si="10"/>
        <v>28080.045996552621</v>
      </c>
      <c r="O32" s="376">
        <f t="shared" si="10"/>
        <v>23759.520436353334</v>
      </c>
      <c r="P32" s="376">
        <f t="shared" si="10"/>
        <v>26988.11909990319</v>
      </c>
      <c r="Q32" s="376">
        <f t="shared" si="10"/>
        <v>51334.044721494181</v>
      </c>
      <c r="R32" s="376">
        <f t="shared" si="13"/>
        <v>386211.84722910915</v>
      </c>
      <c r="S32" s="96">
        <f t="shared" si="3"/>
        <v>0</v>
      </c>
    </row>
    <row r="33" spans="1:20" x14ac:dyDescent="0.2">
      <c r="A33" s="90">
        <v>31200.030999999999</v>
      </c>
      <c r="B33" s="161" t="s">
        <v>445</v>
      </c>
      <c r="C33" s="293">
        <f>SUM(C26:C32)</f>
        <v>4206384.653609124</v>
      </c>
      <c r="D33" s="292"/>
      <c r="E33" s="292"/>
      <c r="F33" s="369">
        <f>SUM(F26:F32)</f>
        <v>377700.29220089258</v>
      </c>
      <c r="G33" s="369">
        <f t="shared" ref="G33:Q33" si="14">SUM(G26:G32)</f>
        <v>278962.31493943476</v>
      </c>
      <c r="H33" s="369">
        <f t="shared" si="14"/>
        <v>477245.79195296462</v>
      </c>
      <c r="I33" s="369">
        <f t="shared" si="14"/>
        <v>306638.31302684708</v>
      </c>
      <c r="J33" s="369">
        <f t="shared" si="14"/>
        <v>324256.9855493377</v>
      </c>
      <c r="K33" s="369">
        <f t="shared" si="14"/>
        <v>349950.88297796983</v>
      </c>
      <c r="L33" s="369">
        <f t="shared" si="14"/>
        <v>324550.63009137922</v>
      </c>
      <c r="M33" s="369">
        <f t="shared" si="14"/>
        <v>349437.0050293972</v>
      </c>
      <c r="N33" s="369">
        <f t="shared" si="14"/>
        <v>305830.79053623293</v>
      </c>
      <c r="O33" s="369">
        <f t="shared" si="14"/>
        <v>258774.25267408093</v>
      </c>
      <c r="P33" s="369">
        <f t="shared" si="14"/>
        <v>293938.18658355175</v>
      </c>
      <c r="Q33" s="369">
        <f t="shared" si="14"/>
        <v>559099.2080470355</v>
      </c>
      <c r="R33" s="369">
        <f t="shared" ref="R33" si="15">SUM(F33:Q33)</f>
        <v>4206384.653609124</v>
      </c>
      <c r="S33" s="292">
        <f t="shared" si="3"/>
        <v>0</v>
      </c>
    </row>
    <row r="34" spans="1:20" s="5" customFormat="1" x14ac:dyDescent="0.2">
      <c r="A34" s="11"/>
      <c r="B34" s="10" t="s">
        <v>0</v>
      </c>
      <c r="C34" s="293">
        <f>C17+C25+C33</f>
        <v>4886309.0998072578</v>
      </c>
      <c r="D34" s="292">
        <f>SUM(D10:D32)</f>
        <v>121.22243191696879</v>
      </c>
      <c r="E34" s="292"/>
      <c r="F34" s="369">
        <f>F17+F25+F33</f>
        <v>425702.83379311016</v>
      </c>
      <c r="G34" s="369">
        <f t="shared" ref="G34:Q34" si="16">G17+G25+G33</f>
        <v>341738.54712128901</v>
      </c>
      <c r="H34" s="369">
        <f t="shared" si="16"/>
        <v>531368.17948522593</v>
      </c>
      <c r="I34" s="369">
        <f t="shared" si="16"/>
        <v>364585.60427163565</v>
      </c>
      <c r="J34" s="369">
        <f t="shared" si="16"/>
        <v>379479.03289895057</v>
      </c>
      <c r="K34" s="369">
        <f t="shared" si="16"/>
        <v>419659.75313877984</v>
      </c>
      <c r="L34" s="369">
        <f t="shared" si="16"/>
        <v>374083.13316860772</v>
      </c>
      <c r="M34" s="369">
        <f t="shared" si="16"/>
        <v>391654.37975641724</v>
      </c>
      <c r="N34" s="369">
        <f t="shared" si="16"/>
        <v>366790.19345463673</v>
      </c>
      <c r="O34" s="369">
        <f t="shared" si="16"/>
        <v>318060.26021825406</v>
      </c>
      <c r="P34" s="369">
        <f t="shared" si="16"/>
        <v>361352.11451684538</v>
      </c>
      <c r="Q34" s="369">
        <f t="shared" si="16"/>
        <v>611835.06798350567</v>
      </c>
      <c r="R34" s="369">
        <f t="shared" si="6"/>
        <v>4886309.0998072568</v>
      </c>
      <c r="S34" s="292">
        <f t="shared" si="3"/>
        <v>0</v>
      </c>
      <c r="T34" s="6"/>
    </row>
    <row r="35" spans="1:20" x14ac:dyDescent="0.2">
      <c r="F35" s="160"/>
      <c r="G35" s="160"/>
      <c r="H35" s="160"/>
      <c r="I35" s="160"/>
      <c r="J35" s="160"/>
      <c r="K35" s="160"/>
      <c r="L35" s="160"/>
      <c r="M35" s="160"/>
      <c r="N35" s="160"/>
      <c r="O35" s="160"/>
      <c r="P35" s="160"/>
      <c r="Q35" s="160"/>
      <c r="R35" s="160"/>
    </row>
    <row r="36" spans="1:20" x14ac:dyDescent="0.2">
      <c r="A36" s="711" t="s">
        <v>25</v>
      </c>
      <c r="B36" s="711"/>
      <c r="C36" s="711"/>
      <c r="D36" s="711"/>
      <c r="E36" s="37"/>
      <c r="F36" s="160"/>
      <c r="G36" s="160"/>
      <c r="H36" s="160"/>
      <c r="I36" s="160"/>
      <c r="J36" s="160"/>
      <c r="K36" s="160"/>
      <c r="L36" s="160"/>
      <c r="M36" s="160"/>
      <c r="N36" s="160"/>
      <c r="O36" s="160"/>
      <c r="P36" s="160"/>
      <c r="Q36" s="160"/>
      <c r="R36" s="160"/>
    </row>
    <row r="37" spans="1:20" s="151" customFormat="1" x14ac:dyDescent="0.2">
      <c r="A37" s="21"/>
      <c r="B37" s="10" t="s">
        <v>438</v>
      </c>
      <c r="C37" s="78"/>
      <c r="D37" s="168" t="s">
        <v>439</v>
      </c>
      <c r="E37" s="140"/>
      <c r="F37" s="277"/>
      <c r="G37" s="277"/>
      <c r="H37" s="277"/>
      <c r="I37" s="277"/>
      <c r="J37" s="277"/>
      <c r="K37" s="277"/>
      <c r="L37" s="277"/>
      <c r="M37" s="277"/>
      <c r="N37" s="277"/>
      <c r="O37" s="277"/>
      <c r="P37" s="277"/>
      <c r="Q37" s="277"/>
      <c r="R37" s="277"/>
      <c r="S37" s="164"/>
      <c r="T37" s="164"/>
    </row>
    <row r="38" spans="1:20" s="92" customFormat="1" x14ac:dyDescent="0.2">
      <c r="A38" s="87">
        <v>41101.031000000003</v>
      </c>
      <c r="B38" s="15" t="s">
        <v>22</v>
      </c>
      <c r="C38" s="428">
        <f>[6]Lab!$J$15</f>
        <v>418436.34083147068</v>
      </c>
      <c r="D38" s="433">
        <f>$C38/C$6</f>
        <v>21.287970127771199</v>
      </c>
      <c r="E38" s="120"/>
      <c r="F38" s="373">
        <f>$D38*F$6</f>
        <v>35538.428947330387</v>
      </c>
      <c r="G38" s="373">
        <f t="shared" ref="G38:Q38" si="17">$D38*G$6</f>
        <v>34392.02801354554</v>
      </c>
      <c r="H38" s="373">
        <f t="shared" si="17"/>
        <v>35538.428947330387</v>
      </c>
      <c r="I38" s="373">
        <f t="shared" si="17"/>
        <v>35538.428947330387</v>
      </c>
      <c r="J38" s="373">
        <f t="shared" si="17"/>
        <v>32099.226145975834</v>
      </c>
      <c r="K38" s="373">
        <f t="shared" si="17"/>
        <v>35538.428947330387</v>
      </c>
      <c r="L38" s="373">
        <f t="shared" si="17"/>
        <v>34392.02801354554</v>
      </c>
      <c r="M38" s="373">
        <f t="shared" si="17"/>
        <v>35538.428947330387</v>
      </c>
      <c r="N38" s="373">
        <f t="shared" si="17"/>
        <v>34392.02801354554</v>
      </c>
      <c r="O38" s="373">
        <f t="shared" si="17"/>
        <v>35538.428947330387</v>
      </c>
      <c r="P38" s="373">
        <f t="shared" si="17"/>
        <v>35538.428947330387</v>
      </c>
      <c r="Q38" s="373">
        <f t="shared" si="17"/>
        <v>34392.02801354554</v>
      </c>
      <c r="R38" s="376">
        <f t="shared" ref="R38:R63" si="18">SUM(F38:Q38)</f>
        <v>418436.34083147079</v>
      </c>
      <c r="S38" s="3">
        <f t="shared" ref="S38:S46" si="19">C38-R38</f>
        <v>0</v>
      </c>
      <c r="T38" s="91"/>
    </row>
    <row r="39" spans="1:20" s="92" customFormat="1" x14ac:dyDescent="0.2">
      <c r="A39" s="87">
        <v>41110.031000000003</v>
      </c>
      <c r="B39" s="15" t="s">
        <v>21</v>
      </c>
      <c r="C39" s="428">
        <f>[6]Lab!$J$16</f>
        <v>46492.926759052294</v>
      </c>
      <c r="D39" s="433">
        <f t="shared" ref="D39:D42" si="20">$C39/C$6</f>
        <v>2.3653300141967994</v>
      </c>
      <c r="E39" s="120"/>
      <c r="F39" s="373">
        <f t="shared" ref="F39:Q42" si="21">$D39*F$6</f>
        <v>3948.7143274811533</v>
      </c>
      <c r="G39" s="373">
        <f t="shared" si="21"/>
        <v>3821.3364459495033</v>
      </c>
      <c r="H39" s="373">
        <f t="shared" si="21"/>
        <v>3948.7143274811533</v>
      </c>
      <c r="I39" s="373">
        <f t="shared" si="21"/>
        <v>3948.7143274811533</v>
      </c>
      <c r="J39" s="373">
        <f t="shared" si="21"/>
        <v>3566.5806828862032</v>
      </c>
      <c r="K39" s="373">
        <f t="shared" si="21"/>
        <v>3948.7143274811533</v>
      </c>
      <c r="L39" s="373">
        <f t="shared" si="21"/>
        <v>3821.3364459495033</v>
      </c>
      <c r="M39" s="373">
        <f t="shared" si="21"/>
        <v>3948.7143274811533</v>
      </c>
      <c r="N39" s="373">
        <f t="shared" si="21"/>
        <v>3821.3364459495033</v>
      </c>
      <c r="O39" s="373">
        <f t="shared" si="21"/>
        <v>3948.7143274811533</v>
      </c>
      <c r="P39" s="373">
        <f t="shared" si="21"/>
        <v>3948.7143274811533</v>
      </c>
      <c r="Q39" s="373">
        <f t="shared" si="21"/>
        <v>3821.3364459495033</v>
      </c>
      <c r="R39" s="376">
        <f t="shared" si="18"/>
        <v>46492.926759052294</v>
      </c>
      <c r="S39" s="3">
        <f t="shared" si="19"/>
        <v>0</v>
      </c>
      <c r="T39" s="91"/>
    </row>
    <row r="40" spans="1:20" s="92" customFormat="1" x14ac:dyDescent="0.2">
      <c r="A40" s="87">
        <v>41150.031000000003</v>
      </c>
      <c r="B40" s="15" t="s">
        <v>19</v>
      </c>
      <c r="C40" s="428">
        <f>[6]Lab!$J$18</f>
        <v>35664.626470675001</v>
      </c>
      <c r="D40" s="433">
        <f t="shared" si="20"/>
        <v>1.8144396861352767</v>
      </c>
      <c r="E40" s="120"/>
      <c r="F40" s="373">
        <f t="shared" si="21"/>
        <v>3029.0504673723972</v>
      </c>
      <c r="G40" s="373">
        <f t="shared" si="21"/>
        <v>2931.3391619732874</v>
      </c>
      <c r="H40" s="373">
        <f t="shared" si="21"/>
        <v>3029.0504673723972</v>
      </c>
      <c r="I40" s="373">
        <f t="shared" si="21"/>
        <v>3029.0504673723972</v>
      </c>
      <c r="J40" s="373">
        <f t="shared" si="21"/>
        <v>2735.9165511750684</v>
      </c>
      <c r="K40" s="373">
        <f t="shared" si="21"/>
        <v>3029.0504673723972</v>
      </c>
      <c r="L40" s="373">
        <f t="shared" si="21"/>
        <v>2931.3391619732874</v>
      </c>
      <c r="M40" s="373">
        <f t="shared" si="21"/>
        <v>3029.0504673723972</v>
      </c>
      <c r="N40" s="373">
        <f t="shared" si="21"/>
        <v>2931.3391619732874</v>
      </c>
      <c r="O40" s="373">
        <f t="shared" si="21"/>
        <v>3029.0504673723972</v>
      </c>
      <c r="P40" s="373">
        <f t="shared" si="21"/>
        <v>3029.0504673723972</v>
      </c>
      <c r="Q40" s="373">
        <f t="shared" si="21"/>
        <v>2931.3391619732874</v>
      </c>
      <c r="R40" s="376">
        <f t="shared" si="18"/>
        <v>35664.626470675001</v>
      </c>
      <c r="S40" s="3">
        <f t="shared" si="19"/>
        <v>0</v>
      </c>
      <c r="T40" s="91"/>
    </row>
    <row r="41" spans="1:20" s="92" customFormat="1" x14ac:dyDescent="0.2">
      <c r="A41" s="87">
        <v>41152.031000000003</v>
      </c>
      <c r="B41" s="15" t="s">
        <v>18</v>
      </c>
      <c r="C41" s="428"/>
      <c r="D41" s="433">
        <f t="shared" si="20"/>
        <v>0</v>
      </c>
      <c r="E41" s="120"/>
      <c r="F41" s="373">
        <f t="shared" si="21"/>
        <v>0</v>
      </c>
      <c r="G41" s="373">
        <f t="shared" si="21"/>
        <v>0</v>
      </c>
      <c r="H41" s="373">
        <f t="shared" si="21"/>
        <v>0</v>
      </c>
      <c r="I41" s="373">
        <f t="shared" si="21"/>
        <v>0</v>
      </c>
      <c r="J41" s="373">
        <f t="shared" si="21"/>
        <v>0</v>
      </c>
      <c r="K41" s="373">
        <f t="shared" si="21"/>
        <v>0</v>
      </c>
      <c r="L41" s="373">
        <f t="shared" si="21"/>
        <v>0</v>
      </c>
      <c r="M41" s="373">
        <f t="shared" si="21"/>
        <v>0</v>
      </c>
      <c r="N41" s="373">
        <f t="shared" si="21"/>
        <v>0</v>
      </c>
      <c r="O41" s="373">
        <f t="shared" si="21"/>
        <v>0</v>
      </c>
      <c r="P41" s="373">
        <f t="shared" si="21"/>
        <v>0</v>
      </c>
      <c r="Q41" s="373">
        <f t="shared" si="21"/>
        <v>0</v>
      </c>
      <c r="R41" s="376">
        <f t="shared" si="18"/>
        <v>0</v>
      </c>
      <c r="S41" s="3">
        <f t="shared" si="19"/>
        <v>0</v>
      </c>
      <c r="T41" s="91"/>
    </row>
    <row r="42" spans="1:20" s="92" customFormat="1" x14ac:dyDescent="0.2">
      <c r="A42" s="87">
        <v>41115.031000000003</v>
      </c>
      <c r="B42" s="15" t="s">
        <v>20</v>
      </c>
      <c r="C42" s="428">
        <f>[6]Lab!$J$17</f>
        <v>1275</v>
      </c>
      <c r="D42" s="433">
        <f t="shared" si="20"/>
        <v>6.4865689865689871E-2</v>
      </c>
      <c r="E42" s="120"/>
      <c r="F42" s="373">
        <f t="shared" si="21"/>
        <v>108.28767123287672</v>
      </c>
      <c r="G42" s="373">
        <f t="shared" si="21"/>
        <v>104.79452054794521</v>
      </c>
      <c r="H42" s="373">
        <f t="shared" si="21"/>
        <v>108.28767123287672</v>
      </c>
      <c r="I42" s="373">
        <f t="shared" si="21"/>
        <v>108.28767123287672</v>
      </c>
      <c r="J42" s="373">
        <f t="shared" si="21"/>
        <v>97.808219178082197</v>
      </c>
      <c r="K42" s="373">
        <f t="shared" si="21"/>
        <v>108.28767123287672</v>
      </c>
      <c r="L42" s="373">
        <f t="shared" si="21"/>
        <v>104.79452054794521</v>
      </c>
      <c r="M42" s="373">
        <f t="shared" si="21"/>
        <v>108.28767123287672</v>
      </c>
      <c r="N42" s="373">
        <f t="shared" si="21"/>
        <v>104.79452054794521</v>
      </c>
      <c r="O42" s="373">
        <f t="shared" si="21"/>
        <v>108.28767123287672</v>
      </c>
      <c r="P42" s="373">
        <f t="shared" si="21"/>
        <v>108.28767123287672</v>
      </c>
      <c r="Q42" s="373">
        <f t="shared" si="21"/>
        <v>104.79452054794521</v>
      </c>
      <c r="R42" s="376">
        <f t="shared" si="18"/>
        <v>1275</v>
      </c>
      <c r="S42" s="3">
        <f t="shared" si="19"/>
        <v>0</v>
      </c>
      <c r="T42" s="91"/>
    </row>
    <row r="43" spans="1:20" s="92" customFormat="1" x14ac:dyDescent="0.2">
      <c r="A43" s="87">
        <v>41225.031000000003</v>
      </c>
      <c r="B43" s="15" t="s">
        <v>441</v>
      </c>
      <c r="C43" s="14">
        <f>[6]Lab!$J$19</f>
        <v>250000</v>
      </c>
      <c r="D43" s="329">
        <f t="shared" ref="D43:D62" si="22">$C43/C$4</f>
        <v>3.4955257270693512</v>
      </c>
      <c r="E43" s="120"/>
      <c r="F43" s="373">
        <f t="shared" ref="F43:Q62" si="23">$D43*F$4</f>
        <v>21493.987695749442</v>
      </c>
      <c r="G43" s="373">
        <f t="shared" ref="G43:Q53" si="24">$D43*G$4</f>
        <v>17872.623042505591</v>
      </c>
      <c r="H43" s="373">
        <f t="shared" si="24"/>
        <v>26681.347874720359</v>
      </c>
      <c r="I43" s="373">
        <f t="shared" si="24"/>
        <v>18837.388143176733</v>
      </c>
      <c r="J43" s="373">
        <f t="shared" si="24"/>
        <v>19477.069351230424</v>
      </c>
      <c r="K43" s="373">
        <f t="shared" si="24"/>
        <v>21759.647651006711</v>
      </c>
      <c r="L43" s="373">
        <f t="shared" si="24"/>
        <v>19075.083892617451</v>
      </c>
      <c r="M43" s="373">
        <f t="shared" si="24"/>
        <v>19725.25167785235</v>
      </c>
      <c r="N43" s="373">
        <f t="shared" si="24"/>
        <v>19019.15548098434</v>
      </c>
      <c r="O43" s="373">
        <f t="shared" si="24"/>
        <v>16656.180089485457</v>
      </c>
      <c r="P43" s="373">
        <f t="shared" si="24"/>
        <v>18924.776286353466</v>
      </c>
      <c r="Q43" s="373">
        <f t="shared" si="24"/>
        <v>30477.488814317672</v>
      </c>
      <c r="R43" s="376">
        <f t="shared" si="18"/>
        <v>250000.00000000003</v>
      </c>
      <c r="S43" s="3">
        <f t="shared" si="19"/>
        <v>0</v>
      </c>
      <c r="T43" s="91"/>
    </row>
    <row r="44" spans="1:20" s="92" customFormat="1" x14ac:dyDescent="0.2">
      <c r="A44" s="87">
        <v>41237.031000000003</v>
      </c>
      <c r="B44" s="15" t="s">
        <v>17</v>
      </c>
      <c r="C44" s="14">
        <f>[6]Lab!$J$20</f>
        <v>46600</v>
      </c>
      <c r="D44" s="329">
        <f t="shared" si="22"/>
        <v>0.65156599552572703</v>
      </c>
      <c r="E44" s="120"/>
      <c r="F44" s="373">
        <f t="shared" si="23"/>
        <v>4006.4793064876953</v>
      </c>
      <c r="G44" s="373">
        <f t="shared" si="24"/>
        <v>3331.4569351230425</v>
      </c>
      <c r="H44" s="373">
        <f t="shared" si="24"/>
        <v>4973.4032438478744</v>
      </c>
      <c r="I44" s="373">
        <f t="shared" si="24"/>
        <v>3511.2891498881431</v>
      </c>
      <c r="J44" s="373">
        <f t="shared" si="24"/>
        <v>3630.525727069351</v>
      </c>
      <c r="K44" s="373">
        <f t="shared" si="24"/>
        <v>4055.9983221476509</v>
      </c>
      <c r="L44" s="373">
        <f t="shared" si="24"/>
        <v>3555.5956375838923</v>
      </c>
      <c r="M44" s="373">
        <f t="shared" si="24"/>
        <v>3676.7869127516774</v>
      </c>
      <c r="N44" s="373">
        <f t="shared" si="24"/>
        <v>3545.1705816554809</v>
      </c>
      <c r="O44" s="373">
        <f t="shared" si="24"/>
        <v>3104.7119686800893</v>
      </c>
      <c r="P44" s="373">
        <f t="shared" si="24"/>
        <v>3527.5782997762863</v>
      </c>
      <c r="Q44" s="373">
        <f t="shared" si="24"/>
        <v>5681.0039149888144</v>
      </c>
      <c r="R44" s="376">
        <f t="shared" si="18"/>
        <v>46600</v>
      </c>
      <c r="S44" s="3">
        <f t="shared" si="19"/>
        <v>0</v>
      </c>
      <c r="T44" s="91"/>
    </row>
    <row r="45" spans="1:20" s="92" customFormat="1" x14ac:dyDescent="0.2">
      <c r="A45" s="87">
        <v>41246.031000000003</v>
      </c>
      <c r="B45" s="15" t="s">
        <v>16</v>
      </c>
      <c r="C45" s="14">
        <f>[6]Lab!$J$21</f>
        <v>590</v>
      </c>
      <c r="D45" s="329">
        <f t="shared" si="22"/>
        <v>8.2494407158836686E-3</v>
      </c>
      <c r="E45" s="120"/>
      <c r="F45" s="373">
        <f t="shared" si="23"/>
        <v>50.725810961968676</v>
      </c>
      <c r="G45" s="373">
        <f t="shared" si="24"/>
        <v>42.179390380313194</v>
      </c>
      <c r="H45" s="373">
        <f t="shared" si="24"/>
        <v>62.967980984340045</v>
      </c>
      <c r="I45" s="373">
        <f t="shared" si="24"/>
        <v>44.456236017897091</v>
      </c>
      <c r="J45" s="373">
        <f t="shared" si="24"/>
        <v>45.9658836689038</v>
      </c>
      <c r="K45" s="373">
        <f t="shared" si="24"/>
        <v>51.352768456375834</v>
      </c>
      <c r="L45" s="373">
        <f t="shared" si="24"/>
        <v>45.01719798657718</v>
      </c>
      <c r="M45" s="373">
        <f t="shared" si="24"/>
        <v>46.551593959731541</v>
      </c>
      <c r="N45" s="373">
        <f t="shared" si="24"/>
        <v>44.885206935123044</v>
      </c>
      <c r="O45" s="373">
        <f t="shared" si="24"/>
        <v>39.308585011185677</v>
      </c>
      <c r="P45" s="373">
        <f t="shared" si="24"/>
        <v>44.662472035794181</v>
      </c>
      <c r="Q45" s="373">
        <f t="shared" si="24"/>
        <v>71.926873601789708</v>
      </c>
      <c r="R45" s="376">
        <f t="shared" si="18"/>
        <v>590</v>
      </c>
      <c r="S45" s="3">
        <f t="shared" si="19"/>
        <v>0</v>
      </c>
      <c r="T45" s="91"/>
    </row>
    <row r="46" spans="1:20" s="92" customFormat="1" x14ac:dyDescent="0.2">
      <c r="A46" s="87">
        <v>41250.031000000003</v>
      </c>
      <c r="B46" s="15" t="s">
        <v>15</v>
      </c>
      <c r="C46" s="14"/>
      <c r="D46" s="329">
        <f t="shared" si="22"/>
        <v>0</v>
      </c>
      <c r="E46" s="120"/>
      <c r="F46" s="373">
        <f t="shared" si="23"/>
        <v>0</v>
      </c>
      <c r="G46" s="373">
        <f t="shared" si="24"/>
        <v>0</v>
      </c>
      <c r="H46" s="373">
        <f t="shared" si="24"/>
        <v>0</v>
      </c>
      <c r="I46" s="373">
        <f t="shared" si="24"/>
        <v>0</v>
      </c>
      <c r="J46" s="373">
        <f t="shared" si="24"/>
        <v>0</v>
      </c>
      <c r="K46" s="373">
        <f t="shared" si="24"/>
        <v>0</v>
      </c>
      <c r="L46" s="373">
        <f t="shared" si="24"/>
        <v>0</v>
      </c>
      <c r="M46" s="373">
        <f t="shared" si="24"/>
        <v>0</v>
      </c>
      <c r="N46" s="373">
        <f t="shared" si="24"/>
        <v>0</v>
      </c>
      <c r="O46" s="373">
        <f t="shared" si="24"/>
        <v>0</v>
      </c>
      <c r="P46" s="373">
        <f t="shared" si="24"/>
        <v>0</v>
      </c>
      <c r="Q46" s="373">
        <f t="shared" si="24"/>
        <v>0</v>
      </c>
      <c r="R46" s="376">
        <f t="shared" si="18"/>
        <v>0</v>
      </c>
      <c r="S46" s="3">
        <f t="shared" si="19"/>
        <v>0</v>
      </c>
      <c r="T46" s="91"/>
    </row>
    <row r="47" spans="1:20" s="92" customFormat="1" x14ac:dyDescent="0.2">
      <c r="A47" s="87">
        <v>41260.031000000003</v>
      </c>
      <c r="B47" s="15" t="s">
        <v>14</v>
      </c>
      <c r="C47" s="14"/>
      <c r="D47" s="329">
        <f t="shared" si="22"/>
        <v>0</v>
      </c>
      <c r="E47" s="120"/>
      <c r="F47" s="373">
        <f t="shared" si="23"/>
        <v>0</v>
      </c>
      <c r="G47" s="373">
        <f t="shared" si="24"/>
        <v>0</v>
      </c>
      <c r="H47" s="373">
        <f t="shared" si="24"/>
        <v>0</v>
      </c>
      <c r="I47" s="373">
        <f t="shared" si="24"/>
        <v>0</v>
      </c>
      <c r="J47" s="373">
        <f t="shared" si="24"/>
        <v>0</v>
      </c>
      <c r="K47" s="373">
        <f t="shared" si="24"/>
        <v>0</v>
      </c>
      <c r="L47" s="373">
        <f t="shared" si="24"/>
        <v>0</v>
      </c>
      <c r="M47" s="373">
        <f t="shared" si="24"/>
        <v>0</v>
      </c>
      <c r="N47" s="373">
        <f t="shared" si="24"/>
        <v>0</v>
      </c>
      <c r="O47" s="373">
        <f t="shared" si="24"/>
        <v>0</v>
      </c>
      <c r="P47" s="373">
        <f t="shared" si="24"/>
        <v>0</v>
      </c>
      <c r="Q47" s="373">
        <f t="shared" si="24"/>
        <v>0</v>
      </c>
      <c r="R47" s="376">
        <f t="shared" si="18"/>
        <v>0</v>
      </c>
      <c r="S47" s="3">
        <f t="shared" ref="S47:S63" si="25">C47-R47</f>
        <v>0</v>
      </c>
      <c r="T47" s="91"/>
    </row>
    <row r="48" spans="1:20" s="92" customFormat="1" x14ac:dyDescent="0.2">
      <c r="A48" s="87">
        <v>41265.031000000003</v>
      </c>
      <c r="B48" s="15" t="s">
        <v>365</v>
      </c>
      <c r="C48" s="14"/>
      <c r="D48" s="329">
        <f t="shared" si="22"/>
        <v>0</v>
      </c>
      <c r="E48" s="120"/>
      <c r="F48" s="373">
        <f t="shared" si="23"/>
        <v>0</v>
      </c>
      <c r="G48" s="373">
        <f t="shared" si="24"/>
        <v>0</v>
      </c>
      <c r="H48" s="373">
        <f t="shared" si="24"/>
        <v>0</v>
      </c>
      <c r="I48" s="373">
        <f t="shared" si="24"/>
        <v>0</v>
      </c>
      <c r="J48" s="373">
        <f t="shared" si="24"/>
        <v>0</v>
      </c>
      <c r="K48" s="373">
        <f t="shared" si="24"/>
        <v>0</v>
      </c>
      <c r="L48" s="373">
        <f t="shared" si="24"/>
        <v>0</v>
      </c>
      <c r="M48" s="373">
        <f t="shared" si="24"/>
        <v>0</v>
      </c>
      <c r="N48" s="373">
        <f t="shared" si="24"/>
        <v>0</v>
      </c>
      <c r="O48" s="373">
        <f t="shared" si="24"/>
        <v>0</v>
      </c>
      <c r="P48" s="373">
        <f t="shared" si="24"/>
        <v>0</v>
      </c>
      <c r="Q48" s="373">
        <f t="shared" si="24"/>
        <v>0</v>
      </c>
      <c r="R48" s="376">
        <f t="shared" si="18"/>
        <v>0</v>
      </c>
      <c r="S48" s="3">
        <f t="shared" si="25"/>
        <v>0</v>
      </c>
      <c r="T48" s="91"/>
    </row>
    <row r="49" spans="1:20" s="92" customFormat="1" x14ac:dyDescent="0.2">
      <c r="A49" s="87">
        <v>41329.031000000003</v>
      </c>
      <c r="B49" s="15" t="s">
        <v>12</v>
      </c>
      <c r="C49" s="14"/>
      <c r="D49" s="329">
        <f t="shared" si="22"/>
        <v>0</v>
      </c>
      <c r="E49" s="120"/>
      <c r="F49" s="373">
        <f t="shared" si="23"/>
        <v>0</v>
      </c>
      <c r="G49" s="373">
        <f t="shared" si="24"/>
        <v>0</v>
      </c>
      <c r="H49" s="373">
        <f t="shared" si="24"/>
        <v>0</v>
      </c>
      <c r="I49" s="373">
        <f t="shared" si="24"/>
        <v>0</v>
      </c>
      <c r="J49" s="373">
        <f t="shared" si="24"/>
        <v>0</v>
      </c>
      <c r="K49" s="373">
        <f t="shared" si="24"/>
        <v>0</v>
      </c>
      <c r="L49" s="373">
        <f t="shared" si="24"/>
        <v>0</v>
      </c>
      <c r="M49" s="373">
        <f t="shared" si="24"/>
        <v>0</v>
      </c>
      <c r="N49" s="373">
        <f t="shared" si="24"/>
        <v>0</v>
      </c>
      <c r="O49" s="373">
        <f t="shared" si="24"/>
        <v>0</v>
      </c>
      <c r="P49" s="373">
        <f t="shared" si="24"/>
        <v>0</v>
      </c>
      <c r="Q49" s="373">
        <f t="shared" si="24"/>
        <v>0</v>
      </c>
      <c r="R49" s="376">
        <f t="shared" si="18"/>
        <v>0</v>
      </c>
      <c r="S49" s="3">
        <f t="shared" si="25"/>
        <v>0</v>
      </c>
      <c r="T49" s="91"/>
    </row>
    <row r="50" spans="1:20" s="92" customFormat="1" x14ac:dyDescent="0.2">
      <c r="A50" s="87">
        <v>41334.031000000003</v>
      </c>
      <c r="B50" s="15" t="s">
        <v>442</v>
      </c>
      <c r="C50" s="14">
        <f>[6]Lab!$J$22</f>
        <v>111111</v>
      </c>
      <c r="D50" s="329">
        <f t="shared" si="22"/>
        <v>1.5535654362416107</v>
      </c>
      <c r="E50" s="120"/>
      <c r="F50" s="373">
        <f t="shared" si="23"/>
        <v>9552.8738674496635</v>
      </c>
      <c r="G50" s="373">
        <f t="shared" si="24"/>
        <v>7943.3800755033553</v>
      </c>
      <c r="H50" s="373">
        <f t="shared" si="24"/>
        <v>11858.364974832215</v>
      </c>
      <c r="I50" s="373">
        <f t="shared" si="24"/>
        <v>8372.1641359060395</v>
      </c>
      <c r="J50" s="373">
        <f t="shared" si="24"/>
        <v>8656.4666107382545</v>
      </c>
      <c r="K50" s="373">
        <f t="shared" si="24"/>
        <v>9670.9448406040265</v>
      </c>
      <c r="L50" s="373">
        <f t="shared" si="24"/>
        <v>8477.8065855704699</v>
      </c>
      <c r="M50" s="373">
        <f t="shared" si="24"/>
        <v>8766.7697567114083</v>
      </c>
      <c r="N50" s="373">
        <f t="shared" si="24"/>
        <v>8452.949538590603</v>
      </c>
      <c r="O50" s="373">
        <f t="shared" si="24"/>
        <v>7402.7393036912754</v>
      </c>
      <c r="P50" s="373">
        <f t="shared" si="24"/>
        <v>8411.0032718120801</v>
      </c>
      <c r="Q50" s="373">
        <f t="shared" si="24"/>
        <v>13545.537038590604</v>
      </c>
      <c r="R50" s="376">
        <f t="shared" si="18"/>
        <v>111110.99999999999</v>
      </c>
      <c r="S50" s="3">
        <f t="shared" si="25"/>
        <v>0</v>
      </c>
      <c r="T50" s="91"/>
    </row>
    <row r="51" spans="1:20" s="92" customFormat="1" x14ac:dyDescent="0.2">
      <c r="A51" s="87">
        <v>41365.031000000003</v>
      </c>
      <c r="B51" s="15" t="s">
        <v>10</v>
      </c>
      <c r="C51" s="14">
        <f>[6]Lab!$J$23</f>
        <v>8400</v>
      </c>
      <c r="D51" s="329">
        <f t="shared" si="22"/>
        <v>0.1174496644295302</v>
      </c>
      <c r="E51" s="120"/>
      <c r="F51" s="373">
        <f t="shared" si="23"/>
        <v>722.19798657718115</v>
      </c>
      <c r="G51" s="373">
        <f t="shared" si="24"/>
        <v>600.52013422818789</v>
      </c>
      <c r="H51" s="373">
        <f t="shared" si="24"/>
        <v>896.49328859060404</v>
      </c>
      <c r="I51" s="373">
        <f t="shared" si="24"/>
        <v>632.93624161073819</v>
      </c>
      <c r="J51" s="373">
        <f t="shared" si="24"/>
        <v>654.42953020134223</v>
      </c>
      <c r="K51" s="373">
        <f t="shared" si="24"/>
        <v>731.12416107382546</v>
      </c>
      <c r="L51" s="373">
        <f t="shared" si="24"/>
        <v>640.92281879194627</v>
      </c>
      <c r="M51" s="373">
        <f t="shared" si="24"/>
        <v>662.76845637583892</v>
      </c>
      <c r="N51" s="373">
        <f t="shared" si="24"/>
        <v>639.04362416107381</v>
      </c>
      <c r="O51" s="373">
        <f t="shared" si="24"/>
        <v>559.64765100671138</v>
      </c>
      <c r="P51" s="373">
        <f t="shared" si="24"/>
        <v>635.8724832214765</v>
      </c>
      <c r="Q51" s="373">
        <f t="shared" si="24"/>
        <v>1024.0436241610737</v>
      </c>
      <c r="R51" s="376">
        <f t="shared" si="18"/>
        <v>8400</v>
      </c>
      <c r="S51" s="3">
        <f t="shared" si="25"/>
        <v>0</v>
      </c>
      <c r="T51" s="91"/>
    </row>
    <row r="52" spans="1:20" s="92" customFormat="1" x14ac:dyDescent="0.2">
      <c r="A52" s="87">
        <v>41342.031000000003</v>
      </c>
      <c r="B52" s="15" t="s">
        <v>11</v>
      </c>
      <c r="C52" s="14">
        <v>0</v>
      </c>
      <c r="D52" s="329">
        <f t="shared" si="22"/>
        <v>0</v>
      </c>
      <c r="E52" s="120"/>
      <c r="F52" s="373">
        <f t="shared" si="23"/>
        <v>0</v>
      </c>
      <c r="G52" s="373">
        <f t="shared" si="24"/>
        <v>0</v>
      </c>
      <c r="H52" s="373">
        <f t="shared" si="24"/>
        <v>0</v>
      </c>
      <c r="I52" s="373">
        <f t="shared" si="24"/>
        <v>0</v>
      </c>
      <c r="J52" s="373">
        <f t="shared" si="24"/>
        <v>0</v>
      </c>
      <c r="K52" s="373">
        <f t="shared" si="24"/>
        <v>0</v>
      </c>
      <c r="L52" s="373">
        <f t="shared" si="24"/>
        <v>0</v>
      </c>
      <c r="M52" s="373">
        <f t="shared" si="24"/>
        <v>0</v>
      </c>
      <c r="N52" s="373">
        <f t="shared" si="24"/>
        <v>0</v>
      </c>
      <c r="O52" s="373">
        <f t="shared" si="24"/>
        <v>0</v>
      </c>
      <c r="P52" s="373">
        <f t="shared" si="24"/>
        <v>0</v>
      </c>
      <c r="Q52" s="373">
        <f t="shared" si="24"/>
        <v>0</v>
      </c>
      <c r="R52" s="376">
        <f t="shared" si="18"/>
        <v>0</v>
      </c>
      <c r="S52" s="3">
        <f t="shared" si="25"/>
        <v>0</v>
      </c>
      <c r="T52" s="91"/>
    </row>
    <row r="53" spans="1:20" s="92" customFormat="1" ht="14.25" customHeight="1" x14ac:dyDescent="0.2">
      <c r="A53" s="87">
        <v>41439.031000000003</v>
      </c>
      <c r="B53" s="15" t="s">
        <v>366</v>
      </c>
      <c r="C53" s="14">
        <f>[6]Lab!$J$25</f>
        <v>11.45</v>
      </c>
      <c r="D53" s="329">
        <f t="shared" si="22"/>
        <v>1.6009507829977627E-4</v>
      </c>
      <c r="E53" s="120"/>
      <c r="F53" s="373">
        <f t="shared" si="23"/>
        <v>0.9844246364653243</v>
      </c>
      <c r="G53" s="373">
        <f t="shared" si="24"/>
        <v>0.81856613534675604</v>
      </c>
      <c r="H53" s="373">
        <f t="shared" si="24"/>
        <v>1.2220057326621923</v>
      </c>
      <c r="I53" s="373">
        <f t="shared" si="24"/>
        <v>0.86275237695749429</v>
      </c>
      <c r="J53" s="373">
        <f t="shared" si="24"/>
        <v>0.8920497762863534</v>
      </c>
      <c r="K53" s="373">
        <f t="shared" si="24"/>
        <v>0.99659186241610731</v>
      </c>
      <c r="L53" s="373">
        <f t="shared" si="24"/>
        <v>0.87363884228187905</v>
      </c>
      <c r="M53" s="373">
        <f t="shared" si="24"/>
        <v>0.90341652684563745</v>
      </c>
      <c r="N53" s="373">
        <f t="shared" si="24"/>
        <v>0.87107732102908264</v>
      </c>
      <c r="O53" s="373">
        <f t="shared" si="24"/>
        <v>0.76285304809843391</v>
      </c>
      <c r="P53" s="373">
        <f t="shared" si="24"/>
        <v>0.86675475391498868</v>
      </c>
      <c r="Q53" s="373">
        <f t="shared" si="24"/>
        <v>1.3958689876957493</v>
      </c>
      <c r="R53" s="376">
        <f t="shared" si="18"/>
        <v>11.449999999999998</v>
      </c>
      <c r="S53" s="3">
        <f t="shared" si="25"/>
        <v>0</v>
      </c>
      <c r="T53" s="91"/>
    </row>
    <row r="54" spans="1:20" s="92" customFormat="1" ht="14.25" customHeight="1" x14ac:dyDescent="0.2">
      <c r="A54" s="87">
        <v>41423.031000000003</v>
      </c>
      <c r="B54" s="15" t="s">
        <v>476</v>
      </c>
      <c r="C54" s="14">
        <f>[6]Lab!$J$24</f>
        <v>1090</v>
      </c>
      <c r="D54" s="329">
        <f t="shared" si="22"/>
        <v>1.5240492170022371E-2</v>
      </c>
      <c r="E54" s="120"/>
      <c r="F54" s="373">
        <f t="shared" si="23"/>
        <v>93.713786353467555</v>
      </c>
      <c r="G54" s="373">
        <f t="shared" si="23"/>
        <v>77.924636465324383</v>
      </c>
      <c r="H54" s="373">
        <f t="shared" si="23"/>
        <v>116.33067673378076</v>
      </c>
      <c r="I54" s="373">
        <f t="shared" si="23"/>
        <v>82.131012304250561</v>
      </c>
      <c r="J54" s="373">
        <f t="shared" si="23"/>
        <v>84.920022371364652</v>
      </c>
      <c r="K54" s="373">
        <f t="shared" si="23"/>
        <v>94.87206375838926</v>
      </c>
      <c r="L54" s="373">
        <f t="shared" si="23"/>
        <v>83.167365771812072</v>
      </c>
      <c r="M54" s="373">
        <f t="shared" si="23"/>
        <v>86.002097315436245</v>
      </c>
      <c r="N54" s="373">
        <f t="shared" si="23"/>
        <v>82.923517897091713</v>
      </c>
      <c r="O54" s="373">
        <f t="shared" si="23"/>
        <v>72.62094519015659</v>
      </c>
      <c r="P54" s="373">
        <f t="shared" si="23"/>
        <v>82.512024608501122</v>
      </c>
      <c r="Q54" s="373">
        <f t="shared" si="23"/>
        <v>132.88185123042504</v>
      </c>
      <c r="R54" s="376">
        <f t="shared" ref="R54" si="26">SUM(F54:Q54)</f>
        <v>1090</v>
      </c>
      <c r="S54" s="3">
        <f t="shared" ref="S54" si="27">C54-R54</f>
        <v>0</v>
      </c>
      <c r="T54" s="91"/>
    </row>
    <row r="55" spans="1:20" s="92" customFormat="1" ht="14.25" customHeight="1" x14ac:dyDescent="0.2">
      <c r="A55" s="87">
        <v>41426.031000000003</v>
      </c>
      <c r="B55" s="15" t="s">
        <v>8</v>
      </c>
      <c r="C55" s="14">
        <v>0</v>
      </c>
      <c r="D55" s="329">
        <f t="shared" si="22"/>
        <v>0</v>
      </c>
      <c r="E55" s="120"/>
      <c r="F55" s="373">
        <f t="shared" si="23"/>
        <v>0</v>
      </c>
      <c r="G55" s="373">
        <f t="shared" si="23"/>
        <v>0</v>
      </c>
      <c r="H55" s="373">
        <f t="shared" si="23"/>
        <v>0</v>
      </c>
      <c r="I55" s="373">
        <f t="shared" si="23"/>
        <v>0</v>
      </c>
      <c r="J55" s="373">
        <f t="shared" si="23"/>
        <v>0</v>
      </c>
      <c r="K55" s="373">
        <f t="shared" si="23"/>
        <v>0</v>
      </c>
      <c r="L55" s="373">
        <f t="shared" si="23"/>
        <v>0</v>
      </c>
      <c r="M55" s="373">
        <f t="shared" si="23"/>
        <v>0</v>
      </c>
      <c r="N55" s="373">
        <f t="shared" si="23"/>
        <v>0</v>
      </c>
      <c r="O55" s="373">
        <f t="shared" si="23"/>
        <v>0</v>
      </c>
      <c r="P55" s="373">
        <f t="shared" si="23"/>
        <v>0</v>
      </c>
      <c r="Q55" s="373">
        <f t="shared" si="23"/>
        <v>0</v>
      </c>
      <c r="R55" s="376">
        <f t="shared" ref="R55" si="28">SUM(F55:Q55)</f>
        <v>0</v>
      </c>
      <c r="S55" s="3">
        <f t="shared" ref="S55" si="29">C55-R55</f>
        <v>0</v>
      </c>
      <c r="T55" s="91"/>
    </row>
    <row r="56" spans="1:20" s="92" customFormat="1" x14ac:dyDescent="0.2">
      <c r="A56" s="87">
        <v>41440.031000000003</v>
      </c>
      <c r="B56" s="15" t="s">
        <v>7</v>
      </c>
      <c r="C56" s="14"/>
      <c r="D56" s="329">
        <f t="shared" si="22"/>
        <v>0</v>
      </c>
      <c r="E56" s="120"/>
      <c r="F56" s="373">
        <f t="shared" si="23"/>
        <v>0</v>
      </c>
      <c r="G56" s="373">
        <f t="shared" si="23"/>
        <v>0</v>
      </c>
      <c r="H56" s="373">
        <f t="shared" si="23"/>
        <v>0</v>
      </c>
      <c r="I56" s="373">
        <f t="shared" si="23"/>
        <v>0</v>
      </c>
      <c r="J56" s="373">
        <f t="shared" si="23"/>
        <v>0</v>
      </c>
      <c r="K56" s="373">
        <f t="shared" si="23"/>
        <v>0</v>
      </c>
      <c r="L56" s="373">
        <f t="shared" si="23"/>
        <v>0</v>
      </c>
      <c r="M56" s="373">
        <f t="shared" si="23"/>
        <v>0</v>
      </c>
      <c r="N56" s="373">
        <f t="shared" si="23"/>
        <v>0</v>
      </c>
      <c r="O56" s="373">
        <f t="shared" si="23"/>
        <v>0</v>
      </c>
      <c r="P56" s="373">
        <f t="shared" si="23"/>
        <v>0</v>
      </c>
      <c r="Q56" s="373">
        <f t="shared" si="23"/>
        <v>0</v>
      </c>
      <c r="R56" s="376">
        <f t="shared" si="18"/>
        <v>0</v>
      </c>
      <c r="S56" s="3">
        <f t="shared" si="25"/>
        <v>0</v>
      </c>
      <c r="T56" s="91"/>
    </row>
    <row r="57" spans="1:20" s="92" customFormat="1" x14ac:dyDescent="0.2">
      <c r="A57" s="87">
        <v>41460.031000000003</v>
      </c>
      <c r="B57" s="15" t="s">
        <v>6</v>
      </c>
      <c r="C57" s="14">
        <f>[6]Lab!$J$26</f>
        <v>5030</v>
      </c>
      <c r="D57" s="329">
        <f t="shared" si="22"/>
        <v>7.032997762863534E-2</v>
      </c>
      <c r="E57" s="120"/>
      <c r="F57" s="373">
        <f t="shared" si="23"/>
        <v>432.45903243847869</v>
      </c>
      <c r="G57" s="373">
        <f t="shared" si="23"/>
        <v>359.59717561521251</v>
      </c>
      <c r="H57" s="373">
        <f t="shared" si="23"/>
        <v>536.82871923937353</v>
      </c>
      <c r="I57" s="373">
        <f t="shared" si="23"/>
        <v>379.00824944071587</v>
      </c>
      <c r="J57" s="373">
        <f t="shared" si="23"/>
        <v>391.87863534675614</v>
      </c>
      <c r="K57" s="373">
        <f t="shared" si="23"/>
        <v>437.80411073825502</v>
      </c>
      <c r="L57" s="373">
        <f t="shared" si="23"/>
        <v>383.79068791946304</v>
      </c>
      <c r="M57" s="373">
        <f t="shared" si="23"/>
        <v>396.87206375838923</v>
      </c>
      <c r="N57" s="373">
        <f t="shared" si="23"/>
        <v>382.66540827740488</v>
      </c>
      <c r="O57" s="373">
        <f t="shared" si="23"/>
        <v>335.12234340044739</v>
      </c>
      <c r="P57" s="373">
        <f t="shared" si="23"/>
        <v>380.76649888143174</v>
      </c>
      <c r="Q57" s="373">
        <f t="shared" si="23"/>
        <v>613.20707494407156</v>
      </c>
      <c r="R57" s="376">
        <f t="shared" si="18"/>
        <v>5030</v>
      </c>
      <c r="S57" s="3">
        <f t="shared" si="25"/>
        <v>0</v>
      </c>
      <c r="T57" s="91"/>
    </row>
    <row r="58" spans="1:20" s="92" customFormat="1" x14ac:dyDescent="0.2">
      <c r="A58" s="87">
        <v>41490.031000000003</v>
      </c>
      <c r="B58" s="15" t="s">
        <v>367</v>
      </c>
      <c r="C58" s="14">
        <v>0</v>
      </c>
      <c r="D58" s="329">
        <f t="shared" si="22"/>
        <v>0</v>
      </c>
      <c r="E58" s="120"/>
      <c r="F58" s="373">
        <f t="shared" si="23"/>
        <v>0</v>
      </c>
      <c r="G58" s="373">
        <f t="shared" si="23"/>
        <v>0</v>
      </c>
      <c r="H58" s="373">
        <f t="shared" si="23"/>
        <v>0</v>
      </c>
      <c r="I58" s="373">
        <f t="shared" si="23"/>
        <v>0</v>
      </c>
      <c r="J58" s="373">
        <f t="shared" si="23"/>
        <v>0</v>
      </c>
      <c r="K58" s="373">
        <f t="shared" si="23"/>
        <v>0</v>
      </c>
      <c r="L58" s="373">
        <f t="shared" si="23"/>
        <v>0</v>
      </c>
      <c r="M58" s="373">
        <f t="shared" si="23"/>
        <v>0</v>
      </c>
      <c r="N58" s="373">
        <f t="shared" si="23"/>
        <v>0</v>
      </c>
      <c r="O58" s="373">
        <f t="shared" si="23"/>
        <v>0</v>
      </c>
      <c r="P58" s="373">
        <f t="shared" si="23"/>
        <v>0</v>
      </c>
      <c r="Q58" s="373">
        <f t="shared" si="23"/>
        <v>0</v>
      </c>
      <c r="R58" s="376">
        <f t="shared" si="18"/>
        <v>0</v>
      </c>
      <c r="S58" s="3">
        <f t="shared" si="25"/>
        <v>0</v>
      </c>
      <c r="T58" s="91"/>
    </row>
    <row r="59" spans="1:20" s="92" customFormat="1" x14ac:dyDescent="0.2">
      <c r="A59" s="87">
        <v>41509.031000000003</v>
      </c>
      <c r="B59" s="15" t="s">
        <v>3</v>
      </c>
      <c r="C59" s="14">
        <f>[6]Lab!$J$27</f>
        <v>41950</v>
      </c>
      <c r="D59" s="329">
        <f t="shared" si="22"/>
        <v>0.58654921700223717</v>
      </c>
      <c r="E59" s="120"/>
      <c r="F59" s="373">
        <f t="shared" si="23"/>
        <v>3606.6911353467563</v>
      </c>
      <c r="G59" s="373">
        <f t="shared" si="23"/>
        <v>2999.0261465324388</v>
      </c>
      <c r="H59" s="373">
        <f t="shared" si="23"/>
        <v>4477.1301733780765</v>
      </c>
      <c r="I59" s="373">
        <f t="shared" si="23"/>
        <v>3160.9137304250562</v>
      </c>
      <c r="J59" s="373">
        <f t="shared" si="23"/>
        <v>3268.2522371364653</v>
      </c>
      <c r="K59" s="373">
        <f t="shared" si="23"/>
        <v>3651.2688758389263</v>
      </c>
      <c r="L59" s="373">
        <f t="shared" si="23"/>
        <v>3200.7990771812083</v>
      </c>
      <c r="M59" s="373">
        <f t="shared" si="23"/>
        <v>3309.8972315436245</v>
      </c>
      <c r="N59" s="373">
        <f t="shared" si="23"/>
        <v>3191.4142897091724</v>
      </c>
      <c r="O59" s="373">
        <f t="shared" si="23"/>
        <v>2794.9070190156599</v>
      </c>
      <c r="P59" s="373">
        <f t="shared" si="23"/>
        <v>3175.5774608501119</v>
      </c>
      <c r="Q59" s="373">
        <f t="shared" si="23"/>
        <v>5114.1226230425054</v>
      </c>
      <c r="R59" s="376">
        <f t="shared" si="18"/>
        <v>41950</v>
      </c>
      <c r="S59" s="3">
        <f t="shared" si="25"/>
        <v>0</v>
      </c>
      <c r="T59" s="91"/>
    </row>
    <row r="60" spans="1:20" s="92" customFormat="1" x14ac:dyDescent="0.2">
      <c r="A60" s="87">
        <v>41560.031000000003</v>
      </c>
      <c r="B60" s="15" t="s">
        <v>420</v>
      </c>
      <c r="C60" s="14">
        <f>[6]Lab!$J$28</f>
        <v>1950</v>
      </c>
      <c r="D60" s="329">
        <f t="shared" si="22"/>
        <v>2.7265100671140938E-2</v>
      </c>
      <c r="E60" s="120"/>
      <c r="F60" s="373">
        <f t="shared" si="23"/>
        <v>167.65310402684563</v>
      </c>
      <c r="G60" s="373">
        <f t="shared" si="23"/>
        <v>139.40645973154361</v>
      </c>
      <c r="H60" s="373">
        <f t="shared" si="23"/>
        <v>208.11451342281879</v>
      </c>
      <c r="I60" s="373">
        <f t="shared" si="23"/>
        <v>146.93162751677852</v>
      </c>
      <c r="J60" s="373">
        <f t="shared" si="23"/>
        <v>151.92114093959731</v>
      </c>
      <c r="K60" s="373">
        <f t="shared" si="23"/>
        <v>169.72525167785236</v>
      </c>
      <c r="L60" s="373">
        <f t="shared" si="23"/>
        <v>148.7856543624161</v>
      </c>
      <c r="M60" s="373">
        <f t="shared" si="23"/>
        <v>153.85696308724832</v>
      </c>
      <c r="N60" s="373">
        <f t="shared" si="23"/>
        <v>148.34941275167785</v>
      </c>
      <c r="O60" s="373">
        <f t="shared" si="23"/>
        <v>129.91820469798657</v>
      </c>
      <c r="P60" s="373">
        <f t="shared" si="23"/>
        <v>147.61325503355704</v>
      </c>
      <c r="Q60" s="373">
        <f t="shared" si="23"/>
        <v>237.72441275167785</v>
      </c>
      <c r="R60" s="376">
        <f t="shared" si="18"/>
        <v>1950</v>
      </c>
      <c r="S60" s="3">
        <f t="shared" si="25"/>
        <v>0</v>
      </c>
      <c r="T60" s="91"/>
    </row>
    <row r="61" spans="1:20" s="92" customFormat="1" x14ac:dyDescent="0.2">
      <c r="A61" s="87">
        <v>41570.031000000003</v>
      </c>
      <c r="B61" s="15" t="s">
        <v>2</v>
      </c>
      <c r="C61" s="14">
        <f>[6]Lab!$J$29</f>
        <v>2985</v>
      </c>
      <c r="D61" s="329">
        <f t="shared" si="22"/>
        <v>4.1736577181208052E-2</v>
      </c>
      <c r="E61" s="120"/>
      <c r="F61" s="373">
        <f t="shared" si="23"/>
        <v>256.63821308724829</v>
      </c>
      <c r="G61" s="373">
        <f t="shared" si="23"/>
        <v>213.39911912751677</v>
      </c>
      <c r="H61" s="373">
        <f t="shared" si="23"/>
        <v>318.57529362416108</v>
      </c>
      <c r="I61" s="373">
        <f t="shared" si="23"/>
        <v>224.9184144295302</v>
      </c>
      <c r="J61" s="373">
        <f t="shared" si="23"/>
        <v>232.55620805369128</v>
      </c>
      <c r="K61" s="373">
        <f t="shared" si="23"/>
        <v>259.81019295302013</v>
      </c>
      <c r="L61" s="373">
        <f t="shared" si="23"/>
        <v>227.75650167785236</v>
      </c>
      <c r="M61" s="373">
        <f t="shared" si="23"/>
        <v>235.51950503355704</v>
      </c>
      <c r="N61" s="373">
        <f t="shared" si="23"/>
        <v>227.088716442953</v>
      </c>
      <c r="O61" s="373">
        <f t="shared" si="23"/>
        <v>198.87479026845637</v>
      </c>
      <c r="P61" s="373">
        <f t="shared" si="23"/>
        <v>225.9618288590604</v>
      </c>
      <c r="Q61" s="373">
        <f t="shared" si="23"/>
        <v>363.901216442953</v>
      </c>
      <c r="R61" s="376">
        <f t="shared" si="18"/>
        <v>2985</v>
      </c>
      <c r="S61" s="3">
        <f t="shared" si="25"/>
        <v>0</v>
      </c>
      <c r="T61" s="91"/>
    </row>
    <row r="62" spans="1:20" s="92" customFormat="1" x14ac:dyDescent="0.2">
      <c r="A62" s="87">
        <v>41571.031000000003</v>
      </c>
      <c r="B62" s="15" t="s">
        <v>1</v>
      </c>
      <c r="C62" s="14">
        <f>[6]Lab!$J$30</f>
        <v>26600</v>
      </c>
      <c r="D62" s="329">
        <f t="shared" si="22"/>
        <v>0.37192393736017898</v>
      </c>
      <c r="E62" s="120"/>
      <c r="F62" s="373">
        <f t="shared" si="23"/>
        <v>2286.9602908277407</v>
      </c>
      <c r="G62" s="373">
        <f t="shared" si="23"/>
        <v>1901.6470917225952</v>
      </c>
      <c r="H62" s="373">
        <f t="shared" si="23"/>
        <v>2838.8954138702461</v>
      </c>
      <c r="I62" s="373">
        <f t="shared" si="23"/>
        <v>2004.2980984340045</v>
      </c>
      <c r="J62" s="373">
        <f t="shared" si="23"/>
        <v>2072.3601789709173</v>
      </c>
      <c r="K62" s="373">
        <f t="shared" si="23"/>
        <v>2315.2265100671143</v>
      </c>
      <c r="L62" s="373">
        <f t="shared" si="23"/>
        <v>2029.5889261744967</v>
      </c>
      <c r="M62" s="373">
        <f t="shared" si="23"/>
        <v>2098.7667785234898</v>
      </c>
      <c r="N62" s="373">
        <f t="shared" si="23"/>
        <v>2023.6381431767338</v>
      </c>
      <c r="O62" s="373">
        <f t="shared" si="23"/>
        <v>1772.2175615212529</v>
      </c>
      <c r="P62" s="373">
        <f t="shared" si="23"/>
        <v>2013.596196868009</v>
      </c>
      <c r="Q62" s="373">
        <f t="shared" si="23"/>
        <v>3242.8048098434006</v>
      </c>
      <c r="R62" s="376">
        <f t="shared" si="18"/>
        <v>26600</v>
      </c>
      <c r="S62" s="3">
        <f t="shared" si="25"/>
        <v>0</v>
      </c>
      <c r="T62" s="91"/>
    </row>
    <row r="63" spans="1:20" s="170" customFormat="1" x14ac:dyDescent="0.2">
      <c r="A63" s="132"/>
      <c r="B63" s="77" t="s">
        <v>0</v>
      </c>
      <c r="C63" s="88">
        <f>SUM(C38:C62)</f>
        <v>998186.34406119795</v>
      </c>
      <c r="D63" s="128">
        <f>SUM(D38:D62)</f>
        <v>32.472167179042799</v>
      </c>
      <c r="E63" s="128"/>
      <c r="F63" s="374">
        <f>SUM(F38:F62)</f>
        <v>85295.846067359802</v>
      </c>
      <c r="G63" s="374">
        <f t="shared" ref="G63:Q63" si="30">SUM(G38:G62)</f>
        <v>76731.476915086765</v>
      </c>
      <c r="H63" s="374">
        <f t="shared" si="30"/>
        <v>95594.155572393312</v>
      </c>
      <c r="I63" s="374">
        <f t="shared" si="30"/>
        <v>80021.779204943654</v>
      </c>
      <c r="J63" s="374">
        <f t="shared" si="30"/>
        <v>77166.76917471856</v>
      </c>
      <c r="K63" s="374">
        <f t="shared" si="30"/>
        <v>85823.252753601409</v>
      </c>
      <c r="L63" s="374">
        <f t="shared" si="30"/>
        <v>79118.686126496163</v>
      </c>
      <c r="M63" s="374">
        <f t="shared" si="30"/>
        <v>81784.427866856407</v>
      </c>
      <c r="N63" s="374">
        <f t="shared" si="30"/>
        <v>79007.653139918955</v>
      </c>
      <c r="O63" s="374">
        <f t="shared" si="30"/>
        <v>75691.492728433601</v>
      </c>
      <c r="P63" s="374">
        <f t="shared" si="30"/>
        <v>80195.268246470499</v>
      </c>
      <c r="Q63" s="374">
        <f t="shared" si="30"/>
        <v>101755.53626491895</v>
      </c>
      <c r="R63" s="109">
        <f t="shared" si="18"/>
        <v>998186.34406119806</v>
      </c>
      <c r="S63" s="96">
        <f t="shared" si="25"/>
        <v>0</v>
      </c>
      <c r="T63" s="169"/>
    </row>
    <row r="64" spans="1:20" s="12" customFormat="1" x14ac:dyDescent="0.2">
      <c r="A64" s="4"/>
      <c r="B64" s="4"/>
      <c r="C64" s="7">
        <f>C63-C34:C34</f>
        <v>-3888122.7557460601</v>
      </c>
      <c r="D64" s="4"/>
      <c r="E64" s="4"/>
      <c r="F64" s="4"/>
      <c r="G64" s="4"/>
      <c r="H64" s="4"/>
      <c r="I64" s="4"/>
      <c r="J64" s="4"/>
      <c r="K64" s="4"/>
      <c r="L64" s="4"/>
      <c r="M64" s="4"/>
      <c r="N64" s="4"/>
      <c r="O64" s="4"/>
      <c r="P64" s="4"/>
      <c r="Q64" s="4"/>
      <c r="R64" s="4"/>
      <c r="S64" s="4"/>
      <c r="T64" s="4"/>
    </row>
    <row r="65" spans="1:20" s="12" customFormat="1" x14ac:dyDescent="0.2">
      <c r="A65" s="4"/>
      <c r="B65" s="4"/>
      <c r="C65" s="4"/>
      <c r="D65" s="4"/>
      <c r="E65" s="4"/>
      <c r="F65" s="4"/>
      <c r="G65" s="4"/>
      <c r="H65" s="4"/>
      <c r="I65" s="4"/>
      <c r="J65" s="4"/>
      <c r="K65" s="4"/>
      <c r="L65" s="4"/>
      <c r="M65" s="4"/>
      <c r="N65" s="4"/>
      <c r="O65" s="4"/>
      <c r="P65" s="4"/>
      <c r="Q65" s="4"/>
      <c r="R65" s="4"/>
      <c r="S65" s="4"/>
      <c r="T65" s="4"/>
    </row>
    <row r="66" spans="1:20" s="12" customFormat="1" x14ac:dyDescent="0.2">
      <c r="A66" s="171"/>
      <c r="B66" s="4"/>
      <c r="C66" s="7"/>
      <c r="D66" s="4"/>
      <c r="E66" s="4"/>
      <c r="F66" s="7"/>
      <c r="G66" s="7"/>
      <c r="H66" s="7"/>
      <c r="I66" s="7"/>
      <c r="J66" s="7"/>
      <c r="K66" s="7"/>
      <c r="L66" s="7"/>
      <c r="M66" s="7"/>
      <c r="N66" s="7"/>
      <c r="O66" s="7"/>
      <c r="P66" s="7"/>
      <c r="Q66" s="7"/>
      <c r="R66" s="7"/>
      <c r="S66" s="4"/>
      <c r="T66" s="171"/>
    </row>
    <row r="67" spans="1:20" s="12" customFormat="1" x14ac:dyDescent="0.2">
      <c r="A67" s="171"/>
      <c r="B67" s="4"/>
      <c r="C67" s="7"/>
      <c r="D67" s="4"/>
      <c r="E67" s="4"/>
      <c r="F67" s="7"/>
      <c r="G67" s="7"/>
      <c r="H67" s="7"/>
      <c r="I67" s="7"/>
      <c r="J67" s="7"/>
      <c r="K67" s="7"/>
      <c r="L67" s="7"/>
      <c r="M67" s="7"/>
      <c r="N67" s="7"/>
      <c r="O67" s="7"/>
      <c r="P67" s="7"/>
      <c r="Q67" s="7"/>
      <c r="R67" s="7"/>
      <c r="S67" s="4"/>
      <c r="T67" s="171"/>
    </row>
    <row r="68" spans="1:20" s="12" customFormat="1" x14ac:dyDescent="0.2">
      <c r="A68" s="4"/>
      <c r="B68" s="4"/>
      <c r="C68" s="7"/>
      <c r="D68" s="4"/>
      <c r="E68" s="4"/>
      <c r="F68" s="7"/>
      <c r="G68" s="7"/>
      <c r="H68" s="7"/>
      <c r="I68" s="7"/>
      <c r="J68" s="7"/>
      <c r="K68" s="7"/>
      <c r="L68" s="7"/>
      <c r="M68" s="7"/>
      <c r="N68" s="7"/>
      <c r="O68" s="7"/>
      <c r="P68" s="7"/>
      <c r="Q68" s="7"/>
      <c r="R68" s="7"/>
      <c r="S68" s="4"/>
      <c r="T68" s="4"/>
    </row>
    <row r="69" spans="1:20" s="12" customFormat="1" x14ac:dyDescent="0.2">
      <c r="A69" s="4"/>
      <c r="B69" s="4"/>
      <c r="C69" s="4"/>
      <c r="D69" s="4"/>
      <c r="E69" s="4"/>
      <c r="F69" s="4"/>
      <c r="G69" s="4"/>
      <c r="H69" s="4"/>
      <c r="I69" s="4"/>
      <c r="J69" s="4"/>
      <c r="K69" s="4"/>
      <c r="L69" s="4"/>
      <c r="M69" s="4"/>
      <c r="N69" s="4"/>
      <c r="O69" s="4"/>
      <c r="P69" s="4"/>
      <c r="Q69" s="4"/>
      <c r="R69" s="4"/>
      <c r="S69" s="4"/>
      <c r="T69" s="4"/>
    </row>
    <row r="70" spans="1:20" s="12" customFormat="1" x14ac:dyDescent="0.2">
      <c r="A70" s="4"/>
      <c r="B70" s="4"/>
      <c r="C70" s="7"/>
      <c r="D70" s="4"/>
      <c r="E70" s="4"/>
      <c r="F70" s="7"/>
      <c r="G70" s="7"/>
      <c r="H70" s="7"/>
      <c r="I70" s="7"/>
      <c r="J70" s="7"/>
      <c r="K70" s="7"/>
      <c r="L70" s="7"/>
      <c r="M70" s="7"/>
      <c r="N70" s="7"/>
      <c r="O70" s="7"/>
      <c r="P70" s="7"/>
      <c r="Q70" s="7"/>
      <c r="R70" s="7"/>
      <c r="S70" s="4"/>
      <c r="T70" s="4"/>
    </row>
    <row r="71" spans="1:20" s="12" customFormat="1" x14ac:dyDescent="0.2">
      <c r="A71" s="4"/>
      <c r="B71" s="4"/>
      <c r="C71" s="4"/>
      <c r="D71" s="4"/>
      <c r="E71" s="4"/>
      <c r="F71" s="4"/>
      <c r="G71" s="4"/>
      <c r="H71" s="4"/>
      <c r="I71" s="4"/>
      <c r="J71" s="4"/>
      <c r="K71" s="4"/>
      <c r="L71" s="4"/>
      <c r="M71" s="4"/>
      <c r="N71" s="4"/>
      <c r="O71" s="4"/>
      <c r="P71" s="4"/>
      <c r="Q71" s="4"/>
      <c r="R71" s="4"/>
      <c r="S71" s="4"/>
      <c r="T71" s="4"/>
    </row>
    <row r="72" spans="1:20" s="12" customFormat="1" x14ac:dyDescent="0.2">
      <c r="A72" s="4"/>
      <c r="B72" s="4"/>
      <c r="C72" s="4"/>
      <c r="D72" s="4"/>
      <c r="E72" s="4"/>
      <c r="F72" s="4"/>
      <c r="G72" s="4"/>
      <c r="H72" s="4"/>
      <c r="I72" s="4"/>
      <c r="J72" s="4"/>
      <c r="K72" s="4"/>
      <c r="L72" s="4"/>
      <c r="M72" s="4"/>
      <c r="N72" s="4"/>
      <c r="O72" s="4"/>
      <c r="P72" s="4"/>
      <c r="Q72" s="4"/>
      <c r="R72" s="4"/>
      <c r="S72" s="4"/>
      <c r="T72" s="4"/>
    </row>
    <row r="73" spans="1:20" s="12" customFormat="1" x14ac:dyDescent="0.2">
      <c r="A73" s="4"/>
      <c r="B73" s="4"/>
      <c r="C73" s="4"/>
      <c r="D73" s="4"/>
      <c r="E73" s="4"/>
      <c r="F73" s="4"/>
      <c r="G73" s="4"/>
      <c r="H73" s="4"/>
      <c r="I73" s="4"/>
      <c r="J73" s="4"/>
      <c r="K73" s="4"/>
      <c r="L73" s="4"/>
      <c r="M73" s="4"/>
      <c r="N73" s="4"/>
      <c r="O73" s="4"/>
      <c r="P73" s="4"/>
      <c r="Q73" s="4"/>
      <c r="R73" s="4"/>
      <c r="S73" s="4"/>
      <c r="T73" s="4"/>
    </row>
    <row r="74" spans="1:20" s="12" customFormat="1" x14ac:dyDescent="0.2">
      <c r="A74" s="4"/>
      <c r="B74" s="4"/>
      <c r="C74" s="4"/>
      <c r="D74" s="4"/>
      <c r="E74" s="4"/>
      <c r="F74" s="4"/>
      <c r="G74" s="4"/>
      <c r="H74" s="4"/>
      <c r="I74" s="4"/>
      <c r="J74" s="4"/>
      <c r="K74" s="4"/>
      <c r="L74" s="4"/>
      <c r="M74" s="4"/>
      <c r="N74" s="4"/>
      <c r="O74" s="4"/>
      <c r="P74" s="4"/>
      <c r="Q74" s="4"/>
      <c r="R74" s="4"/>
      <c r="S74" s="4"/>
      <c r="T74" s="4"/>
    </row>
    <row r="75" spans="1:20" s="12" customFormat="1" x14ac:dyDescent="0.2">
      <c r="A75" s="4"/>
      <c r="B75" s="4"/>
      <c r="C75" s="4"/>
      <c r="D75" s="4"/>
      <c r="E75" s="4"/>
      <c r="F75" s="4"/>
      <c r="G75" s="4"/>
      <c r="H75" s="4"/>
      <c r="I75" s="4"/>
      <c r="J75" s="4"/>
      <c r="K75" s="4"/>
      <c r="L75" s="4"/>
      <c r="M75" s="4"/>
      <c r="N75" s="4"/>
      <c r="O75" s="4"/>
      <c r="P75" s="4"/>
      <c r="Q75" s="4"/>
      <c r="R75" s="4"/>
      <c r="S75" s="4"/>
      <c r="T75" s="4"/>
    </row>
    <row r="76" spans="1:20" s="12" customFormat="1" x14ac:dyDescent="0.2">
      <c r="A76" s="4"/>
      <c r="B76" s="4"/>
      <c r="C76" s="4"/>
      <c r="D76" s="4"/>
      <c r="E76" s="4"/>
      <c r="F76" s="4"/>
      <c r="G76" s="4"/>
      <c r="H76" s="4"/>
      <c r="I76" s="4"/>
      <c r="J76" s="4"/>
      <c r="K76" s="4"/>
      <c r="L76" s="4"/>
      <c r="M76" s="4"/>
      <c r="N76" s="4"/>
      <c r="O76" s="4"/>
      <c r="P76" s="4"/>
      <c r="Q76" s="4"/>
      <c r="R76" s="4"/>
      <c r="S76" s="4"/>
      <c r="T76" s="4"/>
    </row>
    <row r="77" spans="1:20" s="12" customFormat="1" x14ac:dyDescent="0.2">
      <c r="A77" s="4"/>
      <c r="B77" s="4"/>
      <c r="C77" s="4"/>
      <c r="D77" s="4"/>
      <c r="E77" s="4"/>
      <c r="F77" s="4"/>
      <c r="G77" s="4"/>
      <c r="H77" s="4"/>
      <c r="I77" s="4"/>
      <c r="J77" s="4"/>
      <c r="K77" s="4"/>
      <c r="L77" s="4"/>
      <c r="M77" s="4"/>
      <c r="N77" s="4"/>
      <c r="O77" s="4"/>
      <c r="P77" s="4"/>
      <c r="Q77" s="4"/>
      <c r="R77" s="4"/>
      <c r="S77" s="4"/>
      <c r="T77" s="4"/>
    </row>
    <row r="78" spans="1:20" s="12" customFormat="1" x14ac:dyDescent="0.2">
      <c r="A78" s="4"/>
      <c r="B78" s="4"/>
      <c r="C78" s="4"/>
      <c r="D78" s="4"/>
      <c r="E78" s="4"/>
      <c r="F78" s="4"/>
      <c r="G78" s="4"/>
      <c r="H78" s="4"/>
      <c r="I78" s="4"/>
      <c r="J78" s="4"/>
      <c r="K78" s="4"/>
      <c r="L78" s="4"/>
      <c r="M78" s="4"/>
      <c r="N78" s="4"/>
      <c r="O78" s="4"/>
      <c r="P78" s="4"/>
      <c r="Q78" s="4"/>
      <c r="R78" s="4"/>
      <c r="S78" s="4"/>
      <c r="T78" s="4"/>
    </row>
    <row r="79" spans="1:20" s="12" customFormat="1" x14ac:dyDescent="0.2">
      <c r="A79" s="4"/>
      <c r="B79" s="4"/>
      <c r="C79" s="4"/>
      <c r="D79" s="4"/>
      <c r="E79" s="4"/>
      <c r="F79" s="4"/>
      <c r="G79" s="4"/>
      <c r="H79" s="4"/>
      <c r="I79" s="4"/>
      <c r="J79" s="4"/>
      <c r="K79" s="4"/>
      <c r="L79" s="4"/>
      <c r="M79" s="4"/>
      <c r="N79" s="4"/>
      <c r="O79" s="4"/>
      <c r="P79" s="4"/>
      <c r="Q79" s="4"/>
      <c r="R79" s="4"/>
      <c r="S79" s="4"/>
      <c r="T79" s="4"/>
    </row>
    <row r="80" spans="1:20" s="12" customFormat="1" x14ac:dyDescent="0.2">
      <c r="A80" s="4"/>
      <c r="B80" s="4"/>
      <c r="C80" s="4"/>
      <c r="D80" s="4"/>
      <c r="E80" s="4"/>
      <c r="F80" s="4"/>
      <c r="G80" s="4"/>
      <c r="H80" s="4"/>
      <c r="I80" s="4"/>
      <c r="J80" s="4"/>
      <c r="K80" s="4"/>
      <c r="L80" s="4"/>
      <c r="M80" s="4"/>
      <c r="N80" s="4"/>
      <c r="O80" s="4"/>
      <c r="P80" s="4"/>
      <c r="Q80" s="4"/>
      <c r="R80" s="4"/>
      <c r="S80" s="4"/>
      <c r="T80" s="4"/>
    </row>
    <row r="81" spans="1:20" s="12" customFormat="1" x14ac:dyDescent="0.2">
      <c r="A81" s="4"/>
      <c r="B81" s="4"/>
      <c r="C81" s="4"/>
      <c r="D81" s="4"/>
      <c r="E81" s="4"/>
      <c r="F81" s="4"/>
      <c r="G81" s="4"/>
      <c r="H81" s="4"/>
      <c r="I81" s="4"/>
      <c r="J81" s="4"/>
      <c r="K81" s="4"/>
      <c r="L81" s="4"/>
      <c r="M81" s="4"/>
      <c r="N81" s="4"/>
      <c r="O81" s="4"/>
      <c r="P81" s="4"/>
      <c r="Q81" s="4"/>
      <c r="R81" s="4"/>
      <c r="S81" s="4"/>
      <c r="T81" s="4"/>
    </row>
    <row r="82" spans="1:20" s="12" customFormat="1" x14ac:dyDescent="0.2">
      <c r="A82" s="4"/>
      <c r="B82" s="4"/>
      <c r="C82" s="4"/>
      <c r="D82" s="4"/>
      <c r="E82" s="4"/>
      <c r="F82" s="4"/>
      <c r="G82" s="4"/>
      <c r="H82" s="4"/>
      <c r="I82" s="4"/>
      <c r="J82" s="4"/>
      <c r="K82" s="4"/>
      <c r="L82" s="4"/>
      <c r="M82" s="4"/>
      <c r="N82" s="4"/>
      <c r="O82" s="4"/>
      <c r="P82" s="4"/>
      <c r="Q82" s="4"/>
      <c r="R82" s="4"/>
      <c r="S82" s="4"/>
      <c r="T82" s="4"/>
    </row>
    <row r="83" spans="1:20" s="12" customFormat="1" x14ac:dyDescent="0.2">
      <c r="A83" s="4"/>
      <c r="B83" s="4"/>
      <c r="C83" s="4"/>
      <c r="D83" s="4"/>
      <c r="E83" s="4"/>
      <c r="F83" s="4"/>
      <c r="G83" s="4"/>
      <c r="H83" s="4"/>
      <c r="I83" s="4"/>
      <c r="J83" s="4"/>
      <c r="K83" s="4"/>
      <c r="L83" s="4"/>
      <c r="M83" s="4"/>
      <c r="N83" s="4"/>
      <c r="O83" s="4"/>
      <c r="P83" s="4"/>
      <c r="Q83" s="4"/>
      <c r="R83" s="4"/>
      <c r="S83" s="4"/>
      <c r="T83" s="4"/>
    </row>
    <row r="84" spans="1:20" s="12" customFormat="1" x14ac:dyDescent="0.2">
      <c r="A84" s="4"/>
      <c r="B84" s="4"/>
      <c r="C84" s="4"/>
      <c r="D84" s="4"/>
      <c r="E84" s="4"/>
      <c r="F84" s="4"/>
      <c r="G84" s="4"/>
      <c r="H84" s="4"/>
      <c r="I84" s="4"/>
      <c r="J84" s="4"/>
      <c r="K84" s="4"/>
      <c r="L84" s="4"/>
      <c r="M84" s="4"/>
      <c r="N84" s="4"/>
      <c r="O84" s="4"/>
      <c r="P84" s="4"/>
      <c r="Q84" s="4"/>
      <c r="R84" s="4"/>
      <c r="S84" s="4"/>
      <c r="T84" s="4"/>
    </row>
    <row r="85" spans="1:20" s="12" customFormat="1" x14ac:dyDescent="0.2">
      <c r="A85" s="4"/>
      <c r="B85" s="4"/>
      <c r="C85" s="4"/>
      <c r="D85" s="4"/>
      <c r="E85" s="4"/>
      <c r="F85" s="4"/>
      <c r="G85" s="4"/>
      <c r="H85" s="4"/>
      <c r="I85" s="4"/>
      <c r="J85" s="4"/>
      <c r="K85" s="4"/>
      <c r="L85" s="4"/>
      <c r="M85" s="4"/>
      <c r="N85" s="4"/>
      <c r="O85" s="4"/>
      <c r="P85" s="4"/>
      <c r="Q85" s="4"/>
      <c r="R85" s="4"/>
      <c r="S85" s="4"/>
      <c r="T85" s="4"/>
    </row>
    <row r="86" spans="1:20" s="12" customFormat="1" x14ac:dyDescent="0.2">
      <c r="A86" s="4"/>
      <c r="B86" s="4"/>
      <c r="C86" s="4"/>
      <c r="D86" s="4"/>
      <c r="E86" s="4"/>
      <c r="F86" s="4"/>
      <c r="G86" s="4"/>
      <c r="H86" s="4"/>
      <c r="I86" s="4"/>
      <c r="J86" s="4"/>
      <c r="K86" s="4"/>
      <c r="L86" s="4"/>
      <c r="M86" s="4"/>
      <c r="N86" s="4"/>
      <c r="O86" s="4"/>
      <c r="P86" s="4"/>
      <c r="Q86" s="4"/>
      <c r="R86" s="4"/>
      <c r="S86" s="4"/>
      <c r="T86" s="4"/>
    </row>
    <row r="87" spans="1:20" s="12" customFormat="1" x14ac:dyDescent="0.2">
      <c r="A87" s="4"/>
      <c r="B87" s="4"/>
      <c r="C87" s="4"/>
      <c r="D87" s="4"/>
      <c r="E87" s="4"/>
      <c r="F87" s="4"/>
      <c r="G87" s="4"/>
      <c r="H87" s="4"/>
      <c r="I87" s="4"/>
      <c r="J87" s="4"/>
      <c r="K87" s="4"/>
      <c r="L87" s="4"/>
      <c r="M87" s="4"/>
      <c r="N87" s="4"/>
      <c r="O87" s="4"/>
      <c r="P87" s="4"/>
      <c r="Q87" s="4"/>
      <c r="R87" s="4"/>
      <c r="S87" s="4"/>
      <c r="T87" s="4"/>
    </row>
    <row r="88" spans="1:20" s="12" customFormat="1" x14ac:dyDescent="0.2">
      <c r="A88" s="4"/>
      <c r="B88" s="4"/>
      <c r="C88" s="4"/>
      <c r="D88" s="4"/>
      <c r="E88" s="4"/>
      <c r="F88" s="4"/>
      <c r="G88" s="4"/>
      <c r="H88" s="4"/>
      <c r="I88" s="4"/>
      <c r="J88" s="4"/>
      <c r="K88" s="4"/>
      <c r="L88" s="4"/>
      <c r="M88" s="4"/>
      <c r="N88" s="4"/>
      <c r="O88" s="4"/>
      <c r="P88" s="4"/>
      <c r="Q88" s="4"/>
      <c r="R88" s="4"/>
      <c r="S88" s="4"/>
      <c r="T88" s="4"/>
    </row>
    <row r="89" spans="1:20" s="12" customFormat="1" x14ac:dyDescent="0.2">
      <c r="A89" s="4"/>
      <c r="B89" s="4"/>
      <c r="C89" s="4"/>
      <c r="D89" s="4"/>
      <c r="E89" s="4"/>
      <c r="F89" s="4"/>
      <c r="G89" s="4"/>
      <c r="H89" s="4"/>
      <c r="I89" s="4"/>
      <c r="J89" s="4"/>
      <c r="K89" s="4"/>
      <c r="L89" s="4"/>
      <c r="M89" s="4"/>
      <c r="N89" s="4"/>
      <c r="O89" s="4"/>
      <c r="P89" s="4"/>
      <c r="Q89" s="4"/>
      <c r="R89" s="4"/>
      <c r="S89" s="4"/>
      <c r="T89" s="4"/>
    </row>
    <row r="90" spans="1:20" s="12" customFormat="1" x14ac:dyDescent="0.2">
      <c r="A90" s="4"/>
      <c r="B90" s="4"/>
      <c r="C90" s="4"/>
      <c r="D90" s="4"/>
      <c r="E90" s="4"/>
      <c r="F90" s="4"/>
      <c r="G90" s="4"/>
      <c r="H90" s="4"/>
      <c r="I90" s="4"/>
      <c r="J90" s="4"/>
      <c r="K90" s="4"/>
      <c r="L90" s="4"/>
      <c r="M90" s="4"/>
      <c r="N90" s="4"/>
      <c r="O90" s="4"/>
      <c r="P90" s="4"/>
      <c r="Q90" s="4"/>
      <c r="R90" s="4"/>
      <c r="S90" s="4"/>
      <c r="T90" s="4"/>
    </row>
    <row r="91" spans="1:20" s="12" customFormat="1" x14ac:dyDescent="0.2">
      <c r="A91" s="4"/>
      <c r="B91" s="4"/>
      <c r="C91" s="4"/>
      <c r="D91" s="4"/>
      <c r="E91" s="4"/>
      <c r="F91" s="4"/>
      <c r="G91" s="4"/>
      <c r="H91" s="4"/>
      <c r="I91" s="4"/>
      <c r="J91" s="4"/>
      <c r="K91" s="4"/>
      <c r="L91" s="4"/>
      <c r="M91" s="4"/>
      <c r="N91" s="4"/>
      <c r="O91" s="4"/>
      <c r="P91" s="4"/>
      <c r="Q91" s="4"/>
      <c r="R91" s="4"/>
      <c r="S91" s="4"/>
      <c r="T91" s="4"/>
    </row>
    <row r="92" spans="1:20" s="12" customFormat="1" x14ac:dyDescent="0.2">
      <c r="A92" s="4"/>
      <c r="B92" s="4"/>
      <c r="C92" s="4"/>
      <c r="D92" s="4"/>
      <c r="E92" s="4"/>
      <c r="F92" s="4"/>
      <c r="G92" s="4"/>
      <c r="H92" s="4"/>
      <c r="I92" s="4"/>
      <c r="J92" s="4"/>
      <c r="K92" s="4"/>
      <c r="L92" s="4"/>
      <c r="M92" s="4"/>
      <c r="N92" s="4"/>
      <c r="O92" s="4"/>
      <c r="P92" s="4"/>
      <c r="Q92" s="4"/>
      <c r="R92" s="4"/>
      <c r="S92" s="4"/>
      <c r="T92" s="4"/>
    </row>
    <row r="93" spans="1:20" s="12" customFormat="1" x14ac:dyDescent="0.2">
      <c r="A93" s="4"/>
      <c r="B93" s="4"/>
      <c r="C93" s="4"/>
      <c r="D93" s="4"/>
      <c r="E93" s="4"/>
      <c r="F93" s="4"/>
      <c r="G93" s="4"/>
      <c r="H93" s="4"/>
      <c r="I93" s="4"/>
      <c r="J93" s="4"/>
      <c r="K93" s="4"/>
      <c r="L93" s="4"/>
      <c r="M93" s="4"/>
      <c r="N93" s="4"/>
      <c r="O93" s="4"/>
      <c r="P93" s="4"/>
      <c r="Q93" s="4"/>
      <c r="R93" s="4"/>
      <c r="S93" s="4"/>
      <c r="T93" s="4"/>
    </row>
    <row r="94" spans="1:20" s="12" customFormat="1" x14ac:dyDescent="0.2">
      <c r="A94" s="4"/>
      <c r="B94" s="4"/>
      <c r="C94" s="4"/>
      <c r="D94" s="4"/>
      <c r="E94" s="4"/>
      <c r="F94" s="4"/>
      <c r="G94" s="4"/>
      <c r="H94" s="4"/>
      <c r="I94" s="4"/>
      <c r="J94" s="4"/>
      <c r="K94" s="4"/>
      <c r="L94" s="4"/>
      <c r="M94" s="4"/>
      <c r="N94" s="4"/>
      <c r="O94" s="4"/>
      <c r="P94" s="4"/>
      <c r="Q94" s="4"/>
      <c r="R94" s="4"/>
      <c r="S94" s="4"/>
      <c r="T94" s="4"/>
    </row>
    <row r="95" spans="1:20" s="12" customFormat="1" x14ac:dyDescent="0.2">
      <c r="A95" s="4"/>
      <c r="B95" s="4"/>
      <c r="C95" s="4"/>
      <c r="D95" s="4"/>
      <c r="E95" s="4"/>
      <c r="F95" s="4"/>
      <c r="G95" s="4"/>
      <c r="H95" s="4"/>
      <c r="I95" s="4"/>
      <c r="J95" s="4"/>
      <c r="K95" s="4"/>
      <c r="L95" s="4"/>
      <c r="M95" s="4"/>
      <c r="N95" s="4"/>
      <c r="O95" s="4"/>
      <c r="P95" s="4"/>
      <c r="Q95" s="4"/>
      <c r="R95" s="4"/>
      <c r="S95" s="4"/>
      <c r="T95" s="4"/>
    </row>
    <row r="96" spans="1:20" s="12" customFormat="1" x14ac:dyDescent="0.2">
      <c r="A96" s="4"/>
      <c r="B96" s="4"/>
      <c r="C96" s="4"/>
      <c r="D96" s="4"/>
      <c r="E96" s="4"/>
      <c r="F96" s="4"/>
      <c r="G96" s="4"/>
      <c r="H96" s="4"/>
      <c r="I96" s="4"/>
      <c r="J96" s="4"/>
      <c r="K96" s="4"/>
      <c r="L96" s="4"/>
      <c r="M96" s="4"/>
      <c r="N96" s="4"/>
      <c r="O96" s="4"/>
      <c r="P96" s="4"/>
      <c r="Q96" s="4"/>
      <c r="R96" s="4"/>
      <c r="S96" s="4"/>
      <c r="T96" s="4"/>
    </row>
    <row r="97" spans="1:20" s="12" customFormat="1" x14ac:dyDescent="0.2">
      <c r="A97" s="4"/>
      <c r="B97" s="4"/>
      <c r="C97" s="4"/>
      <c r="D97" s="4"/>
      <c r="E97" s="4"/>
      <c r="F97" s="4"/>
      <c r="G97" s="4"/>
      <c r="H97" s="4"/>
      <c r="I97" s="4"/>
      <c r="J97" s="4"/>
      <c r="K97" s="4"/>
      <c r="L97" s="4"/>
      <c r="M97" s="4"/>
      <c r="N97" s="4"/>
      <c r="O97" s="4"/>
      <c r="P97" s="4"/>
      <c r="Q97" s="4"/>
      <c r="R97" s="4"/>
      <c r="S97" s="4"/>
      <c r="T97" s="4"/>
    </row>
    <row r="98" spans="1:20" s="12" customFormat="1" x14ac:dyDescent="0.2">
      <c r="A98" s="4"/>
      <c r="B98" s="4"/>
      <c r="C98" s="4"/>
      <c r="D98" s="4"/>
      <c r="E98" s="4"/>
      <c r="F98" s="4"/>
      <c r="G98" s="4"/>
      <c r="H98" s="4"/>
      <c r="I98" s="4"/>
      <c r="J98" s="4"/>
      <c r="K98" s="4"/>
      <c r="L98" s="4"/>
      <c r="M98" s="4"/>
      <c r="N98" s="4"/>
      <c r="O98" s="4"/>
      <c r="P98" s="4"/>
      <c r="Q98" s="4"/>
      <c r="R98" s="4"/>
      <c r="S98" s="4"/>
      <c r="T98" s="4"/>
    </row>
    <row r="99" spans="1:20" s="12" customFormat="1" x14ac:dyDescent="0.2">
      <c r="A99" s="4"/>
      <c r="B99" s="4"/>
      <c r="C99" s="4"/>
      <c r="D99" s="4"/>
      <c r="E99" s="4"/>
      <c r="F99" s="4"/>
      <c r="G99" s="4"/>
      <c r="H99" s="4"/>
      <c r="I99" s="4"/>
      <c r="J99" s="4"/>
      <c r="K99" s="4"/>
      <c r="L99" s="4"/>
      <c r="M99" s="4"/>
      <c r="N99" s="4"/>
      <c r="O99" s="4"/>
      <c r="P99" s="4"/>
      <c r="Q99" s="4"/>
      <c r="R99" s="4"/>
      <c r="S99" s="4"/>
      <c r="T99" s="4"/>
    </row>
    <row r="100" spans="1:20" s="12" customFormat="1" x14ac:dyDescent="0.2">
      <c r="A100" s="4"/>
      <c r="B100" s="4"/>
      <c r="C100" s="4"/>
      <c r="D100" s="4"/>
      <c r="E100" s="4"/>
      <c r="F100" s="4"/>
      <c r="G100" s="4"/>
      <c r="H100" s="4"/>
      <c r="I100" s="4"/>
      <c r="J100" s="4"/>
      <c r="K100" s="4"/>
      <c r="L100" s="4"/>
      <c r="M100" s="4"/>
      <c r="N100" s="4"/>
      <c r="O100" s="4"/>
      <c r="P100" s="4"/>
      <c r="Q100" s="4"/>
      <c r="R100" s="4"/>
      <c r="S100" s="4"/>
      <c r="T100" s="4"/>
    </row>
    <row r="101" spans="1:20" s="12" customFormat="1" x14ac:dyDescent="0.2">
      <c r="A101" s="4"/>
      <c r="B101" s="4"/>
      <c r="C101" s="4"/>
      <c r="D101" s="4"/>
      <c r="E101" s="4"/>
      <c r="F101" s="4"/>
      <c r="G101" s="4"/>
      <c r="H101" s="4"/>
      <c r="I101" s="4"/>
      <c r="J101" s="4"/>
      <c r="K101" s="4"/>
      <c r="L101" s="4"/>
      <c r="M101" s="4"/>
      <c r="N101" s="4"/>
      <c r="O101" s="4"/>
      <c r="P101" s="4"/>
      <c r="Q101" s="4"/>
      <c r="R101" s="4"/>
      <c r="S101" s="4"/>
      <c r="T101" s="4"/>
    </row>
    <row r="102" spans="1:20" s="12" customFormat="1" x14ac:dyDescent="0.2">
      <c r="A102" s="4"/>
      <c r="B102" s="4"/>
      <c r="C102" s="4"/>
      <c r="D102" s="4"/>
      <c r="E102" s="4"/>
      <c r="F102" s="4"/>
      <c r="G102" s="4"/>
      <c r="H102" s="4"/>
      <c r="I102" s="4"/>
      <c r="J102" s="4"/>
      <c r="K102" s="4"/>
      <c r="L102" s="4"/>
      <c r="M102" s="4"/>
      <c r="N102" s="4"/>
      <c r="O102" s="4"/>
      <c r="P102" s="4"/>
      <c r="Q102" s="4"/>
      <c r="R102" s="4"/>
      <c r="S102" s="4"/>
      <c r="T102" s="4"/>
    </row>
    <row r="103" spans="1:20" s="12" customFormat="1" x14ac:dyDescent="0.2">
      <c r="A103" s="4"/>
      <c r="B103" s="4"/>
      <c r="C103" s="4"/>
      <c r="D103" s="4"/>
      <c r="E103" s="4"/>
      <c r="F103" s="4"/>
      <c r="G103" s="4"/>
      <c r="H103" s="4"/>
      <c r="I103" s="4"/>
      <c r="J103" s="4"/>
      <c r="K103" s="4"/>
      <c r="L103" s="4"/>
      <c r="M103" s="4"/>
      <c r="N103" s="4"/>
      <c r="O103" s="4"/>
      <c r="P103" s="4"/>
      <c r="Q103" s="4"/>
      <c r="R103" s="4"/>
      <c r="S103" s="4"/>
      <c r="T103" s="4"/>
    </row>
    <row r="104" spans="1:20" s="12" customFormat="1" x14ac:dyDescent="0.2">
      <c r="A104" s="4"/>
      <c r="B104" s="4"/>
      <c r="C104" s="4"/>
      <c r="D104" s="4"/>
      <c r="E104" s="4"/>
      <c r="F104" s="4"/>
      <c r="G104" s="4"/>
      <c r="H104" s="4"/>
      <c r="I104" s="4"/>
      <c r="J104" s="4"/>
      <c r="K104" s="4"/>
      <c r="L104" s="4"/>
      <c r="M104" s="4"/>
      <c r="N104" s="4"/>
      <c r="O104" s="4"/>
      <c r="P104" s="4"/>
      <c r="Q104" s="4"/>
      <c r="R104" s="4"/>
      <c r="S104" s="4"/>
      <c r="T104" s="4"/>
    </row>
    <row r="105" spans="1:20" s="12" customFormat="1" x14ac:dyDescent="0.2">
      <c r="A105" s="4"/>
      <c r="B105" s="4"/>
      <c r="C105" s="4"/>
      <c r="D105" s="4"/>
      <c r="E105" s="4"/>
      <c r="F105" s="4"/>
      <c r="G105" s="4"/>
      <c r="H105" s="4"/>
      <c r="I105" s="4"/>
      <c r="J105" s="4"/>
      <c r="K105" s="4"/>
      <c r="L105" s="4"/>
      <c r="M105" s="4"/>
      <c r="N105" s="4"/>
      <c r="O105" s="4"/>
      <c r="P105" s="4"/>
      <c r="Q105" s="4"/>
      <c r="R105" s="4"/>
      <c r="S105" s="4"/>
      <c r="T105" s="4"/>
    </row>
    <row r="106" spans="1:20" s="12" customFormat="1" x14ac:dyDescent="0.2">
      <c r="A106" s="4"/>
      <c r="B106" s="4"/>
      <c r="C106" s="4"/>
      <c r="D106" s="4"/>
      <c r="E106" s="4"/>
      <c r="F106" s="4"/>
      <c r="G106" s="4"/>
      <c r="H106" s="4"/>
      <c r="I106" s="4"/>
      <c r="J106" s="4"/>
      <c r="K106" s="4"/>
      <c r="L106" s="4"/>
      <c r="M106" s="4"/>
      <c r="N106" s="4"/>
      <c r="O106" s="4"/>
      <c r="P106" s="4"/>
      <c r="Q106" s="4"/>
      <c r="R106" s="4"/>
      <c r="S106" s="4"/>
      <c r="T106" s="4"/>
    </row>
    <row r="107" spans="1:20" s="12" customFormat="1" x14ac:dyDescent="0.2">
      <c r="A107" s="4"/>
      <c r="B107" s="4"/>
      <c r="C107" s="4"/>
      <c r="D107" s="4"/>
      <c r="E107" s="4"/>
      <c r="F107" s="4"/>
      <c r="G107" s="4"/>
      <c r="H107" s="4"/>
      <c r="I107" s="4"/>
      <c r="J107" s="4"/>
      <c r="K107" s="4"/>
      <c r="L107" s="4"/>
      <c r="M107" s="4"/>
      <c r="N107" s="4"/>
      <c r="O107" s="4"/>
      <c r="P107" s="4"/>
      <c r="Q107" s="4"/>
      <c r="R107" s="4"/>
      <c r="S107" s="4"/>
      <c r="T107" s="4"/>
    </row>
    <row r="108" spans="1:20" s="12" customFormat="1" x14ac:dyDescent="0.2">
      <c r="A108" s="4"/>
      <c r="B108" s="4"/>
      <c r="C108" s="4"/>
      <c r="D108" s="4"/>
      <c r="E108" s="4"/>
      <c r="F108" s="4"/>
      <c r="G108" s="4"/>
      <c r="H108" s="4"/>
      <c r="I108" s="4"/>
      <c r="J108" s="4"/>
      <c r="K108" s="4"/>
      <c r="L108" s="4"/>
      <c r="M108" s="4"/>
      <c r="N108" s="4"/>
      <c r="O108" s="4"/>
      <c r="P108" s="4"/>
      <c r="Q108" s="4"/>
      <c r="R108" s="4"/>
      <c r="S108" s="4"/>
      <c r="T108" s="4"/>
    </row>
    <row r="109" spans="1:20" s="12" customFormat="1" x14ac:dyDescent="0.2">
      <c r="A109" s="4"/>
      <c r="B109" s="4"/>
      <c r="C109" s="4"/>
      <c r="D109" s="4"/>
      <c r="E109" s="4"/>
      <c r="F109" s="4"/>
      <c r="G109" s="4"/>
      <c r="H109" s="4"/>
      <c r="I109" s="4"/>
      <c r="J109" s="4"/>
      <c r="K109" s="4"/>
      <c r="L109" s="4"/>
      <c r="M109" s="4"/>
      <c r="N109" s="4"/>
      <c r="O109" s="4"/>
      <c r="P109" s="4"/>
      <c r="Q109" s="4"/>
      <c r="R109" s="4"/>
      <c r="S109" s="4"/>
      <c r="T109" s="4"/>
    </row>
    <row r="110" spans="1:20" s="12" customFormat="1" x14ac:dyDescent="0.2">
      <c r="A110" s="4"/>
      <c r="B110" s="4"/>
      <c r="C110" s="4"/>
      <c r="D110" s="4"/>
      <c r="E110" s="4"/>
      <c r="F110" s="4"/>
      <c r="G110" s="4"/>
      <c r="H110" s="4"/>
      <c r="I110" s="4"/>
      <c r="J110" s="4"/>
      <c r="K110" s="4"/>
      <c r="L110" s="4"/>
      <c r="M110" s="4"/>
      <c r="N110" s="4"/>
      <c r="O110" s="4"/>
      <c r="P110" s="4"/>
      <c r="Q110" s="4"/>
      <c r="R110" s="4"/>
      <c r="S110" s="4"/>
      <c r="T110" s="4"/>
    </row>
    <row r="111" spans="1:20" s="12" customFormat="1" x14ac:dyDescent="0.2">
      <c r="A111" s="4"/>
      <c r="B111" s="4"/>
      <c r="C111" s="4"/>
      <c r="D111" s="4"/>
      <c r="E111" s="4"/>
      <c r="F111" s="4"/>
      <c r="G111" s="4"/>
      <c r="H111" s="4"/>
      <c r="I111" s="4"/>
      <c r="J111" s="4"/>
      <c r="K111" s="4"/>
      <c r="L111" s="4"/>
      <c r="M111" s="4"/>
      <c r="N111" s="4"/>
      <c r="O111" s="4"/>
      <c r="P111" s="4"/>
      <c r="Q111" s="4"/>
      <c r="R111" s="4"/>
      <c r="S111" s="4"/>
      <c r="T111" s="4"/>
    </row>
    <row r="112" spans="1:20" s="12" customFormat="1" x14ac:dyDescent="0.2">
      <c r="A112" s="4"/>
      <c r="B112" s="4"/>
      <c r="C112" s="4"/>
      <c r="D112" s="4"/>
      <c r="E112" s="4"/>
      <c r="F112" s="4"/>
      <c r="G112" s="4"/>
      <c r="H112" s="4"/>
      <c r="I112" s="4"/>
      <c r="J112" s="4"/>
      <c r="K112" s="4"/>
      <c r="L112" s="4"/>
      <c r="M112" s="4"/>
      <c r="N112" s="4"/>
      <c r="O112" s="4"/>
      <c r="P112" s="4"/>
      <c r="Q112" s="4"/>
      <c r="R112" s="4"/>
      <c r="S112" s="4"/>
      <c r="T112" s="4"/>
    </row>
    <row r="113" spans="1:20" s="12" customFormat="1" x14ac:dyDescent="0.2">
      <c r="A113" s="4"/>
      <c r="B113" s="4"/>
      <c r="C113" s="4"/>
      <c r="D113" s="4"/>
      <c r="E113" s="4"/>
      <c r="F113" s="4"/>
      <c r="G113" s="4"/>
      <c r="H113" s="4"/>
      <c r="I113" s="4"/>
      <c r="J113" s="4"/>
      <c r="K113" s="4"/>
      <c r="L113" s="4"/>
      <c r="M113" s="4"/>
      <c r="N113" s="4"/>
      <c r="O113" s="4"/>
      <c r="P113" s="4"/>
      <c r="Q113" s="4"/>
      <c r="R113" s="4"/>
      <c r="S113" s="4"/>
      <c r="T113" s="4"/>
    </row>
    <row r="114" spans="1:20" s="12" customFormat="1" x14ac:dyDescent="0.2">
      <c r="A114" s="4"/>
      <c r="B114" s="4"/>
      <c r="C114" s="4"/>
      <c r="D114" s="4"/>
      <c r="E114" s="4"/>
      <c r="F114" s="4"/>
      <c r="G114" s="4"/>
      <c r="H114" s="4"/>
      <c r="I114" s="4"/>
      <c r="J114" s="4"/>
      <c r="K114" s="4"/>
      <c r="L114" s="4"/>
      <c r="M114" s="4"/>
      <c r="N114" s="4"/>
      <c r="O114" s="4"/>
      <c r="P114" s="4"/>
      <c r="Q114" s="4"/>
      <c r="R114" s="4"/>
      <c r="S114" s="4"/>
      <c r="T114" s="4"/>
    </row>
    <row r="115" spans="1:20" s="12" customFormat="1" x14ac:dyDescent="0.2">
      <c r="A115" s="4"/>
      <c r="B115" s="4"/>
      <c r="C115" s="4"/>
      <c r="D115" s="4"/>
      <c r="E115" s="4"/>
      <c r="F115" s="4"/>
      <c r="G115" s="4"/>
      <c r="H115" s="4"/>
      <c r="I115" s="4"/>
      <c r="J115" s="4"/>
      <c r="K115" s="4"/>
      <c r="L115" s="4"/>
      <c r="M115" s="4"/>
      <c r="N115" s="4"/>
      <c r="O115" s="4"/>
      <c r="P115" s="4"/>
      <c r="Q115" s="4"/>
      <c r="R115" s="4"/>
      <c r="S115" s="4"/>
      <c r="T115" s="4"/>
    </row>
    <row r="116" spans="1:20" s="12" customFormat="1" x14ac:dyDescent="0.2">
      <c r="A116" s="4"/>
      <c r="B116" s="4"/>
      <c r="C116" s="4"/>
      <c r="D116" s="4"/>
      <c r="E116" s="4"/>
      <c r="F116" s="4"/>
      <c r="G116" s="4"/>
      <c r="H116" s="4"/>
      <c r="I116" s="4"/>
      <c r="J116" s="4"/>
      <c r="K116" s="4"/>
      <c r="L116" s="4"/>
      <c r="M116" s="4"/>
      <c r="N116" s="4"/>
      <c r="O116" s="4"/>
      <c r="P116" s="4"/>
      <c r="Q116" s="4"/>
      <c r="R116" s="4"/>
      <c r="S116" s="4"/>
      <c r="T116" s="4"/>
    </row>
    <row r="117" spans="1:20" s="12" customFormat="1" x14ac:dyDescent="0.2">
      <c r="A117" s="4"/>
      <c r="B117" s="4"/>
      <c r="C117" s="4"/>
      <c r="D117" s="4"/>
      <c r="E117" s="4"/>
      <c r="F117" s="4"/>
      <c r="G117" s="4"/>
      <c r="H117" s="4"/>
      <c r="I117" s="4"/>
      <c r="J117" s="4"/>
      <c r="K117" s="4"/>
      <c r="L117" s="4"/>
      <c r="M117" s="4"/>
      <c r="N117" s="4"/>
      <c r="O117" s="4"/>
      <c r="P117" s="4"/>
      <c r="Q117" s="4"/>
      <c r="R117" s="4"/>
      <c r="S117" s="4"/>
      <c r="T117" s="4"/>
    </row>
    <row r="118" spans="1:20" s="12" customFormat="1" x14ac:dyDescent="0.2">
      <c r="A118" s="4"/>
      <c r="B118" s="4"/>
      <c r="C118" s="4"/>
      <c r="D118" s="4"/>
      <c r="E118" s="4"/>
      <c r="F118" s="4"/>
      <c r="G118" s="4"/>
      <c r="H118" s="4"/>
      <c r="I118" s="4"/>
      <c r="J118" s="4"/>
      <c r="K118" s="4"/>
      <c r="L118" s="4"/>
      <c r="M118" s="4"/>
      <c r="N118" s="4"/>
      <c r="O118" s="4"/>
      <c r="P118" s="4"/>
      <c r="Q118" s="4"/>
      <c r="R118" s="4"/>
      <c r="S118" s="4"/>
      <c r="T118" s="4"/>
    </row>
    <row r="119" spans="1:20" s="12" customFormat="1" x14ac:dyDescent="0.2">
      <c r="A119" s="4"/>
      <c r="B119" s="4"/>
      <c r="C119" s="4"/>
      <c r="D119" s="4"/>
      <c r="E119" s="4"/>
      <c r="F119" s="4"/>
      <c r="G119" s="4"/>
      <c r="H119" s="4"/>
      <c r="I119" s="4"/>
      <c r="J119" s="4"/>
      <c r="K119" s="4"/>
      <c r="L119" s="4"/>
      <c r="M119" s="4"/>
      <c r="N119" s="4"/>
      <c r="O119" s="4"/>
      <c r="P119" s="4"/>
      <c r="Q119" s="4"/>
      <c r="R119" s="4"/>
      <c r="S119" s="4"/>
      <c r="T119" s="4"/>
    </row>
    <row r="120" spans="1:20" s="12" customFormat="1" x14ac:dyDescent="0.2">
      <c r="A120" s="4"/>
      <c r="B120" s="4"/>
      <c r="C120" s="4"/>
      <c r="D120" s="4"/>
      <c r="E120" s="4"/>
      <c r="F120" s="4"/>
      <c r="G120" s="4"/>
      <c r="H120" s="4"/>
      <c r="I120" s="4"/>
      <c r="J120" s="4"/>
      <c r="K120" s="4"/>
      <c r="L120" s="4"/>
      <c r="M120" s="4"/>
      <c r="N120" s="4"/>
      <c r="O120" s="4"/>
      <c r="P120" s="4"/>
      <c r="Q120" s="4"/>
      <c r="R120" s="4"/>
      <c r="S120" s="4"/>
      <c r="T120" s="4"/>
    </row>
    <row r="121" spans="1:20" s="12" customFormat="1" x14ac:dyDescent="0.2">
      <c r="A121" s="4"/>
      <c r="B121" s="4"/>
      <c r="C121" s="4"/>
      <c r="D121" s="4"/>
      <c r="E121" s="4"/>
      <c r="F121" s="4"/>
      <c r="G121" s="4"/>
      <c r="H121" s="4"/>
      <c r="I121" s="4"/>
      <c r="J121" s="4"/>
      <c r="K121" s="4"/>
      <c r="L121" s="4"/>
      <c r="M121" s="4"/>
      <c r="N121" s="4"/>
      <c r="O121" s="4"/>
      <c r="P121" s="4"/>
      <c r="Q121" s="4"/>
      <c r="R121" s="4"/>
      <c r="S121" s="4"/>
      <c r="T121" s="4"/>
    </row>
    <row r="122" spans="1:20" s="12" customFormat="1" x14ac:dyDescent="0.2">
      <c r="A122" s="4"/>
      <c r="B122" s="4"/>
      <c r="C122" s="4"/>
      <c r="D122" s="4"/>
      <c r="E122" s="4"/>
      <c r="F122" s="4"/>
      <c r="G122" s="4"/>
      <c r="H122" s="4"/>
      <c r="I122" s="4"/>
      <c r="J122" s="4"/>
      <c r="K122" s="4"/>
      <c r="L122" s="4"/>
      <c r="M122" s="4"/>
      <c r="N122" s="4"/>
      <c r="O122" s="4"/>
      <c r="P122" s="4"/>
      <c r="Q122" s="4"/>
      <c r="R122" s="4"/>
      <c r="S122" s="4"/>
      <c r="T122" s="4"/>
    </row>
    <row r="123" spans="1:20" s="12" customFormat="1" x14ac:dyDescent="0.2">
      <c r="A123" s="4"/>
      <c r="B123" s="4"/>
      <c r="C123" s="4"/>
      <c r="D123" s="4"/>
      <c r="E123" s="4"/>
      <c r="F123" s="4"/>
      <c r="G123" s="4"/>
      <c r="H123" s="4"/>
      <c r="I123" s="4"/>
      <c r="J123" s="4"/>
      <c r="K123" s="4"/>
      <c r="L123" s="4"/>
      <c r="M123" s="4"/>
      <c r="N123" s="4"/>
      <c r="O123" s="4"/>
      <c r="P123" s="4"/>
      <c r="Q123" s="4"/>
      <c r="R123" s="4"/>
      <c r="S123" s="4"/>
      <c r="T123" s="4"/>
    </row>
    <row r="124" spans="1:20" s="12" customFormat="1" x14ac:dyDescent="0.2">
      <c r="A124" s="4"/>
      <c r="B124" s="4"/>
      <c r="C124" s="4"/>
      <c r="D124" s="4"/>
      <c r="E124" s="4"/>
      <c r="F124" s="4"/>
      <c r="G124" s="4"/>
      <c r="H124" s="4"/>
      <c r="I124" s="4"/>
      <c r="J124" s="4"/>
      <c r="K124" s="4"/>
      <c r="L124" s="4"/>
      <c r="M124" s="4"/>
      <c r="N124" s="4"/>
      <c r="O124" s="4"/>
      <c r="P124" s="4"/>
      <c r="Q124" s="4"/>
      <c r="R124" s="4"/>
      <c r="S124" s="4"/>
      <c r="T124" s="4"/>
    </row>
    <row r="125" spans="1:20" s="12" customFormat="1" x14ac:dyDescent="0.2">
      <c r="A125" s="4"/>
      <c r="B125" s="4"/>
      <c r="C125" s="4"/>
      <c r="D125" s="4"/>
      <c r="E125" s="4"/>
      <c r="F125" s="4"/>
      <c r="G125" s="4"/>
      <c r="H125" s="4"/>
      <c r="I125" s="4"/>
      <c r="J125" s="4"/>
      <c r="K125" s="4"/>
      <c r="L125" s="4"/>
      <c r="M125" s="4"/>
      <c r="N125" s="4"/>
      <c r="O125" s="4"/>
      <c r="P125" s="4"/>
      <c r="Q125" s="4"/>
      <c r="R125" s="4"/>
      <c r="S125" s="4"/>
      <c r="T125" s="4"/>
    </row>
    <row r="126" spans="1:20" s="12" customFormat="1" x14ac:dyDescent="0.2">
      <c r="A126" s="4"/>
      <c r="B126" s="4"/>
      <c r="C126" s="4"/>
      <c r="D126" s="4"/>
      <c r="E126" s="4"/>
      <c r="F126" s="4"/>
      <c r="G126" s="4"/>
      <c r="H126" s="4"/>
      <c r="I126" s="4"/>
      <c r="J126" s="4"/>
      <c r="K126" s="4"/>
      <c r="L126" s="4"/>
      <c r="M126" s="4"/>
      <c r="N126" s="4"/>
      <c r="O126" s="4"/>
      <c r="P126" s="4"/>
      <c r="Q126" s="4"/>
      <c r="R126" s="4"/>
      <c r="S126" s="4"/>
      <c r="T126" s="4"/>
    </row>
    <row r="127" spans="1:20" s="12" customFormat="1" x14ac:dyDescent="0.2">
      <c r="A127" s="4"/>
      <c r="B127" s="4"/>
      <c r="C127" s="4"/>
      <c r="D127" s="4"/>
      <c r="E127" s="4"/>
      <c r="F127" s="4"/>
      <c r="G127" s="4"/>
      <c r="H127" s="4"/>
      <c r="I127" s="4"/>
      <c r="J127" s="4"/>
      <c r="K127" s="4"/>
      <c r="L127" s="4"/>
      <c r="M127" s="4"/>
      <c r="N127" s="4"/>
      <c r="O127" s="4"/>
      <c r="P127" s="4"/>
      <c r="Q127" s="4"/>
      <c r="R127" s="4"/>
      <c r="S127" s="4"/>
      <c r="T127" s="4"/>
    </row>
    <row r="128" spans="1:20" s="12" customFormat="1" x14ac:dyDescent="0.2">
      <c r="A128" s="4"/>
      <c r="B128" s="4"/>
      <c r="C128" s="4"/>
      <c r="D128" s="4"/>
      <c r="E128" s="4"/>
      <c r="F128" s="4"/>
      <c r="G128" s="4"/>
      <c r="H128" s="4"/>
      <c r="I128" s="4"/>
      <c r="J128" s="4"/>
      <c r="K128" s="4"/>
      <c r="L128" s="4"/>
      <c r="M128" s="4"/>
      <c r="N128" s="4"/>
      <c r="O128" s="4"/>
      <c r="P128" s="4"/>
      <c r="Q128" s="4"/>
      <c r="R128" s="4"/>
      <c r="S128" s="4"/>
      <c r="T128" s="4"/>
    </row>
    <row r="129" spans="1:20" s="12" customFormat="1" x14ac:dyDescent="0.2">
      <c r="A129" s="4"/>
      <c r="B129" s="4"/>
      <c r="C129" s="4"/>
      <c r="D129" s="4"/>
      <c r="E129" s="4"/>
      <c r="F129" s="4"/>
      <c r="G129" s="4"/>
      <c r="H129" s="4"/>
      <c r="I129" s="4"/>
      <c r="J129" s="4"/>
      <c r="K129" s="4"/>
      <c r="L129" s="4"/>
      <c r="M129" s="4"/>
      <c r="N129" s="4"/>
      <c r="O129" s="4"/>
      <c r="P129" s="4"/>
      <c r="Q129" s="4"/>
      <c r="R129" s="4"/>
      <c r="S129" s="4"/>
      <c r="T129" s="4"/>
    </row>
    <row r="130" spans="1:20" s="12" customFormat="1" x14ac:dyDescent="0.2">
      <c r="A130" s="4"/>
      <c r="B130" s="4"/>
      <c r="C130" s="4"/>
      <c r="D130" s="4"/>
      <c r="E130" s="4"/>
      <c r="F130" s="4"/>
      <c r="G130" s="4"/>
      <c r="H130" s="4"/>
      <c r="I130" s="4"/>
      <c r="J130" s="4"/>
      <c r="K130" s="4"/>
      <c r="L130" s="4"/>
      <c r="M130" s="4"/>
      <c r="N130" s="4"/>
      <c r="O130" s="4"/>
      <c r="P130" s="4"/>
      <c r="Q130" s="4"/>
      <c r="R130" s="4"/>
      <c r="S130" s="4"/>
      <c r="T130" s="4"/>
    </row>
    <row r="131" spans="1:20" s="12" customFormat="1" x14ac:dyDescent="0.2">
      <c r="A131" s="4"/>
      <c r="B131" s="4"/>
      <c r="C131" s="4"/>
      <c r="D131" s="4"/>
      <c r="E131" s="4"/>
      <c r="F131" s="4"/>
      <c r="G131" s="4"/>
      <c r="H131" s="4"/>
      <c r="I131" s="4"/>
      <c r="J131" s="4"/>
      <c r="K131" s="4"/>
      <c r="L131" s="4"/>
      <c r="M131" s="4"/>
      <c r="N131" s="4"/>
      <c r="O131" s="4"/>
      <c r="P131" s="4"/>
      <c r="Q131" s="4"/>
      <c r="R131" s="4"/>
      <c r="S131" s="4"/>
      <c r="T131" s="4"/>
    </row>
    <row r="132" spans="1:20" s="12" customFormat="1" x14ac:dyDescent="0.2">
      <c r="A132" s="4"/>
      <c r="B132" s="4"/>
      <c r="C132" s="4"/>
      <c r="D132" s="4"/>
      <c r="E132" s="4"/>
      <c r="F132" s="4"/>
      <c r="G132" s="4"/>
      <c r="H132" s="4"/>
      <c r="I132" s="4"/>
      <c r="J132" s="4"/>
      <c r="K132" s="4"/>
      <c r="L132" s="4"/>
      <c r="M132" s="4"/>
      <c r="N132" s="4"/>
      <c r="O132" s="4"/>
      <c r="P132" s="4"/>
      <c r="Q132" s="4"/>
      <c r="R132" s="4"/>
      <c r="S132" s="4"/>
      <c r="T132" s="4"/>
    </row>
    <row r="133" spans="1:20" s="12" customFormat="1" x14ac:dyDescent="0.2">
      <c r="A133" s="4"/>
      <c r="B133" s="4"/>
      <c r="C133" s="4"/>
      <c r="D133" s="4"/>
      <c r="E133" s="4"/>
      <c r="F133" s="4"/>
      <c r="G133" s="4"/>
      <c r="H133" s="4"/>
      <c r="I133" s="4"/>
      <c r="J133" s="4"/>
      <c r="K133" s="4"/>
      <c r="L133" s="4"/>
      <c r="M133" s="4"/>
      <c r="N133" s="4"/>
      <c r="O133" s="4"/>
      <c r="P133" s="4"/>
      <c r="Q133" s="4"/>
      <c r="R133" s="4"/>
      <c r="S133" s="4"/>
      <c r="T133" s="4"/>
    </row>
  </sheetData>
  <mergeCells count="2">
    <mergeCell ref="A8:D8"/>
    <mergeCell ref="A36:D36"/>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02"/>
  <sheetViews>
    <sheetView zoomScale="80" zoomScaleNormal="80" workbookViewId="0">
      <pane xSplit="2" ySplit="4" topLeftCell="C14" activePane="bottomRight" state="frozen"/>
      <selection pane="topRight" activeCell="C1" sqref="C1"/>
      <selection pane="bottomLeft" activeCell="A5" sqref="A5"/>
      <selection pane="bottomRight" activeCell="I54" sqref="I54"/>
    </sheetView>
  </sheetViews>
  <sheetFormatPr defaultRowHeight="12.75" x14ac:dyDescent="0.2"/>
  <cols>
    <col min="1" max="1" width="10.28515625" style="2" bestFit="1" customWidth="1"/>
    <col min="2" max="2" width="26.28515625" style="2" customWidth="1"/>
    <col min="3" max="3" width="12.42578125" style="4" customWidth="1"/>
    <col min="4" max="4" width="10.140625" style="4" customWidth="1"/>
    <col min="5" max="5" width="2.7109375" style="4" customWidth="1"/>
    <col min="6" max="6" width="10.7109375" style="2" customWidth="1"/>
    <col min="7" max="8" width="12" style="2" customWidth="1"/>
    <col min="9" max="16" width="10.7109375" style="2" customWidth="1"/>
    <col min="17" max="17" width="10.5703125" style="2" customWidth="1"/>
    <col min="18" max="18" width="12.85546875" style="2" customWidth="1"/>
    <col min="19" max="19" width="10.7109375" style="2" customWidth="1"/>
    <col min="20" max="20" width="9.140625" style="2" customWidth="1"/>
    <col min="21" max="219" width="9.140625" style="1"/>
    <col min="220" max="220" width="9.28515625" style="1" bestFit="1" customWidth="1"/>
    <col min="221" max="221" width="28.140625" style="1" bestFit="1" customWidth="1"/>
    <col min="222" max="222" width="15.7109375" style="1" customWidth="1"/>
    <col min="223" max="223" width="9.140625" style="1" customWidth="1"/>
    <col min="224" max="224" width="14.28515625" style="1" customWidth="1"/>
    <col min="225" max="225" width="9.140625" style="1" customWidth="1"/>
    <col min="226" max="227" width="12.85546875" style="1" customWidth="1"/>
    <col min="228" max="228" width="9.140625" style="1" customWidth="1"/>
    <col min="229" max="229" width="10.7109375" style="1" customWidth="1"/>
    <col min="230" max="231" width="12" style="1" customWidth="1"/>
    <col min="232" max="239" width="10.7109375" style="1" customWidth="1"/>
    <col min="240" max="240" width="10.5703125" style="1" customWidth="1"/>
    <col min="241" max="241" width="11.140625" style="1" customWidth="1"/>
    <col min="242" max="242" width="10.7109375" style="1" customWidth="1"/>
    <col min="243" max="244" width="9.140625" style="1" customWidth="1"/>
    <col min="245" max="245" width="10.28515625" style="1" customWidth="1"/>
    <col min="246" max="247" width="10" style="1" customWidth="1"/>
    <col min="248" max="249" width="10.140625" style="1" customWidth="1"/>
    <col min="250" max="253" width="10" style="1" customWidth="1"/>
    <col min="254" max="254" width="10.140625" style="1" customWidth="1"/>
    <col min="255" max="256" width="10" style="1" customWidth="1"/>
    <col min="257" max="257" width="10.28515625" style="1" customWidth="1"/>
    <col min="258" max="258" width="13.140625" style="1" customWidth="1"/>
    <col min="259" max="259" width="7.85546875" style="1" customWidth="1"/>
    <col min="260" max="261" width="9.140625" style="1" customWidth="1"/>
    <col min="262" max="262" width="11.7109375" style="1" customWidth="1"/>
    <col min="263" max="263" width="11.5703125" style="1" bestFit="1" customWidth="1"/>
    <col min="264" max="270" width="10.28515625" style="1" bestFit="1" customWidth="1"/>
    <col min="271" max="274" width="9.28515625" style="1" bestFit="1" customWidth="1"/>
    <col min="275" max="275" width="9.85546875" style="1" bestFit="1" customWidth="1"/>
    <col min="276" max="276" width="10.85546875" style="1" bestFit="1" customWidth="1"/>
    <col min="277" max="475" width="9.140625" style="1"/>
    <col min="476" max="476" width="9.28515625" style="1" bestFit="1" customWidth="1"/>
    <col min="477" max="477" width="28.140625" style="1" bestFit="1" customWidth="1"/>
    <col min="478" max="478" width="15.7109375" style="1" customWidth="1"/>
    <col min="479" max="479" width="9.140625" style="1" customWidth="1"/>
    <col min="480" max="480" width="14.28515625" style="1" customWidth="1"/>
    <col min="481" max="481" width="9.140625" style="1" customWidth="1"/>
    <col min="482" max="483" width="12.85546875" style="1" customWidth="1"/>
    <col min="484" max="484" width="9.140625" style="1" customWidth="1"/>
    <col min="485" max="485" width="10.7109375" style="1" customWidth="1"/>
    <col min="486" max="487" width="12" style="1" customWidth="1"/>
    <col min="488" max="495" width="10.7109375" style="1" customWidth="1"/>
    <col min="496" max="496" width="10.5703125" style="1" customWidth="1"/>
    <col min="497" max="497" width="11.140625" style="1" customWidth="1"/>
    <col min="498" max="498" width="10.7109375" style="1" customWidth="1"/>
    <col min="499" max="500" width="9.140625" style="1" customWidth="1"/>
    <col min="501" max="501" width="10.28515625" style="1" customWidth="1"/>
    <col min="502" max="503" width="10" style="1" customWidth="1"/>
    <col min="504" max="505" width="10.140625" style="1" customWidth="1"/>
    <col min="506" max="509" width="10" style="1" customWidth="1"/>
    <col min="510" max="510" width="10.140625" style="1" customWidth="1"/>
    <col min="511" max="512" width="10" style="1" customWidth="1"/>
    <col min="513" max="513" width="10.28515625" style="1" customWidth="1"/>
    <col min="514" max="514" width="13.140625" style="1" customWidth="1"/>
    <col min="515" max="515" width="7.85546875" style="1" customWidth="1"/>
    <col min="516" max="517" width="9.140625" style="1" customWidth="1"/>
    <col min="518" max="518" width="11.7109375" style="1" customWidth="1"/>
    <col min="519" max="519" width="11.5703125" style="1" bestFit="1" customWidth="1"/>
    <col min="520" max="526" width="10.28515625" style="1" bestFit="1" customWidth="1"/>
    <col min="527" max="530" width="9.28515625" style="1" bestFit="1" customWidth="1"/>
    <col min="531" max="531" width="9.85546875" style="1" bestFit="1" customWidth="1"/>
    <col min="532" max="532" width="10.85546875" style="1" bestFit="1" customWidth="1"/>
    <col min="533" max="731" width="9.140625" style="1"/>
    <col min="732" max="732" width="9.28515625" style="1" bestFit="1" customWidth="1"/>
    <col min="733" max="733" width="28.140625" style="1" bestFit="1" customWidth="1"/>
    <col min="734" max="734" width="15.7109375" style="1" customWidth="1"/>
    <col min="735" max="735" width="9.140625" style="1" customWidth="1"/>
    <col min="736" max="736" width="14.28515625" style="1" customWidth="1"/>
    <col min="737" max="737" width="9.140625" style="1" customWidth="1"/>
    <col min="738" max="739" width="12.85546875" style="1" customWidth="1"/>
    <col min="740" max="740" width="9.140625" style="1" customWidth="1"/>
    <col min="741" max="741" width="10.7109375" style="1" customWidth="1"/>
    <col min="742" max="743" width="12" style="1" customWidth="1"/>
    <col min="744" max="751" width="10.7109375" style="1" customWidth="1"/>
    <col min="752" max="752" width="10.5703125" style="1" customWidth="1"/>
    <col min="753" max="753" width="11.140625" style="1" customWidth="1"/>
    <col min="754" max="754" width="10.7109375" style="1" customWidth="1"/>
    <col min="755" max="756" width="9.140625" style="1" customWidth="1"/>
    <col min="757" max="757" width="10.28515625" style="1" customWidth="1"/>
    <col min="758" max="759" width="10" style="1" customWidth="1"/>
    <col min="760" max="761" width="10.140625" style="1" customWidth="1"/>
    <col min="762" max="765" width="10" style="1" customWidth="1"/>
    <col min="766" max="766" width="10.140625" style="1" customWidth="1"/>
    <col min="767" max="768" width="10" style="1" customWidth="1"/>
    <col min="769" max="769" width="10.28515625" style="1" customWidth="1"/>
    <col min="770" max="770" width="13.140625" style="1" customWidth="1"/>
    <col min="771" max="771" width="7.85546875" style="1" customWidth="1"/>
    <col min="772" max="773" width="9.140625" style="1" customWidth="1"/>
    <col min="774" max="774" width="11.7109375" style="1" customWidth="1"/>
    <col min="775" max="775" width="11.5703125" style="1" bestFit="1" customWidth="1"/>
    <col min="776" max="782" width="10.28515625" style="1" bestFit="1" customWidth="1"/>
    <col min="783" max="786" width="9.28515625" style="1" bestFit="1" customWidth="1"/>
    <col min="787" max="787" width="9.85546875" style="1" bestFit="1" customWidth="1"/>
    <col min="788" max="788" width="10.85546875" style="1" bestFit="1" customWidth="1"/>
    <col min="789" max="987" width="9.140625" style="1"/>
    <col min="988" max="988" width="9.28515625" style="1" bestFit="1" customWidth="1"/>
    <col min="989" max="989" width="28.140625" style="1" bestFit="1" customWidth="1"/>
    <col min="990" max="990" width="15.7109375" style="1" customWidth="1"/>
    <col min="991" max="991" width="9.140625" style="1" customWidth="1"/>
    <col min="992" max="992" width="14.28515625" style="1" customWidth="1"/>
    <col min="993" max="993" width="9.140625" style="1" customWidth="1"/>
    <col min="994" max="995" width="12.85546875" style="1" customWidth="1"/>
    <col min="996" max="996" width="9.140625" style="1" customWidth="1"/>
    <col min="997" max="997" width="10.7109375" style="1" customWidth="1"/>
    <col min="998" max="999" width="12" style="1" customWidth="1"/>
    <col min="1000" max="1007" width="10.7109375" style="1" customWidth="1"/>
    <col min="1008" max="1008" width="10.5703125" style="1" customWidth="1"/>
    <col min="1009" max="1009" width="11.140625" style="1" customWidth="1"/>
    <col min="1010" max="1010" width="10.7109375" style="1" customWidth="1"/>
    <col min="1011" max="1012" width="9.140625" style="1" customWidth="1"/>
    <col min="1013" max="1013" width="10.28515625" style="1" customWidth="1"/>
    <col min="1014" max="1015" width="10" style="1" customWidth="1"/>
    <col min="1016" max="1017" width="10.140625" style="1" customWidth="1"/>
    <col min="1018" max="1021" width="10" style="1" customWidth="1"/>
    <col min="1022" max="1022" width="10.140625" style="1" customWidth="1"/>
    <col min="1023" max="1024" width="10" style="1" customWidth="1"/>
    <col min="1025" max="1025" width="10.28515625" style="1" customWidth="1"/>
    <col min="1026" max="1026" width="13.140625" style="1" customWidth="1"/>
    <col min="1027" max="1027" width="7.85546875" style="1" customWidth="1"/>
    <col min="1028" max="1029" width="9.140625" style="1" customWidth="1"/>
    <col min="1030" max="1030" width="11.7109375" style="1" customWidth="1"/>
    <col min="1031" max="1031" width="11.5703125" style="1" bestFit="1" customWidth="1"/>
    <col min="1032" max="1038" width="10.28515625" style="1" bestFit="1" customWidth="1"/>
    <col min="1039" max="1042" width="9.28515625" style="1" bestFit="1" customWidth="1"/>
    <col min="1043" max="1043" width="9.85546875" style="1" bestFit="1" customWidth="1"/>
    <col min="1044" max="1044" width="10.85546875" style="1" bestFit="1" customWidth="1"/>
    <col min="1045" max="1243" width="9.140625" style="1"/>
    <col min="1244" max="1244" width="9.28515625" style="1" bestFit="1" customWidth="1"/>
    <col min="1245" max="1245" width="28.140625" style="1" bestFit="1" customWidth="1"/>
    <col min="1246" max="1246" width="15.7109375" style="1" customWidth="1"/>
    <col min="1247" max="1247" width="9.140625" style="1" customWidth="1"/>
    <col min="1248" max="1248" width="14.28515625" style="1" customWidth="1"/>
    <col min="1249" max="1249" width="9.140625" style="1" customWidth="1"/>
    <col min="1250" max="1251" width="12.85546875" style="1" customWidth="1"/>
    <col min="1252" max="1252" width="9.140625" style="1" customWidth="1"/>
    <col min="1253" max="1253" width="10.7109375" style="1" customWidth="1"/>
    <col min="1254" max="1255" width="12" style="1" customWidth="1"/>
    <col min="1256" max="1263" width="10.7109375" style="1" customWidth="1"/>
    <col min="1264" max="1264" width="10.5703125" style="1" customWidth="1"/>
    <col min="1265" max="1265" width="11.140625" style="1" customWidth="1"/>
    <col min="1266" max="1266" width="10.7109375" style="1" customWidth="1"/>
    <col min="1267" max="1268" width="9.140625" style="1" customWidth="1"/>
    <col min="1269" max="1269" width="10.28515625" style="1" customWidth="1"/>
    <col min="1270" max="1271" width="10" style="1" customWidth="1"/>
    <col min="1272" max="1273" width="10.140625" style="1" customWidth="1"/>
    <col min="1274" max="1277" width="10" style="1" customWidth="1"/>
    <col min="1278" max="1278" width="10.140625" style="1" customWidth="1"/>
    <col min="1279" max="1280" width="10" style="1" customWidth="1"/>
    <col min="1281" max="1281" width="10.28515625" style="1" customWidth="1"/>
    <col min="1282" max="1282" width="13.140625" style="1" customWidth="1"/>
    <col min="1283" max="1283" width="7.85546875" style="1" customWidth="1"/>
    <col min="1284" max="1285" width="9.140625" style="1" customWidth="1"/>
    <col min="1286" max="1286" width="11.7109375" style="1" customWidth="1"/>
    <col min="1287" max="1287" width="11.5703125" style="1" bestFit="1" customWidth="1"/>
    <col min="1288" max="1294" width="10.28515625" style="1" bestFit="1" customWidth="1"/>
    <col min="1295" max="1298" width="9.28515625" style="1" bestFit="1" customWidth="1"/>
    <col min="1299" max="1299" width="9.85546875" style="1" bestFit="1" customWidth="1"/>
    <col min="1300" max="1300" width="10.85546875" style="1" bestFit="1" customWidth="1"/>
    <col min="1301" max="1499" width="9.140625" style="1"/>
    <col min="1500" max="1500" width="9.28515625" style="1" bestFit="1" customWidth="1"/>
    <col min="1501" max="1501" width="28.140625" style="1" bestFit="1" customWidth="1"/>
    <col min="1502" max="1502" width="15.7109375" style="1" customWidth="1"/>
    <col min="1503" max="1503" width="9.140625" style="1" customWidth="1"/>
    <col min="1504" max="1504" width="14.28515625" style="1" customWidth="1"/>
    <col min="1505" max="1505" width="9.140625" style="1" customWidth="1"/>
    <col min="1506" max="1507" width="12.85546875" style="1" customWidth="1"/>
    <col min="1508" max="1508" width="9.140625" style="1" customWidth="1"/>
    <col min="1509" max="1509" width="10.7109375" style="1" customWidth="1"/>
    <col min="1510" max="1511" width="12" style="1" customWidth="1"/>
    <col min="1512" max="1519" width="10.7109375" style="1" customWidth="1"/>
    <col min="1520" max="1520" width="10.5703125" style="1" customWidth="1"/>
    <col min="1521" max="1521" width="11.140625" style="1" customWidth="1"/>
    <col min="1522" max="1522" width="10.7109375" style="1" customWidth="1"/>
    <col min="1523" max="1524" width="9.140625" style="1" customWidth="1"/>
    <col min="1525" max="1525" width="10.28515625" style="1" customWidth="1"/>
    <col min="1526" max="1527" width="10" style="1" customWidth="1"/>
    <col min="1528" max="1529" width="10.140625" style="1" customWidth="1"/>
    <col min="1530" max="1533" width="10" style="1" customWidth="1"/>
    <col min="1534" max="1534" width="10.140625" style="1" customWidth="1"/>
    <col min="1535" max="1536" width="10" style="1" customWidth="1"/>
    <col min="1537" max="1537" width="10.28515625" style="1" customWidth="1"/>
    <col min="1538" max="1538" width="13.140625" style="1" customWidth="1"/>
    <col min="1539" max="1539" width="7.85546875" style="1" customWidth="1"/>
    <col min="1540" max="1541" width="9.140625" style="1" customWidth="1"/>
    <col min="1542" max="1542" width="11.7109375" style="1" customWidth="1"/>
    <col min="1543" max="1543" width="11.5703125" style="1" bestFit="1" customWidth="1"/>
    <col min="1544" max="1550" width="10.28515625" style="1" bestFit="1" customWidth="1"/>
    <col min="1551" max="1554" width="9.28515625" style="1" bestFit="1" customWidth="1"/>
    <col min="1555" max="1555" width="9.85546875" style="1" bestFit="1" customWidth="1"/>
    <col min="1556" max="1556" width="10.85546875" style="1" bestFit="1" customWidth="1"/>
    <col min="1557" max="1755" width="9.140625" style="1"/>
    <col min="1756" max="1756" width="9.28515625" style="1" bestFit="1" customWidth="1"/>
    <col min="1757" max="1757" width="28.140625" style="1" bestFit="1" customWidth="1"/>
    <col min="1758" max="1758" width="15.7109375" style="1" customWidth="1"/>
    <col min="1759" max="1759" width="9.140625" style="1" customWidth="1"/>
    <col min="1760" max="1760" width="14.28515625" style="1" customWidth="1"/>
    <col min="1761" max="1761" width="9.140625" style="1" customWidth="1"/>
    <col min="1762" max="1763" width="12.85546875" style="1" customWidth="1"/>
    <col min="1764" max="1764" width="9.140625" style="1" customWidth="1"/>
    <col min="1765" max="1765" width="10.7109375" style="1" customWidth="1"/>
    <col min="1766" max="1767" width="12" style="1" customWidth="1"/>
    <col min="1768" max="1775" width="10.7109375" style="1" customWidth="1"/>
    <col min="1776" max="1776" width="10.5703125" style="1" customWidth="1"/>
    <col min="1777" max="1777" width="11.140625" style="1" customWidth="1"/>
    <col min="1778" max="1778" width="10.7109375" style="1" customWidth="1"/>
    <col min="1779" max="1780" width="9.140625" style="1" customWidth="1"/>
    <col min="1781" max="1781" width="10.28515625" style="1" customWidth="1"/>
    <col min="1782" max="1783" width="10" style="1" customWidth="1"/>
    <col min="1784" max="1785" width="10.140625" style="1" customWidth="1"/>
    <col min="1786" max="1789" width="10" style="1" customWidth="1"/>
    <col min="1790" max="1790" width="10.140625" style="1" customWidth="1"/>
    <col min="1791" max="1792" width="10" style="1" customWidth="1"/>
    <col min="1793" max="1793" width="10.28515625" style="1" customWidth="1"/>
    <col min="1794" max="1794" width="13.140625" style="1" customWidth="1"/>
    <col min="1795" max="1795" width="7.85546875" style="1" customWidth="1"/>
    <col min="1796" max="1797" width="9.140625" style="1" customWidth="1"/>
    <col min="1798" max="1798" width="11.7109375" style="1" customWidth="1"/>
    <col min="1799" max="1799" width="11.5703125" style="1" bestFit="1" customWidth="1"/>
    <col min="1800" max="1806" width="10.28515625" style="1" bestFit="1" customWidth="1"/>
    <col min="1807" max="1810" width="9.28515625" style="1" bestFit="1" customWidth="1"/>
    <col min="1811" max="1811" width="9.85546875" style="1" bestFit="1" customWidth="1"/>
    <col min="1812" max="1812" width="10.85546875" style="1" bestFit="1" customWidth="1"/>
    <col min="1813" max="2011" width="9.140625" style="1"/>
    <col min="2012" max="2012" width="9.28515625" style="1" bestFit="1" customWidth="1"/>
    <col min="2013" max="2013" width="28.140625" style="1" bestFit="1" customWidth="1"/>
    <col min="2014" max="2014" width="15.7109375" style="1" customWidth="1"/>
    <col min="2015" max="2015" width="9.140625" style="1" customWidth="1"/>
    <col min="2016" max="2016" width="14.28515625" style="1" customWidth="1"/>
    <col min="2017" max="2017" width="9.140625" style="1" customWidth="1"/>
    <col min="2018" max="2019" width="12.85546875" style="1" customWidth="1"/>
    <col min="2020" max="2020" width="9.140625" style="1" customWidth="1"/>
    <col min="2021" max="2021" width="10.7109375" style="1" customWidth="1"/>
    <col min="2022" max="2023" width="12" style="1" customWidth="1"/>
    <col min="2024" max="2031" width="10.7109375" style="1" customWidth="1"/>
    <col min="2032" max="2032" width="10.5703125" style="1" customWidth="1"/>
    <col min="2033" max="2033" width="11.140625" style="1" customWidth="1"/>
    <col min="2034" max="2034" width="10.7109375" style="1" customWidth="1"/>
    <col min="2035" max="2036" width="9.140625" style="1" customWidth="1"/>
    <col min="2037" max="2037" width="10.28515625" style="1" customWidth="1"/>
    <col min="2038" max="2039" width="10" style="1" customWidth="1"/>
    <col min="2040" max="2041" width="10.140625" style="1" customWidth="1"/>
    <col min="2042" max="2045" width="10" style="1" customWidth="1"/>
    <col min="2046" max="2046" width="10.140625" style="1" customWidth="1"/>
    <col min="2047" max="2048" width="10" style="1" customWidth="1"/>
    <col min="2049" max="2049" width="10.28515625" style="1" customWidth="1"/>
    <col min="2050" max="2050" width="13.140625" style="1" customWidth="1"/>
    <col min="2051" max="2051" width="7.85546875" style="1" customWidth="1"/>
    <col min="2052" max="2053" width="9.140625" style="1" customWidth="1"/>
    <col min="2054" max="2054" width="11.7109375" style="1" customWidth="1"/>
    <col min="2055" max="2055" width="11.5703125" style="1" bestFit="1" customWidth="1"/>
    <col min="2056" max="2062" width="10.28515625" style="1" bestFit="1" customWidth="1"/>
    <col min="2063" max="2066" width="9.28515625" style="1" bestFit="1" customWidth="1"/>
    <col min="2067" max="2067" width="9.85546875" style="1" bestFit="1" customWidth="1"/>
    <col min="2068" max="2068" width="10.85546875" style="1" bestFit="1" customWidth="1"/>
    <col min="2069" max="2267" width="9.140625" style="1"/>
    <col min="2268" max="2268" width="9.28515625" style="1" bestFit="1" customWidth="1"/>
    <col min="2269" max="2269" width="28.140625" style="1" bestFit="1" customWidth="1"/>
    <col min="2270" max="2270" width="15.7109375" style="1" customWidth="1"/>
    <col min="2271" max="2271" width="9.140625" style="1" customWidth="1"/>
    <col min="2272" max="2272" width="14.28515625" style="1" customWidth="1"/>
    <col min="2273" max="2273" width="9.140625" style="1" customWidth="1"/>
    <col min="2274" max="2275" width="12.85546875" style="1" customWidth="1"/>
    <col min="2276" max="2276" width="9.140625" style="1" customWidth="1"/>
    <col min="2277" max="2277" width="10.7109375" style="1" customWidth="1"/>
    <col min="2278" max="2279" width="12" style="1" customWidth="1"/>
    <col min="2280" max="2287" width="10.7109375" style="1" customWidth="1"/>
    <col min="2288" max="2288" width="10.5703125" style="1" customWidth="1"/>
    <col min="2289" max="2289" width="11.140625" style="1" customWidth="1"/>
    <col min="2290" max="2290" width="10.7109375" style="1" customWidth="1"/>
    <col min="2291" max="2292" width="9.140625" style="1" customWidth="1"/>
    <col min="2293" max="2293" width="10.28515625" style="1" customWidth="1"/>
    <col min="2294" max="2295" width="10" style="1" customWidth="1"/>
    <col min="2296" max="2297" width="10.140625" style="1" customWidth="1"/>
    <col min="2298" max="2301" width="10" style="1" customWidth="1"/>
    <col min="2302" max="2302" width="10.140625" style="1" customWidth="1"/>
    <col min="2303" max="2304" width="10" style="1" customWidth="1"/>
    <col min="2305" max="2305" width="10.28515625" style="1" customWidth="1"/>
    <col min="2306" max="2306" width="13.140625" style="1" customWidth="1"/>
    <col min="2307" max="2307" width="7.85546875" style="1" customWidth="1"/>
    <col min="2308" max="2309" width="9.140625" style="1" customWidth="1"/>
    <col min="2310" max="2310" width="11.7109375" style="1" customWidth="1"/>
    <col min="2311" max="2311" width="11.5703125" style="1" bestFit="1" customWidth="1"/>
    <col min="2312" max="2318" width="10.28515625" style="1" bestFit="1" customWidth="1"/>
    <col min="2319" max="2322" width="9.28515625" style="1" bestFit="1" customWidth="1"/>
    <col min="2323" max="2323" width="9.85546875" style="1" bestFit="1" customWidth="1"/>
    <col min="2324" max="2324" width="10.85546875" style="1" bestFit="1" customWidth="1"/>
    <col min="2325" max="2523" width="9.140625" style="1"/>
    <col min="2524" max="2524" width="9.28515625" style="1" bestFit="1" customWidth="1"/>
    <col min="2525" max="2525" width="28.140625" style="1" bestFit="1" customWidth="1"/>
    <col min="2526" max="2526" width="15.7109375" style="1" customWidth="1"/>
    <col min="2527" max="2527" width="9.140625" style="1" customWidth="1"/>
    <col min="2528" max="2528" width="14.28515625" style="1" customWidth="1"/>
    <col min="2529" max="2529" width="9.140625" style="1" customWidth="1"/>
    <col min="2530" max="2531" width="12.85546875" style="1" customWidth="1"/>
    <col min="2532" max="2532" width="9.140625" style="1" customWidth="1"/>
    <col min="2533" max="2533" width="10.7109375" style="1" customWidth="1"/>
    <col min="2534" max="2535" width="12" style="1" customWidth="1"/>
    <col min="2536" max="2543" width="10.7109375" style="1" customWidth="1"/>
    <col min="2544" max="2544" width="10.5703125" style="1" customWidth="1"/>
    <col min="2545" max="2545" width="11.140625" style="1" customWidth="1"/>
    <col min="2546" max="2546" width="10.7109375" style="1" customWidth="1"/>
    <col min="2547" max="2548" width="9.140625" style="1" customWidth="1"/>
    <col min="2549" max="2549" width="10.28515625" style="1" customWidth="1"/>
    <col min="2550" max="2551" width="10" style="1" customWidth="1"/>
    <col min="2552" max="2553" width="10.140625" style="1" customWidth="1"/>
    <col min="2554" max="2557" width="10" style="1" customWidth="1"/>
    <col min="2558" max="2558" width="10.140625" style="1" customWidth="1"/>
    <col min="2559" max="2560" width="10" style="1" customWidth="1"/>
    <col min="2561" max="2561" width="10.28515625" style="1" customWidth="1"/>
    <col min="2562" max="2562" width="13.140625" style="1" customWidth="1"/>
    <col min="2563" max="2563" width="7.85546875" style="1" customWidth="1"/>
    <col min="2564" max="2565" width="9.140625" style="1" customWidth="1"/>
    <col min="2566" max="2566" width="11.7109375" style="1" customWidth="1"/>
    <col min="2567" max="2567" width="11.5703125" style="1" bestFit="1" customWidth="1"/>
    <col min="2568" max="2574" width="10.28515625" style="1" bestFit="1" customWidth="1"/>
    <col min="2575" max="2578" width="9.28515625" style="1" bestFit="1" customWidth="1"/>
    <col min="2579" max="2579" width="9.85546875" style="1" bestFit="1" customWidth="1"/>
    <col min="2580" max="2580" width="10.85546875" style="1" bestFit="1" customWidth="1"/>
    <col min="2581" max="2779" width="9.140625" style="1"/>
    <col min="2780" max="2780" width="9.28515625" style="1" bestFit="1" customWidth="1"/>
    <col min="2781" max="2781" width="28.140625" style="1" bestFit="1" customWidth="1"/>
    <col min="2782" max="2782" width="15.7109375" style="1" customWidth="1"/>
    <col min="2783" max="2783" width="9.140625" style="1" customWidth="1"/>
    <col min="2784" max="2784" width="14.28515625" style="1" customWidth="1"/>
    <col min="2785" max="2785" width="9.140625" style="1" customWidth="1"/>
    <col min="2786" max="2787" width="12.85546875" style="1" customWidth="1"/>
    <col min="2788" max="2788" width="9.140625" style="1" customWidth="1"/>
    <col min="2789" max="2789" width="10.7109375" style="1" customWidth="1"/>
    <col min="2790" max="2791" width="12" style="1" customWidth="1"/>
    <col min="2792" max="2799" width="10.7109375" style="1" customWidth="1"/>
    <col min="2800" max="2800" width="10.5703125" style="1" customWidth="1"/>
    <col min="2801" max="2801" width="11.140625" style="1" customWidth="1"/>
    <col min="2802" max="2802" width="10.7109375" style="1" customWidth="1"/>
    <col min="2803" max="2804" width="9.140625" style="1" customWidth="1"/>
    <col min="2805" max="2805" width="10.28515625" style="1" customWidth="1"/>
    <col min="2806" max="2807" width="10" style="1" customWidth="1"/>
    <col min="2808" max="2809" width="10.140625" style="1" customWidth="1"/>
    <col min="2810" max="2813" width="10" style="1" customWidth="1"/>
    <col min="2814" max="2814" width="10.140625" style="1" customWidth="1"/>
    <col min="2815" max="2816" width="10" style="1" customWidth="1"/>
    <col min="2817" max="2817" width="10.28515625" style="1" customWidth="1"/>
    <col min="2818" max="2818" width="13.140625" style="1" customWidth="1"/>
    <col min="2819" max="2819" width="7.85546875" style="1" customWidth="1"/>
    <col min="2820" max="2821" width="9.140625" style="1" customWidth="1"/>
    <col min="2822" max="2822" width="11.7109375" style="1" customWidth="1"/>
    <col min="2823" max="2823" width="11.5703125" style="1" bestFit="1" customWidth="1"/>
    <col min="2824" max="2830" width="10.28515625" style="1" bestFit="1" customWidth="1"/>
    <col min="2831" max="2834" width="9.28515625" style="1" bestFit="1" customWidth="1"/>
    <col min="2835" max="2835" width="9.85546875" style="1" bestFit="1" customWidth="1"/>
    <col min="2836" max="2836" width="10.85546875" style="1" bestFit="1" customWidth="1"/>
    <col min="2837" max="3035" width="9.140625" style="1"/>
    <col min="3036" max="3036" width="9.28515625" style="1" bestFit="1" customWidth="1"/>
    <col min="3037" max="3037" width="28.140625" style="1" bestFit="1" customWidth="1"/>
    <col min="3038" max="3038" width="15.7109375" style="1" customWidth="1"/>
    <col min="3039" max="3039" width="9.140625" style="1" customWidth="1"/>
    <col min="3040" max="3040" width="14.28515625" style="1" customWidth="1"/>
    <col min="3041" max="3041" width="9.140625" style="1" customWidth="1"/>
    <col min="3042" max="3043" width="12.85546875" style="1" customWidth="1"/>
    <col min="3044" max="3044" width="9.140625" style="1" customWidth="1"/>
    <col min="3045" max="3045" width="10.7109375" style="1" customWidth="1"/>
    <col min="3046" max="3047" width="12" style="1" customWidth="1"/>
    <col min="3048" max="3055" width="10.7109375" style="1" customWidth="1"/>
    <col min="3056" max="3056" width="10.5703125" style="1" customWidth="1"/>
    <col min="3057" max="3057" width="11.140625" style="1" customWidth="1"/>
    <col min="3058" max="3058" width="10.7109375" style="1" customWidth="1"/>
    <col min="3059" max="3060" width="9.140625" style="1" customWidth="1"/>
    <col min="3061" max="3061" width="10.28515625" style="1" customWidth="1"/>
    <col min="3062" max="3063" width="10" style="1" customWidth="1"/>
    <col min="3064" max="3065" width="10.140625" style="1" customWidth="1"/>
    <col min="3066" max="3069" width="10" style="1" customWidth="1"/>
    <col min="3070" max="3070" width="10.140625" style="1" customWidth="1"/>
    <col min="3071" max="3072" width="10" style="1" customWidth="1"/>
    <col min="3073" max="3073" width="10.28515625" style="1" customWidth="1"/>
    <col min="3074" max="3074" width="13.140625" style="1" customWidth="1"/>
    <col min="3075" max="3075" width="7.85546875" style="1" customWidth="1"/>
    <col min="3076" max="3077" width="9.140625" style="1" customWidth="1"/>
    <col min="3078" max="3078" width="11.7109375" style="1" customWidth="1"/>
    <col min="3079" max="3079" width="11.5703125" style="1" bestFit="1" customWidth="1"/>
    <col min="3080" max="3086" width="10.28515625" style="1" bestFit="1" customWidth="1"/>
    <col min="3087" max="3090" width="9.28515625" style="1" bestFit="1" customWidth="1"/>
    <col min="3091" max="3091" width="9.85546875" style="1" bestFit="1" customWidth="1"/>
    <col min="3092" max="3092" width="10.85546875" style="1" bestFit="1" customWidth="1"/>
    <col min="3093" max="3291" width="9.140625" style="1"/>
    <col min="3292" max="3292" width="9.28515625" style="1" bestFit="1" customWidth="1"/>
    <col min="3293" max="3293" width="28.140625" style="1" bestFit="1" customWidth="1"/>
    <col min="3294" max="3294" width="15.7109375" style="1" customWidth="1"/>
    <col min="3295" max="3295" width="9.140625" style="1" customWidth="1"/>
    <col min="3296" max="3296" width="14.28515625" style="1" customWidth="1"/>
    <col min="3297" max="3297" width="9.140625" style="1" customWidth="1"/>
    <col min="3298" max="3299" width="12.85546875" style="1" customWidth="1"/>
    <col min="3300" max="3300" width="9.140625" style="1" customWidth="1"/>
    <col min="3301" max="3301" width="10.7109375" style="1" customWidth="1"/>
    <col min="3302" max="3303" width="12" style="1" customWidth="1"/>
    <col min="3304" max="3311" width="10.7109375" style="1" customWidth="1"/>
    <col min="3312" max="3312" width="10.5703125" style="1" customWidth="1"/>
    <col min="3313" max="3313" width="11.140625" style="1" customWidth="1"/>
    <col min="3314" max="3314" width="10.7109375" style="1" customWidth="1"/>
    <col min="3315" max="3316" width="9.140625" style="1" customWidth="1"/>
    <col min="3317" max="3317" width="10.28515625" style="1" customWidth="1"/>
    <col min="3318" max="3319" width="10" style="1" customWidth="1"/>
    <col min="3320" max="3321" width="10.140625" style="1" customWidth="1"/>
    <col min="3322" max="3325" width="10" style="1" customWidth="1"/>
    <col min="3326" max="3326" width="10.140625" style="1" customWidth="1"/>
    <col min="3327" max="3328" width="10" style="1" customWidth="1"/>
    <col min="3329" max="3329" width="10.28515625" style="1" customWidth="1"/>
    <col min="3330" max="3330" width="13.140625" style="1" customWidth="1"/>
    <col min="3331" max="3331" width="7.85546875" style="1" customWidth="1"/>
    <col min="3332" max="3333" width="9.140625" style="1" customWidth="1"/>
    <col min="3334" max="3334" width="11.7109375" style="1" customWidth="1"/>
    <col min="3335" max="3335" width="11.5703125" style="1" bestFit="1" customWidth="1"/>
    <col min="3336" max="3342" width="10.28515625" style="1" bestFit="1" customWidth="1"/>
    <col min="3343" max="3346" width="9.28515625" style="1" bestFit="1" customWidth="1"/>
    <col min="3347" max="3347" width="9.85546875" style="1" bestFit="1" customWidth="1"/>
    <col min="3348" max="3348" width="10.85546875" style="1" bestFit="1" customWidth="1"/>
    <col min="3349" max="3547" width="9.140625" style="1"/>
    <col min="3548" max="3548" width="9.28515625" style="1" bestFit="1" customWidth="1"/>
    <col min="3549" max="3549" width="28.140625" style="1" bestFit="1" customWidth="1"/>
    <col min="3550" max="3550" width="15.7109375" style="1" customWidth="1"/>
    <col min="3551" max="3551" width="9.140625" style="1" customWidth="1"/>
    <col min="3552" max="3552" width="14.28515625" style="1" customWidth="1"/>
    <col min="3553" max="3553" width="9.140625" style="1" customWidth="1"/>
    <col min="3554" max="3555" width="12.85546875" style="1" customWidth="1"/>
    <col min="3556" max="3556" width="9.140625" style="1" customWidth="1"/>
    <col min="3557" max="3557" width="10.7109375" style="1" customWidth="1"/>
    <col min="3558" max="3559" width="12" style="1" customWidth="1"/>
    <col min="3560" max="3567" width="10.7109375" style="1" customWidth="1"/>
    <col min="3568" max="3568" width="10.5703125" style="1" customWidth="1"/>
    <col min="3569" max="3569" width="11.140625" style="1" customWidth="1"/>
    <col min="3570" max="3570" width="10.7109375" style="1" customWidth="1"/>
    <col min="3571" max="3572" width="9.140625" style="1" customWidth="1"/>
    <col min="3573" max="3573" width="10.28515625" style="1" customWidth="1"/>
    <col min="3574" max="3575" width="10" style="1" customWidth="1"/>
    <col min="3576" max="3577" width="10.140625" style="1" customWidth="1"/>
    <col min="3578" max="3581" width="10" style="1" customWidth="1"/>
    <col min="3582" max="3582" width="10.140625" style="1" customWidth="1"/>
    <col min="3583" max="3584" width="10" style="1" customWidth="1"/>
    <col min="3585" max="3585" width="10.28515625" style="1" customWidth="1"/>
    <col min="3586" max="3586" width="13.140625" style="1" customWidth="1"/>
    <col min="3587" max="3587" width="7.85546875" style="1" customWidth="1"/>
    <col min="3588" max="3589" width="9.140625" style="1" customWidth="1"/>
    <col min="3590" max="3590" width="11.7109375" style="1" customWidth="1"/>
    <col min="3591" max="3591" width="11.5703125" style="1" bestFit="1" customWidth="1"/>
    <col min="3592" max="3598" width="10.28515625" style="1" bestFit="1" customWidth="1"/>
    <col min="3599" max="3602" width="9.28515625" style="1" bestFit="1" customWidth="1"/>
    <col min="3603" max="3603" width="9.85546875" style="1" bestFit="1" customWidth="1"/>
    <col min="3604" max="3604" width="10.85546875" style="1" bestFit="1" customWidth="1"/>
    <col min="3605" max="3803" width="9.140625" style="1"/>
    <col min="3804" max="3804" width="9.28515625" style="1" bestFit="1" customWidth="1"/>
    <col min="3805" max="3805" width="28.140625" style="1" bestFit="1" customWidth="1"/>
    <col min="3806" max="3806" width="15.7109375" style="1" customWidth="1"/>
    <col min="3807" max="3807" width="9.140625" style="1" customWidth="1"/>
    <col min="3808" max="3808" width="14.28515625" style="1" customWidth="1"/>
    <col min="3809" max="3809" width="9.140625" style="1" customWidth="1"/>
    <col min="3810" max="3811" width="12.85546875" style="1" customWidth="1"/>
    <col min="3812" max="3812" width="9.140625" style="1" customWidth="1"/>
    <col min="3813" max="3813" width="10.7109375" style="1" customWidth="1"/>
    <col min="3814" max="3815" width="12" style="1" customWidth="1"/>
    <col min="3816" max="3823" width="10.7109375" style="1" customWidth="1"/>
    <col min="3824" max="3824" width="10.5703125" style="1" customWidth="1"/>
    <col min="3825" max="3825" width="11.140625" style="1" customWidth="1"/>
    <col min="3826" max="3826" width="10.7109375" style="1" customWidth="1"/>
    <col min="3827" max="3828" width="9.140625" style="1" customWidth="1"/>
    <col min="3829" max="3829" width="10.28515625" style="1" customWidth="1"/>
    <col min="3830" max="3831" width="10" style="1" customWidth="1"/>
    <col min="3832" max="3833" width="10.140625" style="1" customWidth="1"/>
    <col min="3834" max="3837" width="10" style="1" customWidth="1"/>
    <col min="3838" max="3838" width="10.140625" style="1" customWidth="1"/>
    <col min="3839" max="3840" width="10" style="1" customWidth="1"/>
    <col min="3841" max="3841" width="10.28515625" style="1" customWidth="1"/>
    <col min="3842" max="3842" width="13.140625" style="1" customWidth="1"/>
    <col min="3843" max="3843" width="7.85546875" style="1" customWidth="1"/>
    <col min="3844" max="3845" width="9.140625" style="1" customWidth="1"/>
    <col min="3846" max="3846" width="11.7109375" style="1" customWidth="1"/>
    <col min="3847" max="3847" width="11.5703125" style="1" bestFit="1" customWidth="1"/>
    <col min="3848" max="3854" width="10.28515625" style="1" bestFit="1" customWidth="1"/>
    <col min="3855" max="3858" width="9.28515625" style="1" bestFit="1" customWidth="1"/>
    <col min="3859" max="3859" width="9.85546875" style="1" bestFit="1" customWidth="1"/>
    <col min="3860" max="3860" width="10.85546875" style="1" bestFit="1" customWidth="1"/>
    <col min="3861" max="4059" width="9.140625" style="1"/>
    <col min="4060" max="4060" width="9.28515625" style="1" bestFit="1" customWidth="1"/>
    <col min="4061" max="4061" width="28.140625" style="1" bestFit="1" customWidth="1"/>
    <col min="4062" max="4062" width="15.7109375" style="1" customWidth="1"/>
    <col min="4063" max="4063" width="9.140625" style="1" customWidth="1"/>
    <col min="4064" max="4064" width="14.28515625" style="1" customWidth="1"/>
    <col min="4065" max="4065" width="9.140625" style="1" customWidth="1"/>
    <col min="4066" max="4067" width="12.85546875" style="1" customWidth="1"/>
    <col min="4068" max="4068" width="9.140625" style="1" customWidth="1"/>
    <col min="4069" max="4069" width="10.7109375" style="1" customWidth="1"/>
    <col min="4070" max="4071" width="12" style="1" customWidth="1"/>
    <col min="4072" max="4079" width="10.7109375" style="1" customWidth="1"/>
    <col min="4080" max="4080" width="10.5703125" style="1" customWidth="1"/>
    <col min="4081" max="4081" width="11.140625" style="1" customWidth="1"/>
    <col min="4082" max="4082" width="10.7109375" style="1" customWidth="1"/>
    <col min="4083" max="4084" width="9.140625" style="1" customWidth="1"/>
    <col min="4085" max="4085" width="10.28515625" style="1" customWidth="1"/>
    <col min="4086" max="4087" width="10" style="1" customWidth="1"/>
    <col min="4088" max="4089" width="10.140625" style="1" customWidth="1"/>
    <col min="4090" max="4093" width="10" style="1" customWidth="1"/>
    <col min="4094" max="4094" width="10.140625" style="1" customWidth="1"/>
    <col min="4095" max="4096" width="10" style="1" customWidth="1"/>
    <col min="4097" max="4097" width="10.28515625" style="1" customWidth="1"/>
    <col min="4098" max="4098" width="13.140625" style="1" customWidth="1"/>
    <col min="4099" max="4099" width="7.85546875" style="1" customWidth="1"/>
    <col min="4100" max="4101" width="9.140625" style="1" customWidth="1"/>
    <col min="4102" max="4102" width="11.7109375" style="1" customWidth="1"/>
    <col min="4103" max="4103" width="11.5703125" style="1" bestFit="1" customWidth="1"/>
    <col min="4104" max="4110" width="10.28515625" style="1" bestFit="1" customWidth="1"/>
    <col min="4111" max="4114" width="9.28515625" style="1" bestFit="1" customWidth="1"/>
    <col min="4115" max="4115" width="9.85546875" style="1" bestFit="1" customWidth="1"/>
    <col min="4116" max="4116" width="10.85546875" style="1" bestFit="1" customWidth="1"/>
    <col min="4117" max="4315" width="9.140625" style="1"/>
    <col min="4316" max="4316" width="9.28515625" style="1" bestFit="1" customWidth="1"/>
    <col min="4317" max="4317" width="28.140625" style="1" bestFit="1" customWidth="1"/>
    <col min="4318" max="4318" width="15.7109375" style="1" customWidth="1"/>
    <col min="4319" max="4319" width="9.140625" style="1" customWidth="1"/>
    <col min="4320" max="4320" width="14.28515625" style="1" customWidth="1"/>
    <col min="4321" max="4321" width="9.140625" style="1" customWidth="1"/>
    <col min="4322" max="4323" width="12.85546875" style="1" customWidth="1"/>
    <col min="4324" max="4324" width="9.140625" style="1" customWidth="1"/>
    <col min="4325" max="4325" width="10.7109375" style="1" customWidth="1"/>
    <col min="4326" max="4327" width="12" style="1" customWidth="1"/>
    <col min="4328" max="4335" width="10.7109375" style="1" customWidth="1"/>
    <col min="4336" max="4336" width="10.5703125" style="1" customWidth="1"/>
    <col min="4337" max="4337" width="11.140625" style="1" customWidth="1"/>
    <col min="4338" max="4338" width="10.7109375" style="1" customWidth="1"/>
    <col min="4339" max="4340" width="9.140625" style="1" customWidth="1"/>
    <col min="4341" max="4341" width="10.28515625" style="1" customWidth="1"/>
    <col min="4342" max="4343" width="10" style="1" customWidth="1"/>
    <col min="4344" max="4345" width="10.140625" style="1" customWidth="1"/>
    <col min="4346" max="4349" width="10" style="1" customWidth="1"/>
    <col min="4350" max="4350" width="10.140625" style="1" customWidth="1"/>
    <col min="4351" max="4352" width="10" style="1" customWidth="1"/>
    <col min="4353" max="4353" width="10.28515625" style="1" customWidth="1"/>
    <col min="4354" max="4354" width="13.140625" style="1" customWidth="1"/>
    <col min="4355" max="4355" width="7.85546875" style="1" customWidth="1"/>
    <col min="4356" max="4357" width="9.140625" style="1" customWidth="1"/>
    <col min="4358" max="4358" width="11.7109375" style="1" customWidth="1"/>
    <col min="4359" max="4359" width="11.5703125" style="1" bestFit="1" customWidth="1"/>
    <col min="4360" max="4366" width="10.28515625" style="1" bestFit="1" customWidth="1"/>
    <col min="4367" max="4370" width="9.28515625" style="1" bestFit="1" customWidth="1"/>
    <col min="4371" max="4371" width="9.85546875" style="1" bestFit="1" customWidth="1"/>
    <col min="4372" max="4372" width="10.85546875" style="1" bestFit="1" customWidth="1"/>
    <col min="4373" max="4571" width="9.140625" style="1"/>
    <col min="4572" max="4572" width="9.28515625" style="1" bestFit="1" customWidth="1"/>
    <col min="4573" max="4573" width="28.140625" style="1" bestFit="1" customWidth="1"/>
    <col min="4574" max="4574" width="15.7109375" style="1" customWidth="1"/>
    <col min="4575" max="4575" width="9.140625" style="1" customWidth="1"/>
    <col min="4576" max="4576" width="14.28515625" style="1" customWidth="1"/>
    <col min="4577" max="4577" width="9.140625" style="1" customWidth="1"/>
    <col min="4578" max="4579" width="12.85546875" style="1" customWidth="1"/>
    <col min="4580" max="4580" width="9.140625" style="1" customWidth="1"/>
    <col min="4581" max="4581" width="10.7109375" style="1" customWidth="1"/>
    <col min="4582" max="4583" width="12" style="1" customWidth="1"/>
    <col min="4584" max="4591" width="10.7109375" style="1" customWidth="1"/>
    <col min="4592" max="4592" width="10.5703125" style="1" customWidth="1"/>
    <col min="4593" max="4593" width="11.140625" style="1" customWidth="1"/>
    <col min="4594" max="4594" width="10.7109375" style="1" customWidth="1"/>
    <col min="4595" max="4596" width="9.140625" style="1" customWidth="1"/>
    <col min="4597" max="4597" width="10.28515625" style="1" customWidth="1"/>
    <col min="4598" max="4599" width="10" style="1" customWidth="1"/>
    <col min="4600" max="4601" width="10.140625" style="1" customWidth="1"/>
    <col min="4602" max="4605" width="10" style="1" customWidth="1"/>
    <col min="4606" max="4606" width="10.140625" style="1" customWidth="1"/>
    <col min="4607" max="4608" width="10" style="1" customWidth="1"/>
    <col min="4609" max="4609" width="10.28515625" style="1" customWidth="1"/>
    <col min="4610" max="4610" width="13.140625" style="1" customWidth="1"/>
    <col min="4611" max="4611" width="7.85546875" style="1" customWidth="1"/>
    <col min="4612" max="4613" width="9.140625" style="1" customWidth="1"/>
    <col min="4614" max="4614" width="11.7109375" style="1" customWidth="1"/>
    <col min="4615" max="4615" width="11.5703125" style="1" bestFit="1" customWidth="1"/>
    <col min="4616" max="4622" width="10.28515625" style="1" bestFit="1" customWidth="1"/>
    <col min="4623" max="4626" width="9.28515625" style="1" bestFit="1" customWidth="1"/>
    <col min="4627" max="4627" width="9.85546875" style="1" bestFit="1" customWidth="1"/>
    <col min="4628" max="4628" width="10.85546875" style="1" bestFit="1" customWidth="1"/>
    <col min="4629" max="4827" width="9.140625" style="1"/>
    <col min="4828" max="4828" width="9.28515625" style="1" bestFit="1" customWidth="1"/>
    <col min="4829" max="4829" width="28.140625" style="1" bestFit="1" customWidth="1"/>
    <col min="4830" max="4830" width="15.7109375" style="1" customWidth="1"/>
    <col min="4831" max="4831" width="9.140625" style="1" customWidth="1"/>
    <col min="4832" max="4832" width="14.28515625" style="1" customWidth="1"/>
    <col min="4833" max="4833" width="9.140625" style="1" customWidth="1"/>
    <col min="4834" max="4835" width="12.85546875" style="1" customWidth="1"/>
    <col min="4836" max="4836" width="9.140625" style="1" customWidth="1"/>
    <col min="4837" max="4837" width="10.7109375" style="1" customWidth="1"/>
    <col min="4838" max="4839" width="12" style="1" customWidth="1"/>
    <col min="4840" max="4847" width="10.7109375" style="1" customWidth="1"/>
    <col min="4848" max="4848" width="10.5703125" style="1" customWidth="1"/>
    <col min="4849" max="4849" width="11.140625" style="1" customWidth="1"/>
    <col min="4850" max="4850" width="10.7109375" style="1" customWidth="1"/>
    <col min="4851" max="4852" width="9.140625" style="1" customWidth="1"/>
    <col min="4853" max="4853" width="10.28515625" style="1" customWidth="1"/>
    <col min="4854" max="4855" width="10" style="1" customWidth="1"/>
    <col min="4856" max="4857" width="10.140625" style="1" customWidth="1"/>
    <col min="4858" max="4861" width="10" style="1" customWidth="1"/>
    <col min="4862" max="4862" width="10.140625" style="1" customWidth="1"/>
    <col min="4863" max="4864" width="10" style="1" customWidth="1"/>
    <col min="4865" max="4865" width="10.28515625" style="1" customWidth="1"/>
    <col min="4866" max="4866" width="13.140625" style="1" customWidth="1"/>
    <col min="4867" max="4867" width="7.85546875" style="1" customWidth="1"/>
    <col min="4868" max="4869" width="9.140625" style="1" customWidth="1"/>
    <col min="4870" max="4870" width="11.7109375" style="1" customWidth="1"/>
    <col min="4871" max="4871" width="11.5703125" style="1" bestFit="1" customWidth="1"/>
    <col min="4872" max="4878" width="10.28515625" style="1" bestFit="1" customWidth="1"/>
    <col min="4879" max="4882" width="9.28515625" style="1" bestFit="1" customWidth="1"/>
    <col min="4883" max="4883" width="9.85546875" style="1" bestFit="1" customWidth="1"/>
    <col min="4884" max="4884" width="10.85546875" style="1" bestFit="1" customWidth="1"/>
    <col min="4885" max="5083" width="9.140625" style="1"/>
    <col min="5084" max="5084" width="9.28515625" style="1" bestFit="1" customWidth="1"/>
    <col min="5085" max="5085" width="28.140625" style="1" bestFit="1" customWidth="1"/>
    <col min="5086" max="5086" width="15.7109375" style="1" customWidth="1"/>
    <col min="5087" max="5087" width="9.140625" style="1" customWidth="1"/>
    <col min="5088" max="5088" width="14.28515625" style="1" customWidth="1"/>
    <col min="5089" max="5089" width="9.140625" style="1" customWidth="1"/>
    <col min="5090" max="5091" width="12.85546875" style="1" customWidth="1"/>
    <col min="5092" max="5092" width="9.140625" style="1" customWidth="1"/>
    <col min="5093" max="5093" width="10.7109375" style="1" customWidth="1"/>
    <col min="5094" max="5095" width="12" style="1" customWidth="1"/>
    <col min="5096" max="5103" width="10.7109375" style="1" customWidth="1"/>
    <col min="5104" max="5104" width="10.5703125" style="1" customWidth="1"/>
    <col min="5105" max="5105" width="11.140625" style="1" customWidth="1"/>
    <col min="5106" max="5106" width="10.7109375" style="1" customWidth="1"/>
    <col min="5107" max="5108" width="9.140625" style="1" customWidth="1"/>
    <col min="5109" max="5109" width="10.28515625" style="1" customWidth="1"/>
    <col min="5110" max="5111" width="10" style="1" customWidth="1"/>
    <col min="5112" max="5113" width="10.140625" style="1" customWidth="1"/>
    <col min="5114" max="5117" width="10" style="1" customWidth="1"/>
    <col min="5118" max="5118" width="10.140625" style="1" customWidth="1"/>
    <col min="5119" max="5120" width="10" style="1" customWidth="1"/>
    <col min="5121" max="5121" width="10.28515625" style="1" customWidth="1"/>
    <col min="5122" max="5122" width="13.140625" style="1" customWidth="1"/>
    <col min="5123" max="5123" width="7.85546875" style="1" customWidth="1"/>
    <col min="5124" max="5125" width="9.140625" style="1" customWidth="1"/>
    <col min="5126" max="5126" width="11.7109375" style="1" customWidth="1"/>
    <col min="5127" max="5127" width="11.5703125" style="1" bestFit="1" customWidth="1"/>
    <col min="5128" max="5134" width="10.28515625" style="1" bestFit="1" customWidth="1"/>
    <col min="5135" max="5138" width="9.28515625" style="1" bestFit="1" customWidth="1"/>
    <col min="5139" max="5139" width="9.85546875" style="1" bestFit="1" customWidth="1"/>
    <col min="5140" max="5140" width="10.85546875" style="1" bestFit="1" customWidth="1"/>
    <col min="5141" max="5339" width="9.140625" style="1"/>
    <col min="5340" max="5340" width="9.28515625" style="1" bestFit="1" customWidth="1"/>
    <col min="5341" max="5341" width="28.140625" style="1" bestFit="1" customWidth="1"/>
    <col min="5342" max="5342" width="15.7109375" style="1" customWidth="1"/>
    <col min="5343" max="5343" width="9.140625" style="1" customWidth="1"/>
    <col min="5344" max="5344" width="14.28515625" style="1" customWidth="1"/>
    <col min="5345" max="5345" width="9.140625" style="1" customWidth="1"/>
    <col min="5346" max="5347" width="12.85546875" style="1" customWidth="1"/>
    <col min="5348" max="5348" width="9.140625" style="1" customWidth="1"/>
    <col min="5349" max="5349" width="10.7109375" style="1" customWidth="1"/>
    <col min="5350" max="5351" width="12" style="1" customWidth="1"/>
    <col min="5352" max="5359" width="10.7109375" style="1" customWidth="1"/>
    <col min="5360" max="5360" width="10.5703125" style="1" customWidth="1"/>
    <col min="5361" max="5361" width="11.140625" style="1" customWidth="1"/>
    <col min="5362" max="5362" width="10.7109375" style="1" customWidth="1"/>
    <col min="5363" max="5364" width="9.140625" style="1" customWidth="1"/>
    <col min="5365" max="5365" width="10.28515625" style="1" customWidth="1"/>
    <col min="5366" max="5367" width="10" style="1" customWidth="1"/>
    <col min="5368" max="5369" width="10.140625" style="1" customWidth="1"/>
    <col min="5370" max="5373" width="10" style="1" customWidth="1"/>
    <col min="5374" max="5374" width="10.140625" style="1" customWidth="1"/>
    <col min="5375" max="5376" width="10" style="1" customWidth="1"/>
    <col min="5377" max="5377" width="10.28515625" style="1" customWidth="1"/>
    <col min="5378" max="5378" width="13.140625" style="1" customWidth="1"/>
    <col min="5379" max="5379" width="7.85546875" style="1" customWidth="1"/>
    <col min="5380" max="5381" width="9.140625" style="1" customWidth="1"/>
    <col min="5382" max="5382" width="11.7109375" style="1" customWidth="1"/>
    <col min="5383" max="5383" width="11.5703125" style="1" bestFit="1" customWidth="1"/>
    <col min="5384" max="5390" width="10.28515625" style="1" bestFit="1" customWidth="1"/>
    <col min="5391" max="5394" width="9.28515625" style="1" bestFit="1" customWidth="1"/>
    <col min="5395" max="5395" width="9.85546875" style="1" bestFit="1" customWidth="1"/>
    <col min="5396" max="5396" width="10.85546875" style="1" bestFit="1" customWidth="1"/>
    <col min="5397" max="5595" width="9.140625" style="1"/>
    <col min="5596" max="5596" width="9.28515625" style="1" bestFit="1" customWidth="1"/>
    <col min="5597" max="5597" width="28.140625" style="1" bestFit="1" customWidth="1"/>
    <col min="5598" max="5598" width="15.7109375" style="1" customWidth="1"/>
    <col min="5599" max="5599" width="9.140625" style="1" customWidth="1"/>
    <col min="5600" max="5600" width="14.28515625" style="1" customWidth="1"/>
    <col min="5601" max="5601" width="9.140625" style="1" customWidth="1"/>
    <col min="5602" max="5603" width="12.85546875" style="1" customWidth="1"/>
    <col min="5604" max="5604" width="9.140625" style="1" customWidth="1"/>
    <col min="5605" max="5605" width="10.7109375" style="1" customWidth="1"/>
    <col min="5606" max="5607" width="12" style="1" customWidth="1"/>
    <col min="5608" max="5615" width="10.7109375" style="1" customWidth="1"/>
    <col min="5616" max="5616" width="10.5703125" style="1" customWidth="1"/>
    <col min="5617" max="5617" width="11.140625" style="1" customWidth="1"/>
    <col min="5618" max="5618" width="10.7109375" style="1" customWidth="1"/>
    <col min="5619" max="5620" width="9.140625" style="1" customWidth="1"/>
    <col min="5621" max="5621" width="10.28515625" style="1" customWidth="1"/>
    <col min="5622" max="5623" width="10" style="1" customWidth="1"/>
    <col min="5624" max="5625" width="10.140625" style="1" customWidth="1"/>
    <col min="5626" max="5629" width="10" style="1" customWidth="1"/>
    <col min="5630" max="5630" width="10.140625" style="1" customWidth="1"/>
    <col min="5631" max="5632" width="10" style="1" customWidth="1"/>
    <col min="5633" max="5633" width="10.28515625" style="1" customWidth="1"/>
    <col min="5634" max="5634" width="13.140625" style="1" customWidth="1"/>
    <col min="5635" max="5635" width="7.85546875" style="1" customWidth="1"/>
    <col min="5636" max="5637" width="9.140625" style="1" customWidth="1"/>
    <col min="5638" max="5638" width="11.7109375" style="1" customWidth="1"/>
    <col min="5639" max="5639" width="11.5703125" style="1" bestFit="1" customWidth="1"/>
    <col min="5640" max="5646" width="10.28515625" style="1" bestFit="1" customWidth="1"/>
    <col min="5647" max="5650" width="9.28515625" style="1" bestFit="1" customWidth="1"/>
    <col min="5651" max="5651" width="9.85546875" style="1" bestFit="1" customWidth="1"/>
    <col min="5652" max="5652" width="10.85546875" style="1" bestFit="1" customWidth="1"/>
    <col min="5653" max="5851" width="9.140625" style="1"/>
    <col min="5852" max="5852" width="9.28515625" style="1" bestFit="1" customWidth="1"/>
    <col min="5853" max="5853" width="28.140625" style="1" bestFit="1" customWidth="1"/>
    <col min="5854" max="5854" width="15.7109375" style="1" customWidth="1"/>
    <col min="5855" max="5855" width="9.140625" style="1" customWidth="1"/>
    <col min="5856" max="5856" width="14.28515625" style="1" customWidth="1"/>
    <col min="5857" max="5857" width="9.140625" style="1" customWidth="1"/>
    <col min="5858" max="5859" width="12.85546875" style="1" customWidth="1"/>
    <col min="5860" max="5860" width="9.140625" style="1" customWidth="1"/>
    <col min="5861" max="5861" width="10.7109375" style="1" customWidth="1"/>
    <col min="5862" max="5863" width="12" style="1" customWidth="1"/>
    <col min="5864" max="5871" width="10.7109375" style="1" customWidth="1"/>
    <col min="5872" max="5872" width="10.5703125" style="1" customWidth="1"/>
    <col min="5873" max="5873" width="11.140625" style="1" customWidth="1"/>
    <col min="5874" max="5874" width="10.7109375" style="1" customWidth="1"/>
    <col min="5875" max="5876" width="9.140625" style="1" customWidth="1"/>
    <col min="5877" max="5877" width="10.28515625" style="1" customWidth="1"/>
    <col min="5878" max="5879" width="10" style="1" customWidth="1"/>
    <col min="5880" max="5881" width="10.140625" style="1" customWidth="1"/>
    <col min="5882" max="5885" width="10" style="1" customWidth="1"/>
    <col min="5886" max="5886" width="10.140625" style="1" customWidth="1"/>
    <col min="5887" max="5888" width="10" style="1" customWidth="1"/>
    <col min="5889" max="5889" width="10.28515625" style="1" customWidth="1"/>
    <col min="5890" max="5890" width="13.140625" style="1" customWidth="1"/>
    <col min="5891" max="5891" width="7.85546875" style="1" customWidth="1"/>
    <col min="5892" max="5893" width="9.140625" style="1" customWidth="1"/>
    <col min="5894" max="5894" width="11.7109375" style="1" customWidth="1"/>
    <col min="5895" max="5895" width="11.5703125" style="1" bestFit="1" customWidth="1"/>
    <col min="5896" max="5902" width="10.28515625" style="1" bestFit="1" customWidth="1"/>
    <col min="5903" max="5906" width="9.28515625" style="1" bestFit="1" customWidth="1"/>
    <col min="5907" max="5907" width="9.85546875" style="1" bestFit="1" customWidth="1"/>
    <col min="5908" max="5908" width="10.85546875" style="1" bestFit="1" customWidth="1"/>
    <col min="5909" max="6107" width="9.140625" style="1"/>
    <col min="6108" max="6108" width="9.28515625" style="1" bestFit="1" customWidth="1"/>
    <col min="6109" max="6109" width="28.140625" style="1" bestFit="1" customWidth="1"/>
    <col min="6110" max="6110" width="15.7109375" style="1" customWidth="1"/>
    <col min="6111" max="6111" width="9.140625" style="1" customWidth="1"/>
    <col min="6112" max="6112" width="14.28515625" style="1" customWidth="1"/>
    <col min="6113" max="6113" width="9.140625" style="1" customWidth="1"/>
    <col min="6114" max="6115" width="12.85546875" style="1" customWidth="1"/>
    <col min="6116" max="6116" width="9.140625" style="1" customWidth="1"/>
    <col min="6117" max="6117" width="10.7109375" style="1" customWidth="1"/>
    <col min="6118" max="6119" width="12" style="1" customWidth="1"/>
    <col min="6120" max="6127" width="10.7109375" style="1" customWidth="1"/>
    <col min="6128" max="6128" width="10.5703125" style="1" customWidth="1"/>
    <col min="6129" max="6129" width="11.140625" style="1" customWidth="1"/>
    <col min="6130" max="6130" width="10.7109375" style="1" customWidth="1"/>
    <col min="6131" max="6132" width="9.140625" style="1" customWidth="1"/>
    <col min="6133" max="6133" width="10.28515625" style="1" customWidth="1"/>
    <col min="6134" max="6135" width="10" style="1" customWidth="1"/>
    <col min="6136" max="6137" width="10.140625" style="1" customWidth="1"/>
    <col min="6138" max="6141" width="10" style="1" customWidth="1"/>
    <col min="6142" max="6142" width="10.140625" style="1" customWidth="1"/>
    <col min="6143" max="6144" width="10" style="1" customWidth="1"/>
    <col min="6145" max="6145" width="10.28515625" style="1" customWidth="1"/>
    <col min="6146" max="6146" width="13.140625" style="1" customWidth="1"/>
    <col min="6147" max="6147" width="7.85546875" style="1" customWidth="1"/>
    <col min="6148" max="6149" width="9.140625" style="1" customWidth="1"/>
    <col min="6150" max="6150" width="11.7109375" style="1" customWidth="1"/>
    <col min="6151" max="6151" width="11.5703125" style="1" bestFit="1" customWidth="1"/>
    <col min="6152" max="6158" width="10.28515625" style="1" bestFit="1" customWidth="1"/>
    <col min="6159" max="6162" width="9.28515625" style="1" bestFit="1" customWidth="1"/>
    <col min="6163" max="6163" width="9.85546875" style="1" bestFit="1" customWidth="1"/>
    <col min="6164" max="6164" width="10.85546875" style="1" bestFit="1" customWidth="1"/>
    <col min="6165" max="6363" width="9.140625" style="1"/>
    <col min="6364" max="6364" width="9.28515625" style="1" bestFit="1" customWidth="1"/>
    <col min="6365" max="6365" width="28.140625" style="1" bestFit="1" customWidth="1"/>
    <col min="6366" max="6366" width="15.7109375" style="1" customWidth="1"/>
    <col min="6367" max="6367" width="9.140625" style="1" customWidth="1"/>
    <col min="6368" max="6368" width="14.28515625" style="1" customWidth="1"/>
    <col min="6369" max="6369" width="9.140625" style="1" customWidth="1"/>
    <col min="6370" max="6371" width="12.85546875" style="1" customWidth="1"/>
    <col min="6372" max="6372" width="9.140625" style="1" customWidth="1"/>
    <col min="6373" max="6373" width="10.7109375" style="1" customWidth="1"/>
    <col min="6374" max="6375" width="12" style="1" customWidth="1"/>
    <col min="6376" max="6383" width="10.7109375" style="1" customWidth="1"/>
    <col min="6384" max="6384" width="10.5703125" style="1" customWidth="1"/>
    <col min="6385" max="6385" width="11.140625" style="1" customWidth="1"/>
    <col min="6386" max="6386" width="10.7109375" style="1" customWidth="1"/>
    <col min="6387" max="6388" width="9.140625" style="1" customWidth="1"/>
    <col min="6389" max="6389" width="10.28515625" style="1" customWidth="1"/>
    <col min="6390" max="6391" width="10" style="1" customWidth="1"/>
    <col min="6392" max="6393" width="10.140625" style="1" customWidth="1"/>
    <col min="6394" max="6397" width="10" style="1" customWidth="1"/>
    <col min="6398" max="6398" width="10.140625" style="1" customWidth="1"/>
    <col min="6399" max="6400" width="10" style="1" customWidth="1"/>
    <col min="6401" max="6401" width="10.28515625" style="1" customWidth="1"/>
    <col min="6402" max="6402" width="13.140625" style="1" customWidth="1"/>
    <col min="6403" max="6403" width="7.85546875" style="1" customWidth="1"/>
    <col min="6404" max="6405" width="9.140625" style="1" customWidth="1"/>
    <col min="6406" max="6406" width="11.7109375" style="1" customWidth="1"/>
    <col min="6407" max="6407" width="11.5703125" style="1" bestFit="1" customWidth="1"/>
    <col min="6408" max="6414" width="10.28515625" style="1" bestFit="1" customWidth="1"/>
    <col min="6415" max="6418" width="9.28515625" style="1" bestFit="1" customWidth="1"/>
    <col min="6419" max="6419" width="9.85546875" style="1" bestFit="1" customWidth="1"/>
    <col min="6420" max="6420" width="10.85546875" style="1" bestFit="1" customWidth="1"/>
    <col min="6421" max="6619" width="9.140625" style="1"/>
    <col min="6620" max="6620" width="9.28515625" style="1" bestFit="1" customWidth="1"/>
    <col min="6621" max="6621" width="28.140625" style="1" bestFit="1" customWidth="1"/>
    <col min="6622" max="6622" width="15.7109375" style="1" customWidth="1"/>
    <col min="6623" max="6623" width="9.140625" style="1" customWidth="1"/>
    <col min="6624" max="6624" width="14.28515625" style="1" customWidth="1"/>
    <col min="6625" max="6625" width="9.140625" style="1" customWidth="1"/>
    <col min="6626" max="6627" width="12.85546875" style="1" customWidth="1"/>
    <col min="6628" max="6628" width="9.140625" style="1" customWidth="1"/>
    <col min="6629" max="6629" width="10.7109375" style="1" customWidth="1"/>
    <col min="6630" max="6631" width="12" style="1" customWidth="1"/>
    <col min="6632" max="6639" width="10.7109375" style="1" customWidth="1"/>
    <col min="6640" max="6640" width="10.5703125" style="1" customWidth="1"/>
    <col min="6641" max="6641" width="11.140625" style="1" customWidth="1"/>
    <col min="6642" max="6642" width="10.7109375" style="1" customWidth="1"/>
    <col min="6643" max="6644" width="9.140625" style="1" customWidth="1"/>
    <col min="6645" max="6645" width="10.28515625" style="1" customWidth="1"/>
    <col min="6646" max="6647" width="10" style="1" customWidth="1"/>
    <col min="6648" max="6649" width="10.140625" style="1" customWidth="1"/>
    <col min="6650" max="6653" width="10" style="1" customWidth="1"/>
    <col min="6654" max="6654" width="10.140625" style="1" customWidth="1"/>
    <col min="6655" max="6656" width="10" style="1" customWidth="1"/>
    <col min="6657" max="6657" width="10.28515625" style="1" customWidth="1"/>
    <col min="6658" max="6658" width="13.140625" style="1" customWidth="1"/>
    <col min="6659" max="6659" width="7.85546875" style="1" customWidth="1"/>
    <col min="6660" max="6661" width="9.140625" style="1" customWidth="1"/>
    <col min="6662" max="6662" width="11.7109375" style="1" customWidth="1"/>
    <col min="6663" max="6663" width="11.5703125" style="1" bestFit="1" customWidth="1"/>
    <col min="6664" max="6670" width="10.28515625" style="1" bestFit="1" customWidth="1"/>
    <col min="6671" max="6674" width="9.28515625" style="1" bestFit="1" customWidth="1"/>
    <col min="6675" max="6675" width="9.85546875" style="1" bestFit="1" customWidth="1"/>
    <col min="6676" max="6676" width="10.85546875" style="1" bestFit="1" customWidth="1"/>
    <col min="6677" max="6875" width="9.140625" style="1"/>
    <col min="6876" max="6876" width="9.28515625" style="1" bestFit="1" customWidth="1"/>
    <col min="6877" max="6877" width="28.140625" style="1" bestFit="1" customWidth="1"/>
    <col min="6878" max="6878" width="15.7109375" style="1" customWidth="1"/>
    <col min="6879" max="6879" width="9.140625" style="1" customWidth="1"/>
    <col min="6880" max="6880" width="14.28515625" style="1" customWidth="1"/>
    <col min="6881" max="6881" width="9.140625" style="1" customWidth="1"/>
    <col min="6882" max="6883" width="12.85546875" style="1" customWidth="1"/>
    <col min="6884" max="6884" width="9.140625" style="1" customWidth="1"/>
    <col min="6885" max="6885" width="10.7109375" style="1" customWidth="1"/>
    <col min="6886" max="6887" width="12" style="1" customWidth="1"/>
    <col min="6888" max="6895" width="10.7109375" style="1" customWidth="1"/>
    <col min="6896" max="6896" width="10.5703125" style="1" customWidth="1"/>
    <col min="6897" max="6897" width="11.140625" style="1" customWidth="1"/>
    <col min="6898" max="6898" width="10.7109375" style="1" customWidth="1"/>
    <col min="6899" max="6900" width="9.140625" style="1" customWidth="1"/>
    <col min="6901" max="6901" width="10.28515625" style="1" customWidth="1"/>
    <col min="6902" max="6903" width="10" style="1" customWidth="1"/>
    <col min="6904" max="6905" width="10.140625" style="1" customWidth="1"/>
    <col min="6906" max="6909" width="10" style="1" customWidth="1"/>
    <col min="6910" max="6910" width="10.140625" style="1" customWidth="1"/>
    <col min="6911" max="6912" width="10" style="1" customWidth="1"/>
    <col min="6913" max="6913" width="10.28515625" style="1" customWidth="1"/>
    <col min="6914" max="6914" width="13.140625" style="1" customWidth="1"/>
    <col min="6915" max="6915" width="7.85546875" style="1" customWidth="1"/>
    <col min="6916" max="6917" width="9.140625" style="1" customWidth="1"/>
    <col min="6918" max="6918" width="11.7109375" style="1" customWidth="1"/>
    <col min="6919" max="6919" width="11.5703125" style="1" bestFit="1" customWidth="1"/>
    <col min="6920" max="6926" width="10.28515625" style="1" bestFit="1" customWidth="1"/>
    <col min="6927" max="6930" width="9.28515625" style="1" bestFit="1" customWidth="1"/>
    <col min="6931" max="6931" width="9.85546875" style="1" bestFit="1" customWidth="1"/>
    <col min="6932" max="6932" width="10.85546875" style="1" bestFit="1" customWidth="1"/>
    <col min="6933" max="7131" width="9.140625" style="1"/>
    <col min="7132" max="7132" width="9.28515625" style="1" bestFit="1" customWidth="1"/>
    <col min="7133" max="7133" width="28.140625" style="1" bestFit="1" customWidth="1"/>
    <col min="7134" max="7134" width="15.7109375" style="1" customWidth="1"/>
    <col min="7135" max="7135" width="9.140625" style="1" customWidth="1"/>
    <col min="7136" max="7136" width="14.28515625" style="1" customWidth="1"/>
    <col min="7137" max="7137" width="9.140625" style="1" customWidth="1"/>
    <col min="7138" max="7139" width="12.85546875" style="1" customWidth="1"/>
    <col min="7140" max="7140" width="9.140625" style="1" customWidth="1"/>
    <col min="7141" max="7141" width="10.7109375" style="1" customWidth="1"/>
    <col min="7142" max="7143" width="12" style="1" customWidth="1"/>
    <col min="7144" max="7151" width="10.7109375" style="1" customWidth="1"/>
    <col min="7152" max="7152" width="10.5703125" style="1" customWidth="1"/>
    <col min="7153" max="7153" width="11.140625" style="1" customWidth="1"/>
    <col min="7154" max="7154" width="10.7109375" style="1" customWidth="1"/>
    <col min="7155" max="7156" width="9.140625" style="1" customWidth="1"/>
    <col min="7157" max="7157" width="10.28515625" style="1" customWidth="1"/>
    <col min="7158" max="7159" width="10" style="1" customWidth="1"/>
    <col min="7160" max="7161" width="10.140625" style="1" customWidth="1"/>
    <col min="7162" max="7165" width="10" style="1" customWidth="1"/>
    <col min="7166" max="7166" width="10.140625" style="1" customWidth="1"/>
    <col min="7167" max="7168" width="10" style="1" customWidth="1"/>
    <col min="7169" max="7169" width="10.28515625" style="1" customWidth="1"/>
    <col min="7170" max="7170" width="13.140625" style="1" customWidth="1"/>
    <col min="7171" max="7171" width="7.85546875" style="1" customWidth="1"/>
    <col min="7172" max="7173" width="9.140625" style="1" customWidth="1"/>
    <col min="7174" max="7174" width="11.7109375" style="1" customWidth="1"/>
    <col min="7175" max="7175" width="11.5703125" style="1" bestFit="1" customWidth="1"/>
    <col min="7176" max="7182" width="10.28515625" style="1" bestFit="1" customWidth="1"/>
    <col min="7183" max="7186" width="9.28515625" style="1" bestFit="1" customWidth="1"/>
    <col min="7187" max="7187" width="9.85546875" style="1" bestFit="1" customWidth="1"/>
    <col min="7188" max="7188" width="10.85546875" style="1" bestFit="1" customWidth="1"/>
    <col min="7189" max="7387" width="9.140625" style="1"/>
    <col min="7388" max="7388" width="9.28515625" style="1" bestFit="1" customWidth="1"/>
    <col min="7389" max="7389" width="28.140625" style="1" bestFit="1" customWidth="1"/>
    <col min="7390" max="7390" width="15.7109375" style="1" customWidth="1"/>
    <col min="7391" max="7391" width="9.140625" style="1" customWidth="1"/>
    <col min="7392" max="7392" width="14.28515625" style="1" customWidth="1"/>
    <col min="7393" max="7393" width="9.140625" style="1" customWidth="1"/>
    <col min="7394" max="7395" width="12.85546875" style="1" customWidth="1"/>
    <col min="7396" max="7396" width="9.140625" style="1" customWidth="1"/>
    <col min="7397" max="7397" width="10.7109375" style="1" customWidth="1"/>
    <col min="7398" max="7399" width="12" style="1" customWidth="1"/>
    <col min="7400" max="7407" width="10.7109375" style="1" customWidth="1"/>
    <col min="7408" max="7408" width="10.5703125" style="1" customWidth="1"/>
    <col min="7409" max="7409" width="11.140625" style="1" customWidth="1"/>
    <col min="7410" max="7410" width="10.7109375" style="1" customWidth="1"/>
    <col min="7411" max="7412" width="9.140625" style="1" customWidth="1"/>
    <col min="7413" max="7413" width="10.28515625" style="1" customWidth="1"/>
    <col min="7414" max="7415" width="10" style="1" customWidth="1"/>
    <col min="7416" max="7417" width="10.140625" style="1" customWidth="1"/>
    <col min="7418" max="7421" width="10" style="1" customWidth="1"/>
    <col min="7422" max="7422" width="10.140625" style="1" customWidth="1"/>
    <col min="7423" max="7424" width="10" style="1" customWidth="1"/>
    <col min="7425" max="7425" width="10.28515625" style="1" customWidth="1"/>
    <col min="7426" max="7426" width="13.140625" style="1" customWidth="1"/>
    <col min="7427" max="7427" width="7.85546875" style="1" customWidth="1"/>
    <col min="7428" max="7429" width="9.140625" style="1" customWidth="1"/>
    <col min="7430" max="7430" width="11.7109375" style="1" customWidth="1"/>
    <col min="7431" max="7431" width="11.5703125" style="1" bestFit="1" customWidth="1"/>
    <col min="7432" max="7438" width="10.28515625" style="1" bestFit="1" customWidth="1"/>
    <col min="7439" max="7442" width="9.28515625" style="1" bestFit="1" customWidth="1"/>
    <col min="7443" max="7443" width="9.85546875" style="1" bestFit="1" customWidth="1"/>
    <col min="7444" max="7444" width="10.85546875" style="1" bestFit="1" customWidth="1"/>
    <col min="7445" max="7643" width="9.140625" style="1"/>
    <col min="7644" max="7644" width="9.28515625" style="1" bestFit="1" customWidth="1"/>
    <col min="7645" max="7645" width="28.140625" style="1" bestFit="1" customWidth="1"/>
    <col min="7646" max="7646" width="15.7109375" style="1" customWidth="1"/>
    <col min="7647" max="7647" width="9.140625" style="1" customWidth="1"/>
    <col min="7648" max="7648" width="14.28515625" style="1" customWidth="1"/>
    <col min="7649" max="7649" width="9.140625" style="1" customWidth="1"/>
    <col min="7650" max="7651" width="12.85546875" style="1" customWidth="1"/>
    <col min="7652" max="7652" width="9.140625" style="1" customWidth="1"/>
    <col min="7653" max="7653" width="10.7109375" style="1" customWidth="1"/>
    <col min="7654" max="7655" width="12" style="1" customWidth="1"/>
    <col min="7656" max="7663" width="10.7109375" style="1" customWidth="1"/>
    <col min="7664" max="7664" width="10.5703125" style="1" customWidth="1"/>
    <col min="7665" max="7665" width="11.140625" style="1" customWidth="1"/>
    <col min="7666" max="7666" width="10.7109375" style="1" customWidth="1"/>
    <col min="7667" max="7668" width="9.140625" style="1" customWidth="1"/>
    <col min="7669" max="7669" width="10.28515625" style="1" customWidth="1"/>
    <col min="7670" max="7671" width="10" style="1" customWidth="1"/>
    <col min="7672" max="7673" width="10.140625" style="1" customWidth="1"/>
    <col min="7674" max="7677" width="10" style="1" customWidth="1"/>
    <col min="7678" max="7678" width="10.140625" style="1" customWidth="1"/>
    <col min="7679" max="7680" width="10" style="1" customWidth="1"/>
    <col min="7681" max="7681" width="10.28515625" style="1" customWidth="1"/>
    <col min="7682" max="7682" width="13.140625" style="1" customWidth="1"/>
    <col min="7683" max="7683" width="7.85546875" style="1" customWidth="1"/>
    <col min="7684" max="7685" width="9.140625" style="1" customWidth="1"/>
    <col min="7686" max="7686" width="11.7109375" style="1" customWidth="1"/>
    <col min="7687" max="7687" width="11.5703125" style="1" bestFit="1" customWidth="1"/>
    <col min="7688" max="7694" width="10.28515625" style="1" bestFit="1" customWidth="1"/>
    <col min="7695" max="7698" width="9.28515625" style="1" bestFit="1" customWidth="1"/>
    <col min="7699" max="7699" width="9.85546875" style="1" bestFit="1" customWidth="1"/>
    <col min="7700" max="7700" width="10.85546875" style="1" bestFit="1" customWidth="1"/>
    <col min="7701" max="7899" width="9.140625" style="1"/>
    <col min="7900" max="7900" width="9.28515625" style="1" bestFit="1" customWidth="1"/>
    <col min="7901" max="7901" width="28.140625" style="1" bestFit="1" customWidth="1"/>
    <col min="7902" max="7902" width="15.7109375" style="1" customWidth="1"/>
    <col min="7903" max="7903" width="9.140625" style="1" customWidth="1"/>
    <col min="7904" max="7904" width="14.28515625" style="1" customWidth="1"/>
    <col min="7905" max="7905" width="9.140625" style="1" customWidth="1"/>
    <col min="7906" max="7907" width="12.85546875" style="1" customWidth="1"/>
    <col min="7908" max="7908" width="9.140625" style="1" customWidth="1"/>
    <col min="7909" max="7909" width="10.7109375" style="1" customWidth="1"/>
    <col min="7910" max="7911" width="12" style="1" customWidth="1"/>
    <col min="7912" max="7919" width="10.7109375" style="1" customWidth="1"/>
    <col min="7920" max="7920" width="10.5703125" style="1" customWidth="1"/>
    <col min="7921" max="7921" width="11.140625" style="1" customWidth="1"/>
    <col min="7922" max="7922" width="10.7109375" style="1" customWidth="1"/>
    <col min="7923" max="7924" width="9.140625" style="1" customWidth="1"/>
    <col min="7925" max="7925" width="10.28515625" style="1" customWidth="1"/>
    <col min="7926" max="7927" width="10" style="1" customWidth="1"/>
    <col min="7928" max="7929" width="10.140625" style="1" customWidth="1"/>
    <col min="7930" max="7933" width="10" style="1" customWidth="1"/>
    <col min="7934" max="7934" width="10.140625" style="1" customWidth="1"/>
    <col min="7935" max="7936" width="10" style="1" customWidth="1"/>
    <col min="7937" max="7937" width="10.28515625" style="1" customWidth="1"/>
    <col min="7938" max="7938" width="13.140625" style="1" customWidth="1"/>
    <col min="7939" max="7939" width="7.85546875" style="1" customWidth="1"/>
    <col min="7940" max="7941" width="9.140625" style="1" customWidth="1"/>
    <col min="7942" max="7942" width="11.7109375" style="1" customWidth="1"/>
    <col min="7943" max="7943" width="11.5703125" style="1" bestFit="1" customWidth="1"/>
    <col min="7944" max="7950" width="10.28515625" style="1" bestFit="1" customWidth="1"/>
    <col min="7951" max="7954" width="9.28515625" style="1" bestFit="1" customWidth="1"/>
    <col min="7955" max="7955" width="9.85546875" style="1" bestFit="1" customWidth="1"/>
    <col min="7956" max="7956" width="10.85546875" style="1" bestFit="1" customWidth="1"/>
    <col min="7957" max="8155" width="9.140625" style="1"/>
    <col min="8156" max="8156" width="9.28515625" style="1" bestFit="1" customWidth="1"/>
    <col min="8157" max="8157" width="28.140625" style="1" bestFit="1" customWidth="1"/>
    <col min="8158" max="8158" width="15.7109375" style="1" customWidth="1"/>
    <col min="8159" max="8159" width="9.140625" style="1" customWidth="1"/>
    <col min="8160" max="8160" width="14.28515625" style="1" customWidth="1"/>
    <col min="8161" max="8161" width="9.140625" style="1" customWidth="1"/>
    <col min="8162" max="8163" width="12.85546875" style="1" customWidth="1"/>
    <col min="8164" max="8164" width="9.140625" style="1" customWidth="1"/>
    <col min="8165" max="8165" width="10.7109375" style="1" customWidth="1"/>
    <col min="8166" max="8167" width="12" style="1" customWidth="1"/>
    <col min="8168" max="8175" width="10.7109375" style="1" customWidth="1"/>
    <col min="8176" max="8176" width="10.5703125" style="1" customWidth="1"/>
    <col min="8177" max="8177" width="11.140625" style="1" customWidth="1"/>
    <col min="8178" max="8178" width="10.7109375" style="1" customWidth="1"/>
    <col min="8179" max="8180" width="9.140625" style="1" customWidth="1"/>
    <col min="8181" max="8181" width="10.28515625" style="1" customWidth="1"/>
    <col min="8182" max="8183" width="10" style="1" customWidth="1"/>
    <col min="8184" max="8185" width="10.140625" style="1" customWidth="1"/>
    <col min="8186" max="8189" width="10" style="1" customWidth="1"/>
    <col min="8190" max="8190" width="10.140625" style="1" customWidth="1"/>
    <col min="8191" max="8192" width="10" style="1" customWidth="1"/>
    <col min="8193" max="8193" width="10.28515625" style="1" customWidth="1"/>
    <col min="8194" max="8194" width="13.140625" style="1" customWidth="1"/>
    <col min="8195" max="8195" width="7.85546875" style="1" customWidth="1"/>
    <col min="8196" max="8197" width="9.140625" style="1" customWidth="1"/>
    <col min="8198" max="8198" width="11.7109375" style="1" customWidth="1"/>
    <col min="8199" max="8199" width="11.5703125" style="1" bestFit="1" customWidth="1"/>
    <col min="8200" max="8206" width="10.28515625" style="1" bestFit="1" customWidth="1"/>
    <col min="8207" max="8210" width="9.28515625" style="1" bestFit="1" customWidth="1"/>
    <col min="8211" max="8211" width="9.85546875" style="1" bestFit="1" customWidth="1"/>
    <col min="8212" max="8212" width="10.85546875" style="1" bestFit="1" customWidth="1"/>
    <col min="8213" max="8411" width="9.140625" style="1"/>
    <col min="8412" max="8412" width="9.28515625" style="1" bestFit="1" customWidth="1"/>
    <col min="8413" max="8413" width="28.140625" style="1" bestFit="1" customWidth="1"/>
    <col min="8414" max="8414" width="15.7109375" style="1" customWidth="1"/>
    <col min="8415" max="8415" width="9.140625" style="1" customWidth="1"/>
    <col min="8416" max="8416" width="14.28515625" style="1" customWidth="1"/>
    <col min="8417" max="8417" width="9.140625" style="1" customWidth="1"/>
    <col min="8418" max="8419" width="12.85546875" style="1" customWidth="1"/>
    <col min="8420" max="8420" width="9.140625" style="1" customWidth="1"/>
    <col min="8421" max="8421" width="10.7109375" style="1" customWidth="1"/>
    <col min="8422" max="8423" width="12" style="1" customWidth="1"/>
    <col min="8424" max="8431" width="10.7109375" style="1" customWidth="1"/>
    <col min="8432" max="8432" width="10.5703125" style="1" customWidth="1"/>
    <col min="8433" max="8433" width="11.140625" style="1" customWidth="1"/>
    <col min="8434" max="8434" width="10.7109375" style="1" customWidth="1"/>
    <col min="8435" max="8436" width="9.140625" style="1" customWidth="1"/>
    <col min="8437" max="8437" width="10.28515625" style="1" customWidth="1"/>
    <col min="8438" max="8439" width="10" style="1" customWidth="1"/>
    <col min="8440" max="8441" width="10.140625" style="1" customWidth="1"/>
    <col min="8442" max="8445" width="10" style="1" customWidth="1"/>
    <col min="8446" max="8446" width="10.140625" style="1" customWidth="1"/>
    <col min="8447" max="8448" width="10" style="1" customWidth="1"/>
    <col min="8449" max="8449" width="10.28515625" style="1" customWidth="1"/>
    <col min="8450" max="8450" width="13.140625" style="1" customWidth="1"/>
    <col min="8451" max="8451" width="7.85546875" style="1" customWidth="1"/>
    <col min="8452" max="8453" width="9.140625" style="1" customWidth="1"/>
    <col min="8454" max="8454" width="11.7109375" style="1" customWidth="1"/>
    <col min="8455" max="8455" width="11.5703125" style="1" bestFit="1" customWidth="1"/>
    <col min="8456" max="8462" width="10.28515625" style="1" bestFit="1" customWidth="1"/>
    <col min="8463" max="8466" width="9.28515625" style="1" bestFit="1" customWidth="1"/>
    <col min="8467" max="8467" width="9.85546875" style="1" bestFit="1" customWidth="1"/>
    <col min="8468" max="8468" width="10.85546875" style="1" bestFit="1" customWidth="1"/>
    <col min="8469" max="8667" width="9.140625" style="1"/>
    <col min="8668" max="8668" width="9.28515625" style="1" bestFit="1" customWidth="1"/>
    <col min="8669" max="8669" width="28.140625" style="1" bestFit="1" customWidth="1"/>
    <col min="8670" max="8670" width="15.7109375" style="1" customWidth="1"/>
    <col min="8671" max="8671" width="9.140625" style="1" customWidth="1"/>
    <col min="8672" max="8672" width="14.28515625" style="1" customWidth="1"/>
    <col min="8673" max="8673" width="9.140625" style="1" customWidth="1"/>
    <col min="8674" max="8675" width="12.85546875" style="1" customWidth="1"/>
    <col min="8676" max="8676" width="9.140625" style="1" customWidth="1"/>
    <col min="8677" max="8677" width="10.7109375" style="1" customWidth="1"/>
    <col min="8678" max="8679" width="12" style="1" customWidth="1"/>
    <col min="8680" max="8687" width="10.7109375" style="1" customWidth="1"/>
    <col min="8688" max="8688" width="10.5703125" style="1" customWidth="1"/>
    <col min="8689" max="8689" width="11.140625" style="1" customWidth="1"/>
    <col min="8690" max="8690" width="10.7109375" style="1" customWidth="1"/>
    <col min="8691" max="8692" width="9.140625" style="1" customWidth="1"/>
    <col min="8693" max="8693" width="10.28515625" style="1" customWidth="1"/>
    <col min="8694" max="8695" width="10" style="1" customWidth="1"/>
    <col min="8696" max="8697" width="10.140625" style="1" customWidth="1"/>
    <col min="8698" max="8701" width="10" style="1" customWidth="1"/>
    <col min="8702" max="8702" width="10.140625" style="1" customWidth="1"/>
    <col min="8703" max="8704" width="10" style="1" customWidth="1"/>
    <col min="8705" max="8705" width="10.28515625" style="1" customWidth="1"/>
    <col min="8706" max="8706" width="13.140625" style="1" customWidth="1"/>
    <col min="8707" max="8707" width="7.85546875" style="1" customWidth="1"/>
    <col min="8708" max="8709" width="9.140625" style="1" customWidth="1"/>
    <col min="8710" max="8710" width="11.7109375" style="1" customWidth="1"/>
    <col min="8711" max="8711" width="11.5703125" style="1" bestFit="1" customWidth="1"/>
    <col min="8712" max="8718" width="10.28515625" style="1" bestFit="1" customWidth="1"/>
    <col min="8719" max="8722" width="9.28515625" style="1" bestFit="1" customWidth="1"/>
    <col min="8723" max="8723" width="9.85546875" style="1" bestFit="1" customWidth="1"/>
    <col min="8724" max="8724" width="10.85546875" style="1" bestFit="1" customWidth="1"/>
    <col min="8725" max="8923" width="9.140625" style="1"/>
    <col min="8924" max="8924" width="9.28515625" style="1" bestFit="1" customWidth="1"/>
    <col min="8925" max="8925" width="28.140625" style="1" bestFit="1" customWidth="1"/>
    <col min="8926" max="8926" width="15.7109375" style="1" customWidth="1"/>
    <col min="8927" max="8927" width="9.140625" style="1" customWidth="1"/>
    <col min="8928" max="8928" width="14.28515625" style="1" customWidth="1"/>
    <col min="8929" max="8929" width="9.140625" style="1" customWidth="1"/>
    <col min="8930" max="8931" width="12.85546875" style="1" customWidth="1"/>
    <col min="8932" max="8932" width="9.140625" style="1" customWidth="1"/>
    <col min="8933" max="8933" width="10.7109375" style="1" customWidth="1"/>
    <col min="8934" max="8935" width="12" style="1" customWidth="1"/>
    <col min="8936" max="8943" width="10.7109375" style="1" customWidth="1"/>
    <col min="8944" max="8944" width="10.5703125" style="1" customWidth="1"/>
    <col min="8945" max="8945" width="11.140625" style="1" customWidth="1"/>
    <col min="8946" max="8946" width="10.7109375" style="1" customWidth="1"/>
    <col min="8947" max="8948" width="9.140625" style="1" customWidth="1"/>
    <col min="8949" max="8949" width="10.28515625" style="1" customWidth="1"/>
    <col min="8950" max="8951" width="10" style="1" customWidth="1"/>
    <col min="8952" max="8953" width="10.140625" style="1" customWidth="1"/>
    <col min="8954" max="8957" width="10" style="1" customWidth="1"/>
    <col min="8958" max="8958" width="10.140625" style="1" customWidth="1"/>
    <col min="8959" max="8960" width="10" style="1" customWidth="1"/>
    <col min="8961" max="8961" width="10.28515625" style="1" customWidth="1"/>
    <col min="8962" max="8962" width="13.140625" style="1" customWidth="1"/>
    <col min="8963" max="8963" width="7.85546875" style="1" customWidth="1"/>
    <col min="8964" max="8965" width="9.140625" style="1" customWidth="1"/>
    <col min="8966" max="8966" width="11.7109375" style="1" customWidth="1"/>
    <col min="8967" max="8967" width="11.5703125" style="1" bestFit="1" customWidth="1"/>
    <col min="8968" max="8974" width="10.28515625" style="1" bestFit="1" customWidth="1"/>
    <col min="8975" max="8978" width="9.28515625" style="1" bestFit="1" customWidth="1"/>
    <col min="8979" max="8979" width="9.85546875" style="1" bestFit="1" customWidth="1"/>
    <col min="8980" max="8980" width="10.85546875" style="1" bestFit="1" customWidth="1"/>
    <col min="8981" max="9179" width="9.140625" style="1"/>
    <col min="9180" max="9180" width="9.28515625" style="1" bestFit="1" customWidth="1"/>
    <col min="9181" max="9181" width="28.140625" style="1" bestFit="1" customWidth="1"/>
    <col min="9182" max="9182" width="15.7109375" style="1" customWidth="1"/>
    <col min="9183" max="9183" width="9.140625" style="1" customWidth="1"/>
    <col min="9184" max="9184" width="14.28515625" style="1" customWidth="1"/>
    <col min="9185" max="9185" width="9.140625" style="1" customWidth="1"/>
    <col min="9186" max="9187" width="12.85546875" style="1" customWidth="1"/>
    <col min="9188" max="9188" width="9.140625" style="1" customWidth="1"/>
    <col min="9189" max="9189" width="10.7109375" style="1" customWidth="1"/>
    <col min="9190" max="9191" width="12" style="1" customWidth="1"/>
    <col min="9192" max="9199" width="10.7109375" style="1" customWidth="1"/>
    <col min="9200" max="9200" width="10.5703125" style="1" customWidth="1"/>
    <col min="9201" max="9201" width="11.140625" style="1" customWidth="1"/>
    <col min="9202" max="9202" width="10.7109375" style="1" customWidth="1"/>
    <col min="9203" max="9204" width="9.140625" style="1" customWidth="1"/>
    <col min="9205" max="9205" width="10.28515625" style="1" customWidth="1"/>
    <col min="9206" max="9207" width="10" style="1" customWidth="1"/>
    <col min="9208" max="9209" width="10.140625" style="1" customWidth="1"/>
    <col min="9210" max="9213" width="10" style="1" customWidth="1"/>
    <col min="9214" max="9214" width="10.140625" style="1" customWidth="1"/>
    <col min="9215" max="9216" width="10" style="1" customWidth="1"/>
    <col min="9217" max="9217" width="10.28515625" style="1" customWidth="1"/>
    <col min="9218" max="9218" width="13.140625" style="1" customWidth="1"/>
    <col min="9219" max="9219" width="7.85546875" style="1" customWidth="1"/>
    <col min="9220" max="9221" width="9.140625" style="1" customWidth="1"/>
    <col min="9222" max="9222" width="11.7109375" style="1" customWidth="1"/>
    <col min="9223" max="9223" width="11.5703125" style="1" bestFit="1" customWidth="1"/>
    <col min="9224" max="9230" width="10.28515625" style="1" bestFit="1" customWidth="1"/>
    <col min="9231" max="9234" width="9.28515625" style="1" bestFit="1" customWidth="1"/>
    <col min="9235" max="9235" width="9.85546875" style="1" bestFit="1" customWidth="1"/>
    <col min="9236" max="9236" width="10.85546875" style="1" bestFit="1" customWidth="1"/>
    <col min="9237" max="9435" width="9.140625" style="1"/>
    <col min="9436" max="9436" width="9.28515625" style="1" bestFit="1" customWidth="1"/>
    <col min="9437" max="9437" width="28.140625" style="1" bestFit="1" customWidth="1"/>
    <col min="9438" max="9438" width="15.7109375" style="1" customWidth="1"/>
    <col min="9439" max="9439" width="9.140625" style="1" customWidth="1"/>
    <col min="9440" max="9440" width="14.28515625" style="1" customWidth="1"/>
    <col min="9441" max="9441" width="9.140625" style="1" customWidth="1"/>
    <col min="9442" max="9443" width="12.85546875" style="1" customWidth="1"/>
    <col min="9444" max="9444" width="9.140625" style="1" customWidth="1"/>
    <col min="9445" max="9445" width="10.7109375" style="1" customWidth="1"/>
    <col min="9446" max="9447" width="12" style="1" customWidth="1"/>
    <col min="9448" max="9455" width="10.7109375" style="1" customWidth="1"/>
    <col min="9456" max="9456" width="10.5703125" style="1" customWidth="1"/>
    <col min="9457" max="9457" width="11.140625" style="1" customWidth="1"/>
    <col min="9458" max="9458" width="10.7109375" style="1" customWidth="1"/>
    <col min="9459" max="9460" width="9.140625" style="1" customWidth="1"/>
    <col min="9461" max="9461" width="10.28515625" style="1" customWidth="1"/>
    <col min="9462" max="9463" width="10" style="1" customWidth="1"/>
    <col min="9464" max="9465" width="10.140625" style="1" customWidth="1"/>
    <col min="9466" max="9469" width="10" style="1" customWidth="1"/>
    <col min="9470" max="9470" width="10.140625" style="1" customWidth="1"/>
    <col min="9471" max="9472" width="10" style="1" customWidth="1"/>
    <col min="9473" max="9473" width="10.28515625" style="1" customWidth="1"/>
    <col min="9474" max="9474" width="13.140625" style="1" customWidth="1"/>
    <col min="9475" max="9475" width="7.85546875" style="1" customWidth="1"/>
    <col min="9476" max="9477" width="9.140625" style="1" customWidth="1"/>
    <col min="9478" max="9478" width="11.7109375" style="1" customWidth="1"/>
    <col min="9479" max="9479" width="11.5703125" style="1" bestFit="1" customWidth="1"/>
    <col min="9480" max="9486" width="10.28515625" style="1" bestFit="1" customWidth="1"/>
    <col min="9487" max="9490" width="9.28515625" style="1" bestFit="1" customWidth="1"/>
    <col min="9491" max="9491" width="9.85546875" style="1" bestFit="1" customWidth="1"/>
    <col min="9492" max="9492" width="10.85546875" style="1" bestFit="1" customWidth="1"/>
    <col min="9493" max="9691" width="9.140625" style="1"/>
    <col min="9692" max="9692" width="9.28515625" style="1" bestFit="1" customWidth="1"/>
    <col min="9693" max="9693" width="28.140625" style="1" bestFit="1" customWidth="1"/>
    <col min="9694" max="9694" width="15.7109375" style="1" customWidth="1"/>
    <col min="9695" max="9695" width="9.140625" style="1" customWidth="1"/>
    <col min="9696" max="9696" width="14.28515625" style="1" customWidth="1"/>
    <col min="9697" max="9697" width="9.140625" style="1" customWidth="1"/>
    <col min="9698" max="9699" width="12.85546875" style="1" customWidth="1"/>
    <col min="9700" max="9700" width="9.140625" style="1" customWidth="1"/>
    <col min="9701" max="9701" width="10.7109375" style="1" customWidth="1"/>
    <col min="9702" max="9703" width="12" style="1" customWidth="1"/>
    <col min="9704" max="9711" width="10.7109375" style="1" customWidth="1"/>
    <col min="9712" max="9712" width="10.5703125" style="1" customWidth="1"/>
    <col min="9713" max="9713" width="11.140625" style="1" customWidth="1"/>
    <col min="9714" max="9714" width="10.7109375" style="1" customWidth="1"/>
    <col min="9715" max="9716" width="9.140625" style="1" customWidth="1"/>
    <col min="9717" max="9717" width="10.28515625" style="1" customWidth="1"/>
    <col min="9718" max="9719" width="10" style="1" customWidth="1"/>
    <col min="9720" max="9721" width="10.140625" style="1" customWidth="1"/>
    <col min="9722" max="9725" width="10" style="1" customWidth="1"/>
    <col min="9726" max="9726" width="10.140625" style="1" customWidth="1"/>
    <col min="9727" max="9728" width="10" style="1" customWidth="1"/>
    <col min="9729" max="9729" width="10.28515625" style="1" customWidth="1"/>
    <col min="9730" max="9730" width="13.140625" style="1" customWidth="1"/>
    <col min="9731" max="9731" width="7.85546875" style="1" customWidth="1"/>
    <col min="9732" max="9733" width="9.140625" style="1" customWidth="1"/>
    <col min="9734" max="9734" width="11.7109375" style="1" customWidth="1"/>
    <col min="9735" max="9735" width="11.5703125" style="1" bestFit="1" customWidth="1"/>
    <col min="9736" max="9742" width="10.28515625" style="1" bestFit="1" customWidth="1"/>
    <col min="9743" max="9746" width="9.28515625" style="1" bestFit="1" customWidth="1"/>
    <col min="9747" max="9747" width="9.85546875" style="1" bestFit="1" customWidth="1"/>
    <col min="9748" max="9748" width="10.85546875" style="1" bestFit="1" customWidth="1"/>
    <col min="9749" max="9947" width="9.140625" style="1"/>
    <col min="9948" max="9948" width="9.28515625" style="1" bestFit="1" customWidth="1"/>
    <col min="9949" max="9949" width="28.140625" style="1" bestFit="1" customWidth="1"/>
    <col min="9950" max="9950" width="15.7109375" style="1" customWidth="1"/>
    <col min="9951" max="9951" width="9.140625" style="1" customWidth="1"/>
    <col min="9952" max="9952" width="14.28515625" style="1" customWidth="1"/>
    <col min="9953" max="9953" width="9.140625" style="1" customWidth="1"/>
    <col min="9954" max="9955" width="12.85546875" style="1" customWidth="1"/>
    <col min="9956" max="9956" width="9.140625" style="1" customWidth="1"/>
    <col min="9957" max="9957" width="10.7109375" style="1" customWidth="1"/>
    <col min="9958" max="9959" width="12" style="1" customWidth="1"/>
    <col min="9960" max="9967" width="10.7109375" style="1" customWidth="1"/>
    <col min="9968" max="9968" width="10.5703125" style="1" customWidth="1"/>
    <col min="9969" max="9969" width="11.140625" style="1" customWidth="1"/>
    <col min="9970" max="9970" width="10.7109375" style="1" customWidth="1"/>
    <col min="9971" max="9972" width="9.140625" style="1" customWidth="1"/>
    <col min="9973" max="9973" width="10.28515625" style="1" customWidth="1"/>
    <col min="9974" max="9975" width="10" style="1" customWidth="1"/>
    <col min="9976" max="9977" width="10.140625" style="1" customWidth="1"/>
    <col min="9978" max="9981" width="10" style="1" customWidth="1"/>
    <col min="9982" max="9982" width="10.140625" style="1" customWidth="1"/>
    <col min="9983" max="9984" width="10" style="1" customWidth="1"/>
    <col min="9985" max="9985" width="10.28515625" style="1" customWidth="1"/>
    <col min="9986" max="9986" width="13.140625" style="1" customWidth="1"/>
    <col min="9987" max="9987" width="7.85546875" style="1" customWidth="1"/>
    <col min="9988" max="9989" width="9.140625" style="1" customWidth="1"/>
    <col min="9990" max="9990" width="11.7109375" style="1" customWidth="1"/>
    <col min="9991" max="9991" width="11.5703125" style="1" bestFit="1" customWidth="1"/>
    <col min="9992" max="9998" width="10.28515625" style="1" bestFit="1" customWidth="1"/>
    <col min="9999" max="10002" width="9.28515625" style="1" bestFit="1" customWidth="1"/>
    <col min="10003" max="10003" width="9.85546875" style="1" bestFit="1" customWidth="1"/>
    <col min="10004" max="10004" width="10.85546875" style="1" bestFit="1" customWidth="1"/>
    <col min="10005" max="10203" width="9.140625" style="1"/>
    <col min="10204" max="10204" width="9.28515625" style="1" bestFit="1" customWidth="1"/>
    <col min="10205" max="10205" width="28.140625" style="1" bestFit="1" customWidth="1"/>
    <col min="10206" max="10206" width="15.7109375" style="1" customWidth="1"/>
    <col min="10207" max="10207" width="9.140625" style="1" customWidth="1"/>
    <col min="10208" max="10208" width="14.28515625" style="1" customWidth="1"/>
    <col min="10209" max="10209" width="9.140625" style="1" customWidth="1"/>
    <col min="10210" max="10211" width="12.85546875" style="1" customWidth="1"/>
    <col min="10212" max="10212" width="9.140625" style="1" customWidth="1"/>
    <col min="10213" max="10213" width="10.7109375" style="1" customWidth="1"/>
    <col min="10214" max="10215" width="12" style="1" customWidth="1"/>
    <col min="10216" max="10223" width="10.7109375" style="1" customWidth="1"/>
    <col min="10224" max="10224" width="10.5703125" style="1" customWidth="1"/>
    <col min="10225" max="10225" width="11.140625" style="1" customWidth="1"/>
    <col min="10226" max="10226" width="10.7109375" style="1" customWidth="1"/>
    <col min="10227" max="10228" width="9.140625" style="1" customWidth="1"/>
    <col min="10229" max="10229" width="10.28515625" style="1" customWidth="1"/>
    <col min="10230" max="10231" width="10" style="1" customWidth="1"/>
    <col min="10232" max="10233" width="10.140625" style="1" customWidth="1"/>
    <col min="10234" max="10237" width="10" style="1" customWidth="1"/>
    <col min="10238" max="10238" width="10.140625" style="1" customWidth="1"/>
    <col min="10239" max="10240" width="10" style="1" customWidth="1"/>
    <col min="10241" max="10241" width="10.28515625" style="1" customWidth="1"/>
    <col min="10242" max="10242" width="13.140625" style="1" customWidth="1"/>
    <col min="10243" max="10243" width="7.85546875" style="1" customWidth="1"/>
    <col min="10244" max="10245" width="9.140625" style="1" customWidth="1"/>
    <col min="10246" max="10246" width="11.7109375" style="1" customWidth="1"/>
    <col min="10247" max="10247" width="11.5703125" style="1" bestFit="1" customWidth="1"/>
    <col min="10248" max="10254" width="10.28515625" style="1" bestFit="1" customWidth="1"/>
    <col min="10255" max="10258" width="9.28515625" style="1" bestFit="1" customWidth="1"/>
    <col min="10259" max="10259" width="9.85546875" style="1" bestFit="1" customWidth="1"/>
    <col min="10260" max="10260" width="10.85546875" style="1" bestFit="1" customWidth="1"/>
    <col min="10261" max="10459" width="9.140625" style="1"/>
    <col min="10460" max="10460" width="9.28515625" style="1" bestFit="1" customWidth="1"/>
    <col min="10461" max="10461" width="28.140625" style="1" bestFit="1" customWidth="1"/>
    <col min="10462" max="10462" width="15.7109375" style="1" customWidth="1"/>
    <col min="10463" max="10463" width="9.140625" style="1" customWidth="1"/>
    <col min="10464" max="10464" width="14.28515625" style="1" customWidth="1"/>
    <col min="10465" max="10465" width="9.140625" style="1" customWidth="1"/>
    <col min="10466" max="10467" width="12.85546875" style="1" customWidth="1"/>
    <col min="10468" max="10468" width="9.140625" style="1" customWidth="1"/>
    <col min="10469" max="10469" width="10.7109375" style="1" customWidth="1"/>
    <col min="10470" max="10471" width="12" style="1" customWidth="1"/>
    <col min="10472" max="10479" width="10.7109375" style="1" customWidth="1"/>
    <col min="10480" max="10480" width="10.5703125" style="1" customWidth="1"/>
    <col min="10481" max="10481" width="11.140625" style="1" customWidth="1"/>
    <col min="10482" max="10482" width="10.7109375" style="1" customWidth="1"/>
    <col min="10483" max="10484" width="9.140625" style="1" customWidth="1"/>
    <col min="10485" max="10485" width="10.28515625" style="1" customWidth="1"/>
    <col min="10486" max="10487" width="10" style="1" customWidth="1"/>
    <col min="10488" max="10489" width="10.140625" style="1" customWidth="1"/>
    <col min="10490" max="10493" width="10" style="1" customWidth="1"/>
    <col min="10494" max="10494" width="10.140625" style="1" customWidth="1"/>
    <col min="10495" max="10496" width="10" style="1" customWidth="1"/>
    <col min="10497" max="10497" width="10.28515625" style="1" customWidth="1"/>
    <col min="10498" max="10498" width="13.140625" style="1" customWidth="1"/>
    <col min="10499" max="10499" width="7.85546875" style="1" customWidth="1"/>
    <col min="10500" max="10501" width="9.140625" style="1" customWidth="1"/>
    <col min="10502" max="10502" width="11.7109375" style="1" customWidth="1"/>
    <col min="10503" max="10503" width="11.5703125" style="1" bestFit="1" customWidth="1"/>
    <col min="10504" max="10510" width="10.28515625" style="1" bestFit="1" customWidth="1"/>
    <col min="10511" max="10514" width="9.28515625" style="1" bestFit="1" customWidth="1"/>
    <col min="10515" max="10515" width="9.85546875" style="1" bestFit="1" customWidth="1"/>
    <col min="10516" max="10516" width="10.85546875" style="1" bestFit="1" customWidth="1"/>
    <col min="10517" max="10715" width="9.140625" style="1"/>
    <col min="10716" max="10716" width="9.28515625" style="1" bestFit="1" customWidth="1"/>
    <col min="10717" max="10717" width="28.140625" style="1" bestFit="1" customWidth="1"/>
    <col min="10718" max="10718" width="15.7109375" style="1" customWidth="1"/>
    <col min="10719" max="10719" width="9.140625" style="1" customWidth="1"/>
    <col min="10720" max="10720" width="14.28515625" style="1" customWidth="1"/>
    <col min="10721" max="10721" width="9.140625" style="1" customWidth="1"/>
    <col min="10722" max="10723" width="12.85546875" style="1" customWidth="1"/>
    <col min="10724" max="10724" width="9.140625" style="1" customWidth="1"/>
    <col min="10725" max="10725" width="10.7109375" style="1" customWidth="1"/>
    <col min="10726" max="10727" width="12" style="1" customWidth="1"/>
    <col min="10728" max="10735" width="10.7109375" style="1" customWidth="1"/>
    <col min="10736" max="10736" width="10.5703125" style="1" customWidth="1"/>
    <col min="10737" max="10737" width="11.140625" style="1" customWidth="1"/>
    <col min="10738" max="10738" width="10.7109375" style="1" customWidth="1"/>
    <col min="10739" max="10740" width="9.140625" style="1" customWidth="1"/>
    <col min="10741" max="10741" width="10.28515625" style="1" customWidth="1"/>
    <col min="10742" max="10743" width="10" style="1" customWidth="1"/>
    <col min="10744" max="10745" width="10.140625" style="1" customWidth="1"/>
    <col min="10746" max="10749" width="10" style="1" customWidth="1"/>
    <col min="10750" max="10750" width="10.140625" style="1" customWidth="1"/>
    <col min="10751" max="10752" width="10" style="1" customWidth="1"/>
    <col min="10753" max="10753" width="10.28515625" style="1" customWidth="1"/>
    <col min="10754" max="10754" width="13.140625" style="1" customWidth="1"/>
    <col min="10755" max="10755" width="7.85546875" style="1" customWidth="1"/>
    <col min="10756" max="10757" width="9.140625" style="1" customWidth="1"/>
    <col min="10758" max="10758" width="11.7109375" style="1" customWidth="1"/>
    <col min="10759" max="10759" width="11.5703125" style="1" bestFit="1" customWidth="1"/>
    <col min="10760" max="10766" width="10.28515625" style="1" bestFit="1" customWidth="1"/>
    <col min="10767" max="10770" width="9.28515625" style="1" bestFit="1" customWidth="1"/>
    <col min="10771" max="10771" width="9.85546875" style="1" bestFit="1" customWidth="1"/>
    <col min="10772" max="10772" width="10.85546875" style="1" bestFit="1" customWidth="1"/>
    <col min="10773" max="10971" width="9.140625" style="1"/>
    <col min="10972" max="10972" width="9.28515625" style="1" bestFit="1" customWidth="1"/>
    <col min="10973" max="10973" width="28.140625" style="1" bestFit="1" customWidth="1"/>
    <col min="10974" max="10974" width="15.7109375" style="1" customWidth="1"/>
    <col min="10975" max="10975" width="9.140625" style="1" customWidth="1"/>
    <col min="10976" max="10976" width="14.28515625" style="1" customWidth="1"/>
    <col min="10977" max="10977" width="9.140625" style="1" customWidth="1"/>
    <col min="10978" max="10979" width="12.85546875" style="1" customWidth="1"/>
    <col min="10980" max="10980" width="9.140625" style="1" customWidth="1"/>
    <col min="10981" max="10981" width="10.7109375" style="1" customWidth="1"/>
    <col min="10982" max="10983" width="12" style="1" customWidth="1"/>
    <col min="10984" max="10991" width="10.7109375" style="1" customWidth="1"/>
    <col min="10992" max="10992" width="10.5703125" style="1" customWidth="1"/>
    <col min="10993" max="10993" width="11.140625" style="1" customWidth="1"/>
    <col min="10994" max="10994" width="10.7109375" style="1" customWidth="1"/>
    <col min="10995" max="10996" width="9.140625" style="1" customWidth="1"/>
    <col min="10997" max="10997" width="10.28515625" style="1" customWidth="1"/>
    <col min="10998" max="10999" width="10" style="1" customWidth="1"/>
    <col min="11000" max="11001" width="10.140625" style="1" customWidth="1"/>
    <col min="11002" max="11005" width="10" style="1" customWidth="1"/>
    <col min="11006" max="11006" width="10.140625" style="1" customWidth="1"/>
    <col min="11007" max="11008" width="10" style="1" customWidth="1"/>
    <col min="11009" max="11009" width="10.28515625" style="1" customWidth="1"/>
    <col min="11010" max="11010" width="13.140625" style="1" customWidth="1"/>
    <col min="11011" max="11011" width="7.85546875" style="1" customWidth="1"/>
    <col min="11012" max="11013" width="9.140625" style="1" customWidth="1"/>
    <col min="11014" max="11014" width="11.7109375" style="1" customWidth="1"/>
    <col min="11015" max="11015" width="11.5703125" style="1" bestFit="1" customWidth="1"/>
    <col min="11016" max="11022" width="10.28515625" style="1" bestFit="1" customWidth="1"/>
    <col min="11023" max="11026" width="9.28515625" style="1" bestFit="1" customWidth="1"/>
    <col min="11027" max="11027" width="9.85546875" style="1" bestFit="1" customWidth="1"/>
    <col min="11028" max="11028" width="10.85546875" style="1" bestFit="1" customWidth="1"/>
    <col min="11029" max="11227" width="9.140625" style="1"/>
    <col min="11228" max="11228" width="9.28515625" style="1" bestFit="1" customWidth="1"/>
    <col min="11229" max="11229" width="28.140625" style="1" bestFit="1" customWidth="1"/>
    <col min="11230" max="11230" width="15.7109375" style="1" customWidth="1"/>
    <col min="11231" max="11231" width="9.140625" style="1" customWidth="1"/>
    <col min="11232" max="11232" width="14.28515625" style="1" customWidth="1"/>
    <col min="11233" max="11233" width="9.140625" style="1" customWidth="1"/>
    <col min="11234" max="11235" width="12.85546875" style="1" customWidth="1"/>
    <col min="11236" max="11236" width="9.140625" style="1" customWidth="1"/>
    <col min="11237" max="11237" width="10.7109375" style="1" customWidth="1"/>
    <col min="11238" max="11239" width="12" style="1" customWidth="1"/>
    <col min="11240" max="11247" width="10.7109375" style="1" customWidth="1"/>
    <col min="11248" max="11248" width="10.5703125" style="1" customWidth="1"/>
    <col min="11249" max="11249" width="11.140625" style="1" customWidth="1"/>
    <col min="11250" max="11250" width="10.7109375" style="1" customWidth="1"/>
    <col min="11251" max="11252" width="9.140625" style="1" customWidth="1"/>
    <col min="11253" max="11253" width="10.28515625" style="1" customWidth="1"/>
    <col min="11254" max="11255" width="10" style="1" customWidth="1"/>
    <col min="11256" max="11257" width="10.140625" style="1" customWidth="1"/>
    <col min="11258" max="11261" width="10" style="1" customWidth="1"/>
    <col min="11262" max="11262" width="10.140625" style="1" customWidth="1"/>
    <col min="11263" max="11264" width="10" style="1" customWidth="1"/>
    <col min="11265" max="11265" width="10.28515625" style="1" customWidth="1"/>
    <col min="11266" max="11266" width="13.140625" style="1" customWidth="1"/>
    <col min="11267" max="11267" width="7.85546875" style="1" customWidth="1"/>
    <col min="11268" max="11269" width="9.140625" style="1" customWidth="1"/>
    <col min="11270" max="11270" width="11.7109375" style="1" customWidth="1"/>
    <col min="11271" max="11271" width="11.5703125" style="1" bestFit="1" customWidth="1"/>
    <col min="11272" max="11278" width="10.28515625" style="1" bestFit="1" customWidth="1"/>
    <col min="11279" max="11282" width="9.28515625" style="1" bestFit="1" customWidth="1"/>
    <col min="11283" max="11283" width="9.85546875" style="1" bestFit="1" customWidth="1"/>
    <col min="11284" max="11284" width="10.85546875" style="1" bestFit="1" customWidth="1"/>
    <col min="11285" max="11483" width="9.140625" style="1"/>
    <col min="11484" max="11484" width="9.28515625" style="1" bestFit="1" customWidth="1"/>
    <col min="11485" max="11485" width="28.140625" style="1" bestFit="1" customWidth="1"/>
    <col min="11486" max="11486" width="15.7109375" style="1" customWidth="1"/>
    <col min="11487" max="11487" width="9.140625" style="1" customWidth="1"/>
    <col min="11488" max="11488" width="14.28515625" style="1" customWidth="1"/>
    <col min="11489" max="11489" width="9.140625" style="1" customWidth="1"/>
    <col min="11490" max="11491" width="12.85546875" style="1" customWidth="1"/>
    <col min="11492" max="11492" width="9.140625" style="1" customWidth="1"/>
    <col min="11493" max="11493" width="10.7109375" style="1" customWidth="1"/>
    <col min="11494" max="11495" width="12" style="1" customWidth="1"/>
    <col min="11496" max="11503" width="10.7109375" style="1" customWidth="1"/>
    <col min="11504" max="11504" width="10.5703125" style="1" customWidth="1"/>
    <col min="11505" max="11505" width="11.140625" style="1" customWidth="1"/>
    <col min="11506" max="11506" width="10.7109375" style="1" customWidth="1"/>
    <col min="11507" max="11508" width="9.140625" style="1" customWidth="1"/>
    <col min="11509" max="11509" width="10.28515625" style="1" customWidth="1"/>
    <col min="11510" max="11511" width="10" style="1" customWidth="1"/>
    <col min="11512" max="11513" width="10.140625" style="1" customWidth="1"/>
    <col min="11514" max="11517" width="10" style="1" customWidth="1"/>
    <col min="11518" max="11518" width="10.140625" style="1" customWidth="1"/>
    <col min="11519" max="11520" width="10" style="1" customWidth="1"/>
    <col min="11521" max="11521" width="10.28515625" style="1" customWidth="1"/>
    <col min="11522" max="11522" width="13.140625" style="1" customWidth="1"/>
    <col min="11523" max="11523" width="7.85546875" style="1" customWidth="1"/>
    <col min="11524" max="11525" width="9.140625" style="1" customWidth="1"/>
    <col min="11526" max="11526" width="11.7109375" style="1" customWidth="1"/>
    <col min="11527" max="11527" width="11.5703125" style="1" bestFit="1" customWidth="1"/>
    <col min="11528" max="11534" width="10.28515625" style="1" bestFit="1" customWidth="1"/>
    <col min="11535" max="11538" width="9.28515625" style="1" bestFit="1" customWidth="1"/>
    <col min="11539" max="11539" width="9.85546875" style="1" bestFit="1" customWidth="1"/>
    <col min="11540" max="11540" width="10.85546875" style="1" bestFit="1" customWidth="1"/>
    <col min="11541" max="11739" width="9.140625" style="1"/>
    <col min="11740" max="11740" width="9.28515625" style="1" bestFit="1" customWidth="1"/>
    <col min="11741" max="11741" width="28.140625" style="1" bestFit="1" customWidth="1"/>
    <col min="11742" max="11742" width="15.7109375" style="1" customWidth="1"/>
    <col min="11743" max="11743" width="9.140625" style="1" customWidth="1"/>
    <col min="11744" max="11744" width="14.28515625" style="1" customWidth="1"/>
    <col min="11745" max="11745" width="9.140625" style="1" customWidth="1"/>
    <col min="11746" max="11747" width="12.85546875" style="1" customWidth="1"/>
    <col min="11748" max="11748" width="9.140625" style="1" customWidth="1"/>
    <col min="11749" max="11749" width="10.7109375" style="1" customWidth="1"/>
    <col min="11750" max="11751" width="12" style="1" customWidth="1"/>
    <col min="11752" max="11759" width="10.7109375" style="1" customWidth="1"/>
    <col min="11760" max="11760" width="10.5703125" style="1" customWidth="1"/>
    <col min="11761" max="11761" width="11.140625" style="1" customWidth="1"/>
    <col min="11762" max="11762" width="10.7109375" style="1" customWidth="1"/>
    <col min="11763" max="11764" width="9.140625" style="1" customWidth="1"/>
    <col min="11765" max="11765" width="10.28515625" style="1" customWidth="1"/>
    <col min="11766" max="11767" width="10" style="1" customWidth="1"/>
    <col min="11768" max="11769" width="10.140625" style="1" customWidth="1"/>
    <col min="11770" max="11773" width="10" style="1" customWidth="1"/>
    <col min="11774" max="11774" width="10.140625" style="1" customWidth="1"/>
    <col min="11775" max="11776" width="10" style="1" customWidth="1"/>
    <col min="11777" max="11777" width="10.28515625" style="1" customWidth="1"/>
    <col min="11778" max="11778" width="13.140625" style="1" customWidth="1"/>
    <col min="11779" max="11779" width="7.85546875" style="1" customWidth="1"/>
    <col min="11780" max="11781" width="9.140625" style="1" customWidth="1"/>
    <col min="11782" max="11782" width="11.7109375" style="1" customWidth="1"/>
    <col min="11783" max="11783" width="11.5703125" style="1" bestFit="1" customWidth="1"/>
    <col min="11784" max="11790" width="10.28515625" style="1" bestFit="1" customWidth="1"/>
    <col min="11791" max="11794" width="9.28515625" style="1" bestFit="1" customWidth="1"/>
    <col min="11795" max="11795" width="9.85546875" style="1" bestFit="1" customWidth="1"/>
    <col min="11796" max="11796" width="10.85546875" style="1" bestFit="1" customWidth="1"/>
    <col min="11797" max="11995" width="9.140625" style="1"/>
    <col min="11996" max="11996" width="9.28515625" style="1" bestFit="1" customWidth="1"/>
    <col min="11997" max="11997" width="28.140625" style="1" bestFit="1" customWidth="1"/>
    <col min="11998" max="11998" width="15.7109375" style="1" customWidth="1"/>
    <col min="11999" max="11999" width="9.140625" style="1" customWidth="1"/>
    <col min="12000" max="12000" width="14.28515625" style="1" customWidth="1"/>
    <col min="12001" max="12001" width="9.140625" style="1" customWidth="1"/>
    <col min="12002" max="12003" width="12.85546875" style="1" customWidth="1"/>
    <col min="12004" max="12004" width="9.140625" style="1" customWidth="1"/>
    <col min="12005" max="12005" width="10.7109375" style="1" customWidth="1"/>
    <col min="12006" max="12007" width="12" style="1" customWidth="1"/>
    <col min="12008" max="12015" width="10.7109375" style="1" customWidth="1"/>
    <col min="12016" max="12016" width="10.5703125" style="1" customWidth="1"/>
    <col min="12017" max="12017" width="11.140625" style="1" customWidth="1"/>
    <col min="12018" max="12018" width="10.7109375" style="1" customWidth="1"/>
    <col min="12019" max="12020" width="9.140625" style="1" customWidth="1"/>
    <col min="12021" max="12021" width="10.28515625" style="1" customWidth="1"/>
    <col min="12022" max="12023" width="10" style="1" customWidth="1"/>
    <col min="12024" max="12025" width="10.140625" style="1" customWidth="1"/>
    <col min="12026" max="12029" width="10" style="1" customWidth="1"/>
    <col min="12030" max="12030" width="10.140625" style="1" customWidth="1"/>
    <col min="12031" max="12032" width="10" style="1" customWidth="1"/>
    <col min="12033" max="12033" width="10.28515625" style="1" customWidth="1"/>
    <col min="12034" max="12034" width="13.140625" style="1" customWidth="1"/>
    <col min="12035" max="12035" width="7.85546875" style="1" customWidth="1"/>
    <col min="12036" max="12037" width="9.140625" style="1" customWidth="1"/>
    <col min="12038" max="12038" width="11.7109375" style="1" customWidth="1"/>
    <col min="12039" max="12039" width="11.5703125" style="1" bestFit="1" customWidth="1"/>
    <col min="12040" max="12046" width="10.28515625" style="1" bestFit="1" customWidth="1"/>
    <col min="12047" max="12050" width="9.28515625" style="1" bestFit="1" customWidth="1"/>
    <col min="12051" max="12051" width="9.85546875" style="1" bestFit="1" customWidth="1"/>
    <col min="12052" max="12052" width="10.85546875" style="1" bestFit="1" customWidth="1"/>
    <col min="12053" max="12251" width="9.140625" style="1"/>
    <col min="12252" max="12252" width="9.28515625" style="1" bestFit="1" customWidth="1"/>
    <col min="12253" max="12253" width="28.140625" style="1" bestFit="1" customWidth="1"/>
    <col min="12254" max="12254" width="15.7109375" style="1" customWidth="1"/>
    <col min="12255" max="12255" width="9.140625" style="1" customWidth="1"/>
    <col min="12256" max="12256" width="14.28515625" style="1" customWidth="1"/>
    <col min="12257" max="12257" width="9.140625" style="1" customWidth="1"/>
    <col min="12258" max="12259" width="12.85546875" style="1" customWidth="1"/>
    <col min="12260" max="12260" width="9.140625" style="1" customWidth="1"/>
    <col min="12261" max="12261" width="10.7109375" style="1" customWidth="1"/>
    <col min="12262" max="12263" width="12" style="1" customWidth="1"/>
    <col min="12264" max="12271" width="10.7109375" style="1" customWidth="1"/>
    <col min="12272" max="12272" width="10.5703125" style="1" customWidth="1"/>
    <col min="12273" max="12273" width="11.140625" style="1" customWidth="1"/>
    <col min="12274" max="12274" width="10.7109375" style="1" customWidth="1"/>
    <col min="12275" max="12276" width="9.140625" style="1" customWidth="1"/>
    <col min="12277" max="12277" width="10.28515625" style="1" customWidth="1"/>
    <col min="12278" max="12279" width="10" style="1" customWidth="1"/>
    <col min="12280" max="12281" width="10.140625" style="1" customWidth="1"/>
    <col min="12282" max="12285" width="10" style="1" customWidth="1"/>
    <col min="12286" max="12286" width="10.140625" style="1" customWidth="1"/>
    <col min="12287" max="12288" width="10" style="1" customWidth="1"/>
    <col min="12289" max="12289" width="10.28515625" style="1" customWidth="1"/>
    <col min="12290" max="12290" width="13.140625" style="1" customWidth="1"/>
    <col min="12291" max="12291" width="7.85546875" style="1" customWidth="1"/>
    <col min="12292" max="12293" width="9.140625" style="1" customWidth="1"/>
    <col min="12294" max="12294" width="11.7109375" style="1" customWidth="1"/>
    <col min="12295" max="12295" width="11.5703125" style="1" bestFit="1" customWidth="1"/>
    <col min="12296" max="12302" width="10.28515625" style="1" bestFit="1" customWidth="1"/>
    <col min="12303" max="12306" width="9.28515625" style="1" bestFit="1" customWidth="1"/>
    <col min="12307" max="12307" width="9.85546875" style="1" bestFit="1" customWidth="1"/>
    <col min="12308" max="12308" width="10.85546875" style="1" bestFit="1" customWidth="1"/>
    <col min="12309" max="12507" width="9.140625" style="1"/>
    <col min="12508" max="12508" width="9.28515625" style="1" bestFit="1" customWidth="1"/>
    <col min="12509" max="12509" width="28.140625" style="1" bestFit="1" customWidth="1"/>
    <col min="12510" max="12510" width="15.7109375" style="1" customWidth="1"/>
    <col min="12511" max="12511" width="9.140625" style="1" customWidth="1"/>
    <col min="12512" max="12512" width="14.28515625" style="1" customWidth="1"/>
    <col min="12513" max="12513" width="9.140625" style="1" customWidth="1"/>
    <col min="12514" max="12515" width="12.85546875" style="1" customWidth="1"/>
    <col min="12516" max="12516" width="9.140625" style="1" customWidth="1"/>
    <col min="12517" max="12517" width="10.7109375" style="1" customWidth="1"/>
    <col min="12518" max="12519" width="12" style="1" customWidth="1"/>
    <col min="12520" max="12527" width="10.7109375" style="1" customWidth="1"/>
    <col min="12528" max="12528" width="10.5703125" style="1" customWidth="1"/>
    <col min="12529" max="12529" width="11.140625" style="1" customWidth="1"/>
    <col min="12530" max="12530" width="10.7109375" style="1" customWidth="1"/>
    <col min="12531" max="12532" width="9.140625" style="1" customWidth="1"/>
    <col min="12533" max="12533" width="10.28515625" style="1" customWidth="1"/>
    <col min="12534" max="12535" width="10" style="1" customWidth="1"/>
    <col min="12536" max="12537" width="10.140625" style="1" customWidth="1"/>
    <col min="12538" max="12541" width="10" style="1" customWidth="1"/>
    <col min="12542" max="12542" width="10.140625" style="1" customWidth="1"/>
    <col min="12543" max="12544" width="10" style="1" customWidth="1"/>
    <col min="12545" max="12545" width="10.28515625" style="1" customWidth="1"/>
    <col min="12546" max="12546" width="13.140625" style="1" customWidth="1"/>
    <col min="12547" max="12547" width="7.85546875" style="1" customWidth="1"/>
    <col min="12548" max="12549" width="9.140625" style="1" customWidth="1"/>
    <col min="12550" max="12550" width="11.7109375" style="1" customWidth="1"/>
    <col min="12551" max="12551" width="11.5703125" style="1" bestFit="1" customWidth="1"/>
    <col min="12552" max="12558" width="10.28515625" style="1" bestFit="1" customWidth="1"/>
    <col min="12559" max="12562" width="9.28515625" style="1" bestFit="1" customWidth="1"/>
    <col min="12563" max="12563" width="9.85546875" style="1" bestFit="1" customWidth="1"/>
    <col min="12564" max="12564" width="10.85546875" style="1" bestFit="1" customWidth="1"/>
    <col min="12565" max="12763" width="9.140625" style="1"/>
    <col min="12764" max="12764" width="9.28515625" style="1" bestFit="1" customWidth="1"/>
    <col min="12765" max="12765" width="28.140625" style="1" bestFit="1" customWidth="1"/>
    <col min="12766" max="12766" width="15.7109375" style="1" customWidth="1"/>
    <col min="12767" max="12767" width="9.140625" style="1" customWidth="1"/>
    <col min="12768" max="12768" width="14.28515625" style="1" customWidth="1"/>
    <col min="12769" max="12769" width="9.140625" style="1" customWidth="1"/>
    <col min="12770" max="12771" width="12.85546875" style="1" customWidth="1"/>
    <col min="12772" max="12772" width="9.140625" style="1" customWidth="1"/>
    <col min="12773" max="12773" width="10.7109375" style="1" customWidth="1"/>
    <col min="12774" max="12775" width="12" style="1" customWidth="1"/>
    <col min="12776" max="12783" width="10.7109375" style="1" customWidth="1"/>
    <col min="12784" max="12784" width="10.5703125" style="1" customWidth="1"/>
    <col min="12785" max="12785" width="11.140625" style="1" customWidth="1"/>
    <col min="12786" max="12786" width="10.7109375" style="1" customWidth="1"/>
    <col min="12787" max="12788" width="9.140625" style="1" customWidth="1"/>
    <col min="12789" max="12789" width="10.28515625" style="1" customWidth="1"/>
    <col min="12790" max="12791" width="10" style="1" customWidth="1"/>
    <col min="12792" max="12793" width="10.140625" style="1" customWidth="1"/>
    <col min="12794" max="12797" width="10" style="1" customWidth="1"/>
    <col min="12798" max="12798" width="10.140625" style="1" customWidth="1"/>
    <col min="12799" max="12800" width="10" style="1" customWidth="1"/>
    <col min="12801" max="12801" width="10.28515625" style="1" customWidth="1"/>
    <col min="12802" max="12802" width="13.140625" style="1" customWidth="1"/>
    <col min="12803" max="12803" width="7.85546875" style="1" customWidth="1"/>
    <col min="12804" max="12805" width="9.140625" style="1" customWidth="1"/>
    <col min="12806" max="12806" width="11.7109375" style="1" customWidth="1"/>
    <col min="12807" max="12807" width="11.5703125" style="1" bestFit="1" customWidth="1"/>
    <col min="12808" max="12814" width="10.28515625" style="1" bestFit="1" customWidth="1"/>
    <col min="12815" max="12818" width="9.28515625" style="1" bestFit="1" customWidth="1"/>
    <col min="12819" max="12819" width="9.85546875" style="1" bestFit="1" customWidth="1"/>
    <col min="12820" max="12820" width="10.85546875" style="1" bestFit="1" customWidth="1"/>
    <col min="12821" max="13019" width="9.140625" style="1"/>
    <col min="13020" max="13020" width="9.28515625" style="1" bestFit="1" customWidth="1"/>
    <col min="13021" max="13021" width="28.140625" style="1" bestFit="1" customWidth="1"/>
    <col min="13022" max="13022" width="15.7109375" style="1" customWidth="1"/>
    <col min="13023" max="13023" width="9.140625" style="1" customWidth="1"/>
    <col min="13024" max="13024" width="14.28515625" style="1" customWidth="1"/>
    <col min="13025" max="13025" width="9.140625" style="1" customWidth="1"/>
    <col min="13026" max="13027" width="12.85546875" style="1" customWidth="1"/>
    <col min="13028" max="13028" width="9.140625" style="1" customWidth="1"/>
    <col min="13029" max="13029" width="10.7109375" style="1" customWidth="1"/>
    <col min="13030" max="13031" width="12" style="1" customWidth="1"/>
    <col min="13032" max="13039" width="10.7109375" style="1" customWidth="1"/>
    <col min="13040" max="13040" width="10.5703125" style="1" customWidth="1"/>
    <col min="13041" max="13041" width="11.140625" style="1" customWidth="1"/>
    <col min="13042" max="13042" width="10.7109375" style="1" customWidth="1"/>
    <col min="13043" max="13044" width="9.140625" style="1" customWidth="1"/>
    <col min="13045" max="13045" width="10.28515625" style="1" customWidth="1"/>
    <col min="13046" max="13047" width="10" style="1" customWidth="1"/>
    <col min="13048" max="13049" width="10.140625" style="1" customWidth="1"/>
    <col min="13050" max="13053" width="10" style="1" customWidth="1"/>
    <col min="13054" max="13054" width="10.140625" style="1" customWidth="1"/>
    <col min="13055" max="13056" width="10" style="1" customWidth="1"/>
    <col min="13057" max="13057" width="10.28515625" style="1" customWidth="1"/>
    <col min="13058" max="13058" width="13.140625" style="1" customWidth="1"/>
    <col min="13059" max="13059" width="7.85546875" style="1" customWidth="1"/>
    <col min="13060" max="13061" width="9.140625" style="1" customWidth="1"/>
    <col min="13062" max="13062" width="11.7109375" style="1" customWidth="1"/>
    <col min="13063" max="13063" width="11.5703125" style="1" bestFit="1" customWidth="1"/>
    <col min="13064" max="13070" width="10.28515625" style="1" bestFit="1" customWidth="1"/>
    <col min="13071" max="13074" width="9.28515625" style="1" bestFit="1" customWidth="1"/>
    <col min="13075" max="13075" width="9.85546875" style="1" bestFit="1" customWidth="1"/>
    <col min="13076" max="13076" width="10.85546875" style="1" bestFit="1" customWidth="1"/>
    <col min="13077" max="13275" width="9.140625" style="1"/>
    <col min="13276" max="13276" width="9.28515625" style="1" bestFit="1" customWidth="1"/>
    <col min="13277" max="13277" width="28.140625" style="1" bestFit="1" customWidth="1"/>
    <col min="13278" max="13278" width="15.7109375" style="1" customWidth="1"/>
    <col min="13279" max="13279" width="9.140625" style="1" customWidth="1"/>
    <col min="13280" max="13280" width="14.28515625" style="1" customWidth="1"/>
    <col min="13281" max="13281" width="9.140625" style="1" customWidth="1"/>
    <col min="13282" max="13283" width="12.85546875" style="1" customWidth="1"/>
    <col min="13284" max="13284" width="9.140625" style="1" customWidth="1"/>
    <col min="13285" max="13285" width="10.7109375" style="1" customWidth="1"/>
    <col min="13286" max="13287" width="12" style="1" customWidth="1"/>
    <col min="13288" max="13295" width="10.7109375" style="1" customWidth="1"/>
    <col min="13296" max="13296" width="10.5703125" style="1" customWidth="1"/>
    <col min="13297" max="13297" width="11.140625" style="1" customWidth="1"/>
    <col min="13298" max="13298" width="10.7109375" style="1" customWidth="1"/>
    <col min="13299" max="13300" width="9.140625" style="1" customWidth="1"/>
    <col min="13301" max="13301" width="10.28515625" style="1" customWidth="1"/>
    <col min="13302" max="13303" width="10" style="1" customWidth="1"/>
    <col min="13304" max="13305" width="10.140625" style="1" customWidth="1"/>
    <col min="13306" max="13309" width="10" style="1" customWidth="1"/>
    <col min="13310" max="13310" width="10.140625" style="1" customWidth="1"/>
    <col min="13311" max="13312" width="10" style="1" customWidth="1"/>
    <col min="13313" max="13313" width="10.28515625" style="1" customWidth="1"/>
    <col min="13314" max="13314" width="13.140625" style="1" customWidth="1"/>
    <col min="13315" max="13315" width="7.85546875" style="1" customWidth="1"/>
    <col min="13316" max="13317" width="9.140625" style="1" customWidth="1"/>
    <col min="13318" max="13318" width="11.7109375" style="1" customWidth="1"/>
    <col min="13319" max="13319" width="11.5703125" style="1" bestFit="1" customWidth="1"/>
    <col min="13320" max="13326" width="10.28515625" style="1" bestFit="1" customWidth="1"/>
    <col min="13327" max="13330" width="9.28515625" style="1" bestFit="1" customWidth="1"/>
    <col min="13331" max="13331" width="9.85546875" style="1" bestFit="1" customWidth="1"/>
    <col min="13332" max="13332" width="10.85546875" style="1" bestFit="1" customWidth="1"/>
    <col min="13333" max="13531" width="9.140625" style="1"/>
    <col min="13532" max="13532" width="9.28515625" style="1" bestFit="1" customWidth="1"/>
    <col min="13533" max="13533" width="28.140625" style="1" bestFit="1" customWidth="1"/>
    <col min="13534" max="13534" width="15.7109375" style="1" customWidth="1"/>
    <col min="13535" max="13535" width="9.140625" style="1" customWidth="1"/>
    <col min="13536" max="13536" width="14.28515625" style="1" customWidth="1"/>
    <col min="13537" max="13537" width="9.140625" style="1" customWidth="1"/>
    <col min="13538" max="13539" width="12.85546875" style="1" customWidth="1"/>
    <col min="13540" max="13540" width="9.140625" style="1" customWidth="1"/>
    <col min="13541" max="13541" width="10.7109375" style="1" customWidth="1"/>
    <col min="13542" max="13543" width="12" style="1" customWidth="1"/>
    <col min="13544" max="13551" width="10.7109375" style="1" customWidth="1"/>
    <col min="13552" max="13552" width="10.5703125" style="1" customWidth="1"/>
    <col min="13553" max="13553" width="11.140625" style="1" customWidth="1"/>
    <col min="13554" max="13554" width="10.7109375" style="1" customWidth="1"/>
    <col min="13555" max="13556" width="9.140625" style="1" customWidth="1"/>
    <col min="13557" max="13557" width="10.28515625" style="1" customWidth="1"/>
    <col min="13558" max="13559" width="10" style="1" customWidth="1"/>
    <col min="13560" max="13561" width="10.140625" style="1" customWidth="1"/>
    <col min="13562" max="13565" width="10" style="1" customWidth="1"/>
    <col min="13566" max="13566" width="10.140625" style="1" customWidth="1"/>
    <col min="13567" max="13568" width="10" style="1" customWidth="1"/>
    <col min="13569" max="13569" width="10.28515625" style="1" customWidth="1"/>
    <col min="13570" max="13570" width="13.140625" style="1" customWidth="1"/>
    <col min="13571" max="13571" width="7.85546875" style="1" customWidth="1"/>
    <col min="13572" max="13573" width="9.140625" style="1" customWidth="1"/>
    <col min="13574" max="13574" width="11.7109375" style="1" customWidth="1"/>
    <col min="13575" max="13575" width="11.5703125" style="1" bestFit="1" customWidth="1"/>
    <col min="13576" max="13582" width="10.28515625" style="1" bestFit="1" customWidth="1"/>
    <col min="13583" max="13586" width="9.28515625" style="1" bestFit="1" customWidth="1"/>
    <col min="13587" max="13587" width="9.85546875" style="1" bestFit="1" customWidth="1"/>
    <col min="13588" max="13588" width="10.85546875" style="1" bestFit="1" customWidth="1"/>
    <col min="13589" max="13787" width="9.140625" style="1"/>
    <col min="13788" max="13788" width="9.28515625" style="1" bestFit="1" customWidth="1"/>
    <col min="13789" max="13789" width="28.140625" style="1" bestFit="1" customWidth="1"/>
    <col min="13790" max="13790" width="15.7109375" style="1" customWidth="1"/>
    <col min="13791" max="13791" width="9.140625" style="1" customWidth="1"/>
    <col min="13792" max="13792" width="14.28515625" style="1" customWidth="1"/>
    <col min="13793" max="13793" width="9.140625" style="1" customWidth="1"/>
    <col min="13794" max="13795" width="12.85546875" style="1" customWidth="1"/>
    <col min="13796" max="13796" width="9.140625" style="1" customWidth="1"/>
    <col min="13797" max="13797" width="10.7109375" style="1" customWidth="1"/>
    <col min="13798" max="13799" width="12" style="1" customWidth="1"/>
    <col min="13800" max="13807" width="10.7109375" style="1" customWidth="1"/>
    <col min="13808" max="13808" width="10.5703125" style="1" customWidth="1"/>
    <col min="13809" max="13809" width="11.140625" style="1" customWidth="1"/>
    <col min="13810" max="13810" width="10.7109375" style="1" customWidth="1"/>
    <col min="13811" max="13812" width="9.140625" style="1" customWidth="1"/>
    <col min="13813" max="13813" width="10.28515625" style="1" customWidth="1"/>
    <col min="13814" max="13815" width="10" style="1" customWidth="1"/>
    <col min="13816" max="13817" width="10.140625" style="1" customWidth="1"/>
    <col min="13818" max="13821" width="10" style="1" customWidth="1"/>
    <col min="13822" max="13822" width="10.140625" style="1" customWidth="1"/>
    <col min="13823" max="13824" width="10" style="1" customWidth="1"/>
    <col min="13825" max="13825" width="10.28515625" style="1" customWidth="1"/>
    <col min="13826" max="13826" width="13.140625" style="1" customWidth="1"/>
    <col min="13827" max="13827" width="7.85546875" style="1" customWidth="1"/>
    <col min="13828" max="13829" width="9.140625" style="1" customWidth="1"/>
    <col min="13830" max="13830" width="11.7109375" style="1" customWidth="1"/>
    <col min="13831" max="13831" width="11.5703125" style="1" bestFit="1" customWidth="1"/>
    <col min="13832" max="13838" width="10.28515625" style="1" bestFit="1" customWidth="1"/>
    <col min="13839" max="13842" width="9.28515625" style="1" bestFit="1" customWidth="1"/>
    <col min="13843" max="13843" width="9.85546875" style="1" bestFit="1" customWidth="1"/>
    <col min="13844" max="13844" width="10.85546875" style="1" bestFit="1" customWidth="1"/>
    <col min="13845" max="14043" width="9.140625" style="1"/>
    <col min="14044" max="14044" width="9.28515625" style="1" bestFit="1" customWidth="1"/>
    <col min="14045" max="14045" width="28.140625" style="1" bestFit="1" customWidth="1"/>
    <col min="14046" max="14046" width="15.7109375" style="1" customWidth="1"/>
    <col min="14047" max="14047" width="9.140625" style="1" customWidth="1"/>
    <col min="14048" max="14048" width="14.28515625" style="1" customWidth="1"/>
    <col min="14049" max="14049" width="9.140625" style="1" customWidth="1"/>
    <col min="14050" max="14051" width="12.85546875" style="1" customWidth="1"/>
    <col min="14052" max="14052" width="9.140625" style="1" customWidth="1"/>
    <col min="14053" max="14053" width="10.7109375" style="1" customWidth="1"/>
    <col min="14054" max="14055" width="12" style="1" customWidth="1"/>
    <col min="14056" max="14063" width="10.7109375" style="1" customWidth="1"/>
    <col min="14064" max="14064" width="10.5703125" style="1" customWidth="1"/>
    <col min="14065" max="14065" width="11.140625" style="1" customWidth="1"/>
    <col min="14066" max="14066" width="10.7109375" style="1" customWidth="1"/>
    <col min="14067" max="14068" width="9.140625" style="1" customWidth="1"/>
    <col min="14069" max="14069" width="10.28515625" style="1" customWidth="1"/>
    <col min="14070" max="14071" width="10" style="1" customWidth="1"/>
    <col min="14072" max="14073" width="10.140625" style="1" customWidth="1"/>
    <col min="14074" max="14077" width="10" style="1" customWidth="1"/>
    <col min="14078" max="14078" width="10.140625" style="1" customWidth="1"/>
    <col min="14079" max="14080" width="10" style="1" customWidth="1"/>
    <col min="14081" max="14081" width="10.28515625" style="1" customWidth="1"/>
    <col min="14082" max="14082" width="13.140625" style="1" customWidth="1"/>
    <col min="14083" max="14083" width="7.85546875" style="1" customWidth="1"/>
    <col min="14084" max="14085" width="9.140625" style="1" customWidth="1"/>
    <col min="14086" max="14086" width="11.7109375" style="1" customWidth="1"/>
    <col min="14087" max="14087" width="11.5703125" style="1" bestFit="1" customWidth="1"/>
    <col min="14088" max="14094" width="10.28515625" style="1" bestFit="1" customWidth="1"/>
    <col min="14095" max="14098" width="9.28515625" style="1" bestFit="1" customWidth="1"/>
    <col min="14099" max="14099" width="9.85546875" style="1" bestFit="1" customWidth="1"/>
    <col min="14100" max="14100" width="10.85546875" style="1" bestFit="1" customWidth="1"/>
    <col min="14101" max="14299" width="9.140625" style="1"/>
    <col min="14300" max="14300" width="9.28515625" style="1" bestFit="1" customWidth="1"/>
    <col min="14301" max="14301" width="28.140625" style="1" bestFit="1" customWidth="1"/>
    <col min="14302" max="14302" width="15.7109375" style="1" customWidth="1"/>
    <col min="14303" max="14303" width="9.140625" style="1" customWidth="1"/>
    <col min="14304" max="14304" width="14.28515625" style="1" customWidth="1"/>
    <col min="14305" max="14305" width="9.140625" style="1" customWidth="1"/>
    <col min="14306" max="14307" width="12.85546875" style="1" customWidth="1"/>
    <col min="14308" max="14308" width="9.140625" style="1" customWidth="1"/>
    <col min="14309" max="14309" width="10.7109375" style="1" customWidth="1"/>
    <col min="14310" max="14311" width="12" style="1" customWidth="1"/>
    <col min="14312" max="14319" width="10.7109375" style="1" customWidth="1"/>
    <col min="14320" max="14320" width="10.5703125" style="1" customWidth="1"/>
    <col min="14321" max="14321" width="11.140625" style="1" customWidth="1"/>
    <col min="14322" max="14322" width="10.7109375" style="1" customWidth="1"/>
    <col min="14323" max="14324" width="9.140625" style="1" customWidth="1"/>
    <col min="14325" max="14325" width="10.28515625" style="1" customWidth="1"/>
    <col min="14326" max="14327" width="10" style="1" customWidth="1"/>
    <col min="14328" max="14329" width="10.140625" style="1" customWidth="1"/>
    <col min="14330" max="14333" width="10" style="1" customWidth="1"/>
    <col min="14334" max="14334" width="10.140625" style="1" customWidth="1"/>
    <col min="14335" max="14336" width="10" style="1" customWidth="1"/>
    <col min="14337" max="14337" width="10.28515625" style="1" customWidth="1"/>
    <col min="14338" max="14338" width="13.140625" style="1" customWidth="1"/>
    <col min="14339" max="14339" width="7.85546875" style="1" customWidth="1"/>
    <col min="14340" max="14341" width="9.140625" style="1" customWidth="1"/>
    <col min="14342" max="14342" width="11.7109375" style="1" customWidth="1"/>
    <col min="14343" max="14343" width="11.5703125" style="1" bestFit="1" customWidth="1"/>
    <col min="14344" max="14350" width="10.28515625" style="1" bestFit="1" customWidth="1"/>
    <col min="14351" max="14354" width="9.28515625" style="1" bestFit="1" customWidth="1"/>
    <col min="14355" max="14355" width="9.85546875" style="1" bestFit="1" customWidth="1"/>
    <col min="14356" max="14356" width="10.85546875" style="1" bestFit="1" customWidth="1"/>
    <col min="14357" max="14555" width="9.140625" style="1"/>
    <col min="14556" max="14556" width="9.28515625" style="1" bestFit="1" customWidth="1"/>
    <col min="14557" max="14557" width="28.140625" style="1" bestFit="1" customWidth="1"/>
    <col min="14558" max="14558" width="15.7109375" style="1" customWidth="1"/>
    <col min="14559" max="14559" width="9.140625" style="1" customWidth="1"/>
    <col min="14560" max="14560" width="14.28515625" style="1" customWidth="1"/>
    <col min="14561" max="14561" width="9.140625" style="1" customWidth="1"/>
    <col min="14562" max="14563" width="12.85546875" style="1" customWidth="1"/>
    <col min="14564" max="14564" width="9.140625" style="1" customWidth="1"/>
    <col min="14565" max="14565" width="10.7109375" style="1" customWidth="1"/>
    <col min="14566" max="14567" width="12" style="1" customWidth="1"/>
    <col min="14568" max="14575" width="10.7109375" style="1" customWidth="1"/>
    <col min="14576" max="14576" width="10.5703125" style="1" customWidth="1"/>
    <col min="14577" max="14577" width="11.140625" style="1" customWidth="1"/>
    <col min="14578" max="14578" width="10.7109375" style="1" customWidth="1"/>
    <col min="14579" max="14580" width="9.140625" style="1" customWidth="1"/>
    <col min="14581" max="14581" width="10.28515625" style="1" customWidth="1"/>
    <col min="14582" max="14583" width="10" style="1" customWidth="1"/>
    <col min="14584" max="14585" width="10.140625" style="1" customWidth="1"/>
    <col min="14586" max="14589" width="10" style="1" customWidth="1"/>
    <col min="14590" max="14590" width="10.140625" style="1" customWidth="1"/>
    <col min="14591" max="14592" width="10" style="1" customWidth="1"/>
    <col min="14593" max="14593" width="10.28515625" style="1" customWidth="1"/>
    <col min="14594" max="14594" width="13.140625" style="1" customWidth="1"/>
    <col min="14595" max="14595" width="7.85546875" style="1" customWidth="1"/>
    <col min="14596" max="14597" width="9.140625" style="1" customWidth="1"/>
    <col min="14598" max="14598" width="11.7109375" style="1" customWidth="1"/>
    <col min="14599" max="14599" width="11.5703125" style="1" bestFit="1" customWidth="1"/>
    <col min="14600" max="14606" width="10.28515625" style="1" bestFit="1" customWidth="1"/>
    <col min="14607" max="14610" width="9.28515625" style="1" bestFit="1" customWidth="1"/>
    <col min="14611" max="14611" width="9.85546875" style="1" bestFit="1" customWidth="1"/>
    <col min="14612" max="14612" width="10.85546875" style="1" bestFit="1" customWidth="1"/>
    <col min="14613" max="14811" width="9.140625" style="1"/>
    <col min="14812" max="14812" width="9.28515625" style="1" bestFit="1" customWidth="1"/>
    <col min="14813" max="14813" width="28.140625" style="1" bestFit="1" customWidth="1"/>
    <col min="14814" max="14814" width="15.7109375" style="1" customWidth="1"/>
    <col min="14815" max="14815" width="9.140625" style="1" customWidth="1"/>
    <col min="14816" max="14816" width="14.28515625" style="1" customWidth="1"/>
    <col min="14817" max="14817" width="9.140625" style="1" customWidth="1"/>
    <col min="14818" max="14819" width="12.85546875" style="1" customWidth="1"/>
    <col min="14820" max="14820" width="9.140625" style="1" customWidth="1"/>
    <col min="14821" max="14821" width="10.7109375" style="1" customWidth="1"/>
    <col min="14822" max="14823" width="12" style="1" customWidth="1"/>
    <col min="14824" max="14831" width="10.7109375" style="1" customWidth="1"/>
    <col min="14832" max="14832" width="10.5703125" style="1" customWidth="1"/>
    <col min="14833" max="14833" width="11.140625" style="1" customWidth="1"/>
    <col min="14834" max="14834" width="10.7109375" style="1" customWidth="1"/>
    <col min="14835" max="14836" width="9.140625" style="1" customWidth="1"/>
    <col min="14837" max="14837" width="10.28515625" style="1" customWidth="1"/>
    <col min="14838" max="14839" width="10" style="1" customWidth="1"/>
    <col min="14840" max="14841" width="10.140625" style="1" customWidth="1"/>
    <col min="14842" max="14845" width="10" style="1" customWidth="1"/>
    <col min="14846" max="14846" width="10.140625" style="1" customWidth="1"/>
    <col min="14847" max="14848" width="10" style="1" customWidth="1"/>
    <col min="14849" max="14849" width="10.28515625" style="1" customWidth="1"/>
    <col min="14850" max="14850" width="13.140625" style="1" customWidth="1"/>
    <col min="14851" max="14851" width="7.85546875" style="1" customWidth="1"/>
    <col min="14852" max="14853" width="9.140625" style="1" customWidth="1"/>
    <col min="14854" max="14854" width="11.7109375" style="1" customWidth="1"/>
    <col min="14855" max="14855" width="11.5703125" style="1" bestFit="1" customWidth="1"/>
    <col min="14856" max="14862" width="10.28515625" style="1" bestFit="1" customWidth="1"/>
    <col min="14863" max="14866" width="9.28515625" style="1" bestFit="1" customWidth="1"/>
    <col min="14867" max="14867" width="9.85546875" style="1" bestFit="1" customWidth="1"/>
    <col min="14868" max="14868" width="10.85546875" style="1" bestFit="1" customWidth="1"/>
    <col min="14869" max="15067" width="9.140625" style="1"/>
    <col min="15068" max="15068" width="9.28515625" style="1" bestFit="1" customWidth="1"/>
    <col min="15069" max="15069" width="28.140625" style="1" bestFit="1" customWidth="1"/>
    <col min="15070" max="15070" width="15.7109375" style="1" customWidth="1"/>
    <col min="15071" max="15071" width="9.140625" style="1" customWidth="1"/>
    <col min="15072" max="15072" width="14.28515625" style="1" customWidth="1"/>
    <col min="15073" max="15073" width="9.140625" style="1" customWidth="1"/>
    <col min="15074" max="15075" width="12.85546875" style="1" customWidth="1"/>
    <col min="15076" max="15076" width="9.140625" style="1" customWidth="1"/>
    <col min="15077" max="15077" width="10.7109375" style="1" customWidth="1"/>
    <col min="15078" max="15079" width="12" style="1" customWidth="1"/>
    <col min="15080" max="15087" width="10.7109375" style="1" customWidth="1"/>
    <col min="15088" max="15088" width="10.5703125" style="1" customWidth="1"/>
    <col min="15089" max="15089" width="11.140625" style="1" customWidth="1"/>
    <col min="15090" max="15090" width="10.7109375" style="1" customWidth="1"/>
    <col min="15091" max="15092" width="9.140625" style="1" customWidth="1"/>
    <col min="15093" max="15093" width="10.28515625" style="1" customWidth="1"/>
    <col min="15094" max="15095" width="10" style="1" customWidth="1"/>
    <col min="15096" max="15097" width="10.140625" style="1" customWidth="1"/>
    <col min="15098" max="15101" width="10" style="1" customWidth="1"/>
    <col min="15102" max="15102" width="10.140625" style="1" customWidth="1"/>
    <col min="15103" max="15104" width="10" style="1" customWidth="1"/>
    <col min="15105" max="15105" width="10.28515625" style="1" customWidth="1"/>
    <col min="15106" max="15106" width="13.140625" style="1" customWidth="1"/>
    <col min="15107" max="15107" width="7.85546875" style="1" customWidth="1"/>
    <col min="15108" max="15109" width="9.140625" style="1" customWidth="1"/>
    <col min="15110" max="15110" width="11.7109375" style="1" customWidth="1"/>
    <col min="15111" max="15111" width="11.5703125" style="1" bestFit="1" customWidth="1"/>
    <col min="15112" max="15118" width="10.28515625" style="1" bestFit="1" customWidth="1"/>
    <col min="15119" max="15122" width="9.28515625" style="1" bestFit="1" customWidth="1"/>
    <col min="15123" max="15123" width="9.85546875" style="1" bestFit="1" customWidth="1"/>
    <col min="15124" max="15124" width="10.85546875" style="1" bestFit="1" customWidth="1"/>
    <col min="15125" max="15323" width="9.140625" style="1"/>
    <col min="15324" max="15324" width="9.28515625" style="1" bestFit="1" customWidth="1"/>
    <col min="15325" max="15325" width="28.140625" style="1" bestFit="1" customWidth="1"/>
    <col min="15326" max="15326" width="15.7109375" style="1" customWidth="1"/>
    <col min="15327" max="15327" width="9.140625" style="1" customWidth="1"/>
    <col min="15328" max="15328" width="14.28515625" style="1" customWidth="1"/>
    <col min="15329" max="15329" width="9.140625" style="1" customWidth="1"/>
    <col min="15330" max="15331" width="12.85546875" style="1" customWidth="1"/>
    <col min="15332" max="15332" width="9.140625" style="1" customWidth="1"/>
    <col min="15333" max="15333" width="10.7109375" style="1" customWidth="1"/>
    <col min="15334" max="15335" width="12" style="1" customWidth="1"/>
    <col min="15336" max="15343" width="10.7109375" style="1" customWidth="1"/>
    <col min="15344" max="15344" width="10.5703125" style="1" customWidth="1"/>
    <col min="15345" max="15345" width="11.140625" style="1" customWidth="1"/>
    <col min="15346" max="15346" width="10.7109375" style="1" customWidth="1"/>
    <col min="15347" max="15348" width="9.140625" style="1" customWidth="1"/>
    <col min="15349" max="15349" width="10.28515625" style="1" customWidth="1"/>
    <col min="15350" max="15351" width="10" style="1" customWidth="1"/>
    <col min="15352" max="15353" width="10.140625" style="1" customWidth="1"/>
    <col min="15354" max="15357" width="10" style="1" customWidth="1"/>
    <col min="15358" max="15358" width="10.140625" style="1" customWidth="1"/>
    <col min="15359" max="15360" width="10" style="1" customWidth="1"/>
    <col min="15361" max="15361" width="10.28515625" style="1" customWidth="1"/>
    <col min="15362" max="15362" width="13.140625" style="1" customWidth="1"/>
    <col min="15363" max="15363" width="7.85546875" style="1" customWidth="1"/>
    <col min="15364" max="15365" width="9.140625" style="1" customWidth="1"/>
    <col min="15366" max="15366" width="11.7109375" style="1" customWidth="1"/>
    <col min="15367" max="15367" width="11.5703125" style="1" bestFit="1" customWidth="1"/>
    <col min="15368" max="15374" width="10.28515625" style="1" bestFit="1" customWidth="1"/>
    <col min="15375" max="15378" width="9.28515625" style="1" bestFit="1" customWidth="1"/>
    <col min="15379" max="15379" width="9.85546875" style="1" bestFit="1" customWidth="1"/>
    <col min="15380" max="15380" width="10.85546875" style="1" bestFit="1" customWidth="1"/>
    <col min="15381" max="15579" width="9.140625" style="1"/>
    <col min="15580" max="15580" width="9.28515625" style="1" bestFit="1" customWidth="1"/>
    <col min="15581" max="15581" width="28.140625" style="1" bestFit="1" customWidth="1"/>
    <col min="15582" max="15582" width="15.7109375" style="1" customWidth="1"/>
    <col min="15583" max="15583" width="9.140625" style="1" customWidth="1"/>
    <col min="15584" max="15584" width="14.28515625" style="1" customWidth="1"/>
    <col min="15585" max="15585" width="9.140625" style="1" customWidth="1"/>
    <col min="15586" max="15587" width="12.85546875" style="1" customWidth="1"/>
    <col min="15588" max="15588" width="9.140625" style="1" customWidth="1"/>
    <col min="15589" max="15589" width="10.7109375" style="1" customWidth="1"/>
    <col min="15590" max="15591" width="12" style="1" customWidth="1"/>
    <col min="15592" max="15599" width="10.7109375" style="1" customWidth="1"/>
    <col min="15600" max="15600" width="10.5703125" style="1" customWidth="1"/>
    <col min="15601" max="15601" width="11.140625" style="1" customWidth="1"/>
    <col min="15602" max="15602" width="10.7109375" style="1" customWidth="1"/>
    <col min="15603" max="15604" width="9.140625" style="1" customWidth="1"/>
    <col min="15605" max="15605" width="10.28515625" style="1" customWidth="1"/>
    <col min="15606" max="15607" width="10" style="1" customWidth="1"/>
    <col min="15608" max="15609" width="10.140625" style="1" customWidth="1"/>
    <col min="15610" max="15613" width="10" style="1" customWidth="1"/>
    <col min="15614" max="15614" width="10.140625" style="1" customWidth="1"/>
    <col min="15615" max="15616" width="10" style="1" customWidth="1"/>
    <col min="15617" max="15617" width="10.28515625" style="1" customWidth="1"/>
    <col min="15618" max="15618" width="13.140625" style="1" customWidth="1"/>
    <col min="15619" max="15619" width="7.85546875" style="1" customWidth="1"/>
    <col min="15620" max="15621" width="9.140625" style="1" customWidth="1"/>
    <col min="15622" max="15622" width="11.7109375" style="1" customWidth="1"/>
    <col min="15623" max="15623" width="11.5703125" style="1" bestFit="1" customWidth="1"/>
    <col min="15624" max="15630" width="10.28515625" style="1" bestFit="1" customWidth="1"/>
    <col min="15631" max="15634" width="9.28515625" style="1" bestFit="1" customWidth="1"/>
    <col min="15635" max="15635" width="9.85546875" style="1" bestFit="1" customWidth="1"/>
    <col min="15636" max="15636" width="10.85546875" style="1" bestFit="1" customWidth="1"/>
    <col min="15637" max="15835" width="9.140625" style="1"/>
    <col min="15836" max="15836" width="9.28515625" style="1" bestFit="1" customWidth="1"/>
    <col min="15837" max="15837" width="28.140625" style="1" bestFit="1" customWidth="1"/>
    <col min="15838" max="15838" width="15.7109375" style="1" customWidth="1"/>
    <col min="15839" max="15839" width="9.140625" style="1" customWidth="1"/>
    <col min="15840" max="15840" width="14.28515625" style="1" customWidth="1"/>
    <col min="15841" max="15841" width="9.140625" style="1" customWidth="1"/>
    <col min="15842" max="15843" width="12.85546875" style="1" customWidth="1"/>
    <col min="15844" max="15844" width="9.140625" style="1" customWidth="1"/>
    <col min="15845" max="15845" width="10.7109375" style="1" customWidth="1"/>
    <col min="15846" max="15847" width="12" style="1" customWidth="1"/>
    <col min="15848" max="15855" width="10.7109375" style="1" customWidth="1"/>
    <col min="15856" max="15856" width="10.5703125" style="1" customWidth="1"/>
    <col min="15857" max="15857" width="11.140625" style="1" customWidth="1"/>
    <col min="15858" max="15858" width="10.7109375" style="1" customWidth="1"/>
    <col min="15859" max="15860" width="9.140625" style="1" customWidth="1"/>
    <col min="15861" max="15861" width="10.28515625" style="1" customWidth="1"/>
    <col min="15862" max="15863" width="10" style="1" customWidth="1"/>
    <col min="15864" max="15865" width="10.140625" style="1" customWidth="1"/>
    <col min="15866" max="15869" width="10" style="1" customWidth="1"/>
    <col min="15870" max="15870" width="10.140625" style="1" customWidth="1"/>
    <col min="15871" max="15872" width="10" style="1" customWidth="1"/>
    <col min="15873" max="15873" width="10.28515625" style="1" customWidth="1"/>
    <col min="15874" max="15874" width="13.140625" style="1" customWidth="1"/>
    <col min="15875" max="15875" width="7.85546875" style="1" customWidth="1"/>
    <col min="15876" max="15877" width="9.140625" style="1" customWidth="1"/>
    <col min="15878" max="15878" width="11.7109375" style="1" customWidth="1"/>
    <col min="15879" max="15879" width="11.5703125" style="1" bestFit="1" customWidth="1"/>
    <col min="15880" max="15886" width="10.28515625" style="1" bestFit="1" customWidth="1"/>
    <col min="15887" max="15890" width="9.28515625" style="1" bestFit="1" customWidth="1"/>
    <col min="15891" max="15891" width="9.85546875" style="1" bestFit="1" customWidth="1"/>
    <col min="15892" max="15892" width="10.85546875" style="1" bestFit="1" customWidth="1"/>
    <col min="15893" max="16091" width="9.140625" style="1"/>
    <col min="16092" max="16092" width="9.28515625" style="1" bestFit="1" customWidth="1"/>
    <col min="16093" max="16093" width="28.140625" style="1" bestFit="1" customWidth="1"/>
    <col min="16094" max="16094" width="15.7109375" style="1" customWidth="1"/>
    <col min="16095" max="16095" width="9.140625" style="1" customWidth="1"/>
    <col min="16096" max="16096" width="14.28515625" style="1" customWidth="1"/>
    <col min="16097" max="16097" width="9.140625" style="1" customWidth="1"/>
    <col min="16098" max="16099" width="12.85546875" style="1" customWidth="1"/>
    <col min="16100" max="16100" width="9.140625" style="1" customWidth="1"/>
    <col min="16101" max="16101" width="10.7109375" style="1" customWidth="1"/>
    <col min="16102" max="16103" width="12" style="1" customWidth="1"/>
    <col min="16104" max="16111" width="10.7109375" style="1" customWidth="1"/>
    <col min="16112" max="16112" width="10.5703125" style="1" customWidth="1"/>
    <col min="16113" max="16113" width="11.140625" style="1" customWidth="1"/>
    <col min="16114" max="16114" width="10.7109375" style="1" customWidth="1"/>
    <col min="16115" max="16116" width="9.140625" style="1" customWidth="1"/>
    <col min="16117" max="16117" width="10.28515625" style="1" customWidth="1"/>
    <col min="16118" max="16119" width="10" style="1" customWidth="1"/>
    <col min="16120" max="16121" width="10.140625" style="1" customWidth="1"/>
    <col min="16122" max="16125" width="10" style="1" customWidth="1"/>
    <col min="16126" max="16126" width="10.140625" style="1" customWidth="1"/>
    <col min="16127" max="16128" width="10" style="1" customWidth="1"/>
    <col min="16129" max="16129" width="10.28515625" style="1" customWidth="1"/>
    <col min="16130" max="16130" width="13.140625" style="1" customWidth="1"/>
    <col min="16131" max="16131" width="7.85546875" style="1" customWidth="1"/>
    <col min="16132" max="16133" width="9.140625" style="1" customWidth="1"/>
    <col min="16134" max="16134" width="11.7109375" style="1" customWidth="1"/>
    <col min="16135" max="16135" width="11.5703125" style="1" bestFit="1" customWidth="1"/>
    <col min="16136" max="16142" width="10.28515625" style="1" bestFit="1" customWidth="1"/>
    <col min="16143" max="16146" width="9.28515625" style="1" bestFit="1" customWidth="1"/>
    <col min="16147" max="16147" width="9.85546875" style="1" bestFit="1" customWidth="1"/>
    <col min="16148" max="16148" width="10.85546875" style="1" bestFit="1" customWidth="1"/>
    <col min="16149" max="16384" width="9.140625" style="1"/>
  </cols>
  <sheetData>
    <row r="1" spans="1:19" x14ac:dyDescent="0.2">
      <c r="F1" s="119" t="s">
        <v>49</v>
      </c>
      <c r="G1" s="119" t="s">
        <v>48</v>
      </c>
      <c r="H1" s="119" t="s">
        <v>47</v>
      </c>
      <c r="I1" s="119" t="s">
        <v>46</v>
      </c>
      <c r="J1" s="119" t="s">
        <v>45</v>
      </c>
      <c r="K1" s="119" t="s">
        <v>44</v>
      </c>
      <c r="L1" s="119" t="s">
        <v>43</v>
      </c>
      <c r="M1" s="119" t="s">
        <v>42</v>
      </c>
      <c r="N1" s="119" t="s">
        <v>41</v>
      </c>
      <c r="O1" s="119" t="s">
        <v>40</v>
      </c>
      <c r="P1" s="119" t="s">
        <v>39</v>
      </c>
      <c r="Q1" s="119" t="s">
        <v>38</v>
      </c>
      <c r="R1" s="119" t="s">
        <v>37</v>
      </c>
    </row>
    <row r="2" spans="1:19" x14ac:dyDescent="0.2">
      <c r="B2" s="35" t="s">
        <v>268</v>
      </c>
      <c r="C2" s="4">
        <f>STATS!D40</f>
        <v>0</v>
      </c>
      <c r="F2" s="306">
        <f>'MO STATS'!E36</f>
        <v>0</v>
      </c>
      <c r="G2" s="306">
        <f>'MO STATS'!F36</f>
        <v>0</v>
      </c>
      <c r="H2" s="306">
        <f>'MO STATS'!G36</f>
        <v>0</v>
      </c>
      <c r="I2" s="306">
        <f>'MO STATS'!H36</f>
        <v>0</v>
      </c>
      <c r="J2" s="306">
        <f>'MO STATS'!I36</f>
        <v>0</v>
      </c>
      <c r="K2" s="306">
        <f>'MO STATS'!J36</f>
        <v>0</v>
      </c>
      <c r="L2" s="306">
        <f>'MO STATS'!K36</f>
        <v>0</v>
      </c>
      <c r="M2" s="306">
        <f>'MO STATS'!L36</f>
        <v>0</v>
      </c>
      <c r="N2" s="306">
        <f>'MO STATS'!M36</f>
        <v>0</v>
      </c>
      <c r="O2" s="306">
        <f>'MO STATS'!N36</f>
        <v>0</v>
      </c>
      <c r="P2" s="306">
        <f>'MO STATS'!O36</f>
        <v>0</v>
      </c>
      <c r="Q2" s="306">
        <f>'MO STATS'!P36</f>
        <v>0</v>
      </c>
      <c r="R2" s="3">
        <f>SUM(F2:Q2)</f>
        <v>0</v>
      </c>
      <c r="S2" s="3">
        <f>C2-R2</f>
        <v>0</v>
      </c>
    </row>
    <row r="3" spans="1:19" x14ac:dyDescent="0.2">
      <c r="B3" s="35" t="s">
        <v>270</v>
      </c>
      <c r="C3" s="4">
        <f>STATS!D41</f>
        <v>0</v>
      </c>
      <c r="F3" s="306">
        <f>'MO STATS'!E37</f>
        <v>0</v>
      </c>
      <c r="G3" s="306">
        <f>'MO STATS'!F37</f>
        <v>0</v>
      </c>
      <c r="H3" s="306">
        <f>'MO STATS'!G37</f>
        <v>0</v>
      </c>
      <c r="I3" s="306">
        <f>'MO STATS'!H37</f>
        <v>0</v>
      </c>
      <c r="J3" s="306">
        <f>'MO STATS'!I37</f>
        <v>0</v>
      </c>
      <c r="K3" s="306">
        <f>'MO STATS'!J37</f>
        <v>0</v>
      </c>
      <c r="L3" s="306">
        <f>'MO STATS'!K37</f>
        <v>0</v>
      </c>
      <c r="M3" s="306">
        <f>'MO STATS'!L37</f>
        <v>0</v>
      </c>
      <c r="N3" s="306">
        <f>'MO STATS'!M37</f>
        <v>0</v>
      </c>
      <c r="O3" s="306">
        <f>'MO STATS'!N37</f>
        <v>0</v>
      </c>
      <c r="P3" s="306">
        <f>'MO STATS'!O37</f>
        <v>0</v>
      </c>
      <c r="Q3" s="306">
        <f>'MO STATS'!P37</f>
        <v>0</v>
      </c>
      <c r="R3" s="3">
        <f t="shared" ref="R3:R4" si="0">SUM(F3:Q3)</f>
        <v>0</v>
      </c>
      <c r="S3" s="3">
        <f t="shared" ref="S3:S4" si="1">C3-R3</f>
        <v>0</v>
      </c>
    </row>
    <row r="4" spans="1:19" x14ac:dyDescent="0.2">
      <c r="B4" s="35" t="s">
        <v>272</v>
      </c>
      <c r="C4" s="4">
        <f>C2+C3</f>
        <v>0</v>
      </c>
      <c r="F4" s="306">
        <f>'MO STATS'!E38</f>
        <v>0</v>
      </c>
      <c r="G4" s="306">
        <f>'MO STATS'!F38</f>
        <v>0</v>
      </c>
      <c r="H4" s="306">
        <f>'MO STATS'!G38</f>
        <v>0</v>
      </c>
      <c r="I4" s="306">
        <f>'MO STATS'!H38</f>
        <v>0</v>
      </c>
      <c r="J4" s="306">
        <f>'MO STATS'!I38</f>
        <v>0</v>
      </c>
      <c r="K4" s="306">
        <f>'MO STATS'!J38</f>
        <v>0</v>
      </c>
      <c r="L4" s="306">
        <f>'MO STATS'!K38</f>
        <v>0</v>
      </c>
      <c r="M4" s="306">
        <f>'MO STATS'!L38</f>
        <v>0</v>
      </c>
      <c r="N4" s="306">
        <f>'MO STATS'!M38</f>
        <v>0</v>
      </c>
      <c r="O4" s="306">
        <f>'MO STATS'!N38</f>
        <v>0</v>
      </c>
      <c r="P4" s="306">
        <f>'MO STATS'!O38</f>
        <v>0</v>
      </c>
      <c r="Q4" s="306">
        <f>'MO STATS'!P38</f>
        <v>0</v>
      </c>
      <c r="R4" s="3">
        <f t="shared" si="0"/>
        <v>0</v>
      </c>
      <c r="S4" s="3">
        <f t="shared" si="1"/>
        <v>0</v>
      </c>
    </row>
    <row r="5" spans="1:19" x14ac:dyDescent="0.2">
      <c r="B5" s="72"/>
    </row>
    <row r="6" spans="1:19" x14ac:dyDescent="0.2">
      <c r="A6" s="711" t="s">
        <v>35</v>
      </c>
      <c r="B6" s="711"/>
      <c r="C6" s="711"/>
      <c r="D6" s="711"/>
      <c r="E6" s="173"/>
    </row>
    <row r="7" spans="1:19" x14ac:dyDescent="0.2">
      <c r="A7" s="21"/>
      <c r="B7" s="10" t="s">
        <v>447</v>
      </c>
      <c r="C7" s="78"/>
      <c r="D7" s="168" t="s">
        <v>446</v>
      </c>
      <c r="E7" s="140"/>
    </row>
    <row r="8" spans="1:19" x14ac:dyDescent="0.2">
      <c r="A8" s="16"/>
      <c r="B8" s="29" t="s">
        <v>352</v>
      </c>
      <c r="C8" s="28">
        <f>C$2*D8</f>
        <v>0</v>
      </c>
      <c r="D8" s="13">
        <v>0</v>
      </c>
      <c r="E8" s="7"/>
      <c r="F8" s="376">
        <f>$D8*F$2</f>
        <v>0</v>
      </c>
      <c r="G8" s="376">
        <f t="shared" ref="G8:Q14" si="2">$D8*G$2</f>
        <v>0</v>
      </c>
      <c r="H8" s="376">
        <f t="shared" si="2"/>
        <v>0</v>
      </c>
      <c r="I8" s="376">
        <f t="shared" si="2"/>
        <v>0</v>
      </c>
      <c r="J8" s="376">
        <f t="shared" si="2"/>
        <v>0</v>
      </c>
      <c r="K8" s="376">
        <f t="shared" si="2"/>
        <v>0</v>
      </c>
      <c r="L8" s="376">
        <f t="shared" si="2"/>
        <v>0</v>
      </c>
      <c r="M8" s="376">
        <f t="shared" si="2"/>
        <v>0</v>
      </c>
      <c r="N8" s="376">
        <f t="shared" si="2"/>
        <v>0</v>
      </c>
      <c r="O8" s="376">
        <f t="shared" si="2"/>
        <v>0</v>
      </c>
      <c r="P8" s="376">
        <f t="shared" si="2"/>
        <v>0</v>
      </c>
      <c r="Q8" s="376">
        <f t="shared" si="2"/>
        <v>0</v>
      </c>
      <c r="R8" s="376">
        <f>SUM(F8:Q8)</f>
        <v>0</v>
      </c>
      <c r="S8" s="3">
        <f>C8-R8</f>
        <v>0</v>
      </c>
    </row>
    <row r="9" spans="1:19" x14ac:dyDescent="0.2">
      <c r="A9" s="16"/>
      <c r="B9" s="29" t="s">
        <v>353</v>
      </c>
      <c r="C9" s="28">
        <f t="shared" ref="C9:C14" si="3">C$2*D9</f>
        <v>0</v>
      </c>
      <c r="D9" s="13">
        <v>0</v>
      </c>
      <c r="E9" s="7"/>
      <c r="F9" s="376">
        <f t="shared" ref="F9:F14" si="4">$D9*F$2</f>
        <v>0</v>
      </c>
      <c r="G9" s="376">
        <f t="shared" si="2"/>
        <v>0</v>
      </c>
      <c r="H9" s="376">
        <f t="shared" si="2"/>
        <v>0</v>
      </c>
      <c r="I9" s="376">
        <f t="shared" si="2"/>
        <v>0</v>
      </c>
      <c r="J9" s="376">
        <f t="shared" si="2"/>
        <v>0</v>
      </c>
      <c r="K9" s="376">
        <f t="shared" si="2"/>
        <v>0</v>
      </c>
      <c r="L9" s="376">
        <f t="shared" si="2"/>
        <v>0</v>
      </c>
      <c r="M9" s="376">
        <f t="shared" si="2"/>
        <v>0</v>
      </c>
      <c r="N9" s="376">
        <f t="shared" si="2"/>
        <v>0</v>
      </c>
      <c r="O9" s="376">
        <f t="shared" si="2"/>
        <v>0</v>
      </c>
      <c r="P9" s="376">
        <f t="shared" si="2"/>
        <v>0</v>
      </c>
      <c r="Q9" s="376">
        <f t="shared" si="2"/>
        <v>0</v>
      </c>
      <c r="R9" s="376">
        <f t="shared" ref="R9:R24" si="5">SUM(F9:Q9)</f>
        <v>0</v>
      </c>
      <c r="S9" s="3">
        <f t="shared" ref="S9:S24" si="6">C9-R9</f>
        <v>0</v>
      </c>
    </row>
    <row r="10" spans="1:19" x14ac:dyDescent="0.2">
      <c r="A10" s="16"/>
      <c r="B10" s="29" t="s">
        <v>355</v>
      </c>
      <c r="C10" s="28">
        <f t="shared" si="3"/>
        <v>0</v>
      </c>
      <c r="D10" s="13">
        <v>0</v>
      </c>
      <c r="E10" s="7"/>
      <c r="F10" s="376">
        <f t="shared" si="4"/>
        <v>0</v>
      </c>
      <c r="G10" s="376">
        <f t="shared" si="2"/>
        <v>0</v>
      </c>
      <c r="H10" s="376">
        <f t="shared" si="2"/>
        <v>0</v>
      </c>
      <c r="I10" s="376">
        <f t="shared" si="2"/>
        <v>0</v>
      </c>
      <c r="J10" s="376">
        <f t="shared" si="2"/>
        <v>0</v>
      </c>
      <c r="K10" s="376">
        <f t="shared" si="2"/>
        <v>0</v>
      </c>
      <c r="L10" s="376">
        <f t="shared" si="2"/>
        <v>0</v>
      </c>
      <c r="M10" s="376">
        <f t="shared" si="2"/>
        <v>0</v>
      </c>
      <c r="N10" s="376">
        <f t="shared" si="2"/>
        <v>0</v>
      </c>
      <c r="O10" s="376">
        <f t="shared" si="2"/>
        <v>0</v>
      </c>
      <c r="P10" s="376">
        <f t="shared" si="2"/>
        <v>0</v>
      </c>
      <c r="Q10" s="376">
        <f t="shared" si="2"/>
        <v>0</v>
      </c>
      <c r="R10" s="376">
        <f t="shared" si="5"/>
        <v>0</v>
      </c>
      <c r="S10" s="3">
        <f t="shared" si="6"/>
        <v>0</v>
      </c>
    </row>
    <row r="11" spans="1:19" x14ac:dyDescent="0.2">
      <c r="A11" s="16"/>
      <c r="B11" s="29" t="s">
        <v>370</v>
      </c>
      <c r="C11" s="28"/>
      <c r="D11" s="13">
        <v>0</v>
      </c>
      <c r="E11" s="7"/>
      <c r="F11" s="376">
        <f t="shared" si="4"/>
        <v>0</v>
      </c>
      <c r="G11" s="376">
        <f t="shared" si="2"/>
        <v>0</v>
      </c>
      <c r="H11" s="376">
        <f t="shared" si="2"/>
        <v>0</v>
      </c>
      <c r="I11" s="376">
        <f t="shared" si="2"/>
        <v>0</v>
      </c>
      <c r="J11" s="376">
        <f t="shared" si="2"/>
        <v>0</v>
      </c>
      <c r="K11" s="376">
        <f t="shared" si="2"/>
        <v>0</v>
      </c>
      <c r="L11" s="376">
        <f t="shared" si="2"/>
        <v>0</v>
      </c>
      <c r="M11" s="376">
        <f t="shared" si="2"/>
        <v>0</v>
      </c>
      <c r="N11" s="376">
        <f t="shared" si="2"/>
        <v>0</v>
      </c>
      <c r="O11" s="376">
        <f t="shared" si="2"/>
        <v>0</v>
      </c>
      <c r="P11" s="376">
        <f t="shared" si="2"/>
        <v>0</v>
      </c>
      <c r="Q11" s="376">
        <f t="shared" si="2"/>
        <v>0</v>
      </c>
      <c r="R11" s="376">
        <f t="shared" si="5"/>
        <v>0</v>
      </c>
      <c r="S11" s="3">
        <f t="shared" si="6"/>
        <v>0</v>
      </c>
    </row>
    <row r="12" spans="1:19" x14ac:dyDescent="0.2">
      <c r="A12" s="16"/>
      <c r="B12" s="29" t="s">
        <v>356</v>
      </c>
      <c r="C12" s="28">
        <f t="shared" si="3"/>
        <v>0</v>
      </c>
      <c r="D12" s="13">
        <v>0</v>
      </c>
      <c r="E12" s="7"/>
      <c r="F12" s="376">
        <f t="shared" si="4"/>
        <v>0</v>
      </c>
      <c r="G12" s="376">
        <f t="shared" si="2"/>
        <v>0</v>
      </c>
      <c r="H12" s="376">
        <f t="shared" si="2"/>
        <v>0</v>
      </c>
      <c r="I12" s="376">
        <f t="shared" si="2"/>
        <v>0</v>
      </c>
      <c r="J12" s="376">
        <f t="shared" si="2"/>
        <v>0</v>
      </c>
      <c r="K12" s="376">
        <f t="shared" si="2"/>
        <v>0</v>
      </c>
      <c r="L12" s="376">
        <f t="shared" si="2"/>
        <v>0</v>
      </c>
      <c r="M12" s="376">
        <f t="shared" si="2"/>
        <v>0</v>
      </c>
      <c r="N12" s="376">
        <f t="shared" si="2"/>
        <v>0</v>
      </c>
      <c r="O12" s="376">
        <f t="shared" si="2"/>
        <v>0</v>
      </c>
      <c r="P12" s="376">
        <f t="shared" si="2"/>
        <v>0</v>
      </c>
      <c r="Q12" s="376">
        <f t="shared" si="2"/>
        <v>0</v>
      </c>
      <c r="R12" s="376">
        <f t="shared" si="5"/>
        <v>0</v>
      </c>
      <c r="S12" s="3">
        <f t="shared" si="6"/>
        <v>0</v>
      </c>
    </row>
    <row r="13" spans="1:19" x14ac:dyDescent="0.2">
      <c r="A13" s="16"/>
      <c r="B13" s="29" t="s">
        <v>354</v>
      </c>
      <c r="C13" s="28">
        <f t="shared" si="3"/>
        <v>0</v>
      </c>
      <c r="D13" s="13">
        <v>0</v>
      </c>
      <c r="E13" s="7"/>
      <c r="F13" s="376">
        <f t="shared" si="4"/>
        <v>0</v>
      </c>
      <c r="G13" s="376">
        <f t="shared" si="2"/>
        <v>0</v>
      </c>
      <c r="H13" s="376">
        <f t="shared" si="2"/>
        <v>0</v>
      </c>
      <c r="I13" s="376">
        <f t="shared" si="2"/>
        <v>0</v>
      </c>
      <c r="J13" s="376">
        <f t="shared" si="2"/>
        <v>0</v>
      </c>
      <c r="K13" s="376">
        <f t="shared" si="2"/>
        <v>0</v>
      </c>
      <c r="L13" s="376">
        <f t="shared" si="2"/>
        <v>0</v>
      </c>
      <c r="M13" s="376">
        <f t="shared" si="2"/>
        <v>0</v>
      </c>
      <c r="N13" s="376">
        <f t="shared" si="2"/>
        <v>0</v>
      </c>
      <c r="O13" s="376">
        <f t="shared" si="2"/>
        <v>0</v>
      </c>
      <c r="P13" s="376">
        <f t="shared" si="2"/>
        <v>0</v>
      </c>
      <c r="Q13" s="376">
        <f t="shared" si="2"/>
        <v>0</v>
      </c>
      <c r="R13" s="376">
        <f t="shared" si="5"/>
        <v>0</v>
      </c>
      <c r="S13" s="3">
        <f t="shared" si="6"/>
        <v>0</v>
      </c>
    </row>
    <row r="14" spans="1:19" x14ac:dyDescent="0.2">
      <c r="A14" s="16"/>
      <c r="B14" s="29" t="s">
        <v>357</v>
      </c>
      <c r="C14" s="28">
        <f t="shared" si="3"/>
        <v>0</v>
      </c>
      <c r="D14" s="13">
        <v>0</v>
      </c>
      <c r="E14" s="7"/>
      <c r="F14" s="376">
        <f t="shared" si="4"/>
        <v>0</v>
      </c>
      <c r="G14" s="376">
        <f t="shared" si="2"/>
        <v>0</v>
      </c>
      <c r="H14" s="376">
        <f t="shared" si="2"/>
        <v>0</v>
      </c>
      <c r="I14" s="376">
        <f t="shared" si="2"/>
        <v>0</v>
      </c>
      <c r="J14" s="376">
        <f t="shared" si="2"/>
        <v>0</v>
      </c>
      <c r="K14" s="376">
        <f t="shared" si="2"/>
        <v>0</v>
      </c>
      <c r="L14" s="376">
        <f t="shared" si="2"/>
        <v>0</v>
      </c>
      <c r="M14" s="376">
        <f t="shared" si="2"/>
        <v>0</v>
      </c>
      <c r="N14" s="376">
        <f t="shared" si="2"/>
        <v>0</v>
      </c>
      <c r="O14" s="376">
        <f t="shared" si="2"/>
        <v>0</v>
      </c>
      <c r="P14" s="376">
        <f t="shared" si="2"/>
        <v>0</v>
      </c>
      <c r="Q14" s="376">
        <f t="shared" si="2"/>
        <v>0</v>
      </c>
      <c r="R14" s="376">
        <f t="shared" si="5"/>
        <v>0</v>
      </c>
      <c r="S14" s="3">
        <f t="shared" si="6"/>
        <v>0</v>
      </c>
    </row>
    <row r="15" spans="1:19" x14ac:dyDescent="0.2">
      <c r="A15" s="87">
        <v>31110.031999999999</v>
      </c>
      <c r="B15" s="161" t="s">
        <v>448</v>
      </c>
      <c r="C15" s="293">
        <f>SUM(C8:C14)</f>
        <v>0</v>
      </c>
      <c r="D15" s="292"/>
      <c r="E15" s="292"/>
      <c r="F15" s="369">
        <f>SUM(F8:F14)</f>
        <v>0</v>
      </c>
      <c r="G15" s="369">
        <f t="shared" ref="G15:Q15" si="7">SUM(G8:G14)</f>
        <v>0</v>
      </c>
      <c r="H15" s="369">
        <f t="shared" si="7"/>
        <v>0</v>
      </c>
      <c r="I15" s="369">
        <f t="shared" si="7"/>
        <v>0</v>
      </c>
      <c r="J15" s="369">
        <f t="shared" si="7"/>
        <v>0</v>
      </c>
      <c r="K15" s="369">
        <f t="shared" si="7"/>
        <v>0</v>
      </c>
      <c r="L15" s="369">
        <f t="shared" si="7"/>
        <v>0</v>
      </c>
      <c r="M15" s="369">
        <f t="shared" si="7"/>
        <v>0</v>
      </c>
      <c r="N15" s="369">
        <f t="shared" si="7"/>
        <v>0</v>
      </c>
      <c r="O15" s="369">
        <f t="shared" si="7"/>
        <v>0</v>
      </c>
      <c r="P15" s="369">
        <f t="shared" si="7"/>
        <v>0</v>
      </c>
      <c r="Q15" s="369">
        <f t="shared" si="7"/>
        <v>0</v>
      </c>
      <c r="R15" s="369">
        <f t="shared" si="5"/>
        <v>0</v>
      </c>
      <c r="S15" s="291">
        <f t="shared" si="6"/>
        <v>0</v>
      </c>
    </row>
    <row r="16" spans="1:19" x14ac:dyDescent="0.2">
      <c r="A16" s="16"/>
      <c r="B16" s="29" t="s">
        <v>358</v>
      </c>
      <c r="C16" s="28">
        <f>C$3*D16</f>
        <v>0</v>
      </c>
      <c r="D16" s="13">
        <v>0</v>
      </c>
      <c r="E16" s="7"/>
      <c r="F16" s="376">
        <f>$D16*F$3</f>
        <v>0</v>
      </c>
      <c r="G16" s="376">
        <f t="shared" ref="G16:Q22" si="8">$D16*G$3</f>
        <v>0</v>
      </c>
      <c r="H16" s="376">
        <f t="shared" si="8"/>
        <v>0</v>
      </c>
      <c r="I16" s="376">
        <f t="shared" si="8"/>
        <v>0</v>
      </c>
      <c r="J16" s="376">
        <f t="shared" si="8"/>
        <v>0</v>
      </c>
      <c r="K16" s="376">
        <f t="shared" si="8"/>
        <v>0</v>
      </c>
      <c r="L16" s="376">
        <f t="shared" si="8"/>
        <v>0</v>
      </c>
      <c r="M16" s="376">
        <f t="shared" si="8"/>
        <v>0</v>
      </c>
      <c r="N16" s="376">
        <f t="shared" si="8"/>
        <v>0</v>
      </c>
      <c r="O16" s="376">
        <f t="shared" si="8"/>
        <v>0</v>
      </c>
      <c r="P16" s="376">
        <f t="shared" si="8"/>
        <v>0</v>
      </c>
      <c r="Q16" s="376">
        <f t="shared" si="8"/>
        <v>0</v>
      </c>
      <c r="R16" s="376">
        <f t="shared" si="5"/>
        <v>0</v>
      </c>
      <c r="S16" s="3">
        <f t="shared" si="6"/>
        <v>0</v>
      </c>
    </row>
    <row r="17" spans="1:20" x14ac:dyDescent="0.2">
      <c r="A17" s="16"/>
      <c r="B17" s="29" t="s">
        <v>359</v>
      </c>
      <c r="C17" s="28">
        <f t="shared" ref="C17:C22" si="9">C$3*D17</f>
        <v>0</v>
      </c>
      <c r="D17" s="13">
        <v>0</v>
      </c>
      <c r="E17" s="7"/>
      <c r="F17" s="376">
        <f t="shared" ref="F17:F22" si="10">$D17*F$3</f>
        <v>0</v>
      </c>
      <c r="G17" s="376">
        <f t="shared" si="8"/>
        <v>0</v>
      </c>
      <c r="H17" s="376">
        <f t="shared" si="8"/>
        <v>0</v>
      </c>
      <c r="I17" s="376">
        <f t="shared" si="8"/>
        <v>0</v>
      </c>
      <c r="J17" s="376">
        <f t="shared" si="8"/>
        <v>0</v>
      </c>
      <c r="K17" s="376">
        <f t="shared" si="8"/>
        <v>0</v>
      </c>
      <c r="L17" s="376">
        <f t="shared" si="8"/>
        <v>0</v>
      </c>
      <c r="M17" s="376">
        <f t="shared" si="8"/>
        <v>0</v>
      </c>
      <c r="N17" s="376">
        <f t="shared" si="8"/>
        <v>0</v>
      </c>
      <c r="O17" s="376">
        <f t="shared" si="8"/>
        <v>0</v>
      </c>
      <c r="P17" s="376">
        <f t="shared" si="8"/>
        <v>0</v>
      </c>
      <c r="Q17" s="376">
        <f t="shared" si="8"/>
        <v>0</v>
      </c>
      <c r="R17" s="376">
        <f t="shared" si="5"/>
        <v>0</v>
      </c>
      <c r="S17" s="3">
        <f t="shared" si="6"/>
        <v>0</v>
      </c>
    </row>
    <row r="18" spans="1:20" x14ac:dyDescent="0.2">
      <c r="A18" s="16"/>
      <c r="B18" s="29" t="s">
        <v>372</v>
      </c>
      <c r="C18" s="28">
        <f t="shared" si="9"/>
        <v>0</v>
      </c>
      <c r="D18" s="13">
        <v>0</v>
      </c>
      <c r="E18" s="7"/>
      <c r="F18" s="376">
        <f t="shared" si="10"/>
        <v>0</v>
      </c>
      <c r="G18" s="376">
        <f t="shared" si="8"/>
        <v>0</v>
      </c>
      <c r="H18" s="376">
        <f t="shared" si="8"/>
        <v>0</v>
      </c>
      <c r="I18" s="376">
        <f t="shared" si="8"/>
        <v>0</v>
      </c>
      <c r="J18" s="376">
        <f t="shared" si="8"/>
        <v>0</v>
      </c>
      <c r="K18" s="376">
        <f t="shared" si="8"/>
        <v>0</v>
      </c>
      <c r="L18" s="376">
        <f t="shared" si="8"/>
        <v>0</v>
      </c>
      <c r="M18" s="376">
        <f t="shared" si="8"/>
        <v>0</v>
      </c>
      <c r="N18" s="376">
        <f t="shared" si="8"/>
        <v>0</v>
      </c>
      <c r="O18" s="376">
        <f t="shared" si="8"/>
        <v>0</v>
      </c>
      <c r="P18" s="376">
        <f t="shared" si="8"/>
        <v>0</v>
      </c>
      <c r="Q18" s="376">
        <f t="shared" si="8"/>
        <v>0</v>
      </c>
      <c r="R18" s="376">
        <f t="shared" si="5"/>
        <v>0</v>
      </c>
      <c r="S18" s="3">
        <f t="shared" si="6"/>
        <v>0</v>
      </c>
    </row>
    <row r="19" spans="1:20" x14ac:dyDescent="0.2">
      <c r="A19" s="16"/>
      <c r="B19" s="29" t="s">
        <v>373</v>
      </c>
      <c r="C19" s="28"/>
      <c r="D19" s="13">
        <v>0</v>
      </c>
      <c r="E19" s="7"/>
      <c r="F19" s="376">
        <f t="shared" si="10"/>
        <v>0</v>
      </c>
      <c r="G19" s="376">
        <f t="shared" si="8"/>
        <v>0</v>
      </c>
      <c r="H19" s="376">
        <f t="shared" si="8"/>
        <v>0</v>
      </c>
      <c r="I19" s="376">
        <f t="shared" si="8"/>
        <v>0</v>
      </c>
      <c r="J19" s="376">
        <f t="shared" si="8"/>
        <v>0</v>
      </c>
      <c r="K19" s="376">
        <f t="shared" si="8"/>
        <v>0</v>
      </c>
      <c r="L19" s="376">
        <f t="shared" si="8"/>
        <v>0</v>
      </c>
      <c r="M19" s="376">
        <f t="shared" si="8"/>
        <v>0</v>
      </c>
      <c r="N19" s="376">
        <f t="shared" si="8"/>
        <v>0</v>
      </c>
      <c r="O19" s="376">
        <f t="shared" si="8"/>
        <v>0</v>
      </c>
      <c r="P19" s="376">
        <f t="shared" si="8"/>
        <v>0</v>
      </c>
      <c r="Q19" s="376">
        <f t="shared" si="8"/>
        <v>0</v>
      </c>
      <c r="R19" s="376">
        <f t="shared" si="5"/>
        <v>0</v>
      </c>
      <c r="S19" s="3">
        <f t="shared" si="6"/>
        <v>0</v>
      </c>
    </row>
    <row r="20" spans="1:20" x14ac:dyDescent="0.2">
      <c r="A20" s="163"/>
      <c r="B20" s="29" t="s">
        <v>361</v>
      </c>
      <c r="C20" s="28">
        <f t="shared" si="9"/>
        <v>0</v>
      </c>
      <c r="D20" s="13">
        <v>0</v>
      </c>
      <c r="E20" s="7"/>
      <c r="F20" s="376">
        <f t="shared" si="10"/>
        <v>0</v>
      </c>
      <c r="G20" s="376">
        <f t="shared" si="8"/>
        <v>0</v>
      </c>
      <c r="H20" s="376">
        <f t="shared" si="8"/>
        <v>0</v>
      </c>
      <c r="I20" s="376">
        <f t="shared" si="8"/>
        <v>0</v>
      </c>
      <c r="J20" s="376">
        <f t="shared" si="8"/>
        <v>0</v>
      </c>
      <c r="K20" s="376">
        <f t="shared" si="8"/>
        <v>0</v>
      </c>
      <c r="L20" s="376">
        <f t="shared" si="8"/>
        <v>0</v>
      </c>
      <c r="M20" s="376">
        <f t="shared" si="8"/>
        <v>0</v>
      </c>
      <c r="N20" s="376">
        <f t="shared" si="8"/>
        <v>0</v>
      </c>
      <c r="O20" s="376">
        <f t="shared" si="8"/>
        <v>0</v>
      </c>
      <c r="P20" s="376">
        <f t="shared" si="8"/>
        <v>0</v>
      </c>
      <c r="Q20" s="376">
        <f t="shared" si="8"/>
        <v>0</v>
      </c>
      <c r="R20" s="376">
        <f t="shared" si="5"/>
        <v>0</v>
      </c>
      <c r="S20" s="3">
        <f t="shared" si="6"/>
        <v>0</v>
      </c>
    </row>
    <row r="21" spans="1:20" x14ac:dyDescent="0.2">
      <c r="A21" s="163"/>
      <c r="B21" s="29" t="s">
        <v>360</v>
      </c>
      <c r="C21" s="28">
        <f t="shared" si="9"/>
        <v>0</v>
      </c>
      <c r="D21" s="13">
        <v>0</v>
      </c>
      <c r="E21" s="7"/>
      <c r="F21" s="376">
        <f t="shared" si="10"/>
        <v>0</v>
      </c>
      <c r="G21" s="376">
        <f t="shared" si="8"/>
        <v>0</v>
      </c>
      <c r="H21" s="376">
        <f t="shared" si="8"/>
        <v>0</v>
      </c>
      <c r="I21" s="376">
        <f t="shared" si="8"/>
        <v>0</v>
      </c>
      <c r="J21" s="376">
        <f t="shared" si="8"/>
        <v>0</v>
      </c>
      <c r="K21" s="376">
        <f t="shared" si="8"/>
        <v>0</v>
      </c>
      <c r="L21" s="376">
        <f t="shared" si="8"/>
        <v>0</v>
      </c>
      <c r="M21" s="376">
        <f t="shared" si="8"/>
        <v>0</v>
      </c>
      <c r="N21" s="376">
        <f t="shared" si="8"/>
        <v>0</v>
      </c>
      <c r="O21" s="376">
        <f t="shared" si="8"/>
        <v>0</v>
      </c>
      <c r="P21" s="376">
        <f t="shared" si="8"/>
        <v>0</v>
      </c>
      <c r="Q21" s="376">
        <f t="shared" si="8"/>
        <v>0</v>
      </c>
      <c r="R21" s="376">
        <f t="shared" si="5"/>
        <v>0</v>
      </c>
      <c r="S21" s="3">
        <f t="shared" si="6"/>
        <v>0</v>
      </c>
    </row>
    <row r="22" spans="1:20" x14ac:dyDescent="0.2">
      <c r="A22" s="163"/>
      <c r="B22" s="29" t="s">
        <v>362</v>
      </c>
      <c r="C22" s="28">
        <f t="shared" si="9"/>
        <v>0</v>
      </c>
      <c r="D22" s="13">
        <v>0</v>
      </c>
      <c r="E22" s="7"/>
      <c r="F22" s="376">
        <f t="shared" si="10"/>
        <v>0</v>
      </c>
      <c r="G22" s="376">
        <f t="shared" si="8"/>
        <v>0</v>
      </c>
      <c r="H22" s="376">
        <f t="shared" si="8"/>
        <v>0</v>
      </c>
      <c r="I22" s="376">
        <f t="shared" si="8"/>
        <v>0</v>
      </c>
      <c r="J22" s="376">
        <f t="shared" si="8"/>
        <v>0</v>
      </c>
      <c r="K22" s="376">
        <f t="shared" si="8"/>
        <v>0</v>
      </c>
      <c r="L22" s="376">
        <f t="shared" si="8"/>
        <v>0</v>
      </c>
      <c r="M22" s="376">
        <f t="shared" si="8"/>
        <v>0</v>
      </c>
      <c r="N22" s="376">
        <f t="shared" si="8"/>
        <v>0</v>
      </c>
      <c r="O22" s="376">
        <f t="shared" si="8"/>
        <v>0</v>
      </c>
      <c r="P22" s="376">
        <f t="shared" si="8"/>
        <v>0</v>
      </c>
      <c r="Q22" s="376">
        <f t="shared" si="8"/>
        <v>0</v>
      </c>
      <c r="R22" s="376">
        <f t="shared" si="5"/>
        <v>0</v>
      </c>
      <c r="S22" s="3">
        <f t="shared" si="6"/>
        <v>0</v>
      </c>
    </row>
    <row r="23" spans="1:20" x14ac:dyDescent="0.2">
      <c r="A23" s="90">
        <v>31200.031999999999</v>
      </c>
      <c r="B23" s="161" t="s">
        <v>449</v>
      </c>
      <c r="C23" s="293">
        <f>SUM(C16:C22)</f>
        <v>0</v>
      </c>
      <c r="D23" s="292"/>
      <c r="E23" s="292"/>
      <c r="F23" s="369">
        <f>SUM(F16:F22)</f>
        <v>0</v>
      </c>
      <c r="G23" s="369">
        <f t="shared" ref="G23:Q23" si="11">SUM(G16:G22)</f>
        <v>0</v>
      </c>
      <c r="H23" s="369">
        <f t="shared" si="11"/>
        <v>0</v>
      </c>
      <c r="I23" s="369">
        <f t="shared" si="11"/>
        <v>0</v>
      </c>
      <c r="J23" s="369">
        <f t="shared" si="11"/>
        <v>0</v>
      </c>
      <c r="K23" s="369">
        <f t="shared" si="11"/>
        <v>0</v>
      </c>
      <c r="L23" s="369">
        <f t="shared" si="11"/>
        <v>0</v>
      </c>
      <c r="M23" s="369">
        <f t="shared" si="11"/>
        <v>0</v>
      </c>
      <c r="N23" s="369">
        <f t="shared" si="11"/>
        <v>0</v>
      </c>
      <c r="O23" s="369">
        <f t="shared" si="11"/>
        <v>0</v>
      </c>
      <c r="P23" s="369">
        <f t="shared" si="11"/>
        <v>0</v>
      </c>
      <c r="Q23" s="369">
        <f t="shared" si="11"/>
        <v>0</v>
      </c>
      <c r="R23" s="369">
        <f t="shared" si="5"/>
        <v>0</v>
      </c>
      <c r="S23" s="291">
        <f t="shared" si="6"/>
        <v>0</v>
      </c>
    </row>
    <row r="24" spans="1:20" s="5" customFormat="1" x14ac:dyDescent="0.2">
      <c r="A24" s="11"/>
      <c r="B24" s="10" t="s">
        <v>0</v>
      </c>
      <c r="C24" s="293">
        <f>C15+C23</f>
        <v>0</v>
      </c>
      <c r="D24" s="292">
        <f>SUM(D8:D23)</f>
        <v>0</v>
      </c>
      <c r="E24" s="292"/>
      <c r="F24" s="369">
        <f>F15+F23</f>
        <v>0</v>
      </c>
      <c r="G24" s="369">
        <f t="shared" ref="G24:Q24" si="12">G15+G23</f>
        <v>0</v>
      </c>
      <c r="H24" s="369">
        <f t="shared" si="12"/>
        <v>0</v>
      </c>
      <c r="I24" s="369">
        <f t="shared" si="12"/>
        <v>0</v>
      </c>
      <c r="J24" s="369">
        <f t="shared" si="12"/>
        <v>0</v>
      </c>
      <c r="K24" s="369">
        <f t="shared" si="12"/>
        <v>0</v>
      </c>
      <c r="L24" s="369">
        <f t="shared" si="12"/>
        <v>0</v>
      </c>
      <c r="M24" s="369">
        <f t="shared" si="12"/>
        <v>0</v>
      </c>
      <c r="N24" s="369">
        <f t="shared" si="12"/>
        <v>0</v>
      </c>
      <c r="O24" s="369">
        <f t="shared" si="12"/>
        <v>0</v>
      </c>
      <c r="P24" s="369">
        <f t="shared" si="12"/>
        <v>0</v>
      </c>
      <c r="Q24" s="369">
        <f t="shared" si="12"/>
        <v>0</v>
      </c>
      <c r="R24" s="369">
        <f t="shared" si="5"/>
        <v>0</v>
      </c>
      <c r="S24" s="291">
        <f t="shared" si="6"/>
        <v>0</v>
      </c>
      <c r="T24" s="6"/>
    </row>
    <row r="25" spans="1:20" x14ac:dyDescent="0.2">
      <c r="F25" s="160"/>
      <c r="G25" s="160"/>
      <c r="H25" s="160"/>
      <c r="I25" s="160"/>
      <c r="J25" s="160"/>
      <c r="K25" s="160"/>
      <c r="L25" s="160"/>
      <c r="M25" s="160"/>
      <c r="N25" s="160"/>
      <c r="O25" s="160"/>
      <c r="P25" s="160"/>
      <c r="Q25" s="160"/>
      <c r="R25" s="160"/>
    </row>
    <row r="26" spans="1:20" x14ac:dyDescent="0.2">
      <c r="A26" s="711" t="s">
        <v>25</v>
      </c>
      <c r="B26" s="711"/>
      <c r="C26" s="711"/>
      <c r="D26" s="711"/>
      <c r="E26" s="37"/>
      <c r="F26" s="160"/>
      <c r="G26" s="160"/>
      <c r="H26" s="160"/>
      <c r="I26" s="160"/>
      <c r="J26" s="160"/>
      <c r="K26" s="160"/>
      <c r="L26" s="160"/>
      <c r="M26" s="160"/>
      <c r="N26" s="160"/>
      <c r="O26" s="160"/>
      <c r="P26" s="160"/>
      <c r="Q26" s="160"/>
      <c r="R26" s="160"/>
    </row>
    <row r="27" spans="1:20" s="151" customFormat="1" x14ac:dyDescent="0.2">
      <c r="A27" s="21"/>
      <c r="B27" s="10" t="s">
        <v>450</v>
      </c>
      <c r="C27" s="78"/>
      <c r="D27" s="168" t="s">
        <v>446</v>
      </c>
      <c r="E27" s="140"/>
      <c r="F27" s="277"/>
      <c r="G27" s="277"/>
      <c r="H27" s="277"/>
      <c r="I27" s="277"/>
      <c r="J27" s="277"/>
      <c r="K27" s="277"/>
      <c r="L27" s="277"/>
      <c r="M27" s="277"/>
      <c r="N27" s="277"/>
      <c r="O27" s="277"/>
      <c r="P27" s="277"/>
      <c r="Q27" s="277"/>
      <c r="R27" s="277"/>
      <c r="S27" s="164"/>
      <c r="T27" s="164"/>
    </row>
    <row r="28" spans="1:20" s="92" customFormat="1" x14ac:dyDescent="0.2">
      <c r="A28" s="87">
        <v>41237.031999999999</v>
      </c>
      <c r="B28" s="15" t="s">
        <v>17</v>
      </c>
      <c r="C28" s="14"/>
      <c r="D28" s="329">
        <f t="shared" ref="D28:D35" si="13">IF(C$4=0,0,$C28/C$4)</f>
        <v>0</v>
      </c>
      <c r="E28" s="120"/>
      <c r="F28" s="373">
        <f>$D28*F$4</f>
        <v>0</v>
      </c>
      <c r="G28" s="373">
        <f t="shared" ref="G28:Q35" si="14">$D28*G$4</f>
        <v>0</v>
      </c>
      <c r="H28" s="373">
        <f t="shared" si="14"/>
        <v>0</v>
      </c>
      <c r="I28" s="373">
        <f t="shared" si="14"/>
        <v>0</v>
      </c>
      <c r="J28" s="373">
        <f t="shared" si="14"/>
        <v>0</v>
      </c>
      <c r="K28" s="373">
        <f t="shared" si="14"/>
        <v>0</v>
      </c>
      <c r="L28" s="373">
        <f t="shared" si="14"/>
        <v>0</v>
      </c>
      <c r="M28" s="373">
        <f t="shared" si="14"/>
        <v>0</v>
      </c>
      <c r="N28" s="373">
        <f t="shared" si="14"/>
        <v>0</v>
      </c>
      <c r="O28" s="373">
        <f t="shared" si="14"/>
        <v>0</v>
      </c>
      <c r="P28" s="373">
        <f t="shared" si="14"/>
        <v>0</v>
      </c>
      <c r="Q28" s="373">
        <f t="shared" si="14"/>
        <v>0</v>
      </c>
      <c r="R28" s="376">
        <f t="shared" ref="R28:R36" si="15">SUM(F28:Q28)</f>
        <v>0</v>
      </c>
      <c r="S28" s="3">
        <f>C28-R28</f>
        <v>0</v>
      </c>
      <c r="T28" s="91"/>
    </row>
    <row r="29" spans="1:20" s="92" customFormat="1" x14ac:dyDescent="0.2">
      <c r="A29" s="87">
        <v>41246.031999999999</v>
      </c>
      <c r="B29" s="15" t="s">
        <v>16</v>
      </c>
      <c r="C29" s="14"/>
      <c r="D29" s="329">
        <f t="shared" si="13"/>
        <v>0</v>
      </c>
      <c r="E29" s="120"/>
      <c r="F29" s="373">
        <f t="shared" ref="F29:F35" si="16">$D29*F$4</f>
        <v>0</v>
      </c>
      <c r="G29" s="373">
        <f t="shared" si="14"/>
        <v>0</v>
      </c>
      <c r="H29" s="373">
        <f t="shared" si="14"/>
        <v>0</v>
      </c>
      <c r="I29" s="373">
        <f t="shared" si="14"/>
        <v>0</v>
      </c>
      <c r="J29" s="373">
        <f t="shared" si="14"/>
        <v>0</v>
      </c>
      <c r="K29" s="373">
        <f t="shared" si="14"/>
        <v>0</v>
      </c>
      <c r="L29" s="373">
        <f t="shared" si="14"/>
        <v>0</v>
      </c>
      <c r="M29" s="373">
        <f t="shared" si="14"/>
        <v>0</v>
      </c>
      <c r="N29" s="373">
        <f t="shared" si="14"/>
        <v>0</v>
      </c>
      <c r="O29" s="373">
        <f t="shared" si="14"/>
        <v>0</v>
      </c>
      <c r="P29" s="373">
        <f t="shared" si="14"/>
        <v>0</v>
      </c>
      <c r="Q29" s="373">
        <f t="shared" si="14"/>
        <v>0</v>
      </c>
      <c r="R29" s="376">
        <f t="shared" si="15"/>
        <v>0</v>
      </c>
      <c r="S29" s="3">
        <f>C29-R29</f>
        <v>0</v>
      </c>
      <c r="T29" s="91"/>
    </row>
    <row r="30" spans="1:20" s="92" customFormat="1" x14ac:dyDescent="0.2">
      <c r="A30" s="87">
        <v>41250.031999999999</v>
      </c>
      <c r="B30" s="15" t="s">
        <v>15</v>
      </c>
      <c r="C30" s="14"/>
      <c r="D30" s="329">
        <f t="shared" si="13"/>
        <v>0</v>
      </c>
      <c r="E30" s="120"/>
      <c r="F30" s="373">
        <f t="shared" si="16"/>
        <v>0</v>
      </c>
      <c r="G30" s="373">
        <f t="shared" si="14"/>
        <v>0</v>
      </c>
      <c r="H30" s="373">
        <f t="shared" si="14"/>
        <v>0</v>
      </c>
      <c r="I30" s="373">
        <f t="shared" si="14"/>
        <v>0</v>
      </c>
      <c r="J30" s="373">
        <f t="shared" si="14"/>
        <v>0</v>
      </c>
      <c r="K30" s="373">
        <f t="shared" si="14"/>
        <v>0</v>
      </c>
      <c r="L30" s="373">
        <f t="shared" si="14"/>
        <v>0</v>
      </c>
      <c r="M30" s="373">
        <f t="shared" si="14"/>
        <v>0</v>
      </c>
      <c r="N30" s="373">
        <f t="shared" si="14"/>
        <v>0</v>
      </c>
      <c r="O30" s="373">
        <f t="shared" si="14"/>
        <v>0</v>
      </c>
      <c r="P30" s="373">
        <f t="shared" si="14"/>
        <v>0</v>
      </c>
      <c r="Q30" s="373">
        <f t="shared" si="14"/>
        <v>0</v>
      </c>
      <c r="R30" s="376">
        <f t="shared" si="15"/>
        <v>0</v>
      </c>
      <c r="S30" s="3">
        <f>C30-R30</f>
        <v>0</v>
      </c>
      <c r="T30" s="91"/>
    </row>
    <row r="31" spans="1:20" s="92" customFormat="1" x14ac:dyDescent="0.2">
      <c r="A31" s="87">
        <v>41334.031999999999</v>
      </c>
      <c r="B31" s="15" t="s">
        <v>442</v>
      </c>
      <c r="C31" s="14">
        <f>[6]Pathology!$I$15</f>
        <v>10485</v>
      </c>
      <c r="D31" s="329">
        <f t="shared" si="13"/>
        <v>0</v>
      </c>
      <c r="E31" s="120"/>
      <c r="F31" s="373">
        <f>$C$31/12</f>
        <v>873.75</v>
      </c>
      <c r="G31" s="373">
        <f t="shared" ref="G31:Q31" si="17">$C$31/12</f>
        <v>873.75</v>
      </c>
      <c r="H31" s="373">
        <f t="shared" si="17"/>
        <v>873.75</v>
      </c>
      <c r="I31" s="373">
        <f t="shared" si="17"/>
        <v>873.75</v>
      </c>
      <c r="J31" s="373">
        <f t="shared" si="17"/>
        <v>873.75</v>
      </c>
      <c r="K31" s="373">
        <f t="shared" si="17"/>
        <v>873.75</v>
      </c>
      <c r="L31" s="373">
        <f t="shared" si="17"/>
        <v>873.75</v>
      </c>
      <c r="M31" s="373">
        <f t="shared" si="17"/>
        <v>873.75</v>
      </c>
      <c r="N31" s="373">
        <f t="shared" si="17"/>
        <v>873.75</v>
      </c>
      <c r="O31" s="373">
        <f t="shared" si="17"/>
        <v>873.75</v>
      </c>
      <c r="P31" s="373">
        <f t="shared" si="17"/>
        <v>873.75</v>
      </c>
      <c r="Q31" s="373">
        <f t="shared" si="17"/>
        <v>873.75</v>
      </c>
      <c r="R31" s="376">
        <f t="shared" si="15"/>
        <v>10485</v>
      </c>
      <c r="S31" s="3">
        <f t="shared" ref="S31:S36" si="18">C31-R31</f>
        <v>0</v>
      </c>
      <c r="T31" s="91"/>
    </row>
    <row r="32" spans="1:20" s="92" customFormat="1" x14ac:dyDescent="0.2">
      <c r="A32" s="87">
        <v>41365.031999999999</v>
      </c>
      <c r="B32" s="15" t="s">
        <v>10</v>
      </c>
      <c r="C32" s="14">
        <f>[6]Pathology!$I$16</f>
        <v>21334</v>
      </c>
      <c r="D32" s="329">
        <f t="shared" si="13"/>
        <v>0</v>
      </c>
      <c r="E32" s="120"/>
      <c r="F32" s="373">
        <f>$C$32/12</f>
        <v>1777.8333333333333</v>
      </c>
      <c r="G32" s="373">
        <f t="shared" ref="G32:Q32" si="19">$C$32/12</f>
        <v>1777.8333333333333</v>
      </c>
      <c r="H32" s="373">
        <f t="shared" si="19"/>
        <v>1777.8333333333333</v>
      </c>
      <c r="I32" s="373">
        <f t="shared" si="19"/>
        <v>1777.8333333333333</v>
      </c>
      <c r="J32" s="373">
        <f t="shared" si="19"/>
        <v>1777.8333333333333</v>
      </c>
      <c r="K32" s="373">
        <f t="shared" si="19"/>
        <v>1777.8333333333333</v>
      </c>
      <c r="L32" s="373">
        <f t="shared" si="19"/>
        <v>1777.8333333333333</v>
      </c>
      <c r="M32" s="373">
        <f t="shared" si="19"/>
        <v>1777.8333333333333</v>
      </c>
      <c r="N32" s="373">
        <f t="shared" si="19"/>
        <v>1777.8333333333333</v>
      </c>
      <c r="O32" s="373">
        <f t="shared" si="19"/>
        <v>1777.8333333333333</v>
      </c>
      <c r="P32" s="373">
        <f t="shared" si="19"/>
        <v>1777.8333333333333</v>
      </c>
      <c r="Q32" s="373">
        <f t="shared" si="19"/>
        <v>1777.8333333333333</v>
      </c>
      <c r="R32" s="376">
        <f t="shared" si="15"/>
        <v>21334</v>
      </c>
      <c r="S32" s="3">
        <f t="shared" si="18"/>
        <v>0</v>
      </c>
      <c r="T32" s="91"/>
    </row>
    <row r="33" spans="1:20" s="92" customFormat="1" x14ac:dyDescent="0.2">
      <c r="A33" s="87">
        <v>41490.031999999999</v>
      </c>
      <c r="B33" s="15" t="s">
        <v>367</v>
      </c>
      <c r="C33" s="14"/>
      <c r="D33" s="329">
        <f t="shared" si="13"/>
        <v>0</v>
      </c>
      <c r="E33" s="120"/>
      <c r="F33" s="373">
        <f t="shared" si="16"/>
        <v>0</v>
      </c>
      <c r="G33" s="373">
        <f t="shared" si="14"/>
        <v>0</v>
      </c>
      <c r="H33" s="373">
        <f t="shared" si="14"/>
        <v>0</v>
      </c>
      <c r="I33" s="373">
        <f t="shared" si="14"/>
        <v>0</v>
      </c>
      <c r="J33" s="373">
        <f t="shared" si="14"/>
        <v>0</v>
      </c>
      <c r="K33" s="373">
        <f t="shared" si="14"/>
        <v>0</v>
      </c>
      <c r="L33" s="373">
        <f t="shared" si="14"/>
        <v>0</v>
      </c>
      <c r="M33" s="373">
        <f t="shared" si="14"/>
        <v>0</v>
      </c>
      <c r="N33" s="373">
        <f t="shared" si="14"/>
        <v>0</v>
      </c>
      <c r="O33" s="373">
        <f t="shared" si="14"/>
        <v>0</v>
      </c>
      <c r="P33" s="373">
        <f t="shared" si="14"/>
        <v>0</v>
      </c>
      <c r="Q33" s="373">
        <f t="shared" si="14"/>
        <v>0</v>
      </c>
      <c r="R33" s="376">
        <f t="shared" si="15"/>
        <v>0</v>
      </c>
      <c r="S33" s="3">
        <f t="shared" si="18"/>
        <v>0</v>
      </c>
      <c r="T33" s="91"/>
    </row>
    <row r="34" spans="1:20" s="92" customFormat="1" x14ac:dyDescent="0.2">
      <c r="A34" s="87">
        <v>41509.031999999999</v>
      </c>
      <c r="B34" s="15" t="s">
        <v>3</v>
      </c>
      <c r="C34" s="14"/>
      <c r="D34" s="329">
        <f t="shared" si="13"/>
        <v>0</v>
      </c>
      <c r="E34" s="120"/>
      <c r="F34" s="373">
        <f t="shared" si="16"/>
        <v>0</v>
      </c>
      <c r="G34" s="373">
        <f t="shared" si="14"/>
        <v>0</v>
      </c>
      <c r="H34" s="373">
        <f t="shared" si="14"/>
        <v>0</v>
      </c>
      <c r="I34" s="373">
        <f t="shared" si="14"/>
        <v>0</v>
      </c>
      <c r="J34" s="373">
        <f t="shared" si="14"/>
        <v>0</v>
      </c>
      <c r="K34" s="373">
        <f t="shared" si="14"/>
        <v>0</v>
      </c>
      <c r="L34" s="373">
        <f t="shared" si="14"/>
        <v>0</v>
      </c>
      <c r="M34" s="373">
        <f t="shared" si="14"/>
        <v>0</v>
      </c>
      <c r="N34" s="373">
        <f t="shared" si="14"/>
        <v>0</v>
      </c>
      <c r="O34" s="373">
        <f t="shared" si="14"/>
        <v>0</v>
      </c>
      <c r="P34" s="373">
        <f t="shared" si="14"/>
        <v>0</v>
      </c>
      <c r="Q34" s="373">
        <f t="shared" si="14"/>
        <v>0</v>
      </c>
      <c r="R34" s="376">
        <f t="shared" si="15"/>
        <v>0</v>
      </c>
      <c r="S34" s="3">
        <f t="shared" si="18"/>
        <v>0</v>
      </c>
      <c r="T34" s="91"/>
    </row>
    <row r="35" spans="1:20" s="92" customFormat="1" x14ac:dyDescent="0.2">
      <c r="A35" s="87">
        <v>41570.031999999999</v>
      </c>
      <c r="B35" s="15" t="s">
        <v>2</v>
      </c>
      <c r="C35" s="14"/>
      <c r="D35" s="329">
        <f t="shared" si="13"/>
        <v>0</v>
      </c>
      <c r="E35" s="120"/>
      <c r="F35" s="373">
        <f t="shared" si="16"/>
        <v>0</v>
      </c>
      <c r="G35" s="373">
        <f t="shared" si="14"/>
        <v>0</v>
      </c>
      <c r="H35" s="373">
        <f t="shared" si="14"/>
        <v>0</v>
      </c>
      <c r="I35" s="373">
        <f t="shared" si="14"/>
        <v>0</v>
      </c>
      <c r="J35" s="373">
        <f t="shared" si="14"/>
        <v>0</v>
      </c>
      <c r="K35" s="373">
        <f t="shared" si="14"/>
        <v>0</v>
      </c>
      <c r="L35" s="373">
        <f t="shared" si="14"/>
        <v>0</v>
      </c>
      <c r="M35" s="373">
        <f t="shared" si="14"/>
        <v>0</v>
      </c>
      <c r="N35" s="373">
        <f t="shared" si="14"/>
        <v>0</v>
      </c>
      <c r="O35" s="373">
        <f t="shared" si="14"/>
        <v>0</v>
      </c>
      <c r="P35" s="373">
        <f t="shared" si="14"/>
        <v>0</v>
      </c>
      <c r="Q35" s="373">
        <f t="shared" si="14"/>
        <v>0</v>
      </c>
      <c r="R35" s="376">
        <f t="shared" si="15"/>
        <v>0</v>
      </c>
      <c r="S35" s="3">
        <f t="shared" si="18"/>
        <v>0</v>
      </c>
      <c r="T35" s="91"/>
    </row>
    <row r="36" spans="1:20" s="170" customFormat="1" x14ac:dyDescent="0.2">
      <c r="A36" s="132"/>
      <c r="B36" s="77" t="s">
        <v>0</v>
      </c>
      <c r="C36" s="88">
        <f>SUM(C28:C35)</f>
        <v>31819</v>
      </c>
      <c r="D36" s="128">
        <f>SUM(D28:D35)</f>
        <v>0</v>
      </c>
      <c r="E36" s="128"/>
      <c r="F36" s="374">
        <f t="shared" ref="F36:Q36" si="20">SUM(F28:F35)</f>
        <v>2651.583333333333</v>
      </c>
      <c r="G36" s="374">
        <f t="shared" si="20"/>
        <v>2651.583333333333</v>
      </c>
      <c r="H36" s="374">
        <f t="shared" si="20"/>
        <v>2651.583333333333</v>
      </c>
      <c r="I36" s="374">
        <f t="shared" si="20"/>
        <v>2651.583333333333</v>
      </c>
      <c r="J36" s="374">
        <f t="shared" si="20"/>
        <v>2651.583333333333</v>
      </c>
      <c r="K36" s="374">
        <f t="shared" si="20"/>
        <v>2651.583333333333</v>
      </c>
      <c r="L36" s="374">
        <f t="shared" si="20"/>
        <v>2651.583333333333</v>
      </c>
      <c r="M36" s="374">
        <f t="shared" si="20"/>
        <v>2651.583333333333</v>
      </c>
      <c r="N36" s="374">
        <f t="shared" si="20"/>
        <v>2651.583333333333</v>
      </c>
      <c r="O36" s="374">
        <f t="shared" si="20"/>
        <v>2651.583333333333</v>
      </c>
      <c r="P36" s="374">
        <f t="shared" si="20"/>
        <v>2651.583333333333</v>
      </c>
      <c r="Q36" s="374">
        <f t="shared" si="20"/>
        <v>2651.583333333333</v>
      </c>
      <c r="R36" s="376">
        <f t="shared" si="15"/>
        <v>31818.999999999989</v>
      </c>
      <c r="S36" s="3">
        <f t="shared" si="18"/>
        <v>0</v>
      </c>
      <c r="T36" s="169"/>
    </row>
    <row r="37" spans="1:20" s="12" customFormat="1" x14ac:dyDescent="0.2">
      <c r="A37" s="4"/>
      <c r="B37" s="4"/>
      <c r="C37" s="7">
        <f>C36-'[10]Trial Balance'!$B$99077</f>
        <v>31819</v>
      </c>
      <c r="D37" s="4"/>
      <c r="E37" s="4"/>
      <c r="F37" s="414"/>
      <c r="G37" s="414"/>
      <c r="H37" s="414"/>
      <c r="I37" s="414"/>
      <c r="J37" s="414"/>
      <c r="K37" s="414"/>
      <c r="L37" s="414"/>
      <c r="M37" s="414"/>
      <c r="N37" s="414"/>
      <c r="O37" s="414"/>
      <c r="P37" s="414"/>
      <c r="Q37" s="414"/>
      <c r="R37" s="414"/>
      <c r="S37" s="4"/>
      <c r="T37" s="4"/>
    </row>
    <row r="38" spans="1:20" s="12" customFormat="1" x14ac:dyDescent="0.2">
      <c r="A38" s="4"/>
      <c r="B38" s="4"/>
      <c r="C38" s="4"/>
      <c r="D38" s="4"/>
      <c r="E38" s="4"/>
      <c r="F38" s="4"/>
      <c r="G38" s="4"/>
      <c r="H38" s="4"/>
      <c r="I38" s="4"/>
      <c r="J38" s="4"/>
      <c r="K38" s="4"/>
      <c r="L38" s="4"/>
      <c r="M38" s="4"/>
      <c r="N38" s="4"/>
      <c r="O38" s="4"/>
      <c r="P38" s="4"/>
      <c r="Q38" s="4"/>
      <c r="R38" s="4"/>
      <c r="S38" s="4"/>
      <c r="T38" s="4"/>
    </row>
    <row r="39" spans="1:20" s="12" customFormat="1" x14ac:dyDescent="0.2">
      <c r="A39" s="171"/>
      <c r="B39" s="4"/>
      <c r="C39" s="7"/>
      <c r="D39" s="4"/>
      <c r="E39" s="4"/>
      <c r="F39" s="7"/>
      <c r="G39" s="7"/>
      <c r="H39" s="7"/>
      <c r="I39" s="7"/>
      <c r="J39" s="7"/>
      <c r="K39" s="7"/>
      <c r="L39" s="7"/>
      <c r="M39" s="7"/>
      <c r="N39" s="7"/>
      <c r="O39" s="7"/>
      <c r="P39" s="7"/>
      <c r="Q39" s="7"/>
      <c r="R39" s="7"/>
      <c r="S39" s="4"/>
      <c r="T39" s="171"/>
    </row>
    <row r="40" spans="1:20" s="12" customFormat="1" x14ac:dyDescent="0.2">
      <c r="A40" s="4"/>
      <c r="B40" t="s">
        <v>988</v>
      </c>
      <c r="C40" s="4"/>
      <c r="D40" s="4"/>
      <c r="E40" s="4"/>
      <c r="F40" s="4"/>
      <c r="G40" s="4"/>
      <c r="H40" s="4"/>
      <c r="I40" s="4"/>
      <c r="J40" s="4"/>
      <c r="K40" s="4"/>
      <c r="L40" s="4"/>
      <c r="M40" s="4"/>
      <c r="N40" s="4"/>
      <c r="O40" s="4"/>
      <c r="P40" s="4"/>
      <c r="Q40" s="4"/>
      <c r="R40" s="4"/>
      <c r="S40" s="4"/>
      <c r="T40" s="4"/>
    </row>
    <row r="41" spans="1:20" s="12" customFormat="1" x14ac:dyDescent="0.2">
      <c r="A41" s="4"/>
      <c r="B41" t="s">
        <v>989</v>
      </c>
      <c r="C41" s="4"/>
      <c r="D41" s="4"/>
      <c r="E41" s="4"/>
      <c r="F41" s="4"/>
      <c r="G41" s="4"/>
      <c r="H41" s="4"/>
      <c r="I41" s="4"/>
      <c r="J41" s="4"/>
      <c r="K41" s="4"/>
      <c r="L41" s="4"/>
      <c r="M41" s="4"/>
      <c r="N41" s="4"/>
      <c r="O41" s="4"/>
      <c r="P41" s="4"/>
      <c r="Q41" s="4"/>
      <c r="R41" s="4"/>
      <c r="S41" s="4"/>
      <c r="T41" s="4"/>
    </row>
    <row r="42" spans="1:20" s="12" customFormat="1" x14ac:dyDescent="0.2">
      <c r="A42" s="4"/>
      <c r="B42" t="s">
        <v>990</v>
      </c>
      <c r="C42" s="4"/>
      <c r="D42" s="4"/>
      <c r="E42" s="4"/>
      <c r="F42" s="4"/>
      <c r="G42" s="4"/>
      <c r="H42" s="4"/>
      <c r="I42" s="4"/>
      <c r="J42" s="4"/>
      <c r="K42" s="4"/>
      <c r="L42" s="4"/>
      <c r="M42" s="4"/>
      <c r="N42" s="4"/>
      <c r="O42" s="4"/>
      <c r="P42" s="4"/>
      <c r="Q42" s="4"/>
      <c r="R42" s="4"/>
      <c r="S42" s="4"/>
      <c r="T42" s="4"/>
    </row>
    <row r="43" spans="1:20" s="12" customFormat="1" x14ac:dyDescent="0.2">
      <c r="A43" s="4"/>
      <c r="B43" t="s">
        <v>991</v>
      </c>
      <c r="C43" s="4"/>
      <c r="D43" s="4"/>
      <c r="E43" s="4"/>
      <c r="F43" s="4"/>
      <c r="G43" s="4"/>
      <c r="H43" s="4"/>
      <c r="I43" s="4"/>
      <c r="J43" s="4"/>
      <c r="K43" s="4"/>
      <c r="L43" s="4"/>
      <c r="M43" s="4"/>
      <c r="N43" s="4"/>
      <c r="O43" s="4"/>
      <c r="P43" s="4"/>
      <c r="Q43" s="4"/>
      <c r="R43" s="4"/>
      <c r="S43" s="4"/>
      <c r="T43" s="4"/>
    </row>
    <row r="44" spans="1:20" s="12" customFormat="1" x14ac:dyDescent="0.2">
      <c r="A44" s="4"/>
      <c r="B44" s="675"/>
      <c r="C44" s="4"/>
      <c r="D44" s="4"/>
      <c r="E44" s="4"/>
      <c r="F44" s="4"/>
      <c r="G44" s="4"/>
      <c r="H44" s="4"/>
      <c r="I44" s="4"/>
      <c r="J44" s="4"/>
      <c r="K44" s="4"/>
      <c r="L44" s="4"/>
      <c r="M44" s="4"/>
      <c r="N44" s="4"/>
      <c r="O44" s="4"/>
      <c r="P44" s="4"/>
      <c r="Q44" s="4"/>
      <c r="R44" s="4"/>
      <c r="S44" s="4"/>
      <c r="T44" s="4"/>
    </row>
    <row r="45" spans="1:20" s="12" customFormat="1" x14ac:dyDescent="0.2">
      <c r="A45" s="4"/>
      <c r="B45" t="s">
        <v>1078</v>
      </c>
      <c r="C45" s="4"/>
      <c r="D45" s="4"/>
      <c r="E45" s="4"/>
      <c r="F45" s="4"/>
      <c r="G45" s="4"/>
      <c r="H45" s="4"/>
      <c r="I45" s="4"/>
      <c r="J45" s="4"/>
      <c r="K45" s="4"/>
      <c r="L45" s="4"/>
      <c r="M45" s="4"/>
      <c r="N45" s="4"/>
      <c r="O45" s="4"/>
      <c r="P45" s="4"/>
      <c r="Q45" s="4"/>
      <c r="R45" s="4"/>
      <c r="S45" s="4"/>
      <c r="T45" s="4"/>
    </row>
    <row r="46" spans="1:20" s="12" customFormat="1" x14ac:dyDescent="0.2">
      <c r="A46" s="4"/>
      <c r="B46"/>
      <c r="C46" s="4"/>
      <c r="D46" s="4"/>
      <c r="E46" s="4"/>
      <c r="F46" s="4"/>
      <c r="G46" s="4"/>
      <c r="H46" s="4"/>
      <c r="I46" s="4"/>
      <c r="J46" s="4"/>
      <c r="K46" s="4"/>
      <c r="L46" s="4"/>
      <c r="M46" s="4"/>
      <c r="N46" s="4"/>
      <c r="O46" s="4"/>
      <c r="P46" s="4"/>
      <c r="Q46" s="4"/>
      <c r="R46" s="4"/>
      <c r="S46" s="4"/>
      <c r="T46" s="4"/>
    </row>
    <row r="47" spans="1:20" s="12" customFormat="1" x14ac:dyDescent="0.2">
      <c r="A47" s="4"/>
      <c r="B47"/>
      <c r="C47" s="4"/>
      <c r="D47" s="4"/>
      <c r="E47" s="4"/>
      <c r="F47" s="4"/>
      <c r="G47" s="4"/>
      <c r="H47" s="4"/>
      <c r="I47" s="4"/>
      <c r="J47" s="4"/>
      <c r="K47" s="4"/>
      <c r="L47" s="4"/>
      <c r="M47" s="4"/>
      <c r="N47" s="4"/>
      <c r="O47" s="4"/>
      <c r="P47" s="4"/>
      <c r="Q47" s="4"/>
      <c r="R47" s="4"/>
      <c r="S47" s="4"/>
      <c r="T47" s="4"/>
    </row>
    <row r="48" spans="1:20" s="12" customFormat="1" x14ac:dyDescent="0.2">
      <c r="A48" s="4"/>
      <c r="B48"/>
      <c r="C48" s="4"/>
      <c r="D48" s="4"/>
      <c r="E48" s="4"/>
      <c r="F48" s="4"/>
      <c r="G48" s="4"/>
      <c r="H48" s="4"/>
      <c r="I48" s="4"/>
      <c r="J48" s="4"/>
      <c r="K48" s="4"/>
      <c r="L48" s="4"/>
      <c r="M48" s="4"/>
      <c r="N48" s="4"/>
      <c r="O48" s="4"/>
      <c r="P48" s="4"/>
      <c r="Q48" s="4"/>
      <c r="R48" s="4"/>
      <c r="S48" s="4"/>
      <c r="T48" s="4"/>
    </row>
    <row r="49" spans="1:20" s="12" customFormat="1" x14ac:dyDescent="0.2">
      <c r="A49" s="4"/>
      <c r="B49" s="4"/>
      <c r="C49" s="4"/>
      <c r="D49" s="4"/>
      <c r="E49" s="4"/>
      <c r="F49" s="4"/>
      <c r="G49" s="4"/>
      <c r="H49" s="4"/>
      <c r="I49" s="4"/>
      <c r="J49" s="4"/>
      <c r="K49" s="4"/>
      <c r="L49" s="4"/>
      <c r="M49" s="4"/>
      <c r="N49" s="4"/>
      <c r="O49" s="4"/>
      <c r="P49" s="4"/>
      <c r="Q49" s="4"/>
      <c r="R49" s="4"/>
      <c r="S49" s="4"/>
      <c r="T49" s="4"/>
    </row>
    <row r="50" spans="1:20" s="12" customFormat="1" x14ac:dyDescent="0.2">
      <c r="A50" s="4"/>
      <c r="B50" s="4"/>
      <c r="C50" s="4"/>
      <c r="D50" s="4"/>
      <c r="E50" s="4"/>
      <c r="F50" s="4"/>
      <c r="G50" s="4"/>
      <c r="H50" s="4"/>
      <c r="I50" s="4"/>
      <c r="J50" s="4"/>
      <c r="K50" s="4"/>
      <c r="L50" s="4"/>
      <c r="M50" s="4"/>
      <c r="N50" s="4"/>
      <c r="O50" s="4"/>
      <c r="P50" s="4"/>
      <c r="Q50" s="4"/>
      <c r="R50" s="4"/>
      <c r="S50" s="4"/>
      <c r="T50" s="4"/>
    </row>
    <row r="51" spans="1:20" s="12" customFormat="1" x14ac:dyDescent="0.2">
      <c r="A51" s="4"/>
      <c r="B51" s="4"/>
      <c r="C51" s="4"/>
      <c r="D51" s="4"/>
      <c r="E51" s="4"/>
      <c r="F51" s="4"/>
      <c r="G51" s="4"/>
      <c r="H51" s="4"/>
      <c r="I51" s="4"/>
      <c r="J51" s="4"/>
      <c r="K51" s="4"/>
      <c r="L51" s="4"/>
      <c r="M51" s="4"/>
      <c r="N51" s="4"/>
      <c r="O51" s="4"/>
      <c r="P51" s="4"/>
      <c r="Q51" s="4"/>
      <c r="R51" s="4"/>
      <c r="S51" s="4"/>
      <c r="T51" s="4"/>
    </row>
    <row r="52" spans="1:20" s="12" customFormat="1" x14ac:dyDescent="0.2">
      <c r="A52" s="4"/>
      <c r="B52" s="4"/>
      <c r="C52" s="4"/>
      <c r="D52" s="4"/>
      <c r="E52" s="4"/>
      <c r="F52" s="4"/>
      <c r="G52" s="4"/>
      <c r="H52" s="4"/>
      <c r="I52" s="4"/>
      <c r="J52" s="4"/>
      <c r="K52" s="4"/>
      <c r="L52" s="4"/>
      <c r="M52" s="4"/>
      <c r="N52" s="4"/>
      <c r="O52" s="4"/>
      <c r="P52" s="4"/>
      <c r="Q52" s="4"/>
      <c r="R52" s="4"/>
      <c r="S52" s="4"/>
      <c r="T52" s="4"/>
    </row>
    <row r="53" spans="1:20" s="12" customFormat="1" x14ac:dyDescent="0.2">
      <c r="A53" s="4"/>
      <c r="B53" s="4"/>
      <c r="C53" s="4"/>
      <c r="D53" s="4"/>
      <c r="E53" s="4"/>
      <c r="F53" s="4"/>
      <c r="G53" s="4"/>
      <c r="H53" s="4"/>
      <c r="I53" s="4"/>
      <c r="J53" s="4"/>
      <c r="K53" s="4"/>
      <c r="L53" s="4"/>
      <c r="M53" s="4"/>
      <c r="N53" s="4"/>
      <c r="O53" s="4"/>
      <c r="P53" s="4"/>
      <c r="Q53" s="4"/>
      <c r="R53" s="4"/>
      <c r="S53" s="4"/>
      <c r="T53" s="4"/>
    </row>
    <row r="54" spans="1:20" s="12" customFormat="1" x14ac:dyDescent="0.2">
      <c r="A54" s="4"/>
      <c r="B54" s="4"/>
      <c r="C54" s="4"/>
      <c r="D54" s="4"/>
      <c r="E54" s="4"/>
      <c r="F54" s="4"/>
      <c r="G54" s="4"/>
      <c r="H54" s="4"/>
      <c r="I54" s="4"/>
      <c r="J54" s="4"/>
      <c r="K54" s="4"/>
      <c r="L54" s="4"/>
      <c r="M54" s="4"/>
      <c r="N54" s="4"/>
      <c r="O54" s="4"/>
      <c r="P54" s="4"/>
      <c r="Q54" s="4"/>
      <c r="R54" s="4"/>
      <c r="S54" s="4"/>
      <c r="T54" s="4"/>
    </row>
    <row r="55" spans="1:20" s="12" customFormat="1" x14ac:dyDescent="0.2">
      <c r="A55" s="4"/>
      <c r="B55" s="4"/>
      <c r="C55" s="4"/>
      <c r="D55" s="4"/>
      <c r="E55" s="4"/>
      <c r="F55" s="4"/>
      <c r="G55" s="4"/>
      <c r="H55" s="4"/>
      <c r="I55" s="4"/>
      <c r="J55" s="4"/>
      <c r="K55" s="4"/>
      <c r="L55" s="4"/>
      <c r="M55" s="4"/>
      <c r="N55" s="4"/>
      <c r="O55" s="4"/>
      <c r="P55" s="4"/>
      <c r="Q55" s="4"/>
      <c r="R55" s="4"/>
      <c r="S55" s="4"/>
      <c r="T55" s="4"/>
    </row>
    <row r="56" spans="1:20" s="12" customFormat="1" x14ac:dyDescent="0.2">
      <c r="A56" s="4"/>
      <c r="B56" s="4"/>
      <c r="C56" s="4"/>
      <c r="D56" s="4"/>
      <c r="E56" s="4"/>
      <c r="F56" s="4"/>
      <c r="G56" s="4"/>
      <c r="H56" s="4"/>
      <c r="I56" s="4"/>
      <c r="J56" s="4"/>
      <c r="K56" s="4"/>
      <c r="L56" s="4"/>
      <c r="M56" s="4"/>
      <c r="N56" s="4"/>
      <c r="O56" s="4"/>
      <c r="P56" s="4"/>
      <c r="Q56" s="4"/>
      <c r="R56" s="4"/>
      <c r="S56" s="4"/>
      <c r="T56" s="4"/>
    </row>
    <row r="57" spans="1:20" s="12" customFormat="1" x14ac:dyDescent="0.2">
      <c r="A57" s="4"/>
      <c r="B57" s="4"/>
      <c r="C57" s="4"/>
      <c r="D57" s="4"/>
      <c r="E57" s="4"/>
      <c r="F57" s="4"/>
      <c r="G57" s="4"/>
      <c r="H57" s="4"/>
      <c r="I57" s="4"/>
      <c r="J57" s="4"/>
      <c r="K57" s="4"/>
      <c r="L57" s="4"/>
      <c r="M57" s="4"/>
      <c r="N57" s="4"/>
      <c r="O57" s="4"/>
      <c r="P57" s="4"/>
      <c r="Q57" s="4"/>
      <c r="R57" s="4"/>
      <c r="S57" s="4"/>
      <c r="T57" s="4"/>
    </row>
    <row r="58" spans="1:20" s="12" customFormat="1" x14ac:dyDescent="0.2">
      <c r="A58" s="4"/>
      <c r="B58" s="4"/>
      <c r="C58" s="4"/>
      <c r="D58" s="4"/>
      <c r="E58" s="4"/>
      <c r="F58" s="4"/>
      <c r="G58" s="4"/>
      <c r="H58" s="4"/>
      <c r="I58" s="4"/>
      <c r="J58" s="4"/>
      <c r="K58" s="4"/>
      <c r="L58" s="4"/>
      <c r="M58" s="4"/>
      <c r="N58" s="4"/>
      <c r="O58" s="4"/>
      <c r="P58" s="4"/>
      <c r="Q58" s="4"/>
      <c r="R58" s="4"/>
      <c r="S58" s="4"/>
      <c r="T58" s="4"/>
    </row>
    <row r="59" spans="1:20" s="12" customFormat="1" x14ac:dyDescent="0.2">
      <c r="A59" s="4"/>
      <c r="B59" s="4"/>
      <c r="C59" s="4"/>
      <c r="D59" s="4"/>
      <c r="E59" s="4"/>
      <c r="F59" s="4"/>
      <c r="G59" s="4"/>
      <c r="H59" s="4"/>
      <c r="I59" s="4"/>
      <c r="J59" s="4"/>
      <c r="K59" s="4"/>
      <c r="L59" s="4"/>
      <c r="M59" s="4"/>
      <c r="N59" s="4"/>
      <c r="O59" s="4"/>
      <c r="P59" s="4"/>
      <c r="Q59" s="4"/>
      <c r="R59" s="4"/>
      <c r="S59" s="4"/>
      <c r="T59" s="4"/>
    </row>
    <row r="60" spans="1:20" s="12" customFormat="1" x14ac:dyDescent="0.2">
      <c r="A60" s="4"/>
      <c r="B60" s="4"/>
      <c r="C60" s="4"/>
      <c r="D60" s="4"/>
      <c r="E60" s="4"/>
      <c r="F60" s="4"/>
      <c r="G60" s="4"/>
      <c r="H60" s="4"/>
      <c r="I60" s="4"/>
      <c r="J60" s="4"/>
      <c r="K60" s="4"/>
      <c r="L60" s="4"/>
      <c r="M60" s="4"/>
      <c r="N60" s="4"/>
      <c r="O60" s="4"/>
      <c r="P60" s="4"/>
      <c r="Q60" s="4"/>
      <c r="R60" s="4"/>
      <c r="S60" s="4"/>
      <c r="T60" s="4"/>
    </row>
    <row r="61" spans="1:20" s="12" customFormat="1" x14ac:dyDescent="0.2">
      <c r="A61" s="4"/>
      <c r="B61" s="4"/>
      <c r="C61" s="4"/>
      <c r="D61" s="4"/>
      <c r="E61" s="4"/>
      <c r="F61" s="4"/>
      <c r="G61" s="4"/>
      <c r="H61" s="4"/>
      <c r="I61" s="4"/>
      <c r="J61" s="4"/>
      <c r="K61" s="4"/>
      <c r="L61" s="4"/>
      <c r="M61" s="4"/>
      <c r="N61" s="4"/>
      <c r="O61" s="4"/>
      <c r="P61" s="4"/>
      <c r="Q61" s="4"/>
      <c r="R61" s="4"/>
      <c r="S61" s="4"/>
      <c r="T61" s="4"/>
    </row>
    <row r="62" spans="1:20" s="12" customFormat="1" x14ac:dyDescent="0.2">
      <c r="A62" s="4"/>
      <c r="B62" s="4"/>
      <c r="C62" s="4"/>
      <c r="D62" s="4"/>
      <c r="E62" s="4"/>
      <c r="F62" s="4"/>
      <c r="G62" s="4"/>
      <c r="H62" s="4"/>
      <c r="I62" s="4"/>
      <c r="J62" s="4"/>
      <c r="K62" s="4"/>
      <c r="L62" s="4"/>
      <c r="M62" s="4"/>
      <c r="N62" s="4"/>
      <c r="O62" s="4"/>
      <c r="P62" s="4"/>
      <c r="Q62" s="4"/>
      <c r="R62" s="4"/>
      <c r="S62" s="4"/>
      <c r="T62" s="4"/>
    </row>
    <row r="63" spans="1:20" s="12" customFormat="1" x14ac:dyDescent="0.2">
      <c r="A63" s="4"/>
      <c r="B63" s="4"/>
      <c r="C63" s="4"/>
      <c r="D63" s="4"/>
      <c r="E63" s="4"/>
      <c r="F63" s="4"/>
      <c r="G63" s="4"/>
      <c r="H63" s="4"/>
      <c r="I63" s="4"/>
      <c r="J63" s="4"/>
      <c r="K63" s="4"/>
      <c r="L63" s="4"/>
      <c r="M63" s="4"/>
      <c r="N63" s="4"/>
      <c r="O63" s="4"/>
      <c r="P63" s="4"/>
      <c r="Q63" s="4"/>
      <c r="R63" s="4"/>
      <c r="S63" s="4"/>
      <c r="T63" s="4"/>
    </row>
    <row r="64" spans="1:20" s="12" customFormat="1" x14ac:dyDescent="0.2">
      <c r="A64" s="4"/>
      <c r="B64" s="4"/>
      <c r="C64" s="4"/>
      <c r="D64" s="4"/>
      <c r="E64" s="4"/>
      <c r="F64" s="4"/>
      <c r="G64" s="4"/>
      <c r="H64" s="4"/>
      <c r="I64" s="4"/>
      <c r="J64" s="4"/>
      <c r="K64" s="4"/>
      <c r="L64" s="4"/>
      <c r="M64" s="4"/>
      <c r="N64" s="4"/>
      <c r="O64" s="4"/>
      <c r="P64" s="4"/>
      <c r="Q64" s="4"/>
      <c r="R64" s="4"/>
      <c r="S64" s="4"/>
      <c r="T64" s="4"/>
    </row>
    <row r="65" spans="1:20" s="12" customFormat="1" x14ac:dyDescent="0.2">
      <c r="A65" s="4"/>
      <c r="B65" s="4"/>
      <c r="C65" s="4"/>
      <c r="D65" s="4"/>
      <c r="E65" s="4"/>
      <c r="F65" s="4"/>
      <c r="G65" s="4"/>
      <c r="H65" s="4"/>
      <c r="I65" s="4"/>
      <c r="J65" s="4"/>
      <c r="K65" s="4"/>
      <c r="L65" s="4"/>
      <c r="M65" s="4"/>
      <c r="N65" s="4"/>
      <c r="O65" s="4"/>
      <c r="P65" s="4"/>
      <c r="Q65" s="4"/>
      <c r="R65" s="4"/>
      <c r="S65" s="4"/>
      <c r="T65" s="4"/>
    </row>
    <row r="66" spans="1:20" s="12" customFormat="1" x14ac:dyDescent="0.2">
      <c r="A66" s="4"/>
      <c r="B66" s="4"/>
      <c r="C66" s="4"/>
      <c r="D66" s="4"/>
      <c r="E66" s="4"/>
      <c r="F66" s="4"/>
      <c r="G66" s="4"/>
      <c r="H66" s="4"/>
      <c r="I66" s="4"/>
      <c r="J66" s="4"/>
      <c r="K66" s="4"/>
      <c r="L66" s="4"/>
      <c r="M66" s="4"/>
      <c r="N66" s="4"/>
      <c r="O66" s="4"/>
      <c r="P66" s="4"/>
      <c r="Q66" s="4"/>
      <c r="R66" s="4"/>
      <c r="S66" s="4"/>
      <c r="T66" s="4"/>
    </row>
    <row r="67" spans="1:20" s="12" customFormat="1" x14ac:dyDescent="0.2">
      <c r="A67" s="4"/>
      <c r="B67" s="4"/>
      <c r="C67" s="4"/>
      <c r="D67" s="4"/>
      <c r="E67" s="4"/>
      <c r="F67" s="4"/>
      <c r="G67" s="4"/>
      <c r="H67" s="4"/>
      <c r="I67" s="4"/>
      <c r="J67" s="4"/>
      <c r="K67" s="4"/>
      <c r="L67" s="4"/>
      <c r="M67" s="4"/>
      <c r="N67" s="4"/>
      <c r="O67" s="4"/>
      <c r="P67" s="4"/>
      <c r="Q67" s="4"/>
      <c r="R67" s="4"/>
      <c r="S67" s="4"/>
      <c r="T67" s="4"/>
    </row>
    <row r="68" spans="1:20" s="12" customFormat="1" x14ac:dyDescent="0.2">
      <c r="A68" s="4"/>
      <c r="B68" s="4"/>
      <c r="C68" s="4"/>
      <c r="D68" s="4"/>
      <c r="E68" s="4"/>
      <c r="F68" s="4"/>
      <c r="G68" s="4"/>
      <c r="H68" s="4"/>
      <c r="I68" s="4"/>
      <c r="J68" s="4"/>
      <c r="K68" s="4"/>
      <c r="L68" s="4"/>
      <c r="M68" s="4"/>
      <c r="N68" s="4"/>
      <c r="O68" s="4"/>
      <c r="P68" s="4"/>
      <c r="Q68" s="4"/>
      <c r="R68" s="4"/>
      <c r="S68" s="4"/>
      <c r="T68" s="4"/>
    </row>
    <row r="69" spans="1:20" s="12" customFormat="1" x14ac:dyDescent="0.2">
      <c r="A69" s="4"/>
      <c r="B69" s="4"/>
      <c r="C69" s="4"/>
      <c r="D69" s="4"/>
      <c r="E69" s="4"/>
      <c r="F69" s="4"/>
      <c r="G69" s="4"/>
      <c r="H69" s="4"/>
      <c r="I69" s="4"/>
      <c r="J69" s="4"/>
      <c r="K69" s="4"/>
      <c r="L69" s="4"/>
      <c r="M69" s="4"/>
      <c r="N69" s="4"/>
      <c r="O69" s="4"/>
      <c r="P69" s="4"/>
      <c r="Q69" s="4"/>
      <c r="R69" s="4"/>
      <c r="S69" s="4"/>
      <c r="T69" s="4"/>
    </row>
    <row r="70" spans="1:20" s="12" customFormat="1" x14ac:dyDescent="0.2">
      <c r="A70" s="4"/>
      <c r="B70" s="4"/>
      <c r="C70" s="4"/>
      <c r="D70" s="4"/>
      <c r="E70" s="4"/>
      <c r="F70" s="4"/>
      <c r="G70" s="4"/>
      <c r="H70" s="4"/>
      <c r="I70" s="4"/>
      <c r="J70" s="4"/>
      <c r="K70" s="4"/>
      <c r="L70" s="4"/>
      <c r="M70" s="4"/>
      <c r="N70" s="4"/>
      <c r="O70" s="4"/>
      <c r="P70" s="4"/>
      <c r="Q70" s="4"/>
      <c r="R70" s="4"/>
      <c r="S70" s="4"/>
      <c r="T70" s="4"/>
    </row>
    <row r="71" spans="1:20" s="12" customFormat="1" x14ac:dyDescent="0.2">
      <c r="A71" s="4"/>
      <c r="B71" s="4"/>
      <c r="C71" s="4"/>
      <c r="D71" s="4"/>
      <c r="E71" s="4"/>
      <c r="F71" s="4"/>
      <c r="G71" s="4"/>
      <c r="H71" s="4"/>
      <c r="I71" s="4"/>
      <c r="J71" s="4"/>
      <c r="K71" s="4"/>
      <c r="L71" s="4"/>
      <c r="M71" s="4"/>
      <c r="N71" s="4"/>
      <c r="O71" s="4"/>
      <c r="P71" s="4"/>
      <c r="Q71" s="4"/>
      <c r="R71" s="4"/>
      <c r="S71" s="4"/>
      <c r="T71" s="4"/>
    </row>
    <row r="72" spans="1:20" s="12" customFormat="1" x14ac:dyDescent="0.2">
      <c r="A72" s="4"/>
      <c r="B72" s="4"/>
      <c r="C72" s="4"/>
      <c r="D72" s="4"/>
      <c r="E72" s="4"/>
      <c r="F72" s="4"/>
      <c r="G72" s="4"/>
      <c r="H72" s="4"/>
      <c r="I72" s="4"/>
      <c r="J72" s="4"/>
      <c r="K72" s="4"/>
      <c r="L72" s="4"/>
      <c r="M72" s="4"/>
      <c r="N72" s="4"/>
      <c r="O72" s="4"/>
      <c r="P72" s="4"/>
      <c r="Q72" s="4"/>
      <c r="R72" s="4"/>
      <c r="S72" s="4"/>
      <c r="T72" s="4"/>
    </row>
    <row r="73" spans="1:20" s="12" customFormat="1" x14ac:dyDescent="0.2">
      <c r="A73" s="4"/>
      <c r="B73" s="4"/>
      <c r="C73" s="4"/>
      <c r="D73" s="4"/>
      <c r="E73" s="4"/>
      <c r="F73" s="4"/>
      <c r="G73" s="4"/>
      <c r="H73" s="4"/>
      <c r="I73" s="4"/>
      <c r="J73" s="4"/>
      <c r="K73" s="4"/>
      <c r="L73" s="4"/>
      <c r="M73" s="4"/>
      <c r="N73" s="4"/>
      <c r="O73" s="4"/>
      <c r="P73" s="4"/>
      <c r="Q73" s="4"/>
      <c r="R73" s="4"/>
      <c r="S73" s="4"/>
      <c r="T73" s="4"/>
    </row>
    <row r="74" spans="1:20" s="12" customFormat="1" x14ac:dyDescent="0.2">
      <c r="A74" s="4"/>
      <c r="B74" s="4"/>
      <c r="C74" s="4"/>
      <c r="D74" s="4"/>
      <c r="E74" s="4"/>
      <c r="F74" s="4"/>
      <c r="G74" s="4"/>
      <c r="H74" s="4"/>
      <c r="I74" s="4"/>
      <c r="J74" s="4"/>
      <c r="K74" s="4"/>
      <c r="L74" s="4"/>
      <c r="M74" s="4"/>
      <c r="N74" s="4"/>
      <c r="O74" s="4"/>
      <c r="P74" s="4"/>
      <c r="Q74" s="4"/>
      <c r="R74" s="4"/>
      <c r="S74" s="4"/>
      <c r="T74" s="4"/>
    </row>
    <row r="75" spans="1:20" s="12" customFormat="1" x14ac:dyDescent="0.2">
      <c r="A75" s="4"/>
      <c r="B75" s="4"/>
      <c r="C75" s="4"/>
      <c r="D75" s="4"/>
      <c r="E75" s="4"/>
      <c r="F75" s="4"/>
      <c r="G75" s="4"/>
      <c r="H75" s="4"/>
      <c r="I75" s="4"/>
      <c r="J75" s="4"/>
      <c r="K75" s="4"/>
      <c r="L75" s="4"/>
      <c r="M75" s="4"/>
      <c r="N75" s="4"/>
      <c r="O75" s="4"/>
      <c r="P75" s="4"/>
      <c r="Q75" s="4"/>
      <c r="R75" s="4"/>
      <c r="S75" s="4"/>
      <c r="T75" s="4"/>
    </row>
    <row r="76" spans="1:20" s="12" customFormat="1" x14ac:dyDescent="0.2">
      <c r="A76" s="4"/>
      <c r="B76" s="4"/>
      <c r="C76" s="4"/>
      <c r="D76" s="4"/>
      <c r="E76" s="4"/>
      <c r="F76" s="4"/>
      <c r="G76" s="4"/>
      <c r="H76" s="4"/>
      <c r="I76" s="4"/>
      <c r="J76" s="4"/>
      <c r="K76" s="4"/>
      <c r="L76" s="4"/>
      <c r="M76" s="4"/>
      <c r="N76" s="4"/>
      <c r="O76" s="4"/>
      <c r="P76" s="4"/>
      <c r="Q76" s="4"/>
      <c r="R76" s="4"/>
      <c r="S76" s="4"/>
      <c r="T76" s="4"/>
    </row>
    <row r="77" spans="1:20" s="12" customFormat="1" x14ac:dyDescent="0.2">
      <c r="A77" s="4"/>
      <c r="B77" s="4"/>
      <c r="C77" s="4"/>
      <c r="D77" s="4"/>
      <c r="E77" s="4"/>
      <c r="F77" s="4"/>
      <c r="G77" s="4"/>
      <c r="H77" s="4"/>
      <c r="I77" s="4"/>
      <c r="J77" s="4"/>
      <c r="K77" s="4"/>
      <c r="L77" s="4"/>
      <c r="M77" s="4"/>
      <c r="N77" s="4"/>
      <c r="O77" s="4"/>
      <c r="P77" s="4"/>
      <c r="Q77" s="4"/>
      <c r="R77" s="4"/>
      <c r="S77" s="4"/>
      <c r="T77" s="4"/>
    </row>
    <row r="78" spans="1:20" s="12" customFormat="1" x14ac:dyDescent="0.2">
      <c r="A78" s="4"/>
      <c r="B78" s="4"/>
      <c r="C78" s="4"/>
      <c r="D78" s="4"/>
      <c r="E78" s="4"/>
      <c r="F78" s="4"/>
      <c r="G78" s="4"/>
      <c r="H78" s="4"/>
      <c r="I78" s="4"/>
      <c r="J78" s="4"/>
      <c r="K78" s="4"/>
      <c r="L78" s="4"/>
      <c r="M78" s="4"/>
      <c r="N78" s="4"/>
      <c r="O78" s="4"/>
      <c r="P78" s="4"/>
      <c r="Q78" s="4"/>
      <c r="R78" s="4"/>
      <c r="S78" s="4"/>
      <c r="T78" s="4"/>
    </row>
    <row r="79" spans="1:20" s="12" customFormat="1" x14ac:dyDescent="0.2">
      <c r="A79" s="4"/>
      <c r="B79" s="4"/>
      <c r="C79" s="4"/>
      <c r="D79" s="4"/>
      <c r="E79" s="4"/>
      <c r="F79" s="4"/>
      <c r="G79" s="4"/>
      <c r="H79" s="4"/>
      <c r="I79" s="4"/>
      <c r="J79" s="4"/>
      <c r="K79" s="4"/>
      <c r="L79" s="4"/>
      <c r="M79" s="4"/>
      <c r="N79" s="4"/>
      <c r="O79" s="4"/>
      <c r="P79" s="4"/>
      <c r="Q79" s="4"/>
      <c r="R79" s="4"/>
      <c r="S79" s="4"/>
      <c r="T79" s="4"/>
    </row>
    <row r="80" spans="1:20" s="12" customFormat="1" x14ac:dyDescent="0.2">
      <c r="A80" s="4"/>
      <c r="B80" s="4"/>
      <c r="C80" s="4"/>
      <c r="D80" s="4"/>
      <c r="E80" s="4"/>
      <c r="F80" s="4"/>
      <c r="G80" s="4"/>
      <c r="H80" s="4"/>
      <c r="I80" s="4"/>
      <c r="J80" s="4"/>
      <c r="K80" s="4"/>
      <c r="L80" s="4"/>
      <c r="M80" s="4"/>
      <c r="N80" s="4"/>
      <c r="O80" s="4"/>
      <c r="P80" s="4"/>
      <c r="Q80" s="4"/>
      <c r="R80" s="4"/>
      <c r="S80" s="4"/>
      <c r="T80" s="4"/>
    </row>
    <row r="81" spans="1:20" s="12" customFormat="1" x14ac:dyDescent="0.2">
      <c r="A81" s="4"/>
      <c r="B81" s="4"/>
      <c r="C81" s="4"/>
      <c r="D81" s="4"/>
      <c r="E81" s="4"/>
      <c r="F81" s="4"/>
      <c r="G81" s="4"/>
      <c r="H81" s="4"/>
      <c r="I81" s="4"/>
      <c r="J81" s="4"/>
      <c r="K81" s="4"/>
      <c r="L81" s="4"/>
      <c r="M81" s="4"/>
      <c r="N81" s="4"/>
      <c r="O81" s="4"/>
      <c r="P81" s="4"/>
      <c r="Q81" s="4"/>
      <c r="R81" s="4"/>
      <c r="S81" s="4"/>
      <c r="T81" s="4"/>
    </row>
    <row r="82" spans="1:20" s="12" customFormat="1" x14ac:dyDescent="0.2">
      <c r="A82" s="4"/>
      <c r="B82" s="4"/>
      <c r="C82" s="4"/>
      <c r="D82" s="4"/>
      <c r="E82" s="4"/>
      <c r="F82" s="4"/>
      <c r="G82" s="4"/>
      <c r="H82" s="4"/>
      <c r="I82" s="4"/>
      <c r="J82" s="4"/>
      <c r="K82" s="4"/>
      <c r="L82" s="4"/>
      <c r="M82" s="4"/>
      <c r="N82" s="4"/>
      <c r="O82" s="4"/>
      <c r="P82" s="4"/>
      <c r="Q82" s="4"/>
      <c r="R82" s="4"/>
      <c r="S82" s="4"/>
      <c r="T82" s="4"/>
    </row>
    <row r="83" spans="1:20" s="12" customFormat="1" x14ac:dyDescent="0.2">
      <c r="A83" s="4"/>
      <c r="B83" s="4"/>
      <c r="C83" s="4"/>
      <c r="D83" s="4"/>
      <c r="E83" s="4"/>
      <c r="F83" s="4"/>
      <c r="G83" s="4"/>
      <c r="H83" s="4"/>
      <c r="I83" s="4"/>
      <c r="J83" s="4"/>
      <c r="K83" s="4"/>
      <c r="L83" s="4"/>
      <c r="M83" s="4"/>
      <c r="N83" s="4"/>
      <c r="O83" s="4"/>
      <c r="P83" s="4"/>
      <c r="Q83" s="4"/>
      <c r="R83" s="4"/>
      <c r="S83" s="4"/>
      <c r="T83" s="4"/>
    </row>
    <row r="84" spans="1:20" s="12" customFormat="1" x14ac:dyDescent="0.2">
      <c r="A84" s="4"/>
      <c r="B84" s="4"/>
      <c r="C84" s="4"/>
      <c r="D84" s="4"/>
      <c r="E84" s="4"/>
      <c r="F84" s="4"/>
      <c r="G84" s="4"/>
      <c r="H84" s="4"/>
      <c r="I84" s="4"/>
      <c r="J84" s="4"/>
      <c r="K84" s="4"/>
      <c r="L84" s="4"/>
      <c r="M84" s="4"/>
      <c r="N84" s="4"/>
      <c r="O84" s="4"/>
      <c r="P84" s="4"/>
      <c r="Q84" s="4"/>
      <c r="R84" s="4"/>
      <c r="S84" s="4"/>
      <c r="T84" s="4"/>
    </row>
    <row r="85" spans="1:20" s="12" customFormat="1" x14ac:dyDescent="0.2">
      <c r="A85" s="4"/>
      <c r="B85" s="4"/>
      <c r="C85" s="4"/>
      <c r="D85" s="4"/>
      <c r="E85" s="4"/>
      <c r="F85" s="4"/>
      <c r="G85" s="4"/>
      <c r="H85" s="4"/>
      <c r="I85" s="4"/>
      <c r="J85" s="4"/>
      <c r="K85" s="4"/>
      <c r="L85" s="4"/>
      <c r="M85" s="4"/>
      <c r="N85" s="4"/>
      <c r="O85" s="4"/>
      <c r="P85" s="4"/>
      <c r="Q85" s="4"/>
      <c r="R85" s="4"/>
      <c r="S85" s="4"/>
      <c r="T85" s="4"/>
    </row>
    <row r="86" spans="1:20" s="12" customFormat="1" x14ac:dyDescent="0.2">
      <c r="A86" s="4"/>
      <c r="B86" s="4"/>
      <c r="C86" s="4"/>
      <c r="D86" s="4"/>
      <c r="E86" s="4"/>
      <c r="F86" s="4"/>
      <c r="G86" s="4"/>
      <c r="H86" s="4"/>
      <c r="I86" s="4"/>
      <c r="J86" s="4"/>
      <c r="K86" s="4"/>
      <c r="L86" s="4"/>
      <c r="M86" s="4"/>
      <c r="N86" s="4"/>
      <c r="O86" s="4"/>
      <c r="P86" s="4"/>
      <c r="Q86" s="4"/>
      <c r="R86" s="4"/>
      <c r="S86" s="4"/>
      <c r="T86" s="4"/>
    </row>
    <row r="87" spans="1:20" s="12" customFormat="1" x14ac:dyDescent="0.2">
      <c r="A87" s="4"/>
      <c r="B87" s="4"/>
      <c r="C87" s="4"/>
      <c r="D87" s="4"/>
      <c r="E87" s="4"/>
      <c r="F87" s="4"/>
      <c r="G87" s="4"/>
      <c r="H87" s="4"/>
      <c r="I87" s="4"/>
      <c r="J87" s="4"/>
      <c r="K87" s="4"/>
      <c r="L87" s="4"/>
      <c r="M87" s="4"/>
      <c r="N87" s="4"/>
      <c r="O87" s="4"/>
      <c r="P87" s="4"/>
      <c r="Q87" s="4"/>
      <c r="R87" s="4"/>
      <c r="S87" s="4"/>
      <c r="T87" s="4"/>
    </row>
    <row r="88" spans="1:20" s="12" customFormat="1" x14ac:dyDescent="0.2">
      <c r="A88" s="4"/>
      <c r="B88" s="4"/>
      <c r="C88" s="4"/>
      <c r="D88" s="4"/>
      <c r="E88" s="4"/>
      <c r="F88" s="4"/>
      <c r="G88" s="4"/>
      <c r="H88" s="4"/>
      <c r="I88" s="4"/>
      <c r="J88" s="4"/>
      <c r="K88" s="4"/>
      <c r="L88" s="4"/>
      <c r="M88" s="4"/>
      <c r="N88" s="4"/>
      <c r="O88" s="4"/>
      <c r="P88" s="4"/>
      <c r="Q88" s="4"/>
      <c r="R88" s="4"/>
      <c r="S88" s="4"/>
      <c r="T88" s="4"/>
    </row>
    <row r="89" spans="1:20" s="12" customFormat="1" x14ac:dyDescent="0.2">
      <c r="A89" s="4"/>
      <c r="B89" s="4"/>
      <c r="C89" s="4"/>
      <c r="D89" s="4"/>
      <c r="E89" s="4"/>
      <c r="F89" s="4"/>
      <c r="G89" s="4"/>
      <c r="H89" s="4"/>
      <c r="I89" s="4"/>
      <c r="J89" s="4"/>
      <c r="K89" s="4"/>
      <c r="L89" s="4"/>
      <c r="M89" s="4"/>
      <c r="N89" s="4"/>
      <c r="O89" s="4"/>
      <c r="P89" s="4"/>
      <c r="Q89" s="4"/>
      <c r="R89" s="4"/>
      <c r="S89" s="4"/>
      <c r="T89" s="4"/>
    </row>
    <row r="90" spans="1:20" s="12" customFormat="1" x14ac:dyDescent="0.2">
      <c r="A90" s="4"/>
      <c r="B90" s="4"/>
      <c r="C90" s="4"/>
      <c r="D90" s="4"/>
      <c r="E90" s="4"/>
      <c r="F90" s="4"/>
      <c r="G90" s="4"/>
      <c r="H90" s="4"/>
      <c r="I90" s="4"/>
      <c r="J90" s="4"/>
      <c r="K90" s="4"/>
      <c r="L90" s="4"/>
      <c r="M90" s="4"/>
      <c r="N90" s="4"/>
      <c r="O90" s="4"/>
      <c r="P90" s="4"/>
      <c r="Q90" s="4"/>
      <c r="R90" s="4"/>
      <c r="S90" s="4"/>
      <c r="T90" s="4"/>
    </row>
    <row r="91" spans="1:20" s="12" customFormat="1" x14ac:dyDescent="0.2">
      <c r="A91" s="4"/>
      <c r="B91" s="4"/>
      <c r="C91" s="4"/>
      <c r="D91" s="4"/>
      <c r="E91" s="4"/>
      <c r="F91" s="4"/>
      <c r="G91" s="4"/>
      <c r="H91" s="4"/>
      <c r="I91" s="4"/>
      <c r="J91" s="4"/>
      <c r="K91" s="4"/>
      <c r="L91" s="4"/>
      <c r="M91" s="4"/>
      <c r="N91" s="4"/>
      <c r="O91" s="4"/>
      <c r="P91" s="4"/>
      <c r="Q91" s="4"/>
      <c r="R91" s="4"/>
      <c r="S91" s="4"/>
      <c r="T91" s="4"/>
    </row>
    <row r="92" spans="1:20" s="12" customFormat="1" x14ac:dyDescent="0.2">
      <c r="A92" s="4"/>
      <c r="B92" s="4"/>
      <c r="C92" s="4"/>
      <c r="D92" s="4"/>
      <c r="E92" s="4"/>
      <c r="F92" s="4"/>
      <c r="G92" s="4"/>
      <c r="H92" s="4"/>
      <c r="I92" s="4"/>
      <c r="J92" s="4"/>
      <c r="K92" s="4"/>
      <c r="L92" s="4"/>
      <c r="M92" s="4"/>
      <c r="N92" s="4"/>
      <c r="O92" s="4"/>
      <c r="P92" s="4"/>
      <c r="Q92" s="4"/>
      <c r="R92" s="4"/>
      <c r="S92" s="4"/>
      <c r="T92" s="4"/>
    </row>
    <row r="93" spans="1:20" s="12" customFormat="1" x14ac:dyDescent="0.2">
      <c r="A93" s="4"/>
      <c r="B93" s="4"/>
      <c r="C93" s="4"/>
      <c r="D93" s="4"/>
      <c r="E93" s="4"/>
      <c r="F93" s="4"/>
      <c r="G93" s="4"/>
      <c r="H93" s="4"/>
      <c r="I93" s="4"/>
      <c r="J93" s="4"/>
      <c r="K93" s="4"/>
      <c r="L93" s="4"/>
      <c r="M93" s="4"/>
      <c r="N93" s="4"/>
      <c r="O93" s="4"/>
      <c r="P93" s="4"/>
      <c r="Q93" s="4"/>
      <c r="R93" s="4"/>
      <c r="S93" s="4"/>
      <c r="T93" s="4"/>
    </row>
    <row r="94" spans="1:20" s="12" customFormat="1" x14ac:dyDescent="0.2">
      <c r="A94" s="4"/>
      <c r="B94" s="4"/>
      <c r="C94" s="4"/>
      <c r="D94" s="4"/>
      <c r="E94" s="4"/>
      <c r="F94" s="4"/>
      <c r="G94" s="4"/>
      <c r="H94" s="4"/>
      <c r="I94" s="4"/>
      <c r="J94" s="4"/>
      <c r="K94" s="4"/>
      <c r="L94" s="4"/>
      <c r="M94" s="4"/>
      <c r="N94" s="4"/>
      <c r="O94" s="4"/>
      <c r="P94" s="4"/>
      <c r="Q94" s="4"/>
      <c r="R94" s="4"/>
      <c r="S94" s="4"/>
      <c r="T94" s="4"/>
    </row>
    <row r="95" spans="1:20" s="12" customFormat="1" x14ac:dyDescent="0.2">
      <c r="A95" s="4"/>
      <c r="B95" s="4"/>
      <c r="C95" s="4"/>
      <c r="D95" s="4"/>
      <c r="E95" s="4"/>
      <c r="F95" s="4"/>
      <c r="G95" s="4"/>
      <c r="H95" s="4"/>
      <c r="I95" s="4"/>
      <c r="J95" s="4"/>
      <c r="K95" s="4"/>
      <c r="L95" s="4"/>
      <c r="M95" s="4"/>
      <c r="N95" s="4"/>
      <c r="O95" s="4"/>
      <c r="P95" s="4"/>
      <c r="Q95" s="4"/>
      <c r="R95" s="4"/>
      <c r="S95" s="4"/>
      <c r="T95" s="4"/>
    </row>
    <row r="96" spans="1:20" s="12" customFormat="1" x14ac:dyDescent="0.2">
      <c r="A96" s="4"/>
      <c r="B96" s="4"/>
      <c r="C96" s="4"/>
      <c r="D96" s="4"/>
      <c r="E96" s="4"/>
      <c r="F96" s="4"/>
      <c r="G96" s="4"/>
      <c r="H96" s="4"/>
      <c r="I96" s="4"/>
      <c r="J96" s="4"/>
      <c r="K96" s="4"/>
      <c r="L96" s="4"/>
      <c r="M96" s="4"/>
      <c r="N96" s="4"/>
      <c r="O96" s="4"/>
      <c r="P96" s="4"/>
      <c r="Q96" s="4"/>
      <c r="R96" s="4"/>
      <c r="S96" s="4"/>
      <c r="T96" s="4"/>
    </row>
    <row r="97" spans="1:20" s="12" customFormat="1" x14ac:dyDescent="0.2">
      <c r="A97" s="4"/>
      <c r="B97" s="4"/>
      <c r="C97" s="4"/>
      <c r="D97" s="4"/>
      <c r="E97" s="4"/>
      <c r="F97" s="4"/>
      <c r="G97" s="4"/>
      <c r="H97" s="4"/>
      <c r="I97" s="4"/>
      <c r="J97" s="4"/>
      <c r="K97" s="4"/>
      <c r="L97" s="4"/>
      <c r="M97" s="4"/>
      <c r="N97" s="4"/>
      <c r="O97" s="4"/>
      <c r="P97" s="4"/>
      <c r="Q97" s="4"/>
      <c r="R97" s="4"/>
      <c r="S97" s="4"/>
      <c r="T97" s="4"/>
    </row>
    <row r="98" spans="1:20" s="12" customFormat="1" x14ac:dyDescent="0.2">
      <c r="A98" s="4"/>
      <c r="B98" s="4"/>
      <c r="C98" s="4"/>
      <c r="D98" s="4"/>
      <c r="E98" s="4"/>
      <c r="F98" s="4"/>
      <c r="G98" s="4"/>
      <c r="H98" s="4"/>
      <c r="I98" s="4"/>
      <c r="J98" s="4"/>
      <c r="K98" s="4"/>
      <c r="L98" s="4"/>
      <c r="M98" s="4"/>
      <c r="N98" s="4"/>
      <c r="O98" s="4"/>
      <c r="P98" s="4"/>
      <c r="Q98" s="4"/>
      <c r="R98" s="4"/>
      <c r="S98" s="4"/>
      <c r="T98" s="4"/>
    </row>
    <row r="99" spans="1:20" s="12" customFormat="1" x14ac:dyDescent="0.2">
      <c r="A99" s="4"/>
      <c r="B99" s="4"/>
      <c r="C99" s="4"/>
      <c r="D99" s="4"/>
      <c r="E99" s="4"/>
      <c r="F99" s="4"/>
      <c r="G99" s="4"/>
      <c r="H99" s="4"/>
      <c r="I99" s="4"/>
      <c r="J99" s="4"/>
      <c r="K99" s="4"/>
      <c r="L99" s="4"/>
      <c r="M99" s="4"/>
      <c r="N99" s="4"/>
      <c r="O99" s="4"/>
      <c r="P99" s="4"/>
      <c r="Q99" s="4"/>
      <c r="R99" s="4"/>
      <c r="S99" s="4"/>
      <c r="T99" s="4"/>
    </row>
    <row r="100" spans="1:20" s="12" customFormat="1" x14ac:dyDescent="0.2">
      <c r="A100" s="4"/>
      <c r="B100" s="4"/>
      <c r="C100" s="4"/>
      <c r="D100" s="4"/>
      <c r="E100" s="4"/>
      <c r="F100" s="4"/>
      <c r="G100" s="4"/>
      <c r="H100" s="4"/>
      <c r="I100" s="4"/>
      <c r="J100" s="4"/>
      <c r="K100" s="4"/>
      <c r="L100" s="4"/>
      <c r="M100" s="4"/>
      <c r="N100" s="4"/>
      <c r="O100" s="4"/>
      <c r="P100" s="4"/>
      <c r="Q100" s="4"/>
      <c r="R100" s="4"/>
      <c r="S100" s="4"/>
      <c r="T100" s="4"/>
    </row>
    <row r="101" spans="1:20" s="12" customFormat="1" x14ac:dyDescent="0.2">
      <c r="A101" s="4"/>
      <c r="B101" s="4"/>
      <c r="C101" s="4"/>
      <c r="D101" s="4"/>
      <c r="E101" s="4"/>
      <c r="F101" s="4"/>
      <c r="G101" s="4"/>
      <c r="H101" s="4"/>
      <c r="I101" s="4"/>
      <c r="J101" s="4"/>
      <c r="K101" s="4"/>
      <c r="L101" s="4"/>
      <c r="M101" s="4"/>
      <c r="N101" s="4"/>
      <c r="O101" s="4"/>
      <c r="P101" s="4"/>
      <c r="Q101" s="4"/>
      <c r="R101" s="4"/>
      <c r="S101" s="4"/>
      <c r="T101" s="4"/>
    </row>
    <row r="102" spans="1:20" s="12" customFormat="1" x14ac:dyDescent="0.2">
      <c r="A102" s="4"/>
      <c r="B102" s="4"/>
      <c r="C102" s="4"/>
      <c r="D102" s="4"/>
      <c r="E102" s="4"/>
      <c r="F102" s="4"/>
      <c r="G102" s="4"/>
      <c r="H102" s="4"/>
      <c r="I102" s="4"/>
      <c r="J102" s="4"/>
      <c r="K102" s="4"/>
      <c r="L102" s="4"/>
      <c r="M102" s="4"/>
      <c r="N102" s="4"/>
      <c r="O102" s="4"/>
      <c r="P102" s="4"/>
      <c r="Q102" s="4"/>
      <c r="R102" s="4"/>
      <c r="S102" s="4"/>
      <c r="T102" s="4"/>
    </row>
  </sheetData>
  <mergeCells count="2">
    <mergeCell ref="A6:D6"/>
    <mergeCell ref="A26:D26"/>
  </mergeCells>
  <printOptions gridLines="1"/>
  <pageMargins left="0.25" right="0.25" top="0.75" bottom="0.75" header="0.3" footer="0.3"/>
  <pageSetup scale="66" orientation="landscape" r:id="rId1"/>
  <headerFooter alignWithMargins="0">
    <oddHeader xml:space="preserve">&amp;C&amp;"Arial,Bold"&amp;14DOCTORS MEMORIAL HOSPITAL
FY 2017 BUDGET
</oddHead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10"/>
  <sheetViews>
    <sheetView zoomScale="80" zoomScaleNormal="80" workbookViewId="0">
      <pane xSplit="2" ySplit="4" topLeftCell="C5" activePane="bottomRight" state="frozen"/>
      <selection pane="topRight" activeCell="C1" sqref="C1"/>
      <selection pane="bottomLeft" activeCell="A5" sqref="A5"/>
      <selection pane="bottomRight" activeCell="I45" sqref="I45"/>
    </sheetView>
  </sheetViews>
  <sheetFormatPr defaultRowHeight="12.75" x14ac:dyDescent="0.2"/>
  <cols>
    <col min="1" max="1" width="10.28515625" style="2" bestFit="1" customWidth="1"/>
    <col min="2" max="2" width="25.85546875" style="2" customWidth="1"/>
    <col min="3" max="3" width="12.42578125" style="4" customWidth="1"/>
    <col min="4" max="4" width="9.140625" style="4" customWidth="1"/>
    <col min="5" max="5" width="3" style="4" customWidth="1"/>
    <col min="6" max="6" width="10.7109375" style="2" customWidth="1"/>
    <col min="7" max="8" width="12" style="2" customWidth="1"/>
    <col min="9" max="10" width="10.7109375" style="2" customWidth="1"/>
    <col min="11" max="11" width="11.28515625" style="2" bestFit="1" customWidth="1"/>
    <col min="12" max="12" width="10.140625" style="2" bestFit="1" customWidth="1"/>
    <col min="13" max="13" width="11.28515625" style="2" bestFit="1" customWidth="1"/>
    <col min="14" max="14" width="10.140625" style="2" bestFit="1" customWidth="1"/>
    <col min="15" max="17" width="11.28515625" style="2" bestFit="1" customWidth="1"/>
    <col min="18" max="18" width="13.140625" style="2" customWidth="1"/>
    <col min="19" max="19" width="10.7109375" style="2" customWidth="1"/>
    <col min="20" max="20" width="9.140625" style="2" customWidth="1"/>
    <col min="21" max="219" width="9.140625" style="1"/>
    <col min="220" max="220" width="9.28515625" style="1" bestFit="1" customWidth="1"/>
    <col min="221" max="221" width="28.140625" style="1" bestFit="1" customWidth="1"/>
    <col min="222" max="222" width="15.7109375" style="1" customWidth="1"/>
    <col min="223" max="223" width="9.140625" style="1" customWidth="1"/>
    <col min="224" max="224" width="14.28515625" style="1" customWidth="1"/>
    <col min="225" max="225" width="9.140625" style="1" customWidth="1"/>
    <col min="226" max="227" width="12.85546875" style="1" customWidth="1"/>
    <col min="228" max="228" width="9.140625" style="1" customWidth="1"/>
    <col min="229" max="229" width="10.7109375" style="1" customWidth="1"/>
    <col min="230" max="231" width="12" style="1" customWidth="1"/>
    <col min="232" max="239" width="10.7109375" style="1" customWidth="1"/>
    <col min="240" max="240" width="10.5703125" style="1" customWidth="1"/>
    <col min="241" max="241" width="11.140625" style="1" customWidth="1"/>
    <col min="242" max="242" width="10.7109375" style="1" customWidth="1"/>
    <col min="243" max="244" width="9.140625" style="1" customWidth="1"/>
    <col min="245" max="245" width="10.28515625" style="1" customWidth="1"/>
    <col min="246" max="247" width="10" style="1" customWidth="1"/>
    <col min="248" max="249" width="10.140625" style="1" customWidth="1"/>
    <col min="250" max="253" width="10" style="1" customWidth="1"/>
    <col min="254" max="254" width="10.140625" style="1" customWidth="1"/>
    <col min="255" max="256" width="10" style="1" customWidth="1"/>
    <col min="257" max="257" width="10.28515625" style="1" customWidth="1"/>
    <col min="258" max="258" width="13.140625" style="1" customWidth="1"/>
    <col min="259" max="259" width="7.85546875" style="1" customWidth="1"/>
    <col min="260" max="261" width="9.140625" style="1" customWidth="1"/>
    <col min="262" max="262" width="11.7109375" style="1" customWidth="1"/>
    <col min="263" max="263" width="11.5703125" style="1" bestFit="1" customWidth="1"/>
    <col min="264" max="270" width="10.28515625" style="1" bestFit="1" customWidth="1"/>
    <col min="271" max="274" width="9.28515625" style="1" bestFit="1" customWidth="1"/>
    <col min="275" max="275" width="9.85546875" style="1" bestFit="1" customWidth="1"/>
    <col min="276" max="276" width="10.85546875" style="1" bestFit="1" customWidth="1"/>
    <col min="277" max="475" width="9.140625" style="1"/>
    <col min="476" max="476" width="9.28515625" style="1" bestFit="1" customWidth="1"/>
    <col min="477" max="477" width="28.140625" style="1" bestFit="1" customWidth="1"/>
    <col min="478" max="478" width="15.7109375" style="1" customWidth="1"/>
    <col min="479" max="479" width="9.140625" style="1" customWidth="1"/>
    <col min="480" max="480" width="14.28515625" style="1" customWidth="1"/>
    <col min="481" max="481" width="9.140625" style="1" customWidth="1"/>
    <col min="482" max="483" width="12.85546875" style="1" customWidth="1"/>
    <col min="484" max="484" width="9.140625" style="1" customWidth="1"/>
    <col min="485" max="485" width="10.7109375" style="1" customWidth="1"/>
    <col min="486" max="487" width="12" style="1" customWidth="1"/>
    <col min="488" max="495" width="10.7109375" style="1" customWidth="1"/>
    <col min="496" max="496" width="10.5703125" style="1" customWidth="1"/>
    <col min="497" max="497" width="11.140625" style="1" customWidth="1"/>
    <col min="498" max="498" width="10.7109375" style="1" customWidth="1"/>
    <col min="499" max="500" width="9.140625" style="1" customWidth="1"/>
    <col min="501" max="501" width="10.28515625" style="1" customWidth="1"/>
    <col min="502" max="503" width="10" style="1" customWidth="1"/>
    <col min="504" max="505" width="10.140625" style="1" customWidth="1"/>
    <col min="506" max="509" width="10" style="1" customWidth="1"/>
    <col min="510" max="510" width="10.140625" style="1" customWidth="1"/>
    <col min="511" max="512" width="10" style="1" customWidth="1"/>
    <col min="513" max="513" width="10.28515625" style="1" customWidth="1"/>
    <col min="514" max="514" width="13.140625" style="1" customWidth="1"/>
    <col min="515" max="515" width="7.85546875" style="1" customWidth="1"/>
    <col min="516" max="517" width="9.140625" style="1" customWidth="1"/>
    <col min="518" max="518" width="11.7109375" style="1" customWidth="1"/>
    <col min="519" max="519" width="11.5703125" style="1" bestFit="1" customWidth="1"/>
    <col min="520" max="526" width="10.28515625" style="1" bestFit="1" customWidth="1"/>
    <col min="527" max="530" width="9.28515625" style="1" bestFit="1" customWidth="1"/>
    <col min="531" max="531" width="9.85546875" style="1" bestFit="1" customWidth="1"/>
    <col min="532" max="532" width="10.85546875" style="1" bestFit="1" customWidth="1"/>
    <col min="533" max="731" width="9.140625" style="1"/>
    <col min="732" max="732" width="9.28515625" style="1" bestFit="1" customWidth="1"/>
    <col min="733" max="733" width="28.140625" style="1" bestFit="1" customWidth="1"/>
    <col min="734" max="734" width="15.7109375" style="1" customWidth="1"/>
    <col min="735" max="735" width="9.140625" style="1" customWidth="1"/>
    <col min="736" max="736" width="14.28515625" style="1" customWidth="1"/>
    <col min="737" max="737" width="9.140625" style="1" customWidth="1"/>
    <col min="738" max="739" width="12.85546875" style="1" customWidth="1"/>
    <col min="740" max="740" width="9.140625" style="1" customWidth="1"/>
    <col min="741" max="741" width="10.7109375" style="1" customWidth="1"/>
    <col min="742" max="743" width="12" style="1" customWidth="1"/>
    <col min="744" max="751" width="10.7109375" style="1" customWidth="1"/>
    <col min="752" max="752" width="10.5703125" style="1" customWidth="1"/>
    <col min="753" max="753" width="11.140625" style="1" customWidth="1"/>
    <col min="754" max="754" width="10.7109375" style="1" customWidth="1"/>
    <col min="755" max="756" width="9.140625" style="1" customWidth="1"/>
    <col min="757" max="757" width="10.28515625" style="1" customWidth="1"/>
    <col min="758" max="759" width="10" style="1" customWidth="1"/>
    <col min="760" max="761" width="10.140625" style="1" customWidth="1"/>
    <col min="762" max="765" width="10" style="1" customWidth="1"/>
    <col min="766" max="766" width="10.140625" style="1" customWidth="1"/>
    <col min="767" max="768" width="10" style="1" customWidth="1"/>
    <col min="769" max="769" width="10.28515625" style="1" customWidth="1"/>
    <col min="770" max="770" width="13.140625" style="1" customWidth="1"/>
    <col min="771" max="771" width="7.85546875" style="1" customWidth="1"/>
    <col min="772" max="773" width="9.140625" style="1" customWidth="1"/>
    <col min="774" max="774" width="11.7109375" style="1" customWidth="1"/>
    <col min="775" max="775" width="11.5703125" style="1" bestFit="1" customWidth="1"/>
    <col min="776" max="782" width="10.28515625" style="1" bestFit="1" customWidth="1"/>
    <col min="783" max="786" width="9.28515625" style="1" bestFit="1" customWidth="1"/>
    <col min="787" max="787" width="9.85546875" style="1" bestFit="1" customWidth="1"/>
    <col min="788" max="788" width="10.85546875" style="1" bestFit="1" customWidth="1"/>
    <col min="789" max="987" width="9.140625" style="1"/>
    <col min="988" max="988" width="9.28515625" style="1" bestFit="1" customWidth="1"/>
    <col min="989" max="989" width="28.140625" style="1" bestFit="1" customWidth="1"/>
    <col min="990" max="990" width="15.7109375" style="1" customWidth="1"/>
    <col min="991" max="991" width="9.140625" style="1" customWidth="1"/>
    <col min="992" max="992" width="14.28515625" style="1" customWidth="1"/>
    <col min="993" max="993" width="9.140625" style="1" customWidth="1"/>
    <col min="994" max="995" width="12.85546875" style="1" customWidth="1"/>
    <col min="996" max="996" width="9.140625" style="1" customWidth="1"/>
    <col min="997" max="997" width="10.7109375" style="1" customWidth="1"/>
    <col min="998" max="999" width="12" style="1" customWidth="1"/>
    <col min="1000" max="1007" width="10.7109375" style="1" customWidth="1"/>
    <col min="1008" max="1008" width="10.5703125" style="1" customWidth="1"/>
    <col min="1009" max="1009" width="11.140625" style="1" customWidth="1"/>
    <col min="1010" max="1010" width="10.7109375" style="1" customWidth="1"/>
    <col min="1011" max="1012" width="9.140625" style="1" customWidth="1"/>
    <col min="1013" max="1013" width="10.28515625" style="1" customWidth="1"/>
    <col min="1014" max="1015" width="10" style="1" customWidth="1"/>
    <col min="1016" max="1017" width="10.140625" style="1" customWidth="1"/>
    <col min="1018" max="1021" width="10" style="1" customWidth="1"/>
    <col min="1022" max="1022" width="10.140625" style="1" customWidth="1"/>
    <col min="1023" max="1024" width="10" style="1" customWidth="1"/>
    <col min="1025" max="1025" width="10.28515625" style="1" customWidth="1"/>
    <col min="1026" max="1026" width="13.140625" style="1" customWidth="1"/>
    <col min="1027" max="1027" width="7.85546875" style="1" customWidth="1"/>
    <col min="1028" max="1029" width="9.140625" style="1" customWidth="1"/>
    <col min="1030" max="1030" width="11.7109375" style="1" customWidth="1"/>
    <col min="1031" max="1031" width="11.5703125" style="1" bestFit="1" customWidth="1"/>
    <col min="1032" max="1038" width="10.28515625" style="1" bestFit="1" customWidth="1"/>
    <col min="1039" max="1042" width="9.28515625" style="1" bestFit="1" customWidth="1"/>
    <col min="1043" max="1043" width="9.85546875" style="1" bestFit="1" customWidth="1"/>
    <col min="1044" max="1044" width="10.85546875" style="1" bestFit="1" customWidth="1"/>
    <col min="1045" max="1243" width="9.140625" style="1"/>
    <col min="1244" max="1244" width="9.28515625" style="1" bestFit="1" customWidth="1"/>
    <col min="1245" max="1245" width="28.140625" style="1" bestFit="1" customWidth="1"/>
    <col min="1246" max="1246" width="15.7109375" style="1" customWidth="1"/>
    <col min="1247" max="1247" width="9.140625" style="1" customWidth="1"/>
    <col min="1248" max="1248" width="14.28515625" style="1" customWidth="1"/>
    <col min="1249" max="1249" width="9.140625" style="1" customWidth="1"/>
    <col min="1250" max="1251" width="12.85546875" style="1" customWidth="1"/>
    <col min="1252" max="1252" width="9.140625" style="1" customWidth="1"/>
    <col min="1253" max="1253" width="10.7109375" style="1" customWidth="1"/>
    <col min="1254" max="1255" width="12" style="1" customWidth="1"/>
    <col min="1256" max="1263" width="10.7109375" style="1" customWidth="1"/>
    <col min="1264" max="1264" width="10.5703125" style="1" customWidth="1"/>
    <col min="1265" max="1265" width="11.140625" style="1" customWidth="1"/>
    <col min="1266" max="1266" width="10.7109375" style="1" customWidth="1"/>
    <col min="1267" max="1268" width="9.140625" style="1" customWidth="1"/>
    <col min="1269" max="1269" width="10.28515625" style="1" customWidth="1"/>
    <col min="1270" max="1271" width="10" style="1" customWidth="1"/>
    <col min="1272" max="1273" width="10.140625" style="1" customWidth="1"/>
    <col min="1274" max="1277" width="10" style="1" customWidth="1"/>
    <col min="1278" max="1278" width="10.140625" style="1" customWidth="1"/>
    <col min="1279" max="1280" width="10" style="1" customWidth="1"/>
    <col min="1281" max="1281" width="10.28515625" style="1" customWidth="1"/>
    <col min="1282" max="1282" width="13.140625" style="1" customWidth="1"/>
    <col min="1283" max="1283" width="7.85546875" style="1" customWidth="1"/>
    <col min="1284" max="1285" width="9.140625" style="1" customWidth="1"/>
    <col min="1286" max="1286" width="11.7109375" style="1" customWidth="1"/>
    <col min="1287" max="1287" width="11.5703125" style="1" bestFit="1" customWidth="1"/>
    <col min="1288" max="1294" width="10.28515625" style="1" bestFit="1" customWidth="1"/>
    <col min="1295" max="1298" width="9.28515625" style="1" bestFit="1" customWidth="1"/>
    <col min="1299" max="1299" width="9.85546875" style="1" bestFit="1" customWidth="1"/>
    <col min="1300" max="1300" width="10.85546875" style="1" bestFit="1" customWidth="1"/>
    <col min="1301" max="1499" width="9.140625" style="1"/>
    <col min="1500" max="1500" width="9.28515625" style="1" bestFit="1" customWidth="1"/>
    <col min="1501" max="1501" width="28.140625" style="1" bestFit="1" customWidth="1"/>
    <col min="1502" max="1502" width="15.7109375" style="1" customWidth="1"/>
    <col min="1503" max="1503" width="9.140625" style="1" customWidth="1"/>
    <col min="1504" max="1504" width="14.28515625" style="1" customWidth="1"/>
    <col min="1505" max="1505" width="9.140625" style="1" customWidth="1"/>
    <col min="1506" max="1507" width="12.85546875" style="1" customWidth="1"/>
    <col min="1508" max="1508" width="9.140625" style="1" customWidth="1"/>
    <col min="1509" max="1509" width="10.7109375" style="1" customWidth="1"/>
    <col min="1510" max="1511" width="12" style="1" customWidth="1"/>
    <col min="1512" max="1519" width="10.7109375" style="1" customWidth="1"/>
    <col min="1520" max="1520" width="10.5703125" style="1" customWidth="1"/>
    <col min="1521" max="1521" width="11.140625" style="1" customWidth="1"/>
    <col min="1522" max="1522" width="10.7109375" style="1" customWidth="1"/>
    <col min="1523" max="1524" width="9.140625" style="1" customWidth="1"/>
    <col min="1525" max="1525" width="10.28515625" style="1" customWidth="1"/>
    <col min="1526" max="1527" width="10" style="1" customWidth="1"/>
    <col min="1528" max="1529" width="10.140625" style="1" customWidth="1"/>
    <col min="1530" max="1533" width="10" style="1" customWidth="1"/>
    <col min="1534" max="1534" width="10.140625" style="1" customWidth="1"/>
    <col min="1535" max="1536" width="10" style="1" customWidth="1"/>
    <col min="1537" max="1537" width="10.28515625" style="1" customWidth="1"/>
    <col min="1538" max="1538" width="13.140625" style="1" customWidth="1"/>
    <col min="1539" max="1539" width="7.85546875" style="1" customWidth="1"/>
    <col min="1540" max="1541" width="9.140625" style="1" customWidth="1"/>
    <col min="1542" max="1542" width="11.7109375" style="1" customWidth="1"/>
    <col min="1543" max="1543" width="11.5703125" style="1" bestFit="1" customWidth="1"/>
    <col min="1544" max="1550" width="10.28515625" style="1" bestFit="1" customWidth="1"/>
    <col min="1551" max="1554" width="9.28515625" style="1" bestFit="1" customWidth="1"/>
    <col min="1555" max="1555" width="9.85546875" style="1" bestFit="1" customWidth="1"/>
    <col min="1556" max="1556" width="10.85546875" style="1" bestFit="1" customWidth="1"/>
    <col min="1557" max="1755" width="9.140625" style="1"/>
    <col min="1756" max="1756" width="9.28515625" style="1" bestFit="1" customWidth="1"/>
    <col min="1757" max="1757" width="28.140625" style="1" bestFit="1" customWidth="1"/>
    <col min="1758" max="1758" width="15.7109375" style="1" customWidth="1"/>
    <col min="1759" max="1759" width="9.140625" style="1" customWidth="1"/>
    <col min="1760" max="1760" width="14.28515625" style="1" customWidth="1"/>
    <col min="1761" max="1761" width="9.140625" style="1" customWidth="1"/>
    <col min="1762" max="1763" width="12.85546875" style="1" customWidth="1"/>
    <col min="1764" max="1764" width="9.140625" style="1" customWidth="1"/>
    <col min="1765" max="1765" width="10.7109375" style="1" customWidth="1"/>
    <col min="1766" max="1767" width="12" style="1" customWidth="1"/>
    <col min="1768" max="1775" width="10.7109375" style="1" customWidth="1"/>
    <col min="1776" max="1776" width="10.5703125" style="1" customWidth="1"/>
    <col min="1777" max="1777" width="11.140625" style="1" customWidth="1"/>
    <col min="1778" max="1778" width="10.7109375" style="1" customWidth="1"/>
    <col min="1779" max="1780" width="9.140625" style="1" customWidth="1"/>
    <col min="1781" max="1781" width="10.28515625" style="1" customWidth="1"/>
    <col min="1782" max="1783" width="10" style="1" customWidth="1"/>
    <col min="1784" max="1785" width="10.140625" style="1" customWidth="1"/>
    <col min="1786" max="1789" width="10" style="1" customWidth="1"/>
    <col min="1790" max="1790" width="10.140625" style="1" customWidth="1"/>
    <col min="1791" max="1792" width="10" style="1" customWidth="1"/>
    <col min="1793" max="1793" width="10.28515625" style="1" customWidth="1"/>
    <col min="1794" max="1794" width="13.140625" style="1" customWidth="1"/>
    <col min="1795" max="1795" width="7.85546875" style="1" customWidth="1"/>
    <col min="1796" max="1797" width="9.140625" style="1" customWidth="1"/>
    <col min="1798" max="1798" width="11.7109375" style="1" customWidth="1"/>
    <col min="1799" max="1799" width="11.5703125" style="1" bestFit="1" customWidth="1"/>
    <col min="1800" max="1806" width="10.28515625" style="1" bestFit="1" customWidth="1"/>
    <col min="1807" max="1810" width="9.28515625" style="1" bestFit="1" customWidth="1"/>
    <col min="1811" max="1811" width="9.85546875" style="1" bestFit="1" customWidth="1"/>
    <col min="1812" max="1812" width="10.85546875" style="1" bestFit="1" customWidth="1"/>
    <col min="1813" max="2011" width="9.140625" style="1"/>
    <col min="2012" max="2012" width="9.28515625" style="1" bestFit="1" customWidth="1"/>
    <col min="2013" max="2013" width="28.140625" style="1" bestFit="1" customWidth="1"/>
    <col min="2014" max="2014" width="15.7109375" style="1" customWidth="1"/>
    <col min="2015" max="2015" width="9.140625" style="1" customWidth="1"/>
    <col min="2016" max="2016" width="14.28515625" style="1" customWidth="1"/>
    <col min="2017" max="2017" width="9.140625" style="1" customWidth="1"/>
    <col min="2018" max="2019" width="12.85546875" style="1" customWidth="1"/>
    <col min="2020" max="2020" width="9.140625" style="1" customWidth="1"/>
    <col min="2021" max="2021" width="10.7109375" style="1" customWidth="1"/>
    <col min="2022" max="2023" width="12" style="1" customWidth="1"/>
    <col min="2024" max="2031" width="10.7109375" style="1" customWidth="1"/>
    <col min="2032" max="2032" width="10.5703125" style="1" customWidth="1"/>
    <col min="2033" max="2033" width="11.140625" style="1" customWidth="1"/>
    <col min="2034" max="2034" width="10.7109375" style="1" customWidth="1"/>
    <col min="2035" max="2036" width="9.140625" style="1" customWidth="1"/>
    <col min="2037" max="2037" width="10.28515625" style="1" customWidth="1"/>
    <col min="2038" max="2039" width="10" style="1" customWidth="1"/>
    <col min="2040" max="2041" width="10.140625" style="1" customWidth="1"/>
    <col min="2042" max="2045" width="10" style="1" customWidth="1"/>
    <col min="2046" max="2046" width="10.140625" style="1" customWidth="1"/>
    <col min="2047" max="2048" width="10" style="1" customWidth="1"/>
    <col min="2049" max="2049" width="10.28515625" style="1" customWidth="1"/>
    <col min="2050" max="2050" width="13.140625" style="1" customWidth="1"/>
    <col min="2051" max="2051" width="7.85546875" style="1" customWidth="1"/>
    <col min="2052" max="2053" width="9.140625" style="1" customWidth="1"/>
    <col min="2054" max="2054" width="11.7109375" style="1" customWidth="1"/>
    <col min="2055" max="2055" width="11.5703125" style="1" bestFit="1" customWidth="1"/>
    <col min="2056" max="2062" width="10.28515625" style="1" bestFit="1" customWidth="1"/>
    <col min="2063" max="2066" width="9.28515625" style="1" bestFit="1" customWidth="1"/>
    <col min="2067" max="2067" width="9.85546875" style="1" bestFit="1" customWidth="1"/>
    <col min="2068" max="2068" width="10.85546875" style="1" bestFit="1" customWidth="1"/>
    <col min="2069" max="2267" width="9.140625" style="1"/>
    <col min="2268" max="2268" width="9.28515625" style="1" bestFit="1" customWidth="1"/>
    <col min="2269" max="2269" width="28.140625" style="1" bestFit="1" customWidth="1"/>
    <col min="2270" max="2270" width="15.7109375" style="1" customWidth="1"/>
    <col min="2271" max="2271" width="9.140625" style="1" customWidth="1"/>
    <col min="2272" max="2272" width="14.28515625" style="1" customWidth="1"/>
    <col min="2273" max="2273" width="9.140625" style="1" customWidth="1"/>
    <col min="2274" max="2275" width="12.85546875" style="1" customWidth="1"/>
    <col min="2276" max="2276" width="9.140625" style="1" customWidth="1"/>
    <col min="2277" max="2277" width="10.7109375" style="1" customWidth="1"/>
    <col min="2278" max="2279" width="12" style="1" customWidth="1"/>
    <col min="2280" max="2287" width="10.7109375" style="1" customWidth="1"/>
    <col min="2288" max="2288" width="10.5703125" style="1" customWidth="1"/>
    <col min="2289" max="2289" width="11.140625" style="1" customWidth="1"/>
    <col min="2290" max="2290" width="10.7109375" style="1" customWidth="1"/>
    <col min="2291" max="2292" width="9.140625" style="1" customWidth="1"/>
    <col min="2293" max="2293" width="10.28515625" style="1" customWidth="1"/>
    <col min="2294" max="2295" width="10" style="1" customWidth="1"/>
    <col min="2296" max="2297" width="10.140625" style="1" customWidth="1"/>
    <col min="2298" max="2301" width="10" style="1" customWidth="1"/>
    <col min="2302" max="2302" width="10.140625" style="1" customWidth="1"/>
    <col min="2303" max="2304" width="10" style="1" customWidth="1"/>
    <col min="2305" max="2305" width="10.28515625" style="1" customWidth="1"/>
    <col min="2306" max="2306" width="13.140625" style="1" customWidth="1"/>
    <col min="2307" max="2307" width="7.85546875" style="1" customWidth="1"/>
    <col min="2308" max="2309" width="9.140625" style="1" customWidth="1"/>
    <col min="2310" max="2310" width="11.7109375" style="1" customWidth="1"/>
    <col min="2311" max="2311" width="11.5703125" style="1" bestFit="1" customWidth="1"/>
    <col min="2312" max="2318" width="10.28515625" style="1" bestFit="1" customWidth="1"/>
    <col min="2319" max="2322" width="9.28515625" style="1" bestFit="1" customWidth="1"/>
    <col min="2323" max="2323" width="9.85546875" style="1" bestFit="1" customWidth="1"/>
    <col min="2324" max="2324" width="10.85546875" style="1" bestFit="1" customWidth="1"/>
    <col min="2325" max="2523" width="9.140625" style="1"/>
    <col min="2524" max="2524" width="9.28515625" style="1" bestFit="1" customWidth="1"/>
    <col min="2525" max="2525" width="28.140625" style="1" bestFit="1" customWidth="1"/>
    <col min="2526" max="2526" width="15.7109375" style="1" customWidth="1"/>
    <col min="2527" max="2527" width="9.140625" style="1" customWidth="1"/>
    <col min="2528" max="2528" width="14.28515625" style="1" customWidth="1"/>
    <col min="2529" max="2529" width="9.140625" style="1" customWidth="1"/>
    <col min="2530" max="2531" width="12.85546875" style="1" customWidth="1"/>
    <col min="2532" max="2532" width="9.140625" style="1" customWidth="1"/>
    <col min="2533" max="2533" width="10.7109375" style="1" customWidth="1"/>
    <col min="2534" max="2535" width="12" style="1" customWidth="1"/>
    <col min="2536" max="2543" width="10.7109375" style="1" customWidth="1"/>
    <col min="2544" max="2544" width="10.5703125" style="1" customWidth="1"/>
    <col min="2545" max="2545" width="11.140625" style="1" customWidth="1"/>
    <col min="2546" max="2546" width="10.7109375" style="1" customWidth="1"/>
    <col min="2547" max="2548" width="9.140625" style="1" customWidth="1"/>
    <col min="2549" max="2549" width="10.28515625" style="1" customWidth="1"/>
    <col min="2550" max="2551" width="10" style="1" customWidth="1"/>
    <col min="2552" max="2553" width="10.140625" style="1" customWidth="1"/>
    <col min="2554" max="2557" width="10" style="1" customWidth="1"/>
    <col min="2558" max="2558" width="10.140625" style="1" customWidth="1"/>
    <col min="2559" max="2560" width="10" style="1" customWidth="1"/>
    <col min="2561" max="2561" width="10.28515625" style="1" customWidth="1"/>
    <col min="2562" max="2562" width="13.140625" style="1" customWidth="1"/>
    <col min="2563" max="2563" width="7.85546875" style="1" customWidth="1"/>
    <col min="2564" max="2565" width="9.140625" style="1" customWidth="1"/>
    <col min="2566" max="2566" width="11.7109375" style="1" customWidth="1"/>
    <col min="2567" max="2567" width="11.5703125" style="1" bestFit="1" customWidth="1"/>
    <col min="2568" max="2574" width="10.28515625" style="1" bestFit="1" customWidth="1"/>
    <col min="2575" max="2578" width="9.28515625" style="1" bestFit="1" customWidth="1"/>
    <col min="2579" max="2579" width="9.85546875" style="1" bestFit="1" customWidth="1"/>
    <col min="2580" max="2580" width="10.85546875" style="1" bestFit="1" customWidth="1"/>
    <col min="2581" max="2779" width="9.140625" style="1"/>
    <col min="2780" max="2780" width="9.28515625" style="1" bestFit="1" customWidth="1"/>
    <col min="2781" max="2781" width="28.140625" style="1" bestFit="1" customWidth="1"/>
    <col min="2782" max="2782" width="15.7109375" style="1" customWidth="1"/>
    <col min="2783" max="2783" width="9.140625" style="1" customWidth="1"/>
    <col min="2784" max="2784" width="14.28515625" style="1" customWidth="1"/>
    <col min="2785" max="2785" width="9.140625" style="1" customWidth="1"/>
    <col min="2786" max="2787" width="12.85546875" style="1" customWidth="1"/>
    <col min="2788" max="2788" width="9.140625" style="1" customWidth="1"/>
    <col min="2789" max="2789" width="10.7109375" style="1" customWidth="1"/>
    <col min="2790" max="2791" width="12" style="1" customWidth="1"/>
    <col min="2792" max="2799" width="10.7109375" style="1" customWidth="1"/>
    <col min="2800" max="2800" width="10.5703125" style="1" customWidth="1"/>
    <col min="2801" max="2801" width="11.140625" style="1" customWidth="1"/>
    <col min="2802" max="2802" width="10.7109375" style="1" customWidth="1"/>
    <col min="2803" max="2804" width="9.140625" style="1" customWidth="1"/>
    <col min="2805" max="2805" width="10.28515625" style="1" customWidth="1"/>
    <col min="2806" max="2807" width="10" style="1" customWidth="1"/>
    <col min="2808" max="2809" width="10.140625" style="1" customWidth="1"/>
    <col min="2810" max="2813" width="10" style="1" customWidth="1"/>
    <col min="2814" max="2814" width="10.140625" style="1" customWidth="1"/>
    <col min="2815" max="2816" width="10" style="1" customWidth="1"/>
    <col min="2817" max="2817" width="10.28515625" style="1" customWidth="1"/>
    <col min="2818" max="2818" width="13.140625" style="1" customWidth="1"/>
    <col min="2819" max="2819" width="7.85546875" style="1" customWidth="1"/>
    <col min="2820" max="2821" width="9.140625" style="1" customWidth="1"/>
    <col min="2822" max="2822" width="11.7109375" style="1" customWidth="1"/>
    <col min="2823" max="2823" width="11.5703125" style="1" bestFit="1" customWidth="1"/>
    <col min="2824" max="2830" width="10.28515625" style="1" bestFit="1" customWidth="1"/>
    <col min="2831" max="2834" width="9.28515625" style="1" bestFit="1" customWidth="1"/>
    <col min="2835" max="2835" width="9.85546875" style="1" bestFit="1" customWidth="1"/>
    <col min="2836" max="2836" width="10.85546875" style="1" bestFit="1" customWidth="1"/>
    <col min="2837" max="3035" width="9.140625" style="1"/>
    <col min="3036" max="3036" width="9.28515625" style="1" bestFit="1" customWidth="1"/>
    <col min="3037" max="3037" width="28.140625" style="1" bestFit="1" customWidth="1"/>
    <col min="3038" max="3038" width="15.7109375" style="1" customWidth="1"/>
    <col min="3039" max="3039" width="9.140625" style="1" customWidth="1"/>
    <col min="3040" max="3040" width="14.28515625" style="1" customWidth="1"/>
    <col min="3041" max="3041" width="9.140625" style="1" customWidth="1"/>
    <col min="3042" max="3043" width="12.85546875" style="1" customWidth="1"/>
    <col min="3044" max="3044" width="9.140625" style="1" customWidth="1"/>
    <col min="3045" max="3045" width="10.7109375" style="1" customWidth="1"/>
    <col min="3046" max="3047" width="12" style="1" customWidth="1"/>
    <col min="3048" max="3055" width="10.7109375" style="1" customWidth="1"/>
    <col min="3056" max="3056" width="10.5703125" style="1" customWidth="1"/>
    <col min="3057" max="3057" width="11.140625" style="1" customWidth="1"/>
    <col min="3058" max="3058" width="10.7109375" style="1" customWidth="1"/>
    <col min="3059" max="3060" width="9.140625" style="1" customWidth="1"/>
    <col min="3061" max="3061" width="10.28515625" style="1" customWidth="1"/>
    <col min="3062" max="3063" width="10" style="1" customWidth="1"/>
    <col min="3064" max="3065" width="10.140625" style="1" customWidth="1"/>
    <col min="3066" max="3069" width="10" style="1" customWidth="1"/>
    <col min="3070" max="3070" width="10.140625" style="1" customWidth="1"/>
    <col min="3071" max="3072" width="10" style="1" customWidth="1"/>
    <col min="3073" max="3073" width="10.28515625" style="1" customWidth="1"/>
    <col min="3074" max="3074" width="13.140625" style="1" customWidth="1"/>
    <col min="3075" max="3075" width="7.85546875" style="1" customWidth="1"/>
    <col min="3076" max="3077" width="9.140625" style="1" customWidth="1"/>
    <col min="3078" max="3078" width="11.7109375" style="1" customWidth="1"/>
    <col min="3079" max="3079" width="11.5703125" style="1" bestFit="1" customWidth="1"/>
    <col min="3080" max="3086" width="10.28515625" style="1" bestFit="1" customWidth="1"/>
    <col min="3087" max="3090" width="9.28515625" style="1" bestFit="1" customWidth="1"/>
    <col min="3091" max="3091" width="9.85546875" style="1" bestFit="1" customWidth="1"/>
    <col min="3092" max="3092" width="10.85546875" style="1" bestFit="1" customWidth="1"/>
    <col min="3093" max="3291" width="9.140625" style="1"/>
    <col min="3292" max="3292" width="9.28515625" style="1" bestFit="1" customWidth="1"/>
    <col min="3293" max="3293" width="28.140625" style="1" bestFit="1" customWidth="1"/>
    <col min="3294" max="3294" width="15.7109375" style="1" customWidth="1"/>
    <col min="3295" max="3295" width="9.140625" style="1" customWidth="1"/>
    <col min="3296" max="3296" width="14.28515625" style="1" customWidth="1"/>
    <col min="3297" max="3297" width="9.140625" style="1" customWidth="1"/>
    <col min="3298" max="3299" width="12.85546875" style="1" customWidth="1"/>
    <col min="3300" max="3300" width="9.140625" style="1" customWidth="1"/>
    <col min="3301" max="3301" width="10.7109375" style="1" customWidth="1"/>
    <col min="3302" max="3303" width="12" style="1" customWidth="1"/>
    <col min="3304" max="3311" width="10.7109375" style="1" customWidth="1"/>
    <col min="3312" max="3312" width="10.5703125" style="1" customWidth="1"/>
    <col min="3313" max="3313" width="11.140625" style="1" customWidth="1"/>
    <col min="3314" max="3314" width="10.7109375" style="1" customWidth="1"/>
    <col min="3315" max="3316" width="9.140625" style="1" customWidth="1"/>
    <col min="3317" max="3317" width="10.28515625" style="1" customWidth="1"/>
    <col min="3318" max="3319" width="10" style="1" customWidth="1"/>
    <col min="3320" max="3321" width="10.140625" style="1" customWidth="1"/>
    <col min="3322" max="3325" width="10" style="1" customWidth="1"/>
    <col min="3326" max="3326" width="10.140625" style="1" customWidth="1"/>
    <col min="3327" max="3328" width="10" style="1" customWidth="1"/>
    <col min="3329" max="3329" width="10.28515625" style="1" customWidth="1"/>
    <col min="3330" max="3330" width="13.140625" style="1" customWidth="1"/>
    <col min="3331" max="3331" width="7.85546875" style="1" customWidth="1"/>
    <col min="3332" max="3333" width="9.140625" style="1" customWidth="1"/>
    <col min="3334" max="3334" width="11.7109375" style="1" customWidth="1"/>
    <col min="3335" max="3335" width="11.5703125" style="1" bestFit="1" customWidth="1"/>
    <col min="3336" max="3342" width="10.28515625" style="1" bestFit="1" customWidth="1"/>
    <col min="3343" max="3346" width="9.28515625" style="1" bestFit="1" customWidth="1"/>
    <col min="3347" max="3347" width="9.85546875" style="1" bestFit="1" customWidth="1"/>
    <col min="3348" max="3348" width="10.85546875" style="1" bestFit="1" customWidth="1"/>
    <col min="3349" max="3547" width="9.140625" style="1"/>
    <col min="3548" max="3548" width="9.28515625" style="1" bestFit="1" customWidth="1"/>
    <col min="3549" max="3549" width="28.140625" style="1" bestFit="1" customWidth="1"/>
    <col min="3550" max="3550" width="15.7109375" style="1" customWidth="1"/>
    <col min="3551" max="3551" width="9.140625" style="1" customWidth="1"/>
    <col min="3552" max="3552" width="14.28515625" style="1" customWidth="1"/>
    <col min="3553" max="3553" width="9.140625" style="1" customWidth="1"/>
    <col min="3554" max="3555" width="12.85546875" style="1" customWidth="1"/>
    <col min="3556" max="3556" width="9.140625" style="1" customWidth="1"/>
    <col min="3557" max="3557" width="10.7109375" style="1" customWidth="1"/>
    <col min="3558" max="3559" width="12" style="1" customWidth="1"/>
    <col min="3560" max="3567" width="10.7109375" style="1" customWidth="1"/>
    <col min="3568" max="3568" width="10.5703125" style="1" customWidth="1"/>
    <col min="3569" max="3569" width="11.140625" style="1" customWidth="1"/>
    <col min="3570" max="3570" width="10.7109375" style="1" customWidth="1"/>
    <col min="3571" max="3572" width="9.140625" style="1" customWidth="1"/>
    <col min="3573" max="3573" width="10.28515625" style="1" customWidth="1"/>
    <col min="3574" max="3575" width="10" style="1" customWidth="1"/>
    <col min="3576" max="3577" width="10.140625" style="1" customWidth="1"/>
    <col min="3578" max="3581" width="10" style="1" customWidth="1"/>
    <col min="3582" max="3582" width="10.140625" style="1" customWidth="1"/>
    <col min="3583" max="3584" width="10" style="1" customWidth="1"/>
    <col min="3585" max="3585" width="10.28515625" style="1" customWidth="1"/>
    <col min="3586" max="3586" width="13.140625" style="1" customWidth="1"/>
    <col min="3587" max="3587" width="7.85546875" style="1" customWidth="1"/>
    <col min="3588" max="3589" width="9.140625" style="1" customWidth="1"/>
    <col min="3590" max="3590" width="11.7109375" style="1" customWidth="1"/>
    <col min="3591" max="3591" width="11.5703125" style="1" bestFit="1" customWidth="1"/>
    <col min="3592" max="3598" width="10.28515625" style="1" bestFit="1" customWidth="1"/>
    <col min="3599" max="3602" width="9.28515625" style="1" bestFit="1" customWidth="1"/>
    <col min="3603" max="3603" width="9.85546875" style="1" bestFit="1" customWidth="1"/>
    <col min="3604" max="3604" width="10.85546875" style="1" bestFit="1" customWidth="1"/>
    <col min="3605" max="3803" width="9.140625" style="1"/>
    <col min="3804" max="3804" width="9.28515625" style="1" bestFit="1" customWidth="1"/>
    <col min="3805" max="3805" width="28.140625" style="1" bestFit="1" customWidth="1"/>
    <col min="3806" max="3806" width="15.7109375" style="1" customWidth="1"/>
    <col min="3807" max="3807" width="9.140625" style="1" customWidth="1"/>
    <col min="3808" max="3808" width="14.28515625" style="1" customWidth="1"/>
    <col min="3809" max="3809" width="9.140625" style="1" customWidth="1"/>
    <col min="3810" max="3811" width="12.85546875" style="1" customWidth="1"/>
    <col min="3812" max="3812" width="9.140625" style="1" customWidth="1"/>
    <col min="3813" max="3813" width="10.7109375" style="1" customWidth="1"/>
    <col min="3814" max="3815" width="12" style="1" customWidth="1"/>
    <col min="3816" max="3823" width="10.7109375" style="1" customWidth="1"/>
    <col min="3824" max="3824" width="10.5703125" style="1" customWidth="1"/>
    <col min="3825" max="3825" width="11.140625" style="1" customWidth="1"/>
    <col min="3826" max="3826" width="10.7109375" style="1" customWidth="1"/>
    <col min="3827" max="3828" width="9.140625" style="1" customWidth="1"/>
    <col min="3829" max="3829" width="10.28515625" style="1" customWidth="1"/>
    <col min="3830" max="3831" width="10" style="1" customWidth="1"/>
    <col min="3832" max="3833" width="10.140625" style="1" customWidth="1"/>
    <col min="3834" max="3837" width="10" style="1" customWidth="1"/>
    <col min="3838" max="3838" width="10.140625" style="1" customWidth="1"/>
    <col min="3839" max="3840" width="10" style="1" customWidth="1"/>
    <col min="3841" max="3841" width="10.28515625" style="1" customWidth="1"/>
    <col min="3842" max="3842" width="13.140625" style="1" customWidth="1"/>
    <col min="3843" max="3843" width="7.85546875" style="1" customWidth="1"/>
    <col min="3844" max="3845" width="9.140625" style="1" customWidth="1"/>
    <col min="3846" max="3846" width="11.7109375" style="1" customWidth="1"/>
    <col min="3847" max="3847" width="11.5703125" style="1" bestFit="1" customWidth="1"/>
    <col min="3848" max="3854" width="10.28515625" style="1" bestFit="1" customWidth="1"/>
    <col min="3855" max="3858" width="9.28515625" style="1" bestFit="1" customWidth="1"/>
    <col min="3859" max="3859" width="9.85546875" style="1" bestFit="1" customWidth="1"/>
    <col min="3860" max="3860" width="10.85546875" style="1" bestFit="1" customWidth="1"/>
    <col min="3861" max="4059" width="9.140625" style="1"/>
    <col min="4060" max="4060" width="9.28515625" style="1" bestFit="1" customWidth="1"/>
    <col min="4061" max="4061" width="28.140625" style="1" bestFit="1" customWidth="1"/>
    <col min="4062" max="4062" width="15.7109375" style="1" customWidth="1"/>
    <col min="4063" max="4063" width="9.140625" style="1" customWidth="1"/>
    <col min="4064" max="4064" width="14.28515625" style="1" customWidth="1"/>
    <col min="4065" max="4065" width="9.140625" style="1" customWidth="1"/>
    <col min="4066" max="4067" width="12.85546875" style="1" customWidth="1"/>
    <col min="4068" max="4068" width="9.140625" style="1" customWidth="1"/>
    <col min="4069" max="4069" width="10.7109375" style="1" customWidth="1"/>
    <col min="4070" max="4071" width="12" style="1" customWidth="1"/>
    <col min="4072" max="4079" width="10.7109375" style="1" customWidth="1"/>
    <col min="4080" max="4080" width="10.5703125" style="1" customWidth="1"/>
    <col min="4081" max="4081" width="11.140625" style="1" customWidth="1"/>
    <col min="4082" max="4082" width="10.7109375" style="1" customWidth="1"/>
    <col min="4083" max="4084" width="9.140625" style="1" customWidth="1"/>
    <col min="4085" max="4085" width="10.28515625" style="1" customWidth="1"/>
    <col min="4086" max="4087" width="10" style="1" customWidth="1"/>
    <col min="4088" max="4089" width="10.140625" style="1" customWidth="1"/>
    <col min="4090" max="4093" width="10" style="1" customWidth="1"/>
    <col min="4094" max="4094" width="10.140625" style="1" customWidth="1"/>
    <col min="4095" max="4096" width="10" style="1" customWidth="1"/>
    <col min="4097" max="4097" width="10.28515625" style="1" customWidth="1"/>
    <col min="4098" max="4098" width="13.140625" style="1" customWidth="1"/>
    <col min="4099" max="4099" width="7.85546875" style="1" customWidth="1"/>
    <col min="4100" max="4101" width="9.140625" style="1" customWidth="1"/>
    <col min="4102" max="4102" width="11.7109375" style="1" customWidth="1"/>
    <col min="4103" max="4103" width="11.5703125" style="1" bestFit="1" customWidth="1"/>
    <col min="4104" max="4110" width="10.28515625" style="1" bestFit="1" customWidth="1"/>
    <col min="4111" max="4114" width="9.28515625" style="1" bestFit="1" customWidth="1"/>
    <col min="4115" max="4115" width="9.85546875" style="1" bestFit="1" customWidth="1"/>
    <col min="4116" max="4116" width="10.85546875" style="1" bestFit="1" customWidth="1"/>
    <col min="4117" max="4315" width="9.140625" style="1"/>
    <col min="4316" max="4316" width="9.28515625" style="1" bestFit="1" customWidth="1"/>
    <col min="4317" max="4317" width="28.140625" style="1" bestFit="1" customWidth="1"/>
    <col min="4318" max="4318" width="15.7109375" style="1" customWidth="1"/>
    <col min="4319" max="4319" width="9.140625" style="1" customWidth="1"/>
    <col min="4320" max="4320" width="14.28515625" style="1" customWidth="1"/>
    <col min="4321" max="4321" width="9.140625" style="1" customWidth="1"/>
    <col min="4322" max="4323" width="12.85546875" style="1" customWidth="1"/>
    <col min="4324" max="4324" width="9.140625" style="1" customWidth="1"/>
    <col min="4325" max="4325" width="10.7109375" style="1" customWidth="1"/>
    <col min="4326" max="4327" width="12" style="1" customWidth="1"/>
    <col min="4328" max="4335" width="10.7109375" style="1" customWidth="1"/>
    <col min="4336" max="4336" width="10.5703125" style="1" customWidth="1"/>
    <col min="4337" max="4337" width="11.140625" style="1" customWidth="1"/>
    <col min="4338" max="4338" width="10.7109375" style="1" customWidth="1"/>
    <col min="4339" max="4340" width="9.140625" style="1" customWidth="1"/>
    <col min="4341" max="4341" width="10.28515625" style="1" customWidth="1"/>
    <col min="4342" max="4343" width="10" style="1" customWidth="1"/>
    <col min="4344" max="4345" width="10.140625" style="1" customWidth="1"/>
    <col min="4346" max="4349" width="10" style="1" customWidth="1"/>
    <col min="4350" max="4350" width="10.140625" style="1" customWidth="1"/>
    <col min="4351" max="4352" width="10" style="1" customWidth="1"/>
    <col min="4353" max="4353" width="10.28515625" style="1" customWidth="1"/>
    <col min="4354" max="4354" width="13.140625" style="1" customWidth="1"/>
    <col min="4355" max="4355" width="7.85546875" style="1" customWidth="1"/>
    <col min="4356" max="4357" width="9.140625" style="1" customWidth="1"/>
    <col min="4358" max="4358" width="11.7109375" style="1" customWidth="1"/>
    <col min="4359" max="4359" width="11.5703125" style="1" bestFit="1" customWidth="1"/>
    <col min="4360" max="4366" width="10.28515625" style="1" bestFit="1" customWidth="1"/>
    <col min="4367" max="4370" width="9.28515625" style="1" bestFit="1" customWidth="1"/>
    <col min="4371" max="4371" width="9.85546875" style="1" bestFit="1" customWidth="1"/>
    <col min="4372" max="4372" width="10.85546875" style="1" bestFit="1" customWidth="1"/>
    <col min="4373" max="4571" width="9.140625" style="1"/>
    <col min="4572" max="4572" width="9.28515625" style="1" bestFit="1" customWidth="1"/>
    <col min="4573" max="4573" width="28.140625" style="1" bestFit="1" customWidth="1"/>
    <col min="4574" max="4574" width="15.7109375" style="1" customWidth="1"/>
    <col min="4575" max="4575" width="9.140625" style="1" customWidth="1"/>
    <col min="4576" max="4576" width="14.28515625" style="1" customWidth="1"/>
    <col min="4577" max="4577" width="9.140625" style="1" customWidth="1"/>
    <col min="4578" max="4579" width="12.85546875" style="1" customWidth="1"/>
    <col min="4580" max="4580" width="9.140625" style="1" customWidth="1"/>
    <col min="4581" max="4581" width="10.7109375" style="1" customWidth="1"/>
    <col min="4582" max="4583" width="12" style="1" customWidth="1"/>
    <col min="4584" max="4591" width="10.7109375" style="1" customWidth="1"/>
    <col min="4592" max="4592" width="10.5703125" style="1" customWidth="1"/>
    <col min="4593" max="4593" width="11.140625" style="1" customWidth="1"/>
    <col min="4594" max="4594" width="10.7109375" style="1" customWidth="1"/>
    <col min="4595" max="4596" width="9.140625" style="1" customWidth="1"/>
    <col min="4597" max="4597" width="10.28515625" style="1" customWidth="1"/>
    <col min="4598" max="4599" width="10" style="1" customWidth="1"/>
    <col min="4600" max="4601" width="10.140625" style="1" customWidth="1"/>
    <col min="4602" max="4605" width="10" style="1" customWidth="1"/>
    <col min="4606" max="4606" width="10.140625" style="1" customWidth="1"/>
    <col min="4607" max="4608" width="10" style="1" customWidth="1"/>
    <col min="4609" max="4609" width="10.28515625" style="1" customWidth="1"/>
    <col min="4610" max="4610" width="13.140625" style="1" customWidth="1"/>
    <col min="4611" max="4611" width="7.85546875" style="1" customWidth="1"/>
    <col min="4612" max="4613" width="9.140625" style="1" customWidth="1"/>
    <col min="4614" max="4614" width="11.7109375" style="1" customWidth="1"/>
    <col min="4615" max="4615" width="11.5703125" style="1" bestFit="1" customWidth="1"/>
    <col min="4616" max="4622" width="10.28515625" style="1" bestFit="1" customWidth="1"/>
    <col min="4623" max="4626" width="9.28515625" style="1" bestFit="1" customWidth="1"/>
    <col min="4627" max="4627" width="9.85546875" style="1" bestFit="1" customWidth="1"/>
    <col min="4628" max="4628" width="10.85546875" style="1" bestFit="1" customWidth="1"/>
    <col min="4629" max="4827" width="9.140625" style="1"/>
    <col min="4828" max="4828" width="9.28515625" style="1" bestFit="1" customWidth="1"/>
    <col min="4829" max="4829" width="28.140625" style="1" bestFit="1" customWidth="1"/>
    <col min="4830" max="4830" width="15.7109375" style="1" customWidth="1"/>
    <col min="4831" max="4831" width="9.140625" style="1" customWidth="1"/>
    <col min="4832" max="4832" width="14.28515625" style="1" customWidth="1"/>
    <col min="4833" max="4833" width="9.140625" style="1" customWidth="1"/>
    <col min="4834" max="4835" width="12.85546875" style="1" customWidth="1"/>
    <col min="4836" max="4836" width="9.140625" style="1" customWidth="1"/>
    <col min="4837" max="4837" width="10.7109375" style="1" customWidth="1"/>
    <col min="4838" max="4839" width="12" style="1" customWidth="1"/>
    <col min="4840" max="4847" width="10.7109375" style="1" customWidth="1"/>
    <col min="4848" max="4848" width="10.5703125" style="1" customWidth="1"/>
    <col min="4849" max="4849" width="11.140625" style="1" customWidth="1"/>
    <col min="4850" max="4850" width="10.7109375" style="1" customWidth="1"/>
    <col min="4851" max="4852" width="9.140625" style="1" customWidth="1"/>
    <col min="4853" max="4853" width="10.28515625" style="1" customWidth="1"/>
    <col min="4854" max="4855" width="10" style="1" customWidth="1"/>
    <col min="4856" max="4857" width="10.140625" style="1" customWidth="1"/>
    <col min="4858" max="4861" width="10" style="1" customWidth="1"/>
    <col min="4862" max="4862" width="10.140625" style="1" customWidth="1"/>
    <col min="4863" max="4864" width="10" style="1" customWidth="1"/>
    <col min="4865" max="4865" width="10.28515625" style="1" customWidth="1"/>
    <col min="4866" max="4866" width="13.140625" style="1" customWidth="1"/>
    <col min="4867" max="4867" width="7.85546875" style="1" customWidth="1"/>
    <col min="4868" max="4869" width="9.140625" style="1" customWidth="1"/>
    <col min="4870" max="4870" width="11.7109375" style="1" customWidth="1"/>
    <col min="4871" max="4871" width="11.5703125" style="1" bestFit="1" customWidth="1"/>
    <col min="4872" max="4878" width="10.28515625" style="1" bestFit="1" customWidth="1"/>
    <col min="4879" max="4882" width="9.28515625" style="1" bestFit="1" customWidth="1"/>
    <col min="4883" max="4883" width="9.85546875" style="1" bestFit="1" customWidth="1"/>
    <col min="4884" max="4884" width="10.85546875" style="1" bestFit="1" customWidth="1"/>
    <col min="4885" max="5083" width="9.140625" style="1"/>
    <col min="5084" max="5084" width="9.28515625" style="1" bestFit="1" customWidth="1"/>
    <col min="5085" max="5085" width="28.140625" style="1" bestFit="1" customWidth="1"/>
    <col min="5086" max="5086" width="15.7109375" style="1" customWidth="1"/>
    <col min="5087" max="5087" width="9.140625" style="1" customWidth="1"/>
    <col min="5088" max="5088" width="14.28515625" style="1" customWidth="1"/>
    <col min="5089" max="5089" width="9.140625" style="1" customWidth="1"/>
    <col min="5090" max="5091" width="12.85546875" style="1" customWidth="1"/>
    <col min="5092" max="5092" width="9.140625" style="1" customWidth="1"/>
    <col min="5093" max="5093" width="10.7109375" style="1" customWidth="1"/>
    <col min="5094" max="5095" width="12" style="1" customWidth="1"/>
    <col min="5096" max="5103" width="10.7109375" style="1" customWidth="1"/>
    <col min="5104" max="5104" width="10.5703125" style="1" customWidth="1"/>
    <col min="5105" max="5105" width="11.140625" style="1" customWidth="1"/>
    <col min="5106" max="5106" width="10.7109375" style="1" customWidth="1"/>
    <col min="5107" max="5108" width="9.140625" style="1" customWidth="1"/>
    <col min="5109" max="5109" width="10.28515625" style="1" customWidth="1"/>
    <col min="5110" max="5111" width="10" style="1" customWidth="1"/>
    <col min="5112" max="5113" width="10.140625" style="1" customWidth="1"/>
    <col min="5114" max="5117" width="10" style="1" customWidth="1"/>
    <col min="5118" max="5118" width="10.140625" style="1" customWidth="1"/>
    <col min="5119" max="5120" width="10" style="1" customWidth="1"/>
    <col min="5121" max="5121" width="10.28515625" style="1" customWidth="1"/>
    <col min="5122" max="5122" width="13.140625" style="1" customWidth="1"/>
    <col min="5123" max="5123" width="7.85546875" style="1" customWidth="1"/>
    <col min="5124" max="5125" width="9.140625" style="1" customWidth="1"/>
    <col min="5126" max="5126" width="11.7109375" style="1" customWidth="1"/>
    <col min="5127" max="5127" width="11.5703125" style="1" bestFit="1" customWidth="1"/>
    <col min="5128" max="5134" width="10.28515625" style="1" bestFit="1" customWidth="1"/>
    <col min="5135" max="5138" width="9.28515625" style="1" bestFit="1" customWidth="1"/>
    <col min="5139" max="5139" width="9.85546875" style="1" bestFit="1" customWidth="1"/>
    <col min="5140" max="5140" width="10.85546875" style="1" bestFit="1" customWidth="1"/>
    <col min="5141" max="5339" width="9.140625" style="1"/>
    <col min="5340" max="5340" width="9.28515625" style="1" bestFit="1" customWidth="1"/>
    <col min="5341" max="5341" width="28.140625" style="1" bestFit="1" customWidth="1"/>
    <col min="5342" max="5342" width="15.7109375" style="1" customWidth="1"/>
    <col min="5343" max="5343" width="9.140625" style="1" customWidth="1"/>
    <col min="5344" max="5344" width="14.28515625" style="1" customWidth="1"/>
    <col min="5345" max="5345" width="9.140625" style="1" customWidth="1"/>
    <col min="5346" max="5347" width="12.85546875" style="1" customWidth="1"/>
    <col min="5348" max="5348" width="9.140625" style="1" customWidth="1"/>
    <col min="5349" max="5349" width="10.7109375" style="1" customWidth="1"/>
    <col min="5350" max="5351" width="12" style="1" customWidth="1"/>
    <col min="5352" max="5359" width="10.7109375" style="1" customWidth="1"/>
    <col min="5360" max="5360" width="10.5703125" style="1" customWidth="1"/>
    <col min="5361" max="5361" width="11.140625" style="1" customWidth="1"/>
    <col min="5362" max="5362" width="10.7109375" style="1" customWidth="1"/>
    <col min="5363" max="5364" width="9.140625" style="1" customWidth="1"/>
    <col min="5365" max="5365" width="10.28515625" style="1" customWidth="1"/>
    <col min="5366" max="5367" width="10" style="1" customWidth="1"/>
    <col min="5368" max="5369" width="10.140625" style="1" customWidth="1"/>
    <col min="5370" max="5373" width="10" style="1" customWidth="1"/>
    <col min="5374" max="5374" width="10.140625" style="1" customWidth="1"/>
    <col min="5375" max="5376" width="10" style="1" customWidth="1"/>
    <col min="5377" max="5377" width="10.28515625" style="1" customWidth="1"/>
    <col min="5378" max="5378" width="13.140625" style="1" customWidth="1"/>
    <col min="5379" max="5379" width="7.85546875" style="1" customWidth="1"/>
    <col min="5380" max="5381" width="9.140625" style="1" customWidth="1"/>
    <col min="5382" max="5382" width="11.7109375" style="1" customWidth="1"/>
    <col min="5383" max="5383" width="11.5703125" style="1" bestFit="1" customWidth="1"/>
    <col min="5384" max="5390" width="10.28515625" style="1" bestFit="1" customWidth="1"/>
    <col min="5391" max="5394" width="9.28515625" style="1" bestFit="1" customWidth="1"/>
    <col min="5395" max="5395" width="9.85546875" style="1" bestFit="1" customWidth="1"/>
    <col min="5396" max="5396" width="10.85546875" style="1" bestFit="1" customWidth="1"/>
    <col min="5397" max="5595" width="9.140625" style="1"/>
    <col min="5596" max="5596" width="9.28515625" style="1" bestFit="1" customWidth="1"/>
    <col min="5597" max="5597" width="28.140625" style="1" bestFit="1" customWidth="1"/>
    <col min="5598" max="5598" width="15.7109375" style="1" customWidth="1"/>
    <col min="5599" max="5599" width="9.140625" style="1" customWidth="1"/>
    <col min="5600" max="5600" width="14.28515625" style="1" customWidth="1"/>
    <col min="5601" max="5601" width="9.140625" style="1" customWidth="1"/>
    <col min="5602" max="5603" width="12.85546875" style="1" customWidth="1"/>
    <col min="5604" max="5604" width="9.140625" style="1" customWidth="1"/>
    <col min="5605" max="5605" width="10.7109375" style="1" customWidth="1"/>
    <col min="5606" max="5607" width="12" style="1" customWidth="1"/>
    <col min="5608" max="5615" width="10.7109375" style="1" customWidth="1"/>
    <col min="5616" max="5616" width="10.5703125" style="1" customWidth="1"/>
    <col min="5617" max="5617" width="11.140625" style="1" customWidth="1"/>
    <col min="5618" max="5618" width="10.7109375" style="1" customWidth="1"/>
    <col min="5619" max="5620" width="9.140625" style="1" customWidth="1"/>
    <col min="5621" max="5621" width="10.28515625" style="1" customWidth="1"/>
    <col min="5622" max="5623" width="10" style="1" customWidth="1"/>
    <col min="5624" max="5625" width="10.140625" style="1" customWidth="1"/>
    <col min="5626" max="5629" width="10" style="1" customWidth="1"/>
    <col min="5630" max="5630" width="10.140625" style="1" customWidth="1"/>
    <col min="5631" max="5632" width="10" style="1" customWidth="1"/>
    <col min="5633" max="5633" width="10.28515625" style="1" customWidth="1"/>
    <col min="5634" max="5634" width="13.140625" style="1" customWidth="1"/>
    <col min="5635" max="5635" width="7.85546875" style="1" customWidth="1"/>
    <col min="5636" max="5637" width="9.140625" style="1" customWidth="1"/>
    <col min="5638" max="5638" width="11.7109375" style="1" customWidth="1"/>
    <col min="5639" max="5639" width="11.5703125" style="1" bestFit="1" customWidth="1"/>
    <col min="5640" max="5646" width="10.28515625" style="1" bestFit="1" customWidth="1"/>
    <col min="5647" max="5650" width="9.28515625" style="1" bestFit="1" customWidth="1"/>
    <col min="5651" max="5651" width="9.85546875" style="1" bestFit="1" customWidth="1"/>
    <col min="5652" max="5652" width="10.85546875" style="1" bestFit="1" customWidth="1"/>
    <col min="5653" max="5851" width="9.140625" style="1"/>
    <col min="5852" max="5852" width="9.28515625" style="1" bestFit="1" customWidth="1"/>
    <col min="5853" max="5853" width="28.140625" style="1" bestFit="1" customWidth="1"/>
    <col min="5854" max="5854" width="15.7109375" style="1" customWidth="1"/>
    <col min="5855" max="5855" width="9.140625" style="1" customWidth="1"/>
    <col min="5856" max="5856" width="14.28515625" style="1" customWidth="1"/>
    <col min="5857" max="5857" width="9.140625" style="1" customWidth="1"/>
    <col min="5858" max="5859" width="12.85546875" style="1" customWidth="1"/>
    <col min="5860" max="5860" width="9.140625" style="1" customWidth="1"/>
    <col min="5861" max="5861" width="10.7109375" style="1" customWidth="1"/>
    <col min="5862" max="5863" width="12" style="1" customWidth="1"/>
    <col min="5864" max="5871" width="10.7109375" style="1" customWidth="1"/>
    <col min="5872" max="5872" width="10.5703125" style="1" customWidth="1"/>
    <col min="5873" max="5873" width="11.140625" style="1" customWidth="1"/>
    <col min="5874" max="5874" width="10.7109375" style="1" customWidth="1"/>
    <col min="5875" max="5876" width="9.140625" style="1" customWidth="1"/>
    <col min="5877" max="5877" width="10.28515625" style="1" customWidth="1"/>
    <col min="5878" max="5879" width="10" style="1" customWidth="1"/>
    <col min="5880" max="5881" width="10.140625" style="1" customWidth="1"/>
    <col min="5882" max="5885" width="10" style="1" customWidth="1"/>
    <col min="5886" max="5886" width="10.140625" style="1" customWidth="1"/>
    <col min="5887" max="5888" width="10" style="1" customWidth="1"/>
    <col min="5889" max="5889" width="10.28515625" style="1" customWidth="1"/>
    <col min="5890" max="5890" width="13.140625" style="1" customWidth="1"/>
    <col min="5891" max="5891" width="7.85546875" style="1" customWidth="1"/>
    <col min="5892" max="5893" width="9.140625" style="1" customWidth="1"/>
    <col min="5894" max="5894" width="11.7109375" style="1" customWidth="1"/>
    <col min="5895" max="5895" width="11.5703125" style="1" bestFit="1" customWidth="1"/>
    <col min="5896" max="5902" width="10.28515625" style="1" bestFit="1" customWidth="1"/>
    <col min="5903" max="5906" width="9.28515625" style="1" bestFit="1" customWidth="1"/>
    <col min="5907" max="5907" width="9.85546875" style="1" bestFit="1" customWidth="1"/>
    <col min="5908" max="5908" width="10.85546875" style="1" bestFit="1" customWidth="1"/>
    <col min="5909" max="6107" width="9.140625" style="1"/>
    <col min="6108" max="6108" width="9.28515625" style="1" bestFit="1" customWidth="1"/>
    <col min="6109" max="6109" width="28.140625" style="1" bestFit="1" customWidth="1"/>
    <col min="6110" max="6110" width="15.7109375" style="1" customWidth="1"/>
    <col min="6111" max="6111" width="9.140625" style="1" customWidth="1"/>
    <col min="6112" max="6112" width="14.28515625" style="1" customWidth="1"/>
    <col min="6113" max="6113" width="9.140625" style="1" customWidth="1"/>
    <col min="6114" max="6115" width="12.85546875" style="1" customWidth="1"/>
    <col min="6116" max="6116" width="9.140625" style="1" customWidth="1"/>
    <col min="6117" max="6117" width="10.7109375" style="1" customWidth="1"/>
    <col min="6118" max="6119" width="12" style="1" customWidth="1"/>
    <col min="6120" max="6127" width="10.7109375" style="1" customWidth="1"/>
    <col min="6128" max="6128" width="10.5703125" style="1" customWidth="1"/>
    <col min="6129" max="6129" width="11.140625" style="1" customWidth="1"/>
    <col min="6130" max="6130" width="10.7109375" style="1" customWidth="1"/>
    <col min="6131" max="6132" width="9.140625" style="1" customWidth="1"/>
    <col min="6133" max="6133" width="10.28515625" style="1" customWidth="1"/>
    <col min="6134" max="6135" width="10" style="1" customWidth="1"/>
    <col min="6136" max="6137" width="10.140625" style="1" customWidth="1"/>
    <col min="6138" max="6141" width="10" style="1" customWidth="1"/>
    <col min="6142" max="6142" width="10.140625" style="1" customWidth="1"/>
    <col min="6143" max="6144" width="10" style="1" customWidth="1"/>
    <col min="6145" max="6145" width="10.28515625" style="1" customWidth="1"/>
    <col min="6146" max="6146" width="13.140625" style="1" customWidth="1"/>
    <col min="6147" max="6147" width="7.85546875" style="1" customWidth="1"/>
    <col min="6148" max="6149" width="9.140625" style="1" customWidth="1"/>
    <col min="6150" max="6150" width="11.7109375" style="1" customWidth="1"/>
    <col min="6151" max="6151" width="11.5703125" style="1" bestFit="1" customWidth="1"/>
    <col min="6152" max="6158" width="10.28515625" style="1" bestFit="1" customWidth="1"/>
    <col min="6159" max="6162" width="9.28515625" style="1" bestFit="1" customWidth="1"/>
    <col min="6163" max="6163" width="9.85546875" style="1" bestFit="1" customWidth="1"/>
    <col min="6164" max="6164" width="10.85546875" style="1" bestFit="1" customWidth="1"/>
    <col min="6165" max="6363" width="9.140625" style="1"/>
    <col min="6364" max="6364" width="9.28515625" style="1" bestFit="1" customWidth="1"/>
    <col min="6365" max="6365" width="28.140625" style="1" bestFit="1" customWidth="1"/>
    <col min="6366" max="6366" width="15.7109375" style="1" customWidth="1"/>
    <col min="6367" max="6367" width="9.140625" style="1" customWidth="1"/>
    <col min="6368" max="6368" width="14.28515625" style="1" customWidth="1"/>
    <col min="6369" max="6369" width="9.140625" style="1" customWidth="1"/>
    <col min="6370" max="6371" width="12.85546875" style="1" customWidth="1"/>
    <col min="6372" max="6372" width="9.140625" style="1" customWidth="1"/>
    <col min="6373" max="6373" width="10.7109375" style="1" customWidth="1"/>
    <col min="6374" max="6375" width="12" style="1" customWidth="1"/>
    <col min="6376" max="6383" width="10.7109375" style="1" customWidth="1"/>
    <col min="6384" max="6384" width="10.5703125" style="1" customWidth="1"/>
    <col min="6385" max="6385" width="11.140625" style="1" customWidth="1"/>
    <col min="6386" max="6386" width="10.7109375" style="1" customWidth="1"/>
    <col min="6387" max="6388" width="9.140625" style="1" customWidth="1"/>
    <col min="6389" max="6389" width="10.28515625" style="1" customWidth="1"/>
    <col min="6390" max="6391" width="10" style="1" customWidth="1"/>
    <col min="6392" max="6393" width="10.140625" style="1" customWidth="1"/>
    <col min="6394" max="6397" width="10" style="1" customWidth="1"/>
    <col min="6398" max="6398" width="10.140625" style="1" customWidth="1"/>
    <col min="6399" max="6400" width="10" style="1" customWidth="1"/>
    <col min="6401" max="6401" width="10.28515625" style="1" customWidth="1"/>
    <col min="6402" max="6402" width="13.140625" style="1" customWidth="1"/>
    <col min="6403" max="6403" width="7.85546875" style="1" customWidth="1"/>
    <col min="6404" max="6405" width="9.140625" style="1" customWidth="1"/>
    <col min="6406" max="6406" width="11.7109375" style="1" customWidth="1"/>
    <col min="6407" max="6407" width="11.5703125" style="1" bestFit="1" customWidth="1"/>
    <col min="6408" max="6414" width="10.28515625" style="1" bestFit="1" customWidth="1"/>
    <col min="6415" max="6418" width="9.28515625" style="1" bestFit="1" customWidth="1"/>
    <col min="6419" max="6419" width="9.85546875" style="1" bestFit="1" customWidth="1"/>
    <col min="6420" max="6420" width="10.85546875" style="1" bestFit="1" customWidth="1"/>
    <col min="6421" max="6619" width="9.140625" style="1"/>
    <col min="6620" max="6620" width="9.28515625" style="1" bestFit="1" customWidth="1"/>
    <col min="6621" max="6621" width="28.140625" style="1" bestFit="1" customWidth="1"/>
    <col min="6622" max="6622" width="15.7109375" style="1" customWidth="1"/>
    <col min="6623" max="6623" width="9.140625" style="1" customWidth="1"/>
    <col min="6624" max="6624" width="14.28515625" style="1" customWidth="1"/>
    <col min="6625" max="6625" width="9.140625" style="1" customWidth="1"/>
    <col min="6626" max="6627" width="12.85546875" style="1" customWidth="1"/>
    <col min="6628" max="6628" width="9.140625" style="1" customWidth="1"/>
    <col min="6629" max="6629" width="10.7109375" style="1" customWidth="1"/>
    <col min="6630" max="6631" width="12" style="1" customWidth="1"/>
    <col min="6632" max="6639" width="10.7109375" style="1" customWidth="1"/>
    <col min="6640" max="6640" width="10.5703125" style="1" customWidth="1"/>
    <col min="6641" max="6641" width="11.140625" style="1" customWidth="1"/>
    <col min="6642" max="6642" width="10.7109375" style="1" customWidth="1"/>
    <col min="6643" max="6644" width="9.140625" style="1" customWidth="1"/>
    <col min="6645" max="6645" width="10.28515625" style="1" customWidth="1"/>
    <col min="6646" max="6647" width="10" style="1" customWidth="1"/>
    <col min="6648" max="6649" width="10.140625" style="1" customWidth="1"/>
    <col min="6650" max="6653" width="10" style="1" customWidth="1"/>
    <col min="6654" max="6654" width="10.140625" style="1" customWidth="1"/>
    <col min="6655" max="6656" width="10" style="1" customWidth="1"/>
    <col min="6657" max="6657" width="10.28515625" style="1" customWidth="1"/>
    <col min="6658" max="6658" width="13.140625" style="1" customWidth="1"/>
    <col min="6659" max="6659" width="7.85546875" style="1" customWidth="1"/>
    <col min="6660" max="6661" width="9.140625" style="1" customWidth="1"/>
    <col min="6662" max="6662" width="11.7109375" style="1" customWidth="1"/>
    <col min="6663" max="6663" width="11.5703125" style="1" bestFit="1" customWidth="1"/>
    <col min="6664" max="6670" width="10.28515625" style="1" bestFit="1" customWidth="1"/>
    <col min="6671" max="6674" width="9.28515625" style="1" bestFit="1" customWidth="1"/>
    <col min="6675" max="6675" width="9.85546875" style="1" bestFit="1" customWidth="1"/>
    <col min="6676" max="6676" width="10.85546875" style="1" bestFit="1" customWidth="1"/>
    <col min="6677" max="6875" width="9.140625" style="1"/>
    <col min="6876" max="6876" width="9.28515625" style="1" bestFit="1" customWidth="1"/>
    <col min="6877" max="6877" width="28.140625" style="1" bestFit="1" customWidth="1"/>
    <col min="6878" max="6878" width="15.7109375" style="1" customWidth="1"/>
    <col min="6879" max="6879" width="9.140625" style="1" customWidth="1"/>
    <col min="6880" max="6880" width="14.28515625" style="1" customWidth="1"/>
    <col min="6881" max="6881" width="9.140625" style="1" customWidth="1"/>
    <col min="6882" max="6883" width="12.85546875" style="1" customWidth="1"/>
    <col min="6884" max="6884" width="9.140625" style="1" customWidth="1"/>
    <col min="6885" max="6885" width="10.7109375" style="1" customWidth="1"/>
    <col min="6886" max="6887" width="12" style="1" customWidth="1"/>
    <col min="6888" max="6895" width="10.7109375" style="1" customWidth="1"/>
    <col min="6896" max="6896" width="10.5703125" style="1" customWidth="1"/>
    <col min="6897" max="6897" width="11.140625" style="1" customWidth="1"/>
    <col min="6898" max="6898" width="10.7109375" style="1" customWidth="1"/>
    <col min="6899" max="6900" width="9.140625" style="1" customWidth="1"/>
    <col min="6901" max="6901" width="10.28515625" style="1" customWidth="1"/>
    <col min="6902" max="6903" width="10" style="1" customWidth="1"/>
    <col min="6904" max="6905" width="10.140625" style="1" customWidth="1"/>
    <col min="6906" max="6909" width="10" style="1" customWidth="1"/>
    <col min="6910" max="6910" width="10.140625" style="1" customWidth="1"/>
    <col min="6911" max="6912" width="10" style="1" customWidth="1"/>
    <col min="6913" max="6913" width="10.28515625" style="1" customWidth="1"/>
    <col min="6914" max="6914" width="13.140625" style="1" customWidth="1"/>
    <col min="6915" max="6915" width="7.85546875" style="1" customWidth="1"/>
    <col min="6916" max="6917" width="9.140625" style="1" customWidth="1"/>
    <col min="6918" max="6918" width="11.7109375" style="1" customWidth="1"/>
    <col min="6919" max="6919" width="11.5703125" style="1" bestFit="1" customWidth="1"/>
    <col min="6920" max="6926" width="10.28515625" style="1" bestFit="1" customWidth="1"/>
    <col min="6927" max="6930" width="9.28515625" style="1" bestFit="1" customWidth="1"/>
    <col min="6931" max="6931" width="9.85546875" style="1" bestFit="1" customWidth="1"/>
    <col min="6932" max="6932" width="10.85546875" style="1" bestFit="1" customWidth="1"/>
    <col min="6933" max="7131" width="9.140625" style="1"/>
    <col min="7132" max="7132" width="9.28515625" style="1" bestFit="1" customWidth="1"/>
    <col min="7133" max="7133" width="28.140625" style="1" bestFit="1" customWidth="1"/>
    <col min="7134" max="7134" width="15.7109375" style="1" customWidth="1"/>
    <col min="7135" max="7135" width="9.140625" style="1" customWidth="1"/>
    <col min="7136" max="7136" width="14.28515625" style="1" customWidth="1"/>
    <col min="7137" max="7137" width="9.140625" style="1" customWidth="1"/>
    <col min="7138" max="7139" width="12.85546875" style="1" customWidth="1"/>
    <col min="7140" max="7140" width="9.140625" style="1" customWidth="1"/>
    <col min="7141" max="7141" width="10.7109375" style="1" customWidth="1"/>
    <col min="7142" max="7143" width="12" style="1" customWidth="1"/>
    <col min="7144" max="7151" width="10.7109375" style="1" customWidth="1"/>
    <col min="7152" max="7152" width="10.5703125" style="1" customWidth="1"/>
    <col min="7153" max="7153" width="11.140625" style="1" customWidth="1"/>
    <col min="7154" max="7154" width="10.7109375" style="1" customWidth="1"/>
    <col min="7155" max="7156" width="9.140625" style="1" customWidth="1"/>
    <col min="7157" max="7157" width="10.28515625" style="1" customWidth="1"/>
    <col min="7158" max="7159" width="10" style="1" customWidth="1"/>
    <col min="7160" max="7161" width="10.140625" style="1" customWidth="1"/>
    <col min="7162" max="7165" width="10" style="1" customWidth="1"/>
    <col min="7166" max="7166" width="10.140625" style="1" customWidth="1"/>
    <col min="7167" max="7168" width="10" style="1" customWidth="1"/>
    <col min="7169" max="7169" width="10.28515625" style="1" customWidth="1"/>
    <col min="7170" max="7170" width="13.140625" style="1" customWidth="1"/>
    <col min="7171" max="7171" width="7.85546875" style="1" customWidth="1"/>
    <col min="7172" max="7173" width="9.140625" style="1" customWidth="1"/>
    <col min="7174" max="7174" width="11.7109375" style="1" customWidth="1"/>
    <col min="7175" max="7175" width="11.5703125" style="1" bestFit="1" customWidth="1"/>
    <col min="7176" max="7182" width="10.28515625" style="1" bestFit="1" customWidth="1"/>
    <col min="7183" max="7186" width="9.28515625" style="1" bestFit="1" customWidth="1"/>
    <col min="7187" max="7187" width="9.85546875" style="1" bestFit="1" customWidth="1"/>
    <col min="7188" max="7188" width="10.85546875" style="1" bestFit="1" customWidth="1"/>
    <col min="7189" max="7387" width="9.140625" style="1"/>
    <col min="7388" max="7388" width="9.28515625" style="1" bestFit="1" customWidth="1"/>
    <col min="7389" max="7389" width="28.140625" style="1" bestFit="1" customWidth="1"/>
    <col min="7390" max="7390" width="15.7109375" style="1" customWidth="1"/>
    <col min="7391" max="7391" width="9.140625" style="1" customWidth="1"/>
    <col min="7392" max="7392" width="14.28515625" style="1" customWidth="1"/>
    <col min="7393" max="7393" width="9.140625" style="1" customWidth="1"/>
    <col min="7394" max="7395" width="12.85546875" style="1" customWidth="1"/>
    <col min="7396" max="7396" width="9.140625" style="1" customWidth="1"/>
    <col min="7397" max="7397" width="10.7109375" style="1" customWidth="1"/>
    <col min="7398" max="7399" width="12" style="1" customWidth="1"/>
    <col min="7400" max="7407" width="10.7109375" style="1" customWidth="1"/>
    <col min="7408" max="7408" width="10.5703125" style="1" customWidth="1"/>
    <col min="7409" max="7409" width="11.140625" style="1" customWidth="1"/>
    <col min="7410" max="7410" width="10.7109375" style="1" customWidth="1"/>
    <col min="7411" max="7412" width="9.140625" style="1" customWidth="1"/>
    <col min="7413" max="7413" width="10.28515625" style="1" customWidth="1"/>
    <col min="7414" max="7415" width="10" style="1" customWidth="1"/>
    <col min="7416" max="7417" width="10.140625" style="1" customWidth="1"/>
    <col min="7418" max="7421" width="10" style="1" customWidth="1"/>
    <col min="7422" max="7422" width="10.140625" style="1" customWidth="1"/>
    <col min="7423" max="7424" width="10" style="1" customWidth="1"/>
    <col min="7425" max="7425" width="10.28515625" style="1" customWidth="1"/>
    <col min="7426" max="7426" width="13.140625" style="1" customWidth="1"/>
    <col min="7427" max="7427" width="7.85546875" style="1" customWidth="1"/>
    <col min="7428" max="7429" width="9.140625" style="1" customWidth="1"/>
    <col min="7430" max="7430" width="11.7109375" style="1" customWidth="1"/>
    <col min="7431" max="7431" width="11.5703125" style="1" bestFit="1" customWidth="1"/>
    <col min="7432" max="7438" width="10.28515625" style="1" bestFit="1" customWidth="1"/>
    <col min="7439" max="7442" width="9.28515625" style="1" bestFit="1" customWidth="1"/>
    <col min="7443" max="7443" width="9.85546875" style="1" bestFit="1" customWidth="1"/>
    <col min="7444" max="7444" width="10.85546875" style="1" bestFit="1" customWidth="1"/>
    <col min="7445" max="7643" width="9.140625" style="1"/>
    <col min="7644" max="7644" width="9.28515625" style="1" bestFit="1" customWidth="1"/>
    <col min="7645" max="7645" width="28.140625" style="1" bestFit="1" customWidth="1"/>
    <col min="7646" max="7646" width="15.7109375" style="1" customWidth="1"/>
    <col min="7647" max="7647" width="9.140625" style="1" customWidth="1"/>
    <col min="7648" max="7648" width="14.28515625" style="1" customWidth="1"/>
    <col min="7649" max="7649" width="9.140625" style="1" customWidth="1"/>
    <col min="7650" max="7651" width="12.85546875" style="1" customWidth="1"/>
    <col min="7652" max="7652" width="9.140625" style="1" customWidth="1"/>
    <col min="7653" max="7653" width="10.7109375" style="1" customWidth="1"/>
    <col min="7654" max="7655" width="12" style="1" customWidth="1"/>
    <col min="7656" max="7663" width="10.7109375" style="1" customWidth="1"/>
    <col min="7664" max="7664" width="10.5703125" style="1" customWidth="1"/>
    <col min="7665" max="7665" width="11.140625" style="1" customWidth="1"/>
    <col min="7666" max="7666" width="10.7109375" style="1" customWidth="1"/>
    <col min="7667" max="7668" width="9.140625" style="1" customWidth="1"/>
    <col min="7669" max="7669" width="10.28515625" style="1" customWidth="1"/>
    <col min="7670" max="7671" width="10" style="1" customWidth="1"/>
    <col min="7672" max="7673" width="10.140625" style="1" customWidth="1"/>
    <col min="7674" max="7677" width="10" style="1" customWidth="1"/>
    <col min="7678" max="7678" width="10.140625" style="1" customWidth="1"/>
    <col min="7679" max="7680" width="10" style="1" customWidth="1"/>
    <col min="7681" max="7681" width="10.28515625" style="1" customWidth="1"/>
    <col min="7682" max="7682" width="13.140625" style="1" customWidth="1"/>
    <col min="7683" max="7683" width="7.85546875" style="1" customWidth="1"/>
    <col min="7684" max="7685" width="9.140625" style="1" customWidth="1"/>
    <col min="7686" max="7686" width="11.7109375" style="1" customWidth="1"/>
    <col min="7687" max="7687" width="11.5703125" style="1" bestFit="1" customWidth="1"/>
    <col min="7688" max="7694" width="10.28515625" style="1" bestFit="1" customWidth="1"/>
    <col min="7695" max="7698" width="9.28515625" style="1" bestFit="1" customWidth="1"/>
    <col min="7699" max="7699" width="9.85546875" style="1" bestFit="1" customWidth="1"/>
    <col min="7700" max="7700" width="10.85546875" style="1" bestFit="1" customWidth="1"/>
    <col min="7701" max="7899" width="9.140625" style="1"/>
    <col min="7900" max="7900" width="9.28515625" style="1" bestFit="1" customWidth="1"/>
    <col min="7901" max="7901" width="28.140625" style="1" bestFit="1" customWidth="1"/>
    <col min="7902" max="7902" width="15.7109375" style="1" customWidth="1"/>
    <col min="7903" max="7903" width="9.140625" style="1" customWidth="1"/>
    <col min="7904" max="7904" width="14.28515625" style="1" customWidth="1"/>
    <col min="7905" max="7905" width="9.140625" style="1" customWidth="1"/>
    <col min="7906" max="7907" width="12.85546875" style="1" customWidth="1"/>
    <col min="7908" max="7908" width="9.140625" style="1" customWidth="1"/>
    <col min="7909" max="7909" width="10.7109375" style="1" customWidth="1"/>
    <col min="7910" max="7911" width="12" style="1" customWidth="1"/>
    <col min="7912" max="7919" width="10.7109375" style="1" customWidth="1"/>
    <col min="7920" max="7920" width="10.5703125" style="1" customWidth="1"/>
    <col min="7921" max="7921" width="11.140625" style="1" customWidth="1"/>
    <col min="7922" max="7922" width="10.7109375" style="1" customWidth="1"/>
    <col min="7923" max="7924" width="9.140625" style="1" customWidth="1"/>
    <col min="7925" max="7925" width="10.28515625" style="1" customWidth="1"/>
    <col min="7926" max="7927" width="10" style="1" customWidth="1"/>
    <col min="7928" max="7929" width="10.140625" style="1" customWidth="1"/>
    <col min="7930" max="7933" width="10" style="1" customWidth="1"/>
    <col min="7934" max="7934" width="10.140625" style="1" customWidth="1"/>
    <col min="7935" max="7936" width="10" style="1" customWidth="1"/>
    <col min="7937" max="7937" width="10.28515625" style="1" customWidth="1"/>
    <col min="7938" max="7938" width="13.140625" style="1" customWidth="1"/>
    <col min="7939" max="7939" width="7.85546875" style="1" customWidth="1"/>
    <col min="7940" max="7941" width="9.140625" style="1" customWidth="1"/>
    <col min="7942" max="7942" width="11.7109375" style="1" customWidth="1"/>
    <col min="7943" max="7943" width="11.5703125" style="1" bestFit="1" customWidth="1"/>
    <col min="7944" max="7950" width="10.28515625" style="1" bestFit="1" customWidth="1"/>
    <col min="7951" max="7954" width="9.28515625" style="1" bestFit="1" customWidth="1"/>
    <col min="7955" max="7955" width="9.85546875" style="1" bestFit="1" customWidth="1"/>
    <col min="7956" max="7956" width="10.85546875" style="1" bestFit="1" customWidth="1"/>
    <col min="7957" max="8155" width="9.140625" style="1"/>
    <col min="8156" max="8156" width="9.28515625" style="1" bestFit="1" customWidth="1"/>
    <col min="8157" max="8157" width="28.140625" style="1" bestFit="1" customWidth="1"/>
    <col min="8158" max="8158" width="15.7109375" style="1" customWidth="1"/>
    <col min="8159" max="8159" width="9.140625" style="1" customWidth="1"/>
    <col min="8160" max="8160" width="14.28515625" style="1" customWidth="1"/>
    <col min="8161" max="8161" width="9.140625" style="1" customWidth="1"/>
    <col min="8162" max="8163" width="12.85546875" style="1" customWidth="1"/>
    <col min="8164" max="8164" width="9.140625" style="1" customWidth="1"/>
    <col min="8165" max="8165" width="10.7109375" style="1" customWidth="1"/>
    <col min="8166" max="8167" width="12" style="1" customWidth="1"/>
    <col min="8168" max="8175" width="10.7109375" style="1" customWidth="1"/>
    <col min="8176" max="8176" width="10.5703125" style="1" customWidth="1"/>
    <col min="8177" max="8177" width="11.140625" style="1" customWidth="1"/>
    <col min="8178" max="8178" width="10.7109375" style="1" customWidth="1"/>
    <col min="8179" max="8180" width="9.140625" style="1" customWidth="1"/>
    <col min="8181" max="8181" width="10.28515625" style="1" customWidth="1"/>
    <col min="8182" max="8183" width="10" style="1" customWidth="1"/>
    <col min="8184" max="8185" width="10.140625" style="1" customWidth="1"/>
    <col min="8186" max="8189" width="10" style="1" customWidth="1"/>
    <col min="8190" max="8190" width="10.140625" style="1" customWidth="1"/>
    <col min="8191" max="8192" width="10" style="1" customWidth="1"/>
    <col min="8193" max="8193" width="10.28515625" style="1" customWidth="1"/>
    <col min="8194" max="8194" width="13.140625" style="1" customWidth="1"/>
    <col min="8195" max="8195" width="7.85546875" style="1" customWidth="1"/>
    <col min="8196" max="8197" width="9.140625" style="1" customWidth="1"/>
    <col min="8198" max="8198" width="11.7109375" style="1" customWidth="1"/>
    <col min="8199" max="8199" width="11.5703125" style="1" bestFit="1" customWidth="1"/>
    <col min="8200" max="8206" width="10.28515625" style="1" bestFit="1" customWidth="1"/>
    <col min="8207" max="8210" width="9.28515625" style="1" bestFit="1" customWidth="1"/>
    <col min="8211" max="8211" width="9.85546875" style="1" bestFit="1" customWidth="1"/>
    <col min="8212" max="8212" width="10.85546875" style="1" bestFit="1" customWidth="1"/>
    <col min="8213" max="8411" width="9.140625" style="1"/>
    <col min="8412" max="8412" width="9.28515625" style="1" bestFit="1" customWidth="1"/>
    <col min="8413" max="8413" width="28.140625" style="1" bestFit="1" customWidth="1"/>
    <col min="8414" max="8414" width="15.7109375" style="1" customWidth="1"/>
    <col min="8415" max="8415" width="9.140625" style="1" customWidth="1"/>
    <col min="8416" max="8416" width="14.28515625" style="1" customWidth="1"/>
    <col min="8417" max="8417" width="9.140625" style="1" customWidth="1"/>
    <col min="8418" max="8419" width="12.85546875" style="1" customWidth="1"/>
    <col min="8420" max="8420" width="9.140625" style="1" customWidth="1"/>
    <col min="8421" max="8421" width="10.7109375" style="1" customWidth="1"/>
    <col min="8422" max="8423" width="12" style="1" customWidth="1"/>
    <col min="8424" max="8431" width="10.7109375" style="1" customWidth="1"/>
    <col min="8432" max="8432" width="10.5703125" style="1" customWidth="1"/>
    <col min="8433" max="8433" width="11.140625" style="1" customWidth="1"/>
    <col min="8434" max="8434" width="10.7109375" style="1" customWidth="1"/>
    <col min="8435" max="8436" width="9.140625" style="1" customWidth="1"/>
    <col min="8437" max="8437" width="10.28515625" style="1" customWidth="1"/>
    <col min="8438" max="8439" width="10" style="1" customWidth="1"/>
    <col min="8440" max="8441" width="10.140625" style="1" customWidth="1"/>
    <col min="8442" max="8445" width="10" style="1" customWidth="1"/>
    <col min="8446" max="8446" width="10.140625" style="1" customWidth="1"/>
    <col min="8447" max="8448" width="10" style="1" customWidth="1"/>
    <col min="8449" max="8449" width="10.28515625" style="1" customWidth="1"/>
    <col min="8450" max="8450" width="13.140625" style="1" customWidth="1"/>
    <col min="8451" max="8451" width="7.85546875" style="1" customWidth="1"/>
    <col min="8452" max="8453" width="9.140625" style="1" customWidth="1"/>
    <col min="8454" max="8454" width="11.7109375" style="1" customWidth="1"/>
    <col min="8455" max="8455" width="11.5703125" style="1" bestFit="1" customWidth="1"/>
    <col min="8456" max="8462" width="10.28515625" style="1" bestFit="1" customWidth="1"/>
    <col min="8463" max="8466" width="9.28515625" style="1" bestFit="1" customWidth="1"/>
    <col min="8467" max="8467" width="9.85546875" style="1" bestFit="1" customWidth="1"/>
    <col min="8468" max="8468" width="10.85546875" style="1" bestFit="1" customWidth="1"/>
    <col min="8469" max="8667" width="9.140625" style="1"/>
    <col min="8668" max="8668" width="9.28515625" style="1" bestFit="1" customWidth="1"/>
    <col min="8669" max="8669" width="28.140625" style="1" bestFit="1" customWidth="1"/>
    <col min="8670" max="8670" width="15.7109375" style="1" customWidth="1"/>
    <col min="8671" max="8671" width="9.140625" style="1" customWidth="1"/>
    <col min="8672" max="8672" width="14.28515625" style="1" customWidth="1"/>
    <col min="8673" max="8673" width="9.140625" style="1" customWidth="1"/>
    <col min="8674" max="8675" width="12.85546875" style="1" customWidth="1"/>
    <col min="8676" max="8676" width="9.140625" style="1" customWidth="1"/>
    <col min="8677" max="8677" width="10.7109375" style="1" customWidth="1"/>
    <col min="8678" max="8679" width="12" style="1" customWidth="1"/>
    <col min="8680" max="8687" width="10.7109375" style="1" customWidth="1"/>
    <col min="8688" max="8688" width="10.5703125" style="1" customWidth="1"/>
    <col min="8689" max="8689" width="11.140625" style="1" customWidth="1"/>
    <col min="8690" max="8690" width="10.7109375" style="1" customWidth="1"/>
    <col min="8691" max="8692" width="9.140625" style="1" customWidth="1"/>
    <col min="8693" max="8693" width="10.28515625" style="1" customWidth="1"/>
    <col min="8694" max="8695" width="10" style="1" customWidth="1"/>
    <col min="8696" max="8697" width="10.140625" style="1" customWidth="1"/>
    <col min="8698" max="8701" width="10" style="1" customWidth="1"/>
    <col min="8702" max="8702" width="10.140625" style="1" customWidth="1"/>
    <col min="8703" max="8704" width="10" style="1" customWidth="1"/>
    <col min="8705" max="8705" width="10.28515625" style="1" customWidth="1"/>
    <col min="8706" max="8706" width="13.140625" style="1" customWidth="1"/>
    <col min="8707" max="8707" width="7.85546875" style="1" customWidth="1"/>
    <col min="8708" max="8709" width="9.140625" style="1" customWidth="1"/>
    <col min="8710" max="8710" width="11.7109375" style="1" customWidth="1"/>
    <col min="8711" max="8711" width="11.5703125" style="1" bestFit="1" customWidth="1"/>
    <col min="8712" max="8718" width="10.28515625" style="1" bestFit="1" customWidth="1"/>
    <col min="8719" max="8722" width="9.28515625" style="1" bestFit="1" customWidth="1"/>
    <col min="8723" max="8723" width="9.85546875" style="1" bestFit="1" customWidth="1"/>
    <col min="8724" max="8724" width="10.85546875" style="1" bestFit="1" customWidth="1"/>
    <col min="8725" max="8923" width="9.140625" style="1"/>
    <col min="8924" max="8924" width="9.28515625" style="1" bestFit="1" customWidth="1"/>
    <col min="8925" max="8925" width="28.140625" style="1" bestFit="1" customWidth="1"/>
    <col min="8926" max="8926" width="15.7109375" style="1" customWidth="1"/>
    <col min="8927" max="8927" width="9.140625" style="1" customWidth="1"/>
    <col min="8928" max="8928" width="14.28515625" style="1" customWidth="1"/>
    <col min="8929" max="8929" width="9.140625" style="1" customWidth="1"/>
    <col min="8930" max="8931" width="12.85546875" style="1" customWidth="1"/>
    <col min="8932" max="8932" width="9.140625" style="1" customWidth="1"/>
    <col min="8933" max="8933" width="10.7109375" style="1" customWidth="1"/>
    <col min="8934" max="8935" width="12" style="1" customWidth="1"/>
    <col min="8936" max="8943" width="10.7109375" style="1" customWidth="1"/>
    <col min="8944" max="8944" width="10.5703125" style="1" customWidth="1"/>
    <col min="8945" max="8945" width="11.140625" style="1" customWidth="1"/>
    <col min="8946" max="8946" width="10.7109375" style="1" customWidth="1"/>
    <col min="8947" max="8948" width="9.140625" style="1" customWidth="1"/>
    <col min="8949" max="8949" width="10.28515625" style="1" customWidth="1"/>
    <col min="8950" max="8951" width="10" style="1" customWidth="1"/>
    <col min="8952" max="8953" width="10.140625" style="1" customWidth="1"/>
    <col min="8954" max="8957" width="10" style="1" customWidth="1"/>
    <col min="8958" max="8958" width="10.140625" style="1" customWidth="1"/>
    <col min="8959" max="8960" width="10" style="1" customWidth="1"/>
    <col min="8961" max="8961" width="10.28515625" style="1" customWidth="1"/>
    <col min="8962" max="8962" width="13.140625" style="1" customWidth="1"/>
    <col min="8963" max="8963" width="7.85546875" style="1" customWidth="1"/>
    <col min="8964" max="8965" width="9.140625" style="1" customWidth="1"/>
    <col min="8966" max="8966" width="11.7109375" style="1" customWidth="1"/>
    <col min="8967" max="8967" width="11.5703125" style="1" bestFit="1" customWidth="1"/>
    <col min="8968" max="8974" width="10.28515625" style="1" bestFit="1" customWidth="1"/>
    <col min="8975" max="8978" width="9.28515625" style="1" bestFit="1" customWidth="1"/>
    <col min="8979" max="8979" width="9.85546875" style="1" bestFit="1" customWidth="1"/>
    <col min="8980" max="8980" width="10.85546875" style="1" bestFit="1" customWidth="1"/>
    <col min="8981" max="9179" width="9.140625" style="1"/>
    <col min="9180" max="9180" width="9.28515625" style="1" bestFit="1" customWidth="1"/>
    <col min="9181" max="9181" width="28.140625" style="1" bestFit="1" customWidth="1"/>
    <col min="9182" max="9182" width="15.7109375" style="1" customWidth="1"/>
    <col min="9183" max="9183" width="9.140625" style="1" customWidth="1"/>
    <col min="9184" max="9184" width="14.28515625" style="1" customWidth="1"/>
    <col min="9185" max="9185" width="9.140625" style="1" customWidth="1"/>
    <col min="9186" max="9187" width="12.85546875" style="1" customWidth="1"/>
    <col min="9188" max="9188" width="9.140625" style="1" customWidth="1"/>
    <col min="9189" max="9189" width="10.7109375" style="1" customWidth="1"/>
    <col min="9190" max="9191" width="12" style="1" customWidth="1"/>
    <col min="9192" max="9199" width="10.7109375" style="1" customWidth="1"/>
    <col min="9200" max="9200" width="10.5703125" style="1" customWidth="1"/>
    <col min="9201" max="9201" width="11.140625" style="1" customWidth="1"/>
    <col min="9202" max="9202" width="10.7109375" style="1" customWidth="1"/>
    <col min="9203" max="9204" width="9.140625" style="1" customWidth="1"/>
    <col min="9205" max="9205" width="10.28515625" style="1" customWidth="1"/>
    <col min="9206" max="9207" width="10" style="1" customWidth="1"/>
    <col min="9208" max="9209" width="10.140625" style="1" customWidth="1"/>
    <col min="9210" max="9213" width="10" style="1" customWidth="1"/>
    <col min="9214" max="9214" width="10.140625" style="1" customWidth="1"/>
    <col min="9215" max="9216" width="10" style="1" customWidth="1"/>
    <col min="9217" max="9217" width="10.28515625" style="1" customWidth="1"/>
    <col min="9218" max="9218" width="13.140625" style="1" customWidth="1"/>
    <col min="9219" max="9219" width="7.85546875" style="1" customWidth="1"/>
    <col min="9220" max="9221" width="9.140625" style="1" customWidth="1"/>
    <col min="9222" max="9222" width="11.7109375" style="1" customWidth="1"/>
    <col min="9223" max="9223" width="11.5703125" style="1" bestFit="1" customWidth="1"/>
    <col min="9224" max="9230" width="10.28515625" style="1" bestFit="1" customWidth="1"/>
    <col min="9231" max="9234" width="9.28515625" style="1" bestFit="1" customWidth="1"/>
    <col min="9235" max="9235" width="9.85546875" style="1" bestFit="1" customWidth="1"/>
    <col min="9236" max="9236" width="10.85546875" style="1" bestFit="1" customWidth="1"/>
    <col min="9237" max="9435" width="9.140625" style="1"/>
    <col min="9436" max="9436" width="9.28515625" style="1" bestFit="1" customWidth="1"/>
    <col min="9437" max="9437" width="28.140625" style="1" bestFit="1" customWidth="1"/>
    <col min="9438" max="9438" width="15.7109375" style="1" customWidth="1"/>
    <col min="9439" max="9439" width="9.140625" style="1" customWidth="1"/>
    <col min="9440" max="9440" width="14.28515625" style="1" customWidth="1"/>
    <col min="9441" max="9441" width="9.140625" style="1" customWidth="1"/>
    <col min="9442" max="9443" width="12.85546875" style="1" customWidth="1"/>
    <col min="9444" max="9444" width="9.140625" style="1" customWidth="1"/>
    <col min="9445" max="9445" width="10.7109375" style="1" customWidth="1"/>
    <col min="9446" max="9447" width="12" style="1" customWidth="1"/>
    <col min="9448" max="9455" width="10.7109375" style="1" customWidth="1"/>
    <col min="9456" max="9456" width="10.5703125" style="1" customWidth="1"/>
    <col min="9457" max="9457" width="11.140625" style="1" customWidth="1"/>
    <col min="9458" max="9458" width="10.7109375" style="1" customWidth="1"/>
    <col min="9459" max="9460" width="9.140625" style="1" customWidth="1"/>
    <col min="9461" max="9461" width="10.28515625" style="1" customWidth="1"/>
    <col min="9462" max="9463" width="10" style="1" customWidth="1"/>
    <col min="9464" max="9465" width="10.140625" style="1" customWidth="1"/>
    <col min="9466" max="9469" width="10" style="1" customWidth="1"/>
    <col min="9470" max="9470" width="10.140625" style="1" customWidth="1"/>
    <col min="9471" max="9472" width="10" style="1" customWidth="1"/>
    <col min="9473" max="9473" width="10.28515625" style="1" customWidth="1"/>
    <col min="9474" max="9474" width="13.140625" style="1" customWidth="1"/>
    <col min="9475" max="9475" width="7.85546875" style="1" customWidth="1"/>
    <col min="9476" max="9477" width="9.140625" style="1" customWidth="1"/>
    <col min="9478" max="9478" width="11.7109375" style="1" customWidth="1"/>
    <col min="9479" max="9479" width="11.5703125" style="1" bestFit="1" customWidth="1"/>
    <col min="9480" max="9486" width="10.28515625" style="1" bestFit="1" customWidth="1"/>
    <col min="9487" max="9490" width="9.28515625" style="1" bestFit="1" customWidth="1"/>
    <col min="9491" max="9491" width="9.85546875" style="1" bestFit="1" customWidth="1"/>
    <col min="9492" max="9492" width="10.85546875" style="1" bestFit="1" customWidth="1"/>
    <col min="9493" max="9691" width="9.140625" style="1"/>
    <col min="9692" max="9692" width="9.28515625" style="1" bestFit="1" customWidth="1"/>
    <col min="9693" max="9693" width="28.140625" style="1" bestFit="1" customWidth="1"/>
    <col min="9694" max="9694" width="15.7109375" style="1" customWidth="1"/>
    <col min="9695" max="9695" width="9.140625" style="1" customWidth="1"/>
    <col min="9696" max="9696" width="14.28515625" style="1" customWidth="1"/>
    <col min="9697" max="9697" width="9.140625" style="1" customWidth="1"/>
    <col min="9698" max="9699" width="12.85546875" style="1" customWidth="1"/>
    <col min="9700" max="9700" width="9.140625" style="1" customWidth="1"/>
    <col min="9701" max="9701" width="10.7109375" style="1" customWidth="1"/>
    <col min="9702" max="9703" width="12" style="1" customWidth="1"/>
    <col min="9704" max="9711" width="10.7109375" style="1" customWidth="1"/>
    <col min="9712" max="9712" width="10.5703125" style="1" customWidth="1"/>
    <col min="9713" max="9713" width="11.140625" style="1" customWidth="1"/>
    <col min="9714" max="9714" width="10.7109375" style="1" customWidth="1"/>
    <col min="9715" max="9716" width="9.140625" style="1" customWidth="1"/>
    <col min="9717" max="9717" width="10.28515625" style="1" customWidth="1"/>
    <col min="9718" max="9719" width="10" style="1" customWidth="1"/>
    <col min="9720" max="9721" width="10.140625" style="1" customWidth="1"/>
    <col min="9722" max="9725" width="10" style="1" customWidth="1"/>
    <col min="9726" max="9726" width="10.140625" style="1" customWidth="1"/>
    <col min="9727" max="9728" width="10" style="1" customWidth="1"/>
    <col min="9729" max="9729" width="10.28515625" style="1" customWidth="1"/>
    <col min="9730" max="9730" width="13.140625" style="1" customWidth="1"/>
    <col min="9731" max="9731" width="7.85546875" style="1" customWidth="1"/>
    <col min="9732" max="9733" width="9.140625" style="1" customWidth="1"/>
    <col min="9734" max="9734" width="11.7109375" style="1" customWidth="1"/>
    <col min="9735" max="9735" width="11.5703125" style="1" bestFit="1" customWidth="1"/>
    <col min="9736" max="9742" width="10.28515625" style="1" bestFit="1" customWidth="1"/>
    <col min="9743" max="9746" width="9.28515625" style="1" bestFit="1" customWidth="1"/>
    <col min="9747" max="9747" width="9.85546875" style="1" bestFit="1" customWidth="1"/>
    <col min="9748" max="9748" width="10.85546875" style="1" bestFit="1" customWidth="1"/>
    <col min="9749" max="9947" width="9.140625" style="1"/>
    <col min="9948" max="9948" width="9.28515625" style="1" bestFit="1" customWidth="1"/>
    <col min="9949" max="9949" width="28.140625" style="1" bestFit="1" customWidth="1"/>
    <col min="9950" max="9950" width="15.7109375" style="1" customWidth="1"/>
    <col min="9951" max="9951" width="9.140625" style="1" customWidth="1"/>
    <col min="9952" max="9952" width="14.28515625" style="1" customWidth="1"/>
    <col min="9953" max="9953" width="9.140625" style="1" customWidth="1"/>
    <col min="9954" max="9955" width="12.85546875" style="1" customWidth="1"/>
    <col min="9956" max="9956" width="9.140625" style="1" customWidth="1"/>
    <col min="9957" max="9957" width="10.7109375" style="1" customWidth="1"/>
    <col min="9958" max="9959" width="12" style="1" customWidth="1"/>
    <col min="9960" max="9967" width="10.7109375" style="1" customWidth="1"/>
    <col min="9968" max="9968" width="10.5703125" style="1" customWidth="1"/>
    <col min="9969" max="9969" width="11.140625" style="1" customWidth="1"/>
    <col min="9970" max="9970" width="10.7109375" style="1" customWidth="1"/>
    <col min="9971" max="9972" width="9.140625" style="1" customWidth="1"/>
    <col min="9973" max="9973" width="10.28515625" style="1" customWidth="1"/>
    <col min="9974" max="9975" width="10" style="1" customWidth="1"/>
    <col min="9976" max="9977" width="10.140625" style="1" customWidth="1"/>
    <col min="9978" max="9981" width="10" style="1" customWidth="1"/>
    <col min="9982" max="9982" width="10.140625" style="1" customWidth="1"/>
    <col min="9983" max="9984" width="10" style="1" customWidth="1"/>
    <col min="9985" max="9985" width="10.28515625" style="1" customWidth="1"/>
    <col min="9986" max="9986" width="13.140625" style="1" customWidth="1"/>
    <col min="9987" max="9987" width="7.85546875" style="1" customWidth="1"/>
    <col min="9988" max="9989" width="9.140625" style="1" customWidth="1"/>
    <col min="9990" max="9990" width="11.7109375" style="1" customWidth="1"/>
    <col min="9991" max="9991" width="11.5703125" style="1" bestFit="1" customWidth="1"/>
    <col min="9992" max="9998" width="10.28515625" style="1" bestFit="1" customWidth="1"/>
    <col min="9999" max="10002" width="9.28515625" style="1" bestFit="1" customWidth="1"/>
    <col min="10003" max="10003" width="9.85546875" style="1" bestFit="1" customWidth="1"/>
    <col min="10004" max="10004" width="10.85546875" style="1" bestFit="1" customWidth="1"/>
    <col min="10005" max="10203" width="9.140625" style="1"/>
    <col min="10204" max="10204" width="9.28515625" style="1" bestFit="1" customWidth="1"/>
    <col min="10205" max="10205" width="28.140625" style="1" bestFit="1" customWidth="1"/>
    <col min="10206" max="10206" width="15.7109375" style="1" customWidth="1"/>
    <col min="10207" max="10207" width="9.140625" style="1" customWidth="1"/>
    <col min="10208" max="10208" width="14.28515625" style="1" customWidth="1"/>
    <col min="10209" max="10209" width="9.140625" style="1" customWidth="1"/>
    <col min="10210" max="10211" width="12.85546875" style="1" customWidth="1"/>
    <col min="10212" max="10212" width="9.140625" style="1" customWidth="1"/>
    <col min="10213" max="10213" width="10.7109375" style="1" customWidth="1"/>
    <col min="10214" max="10215" width="12" style="1" customWidth="1"/>
    <col min="10216" max="10223" width="10.7109375" style="1" customWidth="1"/>
    <col min="10224" max="10224" width="10.5703125" style="1" customWidth="1"/>
    <col min="10225" max="10225" width="11.140625" style="1" customWidth="1"/>
    <col min="10226" max="10226" width="10.7109375" style="1" customWidth="1"/>
    <col min="10227" max="10228" width="9.140625" style="1" customWidth="1"/>
    <col min="10229" max="10229" width="10.28515625" style="1" customWidth="1"/>
    <col min="10230" max="10231" width="10" style="1" customWidth="1"/>
    <col min="10232" max="10233" width="10.140625" style="1" customWidth="1"/>
    <col min="10234" max="10237" width="10" style="1" customWidth="1"/>
    <col min="10238" max="10238" width="10.140625" style="1" customWidth="1"/>
    <col min="10239" max="10240" width="10" style="1" customWidth="1"/>
    <col min="10241" max="10241" width="10.28515625" style="1" customWidth="1"/>
    <col min="10242" max="10242" width="13.140625" style="1" customWidth="1"/>
    <col min="10243" max="10243" width="7.85546875" style="1" customWidth="1"/>
    <col min="10244" max="10245" width="9.140625" style="1" customWidth="1"/>
    <col min="10246" max="10246" width="11.7109375" style="1" customWidth="1"/>
    <col min="10247" max="10247" width="11.5703125" style="1" bestFit="1" customWidth="1"/>
    <col min="10248" max="10254" width="10.28515625" style="1" bestFit="1" customWidth="1"/>
    <col min="10255" max="10258" width="9.28515625" style="1" bestFit="1" customWidth="1"/>
    <col min="10259" max="10259" width="9.85546875" style="1" bestFit="1" customWidth="1"/>
    <col min="10260" max="10260" width="10.85546875" style="1" bestFit="1" customWidth="1"/>
    <col min="10261" max="10459" width="9.140625" style="1"/>
    <col min="10460" max="10460" width="9.28515625" style="1" bestFit="1" customWidth="1"/>
    <col min="10461" max="10461" width="28.140625" style="1" bestFit="1" customWidth="1"/>
    <col min="10462" max="10462" width="15.7109375" style="1" customWidth="1"/>
    <col min="10463" max="10463" width="9.140625" style="1" customWidth="1"/>
    <col min="10464" max="10464" width="14.28515625" style="1" customWidth="1"/>
    <col min="10465" max="10465" width="9.140625" style="1" customWidth="1"/>
    <col min="10466" max="10467" width="12.85546875" style="1" customWidth="1"/>
    <col min="10468" max="10468" width="9.140625" style="1" customWidth="1"/>
    <col min="10469" max="10469" width="10.7109375" style="1" customWidth="1"/>
    <col min="10470" max="10471" width="12" style="1" customWidth="1"/>
    <col min="10472" max="10479" width="10.7109375" style="1" customWidth="1"/>
    <col min="10480" max="10480" width="10.5703125" style="1" customWidth="1"/>
    <col min="10481" max="10481" width="11.140625" style="1" customWidth="1"/>
    <col min="10482" max="10482" width="10.7109375" style="1" customWidth="1"/>
    <col min="10483" max="10484" width="9.140625" style="1" customWidth="1"/>
    <col min="10485" max="10485" width="10.28515625" style="1" customWidth="1"/>
    <col min="10486" max="10487" width="10" style="1" customWidth="1"/>
    <col min="10488" max="10489" width="10.140625" style="1" customWidth="1"/>
    <col min="10490" max="10493" width="10" style="1" customWidth="1"/>
    <col min="10494" max="10494" width="10.140625" style="1" customWidth="1"/>
    <col min="10495" max="10496" width="10" style="1" customWidth="1"/>
    <col min="10497" max="10497" width="10.28515625" style="1" customWidth="1"/>
    <col min="10498" max="10498" width="13.140625" style="1" customWidth="1"/>
    <col min="10499" max="10499" width="7.85546875" style="1" customWidth="1"/>
    <col min="10500" max="10501" width="9.140625" style="1" customWidth="1"/>
    <col min="10502" max="10502" width="11.7109375" style="1" customWidth="1"/>
    <col min="10503" max="10503" width="11.5703125" style="1" bestFit="1" customWidth="1"/>
    <col min="10504" max="10510" width="10.28515625" style="1" bestFit="1" customWidth="1"/>
    <col min="10511" max="10514" width="9.28515625" style="1" bestFit="1" customWidth="1"/>
    <col min="10515" max="10515" width="9.85546875" style="1" bestFit="1" customWidth="1"/>
    <col min="10516" max="10516" width="10.85546875" style="1" bestFit="1" customWidth="1"/>
    <col min="10517" max="10715" width="9.140625" style="1"/>
    <col min="10716" max="10716" width="9.28515625" style="1" bestFit="1" customWidth="1"/>
    <col min="10717" max="10717" width="28.140625" style="1" bestFit="1" customWidth="1"/>
    <col min="10718" max="10718" width="15.7109375" style="1" customWidth="1"/>
    <col min="10719" max="10719" width="9.140625" style="1" customWidth="1"/>
    <col min="10720" max="10720" width="14.28515625" style="1" customWidth="1"/>
    <col min="10721" max="10721" width="9.140625" style="1" customWidth="1"/>
    <col min="10722" max="10723" width="12.85546875" style="1" customWidth="1"/>
    <col min="10724" max="10724" width="9.140625" style="1" customWidth="1"/>
    <col min="10725" max="10725" width="10.7109375" style="1" customWidth="1"/>
    <col min="10726" max="10727" width="12" style="1" customWidth="1"/>
    <col min="10728" max="10735" width="10.7109375" style="1" customWidth="1"/>
    <col min="10736" max="10736" width="10.5703125" style="1" customWidth="1"/>
    <col min="10737" max="10737" width="11.140625" style="1" customWidth="1"/>
    <col min="10738" max="10738" width="10.7109375" style="1" customWidth="1"/>
    <col min="10739" max="10740" width="9.140625" style="1" customWidth="1"/>
    <col min="10741" max="10741" width="10.28515625" style="1" customWidth="1"/>
    <col min="10742" max="10743" width="10" style="1" customWidth="1"/>
    <col min="10744" max="10745" width="10.140625" style="1" customWidth="1"/>
    <col min="10746" max="10749" width="10" style="1" customWidth="1"/>
    <col min="10750" max="10750" width="10.140625" style="1" customWidth="1"/>
    <col min="10751" max="10752" width="10" style="1" customWidth="1"/>
    <col min="10753" max="10753" width="10.28515625" style="1" customWidth="1"/>
    <col min="10754" max="10754" width="13.140625" style="1" customWidth="1"/>
    <col min="10755" max="10755" width="7.85546875" style="1" customWidth="1"/>
    <col min="10756" max="10757" width="9.140625" style="1" customWidth="1"/>
    <col min="10758" max="10758" width="11.7109375" style="1" customWidth="1"/>
    <col min="10759" max="10759" width="11.5703125" style="1" bestFit="1" customWidth="1"/>
    <col min="10760" max="10766" width="10.28515625" style="1" bestFit="1" customWidth="1"/>
    <col min="10767" max="10770" width="9.28515625" style="1" bestFit="1" customWidth="1"/>
    <col min="10771" max="10771" width="9.85546875" style="1" bestFit="1" customWidth="1"/>
    <col min="10772" max="10772" width="10.85546875" style="1" bestFit="1" customWidth="1"/>
    <col min="10773" max="10971" width="9.140625" style="1"/>
    <col min="10972" max="10972" width="9.28515625" style="1" bestFit="1" customWidth="1"/>
    <col min="10973" max="10973" width="28.140625" style="1" bestFit="1" customWidth="1"/>
    <col min="10974" max="10974" width="15.7109375" style="1" customWidth="1"/>
    <col min="10975" max="10975" width="9.140625" style="1" customWidth="1"/>
    <col min="10976" max="10976" width="14.28515625" style="1" customWidth="1"/>
    <col min="10977" max="10977" width="9.140625" style="1" customWidth="1"/>
    <col min="10978" max="10979" width="12.85546875" style="1" customWidth="1"/>
    <col min="10980" max="10980" width="9.140625" style="1" customWidth="1"/>
    <col min="10981" max="10981" width="10.7109375" style="1" customWidth="1"/>
    <col min="10982" max="10983" width="12" style="1" customWidth="1"/>
    <col min="10984" max="10991" width="10.7109375" style="1" customWidth="1"/>
    <col min="10992" max="10992" width="10.5703125" style="1" customWidth="1"/>
    <col min="10993" max="10993" width="11.140625" style="1" customWidth="1"/>
    <col min="10994" max="10994" width="10.7109375" style="1" customWidth="1"/>
    <col min="10995" max="10996" width="9.140625" style="1" customWidth="1"/>
    <col min="10997" max="10997" width="10.28515625" style="1" customWidth="1"/>
    <col min="10998" max="10999" width="10" style="1" customWidth="1"/>
    <col min="11000" max="11001" width="10.140625" style="1" customWidth="1"/>
    <col min="11002" max="11005" width="10" style="1" customWidth="1"/>
    <col min="11006" max="11006" width="10.140625" style="1" customWidth="1"/>
    <col min="11007" max="11008" width="10" style="1" customWidth="1"/>
    <col min="11009" max="11009" width="10.28515625" style="1" customWidth="1"/>
    <col min="11010" max="11010" width="13.140625" style="1" customWidth="1"/>
    <col min="11011" max="11011" width="7.85546875" style="1" customWidth="1"/>
    <col min="11012" max="11013" width="9.140625" style="1" customWidth="1"/>
    <col min="11014" max="11014" width="11.7109375" style="1" customWidth="1"/>
    <col min="11015" max="11015" width="11.5703125" style="1" bestFit="1" customWidth="1"/>
    <col min="11016" max="11022" width="10.28515625" style="1" bestFit="1" customWidth="1"/>
    <col min="11023" max="11026" width="9.28515625" style="1" bestFit="1" customWidth="1"/>
    <col min="11027" max="11027" width="9.85546875" style="1" bestFit="1" customWidth="1"/>
    <col min="11028" max="11028" width="10.85546875" style="1" bestFit="1" customWidth="1"/>
    <col min="11029" max="11227" width="9.140625" style="1"/>
    <col min="11228" max="11228" width="9.28515625" style="1" bestFit="1" customWidth="1"/>
    <col min="11229" max="11229" width="28.140625" style="1" bestFit="1" customWidth="1"/>
    <col min="11230" max="11230" width="15.7109375" style="1" customWidth="1"/>
    <col min="11231" max="11231" width="9.140625" style="1" customWidth="1"/>
    <col min="11232" max="11232" width="14.28515625" style="1" customWidth="1"/>
    <col min="11233" max="11233" width="9.140625" style="1" customWidth="1"/>
    <col min="11234" max="11235" width="12.85546875" style="1" customWidth="1"/>
    <col min="11236" max="11236" width="9.140625" style="1" customWidth="1"/>
    <col min="11237" max="11237" width="10.7109375" style="1" customWidth="1"/>
    <col min="11238" max="11239" width="12" style="1" customWidth="1"/>
    <col min="11240" max="11247" width="10.7109375" style="1" customWidth="1"/>
    <col min="11248" max="11248" width="10.5703125" style="1" customWidth="1"/>
    <col min="11249" max="11249" width="11.140625" style="1" customWidth="1"/>
    <col min="11250" max="11250" width="10.7109375" style="1" customWidth="1"/>
    <col min="11251" max="11252" width="9.140625" style="1" customWidth="1"/>
    <col min="11253" max="11253" width="10.28515625" style="1" customWidth="1"/>
    <col min="11254" max="11255" width="10" style="1" customWidth="1"/>
    <col min="11256" max="11257" width="10.140625" style="1" customWidth="1"/>
    <col min="11258" max="11261" width="10" style="1" customWidth="1"/>
    <col min="11262" max="11262" width="10.140625" style="1" customWidth="1"/>
    <col min="11263" max="11264" width="10" style="1" customWidth="1"/>
    <col min="11265" max="11265" width="10.28515625" style="1" customWidth="1"/>
    <col min="11266" max="11266" width="13.140625" style="1" customWidth="1"/>
    <col min="11267" max="11267" width="7.85546875" style="1" customWidth="1"/>
    <col min="11268" max="11269" width="9.140625" style="1" customWidth="1"/>
    <col min="11270" max="11270" width="11.7109375" style="1" customWidth="1"/>
    <col min="11271" max="11271" width="11.5703125" style="1" bestFit="1" customWidth="1"/>
    <col min="11272" max="11278" width="10.28515625" style="1" bestFit="1" customWidth="1"/>
    <col min="11279" max="11282" width="9.28515625" style="1" bestFit="1" customWidth="1"/>
    <col min="11283" max="11283" width="9.85546875" style="1" bestFit="1" customWidth="1"/>
    <col min="11284" max="11284" width="10.85546875" style="1" bestFit="1" customWidth="1"/>
    <col min="11285" max="11483" width="9.140625" style="1"/>
    <col min="11484" max="11484" width="9.28515625" style="1" bestFit="1" customWidth="1"/>
    <col min="11485" max="11485" width="28.140625" style="1" bestFit="1" customWidth="1"/>
    <col min="11486" max="11486" width="15.7109375" style="1" customWidth="1"/>
    <col min="11487" max="11487" width="9.140625" style="1" customWidth="1"/>
    <col min="11488" max="11488" width="14.28515625" style="1" customWidth="1"/>
    <col min="11489" max="11489" width="9.140625" style="1" customWidth="1"/>
    <col min="11490" max="11491" width="12.85546875" style="1" customWidth="1"/>
    <col min="11492" max="11492" width="9.140625" style="1" customWidth="1"/>
    <col min="11493" max="11493" width="10.7109375" style="1" customWidth="1"/>
    <col min="11494" max="11495" width="12" style="1" customWidth="1"/>
    <col min="11496" max="11503" width="10.7109375" style="1" customWidth="1"/>
    <col min="11504" max="11504" width="10.5703125" style="1" customWidth="1"/>
    <col min="11505" max="11505" width="11.140625" style="1" customWidth="1"/>
    <col min="11506" max="11506" width="10.7109375" style="1" customWidth="1"/>
    <col min="11507" max="11508" width="9.140625" style="1" customWidth="1"/>
    <col min="11509" max="11509" width="10.28515625" style="1" customWidth="1"/>
    <col min="11510" max="11511" width="10" style="1" customWidth="1"/>
    <col min="11512" max="11513" width="10.140625" style="1" customWidth="1"/>
    <col min="11514" max="11517" width="10" style="1" customWidth="1"/>
    <col min="11518" max="11518" width="10.140625" style="1" customWidth="1"/>
    <col min="11519" max="11520" width="10" style="1" customWidth="1"/>
    <col min="11521" max="11521" width="10.28515625" style="1" customWidth="1"/>
    <col min="11522" max="11522" width="13.140625" style="1" customWidth="1"/>
    <col min="11523" max="11523" width="7.85546875" style="1" customWidth="1"/>
    <col min="11524" max="11525" width="9.140625" style="1" customWidth="1"/>
    <col min="11526" max="11526" width="11.7109375" style="1" customWidth="1"/>
    <col min="11527" max="11527" width="11.5703125" style="1" bestFit="1" customWidth="1"/>
    <col min="11528" max="11534" width="10.28515625" style="1" bestFit="1" customWidth="1"/>
    <col min="11535" max="11538" width="9.28515625" style="1" bestFit="1" customWidth="1"/>
    <col min="11539" max="11539" width="9.85546875" style="1" bestFit="1" customWidth="1"/>
    <col min="11540" max="11540" width="10.85546875" style="1" bestFit="1" customWidth="1"/>
    <col min="11541" max="11739" width="9.140625" style="1"/>
    <col min="11740" max="11740" width="9.28515625" style="1" bestFit="1" customWidth="1"/>
    <col min="11741" max="11741" width="28.140625" style="1" bestFit="1" customWidth="1"/>
    <col min="11742" max="11742" width="15.7109375" style="1" customWidth="1"/>
    <col min="11743" max="11743" width="9.140625" style="1" customWidth="1"/>
    <col min="11744" max="11744" width="14.28515625" style="1" customWidth="1"/>
    <col min="11745" max="11745" width="9.140625" style="1" customWidth="1"/>
    <col min="11746" max="11747" width="12.85546875" style="1" customWidth="1"/>
    <col min="11748" max="11748" width="9.140625" style="1" customWidth="1"/>
    <col min="11749" max="11749" width="10.7109375" style="1" customWidth="1"/>
    <col min="11750" max="11751" width="12" style="1" customWidth="1"/>
    <col min="11752" max="11759" width="10.7109375" style="1" customWidth="1"/>
    <col min="11760" max="11760" width="10.5703125" style="1" customWidth="1"/>
    <col min="11761" max="11761" width="11.140625" style="1" customWidth="1"/>
    <col min="11762" max="11762" width="10.7109375" style="1" customWidth="1"/>
    <col min="11763" max="11764" width="9.140625" style="1" customWidth="1"/>
    <col min="11765" max="11765" width="10.28515625" style="1" customWidth="1"/>
    <col min="11766" max="11767" width="10" style="1" customWidth="1"/>
    <col min="11768" max="11769" width="10.140625" style="1" customWidth="1"/>
    <col min="11770" max="11773" width="10" style="1" customWidth="1"/>
    <col min="11774" max="11774" width="10.140625" style="1" customWidth="1"/>
    <col min="11775" max="11776" width="10" style="1" customWidth="1"/>
    <col min="11777" max="11777" width="10.28515625" style="1" customWidth="1"/>
    <col min="11778" max="11778" width="13.140625" style="1" customWidth="1"/>
    <col min="11779" max="11779" width="7.85546875" style="1" customWidth="1"/>
    <col min="11780" max="11781" width="9.140625" style="1" customWidth="1"/>
    <col min="11782" max="11782" width="11.7109375" style="1" customWidth="1"/>
    <col min="11783" max="11783" width="11.5703125" style="1" bestFit="1" customWidth="1"/>
    <col min="11784" max="11790" width="10.28515625" style="1" bestFit="1" customWidth="1"/>
    <col min="11791" max="11794" width="9.28515625" style="1" bestFit="1" customWidth="1"/>
    <col min="11795" max="11795" width="9.85546875" style="1" bestFit="1" customWidth="1"/>
    <col min="11796" max="11796" width="10.85546875" style="1" bestFit="1" customWidth="1"/>
    <col min="11797" max="11995" width="9.140625" style="1"/>
    <col min="11996" max="11996" width="9.28515625" style="1" bestFit="1" customWidth="1"/>
    <col min="11997" max="11997" width="28.140625" style="1" bestFit="1" customWidth="1"/>
    <col min="11998" max="11998" width="15.7109375" style="1" customWidth="1"/>
    <col min="11999" max="11999" width="9.140625" style="1" customWidth="1"/>
    <col min="12000" max="12000" width="14.28515625" style="1" customWidth="1"/>
    <col min="12001" max="12001" width="9.140625" style="1" customWidth="1"/>
    <col min="12002" max="12003" width="12.85546875" style="1" customWidth="1"/>
    <col min="12004" max="12004" width="9.140625" style="1" customWidth="1"/>
    <col min="12005" max="12005" width="10.7109375" style="1" customWidth="1"/>
    <col min="12006" max="12007" width="12" style="1" customWidth="1"/>
    <col min="12008" max="12015" width="10.7109375" style="1" customWidth="1"/>
    <col min="12016" max="12016" width="10.5703125" style="1" customWidth="1"/>
    <col min="12017" max="12017" width="11.140625" style="1" customWidth="1"/>
    <col min="12018" max="12018" width="10.7109375" style="1" customWidth="1"/>
    <col min="12019" max="12020" width="9.140625" style="1" customWidth="1"/>
    <col min="12021" max="12021" width="10.28515625" style="1" customWidth="1"/>
    <col min="12022" max="12023" width="10" style="1" customWidth="1"/>
    <col min="12024" max="12025" width="10.140625" style="1" customWidth="1"/>
    <col min="12026" max="12029" width="10" style="1" customWidth="1"/>
    <col min="12030" max="12030" width="10.140625" style="1" customWidth="1"/>
    <col min="12031" max="12032" width="10" style="1" customWidth="1"/>
    <col min="12033" max="12033" width="10.28515625" style="1" customWidth="1"/>
    <col min="12034" max="12034" width="13.140625" style="1" customWidth="1"/>
    <col min="12035" max="12035" width="7.85546875" style="1" customWidth="1"/>
    <col min="12036" max="12037" width="9.140625" style="1" customWidth="1"/>
    <col min="12038" max="12038" width="11.7109375" style="1" customWidth="1"/>
    <col min="12039" max="12039" width="11.5703125" style="1" bestFit="1" customWidth="1"/>
    <col min="12040" max="12046" width="10.28515625" style="1" bestFit="1" customWidth="1"/>
    <col min="12047" max="12050" width="9.28515625" style="1" bestFit="1" customWidth="1"/>
    <col min="12051" max="12051" width="9.85546875" style="1" bestFit="1" customWidth="1"/>
    <col min="12052" max="12052" width="10.85546875" style="1" bestFit="1" customWidth="1"/>
    <col min="12053" max="12251" width="9.140625" style="1"/>
    <col min="12252" max="12252" width="9.28515625" style="1" bestFit="1" customWidth="1"/>
    <col min="12253" max="12253" width="28.140625" style="1" bestFit="1" customWidth="1"/>
    <col min="12254" max="12254" width="15.7109375" style="1" customWidth="1"/>
    <col min="12255" max="12255" width="9.140625" style="1" customWidth="1"/>
    <col min="12256" max="12256" width="14.28515625" style="1" customWidth="1"/>
    <col min="12257" max="12257" width="9.140625" style="1" customWidth="1"/>
    <col min="12258" max="12259" width="12.85546875" style="1" customWidth="1"/>
    <col min="12260" max="12260" width="9.140625" style="1" customWidth="1"/>
    <col min="12261" max="12261" width="10.7109375" style="1" customWidth="1"/>
    <col min="12262" max="12263" width="12" style="1" customWidth="1"/>
    <col min="12264" max="12271" width="10.7109375" style="1" customWidth="1"/>
    <col min="12272" max="12272" width="10.5703125" style="1" customWidth="1"/>
    <col min="12273" max="12273" width="11.140625" style="1" customWidth="1"/>
    <col min="12274" max="12274" width="10.7109375" style="1" customWidth="1"/>
    <col min="12275" max="12276" width="9.140625" style="1" customWidth="1"/>
    <col min="12277" max="12277" width="10.28515625" style="1" customWidth="1"/>
    <col min="12278" max="12279" width="10" style="1" customWidth="1"/>
    <col min="12280" max="12281" width="10.140625" style="1" customWidth="1"/>
    <col min="12282" max="12285" width="10" style="1" customWidth="1"/>
    <col min="12286" max="12286" width="10.140625" style="1" customWidth="1"/>
    <col min="12287" max="12288" width="10" style="1" customWidth="1"/>
    <col min="12289" max="12289" width="10.28515625" style="1" customWidth="1"/>
    <col min="12290" max="12290" width="13.140625" style="1" customWidth="1"/>
    <col min="12291" max="12291" width="7.85546875" style="1" customWidth="1"/>
    <col min="12292" max="12293" width="9.140625" style="1" customWidth="1"/>
    <col min="12294" max="12294" width="11.7109375" style="1" customWidth="1"/>
    <col min="12295" max="12295" width="11.5703125" style="1" bestFit="1" customWidth="1"/>
    <col min="12296" max="12302" width="10.28515625" style="1" bestFit="1" customWidth="1"/>
    <col min="12303" max="12306" width="9.28515625" style="1" bestFit="1" customWidth="1"/>
    <col min="12307" max="12307" width="9.85546875" style="1" bestFit="1" customWidth="1"/>
    <col min="12308" max="12308" width="10.85546875" style="1" bestFit="1" customWidth="1"/>
    <col min="12309" max="12507" width="9.140625" style="1"/>
    <col min="12508" max="12508" width="9.28515625" style="1" bestFit="1" customWidth="1"/>
    <col min="12509" max="12509" width="28.140625" style="1" bestFit="1" customWidth="1"/>
    <col min="12510" max="12510" width="15.7109375" style="1" customWidth="1"/>
    <col min="12511" max="12511" width="9.140625" style="1" customWidth="1"/>
    <col min="12512" max="12512" width="14.28515625" style="1" customWidth="1"/>
    <col min="12513" max="12513" width="9.140625" style="1" customWidth="1"/>
    <col min="12514" max="12515" width="12.85546875" style="1" customWidth="1"/>
    <col min="12516" max="12516" width="9.140625" style="1" customWidth="1"/>
    <col min="12517" max="12517" width="10.7109375" style="1" customWidth="1"/>
    <col min="12518" max="12519" width="12" style="1" customWidth="1"/>
    <col min="12520" max="12527" width="10.7109375" style="1" customWidth="1"/>
    <col min="12528" max="12528" width="10.5703125" style="1" customWidth="1"/>
    <col min="12529" max="12529" width="11.140625" style="1" customWidth="1"/>
    <col min="12530" max="12530" width="10.7109375" style="1" customWidth="1"/>
    <col min="12531" max="12532" width="9.140625" style="1" customWidth="1"/>
    <col min="12533" max="12533" width="10.28515625" style="1" customWidth="1"/>
    <col min="12534" max="12535" width="10" style="1" customWidth="1"/>
    <col min="12536" max="12537" width="10.140625" style="1" customWidth="1"/>
    <col min="12538" max="12541" width="10" style="1" customWidth="1"/>
    <col min="12542" max="12542" width="10.140625" style="1" customWidth="1"/>
    <col min="12543" max="12544" width="10" style="1" customWidth="1"/>
    <col min="12545" max="12545" width="10.28515625" style="1" customWidth="1"/>
    <col min="12546" max="12546" width="13.140625" style="1" customWidth="1"/>
    <col min="12547" max="12547" width="7.85546875" style="1" customWidth="1"/>
    <col min="12548" max="12549" width="9.140625" style="1" customWidth="1"/>
    <col min="12550" max="12550" width="11.7109375" style="1" customWidth="1"/>
    <col min="12551" max="12551" width="11.5703125" style="1" bestFit="1" customWidth="1"/>
    <col min="12552" max="12558" width="10.28515625" style="1" bestFit="1" customWidth="1"/>
    <col min="12559" max="12562" width="9.28515625" style="1" bestFit="1" customWidth="1"/>
    <col min="12563" max="12563" width="9.85546875" style="1" bestFit="1" customWidth="1"/>
    <col min="12564" max="12564" width="10.85546875" style="1" bestFit="1" customWidth="1"/>
    <col min="12565" max="12763" width="9.140625" style="1"/>
    <col min="12764" max="12764" width="9.28515625" style="1" bestFit="1" customWidth="1"/>
    <col min="12765" max="12765" width="28.140625" style="1" bestFit="1" customWidth="1"/>
    <col min="12766" max="12766" width="15.7109375" style="1" customWidth="1"/>
    <col min="12767" max="12767" width="9.140625" style="1" customWidth="1"/>
    <col min="12768" max="12768" width="14.28515625" style="1" customWidth="1"/>
    <col min="12769" max="12769" width="9.140625" style="1" customWidth="1"/>
    <col min="12770" max="12771" width="12.85546875" style="1" customWidth="1"/>
    <col min="12772" max="12772" width="9.140625" style="1" customWidth="1"/>
    <col min="12773" max="12773" width="10.7109375" style="1" customWidth="1"/>
    <col min="12774" max="12775" width="12" style="1" customWidth="1"/>
    <col min="12776" max="12783" width="10.7109375" style="1" customWidth="1"/>
    <col min="12784" max="12784" width="10.5703125" style="1" customWidth="1"/>
    <col min="12785" max="12785" width="11.140625" style="1" customWidth="1"/>
    <col min="12786" max="12786" width="10.7109375" style="1" customWidth="1"/>
    <col min="12787" max="12788" width="9.140625" style="1" customWidth="1"/>
    <col min="12789" max="12789" width="10.28515625" style="1" customWidth="1"/>
    <col min="12790" max="12791" width="10" style="1" customWidth="1"/>
    <col min="12792" max="12793" width="10.140625" style="1" customWidth="1"/>
    <col min="12794" max="12797" width="10" style="1" customWidth="1"/>
    <col min="12798" max="12798" width="10.140625" style="1" customWidth="1"/>
    <col min="12799" max="12800" width="10" style="1" customWidth="1"/>
    <col min="12801" max="12801" width="10.28515625" style="1" customWidth="1"/>
    <col min="12802" max="12802" width="13.140625" style="1" customWidth="1"/>
    <col min="12803" max="12803" width="7.85546875" style="1" customWidth="1"/>
    <col min="12804" max="12805" width="9.140625" style="1" customWidth="1"/>
    <col min="12806" max="12806" width="11.7109375" style="1" customWidth="1"/>
    <col min="12807" max="12807" width="11.5703125" style="1" bestFit="1" customWidth="1"/>
    <col min="12808" max="12814" width="10.28515625" style="1" bestFit="1" customWidth="1"/>
    <col min="12815" max="12818" width="9.28515625" style="1" bestFit="1" customWidth="1"/>
    <col min="12819" max="12819" width="9.85546875" style="1" bestFit="1" customWidth="1"/>
    <col min="12820" max="12820" width="10.85546875" style="1" bestFit="1" customWidth="1"/>
    <col min="12821" max="13019" width="9.140625" style="1"/>
    <col min="13020" max="13020" width="9.28515625" style="1" bestFit="1" customWidth="1"/>
    <col min="13021" max="13021" width="28.140625" style="1" bestFit="1" customWidth="1"/>
    <col min="13022" max="13022" width="15.7109375" style="1" customWidth="1"/>
    <col min="13023" max="13023" width="9.140625" style="1" customWidth="1"/>
    <col min="13024" max="13024" width="14.28515625" style="1" customWidth="1"/>
    <col min="13025" max="13025" width="9.140625" style="1" customWidth="1"/>
    <col min="13026" max="13027" width="12.85546875" style="1" customWidth="1"/>
    <col min="13028" max="13028" width="9.140625" style="1" customWidth="1"/>
    <col min="13029" max="13029" width="10.7109375" style="1" customWidth="1"/>
    <col min="13030" max="13031" width="12" style="1" customWidth="1"/>
    <col min="13032" max="13039" width="10.7109375" style="1" customWidth="1"/>
    <col min="13040" max="13040" width="10.5703125" style="1" customWidth="1"/>
    <col min="13041" max="13041" width="11.140625" style="1" customWidth="1"/>
    <col min="13042" max="13042" width="10.7109375" style="1" customWidth="1"/>
    <col min="13043" max="13044" width="9.140625" style="1" customWidth="1"/>
    <col min="13045" max="13045" width="10.28515625" style="1" customWidth="1"/>
    <col min="13046" max="13047" width="10" style="1" customWidth="1"/>
    <col min="13048" max="13049" width="10.140625" style="1" customWidth="1"/>
    <col min="13050" max="13053" width="10" style="1" customWidth="1"/>
    <col min="13054" max="13054" width="10.140625" style="1" customWidth="1"/>
    <col min="13055" max="13056" width="10" style="1" customWidth="1"/>
    <col min="13057" max="13057" width="10.28515625" style="1" customWidth="1"/>
    <col min="13058" max="13058" width="13.140625" style="1" customWidth="1"/>
    <col min="13059" max="13059" width="7.85546875" style="1" customWidth="1"/>
    <col min="13060" max="13061" width="9.140625" style="1" customWidth="1"/>
    <col min="13062" max="13062" width="11.7109375" style="1" customWidth="1"/>
    <col min="13063" max="13063" width="11.5703125" style="1" bestFit="1" customWidth="1"/>
    <col min="13064" max="13070" width="10.28515625" style="1" bestFit="1" customWidth="1"/>
    <col min="13071" max="13074" width="9.28515625" style="1" bestFit="1" customWidth="1"/>
    <col min="13075" max="13075" width="9.85546875" style="1" bestFit="1" customWidth="1"/>
    <col min="13076" max="13076" width="10.85546875" style="1" bestFit="1" customWidth="1"/>
    <col min="13077" max="13275" width="9.140625" style="1"/>
    <col min="13276" max="13276" width="9.28515625" style="1" bestFit="1" customWidth="1"/>
    <col min="13277" max="13277" width="28.140625" style="1" bestFit="1" customWidth="1"/>
    <col min="13278" max="13278" width="15.7109375" style="1" customWidth="1"/>
    <col min="13279" max="13279" width="9.140625" style="1" customWidth="1"/>
    <col min="13280" max="13280" width="14.28515625" style="1" customWidth="1"/>
    <col min="13281" max="13281" width="9.140625" style="1" customWidth="1"/>
    <col min="13282" max="13283" width="12.85546875" style="1" customWidth="1"/>
    <col min="13284" max="13284" width="9.140625" style="1" customWidth="1"/>
    <col min="13285" max="13285" width="10.7109375" style="1" customWidth="1"/>
    <col min="13286" max="13287" width="12" style="1" customWidth="1"/>
    <col min="13288" max="13295" width="10.7109375" style="1" customWidth="1"/>
    <col min="13296" max="13296" width="10.5703125" style="1" customWidth="1"/>
    <col min="13297" max="13297" width="11.140625" style="1" customWidth="1"/>
    <col min="13298" max="13298" width="10.7109375" style="1" customWidth="1"/>
    <col min="13299" max="13300" width="9.140625" style="1" customWidth="1"/>
    <col min="13301" max="13301" width="10.28515625" style="1" customWidth="1"/>
    <col min="13302" max="13303" width="10" style="1" customWidth="1"/>
    <col min="13304" max="13305" width="10.140625" style="1" customWidth="1"/>
    <col min="13306" max="13309" width="10" style="1" customWidth="1"/>
    <col min="13310" max="13310" width="10.140625" style="1" customWidth="1"/>
    <col min="13311" max="13312" width="10" style="1" customWidth="1"/>
    <col min="13313" max="13313" width="10.28515625" style="1" customWidth="1"/>
    <col min="13314" max="13314" width="13.140625" style="1" customWidth="1"/>
    <col min="13315" max="13315" width="7.85546875" style="1" customWidth="1"/>
    <col min="13316" max="13317" width="9.140625" style="1" customWidth="1"/>
    <col min="13318" max="13318" width="11.7109375" style="1" customWidth="1"/>
    <col min="13319" max="13319" width="11.5703125" style="1" bestFit="1" customWidth="1"/>
    <col min="13320" max="13326" width="10.28515625" style="1" bestFit="1" customWidth="1"/>
    <col min="13327" max="13330" width="9.28515625" style="1" bestFit="1" customWidth="1"/>
    <col min="13331" max="13331" width="9.85546875" style="1" bestFit="1" customWidth="1"/>
    <col min="13332" max="13332" width="10.85546875" style="1" bestFit="1" customWidth="1"/>
    <col min="13333" max="13531" width="9.140625" style="1"/>
    <col min="13532" max="13532" width="9.28515625" style="1" bestFit="1" customWidth="1"/>
    <col min="13533" max="13533" width="28.140625" style="1" bestFit="1" customWidth="1"/>
    <col min="13534" max="13534" width="15.7109375" style="1" customWidth="1"/>
    <col min="13535" max="13535" width="9.140625" style="1" customWidth="1"/>
    <col min="13536" max="13536" width="14.28515625" style="1" customWidth="1"/>
    <col min="13537" max="13537" width="9.140625" style="1" customWidth="1"/>
    <col min="13538" max="13539" width="12.85546875" style="1" customWidth="1"/>
    <col min="13540" max="13540" width="9.140625" style="1" customWidth="1"/>
    <col min="13541" max="13541" width="10.7109375" style="1" customWidth="1"/>
    <col min="13542" max="13543" width="12" style="1" customWidth="1"/>
    <col min="13544" max="13551" width="10.7109375" style="1" customWidth="1"/>
    <col min="13552" max="13552" width="10.5703125" style="1" customWidth="1"/>
    <col min="13553" max="13553" width="11.140625" style="1" customWidth="1"/>
    <col min="13554" max="13554" width="10.7109375" style="1" customWidth="1"/>
    <col min="13555" max="13556" width="9.140625" style="1" customWidth="1"/>
    <col min="13557" max="13557" width="10.28515625" style="1" customWidth="1"/>
    <col min="13558" max="13559" width="10" style="1" customWidth="1"/>
    <col min="13560" max="13561" width="10.140625" style="1" customWidth="1"/>
    <col min="13562" max="13565" width="10" style="1" customWidth="1"/>
    <col min="13566" max="13566" width="10.140625" style="1" customWidth="1"/>
    <col min="13567" max="13568" width="10" style="1" customWidth="1"/>
    <col min="13569" max="13569" width="10.28515625" style="1" customWidth="1"/>
    <col min="13570" max="13570" width="13.140625" style="1" customWidth="1"/>
    <col min="13571" max="13571" width="7.85546875" style="1" customWidth="1"/>
    <col min="13572" max="13573" width="9.140625" style="1" customWidth="1"/>
    <col min="13574" max="13574" width="11.7109375" style="1" customWidth="1"/>
    <col min="13575" max="13575" width="11.5703125" style="1" bestFit="1" customWidth="1"/>
    <col min="13576" max="13582" width="10.28515625" style="1" bestFit="1" customWidth="1"/>
    <col min="13583" max="13586" width="9.28515625" style="1" bestFit="1" customWidth="1"/>
    <col min="13587" max="13587" width="9.85546875" style="1" bestFit="1" customWidth="1"/>
    <col min="13588" max="13588" width="10.85546875" style="1" bestFit="1" customWidth="1"/>
    <col min="13589" max="13787" width="9.140625" style="1"/>
    <col min="13788" max="13788" width="9.28515625" style="1" bestFit="1" customWidth="1"/>
    <col min="13789" max="13789" width="28.140625" style="1" bestFit="1" customWidth="1"/>
    <col min="13790" max="13790" width="15.7109375" style="1" customWidth="1"/>
    <col min="13791" max="13791" width="9.140625" style="1" customWidth="1"/>
    <col min="13792" max="13792" width="14.28515625" style="1" customWidth="1"/>
    <col min="13793" max="13793" width="9.140625" style="1" customWidth="1"/>
    <col min="13794" max="13795" width="12.85546875" style="1" customWidth="1"/>
    <col min="13796" max="13796" width="9.140625" style="1" customWidth="1"/>
    <col min="13797" max="13797" width="10.7109375" style="1" customWidth="1"/>
    <col min="13798" max="13799" width="12" style="1" customWidth="1"/>
    <col min="13800" max="13807" width="10.7109375" style="1" customWidth="1"/>
    <col min="13808" max="13808" width="10.5703125" style="1" customWidth="1"/>
    <col min="13809" max="13809" width="11.140625" style="1" customWidth="1"/>
    <col min="13810" max="13810" width="10.7109375" style="1" customWidth="1"/>
    <col min="13811" max="13812" width="9.140625" style="1" customWidth="1"/>
    <col min="13813" max="13813" width="10.28515625" style="1" customWidth="1"/>
    <col min="13814" max="13815" width="10" style="1" customWidth="1"/>
    <col min="13816" max="13817" width="10.140625" style="1" customWidth="1"/>
    <col min="13818" max="13821" width="10" style="1" customWidth="1"/>
    <col min="13822" max="13822" width="10.140625" style="1" customWidth="1"/>
    <col min="13823" max="13824" width="10" style="1" customWidth="1"/>
    <col min="13825" max="13825" width="10.28515625" style="1" customWidth="1"/>
    <col min="13826" max="13826" width="13.140625" style="1" customWidth="1"/>
    <col min="13827" max="13827" width="7.85546875" style="1" customWidth="1"/>
    <col min="13828" max="13829" width="9.140625" style="1" customWidth="1"/>
    <col min="13830" max="13830" width="11.7109375" style="1" customWidth="1"/>
    <col min="13831" max="13831" width="11.5703125" style="1" bestFit="1" customWidth="1"/>
    <col min="13832" max="13838" width="10.28515625" style="1" bestFit="1" customWidth="1"/>
    <col min="13839" max="13842" width="9.28515625" style="1" bestFit="1" customWidth="1"/>
    <col min="13843" max="13843" width="9.85546875" style="1" bestFit="1" customWidth="1"/>
    <col min="13844" max="13844" width="10.85546875" style="1" bestFit="1" customWidth="1"/>
    <col min="13845" max="14043" width="9.140625" style="1"/>
    <col min="14044" max="14044" width="9.28515625" style="1" bestFit="1" customWidth="1"/>
    <col min="14045" max="14045" width="28.140625" style="1" bestFit="1" customWidth="1"/>
    <col min="14046" max="14046" width="15.7109375" style="1" customWidth="1"/>
    <col min="14047" max="14047" width="9.140625" style="1" customWidth="1"/>
    <col min="14048" max="14048" width="14.28515625" style="1" customWidth="1"/>
    <col min="14049" max="14049" width="9.140625" style="1" customWidth="1"/>
    <col min="14050" max="14051" width="12.85546875" style="1" customWidth="1"/>
    <col min="14052" max="14052" width="9.140625" style="1" customWidth="1"/>
    <col min="14053" max="14053" width="10.7109375" style="1" customWidth="1"/>
    <col min="14054" max="14055" width="12" style="1" customWidth="1"/>
    <col min="14056" max="14063" width="10.7109375" style="1" customWidth="1"/>
    <col min="14064" max="14064" width="10.5703125" style="1" customWidth="1"/>
    <col min="14065" max="14065" width="11.140625" style="1" customWidth="1"/>
    <col min="14066" max="14066" width="10.7109375" style="1" customWidth="1"/>
    <col min="14067" max="14068" width="9.140625" style="1" customWidth="1"/>
    <col min="14069" max="14069" width="10.28515625" style="1" customWidth="1"/>
    <col min="14070" max="14071" width="10" style="1" customWidth="1"/>
    <col min="14072" max="14073" width="10.140625" style="1" customWidth="1"/>
    <col min="14074" max="14077" width="10" style="1" customWidth="1"/>
    <col min="14078" max="14078" width="10.140625" style="1" customWidth="1"/>
    <col min="14079" max="14080" width="10" style="1" customWidth="1"/>
    <col min="14081" max="14081" width="10.28515625" style="1" customWidth="1"/>
    <col min="14082" max="14082" width="13.140625" style="1" customWidth="1"/>
    <col min="14083" max="14083" width="7.85546875" style="1" customWidth="1"/>
    <col min="14084" max="14085" width="9.140625" style="1" customWidth="1"/>
    <col min="14086" max="14086" width="11.7109375" style="1" customWidth="1"/>
    <col min="14087" max="14087" width="11.5703125" style="1" bestFit="1" customWidth="1"/>
    <col min="14088" max="14094" width="10.28515625" style="1" bestFit="1" customWidth="1"/>
    <col min="14095" max="14098" width="9.28515625" style="1" bestFit="1" customWidth="1"/>
    <col min="14099" max="14099" width="9.85546875" style="1" bestFit="1" customWidth="1"/>
    <col min="14100" max="14100" width="10.85546875" style="1" bestFit="1" customWidth="1"/>
    <col min="14101" max="14299" width="9.140625" style="1"/>
    <col min="14300" max="14300" width="9.28515625" style="1" bestFit="1" customWidth="1"/>
    <col min="14301" max="14301" width="28.140625" style="1" bestFit="1" customWidth="1"/>
    <col min="14302" max="14302" width="15.7109375" style="1" customWidth="1"/>
    <col min="14303" max="14303" width="9.140625" style="1" customWidth="1"/>
    <col min="14304" max="14304" width="14.28515625" style="1" customWidth="1"/>
    <col min="14305" max="14305" width="9.140625" style="1" customWidth="1"/>
    <col min="14306" max="14307" width="12.85546875" style="1" customWidth="1"/>
    <col min="14308" max="14308" width="9.140625" style="1" customWidth="1"/>
    <col min="14309" max="14309" width="10.7109375" style="1" customWidth="1"/>
    <col min="14310" max="14311" width="12" style="1" customWidth="1"/>
    <col min="14312" max="14319" width="10.7109375" style="1" customWidth="1"/>
    <col min="14320" max="14320" width="10.5703125" style="1" customWidth="1"/>
    <col min="14321" max="14321" width="11.140625" style="1" customWidth="1"/>
    <col min="14322" max="14322" width="10.7109375" style="1" customWidth="1"/>
    <col min="14323" max="14324" width="9.140625" style="1" customWidth="1"/>
    <col min="14325" max="14325" width="10.28515625" style="1" customWidth="1"/>
    <col min="14326" max="14327" width="10" style="1" customWidth="1"/>
    <col min="14328" max="14329" width="10.140625" style="1" customWidth="1"/>
    <col min="14330" max="14333" width="10" style="1" customWidth="1"/>
    <col min="14334" max="14334" width="10.140625" style="1" customWidth="1"/>
    <col min="14335" max="14336" width="10" style="1" customWidth="1"/>
    <col min="14337" max="14337" width="10.28515625" style="1" customWidth="1"/>
    <col min="14338" max="14338" width="13.140625" style="1" customWidth="1"/>
    <col min="14339" max="14339" width="7.85546875" style="1" customWidth="1"/>
    <col min="14340" max="14341" width="9.140625" style="1" customWidth="1"/>
    <col min="14342" max="14342" width="11.7109375" style="1" customWidth="1"/>
    <col min="14343" max="14343" width="11.5703125" style="1" bestFit="1" customWidth="1"/>
    <col min="14344" max="14350" width="10.28515625" style="1" bestFit="1" customWidth="1"/>
    <col min="14351" max="14354" width="9.28515625" style="1" bestFit="1" customWidth="1"/>
    <col min="14355" max="14355" width="9.85546875" style="1" bestFit="1" customWidth="1"/>
    <col min="14356" max="14356" width="10.85546875" style="1" bestFit="1" customWidth="1"/>
    <col min="14357" max="14555" width="9.140625" style="1"/>
    <col min="14556" max="14556" width="9.28515625" style="1" bestFit="1" customWidth="1"/>
    <col min="14557" max="14557" width="28.140625" style="1" bestFit="1" customWidth="1"/>
    <col min="14558" max="14558" width="15.7109375" style="1" customWidth="1"/>
    <col min="14559" max="14559" width="9.140625" style="1" customWidth="1"/>
    <col min="14560" max="14560" width="14.28515625" style="1" customWidth="1"/>
    <col min="14561" max="14561" width="9.140625" style="1" customWidth="1"/>
    <col min="14562" max="14563" width="12.85546875" style="1" customWidth="1"/>
    <col min="14564" max="14564" width="9.140625" style="1" customWidth="1"/>
    <col min="14565" max="14565" width="10.7109375" style="1" customWidth="1"/>
    <col min="14566" max="14567" width="12" style="1" customWidth="1"/>
    <col min="14568" max="14575" width="10.7109375" style="1" customWidth="1"/>
    <col min="14576" max="14576" width="10.5703125" style="1" customWidth="1"/>
    <col min="14577" max="14577" width="11.140625" style="1" customWidth="1"/>
    <col min="14578" max="14578" width="10.7109375" style="1" customWidth="1"/>
    <col min="14579" max="14580" width="9.140625" style="1" customWidth="1"/>
    <col min="14581" max="14581" width="10.28515625" style="1" customWidth="1"/>
    <col min="14582" max="14583" width="10" style="1" customWidth="1"/>
    <col min="14584" max="14585" width="10.140625" style="1" customWidth="1"/>
    <col min="14586" max="14589" width="10" style="1" customWidth="1"/>
    <col min="14590" max="14590" width="10.140625" style="1" customWidth="1"/>
    <col min="14591" max="14592" width="10" style="1" customWidth="1"/>
    <col min="14593" max="14593" width="10.28515625" style="1" customWidth="1"/>
    <col min="14594" max="14594" width="13.140625" style="1" customWidth="1"/>
    <col min="14595" max="14595" width="7.85546875" style="1" customWidth="1"/>
    <col min="14596" max="14597" width="9.140625" style="1" customWidth="1"/>
    <col min="14598" max="14598" width="11.7109375" style="1" customWidth="1"/>
    <col min="14599" max="14599" width="11.5703125" style="1" bestFit="1" customWidth="1"/>
    <col min="14600" max="14606" width="10.28515625" style="1" bestFit="1" customWidth="1"/>
    <col min="14607" max="14610" width="9.28515625" style="1" bestFit="1" customWidth="1"/>
    <col min="14611" max="14611" width="9.85546875" style="1" bestFit="1" customWidth="1"/>
    <col min="14612" max="14612" width="10.85546875" style="1" bestFit="1" customWidth="1"/>
    <col min="14613" max="14811" width="9.140625" style="1"/>
    <col min="14812" max="14812" width="9.28515625" style="1" bestFit="1" customWidth="1"/>
    <col min="14813" max="14813" width="28.140625" style="1" bestFit="1" customWidth="1"/>
    <col min="14814" max="14814" width="15.7109375" style="1" customWidth="1"/>
    <col min="14815" max="14815" width="9.140625" style="1" customWidth="1"/>
    <col min="14816" max="14816" width="14.28515625" style="1" customWidth="1"/>
    <col min="14817" max="14817" width="9.140625" style="1" customWidth="1"/>
    <col min="14818" max="14819" width="12.85546875" style="1" customWidth="1"/>
    <col min="14820" max="14820" width="9.140625" style="1" customWidth="1"/>
    <col min="14821" max="14821" width="10.7109375" style="1" customWidth="1"/>
    <col min="14822" max="14823" width="12" style="1" customWidth="1"/>
    <col min="14824" max="14831" width="10.7109375" style="1" customWidth="1"/>
    <col min="14832" max="14832" width="10.5703125" style="1" customWidth="1"/>
    <col min="14833" max="14833" width="11.140625" style="1" customWidth="1"/>
    <col min="14834" max="14834" width="10.7109375" style="1" customWidth="1"/>
    <col min="14835" max="14836" width="9.140625" style="1" customWidth="1"/>
    <col min="14837" max="14837" width="10.28515625" style="1" customWidth="1"/>
    <col min="14838" max="14839" width="10" style="1" customWidth="1"/>
    <col min="14840" max="14841" width="10.140625" style="1" customWidth="1"/>
    <col min="14842" max="14845" width="10" style="1" customWidth="1"/>
    <col min="14846" max="14846" width="10.140625" style="1" customWidth="1"/>
    <col min="14847" max="14848" width="10" style="1" customWidth="1"/>
    <col min="14849" max="14849" width="10.28515625" style="1" customWidth="1"/>
    <col min="14850" max="14850" width="13.140625" style="1" customWidth="1"/>
    <col min="14851" max="14851" width="7.85546875" style="1" customWidth="1"/>
    <col min="14852" max="14853" width="9.140625" style="1" customWidth="1"/>
    <col min="14854" max="14854" width="11.7109375" style="1" customWidth="1"/>
    <col min="14855" max="14855" width="11.5703125" style="1" bestFit="1" customWidth="1"/>
    <col min="14856" max="14862" width="10.28515625" style="1" bestFit="1" customWidth="1"/>
    <col min="14863" max="14866" width="9.28515625" style="1" bestFit="1" customWidth="1"/>
    <col min="14867" max="14867" width="9.85546875" style="1" bestFit="1" customWidth="1"/>
    <col min="14868" max="14868" width="10.85546875" style="1" bestFit="1" customWidth="1"/>
    <col min="14869" max="15067" width="9.140625" style="1"/>
    <col min="15068" max="15068" width="9.28515625" style="1" bestFit="1" customWidth="1"/>
    <col min="15069" max="15069" width="28.140625" style="1" bestFit="1" customWidth="1"/>
    <col min="15070" max="15070" width="15.7109375" style="1" customWidth="1"/>
    <col min="15071" max="15071" width="9.140625" style="1" customWidth="1"/>
    <col min="15072" max="15072" width="14.28515625" style="1" customWidth="1"/>
    <col min="15073" max="15073" width="9.140625" style="1" customWidth="1"/>
    <col min="15074" max="15075" width="12.85546875" style="1" customWidth="1"/>
    <col min="15076" max="15076" width="9.140625" style="1" customWidth="1"/>
    <col min="15077" max="15077" width="10.7109375" style="1" customWidth="1"/>
    <col min="15078" max="15079" width="12" style="1" customWidth="1"/>
    <col min="15080" max="15087" width="10.7109375" style="1" customWidth="1"/>
    <col min="15088" max="15088" width="10.5703125" style="1" customWidth="1"/>
    <col min="15089" max="15089" width="11.140625" style="1" customWidth="1"/>
    <col min="15090" max="15090" width="10.7109375" style="1" customWidth="1"/>
    <col min="15091" max="15092" width="9.140625" style="1" customWidth="1"/>
    <col min="15093" max="15093" width="10.28515625" style="1" customWidth="1"/>
    <col min="15094" max="15095" width="10" style="1" customWidth="1"/>
    <col min="15096" max="15097" width="10.140625" style="1" customWidth="1"/>
    <col min="15098" max="15101" width="10" style="1" customWidth="1"/>
    <col min="15102" max="15102" width="10.140625" style="1" customWidth="1"/>
    <col min="15103" max="15104" width="10" style="1" customWidth="1"/>
    <col min="15105" max="15105" width="10.28515625" style="1" customWidth="1"/>
    <col min="15106" max="15106" width="13.140625" style="1" customWidth="1"/>
    <col min="15107" max="15107" width="7.85546875" style="1" customWidth="1"/>
    <col min="15108" max="15109" width="9.140625" style="1" customWidth="1"/>
    <col min="15110" max="15110" width="11.7109375" style="1" customWidth="1"/>
    <col min="15111" max="15111" width="11.5703125" style="1" bestFit="1" customWidth="1"/>
    <col min="15112" max="15118" width="10.28515625" style="1" bestFit="1" customWidth="1"/>
    <col min="15119" max="15122" width="9.28515625" style="1" bestFit="1" customWidth="1"/>
    <col min="15123" max="15123" width="9.85546875" style="1" bestFit="1" customWidth="1"/>
    <col min="15124" max="15124" width="10.85546875" style="1" bestFit="1" customWidth="1"/>
    <col min="15125" max="15323" width="9.140625" style="1"/>
    <col min="15324" max="15324" width="9.28515625" style="1" bestFit="1" customWidth="1"/>
    <col min="15325" max="15325" width="28.140625" style="1" bestFit="1" customWidth="1"/>
    <col min="15326" max="15326" width="15.7109375" style="1" customWidth="1"/>
    <col min="15327" max="15327" width="9.140625" style="1" customWidth="1"/>
    <col min="15328" max="15328" width="14.28515625" style="1" customWidth="1"/>
    <col min="15329" max="15329" width="9.140625" style="1" customWidth="1"/>
    <col min="15330" max="15331" width="12.85546875" style="1" customWidth="1"/>
    <col min="15332" max="15332" width="9.140625" style="1" customWidth="1"/>
    <col min="15333" max="15333" width="10.7109375" style="1" customWidth="1"/>
    <col min="15334" max="15335" width="12" style="1" customWidth="1"/>
    <col min="15336" max="15343" width="10.7109375" style="1" customWidth="1"/>
    <col min="15344" max="15344" width="10.5703125" style="1" customWidth="1"/>
    <col min="15345" max="15345" width="11.140625" style="1" customWidth="1"/>
    <col min="15346" max="15346" width="10.7109375" style="1" customWidth="1"/>
    <col min="15347" max="15348" width="9.140625" style="1" customWidth="1"/>
    <col min="15349" max="15349" width="10.28515625" style="1" customWidth="1"/>
    <col min="15350" max="15351" width="10" style="1" customWidth="1"/>
    <col min="15352" max="15353" width="10.140625" style="1" customWidth="1"/>
    <col min="15354" max="15357" width="10" style="1" customWidth="1"/>
    <col min="15358" max="15358" width="10.140625" style="1" customWidth="1"/>
    <col min="15359" max="15360" width="10" style="1" customWidth="1"/>
    <col min="15361" max="15361" width="10.28515625" style="1" customWidth="1"/>
    <col min="15362" max="15362" width="13.140625" style="1" customWidth="1"/>
    <col min="15363" max="15363" width="7.85546875" style="1" customWidth="1"/>
    <col min="15364" max="15365" width="9.140625" style="1" customWidth="1"/>
    <col min="15366" max="15366" width="11.7109375" style="1" customWidth="1"/>
    <col min="15367" max="15367" width="11.5703125" style="1" bestFit="1" customWidth="1"/>
    <col min="15368" max="15374" width="10.28515625" style="1" bestFit="1" customWidth="1"/>
    <col min="15375" max="15378" width="9.28515625" style="1" bestFit="1" customWidth="1"/>
    <col min="15379" max="15379" width="9.85546875" style="1" bestFit="1" customWidth="1"/>
    <col min="15380" max="15380" width="10.85546875" style="1" bestFit="1" customWidth="1"/>
    <col min="15381" max="15579" width="9.140625" style="1"/>
    <col min="15580" max="15580" width="9.28515625" style="1" bestFit="1" customWidth="1"/>
    <col min="15581" max="15581" width="28.140625" style="1" bestFit="1" customWidth="1"/>
    <col min="15582" max="15582" width="15.7109375" style="1" customWidth="1"/>
    <col min="15583" max="15583" width="9.140625" style="1" customWidth="1"/>
    <col min="15584" max="15584" width="14.28515625" style="1" customWidth="1"/>
    <col min="15585" max="15585" width="9.140625" style="1" customWidth="1"/>
    <col min="15586" max="15587" width="12.85546875" style="1" customWidth="1"/>
    <col min="15588" max="15588" width="9.140625" style="1" customWidth="1"/>
    <col min="15589" max="15589" width="10.7109375" style="1" customWidth="1"/>
    <col min="15590" max="15591" width="12" style="1" customWidth="1"/>
    <col min="15592" max="15599" width="10.7109375" style="1" customWidth="1"/>
    <col min="15600" max="15600" width="10.5703125" style="1" customWidth="1"/>
    <col min="15601" max="15601" width="11.140625" style="1" customWidth="1"/>
    <col min="15602" max="15602" width="10.7109375" style="1" customWidth="1"/>
    <col min="15603" max="15604" width="9.140625" style="1" customWidth="1"/>
    <col min="15605" max="15605" width="10.28515625" style="1" customWidth="1"/>
    <col min="15606" max="15607" width="10" style="1" customWidth="1"/>
    <col min="15608" max="15609" width="10.140625" style="1" customWidth="1"/>
    <col min="15610" max="15613" width="10" style="1" customWidth="1"/>
    <col min="15614" max="15614" width="10.140625" style="1" customWidth="1"/>
    <col min="15615" max="15616" width="10" style="1" customWidth="1"/>
    <col min="15617" max="15617" width="10.28515625" style="1" customWidth="1"/>
    <col min="15618" max="15618" width="13.140625" style="1" customWidth="1"/>
    <col min="15619" max="15619" width="7.85546875" style="1" customWidth="1"/>
    <col min="15620" max="15621" width="9.140625" style="1" customWidth="1"/>
    <col min="15622" max="15622" width="11.7109375" style="1" customWidth="1"/>
    <col min="15623" max="15623" width="11.5703125" style="1" bestFit="1" customWidth="1"/>
    <col min="15624" max="15630" width="10.28515625" style="1" bestFit="1" customWidth="1"/>
    <col min="15631" max="15634" width="9.28515625" style="1" bestFit="1" customWidth="1"/>
    <col min="15635" max="15635" width="9.85546875" style="1" bestFit="1" customWidth="1"/>
    <col min="15636" max="15636" width="10.85546875" style="1" bestFit="1" customWidth="1"/>
    <col min="15637" max="15835" width="9.140625" style="1"/>
    <col min="15836" max="15836" width="9.28515625" style="1" bestFit="1" customWidth="1"/>
    <col min="15837" max="15837" width="28.140625" style="1" bestFit="1" customWidth="1"/>
    <col min="15838" max="15838" width="15.7109375" style="1" customWidth="1"/>
    <col min="15839" max="15839" width="9.140625" style="1" customWidth="1"/>
    <col min="15840" max="15840" width="14.28515625" style="1" customWidth="1"/>
    <col min="15841" max="15841" width="9.140625" style="1" customWidth="1"/>
    <col min="15842" max="15843" width="12.85546875" style="1" customWidth="1"/>
    <col min="15844" max="15844" width="9.140625" style="1" customWidth="1"/>
    <col min="15845" max="15845" width="10.7109375" style="1" customWidth="1"/>
    <col min="15846" max="15847" width="12" style="1" customWidth="1"/>
    <col min="15848" max="15855" width="10.7109375" style="1" customWidth="1"/>
    <col min="15856" max="15856" width="10.5703125" style="1" customWidth="1"/>
    <col min="15857" max="15857" width="11.140625" style="1" customWidth="1"/>
    <col min="15858" max="15858" width="10.7109375" style="1" customWidth="1"/>
    <col min="15859" max="15860" width="9.140625" style="1" customWidth="1"/>
    <col min="15861" max="15861" width="10.28515625" style="1" customWidth="1"/>
    <col min="15862" max="15863" width="10" style="1" customWidth="1"/>
    <col min="15864" max="15865" width="10.140625" style="1" customWidth="1"/>
    <col min="15866" max="15869" width="10" style="1" customWidth="1"/>
    <col min="15870" max="15870" width="10.140625" style="1" customWidth="1"/>
    <col min="15871" max="15872" width="10" style="1" customWidth="1"/>
    <col min="15873" max="15873" width="10.28515625" style="1" customWidth="1"/>
    <col min="15874" max="15874" width="13.140625" style="1" customWidth="1"/>
    <col min="15875" max="15875" width="7.85546875" style="1" customWidth="1"/>
    <col min="15876" max="15877" width="9.140625" style="1" customWidth="1"/>
    <col min="15878" max="15878" width="11.7109375" style="1" customWidth="1"/>
    <col min="15879" max="15879" width="11.5703125" style="1" bestFit="1" customWidth="1"/>
    <col min="15880" max="15886" width="10.28515625" style="1" bestFit="1" customWidth="1"/>
    <col min="15887" max="15890" width="9.28515625" style="1" bestFit="1" customWidth="1"/>
    <col min="15891" max="15891" width="9.85546875" style="1" bestFit="1" customWidth="1"/>
    <col min="15892" max="15892" width="10.85546875" style="1" bestFit="1" customWidth="1"/>
    <col min="15893" max="16091" width="9.140625" style="1"/>
    <col min="16092" max="16092" width="9.28515625" style="1" bestFit="1" customWidth="1"/>
    <col min="16093" max="16093" width="28.140625" style="1" bestFit="1" customWidth="1"/>
    <col min="16094" max="16094" width="15.7109375" style="1" customWidth="1"/>
    <col min="16095" max="16095" width="9.140625" style="1" customWidth="1"/>
    <col min="16096" max="16096" width="14.28515625" style="1" customWidth="1"/>
    <col min="16097" max="16097" width="9.140625" style="1" customWidth="1"/>
    <col min="16098" max="16099" width="12.85546875" style="1" customWidth="1"/>
    <col min="16100" max="16100" width="9.140625" style="1" customWidth="1"/>
    <col min="16101" max="16101" width="10.7109375" style="1" customWidth="1"/>
    <col min="16102" max="16103" width="12" style="1" customWidth="1"/>
    <col min="16104" max="16111" width="10.7109375" style="1" customWidth="1"/>
    <col min="16112" max="16112" width="10.5703125" style="1" customWidth="1"/>
    <col min="16113" max="16113" width="11.140625" style="1" customWidth="1"/>
    <col min="16114" max="16114" width="10.7109375" style="1" customWidth="1"/>
    <col min="16115" max="16116" width="9.140625" style="1" customWidth="1"/>
    <col min="16117" max="16117" width="10.28515625" style="1" customWidth="1"/>
    <col min="16118" max="16119" width="10" style="1" customWidth="1"/>
    <col min="16120" max="16121" width="10.140625" style="1" customWidth="1"/>
    <col min="16122" max="16125" width="10" style="1" customWidth="1"/>
    <col min="16126" max="16126" width="10.140625" style="1" customWidth="1"/>
    <col min="16127" max="16128" width="10" style="1" customWidth="1"/>
    <col min="16129" max="16129" width="10.28515625" style="1" customWidth="1"/>
    <col min="16130" max="16130" width="13.140625" style="1" customWidth="1"/>
    <col min="16131" max="16131" width="7.85546875" style="1" customWidth="1"/>
    <col min="16132" max="16133" width="9.140625" style="1" customWidth="1"/>
    <col min="16134" max="16134" width="11.7109375" style="1" customWidth="1"/>
    <col min="16135" max="16135" width="11.5703125" style="1" bestFit="1" customWidth="1"/>
    <col min="16136" max="16142" width="10.28515625" style="1" bestFit="1" customWidth="1"/>
    <col min="16143" max="16146" width="9.28515625" style="1" bestFit="1" customWidth="1"/>
    <col min="16147" max="16147" width="9.85546875" style="1" bestFit="1" customWidth="1"/>
    <col min="16148" max="16148" width="10.85546875" style="1" bestFit="1" customWidth="1"/>
    <col min="16149" max="16384" width="9.140625" style="1"/>
  </cols>
  <sheetData>
    <row r="1" spans="1:19" x14ac:dyDescent="0.2">
      <c r="F1" s="174" t="s">
        <v>49</v>
      </c>
      <c r="G1" s="174" t="s">
        <v>48</v>
      </c>
      <c r="H1" s="174" t="s">
        <v>47</v>
      </c>
      <c r="I1" s="174" t="s">
        <v>46</v>
      </c>
      <c r="J1" s="174" t="s">
        <v>45</v>
      </c>
      <c r="K1" s="174" t="s">
        <v>44</v>
      </c>
      <c r="L1" s="174" t="s">
        <v>43</v>
      </c>
      <c r="M1" s="174" t="s">
        <v>42</v>
      </c>
      <c r="N1" s="174" t="s">
        <v>41</v>
      </c>
      <c r="O1" s="174" t="s">
        <v>40</v>
      </c>
      <c r="P1" s="174" t="s">
        <v>39</v>
      </c>
      <c r="Q1" s="174" t="s">
        <v>38</v>
      </c>
      <c r="R1" s="174" t="s">
        <v>37</v>
      </c>
    </row>
    <row r="2" spans="1:19" x14ac:dyDescent="0.2">
      <c r="B2" s="72" t="s">
        <v>273</v>
      </c>
      <c r="C2" s="4">
        <f>STATS!D43</f>
        <v>909</v>
      </c>
      <c r="F2" s="306">
        <f>'MO STATS'!E39</f>
        <v>23</v>
      </c>
      <c r="G2" s="306">
        <f>'MO STATS'!F39</f>
        <v>48</v>
      </c>
      <c r="H2" s="306">
        <f>'MO STATS'!G39</f>
        <v>82</v>
      </c>
      <c r="I2" s="306">
        <f>'MO STATS'!H39</f>
        <v>79</v>
      </c>
      <c r="J2" s="306">
        <f>'MO STATS'!I39</f>
        <v>93</v>
      </c>
      <c r="K2" s="306">
        <f>'MO STATS'!J39</f>
        <v>106</v>
      </c>
      <c r="L2" s="306">
        <f>'MO STATS'!K39</f>
        <v>41</v>
      </c>
      <c r="M2" s="306">
        <f>'MO STATS'!L39</f>
        <v>91</v>
      </c>
      <c r="N2" s="306">
        <f>'MO STATS'!M39</f>
        <v>53</v>
      </c>
      <c r="O2" s="306">
        <f>'MO STATS'!N39</f>
        <v>90</v>
      </c>
      <c r="P2" s="306">
        <f>'MO STATS'!O39</f>
        <v>102</v>
      </c>
      <c r="Q2" s="306">
        <f>'MO STATS'!P39</f>
        <v>101</v>
      </c>
      <c r="R2" s="96">
        <f>SUM(F2:Q2)</f>
        <v>909</v>
      </c>
      <c r="S2" s="34">
        <f>C2-R2</f>
        <v>0</v>
      </c>
    </row>
    <row r="3" spans="1:19" x14ac:dyDescent="0.2">
      <c r="B3" s="72"/>
      <c r="R3" s="6"/>
      <c r="S3" s="34"/>
    </row>
    <row r="4" spans="1:19" x14ac:dyDescent="0.2">
      <c r="B4" s="72"/>
      <c r="C4" s="6"/>
      <c r="F4" s="6"/>
      <c r="G4" s="6"/>
      <c r="H4" s="6"/>
      <c r="I4" s="6"/>
      <c r="J4" s="6"/>
      <c r="K4" s="6"/>
      <c r="L4" s="6"/>
      <c r="M4" s="6"/>
      <c r="N4" s="6"/>
      <c r="O4" s="6"/>
      <c r="P4" s="6"/>
      <c r="Q4" s="6"/>
      <c r="R4" s="6"/>
      <c r="S4" s="34"/>
    </row>
    <row r="5" spans="1:19" x14ac:dyDescent="0.2">
      <c r="B5" s="72"/>
      <c r="F5" s="6"/>
      <c r="G5" s="6"/>
      <c r="H5" s="6"/>
      <c r="I5" s="6"/>
      <c r="J5" s="6"/>
      <c r="K5" s="6"/>
      <c r="L5" s="6"/>
      <c r="M5" s="6"/>
      <c r="N5" s="6"/>
      <c r="O5" s="6"/>
      <c r="P5" s="6"/>
      <c r="Q5" s="6"/>
      <c r="R5" s="6"/>
      <c r="S5" s="34"/>
    </row>
    <row r="6" spans="1:19" x14ac:dyDescent="0.2">
      <c r="A6" s="711" t="s">
        <v>35</v>
      </c>
      <c r="B6" s="711"/>
      <c r="C6" s="711"/>
      <c r="D6" s="711"/>
      <c r="E6" s="37"/>
    </row>
    <row r="7" spans="1:19" x14ac:dyDescent="0.2">
      <c r="A7" s="21"/>
      <c r="B7" s="10" t="s">
        <v>452</v>
      </c>
      <c r="C7" s="78"/>
      <c r="D7" s="168" t="s">
        <v>439</v>
      </c>
      <c r="E7" s="140"/>
    </row>
    <row r="8" spans="1:19" x14ac:dyDescent="0.2">
      <c r="A8" s="16"/>
      <c r="B8" s="29" t="s">
        <v>352</v>
      </c>
      <c r="C8" s="28">
        <f>C$2*D8</f>
        <v>31307.927238805973</v>
      </c>
      <c r="D8" s="13">
        <f>'[5]Blood Bank'!$J$10</f>
        <v>34.442164179104481</v>
      </c>
      <c r="E8" s="7"/>
      <c r="F8" s="376">
        <f>$D8*F$2</f>
        <v>792.16977611940308</v>
      </c>
      <c r="G8" s="376">
        <f t="shared" ref="G8:Q22" si="0">$D8*G$2</f>
        <v>1653.2238805970151</v>
      </c>
      <c r="H8" s="376">
        <f t="shared" si="0"/>
        <v>2824.2574626865676</v>
      </c>
      <c r="I8" s="376">
        <f t="shared" si="0"/>
        <v>2720.9309701492539</v>
      </c>
      <c r="J8" s="376">
        <f t="shared" si="0"/>
        <v>3203.1212686567169</v>
      </c>
      <c r="K8" s="376">
        <f t="shared" si="0"/>
        <v>3650.8694029850749</v>
      </c>
      <c r="L8" s="376">
        <f t="shared" si="0"/>
        <v>1412.1287313432838</v>
      </c>
      <c r="M8" s="376">
        <f t="shared" si="0"/>
        <v>3134.2369402985078</v>
      </c>
      <c r="N8" s="376">
        <f t="shared" si="0"/>
        <v>1825.4347014925374</v>
      </c>
      <c r="O8" s="376">
        <f t="shared" si="0"/>
        <v>3099.7947761194032</v>
      </c>
      <c r="P8" s="376">
        <f t="shared" si="0"/>
        <v>3513.1007462686571</v>
      </c>
      <c r="Q8" s="376">
        <f t="shared" si="0"/>
        <v>3478.6585820895525</v>
      </c>
      <c r="R8" s="376">
        <f>SUM(F8:Q8)</f>
        <v>31307.927238805973</v>
      </c>
      <c r="S8" s="96">
        <f t="shared" ref="S8:S32" si="1">C8-R8</f>
        <v>0</v>
      </c>
    </row>
    <row r="9" spans="1:19" x14ac:dyDescent="0.2">
      <c r="A9" s="16"/>
      <c r="B9" s="29" t="s">
        <v>353</v>
      </c>
      <c r="C9" s="28">
        <f t="shared" ref="C9:C22" si="2">C$2*D9</f>
        <v>0</v>
      </c>
      <c r="D9" s="13">
        <v>0</v>
      </c>
      <c r="E9" s="7"/>
      <c r="F9" s="376">
        <f t="shared" ref="F9:F22" si="3">$D9*F$2</f>
        <v>0</v>
      </c>
      <c r="G9" s="376">
        <f t="shared" si="0"/>
        <v>0</v>
      </c>
      <c r="H9" s="376">
        <f t="shared" si="0"/>
        <v>0</v>
      </c>
      <c r="I9" s="376">
        <f t="shared" si="0"/>
        <v>0</v>
      </c>
      <c r="J9" s="376">
        <f t="shared" si="0"/>
        <v>0</v>
      </c>
      <c r="K9" s="376">
        <f t="shared" si="0"/>
        <v>0</v>
      </c>
      <c r="L9" s="376">
        <f t="shared" si="0"/>
        <v>0</v>
      </c>
      <c r="M9" s="376">
        <f t="shared" si="0"/>
        <v>0</v>
      </c>
      <c r="N9" s="376">
        <f t="shared" si="0"/>
        <v>0</v>
      </c>
      <c r="O9" s="376">
        <f t="shared" si="0"/>
        <v>0</v>
      </c>
      <c r="P9" s="376">
        <f t="shared" si="0"/>
        <v>0</v>
      </c>
      <c r="Q9" s="376">
        <f t="shared" si="0"/>
        <v>0</v>
      </c>
      <c r="R9" s="376">
        <f t="shared" ref="R9:R32" si="4">SUM(F9:Q9)</f>
        <v>0</v>
      </c>
      <c r="S9" s="96">
        <f t="shared" si="1"/>
        <v>0</v>
      </c>
    </row>
    <row r="10" spans="1:19" x14ac:dyDescent="0.2">
      <c r="A10" s="16"/>
      <c r="B10" s="29" t="s">
        <v>355</v>
      </c>
      <c r="C10" s="28">
        <f t="shared" si="2"/>
        <v>5431.9533582089553</v>
      </c>
      <c r="D10" s="13">
        <f>'[5]Blood Bank'!$J$12</f>
        <v>5.9757462686567164</v>
      </c>
      <c r="E10" s="7"/>
      <c r="F10" s="376">
        <f t="shared" si="3"/>
        <v>137.44216417910448</v>
      </c>
      <c r="G10" s="376">
        <f t="shared" si="0"/>
        <v>286.83582089552237</v>
      </c>
      <c r="H10" s="376">
        <f t="shared" si="0"/>
        <v>490.01119402985074</v>
      </c>
      <c r="I10" s="376">
        <f t="shared" si="0"/>
        <v>472.08395522388059</v>
      </c>
      <c r="J10" s="376">
        <f t="shared" si="0"/>
        <v>555.74440298507466</v>
      </c>
      <c r="K10" s="376">
        <f t="shared" si="0"/>
        <v>633.42910447761199</v>
      </c>
      <c r="L10" s="376">
        <f t="shared" si="0"/>
        <v>245.00559701492537</v>
      </c>
      <c r="M10" s="376">
        <f t="shared" si="0"/>
        <v>543.79291044776119</v>
      </c>
      <c r="N10" s="376">
        <f t="shared" si="0"/>
        <v>316.71455223880599</v>
      </c>
      <c r="O10" s="376">
        <f t="shared" si="0"/>
        <v>537.81716417910445</v>
      </c>
      <c r="P10" s="376">
        <f t="shared" si="0"/>
        <v>609.52611940298505</v>
      </c>
      <c r="Q10" s="376">
        <f t="shared" si="0"/>
        <v>603.55037313432831</v>
      </c>
      <c r="R10" s="376">
        <f t="shared" si="4"/>
        <v>5431.9533582089553</v>
      </c>
      <c r="S10" s="96">
        <f t="shared" si="1"/>
        <v>0</v>
      </c>
    </row>
    <row r="11" spans="1:19" x14ac:dyDescent="0.2">
      <c r="A11" s="16"/>
      <c r="B11" s="29" t="s">
        <v>370</v>
      </c>
      <c r="C11" s="28">
        <f t="shared" si="2"/>
        <v>0</v>
      </c>
      <c r="D11" s="13"/>
      <c r="E11" s="7"/>
      <c r="F11" s="376">
        <f t="shared" si="3"/>
        <v>0</v>
      </c>
      <c r="G11" s="376">
        <f t="shared" si="0"/>
        <v>0</v>
      </c>
      <c r="H11" s="376">
        <f t="shared" si="0"/>
        <v>0</v>
      </c>
      <c r="I11" s="376">
        <f t="shared" si="0"/>
        <v>0</v>
      </c>
      <c r="J11" s="376">
        <f t="shared" si="0"/>
        <v>0</v>
      </c>
      <c r="K11" s="376">
        <f t="shared" si="0"/>
        <v>0</v>
      </c>
      <c r="L11" s="376">
        <f t="shared" si="0"/>
        <v>0</v>
      </c>
      <c r="M11" s="376">
        <f t="shared" si="0"/>
        <v>0</v>
      </c>
      <c r="N11" s="376">
        <f t="shared" si="0"/>
        <v>0</v>
      </c>
      <c r="O11" s="376">
        <f t="shared" si="0"/>
        <v>0</v>
      </c>
      <c r="P11" s="376">
        <f t="shared" si="0"/>
        <v>0</v>
      </c>
      <c r="Q11" s="376">
        <f t="shared" si="0"/>
        <v>0</v>
      </c>
      <c r="R11" s="376">
        <f t="shared" si="4"/>
        <v>0</v>
      </c>
      <c r="S11" s="96">
        <f t="shared" si="1"/>
        <v>0</v>
      </c>
    </row>
    <row r="12" spans="1:19" x14ac:dyDescent="0.2">
      <c r="A12" s="16"/>
      <c r="B12" s="29" t="s">
        <v>356</v>
      </c>
      <c r="C12" s="28">
        <f t="shared" si="2"/>
        <v>3936.1735074626868</v>
      </c>
      <c r="D12" s="13">
        <f>'[5]Blood Bank'!$J$14</f>
        <v>4.330223880597015</v>
      </c>
      <c r="E12" s="7"/>
      <c r="F12" s="376">
        <f t="shared" si="3"/>
        <v>99.59514925373135</v>
      </c>
      <c r="G12" s="376">
        <f t="shared" si="0"/>
        <v>207.85074626865674</v>
      </c>
      <c r="H12" s="376">
        <f t="shared" si="0"/>
        <v>355.07835820895525</v>
      </c>
      <c r="I12" s="376">
        <f t="shared" si="0"/>
        <v>342.08768656716421</v>
      </c>
      <c r="J12" s="376">
        <f t="shared" si="0"/>
        <v>402.71082089552237</v>
      </c>
      <c r="K12" s="376">
        <f t="shared" si="0"/>
        <v>459.00373134328362</v>
      </c>
      <c r="L12" s="376">
        <f t="shared" si="0"/>
        <v>177.53917910447763</v>
      </c>
      <c r="M12" s="376">
        <f t="shared" si="0"/>
        <v>394.05037313432837</v>
      </c>
      <c r="N12" s="376">
        <f t="shared" si="0"/>
        <v>229.50186567164181</v>
      </c>
      <c r="O12" s="376">
        <f t="shared" si="0"/>
        <v>389.72014925373134</v>
      </c>
      <c r="P12" s="376">
        <f t="shared" si="0"/>
        <v>441.68283582089555</v>
      </c>
      <c r="Q12" s="376">
        <f t="shared" si="0"/>
        <v>437.35261194029852</v>
      </c>
      <c r="R12" s="376">
        <f t="shared" si="4"/>
        <v>3936.1735074626872</v>
      </c>
      <c r="S12" s="96">
        <f t="shared" si="1"/>
        <v>0</v>
      </c>
    </row>
    <row r="13" spans="1:19" x14ac:dyDescent="0.2">
      <c r="A13" s="16"/>
      <c r="B13" s="29" t="s">
        <v>354</v>
      </c>
      <c r="C13" s="28">
        <f t="shared" si="2"/>
        <v>8725.382462686568</v>
      </c>
      <c r="D13" s="13">
        <f>'[5]Blood Bank'!$J$15</f>
        <v>9.5988805970149258</v>
      </c>
      <c r="E13" s="7"/>
      <c r="F13" s="376">
        <f t="shared" si="3"/>
        <v>220.77425373134329</v>
      </c>
      <c r="G13" s="376">
        <f t="shared" si="0"/>
        <v>460.74626865671644</v>
      </c>
      <c r="H13" s="376">
        <f t="shared" si="0"/>
        <v>787.10820895522397</v>
      </c>
      <c r="I13" s="376">
        <f t="shared" si="0"/>
        <v>758.31156716417911</v>
      </c>
      <c r="J13" s="376">
        <f t="shared" si="0"/>
        <v>892.69589552238813</v>
      </c>
      <c r="K13" s="376">
        <f t="shared" si="0"/>
        <v>1017.4813432835822</v>
      </c>
      <c r="L13" s="376">
        <f t="shared" si="0"/>
        <v>393.55410447761199</v>
      </c>
      <c r="M13" s="376">
        <f t="shared" si="0"/>
        <v>873.49813432835822</v>
      </c>
      <c r="N13" s="376">
        <f t="shared" si="0"/>
        <v>508.7406716417911</v>
      </c>
      <c r="O13" s="376">
        <f t="shared" si="0"/>
        <v>863.89925373134338</v>
      </c>
      <c r="P13" s="376">
        <f t="shared" si="0"/>
        <v>979.08582089552237</v>
      </c>
      <c r="Q13" s="376">
        <f t="shared" si="0"/>
        <v>969.48694029850753</v>
      </c>
      <c r="R13" s="376">
        <f t="shared" si="4"/>
        <v>8725.3824626865662</v>
      </c>
      <c r="S13" s="96">
        <f t="shared" si="1"/>
        <v>0</v>
      </c>
    </row>
    <row r="14" spans="1:19" x14ac:dyDescent="0.2">
      <c r="A14" s="16"/>
      <c r="B14" s="29" t="s">
        <v>357</v>
      </c>
      <c r="C14" s="28">
        <f t="shared" si="2"/>
        <v>0</v>
      </c>
      <c r="D14" s="13">
        <v>0</v>
      </c>
      <c r="E14" s="7"/>
      <c r="F14" s="376">
        <f t="shared" si="3"/>
        <v>0</v>
      </c>
      <c r="G14" s="376">
        <f t="shared" si="0"/>
        <v>0</v>
      </c>
      <c r="H14" s="376">
        <f t="shared" si="0"/>
        <v>0</v>
      </c>
      <c r="I14" s="376">
        <f t="shared" si="0"/>
        <v>0</v>
      </c>
      <c r="J14" s="376">
        <f t="shared" si="0"/>
        <v>0</v>
      </c>
      <c r="K14" s="376">
        <f t="shared" si="0"/>
        <v>0</v>
      </c>
      <c r="L14" s="376">
        <f t="shared" si="0"/>
        <v>0</v>
      </c>
      <c r="M14" s="376">
        <f t="shared" si="0"/>
        <v>0</v>
      </c>
      <c r="N14" s="376">
        <f t="shared" si="0"/>
        <v>0</v>
      </c>
      <c r="O14" s="376">
        <f t="shared" si="0"/>
        <v>0</v>
      </c>
      <c r="P14" s="376">
        <f t="shared" si="0"/>
        <v>0</v>
      </c>
      <c r="Q14" s="376">
        <f t="shared" si="0"/>
        <v>0</v>
      </c>
      <c r="R14" s="376">
        <f t="shared" si="4"/>
        <v>0</v>
      </c>
      <c r="S14" s="96">
        <f t="shared" si="1"/>
        <v>0</v>
      </c>
    </row>
    <row r="15" spans="1:19" x14ac:dyDescent="0.2">
      <c r="A15" s="87">
        <v>31110.032999999999</v>
      </c>
      <c r="B15" s="161" t="s">
        <v>453</v>
      </c>
      <c r="C15" s="293">
        <f>SUM(C8:C14)</f>
        <v>49401.436567164179</v>
      </c>
      <c r="D15" s="291"/>
      <c r="E15" s="291"/>
      <c r="F15" s="369">
        <f>SUM(F8:F14)</f>
        <v>1249.9813432835822</v>
      </c>
      <c r="G15" s="369">
        <f t="shared" ref="G15:Q15" si="5">SUM(G8:G14)</f>
        <v>2608.6567164179105</v>
      </c>
      <c r="H15" s="369">
        <f t="shared" si="5"/>
        <v>4456.4552238805973</v>
      </c>
      <c r="I15" s="369">
        <f t="shared" si="5"/>
        <v>4293.4141791044776</v>
      </c>
      <c r="J15" s="369">
        <f t="shared" si="5"/>
        <v>5054.2723880597023</v>
      </c>
      <c r="K15" s="369">
        <f t="shared" si="5"/>
        <v>5760.7835820895525</v>
      </c>
      <c r="L15" s="369">
        <f t="shared" si="5"/>
        <v>2228.2276119402986</v>
      </c>
      <c r="M15" s="369">
        <f t="shared" si="5"/>
        <v>4945.5783582089553</v>
      </c>
      <c r="N15" s="369">
        <f t="shared" si="5"/>
        <v>2880.3917910447763</v>
      </c>
      <c r="O15" s="369">
        <f t="shared" si="5"/>
        <v>4891.2313432835826</v>
      </c>
      <c r="P15" s="369">
        <f t="shared" si="5"/>
        <v>5543.3955223880603</v>
      </c>
      <c r="Q15" s="369">
        <f t="shared" si="5"/>
        <v>5489.0485074626868</v>
      </c>
      <c r="R15" s="369">
        <f t="shared" si="4"/>
        <v>49401.436567164186</v>
      </c>
      <c r="S15" s="292">
        <f t="shared" si="1"/>
        <v>0</v>
      </c>
    </row>
    <row r="16" spans="1:19" x14ac:dyDescent="0.2">
      <c r="A16" s="16"/>
      <c r="B16" s="29" t="s">
        <v>424</v>
      </c>
      <c r="C16" s="28">
        <f t="shared" si="2"/>
        <v>0</v>
      </c>
      <c r="D16" s="13">
        <v>0</v>
      </c>
      <c r="E16" s="7"/>
      <c r="F16" s="376">
        <f t="shared" si="3"/>
        <v>0</v>
      </c>
      <c r="G16" s="376">
        <f t="shared" si="0"/>
        <v>0</v>
      </c>
      <c r="H16" s="376">
        <f t="shared" si="0"/>
        <v>0</v>
      </c>
      <c r="I16" s="376">
        <f t="shared" si="0"/>
        <v>0</v>
      </c>
      <c r="J16" s="376">
        <f t="shared" si="0"/>
        <v>0</v>
      </c>
      <c r="K16" s="376">
        <f t="shared" si="0"/>
        <v>0</v>
      </c>
      <c r="L16" s="376">
        <f t="shared" si="0"/>
        <v>0</v>
      </c>
      <c r="M16" s="376">
        <f t="shared" si="0"/>
        <v>0</v>
      </c>
      <c r="N16" s="376">
        <f t="shared" si="0"/>
        <v>0</v>
      </c>
      <c r="O16" s="376">
        <f t="shared" si="0"/>
        <v>0</v>
      </c>
      <c r="P16" s="376">
        <f t="shared" si="0"/>
        <v>0</v>
      </c>
      <c r="Q16" s="376">
        <f t="shared" si="0"/>
        <v>0</v>
      </c>
      <c r="R16" s="376">
        <f t="shared" si="4"/>
        <v>0</v>
      </c>
      <c r="S16" s="96">
        <f t="shared" si="1"/>
        <v>0</v>
      </c>
    </row>
    <row r="17" spans="1:20" x14ac:dyDescent="0.2">
      <c r="A17" s="16"/>
      <c r="B17" s="29" t="s">
        <v>425</v>
      </c>
      <c r="C17" s="28">
        <f t="shared" si="2"/>
        <v>0</v>
      </c>
      <c r="D17" s="13">
        <v>0</v>
      </c>
      <c r="E17" s="7"/>
      <c r="F17" s="376">
        <f t="shared" si="3"/>
        <v>0</v>
      </c>
      <c r="G17" s="376">
        <f t="shared" si="0"/>
        <v>0</v>
      </c>
      <c r="H17" s="376">
        <f t="shared" si="0"/>
        <v>0</v>
      </c>
      <c r="I17" s="376">
        <f t="shared" si="0"/>
        <v>0</v>
      </c>
      <c r="J17" s="376">
        <f t="shared" si="0"/>
        <v>0</v>
      </c>
      <c r="K17" s="376">
        <f t="shared" si="0"/>
        <v>0</v>
      </c>
      <c r="L17" s="376">
        <f t="shared" si="0"/>
        <v>0</v>
      </c>
      <c r="M17" s="376">
        <f t="shared" si="0"/>
        <v>0</v>
      </c>
      <c r="N17" s="376">
        <f t="shared" si="0"/>
        <v>0</v>
      </c>
      <c r="O17" s="376">
        <f t="shared" si="0"/>
        <v>0</v>
      </c>
      <c r="P17" s="376">
        <f t="shared" si="0"/>
        <v>0</v>
      </c>
      <c r="Q17" s="376">
        <f t="shared" si="0"/>
        <v>0</v>
      </c>
      <c r="R17" s="376">
        <f t="shared" si="4"/>
        <v>0</v>
      </c>
      <c r="S17" s="96">
        <f t="shared" si="1"/>
        <v>0</v>
      </c>
    </row>
    <row r="18" spans="1:20" x14ac:dyDescent="0.2">
      <c r="A18" s="16"/>
      <c r="B18" s="29" t="s">
        <v>426</v>
      </c>
      <c r="C18" s="28">
        <f t="shared" si="2"/>
        <v>0</v>
      </c>
      <c r="D18" s="13">
        <v>0</v>
      </c>
      <c r="E18" s="7"/>
      <c r="F18" s="376">
        <f t="shared" si="3"/>
        <v>0</v>
      </c>
      <c r="G18" s="376">
        <f t="shared" si="0"/>
        <v>0</v>
      </c>
      <c r="H18" s="376">
        <f t="shared" si="0"/>
        <v>0</v>
      </c>
      <c r="I18" s="376">
        <f t="shared" si="0"/>
        <v>0</v>
      </c>
      <c r="J18" s="376">
        <f t="shared" si="0"/>
        <v>0</v>
      </c>
      <c r="K18" s="376">
        <f t="shared" si="0"/>
        <v>0</v>
      </c>
      <c r="L18" s="376">
        <f t="shared" si="0"/>
        <v>0</v>
      </c>
      <c r="M18" s="376">
        <f t="shared" si="0"/>
        <v>0</v>
      </c>
      <c r="N18" s="376">
        <f t="shared" si="0"/>
        <v>0</v>
      </c>
      <c r="O18" s="376">
        <f t="shared" si="0"/>
        <v>0</v>
      </c>
      <c r="P18" s="376">
        <f t="shared" si="0"/>
        <v>0</v>
      </c>
      <c r="Q18" s="376">
        <f t="shared" si="0"/>
        <v>0</v>
      </c>
      <c r="R18" s="376">
        <f t="shared" si="4"/>
        <v>0</v>
      </c>
      <c r="S18" s="96">
        <f t="shared" si="1"/>
        <v>0</v>
      </c>
    </row>
    <row r="19" spans="1:20" x14ac:dyDescent="0.2">
      <c r="A19" s="16"/>
      <c r="B19" s="29" t="s">
        <v>427</v>
      </c>
      <c r="C19" s="28">
        <f t="shared" si="2"/>
        <v>0</v>
      </c>
      <c r="D19" s="13">
        <v>0</v>
      </c>
      <c r="E19" s="7"/>
      <c r="F19" s="376">
        <f t="shared" si="3"/>
        <v>0</v>
      </c>
      <c r="G19" s="376">
        <f t="shared" si="0"/>
        <v>0</v>
      </c>
      <c r="H19" s="376">
        <f t="shared" si="0"/>
        <v>0</v>
      </c>
      <c r="I19" s="376">
        <f t="shared" si="0"/>
        <v>0</v>
      </c>
      <c r="J19" s="376">
        <f t="shared" si="0"/>
        <v>0</v>
      </c>
      <c r="K19" s="376">
        <f t="shared" si="0"/>
        <v>0</v>
      </c>
      <c r="L19" s="376">
        <f t="shared" si="0"/>
        <v>0</v>
      </c>
      <c r="M19" s="376">
        <f t="shared" si="0"/>
        <v>0</v>
      </c>
      <c r="N19" s="376">
        <f t="shared" si="0"/>
        <v>0</v>
      </c>
      <c r="O19" s="376">
        <f t="shared" si="0"/>
        <v>0</v>
      </c>
      <c r="P19" s="376">
        <f t="shared" si="0"/>
        <v>0</v>
      </c>
      <c r="Q19" s="376">
        <f t="shared" si="0"/>
        <v>0</v>
      </c>
      <c r="R19" s="376">
        <f t="shared" si="4"/>
        <v>0</v>
      </c>
      <c r="S19" s="96">
        <f t="shared" si="1"/>
        <v>0</v>
      </c>
    </row>
    <row r="20" spans="1:20" x14ac:dyDescent="0.2">
      <c r="A20" s="16"/>
      <c r="B20" s="29" t="s">
        <v>428</v>
      </c>
      <c r="C20" s="28">
        <f t="shared" si="2"/>
        <v>0</v>
      </c>
      <c r="D20" s="13">
        <v>0</v>
      </c>
      <c r="E20" s="7"/>
      <c r="F20" s="376">
        <f t="shared" si="3"/>
        <v>0</v>
      </c>
      <c r="G20" s="376">
        <f t="shared" si="0"/>
        <v>0</v>
      </c>
      <c r="H20" s="376">
        <f t="shared" si="0"/>
        <v>0</v>
      </c>
      <c r="I20" s="376">
        <f t="shared" si="0"/>
        <v>0</v>
      </c>
      <c r="J20" s="376">
        <f t="shared" si="0"/>
        <v>0</v>
      </c>
      <c r="K20" s="376">
        <f t="shared" si="0"/>
        <v>0</v>
      </c>
      <c r="L20" s="376">
        <f t="shared" si="0"/>
        <v>0</v>
      </c>
      <c r="M20" s="376">
        <f t="shared" si="0"/>
        <v>0</v>
      </c>
      <c r="N20" s="376">
        <f t="shared" si="0"/>
        <v>0</v>
      </c>
      <c r="O20" s="376">
        <f t="shared" si="0"/>
        <v>0</v>
      </c>
      <c r="P20" s="376">
        <f t="shared" si="0"/>
        <v>0</v>
      </c>
      <c r="Q20" s="376">
        <f t="shared" si="0"/>
        <v>0</v>
      </c>
      <c r="R20" s="376">
        <f t="shared" si="4"/>
        <v>0</v>
      </c>
      <c r="S20" s="96">
        <f t="shared" si="1"/>
        <v>0</v>
      </c>
    </row>
    <row r="21" spans="1:20" x14ac:dyDescent="0.2">
      <c r="A21" s="16"/>
      <c r="B21" s="29" t="s">
        <v>429</v>
      </c>
      <c r="C21" s="28">
        <f t="shared" si="2"/>
        <v>0</v>
      </c>
      <c r="D21" s="13">
        <v>0</v>
      </c>
      <c r="E21" s="7"/>
      <c r="F21" s="376">
        <f t="shared" si="3"/>
        <v>0</v>
      </c>
      <c r="G21" s="376">
        <f t="shared" si="0"/>
        <v>0</v>
      </c>
      <c r="H21" s="376">
        <f t="shared" si="0"/>
        <v>0</v>
      </c>
      <c r="I21" s="376">
        <f t="shared" si="0"/>
        <v>0</v>
      </c>
      <c r="J21" s="376">
        <f t="shared" si="0"/>
        <v>0</v>
      </c>
      <c r="K21" s="376">
        <f t="shared" si="0"/>
        <v>0</v>
      </c>
      <c r="L21" s="376">
        <f t="shared" si="0"/>
        <v>0</v>
      </c>
      <c r="M21" s="376">
        <f t="shared" si="0"/>
        <v>0</v>
      </c>
      <c r="N21" s="376">
        <f t="shared" si="0"/>
        <v>0</v>
      </c>
      <c r="O21" s="376">
        <f t="shared" si="0"/>
        <v>0</v>
      </c>
      <c r="P21" s="376">
        <f t="shared" si="0"/>
        <v>0</v>
      </c>
      <c r="Q21" s="376">
        <f t="shared" si="0"/>
        <v>0</v>
      </c>
      <c r="R21" s="376">
        <f t="shared" si="4"/>
        <v>0</v>
      </c>
      <c r="S21" s="96">
        <f t="shared" si="1"/>
        <v>0</v>
      </c>
    </row>
    <row r="22" spans="1:20" x14ac:dyDescent="0.2">
      <c r="A22" s="16"/>
      <c r="B22" s="29" t="s">
        <v>430</v>
      </c>
      <c r="C22" s="28">
        <f t="shared" si="2"/>
        <v>0</v>
      </c>
      <c r="D22" s="13">
        <v>0</v>
      </c>
      <c r="E22" s="7"/>
      <c r="F22" s="376">
        <f t="shared" si="3"/>
        <v>0</v>
      </c>
      <c r="G22" s="376">
        <f t="shared" si="0"/>
        <v>0</v>
      </c>
      <c r="H22" s="376">
        <f t="shared" si="0"/>
        <v>0</v>
      </c>
      <c r="I22" s="376">
        <f t="shared" si="0"/>
        <v>0</v>
      </c>
      <c r="J22" s="376">
        <f t="shared" si="0"/>
        <v>0</v>
      </c>
      <c r="K22" s="376">
        <f t="shared" si="0"/>
        <v>0</v>
      </c>
      <c r="L22" s="376">
        <f t="shared" si="0"/>
        <v>0</v>
      </c>
      <c r="M22" s="376">
        <f t="shared" si="0"/>
        <v>0</v>
      </c>
      <c r="N22" s="376">
        <f t="shared" si="0"/>
        <v>0</v>
      </c>
      <c r="O22" s="376">
        <f t="shared" si="0"/>
        <v>0</v>
      </c>
      <c r="P22" s="376">
        <f t="shared" si="0"/>
        <v>0</v>
      </c>
      <c r="Q22" s="376">
        <f t="shared" si="0"/>
        <v>0</v>
      </c>
      <c r="R22" s="376">
        <f t="shared" si="4"/>
        <v>0</v>
      </c>
      <c r="S22" s="96">
        <f t="shared" si="1"/>
        <v>0</v>
      </c>
    </row>
    <row r="23" spans="1:20" x14ac:dyDescent="0.2">
      <c r="A23" s="87">
        <v>31111.032999999999</v>
      </c>
      <c r="B23" s="161" t="s">
        <v>454</v>
      </c>
      <c r="C23" s="293">
        <f>SUM(C16:C22)</f>
        <v>0</v>
      </c>
      <c r="D23" s="292"/>
      <c r="E23" s="292"/>
      <c r="F23" s="369">
        <f>SUM(F16:F22)</f>
        <v>0</v>
      </c>
      <c r="G23" s="369">
        <f t="shared" ref="G23:Q23" si="6">SUM(G16:G22)</f>
        <v>0</v>
      </c>
      <c r="H23" s="369">
        <f t="shared" si="6"/>
        <v>0</v>
      </c>
      <c r="I23" s="369">
        <f t="shared" si="6"/>
        <v>0</v>
      </c>
      <c r="J23" s="369">
        <f t="shared" si="6"/>
        <v>0</v>
      </c>
      <c r="K23" s="369">
        <f t="shared" si="6"/>
        <v>0</v>
      </c>
      <c r="L23" s="369">
        <f t="shared" si="6"/>
        <v>0</v>
      </c>
      <c r="M23" s="369">
        <f t="shared" si="6"/>
        <v>0</v>
      </c>
      <c r="N23" s="369">
        <f t="shared" si="6"/>
        <v>0</v>
      </c>
      <c r="O23" s="369">
        <f t="shared" si="6"/>
        <v>0</v>
      </c>
      <c r="P23" s="369">
        <f t="shared" si="6"/>
        <v>0</v>
      </c>
      <c r="Q23" s="369">
        <f t="shared" si="6"/>
        <v>0</v>
      </c>
      <c r="R23" s="369">
        <f t="shared" si="4"/>
        <v>0</v>
      </c>
      <c r="S23" s="292">
        <f t="shared" si="1"/>
        <v>0</v>
      </c>
    </row>
    <row r="24" spans="1:20" x14ac:dyDescent="0.2">
      <c r="A24" s="16"/>
      <c r="B24" s="29" t="s">
        <v>358</v>
      </c>
      <c r="C24" s="28">
        <f>C$2*D24</f>
        <v>33098.792910447766</v>
      </c>
      <c r="D24" s="13">
        <f>'[5]Blood Bank'!$J$28</f>
        <v>36.412313432835823</v>
      </c>
      <c r="E24" s="7"/>
      <c r="F24" s="376">
        <f>$D24*F$2</f>
        <v>837.48320895522397</v>
      </c>
      <c r="G24" s="376">
        <f t="shared" ref="G24:Q30" si="7">$D24*G$2</f>
        <v>1747.7910447761196</v>
      </c>
      <c r="H24" s="376">
        <f t="shared" si="7"/>
        <v>2985.8097014925374</v>
      </c>
      <c r="I24" s="376">
        <f t="shared" si="7"/>
        <v>2876.5727611940301</v>
      </c>
      <c r="J24" s="376">
        <f t="shared" si="7"/>
        <v>3386.3451492537315</v>
      </c>
      <c r="K24" s="376">
        <f t="shared" si="7"/>
        <v>3859.7052238805973</v>
      </c>
      <c r="L24" s="376">
        <f t="shared" si="7"/>
        <v>1492.9048507462687</v>
      </c>
      <c r="M24" s="376">
        <f t="shared" si="7"/>
        <v>3313.5205223880598</v>
      </c>
      <c r="N24" s="376">
        <f t="shared" si="7"/>
        <v>1929.8526119402986</v>
      </c>
      <c r="O24" s="376">
        <f t="shared" si="7"/>
        <v>3277.1082089552242</v>
      </c>
      <c r="P24" s="376">
        <f t="shared" si="7"/>
        <v>3714.0559701492539</v>
      </c>
      <c r="Q24" s="376">
        <f t="shared" si="7"/>
        <v>3677.6436567164183</v>
      </c>
      <c r="R24" s="376">
        <f t="shared" si="4"/>
        <v>33098.792910447766</v>
      </c>
      <c r="S24" s="96">
        <f t="shared" si="1"/>
        <v>0</v>
      </c>
    </row>
    <row r="25" spans="1:20" x14ac:dyDescent="0.2">
      <c r="A25" s="16"/>
      <c r="B25" s="29" t="s">
        <v>359</v>
      </c>
      <c r="C25" s="28">
        <f t="shared" ref="C25:C30" si="8">C$2*D25</f>
        <v>0</v>
      </c>
      <c r="D25" s="13">
        <v>0</v>
      </c>
      <c r="E25" s="7"/>
      <c r="F25" s="376">
        <f t="shared" ref="F25:F30" si="9">$D25*F$2</f>
        <v>0</v>
      </c>
      <c r="G25" s="376">
        <f t="shared" si="7"/>
        <v>0</v>
      </c>
      <c r="H25" s="376">
        <f t="shared" si="7"/>
        <v>0</v>
      </c>
      <c r="I25" s="376">
        <f t="shared" si="7"/>
        <v>0</v>
      </c>
      <c r="J25" s="376">
        <f t="shared" si="7"/>
        <v>0</v>
      </c>
      <c r="K25" s="376">
        <f t="shared" si="7"/>
        <v>0</v>
      </c>
      <c r="L25" s="376">
        <f t="shared" si="7"/>
        <v>0</v>
      </c>
      <c r="M25" s="376">
        <f t="shared" si="7"/>
        <v>0</v>
      </c>
      <c r="N25" s="376">
        <f t="shared" si="7"/>
        <v>0</v>
      </c>
      <c r="O25" s="376">
        <f t="shared" si="7"/>
        <v>0</v>
      </c>
      <c r="P25" s="376">
        <f t="shared" si="7"/>
        <v>0</v>
      </c>
      <c r="Q25" s="376">
        <f t="shared" si="7"/>
        <v>0</v>
      </c>
      <c r="R25" s="376">
        <f t="shared" si="4"/>
        <v>0</v>
      </c>
      <c r="S25" s="96">
        <f t="shared" si="1"/>
        <v>0</v>
      </c>
    </row>
    <row r="26" spans="1:20" x14ac:dyDescent="0.2">
      <c r="A26" s="16"/>
      <c r="B26" s="29" t="s">
        <v>372</v>
      </c>
      <c r="C26" s="28">
        <f t="shared" si="8"/>
        <v>11594.837686567163</v>
      </c>
      <c r="D26" s="13">
        <f>'[5]Blood Bank'!$J$30</f>
        <v>12.755597014925373</v>
      </c>
      <c r="E26" s="7"/>
      <c r="F26" s="376">
        <f t="shared" si="9"/>
        <v>293.37873134328356</v>
      </c>
      <c r="G26" s="376">
        <f t="shared" si="7"/>
        <v>612.26865671641792</v>
      </c>
      <c r="H26" s="376">
        <f t="shared" si="7"/>
        <v>1045.9589552238806</v>
      </c>
      <c r="I26" s="376">
        <f t="shared" si="7"/>
        <v>1007.6921641791045</v>
      </c>
      <c r="J26" s="376">
        <f t="shared" si="7"/>
        <v>1186.2705223880596</v>
      </c>
      <c r="K26" s="376">
        <f t="shared" si="7"/>
        <v>1352.0932835820895</v>
      </c>
      <c r="L26" s="376">
        <f t="shared" si="7"/>
        <v>522.9794776119403</v>
      </c>
      <c r="M26" s="376">
        <f t="shared" si="7"/>
        <v>1160.7593283582089</v>
      </c>
      <c r="N26" s="376">
        <f t="shared" si="7"/>
        <v>676.04664179104475</v>
      </c>
      <c r="O26" s="376">
        <f t="shared" si="7"/>
        <v>1148.0037313432836</v>
      </c>
      <c r="P26" s="376">
        <f t="shared" si="7"/>
        <v>1301.0708955223881</v>
      </c>
      <c r="Q26" s="376">
        <f t="shared" si="7"/>
        <v>1288.3152985074626</v>
      </c>
      <c r="R26" s="376">
        <f t="shared" si="4"/>
        <v>11594.837686567163</v>
      </c>
      <c r="S26" s="96">
        <f t="shared" si="1"/>
        <v>0</v>
      </c>
    </row>
    <row r="27" spans="1:20" x14ac:dyDescent="0.2">
      <c r="A27" s="16"/>
      <c r="B27" s="29" t="s">
        <v>373</v>
      </c>
      <c r="C27" s="28">
        <f t="shared" si="8"/>
        <v>0</v>
      </c>
      <c r="D27" s="13"/>
      <c r="E27" s="7"/>
      <c r="F27" s="376">
        <f t="shared" si="9"/>
        <v>0</v>
      </c>
      <c r="G27" s="376">
        <f t="shared" si="7"/>
        <v>0</v>
      </c>
      <c r="H27" s="376">
        <f t="shared" si="7"/>
        <v>0</v>
      </c>
      <c r="I27" s="376">
        <f t="shared" si="7"/>
        <v>0</v>
      </c>
      <c r="J27" s="376">
        <f t="shared" si="7"/>
        <v>0</v>
      </c>
      <c r="K27" s="376">
        <f t="shared" si="7"/>
        <v>0</v>
      </c>
      <c r="L27" s="376">
        <f t="shared" si="7"/>
        <v>0</v>
      </c>
      <c r="M27" s="376">
        <f t="shared" si="7"/>
        <v>0</v>
      </c>
      <c r="N27" s="376">
        <f t="shared" si="7"/>
        <v>0</v>
      </c>
      <c r="O27" s="376">
        <f t="shared" si="7"/>
        <v>0</v>
      </c>
      <c r="P27" s="376">
        <f t="shared" si="7"/>
        <v>0</v>
      </c>
      <c r="Q27" s="376">
        <f t="shared" si="7"/>
        <v>0</v>
      </c>
      <c r="R27" s="376">
        <f t="shared" si="4"/>
        <v>0</v>
      </c>
      <c r="S27" s="96">
        <f t="shared" si="1"/>
        <v>0</v>
      </c>
    </row>
    <row r="28" spans="1:20" x14ac:dyDescent="0.2">
      <c r="A28" s="163"/>
      <c r="B28" s="29" t="s">
        <v>361</v>
      </c>
      <c r="C28" s="28">
        <f t="shared" si="8"/>
        <v>12943.074626865673</v>
      </c>
      <c r="D28" s="13">
        <f>'[5]Blood Bank'!$J$32</f>
        <v>14.238805970149254</v>
      </c>
      <c r="E28" s="7"/>
      <c r="F28" s="376">
        <f t="shared" si="9"/>
        <v>327.49253731343288</v>
      </c>
      <c r="G28" s="376">
        <f t="shared" si="7"/>
        <v>683.46268656716416</v>
      </c>
      <c r="H28" s="376">
        <f t="shared" si="7"/>
        <v>1167.5820895522388</v>
      </c>
      <c r="I28" s="376">
        <f t="shared" si="7"/>
        <v>1124.8656716417911</v>
      </c>
      <c r="J28" s="376">
        <f t="shared" si="7"/>
        <v>1324.2089552238806</v>
      </c>
      <c r="K28" s="376">
        <f t="shared" si="7"/>
        <v>1509.313432835821</v>
      </c>
      <c r="L28" s="376">
        <f t="shared" si="7"/>
        <v>583.79104477611941</v>
      </c>
      <c r="M28" s="376">
        <f t="shared" si="7"/>
        <v>1295.7313432835822</v>
      </c>
      <c r="N28" s="376">
        <f t="shared" si="7"/>
        <v>754.6567164179105</v>
      </c>
      <c r="O28" s="376">
        <f t="shared" si="7"/>
        <v>1281.4925373134329</v>
      </c>
      <c r="P28" s="376">
        <f t="shared" si="7"/>
        <v>1452.358208955224</v>
      </c>
      <c r="Q28" s="376">
        <f t="shared" si="7"/>
        <v>1438.1194029850747</v>
      </c>
      <c r="R28" s="376">
        <f t="shared" si="4"/>
        <v>12943.074626865671</v>
      </c>
      <c r="S28" s="96">
        <f t="shared" si="1"/>
        <v>0</v>
      </c>
    </row>
    <row r="29" spans="1:20" x14ac:dyDescent="0.2">
      <c r="A29" s="163"/>
      <c r="B29" s="29" t="s">
        <v>360</v>
      </c>
      <c r="C29" s="28">
        <f t="shared" si="8"/>
        <v>27186.901119402988</v>
      </c>
      <c r="D29" s="13">
        <f>'[5]Blood Bank'!$J$33</f>
        <v>29.90858208955224</v>
      </c>
      <c r="E29" s="7"/>
      <c r="F29" s="376">
        <f t="shared" si="9"/>
        <v>687.89738805970148</v>
      </c>
      <c r="G29" s="376">
        <f t="shared" si="7"/>
        <v>1435.6119402985075</v>
      </c>
      <c r="H29" s="376">
        <f t="shared" si="7"/>
        <v>2452.5037313432836</v>
      </c>
      <c r="I29" s="376">
        <f t="shared" si="7"/>
        <v>2362.7779850746269</v>
      </c>
      <c r="J29" s="376">
        <f t="shared" si="7"/>
        <v>2781.4981343283584</v>
      </c>
      <c r="K29" s="376">
        <f t="shared" si="7"/>
        <v>3170.3097014925374</v>
      </c>
      <c r="L29" s="376">
        <f t="shared" si="7"/>
        <v>1226.2518656716418</v>
      </c>
      <c r="M29" s="376">
        <f t="shared" si="7"/>
        <v>2721.6809701492539</v>
      </c>
      <c r="N29" s="376">
        <f t="shared" si="7"/>
        <v>1585.1548507462687</v>
      </c>
      <c r="O29" s="376">
        <f t="shared" si="7"/>
        <v>2691.7723880597018</v>
      </c>
      <c r="P29" s="376">
        <f t="shared" si="7"/>
        <v>3050.6753731343283</v>
      </c>
      <c r="Q29" s="376">
        <f t="shared" si="7"/>
        <v>3020.7667910447763</v>
      </c>
      <c r="R29" s="376">
        <f t="shared" si="4"/>
        <v>27186.901119402981</v>
      </c>
      <c r="S29" s="96">
        <f t="shared" si="1"/>
        <v>0</v>
      </c>
    </row>
    <row r="30" spans="1:20" x14ac:dyDescent="0.2">
      <c r="A30" s="163"/>
      <c r="B30" s="29" t="s">
        <v>362</v>
      </c>
      <c r="C30" s="28">
        <f t="shared" si="8"/>
        <v>10567.125</v>
      </c>
      <c r="D30" s="13">
        <f>'[5]Blood Bank'!$J$34</f>
        <v>11.625</v>
      </c>
      <c r="E30" s="7"/>
      <c r="F30" s="376">
        <f t="shared" si="9"/>
        <v>267.375</v>
      </c>
      <c r="G30" s="376">
        <f t="shared" si="7"/>
        <v>558</v>
      </c>
      <c r="H30" s="376">
        <f t="shared" si="7"/>
        <v>953.25</v>
      </c>
      <c r="I30" s="376">
        <f t="shared" si="7"/>
        <v>918.375</v>
      </c>
      <c r="J30" s="376">
        <f t="shared" si="7"/>
        <v>1081.125</v>
      </c>
      <c r="K30" s="376">
        <f t="shared" si="7"/>
        <v>1232.25</v>
      </c>
      <c r="L30" s="376">
        <f t="shared" si="7"/>
        <v>476.625</v>
      </c>
      <c r="M30" s="376">
        <f t="shared" si="7"/>
        <v>1057.875</v>
      </c>
      <c r="N30" s="376">
        <f t="shared" si="7"/>
        <v>616.125</v>
      </c>
      <c r="O30" s="376">
        <f t="shared" si="7"/>
        <v>1046.25</v>
      </c>
      <c r="P30" s="376">
        <f t="shared" si="7"/>
        <v>1185.75</v>
      </c>
      <c r="Q30" s="376">
        <f t="shared" si="7"/>
        <v>1174.125</v>
      </c>
      <c r="R30" s="376">
        <f t="shared" si="4"/>
        <v>10567.125</v>
      </c>
      <c r="S30" s="96">
        <f t="shared" si="1"/>
        <v>0</v>
      </c>
    </row>
    <row r="31" spans="1:20" x14ac:dyDescent="0.2">
      <c r="A31" s="90">
        <v>31200.032999999999</v>
      </c>
      <c r="B31" s="161" t="s">
        <v>455</v>
      </c>
      <c r="C31" s="293">
        <f>SUM(C24:C30)</f>
        <v>95390.73134328358</v>
      </c>
      <c r="D31" s="292"/>
      <c r="E31" s="292"/>
      <c r="F31" s="369">
        <f>SUM(F24:F30)</f>
        <v>2413.626865671642</v>
      </c>
      <c r="G31" s="369">
        <f t="shared" ref="G31:Q31" si="10">SUM(G24:G30)</f>
        <v>5037.1343283582091</v>
      </c>
      <c r="H31" s="369">
        <f t="shared" si="10"/>
        <v>8605.1044776119415</v>
      </c>
      <c r="I31" s="369">
        <f t="shared" si="10"/>
        <v>8290.2835820895525</v>
      </c>
      <c r="J31" s="369">
        <f t="shared" si="10"/>
        <v>9759.4477611940292</v>
      </c>
      <c r="K31" s="369">
        <f t="shared" si="10"/>
        <v>11123.671641791045</v>
      </c>
      <c r="L31" s="369">
        <f t="shared" si="10"/>
        <v>4302.5522388059708</v>
      </c>
      <c r="M31" s="369">
        <f t="shared" si="10"/>
        <v>9549.567164179105</v>
      </c>
      <c r="N31" s="369">
        <f t="shared" si="10"/>
        <v>5561.8358208955224</v>
      </c>
      <c r="O31" s="369">
        <f t="shared" si="10"/>
        <v>9444.626865671642</v>
      </c>
      <c r="P31" s="369">
        <f t="shared" si="10"/>
        <v>10703.910447761195</v>
      </c>
      <c r="Q31" s="369">
        <f t="shared" si="10"/>
        <v>10598.970149253732</v>
      </c>
      <c r="R31" s="369">
        <f t="shared" si="4"/>
        <v>95390.731343283594</v>
      </c>
      <c r="S31" s="292">
        <f t="shared" si="1"/>
        <v>0</v>
      </c>
    </row>
    <row r="32" spans="1:20" s="5" customFormat="1" x14ac:dyDescent="0.2">
      <c r="A32" s="11"/>
      <c r="B32" s="10" t="s">
        <v>0</v>
      </c>
      <c r="C32" s="88">
        <f>C15+C23+C31</f>
        <v>144792.16791044775</v>
      </c>
      <c r="D32" s="27">
        <f>SUM(D8:D30)</f>
        <v>159.28731343283584</v>
      </c>
      <c r="E32" s="104"/>
      <c r="F32" s="109">
        <f>F15+F23+F31</f>
        <v>3663.6082089552242</v>
      </c>
      <c r="G32" s="109">
        <f t="shared" ref="G32:Q32" si="11">G15+G23+G31</f>
        <v>7645.7910447761196</v>
      </c>
      <c r="H32" s="109">
        <f t="shared" si="11"/>
        <v>13061.559701492539</v>
      </c>
      <c r="I32" s="109">
        <f t="shared" si="11"/>
        <v>12583.697761194031</v>
      </c>
      <c r="J32" s="109">
        <f t="shared" si="11"/>
        <v>14813.720149253732</v>
      </c>
      <c r="K32" s="109">
        <f t="shared" si="11"/>
        <v>16884.455223880599</v>
      </c>
      <c r="L32" s="109">
        <f t="shared" si="11"/>
        <v>6530.7798507462694</v>
      </c>
      <c r="M32" s="109">
        <f t="shared" si="11"/>
        <v>14495.14552238806</v>
      </c>
      <c r="N32" s="109">
        <f t="shared" si="11"/>
        <v>8442.2276119402995</v>
      </c>
      <c r="O32" s="109">
        <f t="shared" si="11"/>
        <v>14335.858208955226</v>
      </c>
      <c r="P32" s="109">
        <f t="shared" si="11"/>
        <v>16247.305970149255</v>
      </c>
      <c r="Q32" s="109">
        <f t="shared" si="11"/>
        <v>16088.018656716418</v>
      </c>
      <c r="R32" s="109">
        <f t="shared" si="4"/>
        <v>144792.16791044778</v>
      </c>
      <c r="S32" s="96">
        <f t="shared" si="1"/>
        <v>0</v>
      </c>
      <c r="T32" s="6"/>
    </row>
    <row r="33" spans="1:20" x14ac:dyDescent="0.2">
      <c r="F33" s="160"/>
      <c r="G33" s="160"/>
      <c r="H33" s="160"/>
      <c r="I33" s="160"/>
      <c r="J33" s="160"/>
      <c r="K33" s="160"/>
      <c r="L33" s="160"/>
      <c r="M33" s="160"/>
      <c r="N33" s="160"/>
      <c r="O33" s="160"/>
      <c r="P33" s="160"/>
      <c r="Q33" s="160"/>
      <c r="R33" s="160"/>
    </row>
    <row r="34" spans="1:20" x14ac:dyDescent="0.2">
      <c r="A34" s="711" t="s">
        <v>25</v>
      </c>
      <c r="B34" s="711"/>
      <c r="C34" s="711"/>
      <c r="D34" s="711"/>
      <c r="E34" s="37"/>
      <c r="F34" s="160"/>
      <c r="G34" s="160"/>
      <c r="H34" s="160"/>
      <c r="I34" s="160"/>
      <c r="J34" s="160"/>
      <c r="K34" s="160"/>
      <c r="L34" s="160"/>
      <c r="M34" s="160"/>
      <c r="N34" s="160"/>
      <c r="O34" s="160"/>
      <c r="P34" s="160"/>
      <c r="Q34" s="160"/>
      <c r="R34" s="160"/>
    </row>
    <row r="35" spans="1:20" s="151" customFormat="1" x14ac:dyDescent="0.2">
      <c r="A35" s="21"/>
      <c r="B35" s="10" t="s">
        <v>452</v>
      </c>
      <c r="C35" s="78"/>
      <c r="D35" s="168" t="s">
        <v>439</v>
      </c>
      <c r="E35" s="140"/>
      <c r="F35" s="277"/>
      <c r="G35" s="277"/>
      <c r="H35" s="277"/>
      <c r="I35" s="277"/>
      <c r="J35" s="277"/>
      <c r="K35" s="277"/>
      <c r="L35" s="277"/>
      <c r="M35" s="277"/>
      <c r="N35" s="277"/>
      <c r="O35" s="277"/>
      <c r="P35" s="277"/>
      <c r="Q35" s="277"/>
      <c r="R35" s="277"/>
      <c r="S35" s="164"/>
      <c r="T35" s="164"/>
    </row>
    <row r="36" spans="1:20" s="92" customFormat="1" x14ac:dyDescent="0.2">
      <c r="A36" s="87">
        <v>41213.033000000003</v>
      </c>
      <c r="B36" s="15" t="s">
        <v>440</v>
      </c>
      <c r="C36" s="14">
        <f>'[6]Blood Bank'!$I$15</f>
        <v>23368</v>
      </c>
      <c r="D36" s="329">
        <f>$C36/C$2</f>
        <v>25.707370737073706</v>
      </c>
      <c r="E36" s="120"/>
      <c r="F36" s="373">
        <f>$D36*F$2</f>
        <v>591.26952695269529</v>
      </c>
      <c r="G36" s="373">
        <f t="shared" ref="G36:Q39" si="12">$D36*G$2</f>
        <v>1233.953795379538</v>
      </c>
      <c r="H36" s="373">
        <f t="shared" si="12"/>
        <v>2108.0044004400438</v>
      </c>
      <c r="I36" s="373">
        <f t="shared" si="12"/>
        <v>2030.8822882288227</v>
      </c>
      <c r="J36" s="373">
        <f t="shared" si="12"/>
        <v>2390.7854785478548</v>
      </c>
      <c r="K36" s="373">
        <f t="shared" si="12"/>
        <v>2724.9812981298128</v>
      </c>
      <c r="L36" s="373">
        <f t="shared" si="12"/>
        <v>1054.0022002200219</v>
      </c>
      <c r="M36" s="373">
        <f t="shared" si="12"/>
        <v>2339.3707370737075</v>
      </c>
      <c r="N36" s="373">
        <f t="shared" si="12"/>
        <v>1362.4906490649064</v>
      </c>
      <c r="O36" s="373">
        <f t="shared" si="12"/>
        <v>2313.6633663366338</v>
      </c>
      <c r="P36" s="373">
        <f t="shared" si="12"/>
        <v>2622.151815181518</v>
      </c>
      <c r="Q36" s="373">
        <f t="shared" si="12"/>
        <v>2596.4444444444443</v>
      </c>
      <c r="R36" s="376">
        <f t="shared" ref="R36" si="13">SUM(F36:Q36)</f>
        <v>23368</v>
      </c>
      <c r="S36" s="3">
        <f>C36-R36</f>
        <v>0</v>
      </c>
      <c r="T36" s="91"/>
    </row>
    <row r="37" spans="1:20" s="92" customFormat="1" x14ac:dyDescent="0.2">
      <c r="A37" s="87">
        <v>41237.033000000003</v>
      </c>
      <c r="B37" s="15" t="s">
        <v>456</v>
      </c>
      <c r="C37" s="14"/>
      <c r="D37" s="329">
        <f>$C37/C$2</f>
        <v>0</v>
      </c>
      <c r="E37" s="120"/>
      <c r="F37" s="373">
        <f>$D37*F$2</f>
        <v>0</v>
      </c>
      <c r="G37" s="373">
        <f t="shared" si="12"/>
        <v>0</v>
      </c>
      <c r="H37" s="373">
        <f t="shared" si="12"/>
        <v>0</v>
      </c>
      <c r="I37" s="373">
        <f t="shared" si="12"/>
        <v>0</v>
      </c>
      <c r="J37" s="373">
        <f t="shared" si="12"/>
        <v>0</v>
      </c>
      <c r="K37" s="373">
        <f t="shared" si="12"/>
        <v>0</v>
      </c>
      <c r="L37" s="373">
        <f t="shared" si="12"/>
        <v>0</v>
      </c>
      <c r="M37" s="373">
        <f t="shared" si="12"/>
        <v>0</v>
      </c>
      <c r="N37" s="373">
        <f t="shared" si="12"/>
        <v>0</v>
      </c>
      <c r="O37" s="373">
        <f t="shared" si="12"/>
        <v>0</v>
      </c>
      <c r="P37" s="373">
        <f t="shared" si="12"/>
        <v>0</v>
      </c>
      <c r="Q37" s="373">
        <f t="shared" si="12"/>
        <v>0</v>
      </c>
      <c r="R37" s="376">
        <f t="shared" ref="R37" si="14">SUM(F37:Q37)</f>
        <v>0</v>
      </c>
      <c r="S37" s="3">
        <f>C37-R37</f>
        <v>0</v>
      </c>
      <c r="T37" s="91"/>
    </row>
    <row r="38" spans="1:20" s="92" customFormat="1" x14ac:dyDescent="0.2">
      <c r="A38" s="87">
        <v>41250.033000000003</v>
      </c>
      <c r="B38" s="15" t="s">
        <v>15</v>
      </c>
      <c r="C38" s="14"/>
      <c r="D38" s="329">
        <f>$C38/C$2</f>
        <v>0</v>
      </c>
      <c r="E38" s="120"/>
      <c r="F38" s="373">
        <f>$D38*F$2</f>
        <v>0</v>
      </c>
      <c r="G38" s="373">
        <f t="shared" si="12"/>
        <v>0</v>
      </c>
      <c r="H38" s="373">
        <f t="shared" si="12"/>
        <v>0</v>
      </c>
      <c r="I38" s="373">
        <f t="shared" si="12"/>
        <v>0</v>
      </c>
      <c r="J38" s="373">
        <f t="shared" si="12"/>
        <v>0</v>
      </c>
      <c r="K38" s="373">
        <f t="shared" si="12"/>
        <v>0</v>
      </c>
      <c r="L38" s="373">
        <f t="shared" si="12"/>
        <v>0</v>
      </c>
      <c r="M38" s="373">
        <f t="shared" si="12"/>
        <v>0</v>
      </c>
      <c r="N38" s="373">
        <f t="shared" si="12"/>
        <v>0</v>
      </c>
      <c r="O38" s="373">
        <f t="shared" si="12"/>
        <v>0</v>
      </c>
      <c r="P38" s="373">
        <f t="shared" si="12"/>
        <v>0</v>
      </c>
      <c r="Q38" s="373">
        <f t="shared" si="12"/>
        <v>0</v>
      </c>
      <c r="R38" s="376">
        <f t="shared" ref="R38:R39" si="15">SUM(F38:Q38)</f>
        <v>0</v>
      </c>
      <c r="S38" s="3">
        <f>C38-R38</f>
        <v>0</v>
      </c>
      <c r="T38" s="91"/>
    </row>
    <row r="39" spans="1:20" s="92" customFormat="1" x14ac:dyDescent="0.2">
      <c r="A39" s="87">
        <v>41570.033000000003</v>
      </c>
      <c r="B39" s="15" t="s">
        <v>586</v>
      </c>
      <c r="C39" s="14"/>
      <c r="D39" s="329">
        <f>$C39/C$2</f>
        <v>0</v>
      </c>
      <c r="E39" s="120"/>
      <c r="F39" s="373">
        <f>$D39*F$2</f>
        <v>0</v>
      </c>
      <c r="G39" s="373">
        <f t="shared" si="12"/>
        <v>0</v>
      </c>
      <c r="H39" s="373">
        <f t="shared" si="12"/>
        <v>0</v>
      </c>
      <c r="I39" s="373">
        <f t="shared" si="12"/>
        <v>0</v>
      </c>
      <c r="J39" s="373">
        <f t="shared" si="12"/>
        <v>0</v>
      </c>
      <c r="K39" s="373">
        <f t="shared" si="12"/>
        <v>0</v>
      </c>
      <c r="L39" s="373">
        <f t="shared" si="12"/>
        <v>0</v>
      </c>
      <c r="M39" s="373">
        <f t="shared" si="12"/>
        <v>0</v>
      </c>
      <c r="N39" s="373">
        <f t="shared" si="12"/>
        <v>0</v>
      </c>
      <c r="O39" s="373">
        <f t="shared" si="12"/>
        <v>0</v>
      </c>
      <c r="P39" s="373">
        <f t="shared" si="12"/>
        <v>0</v>
      </c>
      <c r="Q39" s="373">
        <f t="shared" si="12"/>
        <v>0</v>
      </c>
      <c r="R39" s="376">
        <f t="shared" si="15"/>
        <v>0</v>
      </c>
      <c r="S39" s="3">
        <f>C39-R39</f>
        <v>0</v>
      </c>
      <c r="T39" s="91"/>
    </row>
    <row r="40" spans="1:20" s="170" customFormat="1" x14ac:dyDescent="0.2">
      <c r="A40" s="132"/>
      <c r="B40" s="77" t="s">
        <v>0</v>
      </c>
      <c r="C40" s="88">
        <f>SUM(C36:C39)</f>
        <v>23368</v>
      </c>
      <c r="D40" s="128">
        <f>SUM(D36:D38)</f>
        <v>25.707370737073706</v>
      </c>
      <c r="E40" s="128"/>
      <c r="F40" s="374">
        <f>SUM(F36:F39)</f>
        <v>591.26952695269529</v>
      </c>
      <c r="G40" s="374">
        <f t="shared" ref="G40:Q40" si="16">SUM(G36:G39)</f>
        <v>1233.953795379538</v>
      </c>
      <c r="H40" s="374">
        <f t="shared" si="16"/>
        <v>2108.0044004400438</v>
      </c>
      <c r="I40" s="374">
        <f t="shared" si="16"/>
        <v>2030.8822882288227</v>
      </c>
      <c r="J40" s="374">
        <f t="shared" si="16"/>
        <v>2390.7854785478548</v>
      </c>
      <c r="K40" s="374">
        <f t="shared" si="16"/>
        <v>2724.9812981298128</v>
      </c>
      <c r="L40" s="374">
        <f t="shared" si="16"/>
        <v>1054.0022002200219</v>
      </c>
      <c r="M40" s="374">
        <f t="shared" si="16"/>
        <v>2339.3707370737075</v>
      </c>
      <c r="N40" s="374">
        <f t="shared" si="16"/>
        <v>1362.4906490649064</v>
      </c>
      <c r="O40" s="374">
        <f t="shared" si="16"/>
        <v>2313.6633663366338</v>
      </c>
      <c r="P40" s="374">
        <f t="shared" si="16"/>
        <v>2622.151815181518</v>
      </c>
      <c r="Q40" s="374">
        <f t="shared" si="16"/>
        <v>2596.4444444444443</v>
      </c>
      <c r="R40" s="109">
        <f>SUM(F40:Q40)</f>
        <v>23368</v>
      </c>
      <c r="S40" s="96">
        <f>C40-R40</f>
        <v>0</v>
      </c>
      <c r="T40" s="169"/>
    </row>
    <row r="41" spans="1:20" s="12" customFormat="1" x14ac:dyDescent="0.2">
      <c r="A41" s="4"/>
      <c r="B41" s="4"/>
      <c r="C41" s="7">
        <f>C40-C32</f>
        <v>-121424.16791044775</v>
      </c>
      <c r="D41" s="4"/>
      <c r="E41" s="4"/>
      <c r="F41" s="4"/>
      <c r="G41" s="4"/>
      <c r="H41" s="4"/>
      <c r="I41" s="4"/>
      <c r="J41" s="4"/>
      <c r="K41" s="4"/>
      <c r="L41" s="4"/>
      <c r="M41" s="4"/>
      <c r="N41" s="4"/>
      <c r="O41" s="4"/>
      <c r="P41" s="4"/>
      <c r="Q41" s="4"/>
      <c r="R41" s="4"/>
      <c r="S41" s="4"/>
      <c r="T41" s="4"/>
    </row>
    <row r="42" spans="1:20" s="12" customFormat="1" x14ac:dyDescent="0.2">
      <c r="A42" s="4"/>
      <c r="B42" s="4"/>
      <c r="C42" s="4"/>
      <c r="D42" s="4"/>
      <c r="E42" s="4"/>
      <c r="F42" s="4"/>
      <c r="G42" s="4"/>
      <c r="H42" s="4"/>
      <c r="I42" s="4"/>
      <c r="J42" s="4"/>
      <c r="K42" s="4"/>
      <c r="L42" s="4"/>
      <c r="M42" s="4"/>
      <c r="N42" s="4"/>
      <c r="O42" s="4"/>
      <c r="P42" s="4"/>
      <c r="Q42" s="4"/>
      <c r="R42" s="4"/>
      <c r="S42" s="4"/>
      <c r="T42" s="4"/>
    </row>
    <row r="43" spans="1:20" s="12" customFormat="1" x14ac:dyDescent="0.2">
      <c r="A43" s="171"/>
      <c r="B43" s="4"/>
      <c r="C43" s="7"/>
      <c r="D43" s="4"/>
      <c r="E43" s="4"/>
      <c r="F43" s="7"/>
      <c r="G43" s="7"/>
      <c r="H43" s="7"/>
      <c r="I43" s="7"/>
      <c r="J43" s="7"/>
      <c r="K43" s="7"/>
      <c r="L43" s="7"/>
      <c r="M43" s="7"/>
      <c r="N43" s="7"/>
      <c r="O43" s="7"/>
      <c r="P43" s="7"/>
      <c r="Q43" s="7"/>
      <c r="R43" s="7"/>
      <c r="S43" s="4"/>
      <c r="T43" s="171"/>
    </row>
    <row r="44" spans="1:20" s="12" customFormat="1" x14ac:dyDescent="0.2">
      <c r="A44" s="171"/>
      <c r="B44" s="4"/>
      <c r="C44" s="7"/>
      <c r="D44" s="4"/>
      <c r="E44" s="4"/>
      <c r="F44" s="7"/>
      <c r="G44" s="7"/>
      <c r="H44" s="7"/>
      <c r="I44" s="7"/>
      <c r="J44" s="7"/>
      <c r="K44" s="7"/>
      <c r="L44" s="7"/>
      <c r="M44" s="7"/>
      <c r="N44" s="7"/>
      <c r="O44" s="7"/>
      <c r="P44" s="7"/>
      <c r="Q44" s="7"/>
      <c r="R44" s="7"/>
      <c r="S44" s="4"/>
      <c r="T44" s="171"/>
    </row>
    <row r="45" spans="1:20" s="12" customFormat="1" x14ac:dyDescent="0.2">
      <c r="A45" s="4"/>
      <c r="B45" s="4"/>
      <c r="C45" s="7"/>
      <c r="D45" s="4"/>
      <c r="E45" s="4"/>
      <c r="F45" s="7"/>
      <c r="G45" s="7"/>
      <c r="H45" s="7"/>
      <c r="I45" s="7"/>
      <c r="J45" s="7"/>
      <c r="K45" s="7"/>
      <c r="L45" s="7"/>
      <c r="M45" s="7"/>
      <c r="N45" s="7"/>
      <c r="O45" s="7"/>
      <c r="P45" s="7"/>
      <c r="Q45" s="7"/>
      <c r="R45" s="7"/>
      <c r="S45" s="4"/>
      <c r="T45" s="4"/>
    </row>
    <row r="46" spans="1:20" s="12" customFormat="1" x14ac:dyDescent="0.2">
      <c r="A46" s="4"/>
      <c r="B46" s="4"/>
      <c r="C46" s="4"/>
      <c r="D46" s="4"/>
      <c r="E46" s="4"/>
      <c r="F46" s="4"/>
      <c r="G46" s="4"/>
      <c r="H46" s="4"/>
      <c r="I46" s="4"/>
      <c r="J46" s="4"/>
      <c r="K46" s="4"/>
      <c r="L46" s="4"/>
      <c r="M46" s="4"/>
      <c r="N46" s="4"/>
      <c r="O46" s="4"/>
      <c r="P46" s="4"/>
      <c r="Q46" s="4"/>
      <c r="R46" s="4"/>
      <c r="S46" s="4"/>
      <c r="T46" s="4"/>
    </row>
    <row r="47" spans="1:20" s="12" customFormat="1" x14ac:dyDescent="0.2">
      <c r="A47" s="4"/>
      <c r="B47" s="4"/>
      <c r="C47" s="7"/>
      <c r="D47" s="4"/>
      <c r="E47" s="4"/>
      <c r="F47" s="7"/>
      <c r="G47" s="7"/>
      <c r="H47" s="7"/>
      <c r="I47" s="7"/>
      <c r="J47" s="7"/>
      <c r="K47" s="7"/>
      <c r="L47" s="7"/>
      <c r="M47" s="7"/>
      <c r="N47" s="7"/>
      <c r="O47" s="7"/>
      <c r="P47" s="7"/>
      <c r="Q47" s="7"/>
      <c r="R47" s="7"/>
      <c r="S47" s="4"/>
      <c r="T47" s="4"/>
    </row>
    <row r="48" spans="1:20" s="12" customFormat="1" x14ac:dyDescent="0.2">
      <c r="A48" s="4"/>
      <c r="B48" s="4"/>
      <c r="C48" s="4"/>
      <c r="D48" s="4"/>
      <c r="E48" s="4"/>
      <c r="F48" s="4"/>
      <c r="G48" s="4"/>
      <c r="H48" s="4"/>
      <c r="I48" s="4"/>
      <c r="J48" s="4"/>
      <c r="K48" s="4"/>
      <c r="L48" s="4"/>
      <c r="M48" s="4"/>
      <c r="N48" s="4"/>
      <c r="O48" s="4"/>
      <c r="P48" s="4"/>
      <c r="Q48" s="4"/>
      <c r="R48" s="4"/>
      <c r="S48" s="4"/>
      <c r="T48" s="4"/>
    </row>
    <row r="49" spans="1:20" s="12" customFormat="1" x14ac:dyDescent="0.2">
      <c r="A49" s="4"/>
      <c r="B49" s="4"/>
      <c r="C49" s="4"/>
      <c r="D49" s="4"/>
      <c r="E49" s="4"/>
      <c r="F49" s="4"/>
      <c r="G49" s="4"/>
      <c r="H49" s="4"/>
      <c r="I49" s="4"/>
      <c r="J49" s="4"/>
      <c r="K49" s="4"/>
      <c r="L49" s="4"/>
      <c r="M49" s="4"/>
      <c r="N49" s="4"/>
      <c r="O49" s="4"/>
      <c r="P49" s="4"/>
      <c r="Q49" s="4"/>
      <c r="R49" s="4"/>
      <c r="S49" s="4"/>
      <c r="T49" s="4"/>
    </row>
    <row r="50" spans="1:20" s="12" customFormat="1" x14ac:dyDescent="0.2">
      <c r="A50" s="4"/>
      <c r="B50" s="4"/>
      <c r="C50" s="4"/>
      <c r="D50" s="4"/>
      <c r="E50" s="4"/>
      <c r="F50" s="4"/>
      <c r="G50" s="4"/>
      <c r="H50" s="4"/>
      <c r="I50" s="4"/>
      <c r="J50" s="4"/>
      <c r="K50" s="4"/>
      <c r="L50" s="4"/>
      <c r="M50" s="4"/>
      <c r="N50" s="4"/>
      <c r="O50" s="4"/>
      <c r="P50" s="4"/>
      <c r="Q50" s="4"/>
      <c r="R50" s="4"/>
      <c r="S50" s="4"/>
      <c r="T50" s="4"/>
    </row>
    <row r="51" spans="1:20" s="12" customFormat="1" x14ac:dyDescent="0.2">
      <c r="A51" s="4"/>
      <c r="B51" s="4"/>
      <c r="C51" s="4"/>
      <c r="D51" s="4"/>
      <c r="E51" s="4"/>
      <c r="F51" s="4"/>
      <c r="G51" s="4"/>
      <c r="H51" s="4"/>
      <c r="I51" s="4"/>
      <c r="J51" s="4"/>
      <c r="K51" s="4"/>
      <c r="L51" s="4"/>
      <c r="M51" s="4"/>
      <c r="N51" s="4"/>
      <c r="O51" s="4"/>
      <c r="P51" s="4"/>
      <c r="Q51" s="4"/>
      <c r="R51" s="4"/>
      <c r="S51" s="4"/>
      <c r="T51" s="4"/>
    </row>
    <row r="52" spans="1:20" s="12" customFormat="1" x14ac:dyDescent="0.2">
      <c r="A52" s="4"/>
      <c r="B52" s="4"/>
      <c r="C52" s="4"/>
      <c r="D52" s="4"/>
      <c r="E52" s="4"/>
      <c r="F52" s="4"/>
      <c r="G52" s="4"/>
      <c r="H52" s="4"/>
      <c r="I52" s="4"/>
      <c r="J52" s="4"/>
      <c r="K52" s="4"/>
      <c r="L52" s="4"/>
      <c r="M52" s="4"/>
      <c r="N52" s="4"/>
      <c r="O52" s="4"/>
      <c r="P52" s="4"/>
      <c r="Q52" s="4"/>
      <c r="R52" s="4"/>
      <c r="S52" s="4"/>
      <c r="T52" s="4"/>
    </row>
    <row r="53" spans="1:20" s="12" customFormat="1" x14ac:dyDescent="0.2">
      <c r="A53" s="4"/>
      <c r="B53" s="4"/>
      <c r="C53" s="4"/>
      <c r="D53" s="4"/>
      <c r="E53" s="4"/>
      <c r="F53" s="4"/>
      <c r="G53" s="4"/>
      <c r="H53" s="4"/>
      <c r="I53" s="4"/>
      <c r="J53" s="4"/>
      <c r="K53" s="4"/>
      <c r="L53" s="4"/>
      <c r="M53" s="4"/>
      <c r="N53" s="4"/>
      <c r="O53" s="4"/>
      <c r="P53" s="4"/>
      <c r="Q53" s="4"/>
      <c r="R53" s="4"/>
      <c r="S53" s="4"/>
      <c r="T53" s="4"/>
    </row>
    <row r="54" spans="1:20" s="12" customFormat="1" x14ac:dyDescent="0.2">
      <c r="A54" s="4"/>
      <c r="B54" s="4"/>
      <c r="C54" s="4"/>
      <c r="D54" s="4"/>
      <c r="E54" s="4"/>
      <c r="F54" s="4"/>
      <c r="G54" s="4"/>
      <c r="H54" s="4"/>
      <c r="I54" s="4"/>
      <c r="J54" s="4"/>
      <c r="K54" s="4"/>
      <c r="L54" s="4"/>
      <c r="M54" s="4"/>
      <c r="N54" s="4"/>
      <c r="O54" s="4"/>
      <c r="P54" s="4"/>
      <c r="Q54" s="4"/>
      <c r="R54" s="4"/>
      <c r="S54" s="4"/>
      <c r="T54" s="4"/>
    </row>
    <row r="55" spans="1:20" s="12" customFormat="1" x14ac:dyDescent="0.2">
      <c r="A55" s="4"/>
      <c r="B55" s="4"/>
      <c r="C55" s="4"/>
      <c r="D55" s="4"/>
      <c r="E55" s="4"/>
      <c r="F55" s="4"/>
      <c r="G55" s="4"/>
      <c r="H55" s="4"/>
      <c r="I55" s="4"/>
      <c r="J55" s="4"/>
      <c r="K55" s="4"/>
      <c r="L55" s="4"/>
      <c r="M55" s="4"/>
      <c r="N55" s="4"/>
      <c r="O55" s="4"/>
      <c r="P55" s="4"/>
      <c r="Q55" s="4"/>
      <c r="R55" s="4"/>
      <c r="S55" s="4"/>
      <c r="T55" s="4"/>
    </row>
    <row r="56" spans="1:20" s="12" customFormat="1" x14ac:dyDescent="0.2">
      <c r="A56" s="4"/>
      <c r="B56" s="4"/>
      <c r="C56" s="4"/>
      <c r="D56" s="4"/>
      <c r="E56" s="4"/>
      <c r="F56" s="4"/>
      <c r="G56" s="4"/>
      <c r="H56" s="4"/>
      <c r="I56" s="4"/>
      <c r="J56" s="4"/>
      <c r="K56" s="4"/>
      <c r="L56" s="4"/>
      <c r="M56" s="4"/>
      <c r="N56" s="4"/>
      <c r="O56" s="4"/>
      <c r="P56" s="4"/>
      <c r="Q56" s="4"/>
      <c r="R56" s="4"/>
      <c r="S56" s="4"/>
      <c r="T56" s="4"/>
    </row>
    <row r="57" spans="1:20" s="12" customFormat="1" x14ac:dyDescent="0.2">
      <c r="A57" s="4"/>
      <c r="B57" s="4"/>
      <c r="C57" s="4"/>
      <c r="D57" s="4"/>
      <c r="E57" s="4"/>
      <c r="F57" s="4"/>
      <c r="G57" s="4"/>
      <c r="H57" s="4"/>
      <c r="I57" s="4"/>
      <c r="J57" s="4"/>
      <c r="K57" s="4"/>
      <c r="L57" s="4"/>
      <c r="M57" s="4"/>
      <c r="N57" s="4"/>
      <c r="O57" s="4"/>
      <c r="P57" s="4"/>
      <c r="Q57" s="4"/>
      <c r="R57" s="4"/>
      <c r="S57" s="4"/>
      <c r="T57" s="4"/>
    </row>
    <row r="58" spans="1:20" s="12" customFormat="1" x14ac:dyDescent="0.2">
      <c r="A58" s="4"/>
      <c r="B58" s="4"/>
      <c r="C58" s="4"/>
      <c r="D58" s="4"/>
      <c r="E58" s="4"/>
      <c r="F58" s="4"/>
      <c r="G58" s="4"/>
      <c r="H58" s="4"/>
      <c r="I58" s="4"/>
      <c r="J58" s="4"/>
      <c r="K58" s="4"/>
      <c r="L58" s="4"/>
      <c r="M58" s="4"/>
      <c r="N58" s="4"/>
      <c r="O58" s="4"/>
      <c r="P58" s="4"/>
      <c r="Q58" s="4"/>
      <c r="R58" s="4"/>
      <c r="S58" s="4"/>
      <c r="T58" s="4"/>
    </row>
    <row r="59" spans="1:20" s="12" customFormat="1" x14ac:dyDescent="0.2">
      <c r="A59" s="4"/>
      <c r="B59" s="4"/>
      <c r="C59" s="4"/>
      <c r="D59" s="4"/>
      <c r="E59" s="4"/>
      <c r="F59" s="4"/>
      <c r="G59" s="4"/>
      <c r="H59" s="4"/>
      <c r="I59" s="4"/>
      <c r="J59" s="4"/>
      <c r="K59" s="4"/>
      <c r="L59" s="4"/>
      <c r="M59" s="4"/>
      <c r="N59" s="4"/>
      <c r="O59" s="4"/>
      <c r="P59" s="4"/>
      <c r="Q59" s="4"/>
      <c r="R59" s="4"/>
      <c r="S59" s="4"/>
      <c r="T59" s="4"/>
    </row>
    <row r="60" spans="1:20" s="12" customFormat="1" x14ac:dyDescent="0.2">
      <c r="A60" s="4"/>
      <c r="B60" s="4"/>
      <c r="C60" s="4"/>
      <c r="D60" s="4"/>
      <c r="E60" s="4"/>
      <c r="F60" s="4"/>
      <c r="G60" s="4"/>
      <c r="H60" s="4"/>
      <c r="I60" s="4"/>
      <c r="J60" s="4"/>
      <c r="K60" s="4"/>
      <c r="L60" s="4"/>
      <c r="M60" s="4"/>
      <c r="N60" s="4"/>
      <c r="O60" s="4"/>
      <c r="P60" s="4"/>
      <c r="Q60" s="4"/>
      <c r="R60" s="4"/>
      <c r="S60" s="4"/>
      <c r="T60" s="4"/>
    </row>
    <row r="61" spans="1:20" s="12" customFormat="1" x14ac:dyDescent="0.2">
      <c r="A61" s="4"/>
      <c r="B61" s="4"/>
      <c r="C61" s="4"/>
      <c r="D61" s="4"/>
      <c r="E61" s="4"/>
      <c r="F61" s="4"/>
      <c r="G61" s="4"/>
      <c r="H61" s="4"/>
      <c r="I61" s="4"/>
      <c r="J61" s="4"/>
      <c r="K61" s="4"/>
      <c r="L61" s="4"/>
      <c r="M61" s="4"/>
      <c r="N61" s="4"/>
      <c r="O61" s="4"/>
      <c r="P61" s="4"/>
      <c r="Q61" s="4"/>
      <c r="R61" s="4"/>
      <c r="S61" s="4"/>
      <c r="T61" s="4"/>
    </row>
    <row r="62" spans="1:20" s="12" customFormat="1" x14ac:dyDescent="0.2">
      <c r="A62" s="4"/>
      <c r="B62" s="4"/>
      <c r="C62" s="4"/>
      <c r="D62" s="4"/>
      <c r="E62" s="4"/>
      <c r="F62" s="4"/>
      <c r="G62" s="4"/>
      <c r="H62" s="4"/>
      <c r="I62" s="4"/>
      <c r="J62" s="4"/>
      <c r="K62" s="4"/>
      <c r="L62" s="4"/>
      <c r="M62" s="4"/>
      <c r="N62" s="4"/>
      <c r="O62" s="4"/>
      <c r="P62" s="4"/>
      <c r="Q62" s="4"/>
      <c r="R62" s="4"/>
      <c r="S62" s="4"/>
      <c r="T62" s="4"/>
    </row>
    <row r="63" spans="1:20" s="12" customFormat="1" x14ac:dyDescent="0.2">
      <c r="A63" s="4"/>
      <c r="B63" s="4"/>
      <c r="C63" s="4"/>
      <c r="D63" s="4"/>
      <c r="E63" s="4"/>
      <c r="F63" s="4"/>
      <c r="G63" s="4"/>
      <c r="H63" s="4"/>
      <c r="I63" s="4"/>
      <c r="J63" s="4"/>
      <c r="K63" s="4"/>
      <c r="L63" s="4"/>
      <c r="M63" s="4"/>
      <c r="N63" s="4"/>
      <c r="O63" s="4"/>
      <c r="P63" s="4"/>
      <c r="Q63" s="4"/>
      <c r="R63" s="4"/>
      <c r="S63" s="4"/>
      <c r="T63" s="4"/>
    </row>
    <row r="64" spans="1:20" s="12" customFormat="1" x14ac:dyDescent="0.2">
      <c r="A64" s="4"/>
      <c r="B64" s="4"/>
      <c r="C64" s="4"/>
      <c r="D64" s="4"/>
      <c r="E64" s="4"/>
      <c r="F64" s="4"/>
      <c r="G64" s="4"/>
      <c r="H64" s="4"/>
      <c r="I64" s="4"/>
      <c r="J64" s="4"/>
      <c r="K64" s="4"/>
      <c r="L64" s="4"/>
      <c r="M64" s="4"/>
      <c r="N64" s="4"/>
      <c r="O64" s="4"/>
      <c r="P64" s="4"/>
      <c r="Q64" s="4"/>
      <c r="R64" s="4"/>
      <c r="S64" s="4"/>
      <c r="T64" s="4"/>
    </row>
    <row r="65" spans="1:20" s="12" customFormat="1" x14ac:dyDescent="0.2">
      <c r="A65" s="4"/>
      <c r="B65" s="4"/>
      <c r="C65" s="4"/>
      <c r="D65" s="4"/>
      <c r="E65" s="4"/>
      <c r="F65" s="4"/>
      <c r="G65" s="4"/>
      <c r="H65" s="4"/>
      <c r="I65" s="4"/>
      <c r="J65" s="4"/>
      <c r="K65" s="4"/>
      <c r="L65" s="4"/>
      <c r="M65" s="4"/>
      <c r="N65" s="4"/>
      <c r="O65" s="4"/>
      <c r="P65" s="4"/>
      <c r="Q65" s="4"/>
      <c r="R65" s="4"/>
      <c r="S65" s="4"/>
      <c r="T65" s="4"/>
    </row>
    <row r="66" spans="1:20" s="12" customFormat="1" x14ac:dyDescent="0.2">
      <c r="A66" s="4"/>
      <c r="B66" s="4"/>
      <c r="C66" s="4"/>
      <c r="D66" s="4"/>
      <c r="E66" s="4"/>
      <c r="F66" s="4"/>
      <c r="G66" s="4"/>
      <c r="H66" s="4"/>
      <c r="I66" s="4"/>
      <c r="J66" s="4"/>
      <c r="K66" s="4"/>
      <c r="L66" s="4"/>
      <c r="M66" s="4"/>
      <c r="N66" s="4"/>
      <c r="O66" s="4"/>
      <c r="P66" s="4"/>
      <c r="Q66" s="4"/>
      <c r="R66" s="4"/>
      <c r="S66" s="4"/>
      <c r="T66" s="4"/>
    </row>
    <row r="67" spans="1:20" s="12" customFormat="1" x14ac:dyDescent="0.2">
      <c r="A67" s="4"/>
      <c r="B67" s="4"/>
      <c r="C67" s="4"/>
      <c r="D67" s="4"/>
      <c r="E67" s="4"/>
      <c r="F67" s="4"/>
      <c r="G67" s="4"/>
      <c r="H67" s="4"/>
      <c r="I67" s="4"/>
      <c r="J67" s="4"/>
      <c r="K67" s="4"/>
      <c r="L67" s="4"/>
      <c r="M67" s="4"/>
      <c r="N67" s="4"/>
      <c r="O67" s="4"/>
      <c r="P67" s="4"/>
      <c r="Q67" s="4"/>
      <c r="R67" s="4"/>
      <c r="S67" s="4"/>
      <c r="T67" s="4"/>
    </row>
    <row r="68" spans="1:20" s="12" customFormat="1" x14ac:dyDescent="0.2">
      <c r="A68" s="4"/>
      <c r="B68" s="4"/>
      <c r="C68" s="4"/>
      <c r="D68" s="4"/>
      <c r="E68" s="4"/>
      <c r="F68" s="4"/>
      <c r="G68" s="4"/>
      <c r="H68" s="4"/>
      <c r="I68" s="4"/>
      <c r="J68" s="4"/>
      <c r="K68" s="4"/>
      <c r="L68" s="4"/>
      <c r="M68" s="4"/>
      <c r="N68" s="4"/>
      <c r="O68" s="4"/>
      <c r="P68" s="4"/>
      <c r="Q68" s="4"/>
      <c r="R68" s="4"/>
      <c r="S68" s="4"/>
      <c r="T68" s="4"/>
    </row>
    <row r="69" spans="1:20" s="12" customFormat="1" x14ac:dyDescent="0.2">
      <c r="A69" s="4"/>
      <c r="B69" s="4"/>
      <c r="C69" s="4"/>
      <c r="D69" s="4"/>
      <c r="E69" s="4"/>
      <c r="F69" s="4"/>
      <c r="G69" s="4"/>
      <c r="H69" s="4"/>
      <c r="I69" s="4"/>
      <c r="J69" s="4"/>
      <c r="K69" s="4"/>
      <c r="L69" s="4"/>
      <c r="M69" s="4"/>
      <c r="N69" s="4"/>
      <c r="O69" s="4"/>
      <c r="P69" s="4"/>
      <c r="Q69" s="4"/>
      <c r="R69" s="4"/>
      <c r="S69" s="4"/>
      <c r="T69" s="4"/>
    </row>
    <row r="70" spans="1:20" s="12" customFormat="1" x14ac:dyDescent="0.2">
      <c r="A70" s="4"/>
      <c r="B70" s="4"/>
      <c r="C70" s="4"/>
      <c r="D70" s="4"/>
      <c r="E70" s="4"/>
      <c r="F70" s="4"/>
      <c r="G70" s="4"/>
      <c r="H70" s="4"/>
      <c r="I70" s="4"/>
      <c r="J70" s="4"/>
      <c r="K70" s="4"/>
      <c r="L70" s="4"/>
      <c r="M70" s="4"/>
      <c r="N70" s="4"/>
      <c r="O70" s="4"/>
      <c r="P70" s="4"/>
      <c r="Q70" s="4"/>
      <c r="R70" s="4"/>
      <c r="S70" s="4"/>
      <c r="T70" s="4"/>
    </row>
    <row r="71" spans="1:20" s="12" customFormat="1" x14ac:dyDescent="0.2">
      <c r="A71" s="4"/>
      <c r="B71" s="4"/>
      <c r="C71" s="4"/>
      <c r="D71" s="4"/>
      <c r="E71" s="4"/>
      <c r="F71" s="4"/>
      <c r="G71" s="4"/>
      <c r="H71" s="4"/>
      <c r="I71" s="4"/>
      <c r="J71" s="4"/>
      <c r="K71" s="4"/>
      <c r="L71" s="4"/>
      <c r="M71" s="4"/>
      <c r="N71" s="4"/>
      <c r="O71" s="4"/>
      <c r="P71" s="4"/>
      <c r="Q71" s="4"/>
      <c r="R71" s="4"/>
      <c r="S71" s="4"/>
      <c r="T71" s="4"/>
    </row>
    <row r="72" spans="1:20" s="12" customFormat="1" x14ac:dyDescent="0.2">
      <c r="A72" s="4"/>
      <c r="B72" s="4"/>
      <c r="C72" s="4"/>
      <c r="D72" s="4"/>
      <c r="E72" s="4"/>
      <c r="F72" s="4"/>
      <c r="G72" s="4"/>
      <c r="H72" s="4"/>
      <c r="I72" s="4"/>
      <c r="J72" s="4"/>
      <c r="K72" s="4"/>
      <c r="L72" s="4"/>
      <c r="M72" s="4"/>
      <c r="N72" s="4"/>
      <c r="O72" s="4"/>
      <c r="P72" s="4"/>
      <c r="Q72" s="4"/>
      <c r="R72" s="4"/>
      <c r="S72" s="4"/>
      <c r="T72" s="4"/>
    </row>
    <row r="73" spans="1:20" s="12" customFormat="1" x14ac:dyDescent="0.2">
      <c r="A73" s="4"/>
      <c r="B73" s="4"/>
      <c r="C73" s="4"/>
      <c r="D73" s="4"/>
      <c r="E73" s="4"/>
      <c r="F73" s="4"/>
      <c r="G73" s="4"/>
      <c r="H73" s="4"/>
      <c r="I73" s="4"/>
      <c r="J73" s="4"/>
      <c r="K73" s="4"/>
      <c r="L73" s="4"/>
      <c r="M73" s="4"/>
      <c r="N73" s="4"/>
      <c r="O73" s="4"/>
      <c r="P73" s="4"/>
      <c r="Q73" s="4"/>
      <c r="R73" s="4"/>
      <c r="S73" s="4"/>
      <c r="T73" s="4"/>
    </row>
    <row r="74" spans="1:20" s="12" customFormat="1" x14ac:dyDescent="0.2">
      <c r="A74" s="4"/>
      <c r="B74" s="4"/>
      <c r="C74" s="4"/>
      <c r="D74" s="4"/>
      <c r="E74" s="4"/>
      <c r="F74" s="4"/>
      <c r="G74" s="4"/>
      <c r="H74" s="4"/>
      <c r="I74" s="4"/>
      <c r="J74" s="4"/>
      <c r="K74" s="4"/>
      <c r="L74" s="4"/>
      <c r="M74" s="4"/>
      <c r="N74" s="4"/>
      <c r="O74" s="4"/>
      <c r="P74" s="4"/>
      <c r="Q74" s="4"/>
      <c r="R74" s="4"/>
      <c r="S74" s="4"/>
      <c r="T74" s="4"/>
    </row>
    <row r="75" spans="1:20" s="12" customFormat="1" x14ac:dyDescent="0.2">
      <c r="A75" s="4"/>
      <c r="B75" s="4"/>
      <c r="C75" s="4"/>
      <c r="D75" s="4"/>
      <c r="E75" s="4"/>
      <c r="F75" s="4"/>
      <c r="G75" s="4"/>
      <c r="H75" s="4"/>
      <c r="I75" s="4"/>
      <c r="J75" s="4"/>
      <c r="K75" s="4"/>
      <c r="L75" s="4"/>
      <c r="M75" s="4"/>
      <c r="N75" s="4"/>
      <c r="O75" s="4"/>
      <c r="P75" s="4"/>
      <c r="Q75" s="4"/>
      <c r="R75" s="4"/>
      <c r="S75" s="4"/>
      <c r="T75" s="4"/>
    </row>
    <row r="76" spans="1:20" s="12" customFormat="1" x14ac:dyDescent="0.2">
      <c r="A76" s="4"/>
      <c r="B76" s="4"/>
      <c r="C76" s="4"/>
      <c r="D76" s="4"/>
      <c r="E76" s="4"/>
      <c r="F76" s="4"/>
      <c r="G76" s="4"/>
      <c r="H76" s="4"/>
      <c r="I76" s="4"/>
      <c r="J76" s="4"/>
      <c r="K76" s="4"/>
      <c r="L76" s="4"/>
      <c r="M76" s="4"/>
      <c r="N76" s="4"/>
      <c r="O76" s="4"/>
      <c r="P76" s="4"/>
      <c r="Q76" s="4"/>
      <c r="R76" s="4"/>
      <c r="S76" s="4"/>
      <c r="T76" s="4"/>
    </row>
    <row r="77" spans="1:20" s="12" customFormat="1" x14ac:dyDescent="0.2">
      <c r="A77" s="4"/>
      <c r="B77" s="4"/>
      <c r="C77" s="4"/>
      <c r="D77" s="4"/>
      <c r="E77" s="4"/>
      <c r="F77" s="4"/>
      <c r="G77" s="4"/>
      <c r="H77" s="4"/>
      <c r="I77" s="4"/>
      <c r="J77" s="4"/>
      <c r="K77" s="4"/>
      <c r="L77" s="4"/>
      <c r="M77" s="4"/>
      <c r="N77" s="4"/>
      <c r="O77" s="4"/>
      <c r="P77" s="4"/>
      <c r="Q77" s="4"/>
      <c r="R77" s="4"/>
      <c r="S77" s="4"/>
      <c r="T77" s="4"/>
    </row>
    <row r="78" spans="1:20" s="12" customFormat="1" x14ac:dyDescent="0.2">
      <c r="A78" s="4"/>
      <c r="B78" s="4"/>
      <c r="C78" s="4"/>
      <c r="D78" s="4"/>
      <c r="E78" s="4"/>
      <c r="F78" s="4"/>
      <c r="G78" s="4"/>
      <c r="H78" s="4"/>
      <c r="I78" s="4"/>
      <c r="J78" s="4"/>
      <c r="K78" s="4"/>
      <c r="L78" s="4"/>
      <c r="M78" s="4"/>
      <c r="N78" s="4"/>
      <c r="O78" s="4"/>
      <c r="P78" s="4"/>
      <c r="Q78" s="4"/>
      <c r="R78" s="4"/>
      <c r="S78" s="4"/>
      <c r="T78" s="4"/>
    </row>
    <row r="79" spans="1:20" s="12" customFormat="1" x14ac:dyDescent="0.2">
      <c r="A79" s="4"/>
      <c r="B79" s="4"/>
      <c r="C79" s="4"/>
      <c r="D79" s="4"/>
      <c r="E79" s="4"/>
      <c r="F79" s="4"/>
      <c r="G79" s="4"/>
      <c r="H79" s="4"/>
      <c r="I79" s="4"/>
      <c r="J79" s="4"/>
      <c r="K79" s="4"/>
      <c r="L79" s="4"/>
      <c r="M79" s="4"/>
      <c r="N79" s="4"/>
      <c r="O79" s="4"/>
      <c r="P79" s="4"/>
      <c r="Q79" s="4"/>
      <c r="R79" s="4"/>
      <c r="S79" s="4"/>
      <c r="T79" s="4"/>
    </row>
    <row r="80" spans="1:20" s="12" customFormat="1" x14ac:dyDescent="0.2">
      <c r="A80" s="4"/>
      <c r="B80" s="4"/>
      <c r="C80" s="4"/>
      <c r="D80" s="4"/>
      <c r="E80" s="4"/>
      <c r="F80" s="4"/>
      <c r="G80" s="4"/>
      <c r="H80" s="4"/>
      <c r="I80" s="4"/>
      <c r="J80" s="4"/>
      <c r="K80" s="4"/>
      <c r="L80" s="4"/>
      <c r="M80" s="4"/>
      <c r="N80" s="4"/>
      <c r="O80" s="4"/>
      <c r="P80" s="4"/>
      <c r="Q80" s="4"/>
      <c r="R80" s="4"/>
      <c r="S80" s="4"/>
      <c r="T80" s="4"/>
    </row>
    <row r="81" spans="1:20" s="12" customFormat="1" x14ac:dyDescent="0.2">
      <c r="A81" s="4"/>
      <c r="B81" s="4"/>
      <c r="C81" s="4"/>
      <c r="D81" s="4"/>
      <c r="E81" s="4"/>
      <c r="F81" s="4"/>
      <c r="G81" s="4"/>
      <c r="H81" s="4"/>
      <c r="I81" s="4"/>
      <c r="J81" s="4"/>
      <c r="K81" s="4"/>
      <c r="L81" s="4"/>
      <c r="M81" s="4"/>
      <c r="N81" s="4"/>
      <c r="O81" s="4"/>
      <c r="P81" s="4"/>
      <c r="Q81" s="4"/>
      <c r="R81" s="4"/>
      <c r="S81" s="4"/>
      <c r="T81" s="4"/>
    </row>
    <row r="82" spans="1:20" s="12" customFormat="1" x14ac:dyDescent="0.2">
      <c r="A82" s="4"/>
      <c r="B82" s="4"/>
      <c r="C82" s="4"/>
      <c r="D82" s="4"/>
      <c r="E82" s="4"/>
      <c r="F82" s="4"/>
      <c r="G82" s="4"/>
      <c r="H82" s="4"/>
      <c r="I82" s="4"/>
      <c r="J82" s="4"/>
      <c r="K82" s="4"/>
      <c r="L82" s="4"/>
      <c r="M82" s="4"/>
      <c r="N82" s="4"/>
      <c r="O82" s="4"/>
      <c r="P82" s="4"/>
      <c r="Q82" s="4"/>
      <c r="R82" s="4"/>
      <c r="S82" s="4"/>
      <c r="T82" s="4"/>
    </row>
    <row r="83" spans="1:20" s="12" customFormat="1" x14ac:dyDescent="0.2">
      <c r="A83" s="4"/>
      <c r="B83" s="4"/>
      <c r="C83" s="4"/>
      <c r="D83" s="4"/>
      <c r="E83" s="4"/>
      <c r="F83" s="4"/>
      <c r="G83" s="4"/>
      <c r="H83" s="4"/>
      <c r="I83" s="4"/>
      <c r="J83" s="4"/>
      <c r="K83" s="4"/>
      <c r="L83" s="4"/>
      <c r="M83" s="4"/>
      <c r="N83" s="4"/>
      <c r="O83" s="4"/>
      <c r="P83" s="4"/>
      <c r="Q83" s="4"/>
      <c r="R83" s="4"/>
      <c r="S83" s="4"/>
      <c r="T83" s="4"/>
    </row>
    <row r="84" spans="1:20" s="12" customFormat="1" x14ac:dyDescent="0.2">
      <c r="A84" s="4"/>
      <c r="B84" s="4"/>
      <c r="C84" s="4"/>
      <c r="D84" s="4"/>
      <c r="E84" s="4"/>
      <c r="F84" s="4"/>
      <c r="G84" s="4"/>
      <c r="H84" s="4"/>
      <c r="I84" s="4"/>
      <c r="J84" s="4"/>
      <c r="K84" s="4"/>
      <c r="L84" s="4"/>
      <c r="M84" s="4"/>
      <c r="N84" s="4"/>
      <c r="O84" s="4"/>
      <c r="P84" s="4"/>
      <c r="Q84" s="4"/>
      <c r="R84" s="4"/>
      <c r="S84" s="4"/>
      <c r="T84" s="4"/>
    </row>
    <row r="85" spans="1:20" s="12" customFormat="1" x14ac:dyDescent="0.2">
      <c r="A85" s="4"/>
      <c r="B85" s="4"/>
      <c r="C85" s="4"/>
      <c r="D85" s="4"/>
      <c r="E85" s="4"/>
      <c r="F85" s="4"/>
      <c r="G85" s="4"/>
      <c r="H85" s="4"/>
      <c r="I85" s="4"/>
      <c r="J85" s="4"/>
      <c r="K85" s="4"/>
      <c r="L85" s="4"/>
      <c r="M85" s="4"/>
      <c r="N85" s="4"/>
      <c r="O85" s="4"/>
      <c r="P85" s="4"/>
      <c r="Q85" s="4"/>
      <c r="R85" s="4"/>
      <c r="S85" s="4"/>
      <c r="T85" s="4"/>
    </row>
    <row r="86" spans="1:20" s="12" customFormat="1" x14ac:dyDescent="0.2">
      <c r="A86" s="4"/>
      <c r="B86" s="4"/>
      <c r="C86" s="4"/>
      <c r="D86" s="4"/>
      <c r="E86" s="4"/>
      <c r="F86" s="4"/>
      <c r="G86" s="4"/>
      <c r="H86" s="4"/>
      <c r="I86" s="4"/>
      <c r="J86" s="4"/>
      <c r="K86" s="4"/>
      <c r="L86" s="4"/>
      <c r="M86" s="4"/>
      <c r="N86" s="4"/>
      <c r="O86" s="4"/>
      <c r="P86" s="4"/>
      <c r="Q86" s="4"/>
      <c r="R86" s="4"/>
      <c r="S86" s="4"/>
      <c r="T86" s="4"/>
    </row>
    <row r="87" spans="1:20" s="12" customFormat="1" x14ac:dyDescent="0.2">
      <c r="A87" s="4"/>
      <c r="B87" s="4"/>
      <c r="C87" s="4"/>
      <c r="D87" s="4"/>
      <c r="E87" s="4"/>
      <c r="F87" s="4"/>
      <c r="G87" s="4"/>
      <c r="H87" s="4"/>
      <c r="I87" s="4"/>
      <c r="J87" s="4"/>
      <c r="K87" s="4"/>
      <c r="L87" s="4"/>
      <c r="M87" s="4"/>
      <c r="N87" s="4"/>
      <c r="O87" s="4"/>
      <c r="P87" s="4"/>
      <c r="Q87" s="4"/>
      <c r="R87" s="4"/>
      <c r="S87" s="4"/>
      <c r="T87" s="4"/>
    </row>
    <row r="88" spans="1:20" s="12" customFormat="1" x14ac:dyDescent="0.2">
      <c r="A88" s="4"/>
      <c r="B88" s="4"/>
      <c r="C88" s="4"/>
      <c r="D88" s="4"/>
      <c r="E88" s="4"/>
      <c r="F88" s="4"/>
      <c r="G88" s="4"/>
      <c r="H88" s="4"/>
      <c r="I88" s="4"/>
      <c r="J88" s="4"/>
      <c r="K88" s="4"/>
      <c r="L88" s="4"/>
      <c r="M88" s="4"/>
      <c r="N88" s="4"/>
      <c r="O88" s="4"/>
      <c r="P88" s="4"/>
      <c r="Q88" s="4"/>
      <c r="R88" s="4"/>
      <c r="S88" s="4"/>
      <c r="T88" s="4"/>
    </row>
    <row r="89" spans="1:20" s="12" customFormat="1" x14ac:dyDescent="0.2">
      <c r="A89" s="4"/>
      <c r="B89" s="4"/>
      <c r="C89" s="4"/>
      <c r="D89" s="4"/>
      <c r="E89" s="4"/>
      <c r="F89" s="4"/>
      <c r="G89" s="4"/>
      <c r="H89" s="4"/>
      <c r="I89" s="4"/>
      <c r="J89" s="4"/>
      <c r="K89" s="4"/>
      <c r="L89" s="4"/>
      <c r="M89" s="4"/>
      <c r="N89" s="4"/>
      <c r="O89" s="4"/>
      <c r="P89" s="4"/>
      <c r="Q89" s="4"/>
      <c r="R89" s="4"/>
      <c r="S89" s="4"/>
      <c r="T89" s="4"/>
    </row>
    <row r="90" spans="1:20" s="12" customFormat="1" x14ac:dyDescent="0.2">
      <c r="A90" s="4"/>
      <c r="B90" s="4"/>
      <c r="C90" s="4"/>
      <c r="D90" s="4"/>
      <c r="E90" s="4"/>
      <c r="F90" s="4"/>
      <c r="G90" s="4"/>
      <c r="H90" s="4"/>
      <c r="I90" s="4"/>
      <c r="J90" s="4"/>
      <c r="K90" s="4"/>
      <c r="L90" s="4"/>
      <c r="M90" s="4"/>
      <c r="N90" s="4"/>
      <c r="O90" s="4"/>
      <c r="P90" s="4"/>
      <c r="Q90" s="4"/>
      <c r="R90" s="4"/>
      <c r="S90" s="4"/>
      <c r="T90" s="4"/>
    </row>
    <row r="91" spans="1:20" s="12" customFormat="1" x14ac:dyDescent="0.2">
      <c r="A91" s="4"/>
      <c r="B91" s="4"/>
      <c r="C91" s="4"/>
      <c r="D91" s="4"/>
      <c r="E91" s="4"/>
      <c r="F91" s="4"/>
      <c r="G91" s="4"/>
      <c r="H91" s="4"/>
      <c r="I91" s="4"/>
      <c r="J91" s="4"/>
      <c r="K91" s="4"/>
      <c r="L91" s="4"/>
      <c r="M91" s="4"/>
      <c r="N91" s="4"/>
      <c r="O91" s="4"/>
      <c r="P91" s="4"/>
      <c r="Q91" s="4"/>
      <c r="R91" s="4"/>
      <c r="S91" s="4"/>
      <c r="T91" s="4"/>
    </row>
    <row r="92" spans="1:20" s="12" customFormat="1" x14ac:dyDescent="0.2">
      <c r="A92" s="4"/>
      <c r="B92" s="4"/>
      <c r="C92" s="4"/>
      <c r="D92" s="4"/>
      <c r="E92" s="4"/>
      <c r="F92" s="4"/>
      <c r="G92" s="4"/>
      <c r="H92" s="4"/>
      <c r="I92" s="4"/>
      <c r="J92" s="4"/>
      <c r="K92" s="4"/>
      <c r="L92" s="4"/>
      <c r="M92" s="4"/>
      <c r="N92" s="4"/>
      <c r="O92" s="4"/>
      <c r="P92" s="4"/>
      <c r="Q92" s="4"/>
      <c r="R92" s="4"/>
      <c r="S92" s="4"/>
      <c r="T92" s="4"/>
    </row>
    <row r="93" spans="1:20" s="12" customFormat="1" x14ac:dyDescent="0.2">
      <c r="A93" s="4"/>
      <c r="B93" s="4"/>
      <c r="C93" s="4"/>
      <c r="D93" s="4"/>
      <c r="E93" s="4"/>
      <c r="F93" s="4"/>
      <c r="G93" s="4"/>
      <c r="H93" s="4"/>
      <c r="I93" s="4"/>
      <c r="J93" s="4"/>
      <c r="K93" s="4"/>
      <c r="L93" s="4"/>
      <c r="M93" s="4"/>
      <c r="N93" s="4"/>
      <c r="O93" s="4"/>
      <c r="P93" s="4"/>
      <c r="Q93" s="4"/>
      <c r="R93" s="4"/>
      <c r="S93" s="4"/>
      <c r="T93" s="4"/>
    </row>
    <row r="94" spans="1:20" s="12" customFormat="1" x14ac:dyDescent="0.2">
      <c r="A94" s="4"/>
      <c r="B94" s="4"/>
      <c r="C94" s="4"/>
      <c r="D94" s="4"/>
      <c r="E94" s="4"/>
      <c r="F94" s="4"/>
      <c r="G94" s="4"/>
      <c r="H94" s="4"/>
      <c r="I94" s="4"/>
      <c r="J94" s="4"/>
      <c r="K94" s="4"/>
      <c r="L94" s="4"/>
      <c r="M94" s="4"/>
      <c r="N94" s="4"/>
      <c r="O94" s="4"/>
      <c r="P94" s="4"/>
      <c r="Q94" s="4"/>
      <c r="R94" s="4"/>
      <c r="S94" s="4"/>
      <c r="T94" s="4"/>
    </row>
    <row r="95" spans="1:20" s="12" customFormat="1" x14ac:dyDescent="0.2">
      <c r="A95" s="4"/>
      <c r="B95" s="4"/>
      <c r="C95" s="4"/>
      <c r="D95" s="4"/>
      <c r="E95" s="4"/>
      <c r="F95" s="4"/>
      <c r="G95" s="4"/>
      <c r="H95" s="4"/>
      <c r="I95" s="4"/>
      <c r="J95" s="4"/>
      <c r="K95" s="4"/>
      <c r="L95" s="4"/>
      <c r="M95" s="4"/>
      <c r="N95" s="4"/>
      <c r="O95" s="4"/>
      <c r="P95" s="4"/>
      <c r="Q95" s="4"/>
      <c r="R95" s="4"/>
      <c r="S95" s="4"/>
      <c r="T95" s="4"/>
    </row>
    <row r="96" spans="1:20" s="12" customFormat="1" x14ac:dyDescent="0.2">
      <c r="A96" s="4"/>
      <c r="B96" s="4"/>
      <c r="C96" s="4"/>
      <c r="D96" s="4"/>
      <c r="E96" s="4"/>
      <c r="F96" s="4"/>
      <c r="G96" s="4"/>
      <c r="H96" s="4"/>
      <c r="I96" s="4"/>
      <c r="J96" s="4"/>
      <c r="K96" s="4"/>
      <c r="L96" s="4"/>
      <c r="M96" s="4"/>
      <c r="N96" s="4"/>
      <c r="O96" s="4"/>
      <c r="P96" s="4"/>
      <c r="Q96" s="4"/>
      <c r="R96" s="4"/>
      <c r="S96" s="4"/>
      <c r="T96" s="4"/>
    </row>
    <row r="97" spans="1:20" s="12" customFormat="1" x14ac:dyDescent="0.2">
      <c r="A97" s="4"/>
      <c r="B97" s="4"/>
      <c r="C97" s="4"/>
      <c r="D97" s="4"/>
      <c r="E97" s="4"/>
      <c r="F97" s="4"/>
      <c r="G97" s="4"/>
      <c r="H97" s="4"/>
      <c r="I97" s="4"/>
      <c r="J97" s="4"/>
      <c r="K97" s="4"/>
      <c r="L97" s="4"/>
      <c r="M97" s="4"/>
      <c r="N97" s="4"/>
      <c r="O97" s="4"/>
      <c r="P97" s="4"/>
      <c r="Q97" s="4"/>
      <c r="R97" s="4"/>
      <c r="S97" s="4"/>
      <c r="T97" s="4"/>
    </row>
    <row r="98" spans="1:20" s="12" customFormat="1" x14ac:dyDescent="0.2">
      <c r="A98" s="4"/>
      <c r="B98" s="4"/>
      <c r="C98" s="4"/>
      <c r="D98" s="4"/>
      <c r="E98" s="4"/>
      <c r="F98" s="4"/>
      <c r="G98" s="4"/>
      <c r="H98" s="4"/>
      <c r="I98" s="4"/>
      <c r="J98" s="4"/>
      <c r="K98" s="4"/>
      <c r="L98" s="4"/>
      <c r="M98" s="4"/>
      <c r="N98" s="4"/>
      <c r="O98" s="4"/>
      <c r="P98" s="4"/>
      <c r="Q98" s="4"/>
      <c r="R98" s="4"/>
      <c r="S98" s="4"/>
      <c r="T98" s="4"/>
    </row>
    <row r="99" spans="1:20" s="12" customFormat="1" x14ac:dyDescent="0.2">
      <c r="A99" s="4"/>
      <c r="B99" s="4"/>
      <c r="C99" s="4"/>
      <c r="D99" s="4"/>
      <c r="E99" s="4"/>
      <c r="F99" s="4"/>
      <c r="G99" s="4"/>
      <c r="H99" s="4"/>
      <c r="I99" s="4"/>
      <c r="J99" s="4"/>
      <c r="K99" s="4"/>
      <c r="L99" s="4"/>
      <c r="M99" s="4"/>
      <c r="N99" s="4"/>
      <c r="O99" s="4"/>
      <c r="P99" s="4"/>
      <c r="Q99" s="4"/>
      <c r="R99" s="4"/>
      <c r="S99" s="4"/>
      <c r="T99" s="4"/>
    </row>
    <row r="100" spans="1:20" s="12" customFormat="1" x14ac:dyDescent="0.2">
      <c r="A100" s="4"/>
      <c r="B100" s="4"/>
      <c r="C100" s="4"/>
      <c r="D100" s="4"/>
      <c r="E100" s="4"/>
      <c r="F100" s="4"/>
      <c r="G100" s="4"/>
      <c r="H100" s="4"/>
      <c r="I100" s="4"/>
      <c r="J100" s="4"/>
      <c r="K100" s="4"/>
      <c r="L100" s="4"/>
      <c r="M100" s="4"/>
      <c r="N100" s="4"/>
      <c r="O100" s="4"/>
      <c r="P100" s="4"/>
      <c r="Q100" s="4"/>
      <c r="R100" s="4"/>
      <c r="S100" s="4"/>
      <c r="T100" s="4"/>
    </row>
    <row r="101" spans="1:20" s="12" customFormat="1" x14ac:dyDescent="0.2">
      <c r="A101" s="4"/>
      <c r="B101" s="4"/>
      <c r="C101" s="4"/>
      <c r="D101" s="4"/>
      <c r="E101" s="4"/>
      <c r="F101" s="4"/>
      <c r="G101" s="4"/>
      <c r="H101" s="4"/>
      <c r="I101" s="4"/>
      <c r="J101" s="4"/>
      <c r="K101" s="4"/>
      <c r="L101" s="4"/>
      <c r="M101" s="4"/>
      <c r="N101" s="4"/>
      <c r="O101" s="4"/>
      <c r="P101" s="4"/>
      <c r="Q101" s="4"/>
      <c r="R101" s="4"/>
      <c r="S101" s="4"/>
      <c r="T101" s="4"/>
    </row>
    <row r="102" spans="1:20" s="12" customFormat="1" x14ac:dyDescent="0.2">
      <c r="A102" s="4"/>
      <c r="B102" s="4"/>
      <c r="C102" s="4"/>
      <c r="D102" s="4"/>
      <c r="E102" s="4"/>
      <c r="F102" s="4"/>
      <c r="G102" s="4"/>
      <c r="H102" s="4"/>
      <c r="I102" s="4"/>
      <c r="J102" s="4"/>
      <c r="K102" s="4"/>
      <c r="L102" s="4"/>
      <c r="M102" s="4"/>
      <c r="N102" s="4"/>
      <c r="O102" s="4"/>
      <c r="P102" s="4"/>
      <c r="Q102" s="4"/>
      <c r="R102" s="4"/>
      <c r="S102" s="4"/>
      <c r="T102" s="4"/>
    </row>
    <row r="103" spans="1:20" s="12" customFormat="1" x14ac:dyDescent="0.2">
      <c r="A103" s="4"/>
      <c r="B103" s="4"/>
      <c r="C103" s="4"/>
      <c r="D103" s="4"/>
      <c r="E103" s="4"/>
      <c r="F103" s="4"/>
      <c r="G103" s="4"/>
      <c r="H103" s="4"/>
      <c r="I103" s="4"/>
      <c r="J103" s="4"/>
      <c r="K103" s="4"/>
      <c r="L103" s="4"/>
      <c r="M103" s="4"/>
      <c r="N103" s="4"/>
      <c r="O103" s="4"/>
      <c r="P103" s="4"/>
      <c r="Q103" s="4"/>
      <c r="R103" s="4"/>
      <c r="S103" s="4"/>
      <c r="T103" s="4"/>
    </row>
    <row r="104" spans="1:20" s="12" customFormat="1" x14ac:dyDescent="0.2">
      <c r="A104" s="4"/>
      <c r="B104" s="4"/>
      <c r="C104" s="4"/>
      <c r="D104" s="4"/>
      <c r="E104" s="4"/>
      <c r="F104" s="4"/>
      <c r="G104" s="4"/>
      <c r="H104" s="4"/>
      <c r="I104" s="4"/>
      <c r="J104" s="4"/>
      <c r="K104" s="4"/>
      <c r="L104" s="4"/>
      <c r="M104" s="4"/>
      <c r="N104" s="4"/>
      <c r="O104" s="4"/>
      <c r="P104" s="4"/>
      <c r="Q104" s="4"/>
      <c r="R104" s="4"/>
      <c r="S104" s="4"/>
      <c r="T104" s="4"/>
    </row>
    <row r="105" spans="1:20" s="12" customFormat="1" x14ac:dyDescent="0.2">
      <c r="A105" s="4"/>
      <c r="B105" s="4"/>
      <c r="C105" s="4"/>
      <c r="D105" s="4"/>
      <c r="E105" s="4"/>
      <c r="F105" s="4"/>
      <c r="G105" s="4"/>
      <c r="H105" s="4"/>
      <c r="I105" s="4"/>
      <c r="J105" s="4"/>
      <c r="K105" s="4"/>
      <c r="L105" s="4"/>
      <c r="M105" s="4"/>
      <c r="N105" s="4"/>
      <c r="O105" s="4"/>
      <c r="P105" s="4"/>
      <c r="Q105" s="4"/>
      <c r="R105" s="4"/>
      <c r="S105" s="4"/>
      <c r="T105" s="4"/>
    </row>
    <row r="106" spans="1:20" s="12" customFormat="1" x14ac:dyDescent="0.2">
      <c r="A106" s="4"/>
      <c r="B106" s="4"/>
      <c r="C106" s="4"/>
      <c r="D106" s="4"/>
      <c r="E106" s="4"/>
      <c r="F106" s="4"/>
      <c r="G106" s="4"/>
      <c r="H106" s="4"/>
      <c r="I106" s="4"/>
      <c r="J106" s="4"/>
      <c r="K106" s="4"/>
      <c r="L106" s="4"/>
      <c r="M106" s="4"/>
      <c r="N106" s="4"/>
      <c r="O106" s="4"/>
      <c r="P106" s="4"/>
      <c r="Q106" s="4"/>
      <c r="R106" s="4"/>
      <c r="S106" s="4"/>
      <c r="T106" s="4"/>
    </row>
    <row r="107" spans="1:20" s="12" customFormat="1" x14ac:dyDescent="0.2">
      <c r="A107" s="4"/>
      <c r="B107" s="4"/>
      <c r="C107" s="4"/>
      <c r="D107" s="4"/>
      <c r="E107" s="4"/>
      <c r="F107" s="4"/>
      <c r="G107" s="4"/>
      <c r="H107" s="4"/>
      <c r="I107" s="4"/>
      <c r="J107" s="4"/>
      <c r="K107" s="4"/>
      <c r="L107" s="4"/>
      <c r="M107" s="4"/>
      <c r="N107" s="4"/>
      <c r="O107" s="4"/>
      <c r="P107" s="4"/>
      <c r="Q107" s="4"/>
      <c r="R107" s="4"/>
      <c r="S107" s="4"/>
      <c r="T107" s="4"/>
    </row>
    <row r="108" spans="1:20" s="12" customFormat="1" x14ac:dyDescent="0.2">
      <c r="A108" s="4"/>
      <c r="B108" s="4"/>
      <c r="C108" s="4"/>
      <c r="D108" s="4"/>
      <c r="E108" s="4"/>
      <c r="F108" s="4"/>
      <c r="G108" s="4"/>
      <c r="H108" s="4"/>
      <c r="I108" s="4"/>
      <c r="J108" s="4"/>
      <c r="K108" s="4"/>
      <c r="L108" s="4"/>
      <c r="M108" s="4"/>
      <c r="N108" s="4"/>
      <c r="O108" s="4"/>
      <c r="P108" s="4"/>
      <c r="Q108" s="4"/>
      <c r="R108" s="4"/>
      <c r="S108" s="4"/>
      <c r="T108" s="4"/>
    </row>
    <row r="109" spans="1:20" s="12" customFormat="1" x14ac:dyDescent="0.2">
      <c r="A109" s="4"/>
      <c r="B109" s="4"/>
      <c r="C109" s="4"/>
      <c r="D109" s="4"/>
      <c r="E109" s="4"/>
      <c r="F109" s="4"/>
      <c r="G109" s="4"/>
      <c r="H109" s="4"/>
      <c r="I109" s="4"/>
      <c r="J109" s="4"/>
      <c r="K109" s="4"/>
      <c r="L109" s="4"/>
      <c r="M109" s="4"/>
      <c r="N109" s="4"/>
      <c r="O109" s="4"/>
      <c r="P109" s="4"/>
      <c r="Q109" s="4"/>
      <c r="R109" s="4"/>
      <c r="S109" s="4"/>
      <c r="T109" s="4"/>
    </row>
    <row r="110" spans="1:20" s="12" customFormat="1" x14ac:dyDescent="0.2">
      <c r="A110" s="4"/>
      <c r="B110" s="4"/>
      <c r="C110" s="4"/>
      <c r="D110" s="4"/>
      <c r="E110" s="4"/>
      <c r="F110" s="4"/>
      <c r="G110" s="4"/>
      <c r="H110" s="4"/>
      <c r="I110" s="4"/>
      <c r="J110" s="4"/>
      <c r="K110" s="4"/>
      <c r="L110" s="4"/>
      <c r="M110" s="4"/>
      <c r="N110" s="4"/>
      <c r="O110" s="4"/>
      <c r="P110" s="4"/>
      <c r="Q110" s="4"/>
      <c r="R110" s="4"/>
      <c r="S110" s="4"/>
      <c r="T110" s="4"/>
    </row>
  </sheetData>
  <mergeCells count="2">
    <mergeCell ref="A6:D6"/>
    <mergeCell ref="A34:D34"/>
  </mergeCells>
  <printOptions gridLines="1"/>
  <pageMargins left="0.25" right="0.25" top="0.75" bottom="0.75" header="0.3" footer="0.3"/>
  <pageSetup scale="67" orientation="landscape" r:id="rId1"/>
  <headerFooter alignWithMargins="0">
    <oddHeader xml:space="preserve">&amp;C&amp;"Arial,Bold"&amp;14DOCTORS MEMORIAL HOSPITAL
FY 2017 BUDGET
</oddHead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N83"/>
  <sheetViews>
    <sheetView zoomScale="80" zoomScaleNormal="80" workbookViewId="0">
      <pane xSplit="2" ySplit="6" topLeftCell="C34" activePane="bottomRight" state="frozen"/>
      <selection pane="topRight" activeCell="C1" sqref="C1"/>
      <selection pane="bottomLeft" activeCell="A7" sqref="A7"/>
      <selection pane="bottomRight" activeCell="C47" sqref="C47"/>
    </sheetView>
  </sheetViews>
  <sheetFormatPr defaultRowHeight="12.75" x14ac:dyDescent="0.2"/>
  <cols>
    <col min="1" max="1" width="9.42578125" style="2" bestFit="1" customWidth="1"/>
    <col min="2" max="2" width="28.28515625" style="4" customWidth="1"/>
    <col min="3" max="3" width="14.42578125" style="4" bestFit="1" customWidth="1"/>
    <col min="4" max="4" width="9.140625" style="4" customWidth="1"/>
    <col min="5" max="5" width="3.140625" style="4" customWidth="1"/>
    <col min="6" max="17" width="12.85546875" style="2" bestFit="1" customWidth="1"/>
    <col min="18" max="18" width="13.85546875" style="2" bestFit="1" customWidth="1"/>
    <col min="19" max="19" width="10.5703125" style="2" customWidth="1"/>
    <col min="20" max="39" width="9.140625" style="2"/>
    <col min="40" max="256" width="9.140625" style="1"/>
    <col min="257" max="257" width="28.140625" style="1" bestFit="1" customWidth="1"/>
    <col min="258" max="258" width="15.7109375" style="1" customWidth="1"/>
    <col min="259" max="259" width="9.140625" style="1" customWidth="1"/>
    <col min="260" max="260" width="12.85546875" style="1" customWidth="1"/>
    <col min="261" max="261" width="9.140625" style="1" customWidth="1"/>
    <col min="262" max="273" width="10.5703125" style="1" customWidth="1"/>
    <col min="274" max="274" width="11.140625" style="1" bestFit="1" customWidth="1"/>
    <col min="275" max="275" width="10.5703125" style="1" customWidth="1"/>
    <col min="276" max="512" width="9.140625" style="1"/>
    <col min="513" max="513" width="28.140625" style="1" bestFit="1" customWidth="1"/>
    <col min="514" max="514" width="15.7109375" style="1" customWidth="1"/>
    <col min="515" max="515" width="9.140625" style="1" customWidth="1"/>
    <col min="516" max="516" width="12.85546875" style="1" customWidth="1"/>
    <col min="517" max="517" width="9.140625" style="1" customWidth="1"/>
    <col min="518" max="529" width="10.5703125" style="1" customWidth="1"/>
    <col min="530" max="530" width="11.140625" style="1" bestFit="1" customWidth="1"/>
    <col min="531" max="531" width="10.5703125" style="1" customWidth="1"/>
    <col min="532" max="768" width="9.140625" style="1"/>
    <col min="769" max="769" width="28.140625" style="1" bestFit="1" customWidth="1"/>
    <col min="770" max="770" width="15.7109375" style="1" customWidth="1"/>
    <col min="771" max="771" width="9.140625" style="1" customWidth="1"/>
    <col min="772" max="772" width="12.85546875" style="1" customWidth="1"/>
    <col min="773" max="773" width="9.140625" style="1" customWidth="1"/>
    <col min="774" max="785" width="10.5703125" style="1" customWidth="1"/>
    <col min="786" max="786" width="11.140625" style="1" bestFit="1" customWidth="1"/>
    <col min="787" max="787" width="10.5703125" style="1" customWidth="1"/>
    <col min="788" max="1024" width="9.140625" style="1"/>
    <col min="1025" max="1025" width="28.140625" style="1" bestFit="1" customWidth="1"/>
    <col min="1026" max="1026" width="15.7109375" style="1" customWidth="1"/>
    <col min="1027" max="1027" width="9.140625" style="1" customWidth="1"/>
    <col min="1028" max="1028" width="12.85546875" style="1" customWidth="1"/>
    <col min="1029" max="1029" width="9.140625" style="1" customWidth="1"/>
    <col min="1030" max="1041" width="10.5703125" style="1" customWidth="1"/>
    <col min="1042" max="1042" width="11.140625" style="1" bestFit="1" customWidth="1"/>
    <col min="1043" max="1043" width="10.5703125" style="1" customWidth="1"/>
    <col min="1044" max="1280" width="9.140625" style="1"/>
    <col min="1281" max="1281" width="28.140625" style="1" bestFit="1" customWidth="1"/>
    <col min="1282" max="1282" width="15.7109375" style="1" customWidth="1"/>
    <col min="1283" max="1283" width="9.140625" style="1" customWidth="1"/>
    <col min="1284" max="1284" width="12.85546875" style="1" customWidth="1"/>
    <col min="1285" max="1285" width="9.140625" style="1" customWidth="1"/>
    <col min="1286" max="1297" width="10.5703125" style="1" customWidth="1"/>
    <col min="1298" max="1298" width="11.140625" style="1" bestFit="1" customWidth="1"/>
    <col min="1299" max="1299" width="10.5703125" style="1" customWidth="1"/>
    <col min="1300" max="1536" width="9.140625" style="1"/>
    <col min="1537" max="1537" width="28.140625" style="1" bestFit="1" customWidth="1"/>
    <col min="1538" max="1538" width="15.7109375" style="1" customWidth="1"/>
    <col min="1539" max="1539" width="9.140625" style="1" customWidth="1"/>
    <col min="1540" max="1540" width="12.85546875" style="1" customWidth="1"/>
    <col min="1541" max="1541" width="9.140625" style="1" customWidth="1"/>
    <col min="1542" max="1553" width="10.5703125" style="1" customWidth="1"/>
    <col min="1554" max="1554" width="11.140625" style="1" bestFit="1" customWidth="1"/>
    <col min="1555" max="1555" width="10.5703125" style="1" customWidth="1"/>
    <col min="1556" max="1792" width="9.140625" style="1"/>
    <col min="1793" max="1793" width="28.140625" style="1" bestFit="1" customWidth="1"/>
    <col min="1794" max="1794" width="15.7109375" style="1" customWidth="1"/>
    <col min="1795" max="1795" width="9.140625" style="1" customWidth="1"/>
    <col min="1796" max="1796" width="12.85546875" style="1" customWidth="1"/>
    <col min="1797" max="1797" width="9.140625" style="1" customWidth="1"/>
    <col min="1798" max="1809" width="10.5703125" style="1" customWidth="1"/>
    <col min="1810" max="1810" width="11.140625" style="1" bestFit="1" customWidth="1"/>
    <col min="1811" max="1811" width="10.5703125" style="1" customWidth="1"/>
    <col min="1812" max="2048" width="9.140625" style="1"/>
    <col min="2049" max="2049" width="28.140625" style="1" bestFit="1" customWidth="1"/>
    <col min="2050" max="2050" width="15.7109375" style="1" customWidth="1"/>
    <col min="2051" max="2051" width="9.140625" style="1" customWidth="1"/>
    <col min="2052" max="2052" width="12.85546875" style="1" customWidth="1"/>
    <col min="2053" max="2053" width="9.140625" style="1" customWidth="1"/>
    <col min="2054" max="2065" width="10.5703125" style="1" customWidth="1"/>
    <col min="2066" max="2066" width="11.140625" style="1" bestFit="1" customWidth="1"/>
    <col min="2067" max="2067" width="10.5703125" style="1" customWidth="1"/>
    <col min="2068" max="2304" width="9.140625" style="1"/>
    <col min="2305" max="2305" width="28.140625" style="1" bestFit="1" customWidth="1"/>
    <col min="2306" max="2306" width="15.7109375" style="1" customWidth="1"/>
    <col min="2307" max="2307" width="9.140625" style="1" customWidth="1"/>
    <col min="2308" max="2308" width="12.85546875" style="1" customWidth="1"/>
    <col min="2309" max="2309" width="9.140625" style="1" customWidth="1"/>
    <col min="2310" max="2321" width="10.5703125" style="1" customWidth="1"/>
    <col min="2322" max="2322" width="11.140625" style="1" bestFit="1" customWidth="1"/>
    <col min="2323" max="2323" width="10.5703125" style="1" customWidth="1"/>
    <col min="2324" max="2560" width="9.140625" style="1"/>
    <col min="2561" max="2561" width="28.140625" style="1" bestFit="1" customWidth="1"/>
    <col min="2562" max="2562" width="15.7109375" style="1" customWidth="1"/>
    <col min="2563" max="2563" width="9.140625" style="1" customWidth="1"/>
    <col min="2564" max="2564" width="12.85546875" style="1" customWidth="1"/>
    <col min="2565" max="2565" width="9.140625" style="1" customWidth="1"/>
    <col min="2566" max="2577" width="10.5703125" style="1" customWidth="1"/>
    <col min="2578" max="2578" width="11.140625" style="1" bestFit="1" customWidth="1"/>
    <col min="2579" max="2579" width="10.5703125" style="1" customWidth="1"/>
    <col min="2580" max="2816" width="9.140625" style="1"/>
    <col min="2817" max="2817" width="28.140625" style="1" bestFit="1" customWidth="1"/>
    <col min="2818" max="2818" width="15.7109375" style="1" customWidth="1"/>
    <col min="2819" max="2819" width="9.140625" style="1" customWidth="1"/>
    <col min="2820" max="2820" width="12.85546875" style="1" customWidth="1"/>
    <col min="2821" max="2821" width="9.140625" style="1" customWidth="1"/>
    <col min="2822" max="2833" width="10.5703125" style="1" customWidth="1"/>
    <col min="2834" max="2834" width="11.140625" style="1" bestFit="1" customWidth="1"/>
    <col min="2835" max="2835" width="10.5703125" style="1" customWidth="1"/>
    <col min="2836" max="3072" width="9.140625" style="1"/>
    <col min="3073" max="3073" width="28.140625" style="1" bestFit="1" customWidth="1"/>
    <col min="3074" max="3074" width="15.7109375" style="1" customWidth="1"/>
    <col min="3075" max="3075" width="9.140625" style="1" customWidth="1"/>
    <col min="3076" max="3076" width="12.85546875" style="1" customWidth="1"/>
    <col min="3077" max="3077" width="9.140625" style="1" customWidth="1"/>
    <col min="3078" max="3089" width="10.5703125" style="1" customWidth="1"/>
    <col min="3090" max="3090" width="11.140625" style="1" bestFit="1" customWidth="1"/>
    <col min="3091" max="3091" width="10.5703125" style="1" customWidth="1"/>
    <col min="3092" max="3328" width="9.140625" style="1"/>
    <col min="3329" max="3329" width="28.140625" style="1" bestFit="1" customWidth="1"/>
    <col min="3330" max="3330" width="15.7109375" style="1" customWidth="1"/>
    <col min="3331" max="3331" width="9.140625" style="1" customWidth="1"/>
    <col min="3332" max="3332" width="12.85546875" style="1" customWidth="1"/>
    <col min="3333" max="3333" width="9.140625" style="1" customWidth="1"/>
    <col min="3334" max="3345" width="10.5703125" style="1" customWidth="1"/>
    <col min="3346" max="3346" width="11.140625" style="1" bestFit="1" customWidth="1"/>
    <col min="3347" max="3347" width="10.5703125" style="1" customWidth="1"/>
    <col min="3348" max="3584" width="9.140625" style="1"/>
    <col min="3585" max="3585" width="28.140625" style="1" bestFit="1" customWidth="1"/>
    <col min="3586" max="3586" width="15.7109375" style="1" customWidth="1"/>
    <col min="3587" max="3587" width="9.140625" style="1" customWidth="1"/>
    <col min="3588" max="3588" width="12.85546875" style="1" customWidth="1"/>
    <col min="3589" max="3589" width="9.140625" style="1" customWidth="1"/>
    <col min="3590" max="3601" width="10.5703125" style="1" customWidth="1"/>
    <col min="3602" max="3602" width="11.140625" style="1" bestFit="1" customWidth="1"/>
    <col min="3603" max="3603" width="10.5703125" style="1" customWidth="1"/>
    <col min="3604" max="3840" width="9.140625" style="1"/>
    <col min="3841" max="3841" width="28.140625" style="1" bestFit="1" customWidth="1"/>
    <col min="3842" max="3842" width="15.7109375" style="1" customWidth="1"/>
    <col min="3843" max="3843" width="9.140625" style="1" customWidth="1"/>
    <col min="3844" max="3844" width="12.85546875" style="1" customWidth="1"/>
    <col min="3845" max="3845" width="9.140625" style="1" customWidth="1"/>
    <col min="3846" max="3857" width="10.5703125" style="1" customWidth="1"/>
    <col min="3858" max="3858" width="11.140625" style="1" bestFit="1" customWidth="1"/>
    <col min="3859" max="3859" width="10.5703125" style="1" customWidth="1"/>
    <col min="3860" max="4096" width="9.140625" style="1"/>
    <col min="4097" max="4097" width="28.140625" style="1" bestFit="1" customWidth="1"/>
    <col min="4098" max="4098" width="15.7109375" style="1" customWidth="1"/>
    <col min="4099" max="4099" width="9.140625" style="1" customWidth="1"/>
    <col min="4100" max="4100" width="12.85546875" style="1" customWidth="1"/>
    <col min="4101" max="4101" width="9.140625" style="1" customWidth="1"/>
    <col min="4102" max="4113" width="10.5703125" style="1" customWidth="1"/>
    <col min="4114" max="4114" width="11.140625" style="1" bestFit="1" customWidth="1"/>
    <col min="4115" max="4115" width="10.5703125" style="1" customWidth="1"/>
    <col min="4116" max="4352" width="9.140625" style="1"/>
    <col min="4353" max="4353" width="28.140625" style="1" bestFit="1" customWidth="1"/>
    <col min="4354" max="4354" width="15.7109375" style="1" customWidth="1"/>
    <col min="4355" max="4355" width="9.140625" style="1" customWidth="1"/>
    <col min="4356" max="4356" width="12.85546875" style="1" customWidth="1"/>
    <col min="4357" max="4357" width="9.140625" style="1" customWidth="1"/>
    <col min="4358" max="4369" width="10.5703125" style="1" customWidth="1"/>
    <col min="4370" max="4370" width="11.140625" style="1" bestFit="1" customWidth="1"/>
    <col min="4371" max="4371" width="10.5703125" style="1" customWidth="1"/>
    <col min="4372" max="4608" width="9.140625" style="1"/>
    <col min="4609" max="4609" width="28.140625" style="1" bestFit="1" customWidth="1"/>
    <col min="4610" max="4610" width="15.7109375" style="1" customWidth="1"/>
    <col min="4611" max="4611" width="9.140625" style="1" customWidth="1"/>
    <col min="4612" max="4612" width="12.85546875" style="1" customWidth="1"/>
    <col min="4613" max="4613" width="9.140625" style="1" customWidth="1"/>
    <col min="4614" max="4625" width="10.5703125" style="1" customWidth="1"/>
    <col min="4626" max="4626" width="11.140625" style="1" bestFit="1" customWidth="1"/>
    <col min="4627" max="4627" width="10.5703125" style="1" customWidth="1"/>
    <col min="4628" max="4864" width="9.140625" style="1"/>
    <col min="4865" max="4865" width="28.140625" style="1" bestFit="1" customWidth="1"/>
    <col min="4866" max="4866" width="15.7109375" style="1" customWidth="1"/>
    <col min="4867" max="4867" width="9.140625" style="1" customWidth="1"/>
    <col min="4868" max="4868" width="12.85546875" style="1" customWidth="1"/>
    <col min="4869" max="4869" width="9.140625" style="1" customWidth="1"/>
    <col min="4870" max="4881" width="10.5703125" style="1" customWidth="1"/>
    <col min="4882" max="4882" width="11.140625" style="1" bestFit="1" customWidth="1"/>
    <col min="4883" max="4883" width="10.5703125" style="1" customWidth="1"/>
    <col min="4884" max="5120" width="9.140625" style="1"/>
    <col min="5121" max="5121" width="28.140625" style="1" bestFit="1" customWidth="1"/>
    <col min="5122" max="5122" width="15.7109375" style="1" customWidth="1"/>
    <col min="5123" max="5123" width="9.140625" style="1" customWidth="1"/>
    <col min="5124" max="5124" width="12.85546875" style="1" customWidth="1"/>
    <col min="5125" max="5125" width="9.140625" style="1" customWidth="1"/>
    <col min="5126" max="5137" width="10.5703125" style="1" customWidth="1"/>
    <col min="5138" max="5138" width="11.140625" style="1" bestFit="1" customWidth="1"/>
    <col min="5139" max="5139" width="10.5703125" style="1" customWidth="1"/>
    <col min="5140" max="5376" width="9.140625" style="1"/>
    <col min="5377" max="5377" width="28.140625" style="1" bestFit="1" customWidth="1"/>
    <col min="5378" max="5378" width="15.7109375" style="1" customWidth="1"/>
    <col min="5379" max="5379" width="9.140625" style="1" customWidth="1"/>
    <col min="5380" max="5380" width="12.85546875" style="1" customWidth="1"/>
    <col min="5381" max="5381" width="9.140625" style="1" customWidth="1"/>
    <col min="5382" max="5393" width="10.5703125" style="1" customWidth="1"/>
    <col min="5394" max="5394" width="11.140625" style="1" bestFit="1" customWidth="1"/>
    <col min="5395" max="5395" width="10.5703125" style="1" customWidth="1"/>
    <col min="5396" max="5632" width="9.140625" style="1"/>
    <col min="5633" max="5633" width="28.140625" style="1" bestFit="1" customWidth="1"/>
    <col min="5634" max="5634" width="15.7109375" style="1" customWidth="1"/>
    <col min="5635" max="5635" width="9.140625" style="1" customWidth="1"/>
    <col min="5636" max="5636" width="12.85546875" style="1" customWidth="1"/>
    <col min="5637" max="5637" width="9.140625" style="1" customWidth="1"/>
    <col min="5638" max="5649" width="10.5703125" style="1" customWidth="1"/>
    <col min="5650" max="5650" width="11.140625" style="1" bestFit="1" customWidth="1"/>
    <col min="5651" max="5651" width="10.5703125" style="1" customWidth="1"/>
    <col min="5652" max="5888" width="9.140625" style="1"/>
    <col min="5889" max="5889" width="28.140625" style="1" bestFit="1" customWidth="1"/>
    <col min="5890" max="5890" width="15.7109375" style="1" customWidth="1"/>
    <col min="5891" max="5891" width="9.140625" style="1" customWidth="1"/>
    <col min="5892" max="5892" width="12.85546875" style="1" customWidth="1"/>
    <col min="5893" max="5893" width="9.140625" style="1" customWidth="1"/>
    <col min="5894" max="5905" width="10.5703125" style="1" customWidth="1"/>
    <col min="5906" max="5906" width="11.140625" style="1" bestFit="1" customWidth="1"/>
    <col min="5907" max="5907" width="10.5703125" style="1" customWidth="1"/>
    <col min="5908" max="6144" width="9.140625" style="1"/>
    <col min="6145" max="6145" width="28.140625" style="1" bestFit="1" customWidth="1"/>
    <col min="6146" max="6146" width="15.7109375" style="1" customWidth="1"/>
    <col min="6147" max="6147" width="9.140625" style="1" customWidth="1"/>
    <col min="6148" max="6148" width="12.85546875" style="1" customWidth="1"/>
    <col min="6149" max="6149" width="9.140625" style="1" customWidth="1"/>
    <col min="6150" max="6161" width="10.5703125" style="1" customWidth="1"/>
    <col min="6162" max="6162" width="11.140625" style="1" bestFit="1" customWidth="1"/>
    <col min="6163" max="6163" width="10.5703125" style="1" customWidth="1"/>
    <col min="6164" max="6400" width="9.140625" style="1"/>
    <col min="6401" max="6401" width="28.140625" style="1" bestFit="1" customWidth="1"/>
    <col min="6402" max="6402" width="15.7109375" style="1" customWidth="1"/>
    <col min="6403" max="6403" width="9.140625" style="1" customWidth="1"/>
    <col min="6404" max="6404" width="12.85546875" style="1" customWidth="1"/>
    <col min="6405" max="6405" width="9.140625" style="1" customWidth="1"/>
    <col min="6406" max="6417" width="10.5703125" style="1" customWidth="1"/>
    <col min="6418" max="6418" width="11.140625" style="1" bestFit="1" customWidth="1"/>
    <col min="6419" max="6419" width="10.5703125" style="1" customWidth="1"/>
    <col min="6420" max="6656" width="9.140625" style="1"/>
    <col min="6657" max="6657" width="28.140625" style="1" bestFit="1" customWidth="1"/>
    <col min="6658" max="6658" width="15.7109375" style="1" customWidth="1"/>
    <col min="6659" max="6659" width="9.140625" style="1" customWidth="1"/>
    <col min="6660" max="6660" width="12.85546875" style="1" customWidth="1"/>
    <col min="6661" max="6661" width="9.140625" style="1" customWidth="1"/>
    <col min="6662" max="6673" width="10.5703125" style="1" customWidth="1"/>
    <col min="6674" max="6674" width="11.140625" style="1" bestFit="1" customWidth="1"/>
    <col min="6675" max="6675" width="10.5703125" style="1" customWidth="1"/>
    <col min="6676" max="6912" width="9.140625" style="1"/>
    <col min="6913" max="6913" width="28.140625" style="1" bestFit="1" customWidth="1"/>
    <col min="6914" max="6914" width="15.7109375" style="1" customWidth="1"/>
    <col min="6915" max="6915" width="9.140625" style="1" customWidth="1"/>
    <col min="6916" max="6916" width="12.85546875" style="1" customWidth="1"/>
    <col min="6917" max="6917" width="9.140625" style="1" customWidth="1"/>
    <col min="6918" max="6929" width="10.5703125" style="1" customWidth="1"/>
    <col min="6930" max="6930" width="11.140625" style="1" bestFit="1" customWidth="1"/>
    <col min="6931" max="6931" width="10.5703125" style="1" customWidth="1"/>
    <col min="6932" max="7168" width="9.140625" style="1"/>
    <col min="7169" max="7169" width="28.140625" style="1" bestFit="1" customWidth="1"/>
    <col min="7170" max="7170" width="15.7109375" style="1" customWidth="1"/>
    <col min="7171" max="7171" width="9.140625" style="1" customWidth="1"/>
    <col min="7172" max="7172" width="12.85546875" style="1" customWidth="1"/>
    <col min="7173" max="7173" width="9.140625" style="1" customWidth="1"/>
    <col min="7174" max="7185" width="10.5703125" style="1" customWidth="1"/>
    <col min="7186" max="7186" width="11.140625" style="1" bestFit="1" customWidth="1"/>
    <col min="7187" max="7187" width="10.5703125" style="1" customWidth="1"/>
    <col min="7188" max="7424" width="9.140625" style="1"/>
    <col min="7425" max="7425" width="28.140625" style="1" bestFit="1" customWidth="1"/>
    <col min="7426" max="7426" width="15.7109375" style="1" customWidth="1"/>
    <col min="7427" max="7427" width="9.140625" style="1" customWidth="1"/>
    <col min="7428" max="7428" width="12.85546875" style="1" customWidth="1"/>
    <col min="7429" max="7429" width="9.140625" style="1" customWidth="1"/>
    <col min="7430" max="7441" width="10.5703125" style="1" customWidth="1"/>
    <col min="7442" max="7442" width="11.140625" style="1" bestFit="1" customWidth="1"/>
    <col min="7443" max="7443" width="10.5703125" style="1" customWidth="1"/>
    <col min="7444" max="7680" width="9.140625" style="1"/>
    <col min="7681" max="7681" width="28.140625" style="1" bestFit="1" customWidth="1"/>
    <col min="7682" max="7682" width="15.7109375" style="1" customWidth="1"/>
    <col min="7683" max="7683" width="9.140625" style="1" customWidth="1"/>
    <col min="7684" max="7684" width="12.85546875" style="1" customWidth="1"/>
    <col min="7685" max="7685" width="9.140625" style="1" customWidth="1"/>
    <col min="7686" max="7697" width="10.5703125" style="1" customWidth="1"/>
    <col min="7698" max="7698" width="11.140625" style="1" bestFit="1" customWidth="1"/>
    <col min="7699" max="7699" width="10.5703125" style="1" customWidth="1"/>
    <col min="7700" max="7936" width="9.140625" style="1"/>
    <col min="7937" max="7937" width="28.140625" style="1" bestFit="1" customWidth="1"/>
    <col min="7938" max="7938" width="15.7109375" style="1" customWidth="1"/>
    <col min="7939" max="7939" width="9.140625" style="1" customWidth="1"/>
    <col min="7940" max="7940" width="12.85546875" style="1" customWidth="1"/>
    <col min="7941" max="7941" width="9.140625" style="1" customWidth="1"/>
    <col min="7942" max="7953" width="10.5703125" style="1" customWidth="1"/>
    <col min="7954" max="7954" width="11.140625" style="1" bestFit="1" customWidth="1"/>
    <col min="7955" max="7955" width="10.5703125" style="1" customWidth="1"/>
    <col min="7956" max="8192" width="9.140625" style="1"/>
    <col min="8193" max="8193" width="28.140625" style="1" bestFit="1" customWidth="1"/>
    <col min="8194" max="8194" width="15.7109375" style="1" customWidth="1"/>
    <col min="8195" max="8195" width="9.140625" style="1" customWidth="1"/>
    <col min="8196" max="8196" width="12.85546875" style="1" customWidth="1"/>
    <col min="8197" max="8197" width="9.140625" style="1" customWidth="1"/>
    <col min="8198" max="8209" width="10.5703125" style="1" customWidth="1"/>
    <col min="8210" max="8210" width="11.140625" style="1" bestFit="1" customWidth="1"/>
    <col min="8211" max="8211" width="10.5703125" style="1" customWidth="1"/>
    <col min="8212" max="8448" width="9.140625" style="1"/>
    <col min="8449" max="8449" width="28.140625" style="1" bestFit="1" customWidth="1"/>
    <col min="8450" max="8450" width="15.7109375" style="1" customWidth="1"/>
    <col min="8451" max="8451" width="9.140625" style="1" customWidth="1"/>
    <col min="8452" max="8452" width="12.85546875" style="1" customWidth="1"/>
    <col min="8453" max="8453" width="9.140625" style="1" customWidth="1"/>
    <col min="8454" max="8465" width="10.5703125" style="1" customWidth="1"/>
    <col min="8466" max="8466" width="11.140625" style="1" bestFit="1" customWidth="1"/>
    <col min="8467" max="8467" width="10.5703125" style="1" customWidth="1"/>
    <col min="8468" max="8704" width="9.140625" style="1"/>
    <col min="8705" max="8705" width="28.140625" style="1" bestFit="1" customWidth="1"/>
    <col min="8706" max="8706" width="15.7109375" style="1" customWidth="1"/>
    <col min="8707" max="8707" width="9.140625" style="1" customWidth="1"/>
    <col min="8708" max="8708" width="12.85546875" style="1" customWidth="1"/>
    <col min="8709" max="8709" width="9.140625" style="1" customWidth="1"/>
    <col min="8710" max="8721" width="10.5703125" style="1" customWidth="1"/>
    <col min="8722" max="8722" width="11.140625" style="1" bestFit="1" customWidth="1"/>
    <col min="8723" max="8723" width="10.5703125" style="1" customWidth="1"/>
    <col min="8724" max="8960" width="9.140625" style="1"/>
    <col min="8961" max="8961" width="28.140625" style="1" bestFit="1" customWidth="1"/>
    <col min="8962" max="8962" width="15.7109375" style="1" customWidth="1"/>
    <col min="8963" max="8963" width="9.140625" style="1" customWidth="1"/>
    <col min="8964" max="8964" width="12.85546875" style="1" customWidth="1"/>
    <col min="8965" max="8965" width="9.140625" style="1" customWidth="1"/>
    <col min="8966" max="8977" width="10.5703125" style="1" customWidth="1"/>
    <col min="8978" max="8978" width="11.140625" style="1" bestFit="1" customWidth="1"/>
    <col min="8979" max="8979" width="10.5703125" style="1" customWidth="1"/>
    <col min="8980" max="9216" width="9.140625" style="1"/>
    <col min="9217" max="9217" width="28.140625" style="1" bestFit="1" customWidth="1"/>
    <col min="9218" max="9218" width="15.7109375" style="1" customWidth="1"/>
    <col min="9219" max="9219" width="9.140625" style="1" customWidth="1"/>
    <col min="9220" max="9220" width="12.85546875" style="1" customWidth="1"/>
    <col min="9221" max="9221" width="9.140625" style="1" customWidth="1"/>
    <col min="9222" max="9233" width="10.5703125" style="1" customWidth="1"/>
    <col min="9234" max="9234" width="11.140625" style="1" bestFit="1" customWidth="1"/>
    <col min="9235" max="9235" width="10.5703125" style="1" customWidth="1"/>
    <col min="9236" max="9472" width="9.140625" style="1"/>
    <col min="9473" max="9473" width="28.140625" style="1" bestFit="1" customWidth="1"/>
    <col min="9474" max="9474" width="15.7109375" style="1" customWidth="1"/>
    <col min="9475" max="9475" width="9.140625" style="1" customWidth="1"/>
    <col min="9476" max="9476" width="12.85546875" style="1" customWidth="1"/>
    <col min="9477" max="9477" width="9.140625" style="1" customWidth="1"/>
    <col min="9478" max="9489" width="10.5703125" style="1" customWidth="1"/>
    <col min="9490" max="9490" width="11.140625" style="1" bestFit="1" customWidth="1"/>
    <col min="9491" max="9491" width="10.5703125" style="1" customWidth="1"/>
    <col min="9492" max="9728" width="9.140625" style="1"/>
    <col min="9729" max="9729" width="28.140625" style="1" bestFit="1" customWidth="1"/>
    <col min="9730" max="9730" width="15.7109375" style="1" customWidth="1"/>
    <col min="9731" max="9731" width="9.140625" style="1" customWidth="1"/>
    <col min="9732" max="9732" width="12.85546875" style="1" customWidth="1"/>
    <col min="9733" max="9733" width="9.140625" style="1" customWidth="1"/>
    <col min="9734" max="9745" width="10.5703125" style="1" customWidth="1"/>
    <col min="9746" max="9746" width="11.140625" style="1" bestFit="1" customWidth="1"/>
    <col min="9747" max="9747" width="10.5703125" style="1" customWidth="1"/>
    <col min="9748" max="9984" width="9.140625" style="1"/>
    <col min="9985" max="9985" width="28.140625" style="1" bestFit="1" customWidth="1"/>
    <col min="9986" max="9986" width="15.7109375" style="1" customWidth="1"/>
    <col min="9987" max="9987" width="9.140625" style="1" customWidth="1"/>
    <col min="9988" max="9988" width="12.85546875" style="1" customWidth="1"/>
    <col min="9989" max="9989" width="9.140625" style="1" customWidth="1"/>
    <col min="9990" max="10001" width="10.5703125" style="1" customWidth="1"/>
    <col min="10002" max="10002" width="11.140625" style="1" bestFit="1" customWidth="1"/>
    <col min="10003" max="10003" width="10.5703125" style="1" customWidth="1"/>
    <col min="10004" max="10240" width="9.140625" style="1"/>
    <col min="10241" max="10241" width="28.140625" style="1" bestFit="1" customWidth="1"/>
    <col min="10242" max="10242" width="15.7109375" style="1" customWidth="1"/>
    <col min="10243" max="10243" width="9.140625" style="1" customWidth="1"/>
    <col min="10244" max="10244" width="12.85546875" style="1" customWidth="1"/>
    <col min="10245" max="10245" width="9.140625" style="1" customWidth="1"/>
    <col min="10246" max="10257" width="10.5703125" style="1" customWidth="1"/>
    <col min="10258" max="10258" width="11.140625" style="1" bestFit="1" customWidth="1"/>
    <col min="10259" max="10259" width="10.5703125" style="1" customWidth="1"/>
    <col min="10260" max="10496" width="9.140625" style="1"/>
    <col min="10497" max="10497" width="28.140625" style="1" bestFit="1" customWidth="1"/>
    <col min="10498" max="10498" width="15.7109375" style="1" customWidth="1"/>
    <col min="10499" max="10499" width="9.140625" style="1" customWidth="1"/>
    <col min="10500" max="10500" width="12.85546875" style="1" customWidth="1"/>
    <col min="10501" max="10501" width="9.140625" style="1" customWidth="1"/>
    <col min="10502" max="10513" width="10.5703125" style="1" customWidth="1"/>
    <col min="10514" max="10514" width="11.140625" style="1" bestFit="1" customWidth="1"/>
    <col min="10515" max="10515" width="10.5703125" style="1" customWidth="1"/>
    <col min="10516" max="10752" width="9.140625" style="1"/>
    <col min="10753" max="10753" width="28.140625" style="1" bestFit="1" customWidth="1"/>
    <col min="10754" max="10754" width="15.7109375" style="1" customWidth="1"/>
    <col min="10755" max="10755" width="9.140625" style="1" customWidth="1"/>
    <col min="10756" max="10756" width="12.85546875" style="1" customWidth="1"/>
    <col min="10757" max="10757" width="9.140625" style="1" customWidth="1"/>
    <col min="10758" max="10769" width="10.5703125" style="1" customWidth="1"/>
    <col min="10770" max="10770" width="11.140625" style="1" bestFit="1" customWidth="1"/>
    <col min="10771" max="10771" width="10.5703125" style="1" customWidth="1"/>
    <col min="10772" max="11008" width="9.140625" style="1"/>
    <col min="11009" max="11009" width="28.140625" style="1" bestFit="1" customWidth="1"/>
    <col min="11010" max="11010" width="15.7109375" style="1" customWidth="1"/>
    <col min="11011" max="11011" width="9.140625" style="1" customWidth="1"/>
    <col min="11012" max="11012" width="12.85546875" style="1" customWidth="1"/>
    <col min="11013" max="11013" width="9.140625" style="1" customWidth="1"/>
    <col min="11014" max="11025" width="10.5703125" style="1" customWidth="1"/>
    <col min="11026" max="11026" width="11.140625" style="1" bestFit="1" customWidth="1"/>
    <col min="11027" max="11027" width="10.5703125" style="1" customWidth="1"/>
    <col min="11028" max="11264" width="9.140625" style="1"/>
    <col min="11265" max="11265" width="28.140625" style="1" bestFit="1" customWidth="1"/>
    <col min="11266" max="11266" width="15.7109375" style="1" customWidth="1"/>
    <col min="11267" max="11267" width="9.140625" style="1" customWidth="1"/>
    <col min="11268" max="11268" width="12.85546875" style="1" customWidth="1"/>
    <col min="11269" max="11269" width="9.140625" style="1" customWidth="1"/>
    <col min="11270" max="11281" width="10.5703125" style="1" customWidth="1"/>
    <col min="11282" max="11282" width="11.140625" style="1" bestFit="1" customWidth="1"/>
    <col min="11283" max="11283" width="10.5703125" style="1" customWidth="1"/>
    <col min="11284" max="11520" width="9.140625" style="1"/>
    <col min="11521" max="11521" width="28.140625" style="1" bestFit="1" customWidth="1"/>
    <col min="11522" max="11522" width="15.7109375" style="1" customWidth="1"/>
    <col min="11523" max="11523" width="9.140625" style="1" customWidth="1"/>
    <col min="11524" max="11524" width="12.85546875" style="1" customWidth="1"/>
    <col min="11525" max="11525" width="9.140625" style="1" customWidth="1"/>
    <col min="11526" max="11537" width="10.5703125" style="1" customWidth="1"/>
    <col min="11538" max="11538" width="11.140625" style="1" bestFit="1" customWidth="1"/>
    <col min="11539" max="11539" width="10.5703125" style="1" customWidth="1"/>
    <col min="11540" max="11776" width="9.140625" style="1"/>
    <col min="11777" max="11777" width="28.140625" style="1" bestFit="1" customWidth="1"/>
    <col min="11778" max="11778" width="15.7109375" style="1" customWidth="1"/>
    <col min="11779" max="11779" width="9.140625" style="1" customWidth="1"/>
    <col min="11780" max="11780" width="12.85546875" style="1" customWidth="1"/>
    <col min="11781" max="11781" width="9.140625" style="1" customWidth="1"/>
    <col min="11782" max="11793" width="10.5703125" style="1" customWidth="1"/>
    <col min="11794" max="11794" width="11.140625" style="1" bestFit="1" customWidth="1"/>
    <col min="11795" max="11795" width="10.5703125" style="1" customWidth="1"/>
    <col min="11796" max="12032" width="9.140625" style="1"/>
    <col min="12033" max="12033" width="28.140625" style="1" bestFit="1" customWidth="1"/>
    <col min="12034" max="12034" width="15.7109375" style="1" customWidth="1"/>
    <col min="12035" max="12035" width="9.140625" style="1" customWidth="1"/>
    <col min="12036" max="12036" width="12.85546875" style="1" customWidth="1"/>
    <col min="12037" max="12037" width="9.140625" style="1" customWidth="1"/>
    <col min="12038" max="12049" width="10.5703125" style="1" customWidth="1"/>
    <col min="12050" max="12050" width="11.140625" style="1" bestFit="1" customWidth="1"/>
    <col min="12051" max="12051" width="10.5703125" style="1" customWidth="1"/>
    <col min="12052" max="12288" width="9.140625" style="1"/>
    <col min="12289" max="12289" width="28.140625" style="1" bestFit="1" customWidth="1"/>
    <col min="12290" max="12290" width="15.7109375" style="1" customWidth="1"/>
    <col min="12291" max="12291" width="9.140625" style="1" customWidth="1"/>
    <col min="12292" max="12292" width="12.85546875" style="1" customWidth="1"/>
    <col min="12293" max="12293" width="9.140625" style="1" customWidth="1"/>
    <col min="12294" max="12305" width="10.5703125" style="1" customWidth="1"/>
    <col min="12306" max="12306" width="11.140625" style="1" bestFit="1" customWidth="1"/>
    <col min="12307" max="12307" width="10.5703125" style="1" customWidth="1"/>
    <col min="12308" max="12544" width="9.140625" style="1"/>
    <col min="12545" max="12545" width="28.140625" style="1" bestFit="1" customWidth="1"/>
    <col min="12546" max="12546" width="15.7109375" style="1" customWidth="1"/>
    <col min="12547" max="12547" width="9.140625" style="1" customWidth="1"/>
    <col min="12548" max="12548" width="12.85546875" style="1" customWidth="1"/>
    <col min="12549" max="12549" width="9.140625" style="1" customWidth="1"/>
    <col min="12550" max="12561" width="10.5703125" style="1" customWidth="1"/>
    <col min="12562" max="12562" width="11.140625" style="1" bestFit="1" customWidth="1"/>
    <col min="12563" max="12563" width="10.5703125" style="1" customWidth="1"/>
    <col min="12564" max="12800" width="9.140625" style="1"/>
    <col min="12801" max="12801" width="28.140625" style="1" bestFit="1" customWidth="1"/>
    <col min="12802" max="12802" width="15.7109375" style="1" customWidth="1"/>
    <col min="12803" max="12803" width="9.140625" style="1" customWidth="1"/>
    <col min="12804" max="12804" width="12.85546875" style="1" customWidth="1"/>
    <col min="12805" max="12805" width="9.140625" style="1" customWidth="1"/>
    <col min="12806" max="12817" width="10.5703125" style="1" customWidth="1"/>
    <col min="12818" max="12818" width="11.140625" style="1" bestFit="1" customWidth="1"/>
    <col min="12819" max="12819" width="10.5703125" style="1" customWidth="1"/>
    <col min="12820" max="13056" width="9.140625" style="1"/>
    <col min="13057" max="13057" width="28.140625" style="1" bestFit="1" customWidth="1"/>
    <col min="13058" max="13058" width="15.7109375" style="1" customWidth="1"/>
    <col min="13059" max="13059" width="9.140625" style="1" customWidth="1"/>
    <col min="13060" max="13060" width="12.85546875" style="1" customWidth="1"/>
    <col min="13061" max="13061" width="9.140625" style="1" customWidth="1"/>
    <col min="13062" max="13073" width="10.5703125" style="1" customWidth="1"/>
    <col min="13074" max="13074" width="11.140625" style="1" bestFit="1" customWidth="1"/>
    <col min="13075" max="13075" width="10.5703125" style="1" customWidth="1"/>
    <col min="13076" max="13312" width="9.140625" style="1"/>
    <col min="13313" max="13313" width="28.140625" style="1" bestFit="1" customWidth="1"/>
    <col min="13314" max="13314" width="15.7109375" style="1" customWidth="1"/>
    <col min="13315" max="13315" width="9.140625" style="1" customWidth="1"/>
    <col min="13316" max="13316" width="12.85546875" style="1" customWidth="1"/>
    <col min="13317" max="13317" width="9.140625" style="1" customWidth="1"/>
    <col min="13318" max="13329" width="10.5703125" style="1" customWidth="1"/>
    <col min="13330" max="13330" width="11.140625" style="1" bestFit="1" customWidth="1"/>
    <col min="13331" max="13331" width="10.5703125" style="1" customWidth="1"/>
    <col min="13332" max="13568" width="9.140625" style="1"/>
    <col min="13569" max="13569" width="28.140625" style="1" bestFit="1" customWidth="1"/>
    <col min="13570" max="13570" width="15.7109375" style="1" customWidth="1"/>
    <col min="13571" max="13571" width="9.140625" style="1" customWidth="1"/>
    <col min="13572" max="13572" width="12.85546875" style="1" customWidth="1"/>
    <col min="13573" max="13573" width="9.140625" style="1" customWidth="1"/>
    <col min="13574" max="13585" width="10.5703125" style="1" customWidth="1"/>
    <col min="13586" max="13586" width="11.140625" style="1" bestFit="1" customWidth="1"/>
    <col min="13587" max="13587" width="10.5703125" style="1" customWidth="1"/>
    <col min="13588" max="13824" width="9.140625" style="1"/>
    <col min="13825" max="13825" width="28.140625" style="1" bestFit="1" customWidth="1"/>
    <col min="13826" max="13826" width="15.7109375" style="1" customWidth="1"/>
    <col min="13827" max="13827" width="9.140625" style="1" customWidth="1"/>
    <col min="13828" max="13828" width="12.85546875" style="1" customWidth="1"/>
    <col min="13829" max="13829" width="9.140625" style="1" customWidth="1"/>
    <col min="13830" max="13841" width="10.5703125" style="1" customWidth="1"/>
    <col min="13842" max="13842" width="11.140625" style="1" bestFit="1" customWidth="1"/>
    <col min="13843" max="13843" width="10.5703125" style="1" customWidth="1"/>
    <col min="13844" max="14080" width="9.140625" style="1"/>
    <col min="14081" max="14081" width="28.140625" style="1" bestFit="1" customWidth="1"/>
    <col min="14082" max="14082" width="15.7109375" style="1" customWidth="1"/>
    <col min="14083" max="14083" width="9.140625" style="1" customWidth="1"/>
    <col min="14084" max="14084" width="12.85546875" style="1" customWidth="1"/>
    <col min="14085" max="14085" width="9.140625" style="1" customWidth="1"/>
    <col min="14086" max="14097" width="10.5703125" style="1" customWidth="1"/>
    <col min="14098" max="14098" width="11.140625" style="1" bestFit="1" customWidth="1"/>
    <col min="14099" max="14099" width="10.5703125" style="1" customWidth="1"/>
    <col min="14100" max="14336" width="9.140625" style="1"/>
    <col min="14337" max="14337" width="28.140625" style="1" bestFit="1" customWidth="1"/>
    <col min="14338" max="14338" width="15.7109375" style="1" customWidth="1"/>
    <col min="14339" max="14339" width="9.140625" style="1" customWidth="1"/>
    <col min="14340" max="14340" width="12.85546875" style="1" customWidth="1"/>
    <col min="14341" max="14341" width="9.140625" style="1" customWidth="1"/>
    <col min="14342" max="14353" width="10.5703125" style="1" customWidth="1"/>
    <col min="14354" max="14354" width="11.140625" style="1" bestFit="1" customWidth="1"/>
    <col min="14355" max="14355" width="10.5703125" style="1" customWidth="1"/>
    <col min="14356" max="14592" width="9.140625" style="1"/>
    <col min="14593" max="14593" width="28.140625" style="1" bestFit="1" customWidth="1"/>
    <col min="14594" max="14594" width="15.7109375" style="1" customWidth="1"/>
    <col min="14595" max="14595" width="9.140625" style="1" customWidth="1"/>
    <col min="14596" max="14596" width="12.85546875" style="1" customWidth="1"/>
    <col min="14597" max="14597" width="9.140625" style="1" customWidth="1"/>
    <col min="14598" max="14609" width="10.5703125" style="1" customWidth="1"/>
    <col min="14610" max="14610" width="11.140625" style="1" bestFit="1" customWidth="1"/>
    <col min="14611" max="14611" width="10.5703125" style="1" customWidth="1"/>
    <col min="14612" max="14848" width="9.140625" style="1"/>
    <col min="14849" max="14849" width="28.140625" style="1" bestFit="1" customWidth="1"/>
    <col min="14850" max="14850" width="15.7109375" style="1" customWidth="1"/>
    <col min="14851" max="14851" width="9.140625" style="1" customWidth="1"/>
    <col min="14852" max="14852" width="12.85546875" style="1" customWidth="1"/>
    <col min="14853" max="14853" width="9.140625" style="1" customWidth="1"/>
    <col min="14854" max="14865" width="10.5703125" style="1" customWidth="1"/>
    <col min="14866" max="14866" width="11.140625" style="1" bestFit="1" customWidth="1"/>
    <col min="14867" max="14867" width="10.5703125" style="1" customWidth="1"/>
    <col min="14868" max="15104" width="9.140625" style="1"/>
    <col min="15105" max="15105" width="28.140625" style="1" bestFit="1" customWidth="1"/>
    <col min="15106" max="15106" width="15.7109375" style="1" customWidth="1"/>
    <col min="15107" max="15107" width="9.140625" style="1" customWidth="1"/>
    <col min="15108" max="15108" width="12.85546875" style="1" customWidth="1"/>
    <col min="15109" max="15109" width="9.140625" style="1" customWidth="1"/>
    <col min="15110" max="15121" width="10.5703125" style="1" customWidth="1"/>
    <col min="15122" max="15122" width="11.140625" style="1" bestFit="1" customWidth="1"/>
    <col min="15123" max="15123" width="10.5703125" style="1" customWidth="1"/>
    <col min="15124" max="15360" width="9.140625" style="1"/>
    <col min="15361" max="15361" width="28.140625" style="1" bestFit="1" customWidth="1"/>
    <col min="15362" max="15362" width="15.7109375" style="1" customWidth="1"/>
    <col min="15363" max="15363" width="9.140625" style="1" customWidth="1"/>
    <col min="15364" max="15364" width="12.85546875" style="1" customWidth="1"/>
    <col min="15365" max="15365" width="9.140625" style="1" customWidth="1"/>
    <col min="15366" max="15377" width="10.5703125" style="1" customWidth="1"/>
    <col min="15378" max="15378" width="11.140625" style="1" bestFit="1" customWidth="1"/>
    <col min="15379" max="15379" width="10.5703125" style="1" customWidth="1"/>
    <col min="15380" max="15616" width="9.140625" style="1"/>
    <col min="15617" max="15617" width="28.140625" style="1" bestFit="1" customWidth="1"/>
    <col min="15618" max="15618" width="15.7109375" style="1" customWidth="1"/>
    <col min="15619" max="15619" width="9.140625" style="1" customWidth="1"/>
    <col min="15620" max="15620" width="12.85546875" style="1" customWidth="1"/>
    <col min="15621" max="15621" width="9.140625" style="1" customWidth="1"/>
    <col min="15622" max="15633" width="10.5703125" style="1" customWidth="1"/>
    <col min="15634" max="15634" width="11.140625" style="1" bestFit="1" customWidth="1"/>
    <col min="15635" max="15635" width="10.5703125" style="1" customWidth="1"/>
    <col min="15636" max="15872" width="9.140625" style="1"/>
    <col min="15873" max="15873" width="28.140625" style="1" bestFit="1" customWidth="1"/>
    <col min="15874" max="15874" width="15.7109375" style="1" customWidth="1"/>
    <col min="15875" max="15875" width="9.140625" style="1" customWidth="1"/>
    <col min="15876" max="15876" width="12.85546875" style="1" customWidth="1"/>
    <col min="15877" max="15877" width="9.140625" style="1" customWidth="1"/>
    <col min="15878" max="15889" width="10.5703125" style="1" customWidth="1"/>
    <col min="15890" max="15890" width="11.140625" style="1" bestFit="1" customWidth="1"/>
    <col min="15891" max="15891" width="10.5703125" style="1" customWidth="1"/>
    <col min="15892" max="16128" width="9.140625" style="1"/>
    <col min="16129" max="16129" width="28.140625" style="1" bestFit="1" customWidth="1"/>
    <col min="16130" max="16130" width="15.7109375" style="1" customWidth="1"/>
    <col min="16131" max="16131" width="9.140625" style="1" customWidth="1"/>
    <col min="16132" max="16132" width="12.85546875" style="1" customWidth="1"/>
    <col min="16133" max="16133" width="9.140625" style="1" customWidth="1"/>
    <col min="16134" max="16145" width="10.5703125" style="1" customWidth="1"/>
    <col min="16146" max="16146" width="11.140625" style="1" bestFit="1" customWidth="1"/>
    <col min="16147" max="16147" width="10.5703125" style="1" customWidth="1"/>
    <col min="16148" max="16384" width="9.140625" style="1"/>
  </cols>
  <sheetData>
    <row r="1" spans="1:39" ht="12.75" customHeight="1" x14ac:dyDescent="0.2">
      <c r="F1" s="174" t="s">
        <v>49</v>
      </c>
      <c r="G1" s="174" t="s">
        <v>48</v>
      </c>
      <c r="H1" s="174" t="s">
        <v>47</v>
      </c>
      <c r="I1" s="174" t="s">
        <v>46</v>
      </c>
      <c r="J1" s="174" t="s">
        <v>45</v>
      </c>
      <c r="K1" s="174" t="s">
        <v>44</v>
      </c>
      <c r="L1" s="174" t="s">
        <v>43</v>
      </c>
      <c r="M1" s="174" t="s">
        <v>42</v>
      </c>
      <c r="N1" s="174" t="s">
        <v>41</v>
      </c>
      <c r="O1" s="174" t="s">
        <v>40</v>
      </c>
      <c r="P1" s="174" t="s">
        <v>39</v>
      </c>
      <c r="Q1" s="174" t="s">
        <v>38</v>
      </c>
      <c r="R1" s="174" t="s">
        <v>37</v>
      </c>
    </row>
    <row r="2" spans="1:39" ht="12.75" customHeight="1" x14ac:dyDescent="0.2">
      <c r="A2" s="4"/>
      <c r="B2" s="139" t="s">
        <v>258</v>
      </c>
      <c r="C2" s="298">
        <f>STATS!D44</f>
        <v>21936</v>
      </c>
      <c r="F2" s="306">
        <f>'MO STATS'!E40</f>
        <v>1268</v>
      </c>
      <c r="G2" s="306">
        <f>'MO STATS'!F40</f>
        <v>1590</v>
      </c>
      <c r="H2" s="306">
        <f>'MO STATS'!G40</f>
        <v>1523</v>
      </c>
      <c r="I2" s="306">
        <f>'MO STATS'!H40</f>
        <v>1900</v>
      </c>
      <c r="J2" s="306">
        <f>'MO STATS'!I40</f>
        <v>2002</v>
      </c>
      <c r="K2" s="306">
        <f>'MO STATS'!J40</f>
        <v>2564</v>
      </c>
      <c r="L2" s="306">
        <f>'MO STATS'!K40</f>
        <v>1471</v>
      </c>
      <c r="M2" s="306">
        <f>'MO STATS'!L40</f>
        <v>1203</v>
      </c>
      <c r="N2" s="306">
        <f>'MO STATS'!M40</f>
        <v>1761</v>
      </c>
      <c r="O2" s="306">
        <f>'MO STATS'!N40</f>
        <v>2218</v>
      </c>
      <c r="P2" s="306">
        <f>'MO STATS'!O40</f>
        <v>2612</v>
      </c>
      <c r="Q2" s="306">
        <f>'MO STATS'!P40</f>
        <v>1824</v>
      </c>
      <c r="R2" s="96">
        <f>SUM(F2:Q2)</f>
        <v>21936</v>
      </c>
      <c r="S2" s="3">
        <f>C2-R2</f>
        <v>0</v>
      </c>
    </row>
    <row r="3" spans="1:39" ht="12.75" customHeight="1" x14ac:dyDescent="0.2">
      <c r="B3" s="139" t="s">
        <v>260</v>
      </c>
      <c r="C3" s="111">
        <f>STATS!D45</f>
        <v>38567</v>
      </c>
      <c r="F3" s="306">
        <f>'MO STATS'!E41</f>
        <v>3067</v>
      </c>
      <c r="G3" s="306">
        <f>'MO STATS'!F41</f>
        <v>3274</v>
      </c>
      <c r="H3" s="306">
        <f>'MO STATS'!G41</f>
        <v>2590</v>
      </c>
      <c r="I3" s="306">
        <f>'MO STATS'!H41</f>
        <v>2920</v>
      </c>
      <c r="J3" s="306">
        <f>'MO STATS'!I41</f>
        <v>3276</v>
      </c>
      <c r="K3" s="306">
        <f>'MO STATS'!J41</f>
        <v>3346</v>
      </c>
      <c r="L3" s="306">
        <f>'MO STATS'!K41</f>
        <v>3206</v>
      </c>
      <c r="M3" s="306">
        <f>'MO STATS'!L41</f>
        <v>3835</v>
      </c>
      <c r="N3" s="306">
        <f>'MO STATS'!M41</f>
        <v>3207</v>
      </c>
      <c r="O3" s="306">
        <f>'MO STATS'!N41</f>
        <v>3068</v>
      </c>
      <c r="P3" s="306">
        <f>'MO STATS'!O41</f>
        <v>3646</v>
      </c>
      <c r="Q3" s="306">
        <f>'MO STATS'!P41</f>
        <v>3132</v>
      </c>
      <c r="R3" s="96">
        <f>SUM(F3:Q3)</f>
        <v>38567</v>
      </c>
      <c r="S3" s="3">
        <f>C3-R3</f>
        <v>0</v>
      </c>
    </row>
    <row r="4" spans="1:39" s="5" customFormat="1" ht="12.75" customHeight="1" x14ac:dyDescent="0.2">
      <c r="A4" s="6"/>
      <c r="B4" s="139" t="s">
        <v>262</v>
      </c>
      <c r="C4" s="111">
        <f>C2+C3</f>
        <v>60503</v>
      </c>
      <c r="D4" s="111"/>
      <c r="E4" s="111"/>
      <c r="F4" s="306">
        <f>'MO STATS'!E42</f>
        <v>4335</v>
      </c>
      <c r="G4" s="306">
        <f>'MO STATS'!F42</f>
        <v>4864</v>
      </c>
      <c r="H4" s="306">
        <f>'MO STATS'!G42</f>
        <v>4113</v>
      </c>
      <c r="I4" s="306">
        <f>'MO STATS'!H42</f>
        <v>4820</v>
      </c>
      <c r="J4" s="306">
        <f>'MO STATS'!I42</f>
        <v>5278</v>
      </c>
      <c r="K4" s="306">
        <f>'MO STATS'!J42</f>
        <v>5910</v>
      </c>
      <c r="L4" s="306">
        <f>'MO STATS'!K42</f>
        <v>4677</v>
      </c>
      <c r="M4" s="306">
        <f>'MO STATS'!L42</f>
        <v>5038</v>
      </c>
      <c r="N4" s="306">
        <f>'MO STATS'!M42</f>
        <v>4968</v>
      </c>
      <c r="O4" s="306">
        <f>'MO STATS'!N42</f>
        <v>5286</v>
      </c>
      <c r="P4" s="306">
        <f>'MO STATS'!O42</f>
        <v>6258</v>
      </c>
      <c r="Q4" s="306">
        <f>'MO STATS'!P42</f>
        <v>4956</v>
      </c>
      <c r="R4" s="96">
        <f>SUM(F4:Q4)</f>
        <v>60503</v>
      </c>
      <c r="S4" s="3">
        <f>C4-R4</f>
        <v>0</v>
      </c>
      <c r="T4" s="6"/>
      <c r="U4" s="6"/>
      <c r="V4" s="6"/>
      <c r="W4" s="6"/>
      <c r="X4" s="6"/>
      <c r="Y4" s="6"/>
      <c r="Z4" s="6"/>
      <c r="AA4" s="6"/>
      <c r="AB4" s="6"/>
      <c r="AC4" s="6"/>
      <c r="AD4" s="6"/>
      <c r="AE4" s="6"/>
      <c r="AF4" s="6"/>
      <c r="AG4" s="6"/>
      <c r="AH4" s="6"/>
      <c r="AI4" s="6"/>
      <c r="AJ4" s="6"/>
      <c r="AK4" s="6"/>
      <c r="AL4" s="6"/>
      <c r="AM4" s="6"/>
    </row>
    <row r="5" spans="1:39" x14ac:dyDescent="0.2">
      <c r="B5" s="38" t="s">
        <v>940</v>
      </c>
      <c r="C5" s="482">
        <f>'[4]2017 FTEs'!$AS$51</f>
        <v>1.5</v>
      </c>
    </row>
    <row r="6" spans="1:39" x14ac:dyDescent="0.2">
      <c r="B6" s="38" t="s">
        <v>939</v>
      </c>
      <c r="C6" s="111">
        <f>C5*2080</f>
        <v>3120</v>
      </c>
      <c r="F6" s="421">
        <f>($C6/$R7)*F7</f>
        <v>264.98630136986304</v>
      </c>
      <c r="G6" s="421">
        <f t="shared" ref="G6:Q6" si="0">($C6/$R7)*G7</f>
        <v>256.43835616438355</v>
      </c>
      <c r="H6" s="421">
        <f t="shared" si="0"/>
        <v>264.98630136986304</v>
      </c>
      <c r="I6" s="421">
        <f t="shared" si="0"/>
        <v>264.98630136986304</v>
      </c>
      <c r="J6" s="421">
        <f t="shared" si="0"/>
        <v>239.34246575342468</v>
      </c>
      <c r="K6" s="421">
        <f t="shared" si="0"/>
        <v>264.98630136986304</v>
      </c>
      <c r="L6" s="421">
        <f t="shared" si="0"/>
        <v>256.43835616438355</v>
      </c>
      <c r="M6" s="421">
        <f t="shared" si="0"/>
        <v>264.98630136986304</v>
      </c>
      <c r="N6" s="421">
        <f t="shared" si="0"/>
        <v>256.43835616438355</v>
      </c>
      <c r="O6" s="421">
        <f t="shared" si="0"/>
        <v>264.98630136986304</v>
      </c>
      <c r="P6" s="421">
        <f t="shared" si="0"/>
        <v>264.98630136986304</v>
      </c>
      <c r="Q6" s="421">
        <f t="shared" si="0"/>
        <v>256.43835616438355</v>
      </c>
      <c r="R6" s="6">
        <f>SUM(F6:Q6)</f>
        <v>3120.0000000000005</v>
      </c>
      <c r="S6" s="3">
        <f>C6-R6</f>
        <v>0</v>
      </c>
    </row>
    <row r="7" spans="1:39" x14ac:dyDescent="0.2">
      <c r="F7" s="2">
        <v>31</v>
      </c>
      <c r="G7" s="2">
        <v>30</v>
      </c>
      <c r="H7" s="2">
        <v>31</v>
      </c>
      <c r="I7" s="2">
        <v>31</v>
      </c>
      <c r="J7" s="2">
        <v>28</v>
      </c>
      <c r="K7" s="2">
        <v>31</v>
      </c>
      <c r="L7" s="2">
        <v>30</v>
      </c>
      <c r="M7" s="2">
        <v>31</v>
      </c>
      <c r="N7" s="2">
        <v>30</v>
      </c>
      <c r="O7" s="2">
        <v>31</v>
      </c>
      <c r="P7" s="2">
        <v>31</v>
      </c>
      <c r="Q7" s="2">
        <v>30</v>
      </c>
      <c r="R7" s="6">
        <f t="shared" ref="R7" si="1">SUM(F7:Q7)</f>
        <v>365</v>
      </c>
    </row>
    <row r="8" spans="1:39" x14ac:dyDescent="0.2">
      <c r="A8" s="711" t="s">
        <v>35</v>
      </c>
      <c r="B8" s="711"/>
      <c r="C8" s="711"/>
      <c r="D8" s="711"/>
    </row>
    <row r="9" spans="1:39" x14ac:dyDescent="0.2">
      <c r="A9" s="21"/>
      <c r="B9" s="77" t="s">
        <v>457</v>
      </c>
      <c r="C9" s="78"/>
      <c r="D9" s="102" t="s">
        <v>458</v>
      </c>
    </row>
    <row r="10" spans="1:39" x14ac:dyDescent="0.2">
      <c r="A10" s="16"/>
      <c r="B10" s="29" t="s">
        <v>352</v>
      </c>
      <c r="C10" s="28">
        <f>D10*C$2</f>
        <v>406903.8260391932</v>
      </c>
      <c r="D10" s="13">
        <f>'[5]Central Supply'!$J$11</f>
        <v>18.549590902589042</v>
      </c>
      <c r="F10" s="376">
        <f>$D10*F$2</f>
        <v>23520.881264482905</v>
      </c>
      <c r="G10" s="376">
        <f t="shared" ref="G10:Q16" si="2">$D10*G$2</f>
        <v>29493.849535116577</v>
      </c>
      <c r="H10" s="376">
        <f t="shared" si="2"/>
        <v>28251.026944643112</v>
      </c>
      <c r="I10" s="376">
        <f t="shared" si="2"/>
        <v>35244.222714919182</v>
      </c>
      <c r="J10" s="376">
        <f t="shared" si="2"/>
        <v>37136.280986983264</v>
      </c>
      <c r="K10" s="376">
        <f t="shared" si="2"/>
        <v>47561.151074238303</v>
      </c>
      <c r="L10" s="376">
        <f t="shared" si="2"/>
        <v>27286.448217708479</v>
      </c>
      <c r="M10" s="376">
        <f t="shared" si="2"/>
        <v>22315.157855814618</v>
      </c>
      <c r="N10" s="376">
        <f t="shared" si="2"/>
        <v>32665.829579459303</v>
      </c>
      <c r="O10" s="376">
        <f t="shared" si="2"/>
        <v>41142.992621942496</v>
      </c>
      <c r="P10" s="376">
        <f t="shared" si="2"/>
        <v>48451.531437562575</v>
      </c>
      <c r="Q10" s="376">
        <f t="shared" si="2"/>
        <v>33834.45380632241</v>
      </c>
      <c r="R10" s="109">
        <f>SUM(F10:Q10)</f>
        <v>406903.8260391932</v>
      </c>
      <c r="S10" s="3">
        <f t="shared" ref="S10:S29" si="3">C10-R10</f>
        <v>0</v>
      </c>
    </row>
    <row r="11" spans="1:39" x14ac:dyDescent="0.2">
      <c r="A11" s="16"/>
      <c r="B11" s="29" t="s">
        <v>353</v>
      </c>
      <c r="C11" s="28">
        <f t="shared" ref="C11:C21" si="4">D11*C$2</f>
        <v>1763.4146760120154</v>
      </c>
      <c r="D11" s="13">
        <f>'[5]Central Supply'!$J$12</f>
        <v>8.0389071663567443E-2</v>
      </c>
      <c r="F11" s="376">
        <f t="shared" ref="F11:F16" si="5">$D11*F$2</f>
        <v>101.93334286940352</v>
      </c>
      <c r="G11" s="376">
        <f t="shared" si="2"/>
        <v>127.81862394507223</v>
      </c>
      <c r="H11" s="376">
        <f t="shared" si="2"/>
        <v>122.43255614361321</v>
      </c>
      <c r="I11" s="376">
        <f t="shared" si="2"/>
        <v>152.73923616077815</v>
      </c>
      <c r="J11" s="376">
        <f t="shared" si="2"/>
        <v>160.93892147046202</v>
      </c>
      <c r="K11" s="376">
        <f t="shared" si="2"/>
        <v>206.11757974538693</v>
      </c>
      <c r="L11" s="376">
        <f t="shared" si="2"/>
        <v>118.25232441710772</v>
      </c>
      <c r="M11" s="376">
        <f t="shared" si="2"/>
        <v>96.708053211271633</v>
      </c>
      <c r="N11" s="376">
        <f t="shared" si="2"/>
        <v>141.56515519954226</v>
      </c>
      <c r="O11" s="376">
        <f t="shared" si="2"/>
        <v>178.30296094979258</v>
      </c>
      <c r="P11" s="376">
        <f t="shared" si="2"/>
        <v>209.97625518523816</v>
      </c>
      <c r="Q11" s="376">
        <f t="shared" si="2"/>
        <v>146.62966671434702</v>
      </c>
      <c r="R11" s="109">
        <f t="shared" ref="R11:R16" si="6">SUM(F11:Q11)</f>
        <v>1763.4146760120154</v>
      </c>
      <c r="S11" s="3">
        <f t="shared" si="3"/>
        <v>0</v>
      </c>
    </row>
    <row r="12" spans="1:39" x14ac:dyDescent="0.2">
      <c r="A12" s="16"/>
      <c r="B12" s="29" t="s">
        <v>355</v>
      </c>
      <c r="C12" s="28">
        <f t="shared" si="4"/>
        <v>42544.575482763554</v>
      </c>
      <c r="D12" s="13">
        <f>'[5]Central Supply'!$J$13</f>
        <v>1.9394864826205123</v>
      </c>
      <c r="F12" s="376">
        <f t="shared" si="5"/>
        <v>2459.2688599628095</v>
      </c>
      <c r="G12" s="376">
        <f t="shared" si="2"/>
        <v>3083.7835073666147</v>
      </c>
      <c r="H12" s="376">
        <f t="shared" si="2"/>
        <v>2953.83791303104</v>
      </c>
      <c r="I12" s="376">
        <f t="shared" si="2"/>
        <v>3685.0243169789733</v>
      </c>
      <c r="J12" s="376">
        <f t="shared" si="2"/>
        <v>3882.8519382062655</v>
      </c>
      <c r="K12" s="376">
        <f t="shared" si="2"/>
        <v>4972.8433414389938</v>
      </c>
      <c r="L12" s="376">
        <f t="shared" si="2"/>
        <v>2852.9846159347735</v>
      </c>
      <c r="M12" s="376">
        <f t="shared" si="2"/>
        <v>2333.2022385924761</v>
      </c>
      <c r="N12" s="376">
        <f t="shared" si="2"/>
        <v>3415.4356958947219</v>
      </c>
      <c r="O12" s="376">
        <f t="shared" si="2"/>
        <v>4301.7810184522959</v>
      </c>
      <c r="P12" s="376">
        <f t="shared" si="2"/>
        <v>5065.9386926047782</v>
      </c>
      <c r="Q12" s="376">
        <f t="shared" si="2"/>
        <v>3537.6233442998146</v>
      </c>
      <c r="R12" s="109">
        <f t="shared" si="6"/>
        <v>42544.575482763554</v>
      </c>
      <c r="S12" s="3">
        <f t="shared" si="3"/>
        <v>0</v>
      </c>
    </row>
    <row r="13" spans="1:39" x14ac:dyDescent="0.2">
      <c r="A13" s="16"/>
      <c r="B13" s="29" t="s">
        <v>370</v>
      </c>
      <c r="C13" s="28">
        <f t="shared" si="4"/>
        <v>0</v>
      </c>
      <c r="D13" s="13"/>
      <c r="F13" s="376">
        <f t="shared" si="5"/>
        <v>0</v>
      </c>
      <c r="G13" s="376">
        <f t="shared" si="2"/>
        <v>0</v>
      </c>
      <c r="H13" s="376">
        <f t="shared" si="2"/>
        <v>0</v>
      </c>
      <c r="I13" s="376">
        <f t="shared" si="2"/>
        <v>0</v>
      </c>
      <c r="J13" s="376">
        <f t="shared" si="2"/>
        <v>0</v>
      </c>
      <c r="K13" s="376">
        <f t="shared" si="2"/>
        <v>0</v>
      </c>
      <c r="L13" s="376">
        <f t="shared" si="2"/>
        <v>0</v>
      </c>
      <c r="M13" s="376">
        <f t="shared" si="2"/>
        <v>0</v>
      </c>
      <c r="N13" s="376">
        <f t="shared" si="2"/>
        <v>0</v>
      </c>
      <c r="O13" s="376">
        <f t="shared" si="2"/>
        <v>0</v>
      </c>
      <c r="P13" s="376">
        <f t="shared" si="2"/>
        <v>0</v>
      </c>
      <c r="Q13" s="376">
        <f t="shared" si="2"/>
        <v>0</v>
      </c>
      <c r="R13" s="109">
        <f t="shared" si="6"/>
        <v>0</v>
      </c>
      <c r="S13" s="3">
        <f t="shared" si="3"/>
        <v>0</v>
      </c>
    </row>
    <row r="14" spans="1:39" x14ac:dyDescent="0.2">
      <c r="A14" s="16"/>
      <c r="B14" s="29" t="s">
        <v>356</v>
      </c>
      <c r="C14" s="28">
        <f t="shared" si="4"/>
        <v>44425.81261622085</v>
      </c>
      <c r="D14" s="13">
        <f>'[5]Central Supply'!$J$14+'[5]Central Supply'!$J$15</f>
        <v>2.025246745816049</v>
      </c>
      <c r="F14" s="376">
        <f t="shared" si="5"/>
        <v>2568.0128736947499</v>
      </c>
      <c r="G14" s="376">
        <f t="shared" si="2"/>
        <v>3220.1423258475179</v>
      </c>
      <c r="H14" s="376">
        <f t="shared" si="2"/>
        <v>3084.4507938778424</v>
      </c>
      <c r="I14" s="376">
        <f t="shared" si="2"/>
        <v>3847.9688170504933</v>
      </c>
      <c r="J14" s="376">
        <f t="shared" si="2"/>
        <v>4054.5439851237302</v>
      </c>
      <c r="K14" s="376">
        <f t="shared" si="2"/>
        <v>5192.7326562723501</v>
      </c>
      <c r="L14" s="376">
        <f t="shared" si="2"/>
        <v>2979.1379630954079</v>
      </c>
      <c r="M14" s="376">
        <f t="shared" si="2"/>
        <v>2436.371835216707</v>
      </c>
      <c r="N14" s="376">
        <f t="shared" si="2"/>
        <v>3566.4595193820624</v>
      </c>
      <c r="O14" s="376">
        <f t="shared" si="2"/>
        <v>4491.997282219997</v>
      </c>
      <c r="P14" s="376">
        <f t="shared" si="2"/>
        <v>5289.9445000715205</v>
      </c>
      <c r="Q14" s="376">
        <f t="shared" si="2"/>
        <v>3694.0500643684736</v>
      </c>
      <c r="R14" s="109">
        <f t="shared" si="6"/>
        <v>44425.812616220857</v>
      </c>
      <c r="S14" s="3">
        <f t="shared" si="3"/>
        <v>0</v>
      </c>
    </row>
    <row r="15" spans="1:39" x14ac:dyDescent="0.2">
      <c r="A15" s="16"/>
      <c r="B15" s="29" t="s">
        <v>354</v>
      </c>
      <c r="C15" s="28">
        <f t="shared" si="4"/>
        <v>107834.84697468171</v>
      </c>
      <c r="D15" s="13">
        <f>'[5]Central Supply'!$J$16</f>
        <v>4.9158847089114568</v>
      </c>
      <c r="F15" s="376">
        <f t="shared" si="5"/>
        <v>6233.3418108997275</v>
      </c>
      <c r="G15" s="376">
        <f t="shared" si="2"/>
        <v>7816.2566871692161</v>
      </c>
      <c r="H15" s="376">
        <f t="shared" si="2"/>
        <v>7486.8924116721491</v>
      </c>
      <c r="I15" s="376">
        <f t="shared" si="2"/>
        <v>9340.1809469317686</v>
      </c>
      <c r="J15" s="376">
        <f t="shared" si="2"/>
        <v>9841.6011872407362</v>
      </c>
      <c r="K15" s="376">
        <f t="shared" si="2"/>
        <v>12604.328393648975</v>
      </c>
      <c r="L15" s="376">
        <f t="shared" si="2"/>
        <v>7231.2664068087533</v>
      </c>
      <c r="M15" s="376">
        <f t="shared" si="2"/>
        <v>5913.8093048204828</v>
      </c>
      <c r="N15" s="376">
        <f t="shared" si="2"/>
        <v>8656.8729723930755</v>
      </c>
      <c r="O15" s="376">
        <f t="shared" si="2"/>
        <v>10903.432284365612</v>
      </c>
      <c r="P15" s="376">
        <f t="shared" si="2"/>
        <v>12840.290859676725</v>
      </c>
      <c r="Q15" s="376">
        <f t="shared" si="2"/>
        <v>8966.5737090544972</v>
      </c>
      <c r="R15" s="109">
        <f t="shared" si="6"/>
        <v>107834.84697468171</v>
      </c>
      <c r="S15" s="3">
        <f t="shared" si="3"/>
        <v>0</v>
      </c>
    </row>
    <row r="16" spans="1:39" x14ac:dyDescent="0.2">
      <c r="A16" s="16"/>
      <c r="B16" s="29" t="s">
        <v>357</v>
      </c>
      <c r="C16" s="28">
        <f t="shared" si="4"/>
        <v>22497.656987555431</v>
      </c>
      <c r="D16" s="13">
        <f>'[5]Central Supply'!$J$17</f>
        <v>1.0256043484480046</v>
      </c>
      <c r="F16" s="376">
        <f t="shared" si="5"/>
        <v>1300.4663138320698</v>
      </c>
      <c r="G16" s="376">
        <f t="shared" si="2"/>
        <v>1630.7109140323273</v>
      </c>
      <c r="H16" s="376">
        <f t="shared" si="2"/>
        <v>1561.995422686311</v>
      </c>
      <c r="I16" s="376">
        <f t="shared" si="2"/>
        <v>1948.6482620512088</v>
      </c>
      <c r="J16" s="376">
        <f t="shared" si="2"/>
        <v>2053.2599055929054</v>
      </c>
      <c r="K16" s="376">
        <f t="shared" si="2"/>
        <v>2629.6495494206838</v>
      </c>
      <c r="L16" s="376">
        <f t="shared" si="2"/>
        <v>1508.6639965670149</v>
      </c>
      <c r="M16" s="376">
        <f t="shared" si="2"/>
        <v>1233.8020311829496</v>
      </c>
      <c r="N16" s="376">
        <f t="shared" si="2"/>
        <v>1806.0892576169363</v>
      </c>
      <c r="O16" s="376">
        <f t="shared" si="2"/>
        <v>2274.7904448576742</v>
      </c>
      <c r="P16" s="376">
        <f t="shared" si="2"/>
        <v>2678.878558146188</v>
      </c>
      <c r="Q16" s="376">
        <f t="shared" si="2"/>
        <v>1870.7023315691604</v>
      </c>
      <c r="R16" s="109">
        <f t="shared" si="6"/>
        <v>22497.656987555427</v>
      </c>
      <c r="S16" s="3">
        <f t="shared" si="3"/>
        <v>0</v>
      </c>
    </row>
    <row r="17" spans="1:39" x14ac:dyDescent="0.2">
      <c r="A17" s="87">
        <v>31110.041000000001</v>
      </c>
      <c r="B17" s="161" t="s">
        <v>473</v>
      </c>
      <c r="C17" s="293">
        <f>SUM(C10:C16)</f>
        <v>625970.13277642673</v>
      </c>
      <c r="D17" s="291"/>
      <c r="E17" s="297"/>
      <c r="F17" s="369">
        <f>SUM(F10:F16)</f>
        <v>36183.904465741667</v>
      </c>
      <c r="G17" s="369">
        <f t="shared" ref="G17:Q17" si="7">SUM(G10:G16)</f>
        <v>45372.56159347733</v>
      </c>
      <c r="H17" s="369">
        <f t="shared" si="7"/>
        <v>43460.636042054066</v>
      </c>
      <c r="I17" s="369">
        <f t="shared" si="7"/>
        <v>54218.784294092409</v>
      </c>
      <c r="J17" s="369">
        <f t="shared" si="7"/>
        <v>57129.476924617367</v>
      </c>
      <c r="K17" s="369">
        <f t="shared" si="7"/>
        <v>73166.822594764701</v>
      </c>
      <c r="L17" s="369">
        <f t="shared" si="7"/>
        <v>41976.753524531538</v>
      </c>
      <c r="M17" s="369">
        <f t="shared" si="7"/>
        <v>34329.051318838508</v>
      </c>
      <c r="N17" s="369">
        <f t="shared" si="7"/>
        <v>50252.252179945644</v>
      </c>
      <c r="O17" s="369">
        <f t="shared" si="7"/>
        <v>63293.296612787868</v>
      </c>
      <c r="P17" s="369">
        <f t="shared" si="7"/>
        <v>74536.560303247024</v>
      </c>
      <c r="Q17" s="369">
        <f t="shared" si="7"/>
        <v>52050.032922328697</v>
      </c>
      <c r="R17" s="369">
        <f t="shared" ref="R17:R34" si="8">SUM(F17:Q17)</f>
        <v>625970.13277642685</v>
      </c>
      <c r="S17" s="292">
        <f t="shared" si="3"/>
        <v>0</v>
      </c>
    </row>
    <row r="18" spans="1:39" x14ac:dyDescent="0.2">
      <c r="A18" s="16"/>
      <c r="B18" s="29" t="s">
        <v>424</v>
      </c>
      <c r="C18" s="28">
        <f t="shared" si="4"/>
        <v>269537.30567872978</v>
      </c>
      <c r="D18" s="13">
        <f>'[5]Central Supply'!$J$21</f>
        <v>12.287440995565728</v>
      </c>
      <c r="F18" s="376">
        <f>$D18*F$2</f>
        <v>15580.475182377342</v>
      </c>
      <c r="G18" s="376">
        <f t="shared" ref="G18:Q24" si="9">$D18*G$2</f>
        <v>19537.031182949508</v>
      </c>
      <c r="H18" s="376">
        <f t="shared" si="9"/>
        <v>18713.772636246602</v>
      </c>
      <c r="I18" s="376">
        <f t="shared" si="9"/>
        <v>23346.137891574883</v>
      </c>
      <c r="J18" s="376">
        <f t="shared" si="9"/>
        <v>24599.456873122588</v>
      </c>
      <c r="K18" s="376">
        <f t="shared" si="9"/>
        <v>31504.998712630528</v>
      </c>
      <c r="L18" s="376">
        <f t="shared" si="9"/>
        <v>18074.825704477185</v>
      </c>
      <c r="M18" s="376">
        <f t="shared" si="9"/>
        <v>14781.79151766557</v>
      </c>
      <c r="N18" s="376">
        <f t="shared" si="9"/>
        <v>21638.183593191246</v>
      </c>
      <c r="O18" s="376">
        <f t="shared" si="9"/>
        <v>27253.544128164784</v>
      </c>
      <c r="P18" s="376">
        <f t="shared" si="9"/>
        <v>32094.795880417681</v>
      </c>
      <c r="Q18" s="376">
        <f t="shared" si="9"/>
        <v>22412.292375911886</v>
      </c>
      <c r="R18" s="109">
        <f t="shared" si="8"/>
        <v>269537.30567872978</v>
      </c>
      <c r="S18" s="3">
        <f t="shared" si="3"/>
        <v>0</v>
      </c>
    </row>
    <row r="19" spans="1:39" x14ac:dyDescent="0.2">
      <c r="A19" s="16"/>
      <c r="B19" s="29" t="s">
        <v>425</v>
      </c>
      <c r="C19" s="28">
        <f t="shared" si="4"/>
        <v>0</v>
      </c>
      <c r="D19" s="13">
        <v>0</v>
      </c>
      <c r="F19" s="376">
        <f t="shared" ref="F19:F24" si="10">$D19*F$2</f>
        <v>0</v>
      </c>
      <c r="G19" s="376">
        <f t="shared" si="9"/>
        <v>0</v>
      </c>
      <c r="H19" s="376">
        <f t="shared" si="9"/>
        <v>0</v>
      </c>
      <c r="I19" s="376">
        <f t="shared" si="9"/>
        <v>0</v>
      </c>
      <c r="J19" s="376">
        <f t="shared" si="9"/>
        <v>0</v>
      </c>
      <c r="K19" s="376">
        <f t="shared" si="9"/>
        <v>0</v>
      </c>
      <c r="L19" s="376">
        <f t="shared" si="9"/>
        <v>0</v>
      </c>
      <c r="M19" s="376">
        <f t="shared" si="9"/>
        <v>0</v>
      </c>
      <c r="N19" s="376">
        <f t="shared" si="9"/>
        <v>0</v>
      </c>
      <c r="O19" s="376">
        <f t="shared" si="9"/>
        <v>0</v>
      </c>
      <c r="P19" s="376">
        <f t="shared" si="9"/>
        <v>0</v>
      </c>
      <c r="Q19" s="376">
        <f t="shared" si="9"/>
        <v>0</v>
      </c>
      <c r="R19" s="109">
        <f t="shared" si="8"/>
        <v>0</v>
      </c>
      <c r="S19" s="3">
        <f t="shared" si="3"/>
        <v>0</v>
      </c>
    </row>
    <row r="20" spans="1:39" x14ac:dyDescent="0.2">
      <c r="A20" s="16"/>
      <c r="B20" s="29" t="s">
        <v>426</v>
      </c>
      <c r="C20" s="28">
        <f t="shared" si="4"/>
        <v>84.719210413388637</v>
      </c>
      <c r="D20" s="13">
        <f>'[5]Central Supply'!$J$23</f>
        <v>3.8621084251180089E-3</v>
      </c>
      <c r="E20" s="7"/>
      <c r="F20" s="376">
        <f t="shared" si="10"/>
        <v>4.8971534830496353</v>
      </c>
      <c r="G20" s="376">
        <f t="shared" si="9"/>
        <v>6.1407523959376338</v>
      </c>
      <c r="H20" s="376">
        <f t="shared" si="9"/>
        <v>5.8819911314547273</v>
      </c>
      <c r="I20" s="376">
        <f t="shared" si="9"/>
        <v>7.3380060077242169</v>
      </c>
      <c r="J20" s="376">
        <f t="shared" si="9"/>
        <v>7.7319410670862538</v>
      </c>
      <c r="K20" s="376">
        <f t="shared" si="9"/>
        <v>9.9024460020025753</v>
      </c>
      <c r="L20" s="376">
        <f t="shared" si="9"/>
        <v>5.6811614933485908</v>
      </c>
      <c r="M20" s="376">
        <f t="shared" si="9"/>
        <v>4.6461164354169648</v>
      </c>
      <c r="N20" s="376">
        <f t="shared" si="9"/>
        <v>6.8011729366328133</v>
      </c>
      <c r="O20" s="376">
        <f t="shared" si="9"/>
        <v>8.5661564869117441</v>
      </c>
      <c r="P20" s="376">
        <f t="shared" si="9"/>
        <v>10.087827206408239</v>
      </c>
      <c r="Q20" s="376">
        <f t="shared" si="9"/>
        <v>7.0444857674152486</v>
      </c>
      <c r="R20" s="109">
        <f t="shared" si="8"/>
        <v>84.719210413388637</v>
      </c>
      <c r="S20" s="3">
        <f t="shared" si="3"/>
        <v>0</v>
      </c>
    </row>
    <row r="21" spans="1:39" s="5" customFormat="1" x14ac:dyDescent="0.2">
      <c r="A21" s="87"/>
      <c r="B21" s="29" t="s">
        <v>427</v>
      </c>
      <c r="C21" s="28">
        <f t="shared" si="4"/>
        <v>0</v>
      </c>
      <c r="D21" s="27"/>
      <c r="E21" s="104"/>
      <c r="F21" s="376">
        <f t="shared" si="10"/>
        <v>0</v>
      </c>
      <c r="G21" s="376">
        <f t="shared" si="9"/>
        <v>0</v>
      </c>
      <c r="H21" s="376">
        <f t="shared" si="9"/>
        <v>0</v>
      </c>
      <c r="I21" s="376">
        <f t="shared" si="9"/>
        <v>0</v>
      </c>
      <c r="J21" s="376">
        <f t="shared" si="9"/>
        <v>0</v>
      </c>
      <c r="K21" s="376">
        <f t="shared" si="9"/>
        <v>0</v>
      </c>
      <c r="L21" s="376">
        <f t="shared" si="9"/>
        <v>0</v>
      </c>
      <c r="M21" s="376">
        <f t="shared" si="9"/>
        <v>0</v>
      </c>
      <c r="N21" s="376">
        <f t="shared" si="9"/>
        <v>0</v>
      </c>
      <c r="O21" s="376">
        <f t="shared" si="9"/>
        <v>0</v>
      </c>
      <c r="P21" s="376">
        <f t="shared" si="9"/>
        <v>0</v>
      </c>
      <c r="Q21" s="376">
        <f t="shared" si="9"/>
        <v>0</v>
      </c>
      <c r="R21" s="376">
        <f t="shared" si="8"/>
        <v>0</v>
      </c>
      <c r="S21" s="3">
        <f t="shared" si="3"/>
        <v>0</v>
      </c>
      <c r="T21" s="6"/>
      <c r="U21" s="6"/>
      <c r="V21" s="6"/>
      <c r="W21" s="6"/>
      <c r="X21" s="6"/>
      <c r="Y21" s="6"/>
      <c r="Z21" s="6"/>
      <c r="AA21" s="6"/>
      <c r="AB21" s="6"/>
      <c r="AC21" s="6"/>
      <c r="AD21" s="6"/>
      <c r="AE21" s="6"/>
      <c r="AF21" s="6"/>
      <c r="AG21" s="6"/>
      <c r="AH21" s="6"/>
      <c r="AI21" s="6"/>
      <c r="AJ21" s="6"/>
      <c r="AK21" s="6"/>
      <c r="AL21" s="6"/>
      <c r="AM21" s="6"/>
    </row>
    <row r="22" spans="1:39" x14ac:dyDescent="0.2">
      <c r="A22" s="16"/>
      <c r="B22" s="29" t="s">
        <v>428</v>
      </c>
      <c r="C22" s="28">
        <f>D22*C$2</f>
        <v>15.688742669146043</v>
      </c>
      <c r="D22" s="13">
        <f>'[5]Central Supply'!$J$25</f>
        <v>7.1520526391074233E-4</v>
      </c>
      <c r="F22" s="376">
        <f t="shared" si="10"/>
        <v>0.90688027463882126</v>
      </c>
      <c r="G22" s="376">
        <f t="shared" si="9"/>
        <v>1.1371763696180803</v>
      </c>
      <c r="H22" s="376">
        <f t="shared" si="9"/>
        <v>1.0892576169360606</v>
      </c>
      <c r="I22" s="376">
        <f t="shared" si="9"/>
        <v>1.3588900014304104</v>
      </c>
      <c r="J22" s="376">
        <f t="shared" si="9"/>
        <v>1.4318409383493063</v>
      </c>
      <c r="K22" s="376">
        <f t="shared" si="9"/>
        <v>1.8337862966671434</v>
      </c>
      <c r="L22" s="376">
        <f t="shared" si="9"/>
        <v>1.0520669432127019</v>
      </c>
      <c r="M22" s="376">
        <f t="shared" si="9"/>
        <v>0.86039193248462298</v>
      </c>
      <c r="N22" s="376">
        <f t="shared" si="9"/>
        <v>1.2594764697468173</v>
      </c>
      <c r="O22" s="376">
        <f t="shared" si="9"/>
        <v>1.5863252753540265</v>
      </c>
      <c r="P22" s="376">
        <f t="shared" si="9"/>
        <v>1.868116149334859</v>
      </c>
      <c r="Q22" s="376">
        <f t="shared" si="9"/>
        <v>1.3045344013731941</v>
      </c>
      <c r="R22" s="109">
        <f t="shared" si="8"/>
        <v>15.688742669146043</v>
      </c>
      <c r="S22" s="3">
        <f t="shared" si="3"/>
        <v>0</v>
      </c>
    </row>
    <row r="23" spans="1:39" x14ac:dyDescent="0.2">
      <c r="A23" s="16"/>
      <c r="B23" s="29" t="s">
        <v>429</v>
      </c>
      <c r="C23" s="28">
        <f t="shared" ref="C23:C24" si="11">D23*C$2</f>
        <v>171.00729509369188</v>
      </c>
      <c r="D23" s="13">
        <f>'[5]Central Supply'!$J$26</f>
        <v>7.795737376627092E-3</v>
      </c>
      <c r="F23" s="376">
        <f t="shared" si="10"/>
        <v>9.8849949935631525</v>
      </c>
      <c r="G23" s="376">
        <f t="shared" si="9"/>
        <v>12.395222428837076</v>
      </c>
      <c r="H23" s="376">
        <f t="shared" si="9"/>
        <v>11.872908024603062</v>
      </c>
      <c r="I23" s="376">
        <f t="shared" si="9"/>
        <v>14.811901015591475</v>
      </c>
      <c r="J23" s="376">
        <f t="shared" si="9"/>
        <v>15.607066228007438</v>
      </c>
      <c r="K23" s="376">
        <f t="shared" si="9"/>
        <v>19.988270633671863</v>
      </c>
      <c r="L23" s="376">
        <f t="shared" si="9"/>
        <v>11.467529681018453</v>
      </c>
      <c r="M23" s="376">
        <f t="shared" si="9"/>
        <v>9.3782720640823918</v>
      </c>
      <c r="N23" s="376">
        <f t="shared" si="9"/>
        <v>13.728293520240308</v>
      </c>
      <c r="O23" s="376">
        <f t="shared" si="9"/>
        <v>17.290945501358891</v>
      </c>
      <c r="P23" s="376">
        <f t="shared" si="9"/>
        <v>20.362466027749964</v>
      </c>
      <c r="Q23" s="376">
        <f t="shared" si="9"/>
        <v>14.219424974967815</v>
      </c>
      <c r="R23" s="109">
        <f t="shared" si="8"/>
        <v>171.00729509369188</v>
      </c>
      <c r="S23" s="3">
        <f t="shared" si="3"/>
        <v>0</v>
      </c>
    </row>
    <row r="24" spans="1:39" x14ac:dyDescent="0.2">
      <c r="A24" s="16"/>
      <c r="B24" s="29" t="s">
        <v>430</v>
      </c>
      <c r="C24" s="28">
        <f t="shared" si="11"/>
        <v>94.132456014876269</v>
      </c>
      <c r="D24" s="13">
        <f>'[5]Central Supply'!$J$27</f>
        <v>4.2912315834644542E-3</v>
      </c>
      <c r="F24" s="376">
        <f t="shared" si="10"/>
        <v>5.4412816478329278</v>
      </c>
      <c r="G24" s="376">
        <f t="shared" si="9"/>
        <v>6.823058217708482</v>
      </c>
      <c r="H24" s="376">
        <f t="shared" si="9"/>
        <v>6.5355457016163641</v>
      </c>
      <c r="I24" s="376">
        <f t="shared" si="9"/>
        <v>8.1533400085824628</v>
      </c>
      <c r="J24" s="376">
        <f t="shared" si="9"/>
        <v>8.591045630095838</v>
      </c>
      <c r="K24" s="376">
        <f t="shared" si="9"/>
        <v>11.002717780002861</v>
      </c>
      <c r="L24" s="376">
        <f t="shared" si="9"/>
        <v>6.3124016592762118</v>
      </c>
      <c r="M24" s="376">
        <f t="shared" si="9"/>
        <v>5.1623515949077383</v>
      </c>
      <c r="N24" s="376">
        <f t="shared" si="9"/>
        <v>7.5568588184809036</v>
      </c>
      <c r="O24" s="376">
        <f t="shared" si="9"/>
        <v>9.5179516521241592</v>
      </c>
      <c r="P24" s="376">
        <f t="shared" si="9"/>
        <v>11.208696896009155</v>
      </c>
      <c r="Q24" s="376">
        <f t="shared" si="9"/>
        <v>7.8272064082391646</v>
      </c>
      <c r="R24" s="109">
        <f t="shared" si="8"/>
        <v>94.132456014876254</v>
      </c>
      <c r="S24" s="3">
        <f t="shared" si="3"/>
        <v>0</v>
      </c>
    </row>
    <row r="25" spans="1:39" x14ac:dyDescent="0.2">
      <c r="A25" s="87">
        <v>31111.041000000001</v>
      </c>
      <c r="B25" s="161" t="s">
        <v>474</v>
      </c>
      <c r="C25" s="293">
        <f>SUM(C18:C24)</f>
        <v>269902.85338292085</v>
      </c>
      <c r="D25" s="291"/>
      <c r="E25" s="297"/>
      <c r="F25" s="369">
        <f>SUM(F18:F24)</f>
        <v>15601.605492776425</v>
      </c>
      <c r="G25" s="369">
        <f t="shared" ref="G25:Q25" si="12">SUM(G18:G24)</f>
        <v>19563.527392361611</v>
      </c>
      <c r="H25" s="369">
        <f t="shared" si="12"/>
        <v>18739.152338721211</v>
      </c>
      <c r="I25" s="369">
        <f t="shared" si="12"/>
        <v>23377.80002860821</v>
      </c>
      <c r="J25" s="369">
        <f t="shared" si="12"/>
        <v>24632.818766986125</v>
      </c>
      <c r="K25" s="369">
        <f t="shared" si="12"/>
        <v>31547.72593334287</v>
      </c>
      <c r="L25" s="369">
        <f t="shared" si="12"/>
        <v>18099.338864254045</v>
      </c>
      <c r="M25" s="369">
        <f t="shared" si="12"/>
        <v>14801.838649692463</v>
      </c>
      <c r="N25" s="369">
        <f t="shared" si="12"/>
        <v>21667.529394936348</v>
      </c>
      <c r="O25" s="369">
        <f t="shared" si="12"/>
        <v>27290.505507080532</v>
      </c>
      <c r="P25" s="369">
        <f t="shared" si="12"/>
        <v>32138.322986697181</v>
      </c>
      <c r="Q25" s="369">
        <f t="shared" si="12"/>
        <v>22442.688027463879</v>
      </c>
      <c r="R25" s="369">
        <f t="shared" si="8"/>
        <v>269902.85338292085</v>
      </c>
      <c r="S25" s="292">
        <f t="shared" si="3"/>
        <v>0</v>
      </c>
    </row>
    <row r="26" spans="1:39" x14ac:dyDescent="0.2">
      <c r="A26" s="16"/>
      <c r="B26" s="29" t="s">
        <v>358</v>
      </c>
      <c r="C26" s="28">
        <f t="shared" ref="C26:C32" si="13">D26*C$3</f>
        <v>567830.05484011967</v>
      </c>
      <c r="D26" s="13">
        <f>'[5]Central Supply'!$J$31</f>
        <v>14.723210382973001</v>
      </c>
      <c r="F26" s="376">
        <f>$D26*F$3</f>
        <v>45156.086244578197</v>
      </c>
      <c r="G26" s="376">
        <f t="shared" ref="G26:Q32" si="14">$D26*G$3</f>
        <v>48203.790793853601</v>
      </c>
      <c r="H26" s="376">
        <f t="shared" si="14"/>
        <v>38133.11489190007</v>
      </c>
      <c r="I26" s="376">
        <f t="shared" si="14"/>
        <v>42991.774318281161</v>
      </c>
      <c r="J26" s="376">
        <f t="shared" si="14"/>
        <v>48233.237214619548</v>
      </c>
      <c r="K26" s="376">
        <f t="shared" si="14"/>
        <v>49263.861941427662</v>
      </c>
      <c r="L26" s="376">
        <f t="shared" si="14"/>
        <v>47202.612487811442</v>
      </c>
      <c r="M26" s="376">
        <f t="shared" si="14"/>
        <v>56463.51181870146</v>
      </c>
      <c r="N26" s="376">
        <f t="shared" si="14"/>
        <v>47217.335698194416</v>
      </c>
      <c r="O26" s="376">
        <f t="shared" si="14"/>
        <v>45170.809454961163</v>
      </c>
      <c r="P26" s="376">
        <f t="shared" si="14"/>
        <v>53680.825056319562</v>
      </c>
      <c r="Q26" s="376">
        <f t="shared" si="14"/>
        <v>46113.094919471441</v>
      </c>
      <c r="R26" s="109">
        <f t="shared" si="8"/>
        <v>567830.05484011967</v>
      </c>
      <c r="S26" s="3">
        <f t="shared" si="3"/>
        <v>0</v>
      </c>
    </row>
    <row r="27" spans="1:39" x14ac:dyDescent="0.2">
      <c r="A27" s="16"/>
      <c r="B27" s="29" t="s">
        <v>359</v>
      </c>
      <c r="C27" s="28">
        <f t="shared" si="13"/>
        <v>39823.432746040824</v>
      </c>
      <c r="D27" s="13">
        <f>'[5]Central Supply'!$J$32</f>
        <v>1.0325779227329277</v>
      </c>
      <c r="F27" s="376">
        <f t="shared" ref="F27:F32" si="15">$D27*F$3</f>
        <v>3166.9164890218894</v>
      </c>
      <c r="G27" s="376">
        <f t="shared" si="14"/>
        <v>3380.6601190276051</v>
      </c>
      <c r="H27" s="376">
        <f t="shared" si="14"/>
        <v>2674.3768198782827</v>
      </c>
      <c r="I27" s="376">
        <f t="shared" si="14"/>
        <v>3015.127534380149</v>
      </c>
      <c r="J27" s="376">
        <f t="shared" si="14"/>
        <v>3382.7252748730712</v>
      </c>
      <c r="K27" s="376">
        <f t="shared" si="14"/>
        <v>3455.0057294643761</v>
      </c>
      <c r="L27" s="376">
        <f t="shared" si="14"/>
        <v>3310.4448202817662</v>
      </c>
      <c r="M27" s="376">
        <f t="shared" si="14"/>
        <v>3959.9363336807778</v>
      </c>
      <c r="N27" s="376">
        <f t="shared" si="14"/>
        <v>3311.477398204499</v>
      </c>
      <c r="O27" s="376">
        <f t="shared" si="14"/>
        <v>3167.9490669446222</v>
      </c>
      <c r="P27" s="376">
        <f t="shared" si="14"/>
        <v>3764.7791062842543</v>
      </c>
      <c r="Q27" s="376">
        <f t="shared" si="14"/>
        <v>3234.0340539995295</v>
      </c>
      <c r="R27" s="109">
        <f t="shared" si="8"/>
        <v>39823.432746040824</v>
      </c>
      <c r="S27" s="3">
        <f t="shared" si="3"/>
        <v>0</v>
      </c>
    </row>
    <row r="28" spans="1:39" x14ac:dyDescent="0.2">
      <c r="A28" s="16"/>
      <c r="B28" s="29" t="s">
        <v>372</v>
      </c>
      <c r="C28" s="28">
        <f t="shared" si="13"/>
        <v>227414.27516290642</v>
      </c>
      <c r="D28" s="13">
        <f>'[5]Central Supply'!$J$33</f>
        <v>5.8966026697152074</v>
      </c>
      <c r="F28" s="376">
        <f t="shared" si="15"/>
        <v>18084.88038801654</v>
      </c>
      <c r="G28" s="376">
        <f t="shared" si="14"/>
        <v>19305.477140647588</v>
      </c>
      <c r="H28" s="376">
        <f t="shared" si="14"/>
        <v>15272.200914562387</v>
      </c>
      <c r="I28" s="376">
        <f t="shared" si="14"/>
        <v>17218.079795568407</v>
      </c>
      <c r="J28" s="376">
        <f t="shared" si="14"/>
        <v>19317.270345987021</v>
      </c>
      <c r="K28" s="376">
        <f t="shared" si="14"/>
        <v>19730.032532867084</v>
      </c>
      <c r="L28" s="376">
        <f t="shared" si="14"/>
        <v>18904.508159106954</v>
      </c>
      <c r="M28" s="376">
        <f t="shared" si="14"/>
        <v>22613.471238357819</v>
      </c>
      <c r="N28" s="376">
        <f t="shared" si="14"/>
        <v>18910.40476177667</v>
      </c>
      <c r="O28" s="376">
        <f t="shared" si="14"/>
        <v>18090.776990686256</v>
      </c>
      <c r="P28" s="376">
        <f t="shared" si="14"/>
        <v>21499.013333781648</v>
      </c>
      <c r="Q28" s="376">
        <f t="shared" si="14"/>
        <v>18468.159561548029</v>
      </c>
      <c r="R28" s="109">
        <f t="shared" si="8"/>
        <v>227414.27516290644</v>
      </c>
      <c r="S28" s="3">
        <f t="shared" si="3"/>
        <v>0</v>
      </c>
    </row>
    <row r="29" spans="1:39" x14ac:dyDescent="0.2">
      <c r="A29" s="16"/>
      <c r="B29" s="29" t="s">
        <v>373</v>
      </c>
      <c r="C29" s="28">
        <f t="shared" si="13"/>
        <v>0</v>
      </c>
      <c r="D29" s="13">
        <v>0</v>
      </c>
      <c r="E29" s="7"/>
      <c r="F29" s="376">
        <f t="shared" si="15"/>
        <v>0</v>
      </c>
      <c r="G29" s="376">
        <f t="shared" si="14"/>
        <v>0</v>
      </c>
      <c r="H29" s="376">
        <f t="shared" si="14"/>
        <v>0</v>
      </c>
      <c r="I29" s="376">
        <f t="shared" si="14"/>
        <v>0</v>
      </c>
      <c r="J29" s="376">
        <f t="shared" si="14"/>
        <v>0</v>
      </c>
      <c r="K29" s="376">
        <f t="shared" si="14"/>
        <v>0</v>
      </c>
      <c r="L29" s="376">
        <f t="shared" si="14"/>
        <v>0</v>
      </c>
      <c r="M29" s="376">
        <f t="shared" si="14"/>
        <v>0</v>
      </c>
      <c r="N29" s="376">
        <f t="shared" si="14"/>
        <v>0</v>
      </c>
      <c r="O29" s="376">
        <f t="shared" si="14"/>
        <v>0</v>
      </c>
      <c r="P29" s="376">
        <f t="shared" si="14"/>
        <v>0</v>
      </c>
      <c r="Q29" s="376">
        <f t="shared" si="14"/>
        <v>0</v>
      </c>
      <c r="R29" s="109">
        <f t="shared" si="8"/>
        <v>0</v>
      </c>
      <c r="S29" s="3">
        <f t="shared" si="3"/>
        <v>0</v>
      </c>
    </row>
    <row r="30" spans="1:39" x14ac:dyDescent="0.2">
      <c r="A30" s="16"/>
      <c r="B30" s="29" t="s">
        <v>361</v>
      </c>
      <c r="C30" s="28">
        <f t="shared" si="13"/>
        <v>119541.49047442924</v>
      </c>
      <c r="D30" s="13">
        <f>'[5]Central Supply'!$J$34+'[5]Central Supply'!$J$35</f>
        <v>3.0995797047846407</v>
      </c>
      <c r="E30" s="7"/>
      <c r="F30" s="376">
        <f t="shared" si="15"/>
        <v>9506.4109545744923</v>
      </c>
      <c r="G30" s="376">
        <f t="shared" si="14"/>
        <v>10148.023953464914</v>
      </c>
      <c r="H30" s="376">
        <f t="shared" si="14"/>
        <v>8027.9114353922196</v>
      </c>
      <c r="I30" s="376">
        <f t="shared" si="14"/>
        <v>9050.7727379711505</v>
      </c>
      <c r="J30" s="376">
        <f t="shared" si="14"/>
        <v>10154.223112874482</v>
      </c>
      <c r="K30" s="376">
        <f t="shared" si="14"/>
        <v>10371.193692209408</v>
      </c>
      <c r="L30" s="376">
        <f t="shared" si="14"/>
        <v>9937.2525335395585</v>
      </c>
      <c r="M30" s="376">
        <f t="shared" si="14"/>
        <v>11886.888167849098</v>
      </c>
      <c r="N30" s="376">
        <f t="shared" si="14"/>
        <v>9940.352113244342</v>
      </c>
      <c r="O30" s="376">
        <f t="shared" si="14"/>
        <v>9509.5105342792776</v>
      </c>
      <c r="P30" s="376">
        <f t="shared" si="14"/>
        <v>11301.0676036448</v>
      </c>
      <c r="Q30" s="376">
        <f t="shared" si="14"/>
        <v>9707.8836353854949</v>
      </c>
      <c r="R30" s="109">
        <f t="shared" ref="R30:R32" si="16">SUM(F30:Q30)</f>
        <v>119541.49047442926</v>
      </c>
      <c r="S30" s="3">
        <f t="shared" ref="S30:S32" si="17">C30-R30</f>
        <v>0</v>
      </c>
    </row>
    <row r="31" spans="1:39" x14ac:dyDescent="0.2">
      <c r="A31" s="16"/>
      <c r="B31" s="29" t="s">
        <v>360</v>
      </c>
      <c r="C31" s="28">
        <f t="shared" si="13"/>
        <v>446870.50319827843</v>
      </c>
      <c r="D31" s="13">
        <f>'[5]Central Supply'!$J$36</f>
        <v>11.586861907804041</v>
      </c>
      <c r="E31" s="7"/>
      <c r="F31" s="376">
        <f t="shared" si="15"/>
        <v>35536.90547123499</v>
      </c>
      <c r="G31" s="376">
        <f t="shared" si="14"/>
        <v>37935.385886150427</v>
      </c>
      <c r="H31" s="376">
        <f t="shared" si="14"/>
        <v>30009.972341212466</v>
      </c>
      <c r="I31" s="376">
        <f t="shared" si="14"/>
        <v>33833.636770787802</v>
      </c>
      <c r="J31" s="376">
        <f t="shared" si="14"/>
        <v>37958.55960996604</v>
      </c>
      <c r="K31" s="376">
        <f t="shared" si="14"/>
        <v>38769.639943512317</v>
      </c>
      <c r="L31" s="376">
        <f t="shared" si="14"/>
        <v>37147.479276419755</v>
      </c>
      <c r="M31" s="376">
        <f t="shared" si="14"/>
        <v>44435.615416428496</v>
      </c>
      <c r="N31" s="376">
        <f t="shared" si="14"/>
        <v>37159.066138327558</v>
      </c>
      <c r="O31" s="376">
        <f t="shared" si="14"/>
        <v>35548.4923331428</v>
      </c>
      <c r="P31" s="376">
        <f t="shared" si="14"/>
        <v>42245.698515853532</v>
      </c>
      <c r="Q31" s="376">
        <f t="shared" si="14"/>
        <v>36290.051495242253</v>
      </c>
      <c r="R31" s="109">
        <f t="shared" si="16"/>
        <v>446870.50319827837</v>
      </c>
      <c r="S31" s="3">
        <f t="shared" si="17"/>
        <v>0</v>
      </c>
    </row>
    <row r="32" spans="1:39" x14ac:dyDescent="0.2">
      <c r="A32" s="16"/>
      <c r="B32" s="29" t="s">
        <v>362</v>
      </c>
      <c r="C32" s="28">
        <f t="shared" si="13"/>
        <v>97307.597468141612</v>
      </c>
      <c r="D32" s="13">
        <f>'[5]Central Supply'!$J$37</f>
        <v>2.5230792508658078</v>
      </c>
      <c r="E32" s="7"/>
      <c r="F32" s="376">
        <f t="shared" si="15"/>
        <v>7738.2840624054325</v>
      </c>
      <c r="G32" s="376">
        <f t="shared" si="14"/>
        <v>8260.5614673346554</v>
      </c>
      <c r="H32" s="376">
        <f t="shared" si="14"/>
        <v>6534.7752597424424</v>
      </c>
      <c r="I32" s="376">
        <f t="shared" si="14"/>
        <v>7367.391412528159</v>
      </c>
      <c r="J32" s="376">
        <f t="shared" si="14"/>
        <v>8265.6076258363864</v>
      </c>
      <c r="K32" s="376">
        <f t="shared" si="14"/>
        <v>8442.2231733969929</v>
      </c>
      <c r="L32" s="376">
        <f t="shared" si="14"/>
        <v>8088.9920782757799</v>
      </c>
      <c r="M32" s="376">
        <f t="shared" si="14"/>
        <v>9676.008927070372</v>
      </c>
      <c r="N32" s="376">
        <f t="shared" si="14"/>
        <v>8091.5151575266455</v>
      </c>
      <c r="O32" s="376">
        <f t="shared" si="14"/>
        <v>7740.807141656298</v>
      </c>
      <c r="P32" s="376">
        <f t="shared" si="14"/>
        <v>9199.1469486567348</v>
      </c>
      <c r="Q32" s="376">
        <f t="shared" si="14"/>
        <v>7902.2842137117095</v>
      </c>
      <c r="R32" s="109">
        <f t="shared" si="16"/>
        <v>97307.597468141626</v>
      </c>
      <c r="S32" s="3">
        <f t="shared" si="17"/>
        <v>0</v>
      </c>
    </row>
    <row r="33" spans="1:39" s="5" customFormat="1" x14ac:dyDescent="0.2">
      <c r="A33" s="90">
        <v>31200.041000000001</v>
      </c>
      <c r="B33" s="161" t="s">
        <v>475</v>
      </c>
      <c r="C33" s="293">
        <f>SUM(C26:C32)</f>
        <v>1498787.3538899163</v>
      </c>
      <c r="D33" s="292"/>
      <c r="E33" s="292"/>
      <c r="F33" s="369">
        <f>SUM(F26:F32)</f>
        <v>119189.48360983154</v>
      </c>
      <c r="G33" s="369">
        <f t="shared" ref="G33:Q33" si="18">SUM(G26:G32)</f>
        <v>127233.8993604788</v>
      </c>
      <c r="H33" s="369">
        <f t="shared" si="18"/>
        <v>100652.35166268787</v>
      </c>
      <c r="I33" s="369">
        <f t="shared" si="18"/>
        <v>113476.78256951681</v>
      </c>
      <c r="J33" s="369">
        <f t="shared" si="18"/>
        <v>127311.62318415655</v>
      </c>
      <c r="K33" s="369">
        <f t="shared" si="18"/>
        <v>130031.95701287784</v>
      </c>
      <c r="L33" s="369">
        <f t="shared" si="18"/>
        <v>124591.28935543525</v>
      </c>
      <c r="M33" s="369">
        <f t="shared" si="18"/>
        <v>149035.43190208802</v>
      </c>
      <c r="N33" s="369">
        <f t="shared" si="18"/>
        <v>124630.15126727414</v>
      </c>
      <c r="O33" s="369">
        <f t="shared" si="18"/>
        <v>119228.34552167043</v>
      </c>
      <c r="P33" s="369">
        <f t="shared" si="18"/>
        <v>141690.53056454053</v>
      </c>
      <c r="Q33" s="369">
        <f t="shared" si="18"/>
        <v>121715.50787935847</v>
      </c>
      <c r="R33" s="369">
        <f t="shared" si="8"/>
        <v>1498787.3538899163</v>
      </c>
      <c r="S33" s="291">
        <f>C33-R33</f>
        <v>0</v>
      </c>
      <c r="T33" s="6"/>
      <c r="U33" s="6"/>
      <c r="V33" s="6"/>
      <c r="W33" s="6"/>
      <c r="X33" s="6"/>
      <c r="Y33" s="6"/>
      <c r="Z33" s="6"/>
      <c r="AA33" s="6"/>
      <c r="AB33" s="6"/>
      <c r="AC33" s="6"/>
      <c r="AD33" s="6"/>
      <c r="AE33" s="6"/>
      <c r="AF33" s="6"/>
      <c r="AG33" s="6"/>
      <c r="AH33" s="6"/>
      <c r="AI33" s="6"/>
      <c r="AJ33" s="6"/>
      <c r="AK33" s="6"/>
      <c r="AL33" s="6"/>
      <c r="AM33" s="6"/>
    </row>
    <row r="34" spans="1:39" s="5" customFormat="1" x14ac:dyDescent="0.2">
      <c r="A34" s="11"/>
      <c r="B34" s="77" t="s">
        <v>0</v>
      </c>
      <c r="C34" s="293">
        <f>C17+C25+C33</f>
        <v>2394660.340049264</v>
      </c>
      <c r="D34" s="292">
        <f>(C34/C$4)</f>
        <v>39.579200040481695</v>
      </c>
      <c r="E34" s="292"/>
      <c r="F34" s="369">
        <f>F17+F25+F33</f>
        <v>170974.99356834963</v>
      </c>
      <c r="G34" s="369">
        <f t="shared" ref="G34:Q34" si="19">G17+G25+G33</f>
        <v>192169.98834631772</v>
      </c>
      <c r="H34" s="369">
        <f t="shared" si="19"/>
        <v>162852.14004346315</v>
      </c>
      <c r="I34" s="369">
        <f t="shared" si="19"/>
        <v>191073.36689221743</v>
      </c>
      <c r="J34" s="369">
        <f t="shared" si="19"/>
        <v>209073.91887576005</v>
      </c>
      <c r="K34" s="369">
        <f t="shared" si="19"/>
        <v>234746.50554098541</v>
      </c>
      <c r="L34" s="369">
        <f t="shared" si="19"/>
        <v>184667.38174422082</v>
      </c>
      <c r="M34" s="369">
        <f t="shared" si="19"/>
        <v>198166.32187061899</v>
      </c>
      <c r="N34" s="369">
        <f t="shared" si="19"/>
        <v>196549.93284215612</v>
      </c>
      <c r="O34" s="369">
        <f t="shared" si="19"/>
        <v>209812.14764153882</v>
      </c>
      <c r="P34" s="369">
        <f t="shared" si="19"/>
        <v>248365.41385448474</v>
      </c>
      <c r="Q34" s="369">
        <f t="shared" si="19"/>
        <v>196208.22882915105</v>
      </c>
      <c r="R34" s="369">
        <f t="shared" si="8"/>
        <v>2394660.340049264</v>
      </c>
      <c r="S34" s="291">
        <f>C34-R34</f>
        <v>0</v>
      </c>
      <c r="T34" s="6"/>
      <c r="U34" s="6"/>
      <c r="V34" s="6"/>
      <c r="W34" s="6"/>
      <c r="X34" s="6"/>
      <c r="Y34" s="6"/>
      <c r="Z34" s="6"/>
      <c r="AA34" s="6"/>
      <c r="AB34" s="6"/>
      <c r="AC34" s="6"/>
      <c r="AD34" s="6"/>
      <c r="AE34" s="6"/>
      <c r="AF34" s="6"/>
      <c r="AG34" s="6"/>
      <c r="AH34" s="6"/>
      <c r="AI34" s="6"/>
      <c r="AJ34" s="6"/>
      <c r="AK34" s="6"/>
      <c r="AL34" s="6"/>
      <c r="AM34" s="6"/>
    </row>
    <row r="35" spans="1:39" x14ac:dyDescent="0.2">
      <c r="F35" s="160"/>
      <c r="G35" s="160"/>
      <c r="H35" s="160"/>
      <c r="I35" s="160"/>
      <c r="J35" s="160"/>
      <c r="K35" s="160"/>
      <c r="L35" s="160"/>
      <c r="M35" s="160"/>
      <c r="N35" s="160"/>
      <c r="O35" s="160"/>
      <c r="P35" s="160"/>
      <c r="Q35" s="160"/>
      <c r="R35" s="160"/>
    </row>
    <row r="36" spans="1:39" x14ac:dyDescent="0.2">
      <c r="A36" s="711" t="s">
        <v>25</v>
      </c>
      <c r="B36" s="711"/>
      <c r="C36" s="711"/>
      <c r="D36" s="711"/>
      <c r="F36" s="160"/>
      <c r="G36" s="160"/>
      <c r="H36" s="160"/>
      <c r="I36" s="160"/>
      <c r="J36" s="160"/>
      <c r="K36" s="160"/>
      <c r="L36" s="160"/>
      <c r="M36" s="160"/>
      <c r="N36" s="160"/>
      <c r="O36" s="160"/>
      <c r="P36" s="160"/>
      <c r="Q36" s="160"/>
      <c r="R36" s="160"/>
    </row>
    <row r="37" spans="1:39" s="151" customFormat="1" x14ac:dyDescent="0.2">
      <c r="A37" s="21"/>
      <c r="B37" s="77" t="s">
        <v>457</v>
      </c>
      <c r="C37" s="78"/>
      <c r="D37" s="102" t="s">
        <v>458</v>
      </c>
      <c r="E37" s="148"/>
      <c r="F37" s="417"/>
      <c r="G37" s="417"/>
      <c r="H37" s="277"/>
      <c r="I37" s="277"/>
      <c r="J37" s="277"/>
      <c r="K37" s="277"/>
      <c r="L37" s="277"/>
      <c r="M37" s="277"/>
      <c r="N37" s="277"/>
      <c r="O37" s="277"/>
      <c r="P37" s="277"/>
      <c r="Q37" s="277"/>
      <c r="R37" s="109"/>
      <c r="S37" s="3"/>
      <c r="T37" s="164"/>
      <c r="U37" s="164"/>
      <c r="V37" s="164"/>
      <c r="W37" s="164"/>
      <c r="X37" s="164"/>
      <c r="Y37" s="164"/>
      <c r="Z37" s="164"/>
      <c r="AA37" s="164"/>
      <c r="AB37" s="164"/>
      <c r="AC37" s="164"/>
      <c r="AD37" s="164"/>
      <c r="AE37" s="164"/>
      <c r="AF37" s="164"/>
      <c r="AG37" s="164"/>
      <c r="AH37" s="164"/>
      <c r="AI37" s="164"/>
      <c r="AJ37" s="164"/>
      <c r="AK37" s="164"/>
      <c r="AL37" s="164"/>
      <c r="AM37" s="164"/>
    </row>
    <row r="38" spans="1:39" s="92" customFormat="1" x14ac:dyDescent="0.2">
      <c r="A38" s="87">
        <v>41101.040999999997</v>
      </c>
      <c r="B38" s="15" t="s">
        <v>22</v>
      </c>
      <c r="C38" s="428">
        <f>'[6]Central Supply'!$J$15</f>
        <v>45738.530999999995</v>
      </c>
      <c r="D38" s="429">
        <f>$C38/C$6</f>
        <v>14.659785576923076</v>
      </c>
      <c r="E38" s="148"/>
      <c r="F38" s="406">
        <f>$D38*F$6</f>
        <v>3884.6423589041096</v>
      </c>
      <c r="G38" s="406">
        <f t="shared" ref="G38:Q38" si="20">$D38*G$6</f>
        <v>3759.3313150684926</v>
      </c>
      <c r="H38" s="406">
        <f t="shared" si="20"/>
        <v>3884.6423589041096</v>
      </c>
      <c r="I38" s="406">
        <f t="shared" si="20"/>
        <v>3884.6423589041096</v>
      </c>
      <c r="J38" s="406">
        <f t="shared" si="20"/>
        <v>3508.7092273972603</v>
      </c>
      <c r="K38" s="406">
        <f t="shared" si="20"/>
        <v>3884.6423589041096</v>
      </c>
      <c r="L38" s="406">
        <f t="shared" si="20"/>
        <v>3759.3313150684926</v>
      </c>
      <c r="M38" s="406">
        <f t="shared" si="20"/>
        <v>3884.6423589041096</v>
      </c>
      <c r="N38" s="406">
        <f t="shared" si="20"/>
        <v>3759.3313150684926</v>
      </c>
      <c r="O38" s="406">
        <f t="shared" si="20"/>
        <v>3884.6423589041096</v>
      </c>
      <c r="P38" s="406">
        <f t="shared" si="20"/>
        <v>3884.6423589041096</v>
      </c>
      <c r="Q38" s="406">
        <f t="shared" si="20"/>
        <v>3759.3313150684926</v>
      </c>
      <c r="R38" s="109">
        <f t="shared" ref="R38:R56" si="21">SUM(F38:Q38)</f>
        <v>45738.530999999988</v>
      </c>
      <c r="S38" s="3">
        <f t="shared" ref="S38:S47" si="22">C38-R38</f>
        <v>0</v>
      </c>
      <c r="T38" s="91"/>
      <c r="U38" s="91"/>
      <c r="V38" s="91"/>
      <c r="W38" s="91"/>
      <c r="X38" s="91"/>
      <c r="Y38" s="91"/>
      <c r="Z38" s="91"/>
      <c r="AA38" s="91"/>
      <c r="AB38" s="91"/>
      <c r="AC38" s="91"/>
      <c r="AD38" s="91"/>
      <c r="AE38" s="91"/>
      <c r="AF38" s="91"/>
      <c r="AG38" s="91"/>
      <c r="AH38" s="91"/>
      <c r="AI38" s="91"/>
      <c r="AJ38" s="91"/>
      <c r="AK38" s="91"/>
      <c r="AL38" s="91"/>
      <c r="AM38" s="91"/>
    </row>
    <row r="39" spans="1:39" s="92" customFormat="1" x14ac:dyDescent="0.2">
      <c r="A39" s="87">
        <v>41110.040999999997</v>
      </c>
      <c r="B39" s="15" t="s">
        <v>21</v>
      </c>
      <c r="C39" s="428">
        <f>'[6]Central Supply'!$J$16</f>
        <v>5082.0590000000002</v>
      </c>
      <c r="D39" s="429">
        <f t="shared" ref="D39:D41" si="23">$C39/C$6</f>
        <v>1.6288650641025642</v>
      </c>
      <c r="E39" s="148"/>
      <c r="F39" s="406">
        <f t="shared" ref="F39:Q41" si="24">$D39*F$6</f>
        <v>431.62692876712333</v>
      </c>
      <c r="G39" s="406">
        <f t="shared" si="24"/>
        <v>417.70347945205481</v>
      </c>
      <c r="H39" s="406">
        <f t="shared" si="24"/>
        <v>431.62692876712333</v>
      </c>
      <c r="I39" s="406">
        <f t="shared" si="24"/>
        <v>431.62692876712333</v>
      </c>
      <c r="J39" s="406">
        <f t="shared" si="24"/>
        <v>389.85658082191787</v>
      </c>
      <c r="K39" s="406">
        <f t="shared" si="24"/>
        <v>431.62692876712333</v>
      </c>
      <c r="L39" s="406">
        <f t="shared" si="24"/>
        <v>417.70347945205481</v>
      </c>
      <c r="M39" s="406">
        <f t="shared" si="24"/>
        <v>431.62692876712333</v>
      </c>
      <c r="N39" s="406">
        <f t="shared" si="24"/>
        <v>417.70347945205481</v>
      </c>
      <c r="O39" s="406">
        <f t="shared" si="24"/>
        <v>431.62692876712333</v>
      </c>
      <c r="P39" s="406">
        <f t="shared" si="24"/>
        <v>431.62692876712333</v>
      </c>
      <c r="Q39" s="406">
        <f t="shared" si="24"/>
        <v>417.70347945205481</v>
      </c>
      <c r="R39" s="109">
        <f t="shared" si="21"/>
        <v>5082.0590000000002</v>
      </c>
      <c r="S39" s="3">
        <f t="shared" si="22"/>
        <v>0</v>
      </c>
      <c r="T39" s="91"/>
      <c r="U39" s="91"/>
      <c r="V39" s="91"/>
      <c r="W39" s="91"/>
      <c r="X39" s="91"/>
      <c r="Y39" s="91"/>
      <c r="Z39" s="91"/>
      <c r="AA39" s="91"/>
      <c r="AB39" s="91"/>
      <c r="AC39" s="91"/>
      <c r="AD39" s="91"/>
      <c r="AE39" s="91"/>
      <c r="AF39" s="91"/>
      <c r="AG39" s="91"/>
      <c r="AH39" s="91"/>
      <c r="AI39" s="91"/>
      <c r="AJ39" s="91"/>
      <c r="AK39" s="91"/>
      <c r="AL39" s="91"/>
      <c r="AM39" s="91"/>
    </row>
    <row r="40" spans="1:39" s="92" customFormat="1" x14ac:dyDescent="0.2">
      <c r="A40" s="87">
        <v>41115.040999999997</v>
      </c>
      <c r="B40" s="15" t="s">
        <v>20</v>
      </c>
      <c r="C40" s="428">
        <f>'[6]Central Supply'!$J$17</f>
        <v>100</v>
      </c>
      <c r="D40" s="429">
        <f t="shared" si="23"/>
        <v>3.2051282051282048E-2</v>
      </c>
      <c r="E40" s="148"/>
      <c r="F40" s="406">
        <f t="shared" si="24"/>
        <v>8.493150684931507</v>
      </c>
      <c r="G40" s="406">
        <f t="shared" si="24"/>
        <v>8.2191780821917799</v>
      </c>
      <c r="H40" s="406">
        <f t="shared" si="24"/>
        <v>8.493150684931507</v>
      </c>
      <c r="I40" s="406">
        <f t="shared" si="24"/>
        <v>8.493150684931507</v>
      </c>
      <c r="J40" s="406">
        <f t="shared" si="24"/>
        <v>7.6712328767123283</v>
      </c>
      <c r="K40" s="406">
        <f t="shared" si="24"/>
        <v>8.493150684931507</v>
      </c>
      <c r="L40" s="406">
        <f t="shared" si="24"/>
        <v>8.2191780821917799</v>
      </c>
      <c r="M40" s="406">
        <f t="shared" si="24"/>
        <v>8.493150684931507</v>
      </c>
      <c r="N40" s="406">
        <f t="shared" si="24"/>
        <v>8.2191780821917799</v>
      </c>
      <c r="O40" s="406">
        <f t="shared" si="24"/>
        <v>8.493150684931507</v>
      </c>
      <c r="P40" s="406">
        <f t="shared" si="24"/>
        <v>8.493150684931507</v>
      </c>
      <c r="Q40" s="406">
        <f t="shared" si="24"/>
        <v>8.2191780821917799</v>
      </c>
      <c r="R40" s="109">
        <f t="shared" si="21"/>
        <v>100</v>
      </c>
      <c r="S40" s="3">
        <f t="shared" si="22"/>
        <v>0</v>
      </c>
      <c r="T40" s="91"/>
      <c r="U40" s="91"/>
      <c r="V40" s="91"/>
      <c r="W40" s="91"/>
      <c r="X40" s="91"/>
      <c r="Y40" s="91"/>
      <c r="Z40" s="91"/>
      <c r="AA40" s="91"/>
      <c r="AB40" s="91"/>
      <c r="AC40" s="91"/>
      <c r="AD40" s="91"/>
      <c r="AE40" s="91"/>
      <c r="AF40" s="91"/>
      <c r="AG40" s="91"/>
      <c r="AH40" s="91"/>
      <c r="AI40" s="91"/>
      <c r="AJ40" s="91"/>
      <c r="AK40" s="91"/>
      <c r="AL40" s="91"/>
      <c r="AM40" s="91"/>
    </row>
    <row r="41" spans="1:39" s="92" customFormat="1" x14ac:dyDescent="0.2">
      <c r="A41" s="87">
        <v>41150.040999999997</v>
      </c>
      <c r="B41" s="15" t="s">
        <v>19</v>
      </c>
      <c r="C41" s="428">
        <f>'[6]Central Supply'!$J$18</f>
        <v>3895.4251349999995</v>
      </c>
      <c r="D41" s="429">
        <f t="shared" si="23"/>
        <v>1.2485336971153844</v>
      </c>
      <c r="E41" s="148"/>
      <c r="F41" s="406">
        <f t="shared" si="24"/>
        <v>330.84432653424653</v>
      </c>
      <c r="G41" s="406">
        <f t="shared" si="24"/>
        <v>320.17192890410951</v>
      </c>
      <c r="H41" s="406">
        <f t="shared" si="24"/>
        <v>330.84432653424653</v>
      </c>
      <c r="I41" s="406">
        <f t="shared" si="24"/>
        <v>330.84432653424653</v>
      </c>
      <c r="J41" s="406">
        <f t="shared" si="24"/>
        <v>298.82713364383557</v>
      </c>
      <c r="K41" s="406">
        <f t="shared" si="24"/>
        <v>330.84432653424653</v>
      </c>
      <c r="L41" s="406">
        <f t="shared" si="24"/>
        <v>320.17192890410951</v>
      </c>
      <c r="M41" s="406">
        <f t="shared" si="24"/>
        <v>330.84432653424653</v>
      </c>
      <c r="N41" s="406">
        <f t="shared" si="24"/>
        <v>320.17192890410951</v>
      </c>
      <c r="O41" s="406">
        <f t="shared" si="24"/>
        <v>330.84432653424653</v>
      </c>
      <c r="P41" s="406">
        <f t="shared" si="24"/>
        <v>330.84432653424653</v>
      </c>
      <c r="Q41" s="406">
        <f t="shared" si="24"/>
        <v>320.17192890410951</v>
      </c>
      <c r="R41" s="109">
        <f t="shared" si="21"/>
        <v>3895.425134999999</v>
      </c>
      <c r="S41" s="3">
        <f t="shared" si="22"/>
        <v>0</v>
      </c>
      <c r="T41" s="91"/>
      <c r="U41" s="91"/>
      <c r="V41" s="91"/>
      <c r="W41" s="91"/>
      <c r="X41" s="91"/>
      <c r="Y41" s="91"/>
      <c r="Z41" s="91"/>
      <c r="AA41" s="91"/>
      <c r="AB41" s="91"/>
      <c r="AC41" s="91"/>
      <c r="AD41" s="91"/>
      <c r="AE41" s="91"/>
      <c r="AF41" s="91"/>
      <c r="AG41" s="91"/>
      <c r="AH41" s="91"/>
      <c r="AI41" s="91"/>
      <c r="AJ41" s="91"/>
      <c r="AK41" s="91"/>
      <c r="AL41" s="91"/>
      <c r="AM41" s="91"/>
    </row>
    <row r="42" spans="1:39" s="92" customFormat="1" x14ac:dyDescent="0.2">
      <c r="A42" s="87">
        <v>41211.040999999997</v>
      </c>
      <c r="B42" s="15" t="s">
        <v>459</v>
      </c>
      <c r="C42" s="14">
        <f>'[6]Central Supply'!$J$19</f>
        <v>161045</v>
      </c>
      <c r="D42" s="13">
        <f t="shared" ref="D42:D55" si="25">$C42/C$4</f>
        <v>2.661768837908864</v>
      </c>
      <c r="E42" s="148"/>
      <c r="F42" s="406">
        <f t="shared" ref="F42:Q55" si="26">$D42*F$4</f>
        <v>11538.767912334926</v>
      </c>
      <c r="G42" s="406">
        <f t="shared" ref="G42:Q55" si="27">$D42*G$4</f>
        <v>12946.843627588714</v>
      </c>
      <c r="H42" s="406">
        <f t="shared" si="27"/>
        <v>10947.855230319157</v>
      </c>
      <c r="I42" s="406">
        <f t="shared" si="27"/>
        <v>12829.725798720725</v>
      </c>
      <c r="J42" s="406">
        <f t="shared" si="27"/>
        <v>14048.815926482985</v>
      </c>
      <c r="K42" s="406">
        <f t="shared" si="27"/>
        <v>15731.053832041385</v>
      </c>
      <c r="L42" s="406">
        <f t="shared" si="27"/>
        <v>12449.092854899756</v>
      </c>
      <c r="M42" s="406">
        <f t="shared" si="27"/>
        <v>13409.991405384857</v>
      </c>
      <c r="N42" s="406">
        <f t="shared" si="27"/>
        <v>13223.667586731237</v>
      </c>
      <c r="O42" s="406">
        <f t="shared" si="27"/>
        <v>14070.110077186255</v>
      </c>
      <c r="P42" s="406">
        <f t="shared" si="27"/>
        <v>16657.349387633672</v>
      </c>
      <c r="Q42" s="406">
        <f t="shared" si="27"/>
        <v>13191.72636067633</v>
      </c>
      <c r="R42" s="109">
        <f t="shared" si="21"/>
        <v>161045</v>
      </c>
      <c r="S42" s="3">
        <f t="shared" si="22"/>
        <v>0</v>
      </c>
      <c r="T42" s="91"/>
      <c r="U42" s="91"/>
      <c r="V42" s="91"/>
      <c r="W42" s="91"/>
      <c r="X42" s="91"/>
      <c r="Y42" s="91"/>
      <c r="Z42" s="91"/>
      <c r="AA42" s="91"/>
      <c r="AB42" s="91"/>
      <c r="AC42" s="91"/>
      <c r="AD42" s="91"/>
      <c r="AE42" s="91"/>
      <c r="AF42" s="91"/>
      <c r="AG42" s="91"/>
      <c r="AH42" s="91"/>
      <c r="AI42" s="91"/>
      <c r="AJ42" s="91"/>
      <c r="AK42" s="91"/>
      <c r="AL42" s="91"/>
      <c r="AM42" s="91"/>
    </row>
    <row r="43" spans="1:39" s="92" customFormat="1" x14ac:dyDescent="0.2">
      <c r="A43" s="87">
        <v>41219.040999999997</v>
      </c>
      <c r="B43" s="15" t="s">
        <v>386</v>
      </c>
      <c r="C43" s="14"/>
      <c r="D43" s="13">
        <f t="shared" si="25"/>
        <v>0</v>
      </c>
      <c r="E43" s="148"/>
      <c r="F43" s="406">
        <f t="shared" si="26"/>
        <v>0</v>
      </c>
      <c r="G43" s="406">
        <f t="shared" si="27"/>
        <v>0</v>
      </c>
      <c r="H43" s="406">
        <f t="shared" si="27"/>
        <v>0</v>
      </c>
      <c r="I43" s="406">
        <f t="shared" si="27"/>
        <v>0</v>
      </c>
      <c r="J43" s="406">
        <f t="shared" si="27"/>
        <v>0</v>
      </c>
      <c r="K43" s="406">
        <f t="shared" si="27"/>
        <v>0</v>
      </c>
      <c r="L43" s="406">
        <f t="shared" si="27"/>
        <v>0</v>
      </c>
      <c r="M43" s="406">
        <f t="shared" si="27"/>
        <v>0</v>
      </c>
      <c r="N43" s="406">
        <f t="shared" si="27"/>
        <v>0</v>
      </c>
      <c r="O43" s="406">
        <f t="shared" si="27"/>
        <v>0</v>
      </c>
      <c r="P43" s="406">
        <f t="shared" si="27"/>
        <v>0</v>
      </c>
      <c r="Q43" s="406">
        <f t="shared" si="27"/>
        <v>0</v>
      </c>
      <c r="R43" s="109">
        <f t="shared" si="21"/>
        <v>0</v>
      </c>
      <c r="S43" s="3">
        <f t="shared" si="22"/>
        <v>0</v>
      </c>
      <c r="T43" s="91"/>
      <c r="U43" s="91"/>
      <c r="V43" s="91"/>
      <c r="W43" s="91"/>
      <c r="X43" s="91"/>
      <c r="Y43" s="91"/>
      <c r="Z43" s="91"/>
      <c r="AA43" s="91"/>
      <c r="AB43" s="91"/>
      <c r="AC43" s="91"/>
      <c r="AD43" s="91"/>
      <c r="AE43" s="91"/>
      <c r="AF43" s="91"/>
      <c r="AG43" s="91"/>
      <c r="AH43" s="91"/>
      <c r="AI43" s="91"/>
      <c r="AJ43" s="91"/>
      <c r="AK43" s="91"/>
      <c r="AL43" s="91"/>
      <c r="AM43" s="91"/>
    </row>
    <row r="44" spans="1:39" s="92" customFormat="1" x14ac:dyDescent="0.2">
      <c r="A44" s="87">
        <v>41237.040999999997</v>
      </c>
      <c r="B44" s="15" t="s">
        <v>17</v>
      </c>
      <c r="C44" s="14">
        <f>'[6]Central Supply'!$J$20</f>
        <v>375</v>
      </c>
      <c r="D44" s="13">
        <f t="shared" si="25"/>
        <v>6.1980397666231424E-3</v>
      </c>
      <c r="E44" s="148"/>
      <c r="F44" s="406">
        <f t="shared" si="26"/>
        <v>26.868502388311324</v>
      </c>
      <c r="G44" s="406">
        <f t="shared" si="27"/>
        <v>30.147265424854965</v>
      </c>
      <c r="H44" s="406">
        <f t="shared" si="27"/>
        <v>25.492537560120983</v>
      </c>
      <c r="I44" s="406">
        <f t="shared" si="27"/>
        <v>29.874551675123545</v>
      </c>
      <c r="J44" s="406">
        <f t="shared" si="27"/>
        <v>32.713253888236949</v>
      </c>
      <c r="K44" s="406">
        <f t="shared" si="27"/>
        <v>36.630415020742774</v>
      </c>
      <c r="L44" s="406">
        <f t="shared" si="27"/>
        <v>28.988231988496437</v>
      </c>
      <c r="M44" s="406">
        <f t="shared" si="27"/>
        <v>31.225724344247393</v>
      </c>
      <c r="N44" s="406">
        <f t="shared" si="27"/>
        <v>30.791861560583772</v>
      </c>
      <c r="O44" s="406">
        <f t="shared" si="27"/>
        <v>32.762838206369928</v>
      </c>
      <c r="P44" s="406">
        <f t="shared" si="27"/>
        <v>38.787332859527623</v>
      </c>
      <c r="Q44" s="406">
        <f t="shared" si="27"/>
        <v>30.717485083384293</v>
      </c>
      <c r="R44" s="109">
        <f t="shared" si="21"/>
        <v>375</v>
      </c>
      <c r="S44" s="3">
        <f t="shared" si="22"/>
        <v>0</v>
      </c>
      <c r="T44" s="91"/>
      <c r="U44" s="91"/>
      <c r="V44" s="91"/>
      <c r="W44" s="91"/>
      <c r="X44" s="91"/>
      <c r="Y44" s="91"/>
      <c r="Z44" s="91"/>
      <c r="AA44" s="91"/>
      <c r="AB44" s="91"/>
      <c r="AC44" s="91"/>
      <c r="AD44" s="91"/>
      <c r="AE44" s="91"/>
      <c r="AF44" s="91"/>
      <c r="AG44" s="91"/>
      <c r="AH44" s="91"/>
      <c r="AI44" s="91"/>
      <c r="AJ44" s="91"/>
      <c r="AK44" s="91"/>
      <c r="AL44" s="91"/>
      <c r="AM44" s="91"/>
    </row>
    <row r="45" spans="1:39" s="92" customFormat="1" x14ac:dyDescent="0.2">
      <c r="A45" s="87">
        <v>41260.040999999997</v>
      </c>
      <c r="B45" s="15" t="s">
        <v>14</v>
      </c>
      <c r="C45" s="14"/>
      <c r="D45" s="13">
        <f t="shared" si="25"/>
        <v>0</v>
      </c>
      <c r="E45" s="148"/>
      <c r="F45" s="406">
        <f t="shared" si="26"/>
        <v>0</v>
      </c>
      <c r="G45" s="406">
        <f t="shared" si="27"/>
        <v>0</v>
      </c>
      <c r="H45" s="406">
        <f t="shared" si="27"/>
        <v>0</v>
      </c>
      <c r="I45" s="406">
        <f t="shared" si="27"/>
        <v>0</v>
      </c>
      <c r="J45" s="406">
        <f t="shared" si="27"/>
        <v>0</v>
      </c>
      <c r="K45" s="406">
        <f t="shared" si="27"/>
        <v>0</v>
      </c>
      <c r="L45" s="406">
        <f t="shared" si="27"/>
        <v>0</v>
      </c>
      <c r="M45" s="406">
        <f t="shared" si="27"/>
        <v>0</v>
      </c>
      <c r="N45" s="406">
        <f t="shared" si="27"/>
        <v>0</v>
      </c>
      <c r="O45" s="406">
        <f t="shared" si="27"/>
        <v>0</v>
      </c>
      <c r="P45" s="406">
        <f t="shared" si="27"/>
        <v>0</v>
      </c>
      <c r="Q45" s="406">
        <f t="shared" si="27"/>
        <v>0</v>
      </c>
      <c r="R45" s="109">
        <f t="shared" si="21"/>
        <v>0</v>
      </c>
      <c r="S45" s="3">
        <f t="shared" si="22"/>
        <v>0</v>
      </c>
      <c r="T45" s="91"/>
      <c r="U45" s="91"/>
      <c r="V45" s="91"/>
      <c r="W45" s="91"/>
      <c r="X45" s="91"/>
      <c r="Y45" s="91"/>
      <c r="Z45" s="91"/>
      <c r="AA45" s="91"/>
      <c r="AB45" s="91"/>
      <c r="AC45" s="91"/>
      <c r="AD45" s="91"/>
      <c r="AE45" s="91"/>
      <c r="AF45" s="91"/>
      <c r="AG45" s="91"/>
      <c r="AH45" s="91"/>
      <c r="AI45" s="91"/>
      <c r="AJ45" s="91"/>
      <c r="AK45" s="91"/>
      <c r="AL45" s="91"/>
      <c r="AM45" s="91"/>
    </row>
    <row r="46" spans="1:39" s="92" customFormat="1" x14ac:dyDescent="0.2">
      <c r="A46" s="87">
        <v>41265.040999999997</v>
      </c>
      <c r="B46" s="15" t="s">
        <v>365</v>
      </c>
      <c r="C46" s="14"/>
      <c r="D46" s="13">
        <f t="shared" si="25"/>
        <v>0</v>
      </c>
      <c r="E46" s="148"/>
      <c r="F46" s="406">
        <f t="shared" si="26"/>
        <v>0</v>
      </c>
      <c r="G46" s="406">
        <f t="shared" si="26"/>
        <v>0</v>
      </c>
      <c r="H46" s="406">
        <f t="shared" si="26"/>
        <v>0</v>
      </c>
      <c r="I46" s="406">
        <f t="shared" si="26"/>
        <v>0</v>
      </c>
      <c r="J46" s="406">
        <f t="shared" si="26"/>
        <v>0</v>
      </c>
      <c r="K46" s="406">
        <f t="shared" si="26"/>
        <v>0</v>
      </c>
      <c r="L46" s="406">
        <f t="shared" si="26"/>
        <v>0</v>
      </c>
      <c r="M46" s="406">
        <f t="shared" si="26"/>
        <v>0</v>
      </c>
      <c r="N46" s="406">
        <f t="shared" si="26"/>
        <v>0</v>
      </c>
      <c r="O46" s="406">
        <f t="shared" si="26"/>
        <v>0</v>
      </c>
      <c r="P46" s="406">
        <f t="shared" si="26"/>
        <v>0</v>
      </c>
      <c r="Q46" s="406">
        <f t="shared" si="26"/>
        <v>0</v>
      </c>
      <c r="R46" s="379">
        <f t="shared" ref="R46" si="28">SUM(F46:Q46)</f>
        <v>0</v>
      </c>
      <c r="S46" s="7">
        <f t="shared" ref="S46" si="29">C46-R46</f>
        <v>0</v>
      </c>
      <c r="T46" s="91"/>
      <c r="U46" s="91"/>
      <c r="V46" s="91"/>
      <c r="W46" s="91"/>
      <c r="X46" s="91"/>
      <c r="Y46" s="91"/>
      <c r="Z46" s="91"/>
      <c r="AA46" s="91"/>
      <c r="AB46" s="91"/>
      <c r="AC46" s="91"/>
      <c r="AD46" s="91"/>
      <c r="AE46" s="91"/>
      <c r="AF46" s="91"/>
      <c r="AG46" s="91"/>
      <c r="AH46" s="91"/>
      <c r="AI46" s="91"/>
      <c r="AJ46" s="91"/>
      <c r="AK46" s="91"/>
      <c r="AL46" s="91"/>
      <c r="AM46" s="91"/>
    </row>
    <row r="47" spans="1:39" s="92" customFormat="1" x14ac:dyDescent="0.2">
      <c r="A47" s="87">
        <v>41365.040999999997</v>
      </c>
      <c r="B47" s="15" t="s">
        <v>10</v>
      </c>
      <c r="C47" s="14">
        <f>'[6]Central Supply'!$J$21</f>
        <v>400</v>
      </c>
      <c r="D47" s="13">
        <f t="shared" si="25"/>
        <v>6.6112424177313519E-3</v>
      </c>
      <c r="E47" s="148"/>
      <c r="F47" s="406">
        <f t="shared" si="26"/>
        <v>28.659735880865412</v>
      </c>
      <c r="G47" s="406">
        <f t="shared" si="27"/>
        <v>32.157083119845296</v>
      </c>
      <c r="H47" s="406">
        <f t="shared" si="27"/>
        <v>27.192040064129049</v>
      </c>
      <c r="I47" s="406">
        <f t="shared" si="27"/>
        <v>31.866188453465117</v>
      </c>
      <c r="J47" s="406">
        <f t="shared" si="27"/>
        <v>34.894137480786078</v>
      </c>
      <c r="K47" s="406">
        <f t="shared" si="27"/>
        <v>39.072442688792293</v>
      </c>
      <c r="L47" s="406">
        <f t="shared" si="27"/>
        <v>30.920780787729534</v>
      </c>
      <c r="M47" s="406">
        <f t="shared" si="27"/>
        <v>33.307439300530554</v>
      </c>
      <c r="N47" s="406">
        <f t="shared" si="27"/>
        <v>32.844652331289353</v>
      </c>
      <c r="O47" s="406">
        <f t="shared" si="27"/>
        <v>34.947027420127924</v>
      </c>
      <c r="P47" s="406">
        <f t="shared" si="27"/>
        <v>41.373155050162801</v>
      </c>
      <c r="Q47" s="406">
        <f t="shared" si="27"/>
        <v>32.765317422276581</v>
      </c>
      <c r="R47" s="109">
        <f t="shared" si="21"/>
        <v>400</v>
      </c>
      <c r="S47" s="3">
        <f t="shared" si="22"/>
        <v>0</v>
      </c>
      <c r="T47" s="91"/>
      <c r="U47" s="91"/>
      <c r="V47" s="91"/>
      <c r="W47" s="91"/>
      <c r="X47" s="91"/>
      <c r="Y47" s="91"/>
      <c r="Z47" s="91"/>
      <c r="AA47" s="91"/>
      <c r="AB47" s="91"/>
      <c r="AC47" s="91"/>
      <c r="AD47" s="91"/>
      <c r="AE47" s="91"/>
      <c r="AF47" s="91"/>
      <c r="AG47" s="91"/>
      <c r="AH47" s="91"/>
      <c r="AI47" s="91"/>
      <c r="AJ47" s="91"/>
      <c r="AK47" s="91"/>
      <c r="AL47" s="91"/>
      <c r="AM47" s="91"/>
    </row>
    <row r="48" spans="1:39" s="92" customFormat="1" x14ac:dyDescent="0.2">
      <c r="A48" s="87">
        <v>41423.040999999997</v>
      </c>
      <c r="B48" s="15" t="s">
        <v>476</v>
      </c>
      <c r="C48" s="14"/>
      <c r="D48" s="13">
        <f t="shared" si="25"/>
        <v>0</v>
      </c>
      <c r="E48" s="148"/>
      <c r="F48" s="406">
        <f t="shared" si="26"/>
        <v>0</v>
      </c>
      <c r="G48" s="406">
        <f t="shared" si="27"/>
        <v>0</v>
      </c>
      <c r="H48" s="406">
        <f t="shared" si="27"/>
        <v>0</v>
      </c>
      <c r="I48" s="406">
        <f t="shared" si="27"/>
        <v>0</v>
      </c>
      <c r="J48" s="406">
        <f t="shared" si="27"/>
        <v>0</v>
      </c>
      <c r="K48" s="406">
        <f t="shared" si="27"/>
        <v>0</v>
      </c>
      <c r="L48" s="406">
        <f t="shared" si="27"/>
        <v>0</v>
      </c>
      <c r="M48" s="406">
        <f t="shared" si="27"/>
        <v>0</v>
      </c>
      <c r="N48" s="406">
        <f t="shared" si="27"/>
        <v>0</v>
      </c>
      <c r="O48" s="406">
        <f t="shared" si="27"/>
        <v>0</v>
      </c>
      <c r="P48" s="406">
        <f t="shared" si="27"/>
        <v>0</v>
      </c>
      <c r="Q48" s="406">
        <f t="shared" si="27"/>
        <v>0</v>
      </c>
      <c r="R48" s="109">
        <f t="shared" ref="R48:R49" si="30">SUM(F48:Q48)</f>
        <v>0</v>
      </c>
      <c r="S48" s="3">
        <f t="shared" ref="S48:S49" si="31">C48-R48</f>
        <v>0</v>
      </c>
      <c r="T48" s="91"/>
      <c r="U48" s="91"/>
      <c r="V48" s="91"/>
      <c r="W48" s="91"/>
      <c r="X48" s="91"/>
      <c r="Y48" s="91"/>
      <c r="Z48" s="91"/>
      <c r="AA48" s="91"/>
      <c r="AB48" s="91"/>
      <c r="AC48" s="91"/>
      <c r="AD48" s="91"/>
      <c r="AE48" s="91"/>
      <c r="AF48" s="91"/>
      <c r="AG48" s="91"/>
      <c r="AH48" s="91"/>
      <c r="AI48" s="91"/>
      <c r="AJ48" s="91"/>
      <c r="AK48" s="91"/>
      <c r="AL48" s="91"/>
      <c r="AM48" s="91"/>
    </row>
    <row r="49" spans="1:39" s="92" customFormat="1" x14ac:dyDescent="0.2">
      <c r="A49" s="87">
        <v>41426.040999999997</v>
      </c>
      <c r="B49" s="15" t="s">
        <v>8</v>
      </c>
      <c r="C49" s="14"/>
      <c r="D49" s="13">
        <f t="shared" si="25"/>
        <v>0</v>
      </c>
      <c r="E49" s="148"/>
      <c r="F49" s="406">
        <f t="shared" si="26"/>
        <v>0</v>
      </c>
      <c r="G49" s="406">
        <f t="shared" si="27"/>
        <v>0</v>
      </c>
      <c r="H49" s="406">
        <f t="shared" si="27"/>
        <v>0</v>
      </c>
      <c r="I49" s="406">
        <f t="shared" si="27"/>
        <v>0</v>
      </c>
      <c r="J49" s="406">
        <f t="shared" si="27"/>
        <v>0</v>
      </c>
      <c r="K49" s="406">
        <f t="shared" si="27"/>
        <v>0</v>
      </c>
      <c r="L49" s="406">
        <f t="shared" si="27"/>
        <v>0</v>
      </c>
      <c r="M49" s="406">
        <f t="shared" si="27"/>
        <v>0</v>
      </c>
      <c r="N49" s="406">
        <f t="shared" si="27"/>
        <v>0</v>
      </c>
      <c r="O49" s="406">
        <f t="shared" si="27"/>
        <v>0</v>
      </c>
      <c r="P49" s="406">
        <f t="shared" si="27"/>
        <v>0</v>
      </c>
      <c r="Q49" s="406">
        <f t="shared" si="27"/>
        <v>0</v>
      </c>
      <c r="R49" s="109">
        <f t="shared" si="30"/>
        <v>0</v>
      </c>
      <c r="S49" s="3">
        <f t="shared" si="31"/>
        <v>0</v>
      </c>
      <c r="T49" s="91"/>
      <c r="U49" s="91"/>
      <c r="V49" s="91"/>
      <c r="W49" s="91"/>
      <c r="X49" s="91"/>
      <c r="Y49" s="91"/>
      <c r="Z49" s="91"/>
      <c r="AA49" s="91"/>
      <c r="AB49" s="91"/>
      <c r="AC49" s="91"/>
      <c r="AD49" s="91"/>
      <c r="AE49" s="91"/>
      <c r="AF49" s="91"/>
      <c r="AG49" s="91"/>
      <c r="AH49" s="91"/>
      <c r="AI49" s="91"/>
      <c r="AJ49" s="91"/>
      <c r="AK49" s="91"/>
      <c r="AL49" s="91"/>
      <c r="AM49" s="91"/>
    </row>
    <row r="50" spans="1:39" s="92" customFormat="1" x14ac:dyDescent="0.2">
      <c r="A50" s="87">
        <v>41432.040999999997</v>
      </c>
      <c r="B50" s="15" t="s">
        <v>460</v>
      </c>
      <c r="C50" s="14">
        <f>'[6]Central Supply'!$J$22</f>
        <v>11350</v>
      </c>
      <c r="D50" s="13">
        <f t="shared" si="25"/>
        <v>0.18759400360312711</v>
      </c>
      <c r="E50" s="148"/>
      <c r="F50" s="406">
        <f t="shared" si="26"/>
        <v>813.22000561955599</v>
      </c>
      <c r="G50" s="406">
        <f t="shared" si="27"/>
        <v>912.45723352561026</v>
      </c>
      <c r="H50" s="406">
        <f t="shared" si="27"/>
        <v>771.57413681966182</v>
      </c>
      <c r="I50" s="406">
        <f t="shared" si="27"/>
        <v>904.2030973670727</v>
      </c>
      <c r="J50" s="406">
        <f t="shared" si="27"/>
        <v>990.1211510173049</v>
      </c>
      <c r="K50" s="406">
        <f t="shared" si="27"/>
        <v>1108.6805612944813</v>
      </c>
      <c r="L50" s="406">
        <f t="shared" si="27"/>
        <v>877.37715485182548</v>
      </c>
      <c r="M50" s="406">
        <f t="shared" si="27"/>
        <v>945.09859015255438</v>
      </c>
      <c r="N50" s="406">
        <f t="shared" si="27"/>
        <v>931.96700990033548</v>
      </c>
      <c r="O50" s="406">
        <f t="shared" si="27"/>
        <v>991.62190304612989</v>
      </c>
      <c r="P50" s="406">
        <f t="shared" si="27"/>
        <v>1173.9632745483696</v>
      </c>
      <c r="Q50" s="406">
        <f t="shared" si="27"/>
        <v>929.715881857098</v>
      </c>
      <c r="R50" s="109">
        <f t="shared" si="21"/>
        <v>11350.000000000002</v>
      </c>
      <c r="S50" s="3">
        <f t="shared" ref="S50:S56" si="32">C50-R50</f>
        <v>0</v>
      </c>
      <c r="T50" s="91"/>
      <c r="U50" s="91"/>
      <c r="V50" s="91"/>
      <c r="W50" s="91"/>
      <c r="X50" s="91"/>
      <c r="Y50" s="91"/>
      <c r="Z50" s="91"/>
      <c r="AA50" s="91"/>
      <c r="AB50" s="91"/>
      <c r="AC50" s="91"/>
      <c r="AD50" s="91"/>
      <c r="AE50" s="91"/>
      <c r="AF50" s="91"/>
      <c r="AG50" s="91"/>
      <c r="AH50" s="91"/>
      <c r="AI50" s="91"/>
      <c r="AJ50" s="91"/>
      <c r="AK50" s="91"/>
      <c r="AL50" s="91"/>
      <c r="AM50" s="91"/>
    </row>
    <row r="51" spans="1:39" s="92" customFormat="1" x14ac:dyDescent="0.2">
      <c r="A51" s="87">
        <v>41439.040999999997</v>
      </c>
      <c r="B51" s="15" t="s">
        <v>366</v>
      </c>
      <c r="C51" s="14">
        <f>'[6]Central Supply'!$J$23</f>
        <v>283</v>
      </c>
      <c r="D51" s="13">
        <f t="shared" si="25"/>
        <v>4.6774540105449314E-3</v>
      </c>
      <c r="E51" s="148"/>
      <c r="F51" s="406">
        <f t="shared" si="26"/>
        <v>20.276763135712276</v>
      </c>
      <c r="G51" s="406">
        <f t="shared" si="27"/>
        <v>22.751136307290547</v>
      </c>
      <c r="H51" s="406">
        <f t="shared" si="27"/>
        <v>19.238368345371303</v>
      </c>
      <c r="I51" s="406">
        <f t="shared" si="27"/>
        <v>22.545328330826571</v>
      </c>
      <c r="J51" s="406">
        <f t="shared" si="27"/>
        <v>24.68760226765615</v>
      </c>
      <c r="K51" s="406">
        <f t="shared" si="27"/>
        <v>27.643753202320546</v>
      </c>
      <c r="L51" s="406">
        <f t="shared" si="27"/>
        <v>21.876452407318645</v>
      </c>
      <c r="M51" s="406">
        <f t="shared" si="27"/>
        <v>23.565013305125365</v>
      </c>
      <c r="N51" s="406">
        <f t="shared" si="27"/>
        <v>23.23759152438722</v>
      </c>
      <c r="O51" s="406">
        <f t="shared" si="27"/>
        <v>24.725021899740508</v>
      </c>
      <c r="P51" s="406">
        <f t="shared" si="27"/>
        <v>29.271507197990182</v>
      </c>
      <c r="Q51" s="406">
        <f t="shared" si="27"/>
        <v>23.181462076260679</v>
      </c>
      <c r="R51" s="109">
        <f t="shared" si="21"/>
        <v>283</v>
      </c>
      <c r="S51" s="3">
        <f t="shared" si="32"/>
        <v>0</v>
      </c>
      <c r="T51" s="91"/>
      <c r="U51" s="91"/>
      <c r="V51" s="91"/>
      <c r="W51" s="91"/>
      <c r="X51" s="91"/>
      <c r="Y51" s="91"/>
      <c r="Z51" s="91"/>
      <c r="AA51" s="91"/>
      <c r="AB51" s="91"/>
      <c r="AC51" s="91"/>
      <c r="AD51" s="91"/>
      <c r="AE51" s="91"/>
      <c r="AF51" s="91"/>
      <c r="AG51" s="91"/>
      <c r="AH51" s="91"/>
      <c r="AI51" s="91"/>
      <c r="AJ51" s="91"/>
      <c r="AK51" s="91"/>
      <c r="AL51" s="91"/>
      <c r="AM51" s="91"/>
    </row>
    <row r="52" spans="1:39" s="92" customFormat="1" x14ac:dyDescent="0.2">
      <c r="A52" s="87">
        <v>41440.040999999997</v>
      </c>
      <c r="B52" s="15" t="s">
        <v>477</v>
      </c>
      <c r="C52" s="14"/>
      <c r="D52" s="13">
        <f t="shared" si="25"/>
        <v>0</v>
      </c>
      <c r="E52" s="148"/>
      <c r="F52" s="406">
        <f t="shared" si="26"/>
        <v>0</v>
      </c>
      <c r="G52" s="406">
        <f t="shared" si="27"/>
        <v>0</v>
      </c>
      <c r="H52" s="406">
        <f t="shared" si="27"/>
        <v>0</v>
      </c>
      <c r="I52" s="406">
        <f t="shared" si="27"/>
        <v>0</v>
      </c>
      <c r="J52" s="406">
        <f t="shared" si="27"/>
        <v>0</v>
      </c>
      <c r="K52" s="406">
        <f t="shared" si="27"/>
        <v>0</v>
      </c>
      <c r="L52" s="406">
        <f t="shared" si="27"/>
        <v>0</v>
      </c>
      <c r="M52" s="406">
        <f t="shared" si="27"/>
        <v>0</v>
      </c>
      <c r="N52" s="406">
        <f t="shared" si="27"/>
        <v>0</v>
      </c>
      <c r="O52" s="406">
        <f t="shared" si="27"/>
        <v>0</v>
      </c>
      <c r="P52" s="406">
        <f t="shared" si="27"/>
        <v>0</v>
      </c>
      <c r="Q52" s="406">
        <f t="shared" si="27"/>
        <v>0</v>
      </c>
      <c r="R52" s="109">
        <f t="shared" ref="R52" si="33">SUM(F52:Q52)</f>
        <v>0</v>
      </c>
      <c r="S52" s="3">
        <f t="shared" si="32"/>
        <v>0</v>
      </c>
      <c r="T52" s="91"/>
      <c r="U52" s="91"/>
      <c r="V52" s="91"/>
      <c r="W52" s="91"/>
      <c r="X52" s="91"/>
      <c r="Y52" s="91"/>
      <c r="Z52" s="91"/>
      <c r="AA52" s="91"/>
      <c r="AB52" s="91"/>
      <c r="AC52" s="91"/>
      <c r="AD52" s="91"/>
      <c r="AE52" s="91"/>
      <c r="AF52" s="91"/>
      <c r="AG52" s="91"/>
      <c r="AH52" s="91"/>
      <c r="AI52" s="91"/>
      <c r="AJ52" s="91"/>
      <c r="AK52" s="91"/>
      <c r="AL52" s="91"/>
      <c r="AM52" s="91"/>
    </row>
    <row r="53" spans="1:39" s="92" customFormat="1" x14ac:dyDescent="0.2">
      <c r="A53" s="87">
        <v>41460.040999999997</v>
      </c>
      <c r="B53" s="15" t="s">
        <v>6</v>
      </c>
      <c r="C53" s="14"/>
      <c r="D53" s="13">
        <f t="shared" si="25"/>
        <v>0</v>
      </c>
      <c r="E53" s="148"/>
      <c r="F53" s="406">
        <f t="shared" si="26"/>
        <v>0</v>
      </c>
      <c r="G53" s="406">
        <f t="shared" si="27"/>
        <v>0</v>
      </c>
      <c r="H53" s="406">
        <f t="shared" si="27"/>
        <v>0</v>
      </c>
      <c r="I53" s="406">
        <f t="shared" si="27"/>
        <v>0</v>
      </c>
      <c r="J53" s="406">
        <f t="shared" si="27"/>
        <v>0</v>
      </c>
      <c r="K53" s="406">
        <f t="shared" si="27"/>
        <v>0</v>
      </c>
      <c r="L53" s="406">
        <f t="shared" si="27"/>
        <v>0</v>
      </c>
      <c r="M53" s="406">
        <f t="shared" si="27"/>
        <v>0</v>
      </c>
      <c r="N53" s="406">
        <f t="shared" si="27"/>
        <v>0</v>
      </c>
      <c r="O53" s="406">
        <f t="shared" si="27"/>
        <v>0</v>
      </c>
      <c r="P53" s="406">
        <f t="shared" si="27"/>
        <v>0</v>
      </c>
      <c r="Q53" s="406">
        <f t="shared" si="27"/>
        <v>0</v>
      </c>
      <c r="R53" s="109">
        <f t="shared" si="21"/>
        <v>0</v>
      </c>
      <c r="S53" s="3">
        <f t="shared" si="32"/>
        <v>0</v>
      </c>
      <c r="T53" s="91"/>
      <c r="U53" s="91"/>
      <c r="V53" s="91"/>
      <c r="W53" s="91"/>
      <c r="X53" s="91"/>
      <c r="Y53" s="91"/>
      <c r="Z53" s="91"/>
      <c r="AA53" s="91"/>
      <c r="AB53" s="91"/>
      <c r="AC53" s="91"/>
      <c r="AD53" s="91"/>
      <c r="AE53" s="91"/>
      <c r="AF53" s="91"/>
      <c r="AG53" s="91"/>
      <c r="AH53" s="91"/>
      <c r="AI53" s="91"/>
      <c r="AJ53" s="91"/>
      <c r="AK53" s="91"/>
      <c r="AL53" s="91"/>
      <c r="AM53" s="91"/>
    </row>
    <row r="54" spans="1:39" s="92" customFormat="1" x14ac:dyDescent="0.2">
      <c r="A54" s="87">
        <v>41509.040999999997</v>
      </c>
      <c r="B54" s="15" t="s">
        <v>3</v>
      </c>
      <c r="C54" s="14">
        <f>'[6]Central Supply'!$J$24</f>
        <v>27000</v>
      </c>
      <c r="D54" s="13">
        <f t="shared" si="25"/>
        <v>0.44625886319686625</v>
      </c>
      <c r="E54" s="148"/>
      <c r="F54" s="406">
        <f t="shared" si="26"/>
        <v>1934.5321719584151</v>
      </c>
      <c r="G54" s="406">
        <f t="shared" si="27"/>
        <v>2170.6031105895572</v>
      </c>
      <c r="H54" s="406">
        <f t="shared" si="27"/>
        <v>1835.462704328711</v>
      </c>
      <c r="I54" s="406">
        <f t="shared" si="27"/>
        <v>2150.9677206088954</v>
      </c>
      <c r="J54" s="406">
        <f t="shared" si="27"/>
        <v>2355.3542799530601</v>
      </c>
      <c r="K54" s="406">
        <f t="shared" si="27"/>
        <v>2637.3898814934796</v>
      </c>
      <c r="L54" s="406">
        <f t="shared" si="27"/>
        <v>2087.1527031717433</v>
      </c>
      <c r="M54" s="406">
        <f t="shared" si="27"/>
        <v>2248.2521527858121</v>
      </c>
      <c r="N54" s="406">
        <f t="shared" si="27"/>
        <v>2217.0140323620317</v>
      </c>
      <c r="O54" s="406">
        <f t="shared" si="27"/>
        <v>2358.9243508586351</v>
      </c>
      <c r="P54" s="406">
        <f t="shared" si="27"/>
        <v>2792.6879658859889</v>
      </c>
      <c r="Q54" s="406">
        <f t="shared" si="27"/>
        <v>2211.658926003669</v>
      </c>
      <c r="R54" s="109">
        <f t="shared" si="21"/>
        <v>27000.000000000007</v>
      </c>
      <c r="S54" s="3">
        <f t="shared" si="32"/>
        <v>0</v>
      </c>
      <c r="T54" s="91"/>
      <c r="U54" s="91"/>
      <c r="V54" s="91"/>
      <c r="W54" s="91"/>
      <c r="X54" s="91"/>
      <c r="Y54" s="91"/>
      <c r="Z54" s="91"/>
      <c r="AA54" s="91"/>
      <c r="AB54" s="91"/>
      <c r="AC54" s="91"/>
      <c r="AD54" s="91"/>
      <c r="AE54" s="91"/>
      <c r="AF54" s="91"/>
      <c r="AG54" s="91"/>
      <c r="AH54" s="91"/>
      <c r="AI54" s="91"/>
      <c r="AJ54" s="91"/>
      <c r="AK54" s="91"/>
      <c r="AL54" s="91"/>
      <c r="AM54" s="91"/>
    </row>
    <row r="55" spans="1:39" s="92" customFormat="1" x14ac:dyDescent="0.2">
      <c r="A55" s="87">
        <v>41570.040999999997</v>
      </c>
      <c r="B55" s="15" t="s">
        <v>2</v>
      </c>
      <c r="C55" s="14"/>
      <c r="D55" s="13">
        <f t="shared" si="25"/>
        <v>0</v>
      </c>
      <c r="E55" s="148"/>
      <c r="F55" s="406">
        <f t="shared" si="26"/>
        <v>0</v>
      </c>
      <c r="G55" s="406">
        <f t="shared" si="27"/>
        <v>0</v>
      </c>
      <c r="H55" s="406">
        <f t="shared" si="27"/>
        <v>0</v>
      </c>
      <c r="I55" s="406">
        <f t="shared" si="27"/>
        <v>0</v>
      </c>
      <c r="J55" s="406">
        <f t="shared" si="27"/>
        <v>0</v>
      </c>
      <c r="K55" s="406">
        <f t="shared" si="27"/>
        <v>0</v>
      </c>
      <c r="L55" s="406">
        <f t="shared" si="27"/>
        <v>0</v>
      </c>
      <c r="M55" s="406">
        <f t="shared" si="27"/>
        <v>0</v>
      </c>
      <c r="N55" s="406">
        <f t="shared" si="27"/>
        <v>0</v>
      </c>
      <c r="O55" s="406">
        <f t="shared" si="27"/>
        <v>0</v>
      </c>
      <c r="P55" s="406">
        <f t="shared" si="27"/>
        <v>0</v>
      </c>
      <c r="Q55" s="406">
        <f t="shared" si="27"/>
        <v>0</v>
      </c>
      <c r="R55" s="109">
        <f t="shared" si="21"/>
        <v>0</v>
      </c>
      <c r="S55" s="3">
        <f t="shared" si="32"/>
        <v>0</v>
      </c>
      <c r="T55" s="91"/>
      <c r="U55" s="91"/>
      <c r="V55" s="91"/>
      <c r="W55" s="91"/>
      <c r="X55" s="91"/>
      <c r="Y55" s="91"/>
      <c r="Z55" s="91"/>
      <c r="AA55" s="91"/>
      <c r="AB55" s="91"/>
      <c r="AC55" s="91"/>
      <c r="AD55" s="91"/>
      <c r="AE55" s="91"/>
      <c r="AF55" s="91"/>
      <c r="AG55" s="91"/>
      <c r="AH55" s="91"/>
      <c r="AI55" s="91"/>
      <c r="AJ55" s="91"/>
      <c r="AK55" s="91"/>
      <c r="AL55" s="91"/>
      <c r="AM55" s="91"/>
    </row>
    <row r="56" spans="1:39" s="170" customFormat="1" x14ac:dyDescent="0.2">
      <c r="A56" s="132"/>
      <c r="B56" s="77" t="s">
        <v>0</v>
      </c>
      <c r="C56" s="88">
        <f>SUM(C38:C55)</f>
        <v>255269.01513499999</v>
      </c>
      <c r="D56" s="104">
        <f>C56/C$4</f>
        <v>4.2191133519825463</v>
      </c>
      <c r="E56" s="165"/>
      <c r="F56" s="407">
        <f>SUM(F38:F55)</f>
        <v>19017.931856208193</v>
      </c>
      <c r="G56" s="407">
        <f t="shared" ref="G56:Q56" si="34">SUM(G38:G55)</f>
        <v>20620.385358062718</v>
      </c>
      <c r="H56" s="407">
        <f t="shared" si="34"/>
        <v>18282.421782327561</v>
      </c>
      <c r="I56" s="407">
        <f t="shared" si="34"/>
        <v>20624.789450046523</v>
      </c>
      <c r="J56" s="407">
        <f t="shared" si="34"/>
        <v>21691.650525829755</v>
      </c>
      <c r="K56" s="407">
        <f t="shared" si="34"/>
        <v>24236.077650631614</v>
      </c>
      <c r="L56" s="407">
        <f t="shared" si="34"/>
        <v>20000.83407961372</v>
      </c>
      <c r="M56" s="407">
        <f t="shared" si="34"/>
        <v>21347.047090163534</v>
      </c>
      <c r="N56" s="407">
        <f t="shared" si="34"/>
        <v>20964.948635916713</v>
      </c>
      <c r="O56" s="407">
        <f t="shared" si="34"/>
        <v>22168.697983507664</v>
      </c>
      <c r="P56" s="407">
        <f t="shared" si="34"/>
        <v>25389.039388066121</v>
      </c>
      <c r="Q56" s="407">
        <f t="shared" si="34"/>
        <v>20925.191334625866</v>
      </c>
      <c r="R56" s="109">
        <f t="shared" si="21"/>
        <v>255269.01513499999</v>
      </c>
      <c r="S56" s="96">
        <f t="shared" si="32"/>
        <v>0</v>
      </c>
      <c r="T56" s="169"/>
      <c r="U56" s="169"/>
      <c r="V56" s="169"/>
      <c r="W56" s="169"/>
      <c r="X56" s="169"/>
      <c r="Y56" s="169"/>
      <c r="Z56" s="169"/>
      <c r="AA56" s="169"/>
      <c r="AB56" s="169"/>
      <c r="AC56" s="169"/>
      <c r="AD56" s="169"/>
      <c r="AE56" s="169"/>
      <c r="AF56" s="169"/>
      <c r="AG56" s="169"/>
      <c r="AH56" s="169"/>
      <c r="AI56" s="169"/>
      <c r="AJ56" s="169"/>
      <c r="AK56" s="169"/>
      <c r="AL56" s="169"/>
      <c r="AM56" s="169"/>
    </row>
    <row r="57" spans="1:39" s="12" customFormat="1" x14ac:dyDescent="0.2">
      <c r="A57" s="4"/>
      <c r="B57" s="4"/>
      <c r="C57" s="7">
        <f>C56-C34</f>
        <v>-2139391.324914264</v>
      </c>
      <c r="D57" s="4"/>
      <c r="E57" s="4"/>
      <c r="F57" s="414"/>
      <c r="G57" s="414"/>
      <c r="H57" s="414"/>
      <c r="I57" s="414"/>
      <c r="J57" s="414"/>
      <c r="K57" s="414"/>
      <c r="L57" s="414"/>
      <c r="M57" s="414"/>
      <c r="N57" s="414"/>
      <c r="O57" s="414"/>
      <c r="P57" s="414"/>
      <c r="Q57" s="414"/>
      <c r="R57" s="414"/>
      <c r="S57" s="4"/>
      <c r="T57" s="4"/>
      <c r="U57" s="4"/>
      <c r="V57" s="4"/>
      <c r="W57" s="4"/>
      <c r="X57" s="4"/>
      <c r="Y57" s="4"/>
      <c r="Z57" s="4"/>
      <c r="AA57" s="4"/>
      <c r="AB57" s="4"/>
      <c r="AC57" s="4"/>
      <c r="AD57" s="4"/>
      <c r="AE57" s="4"/>
      <c r="AF57" s="4"/>
      <c r="AG57" s="4"/>
      <c r="AH57" s="4"/>
      <c r="AI57" s="4"/>
      <c r="AJ57" s="4"/>
      <c r="AK57" s="4"/>
      <c r="AL57" s="4"/>
      <c r="AM57" s="4"/>
    </row>
    <row r="58" spans="1:39" s="12" customFormat="1" x14ac:dyDescent="0.2">
      <c r="A58" s="4"/>
      <c r="B58" s="4"/>
      <c r="C58" s="7"/>
      <c r="D58" s="4"/>
      <c r="E58" s="4"/>
      <c r="F58" s="7"/>
      <c r="G58" s="7"/>
      <c r="H58" s="7"/>
      <c r="I58" s="7"/>
      <c r="J58" s="7"/>
      <c r="K58" s="7"/>
      <c r="L58" s="7"/>
      <c r="M58" s="7"/>
      <c r="N58" s="7"/>
      <c r="O58" s="7"/>
      <c r="P58" s="7"/>
      <c r="Q58" s="7"/>
      <c r="R58" s="7"/>
      <c r="S58" s="4"/>
      <c r="T58" s="4"/>
      <c r="U58" s="4"/>
      <c r="V58" s="4"/>
      <c r="W58" s="4"/>
      <c r="X58" s="4"/>
      <c r="Y58" s="4"/>
      <c r="Z58" s="4"/>
      <c r="AA58" s="4"/>
      <c r="AB58" s="4"/>
      <c r="AC58" s="4"/>
      <c r="AD58" s="4"/>
      <c r="AE58" s="4"/>
      <c r="AF58" s="4"/>
      <c r="AG58" s="4"/>
      <c r="AH58" s="4"/>
      <c r="AI58" s="4"/>
      <c r="AJ58" s="4"/>
      <c r="AK58" s="4"/>
      <c r="AL58" s="4"/>
      <c r="AM58" s="4"/>
    </row>
    <row r="59" spans="1:39" s="12" customFormat="1" x14ac:dyDescent="0.2">
      <c r="A59" s="4"/>
      <c r="B59" s="4"/>
      <c r="C59" s="7"/>
      <c r="D59" s="4"/>
      <c r="E59" s="4"/>
      <c r="F59" s="7"/>
      <c r="G59" s="7"/>
      <c r="H59" s="7"/>
      <c r="I59" s="7"/>
      <c r="J59" s="7"/>
      <c r="K59" s="7"/>
      <c r="L59" s="7"/>
      <c r="M59" s="7"/>
      <c r="N59" s="7"/>
      <c r="O59" s="7"/>
      <c r="P59" s="7"/>
      <c r="Q59" s="7"/>
      <c r="R59" s="7"/>
      <c r="S59" s="4"/>
      <c r="T59" s="4"/>
      <c r="U59" s="4"/>
      <c r="V59" s="4"/>
      <c r="W59" s="4"/>
      <c r="X59" s="4"/>
      <c r="Y59" s="4"/>
      <c r="Z59" s="4"/>
      <c r="AA59" s="4"/>
      <c r="AB59" s="4"/>
      <c r="AC59" s="4"/>
      <c r="AD59" s="4"/>
      <c r="AE59" s="4"/>
      <c r="AF59" s="4"/>
      <c r="AG59" s="4"/>
      <c r="AH59" s="4"/>
      <c r="AI59" s="4"/>
      <c r="AJ59" s="4"/>
      <c r="AK59" s="4"/>
      <c r="AL59" s="4"/>
      <c r="AM59" s="4"/>
    </row>
    <row r="60" spans="1:39" s="12" customFormat="1" x14ac:dyDescent="0.2">
      <c r="A60" s="4"/>
      <c r="B60" s="4"/>
      <c r="C60" s="7"/>
      <c r="D60" s="4"/>
      <c r="E60" s="4"/>
      <c r="F60" s="7"/>
      <c r="G60" s="7"/>
      <c r="H60" s="7"/>
      <c r="I60" s="7"/>
      <c r="J60" s="7"/>
      <c r="K60" s="7"/>
      <c r="L60" s="7"/>
      <c r="M60" s="7"/>
      <c r="N60" s="7"/>
      <c r="O60" s="7"/>
      <c r="P60" s="7"/>
      <c r="Q60" s="7"/>
      <c r="R60" s="7"/>
      <c r="S60" s="4"/>
      <c r="T60" s="4"/>
      <c r="U60" s="4"/>
      <c r="V60" s="4"/>
      <c r="W60" s="4"/>
      <c r="X60" s="4"/>
      <c r="Y60" s="4"/>
      <c r="Z60" s="4"/>
      <c r="AA60" s="4"/>
      <c r="AB60" s="4"/>
      <c r="AC60" s="4"/>
      <c r="AD60" s="4"/>
      <c r="AE60" s="4"/>
      <c r="AF60" s="4"/>
      <c r="AG60" s="4"/>
      <c r="AH60" s="4"/>
      <c r="AI60" s="4"/>
      <c r="AJ60" s="4"/>
      <c r="AK60" s="4"/>
      <c r="AL60" s="4"/>
      <c r="AM60" s="4"/>
    </row>
    <row r="61" spans="1:39" s="12" customFormat="1" x14ac:dyDescent="0.2">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s="12" customFormat="1" x14ac:dyDescent="0.2">
      <c r="A62" s="4"/>
      <c r="B62" s="4"/>
      <c r="C62" s="7"/>
      <c r="D62" s="4"/>
      <c r="E62" s="4"/>
      <c r="F62" s="7"/>
      <c r="G62" s="7"/>
      <c r="H62" s="7"/>
      <c r="I62" s="7"/>
      <c r="J62" s="7"/>
      <c r="K62" s="7"/>
      <c r="L62" s="7"/>
      <c r="M62" s="7"/>
      <c r="N62" s="7"/>
      <c r="O62" s="7"/>
      <c r="P62" s="7"/>
      <c r="Q62" s="7"/>
      <c r="R62" s="7"/>
      <c r="S62" s="4"/>
      <c r="T62" s="4"/>
      <c r="U62" s="4"/>
      <c r="V62" s="4"/>
      <c r="W62" s="4"/>
      <c r="X62" s="4"/>
      <c r="Y62" s="4"/>
      <c r="Z62" s="4"/>
      <c r="AA62" s="4"/>
      <c r="AB62" s="4"/>
      <c r="AC62" s="4"/>
      <c r="AD62" s="4"/>
      <c r="AE62" s="4"/>
      <c r="AF62" s="4"/>
      <c r="AG62" s="4"/>
      <c r="AH62" s="4"/>
      <c r="AI62" s="4"/>
      <c r="AJ62" s="4"/>
      <c r="AK62" s="4"/>
      <c r="AL62" s="4"/>
      <c r="AM62" s="4"/>
    </row>
    <row r="63" spans="1:39" s="12" customForma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s="12" customFormat="1" x14ac:dyDescent="0.2">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40" s="12" customFormat="1" x14ac:dyDescent="0.2">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40" s="12" customFormat="1" x14ac:dyDescent="0.2">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40" s="12" customFormat="1" x14ac:dyDescent="0.2">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40" s="12" customFormat="1"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40" s="12" customFormat="1" x14ac:dyDescent="0.2">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40" s="12" customFormat="1" x14ac:dyDescent="0.2">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40" x14ac:dyDescent="0.2">
      <c r="A71" s="16">
        <v>41211.040999999997</v>
      </c>
      <c r="B71" s="15" t="s">
        <v>459</v>
      </c>
    </row>
    <row r="72" spans="1:40" x14ac:dyDescent="0.2">
      <c r="B72" s="4" t="s">
        <v>461</v>
      </c>
      <c r="C72" s="7">
        <v>28385</v>
      </c>
    </row>
    <row r="73" spans="1:40" x14ac:dyDescent="0.2">
      <c r="B73" s="4" t="s">
        <v>462</v>
      </c>
      <c r="C73" s="7">
        <v>22444</v>
      </c>
    </row>
    <row r="74" spans="1:40" s="4" customFormat="1" x14ac:dyDescent="0.2">
      <c r="A74" s="2"/>
      <c r="B74" s="178" t="s">
        <v>463</v>
      </c>
      <c r="C74" s="179">
        <f>232+219+143350</f>
        <v>143801</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1"/>
    </row>
    <row r="75" spans="1:40" s="4" customFormat="1" x14ac:dyDescent="0.2">
      <c r="A75" s="2"/>
      <c r="B75" s="4" t="s">
        <v>464</v>
      </c>
      <c r="C75" s="179">
        <f>963+7842</f>
        <v>8805</v>
      </c>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1"/>
    </row>
    <row r="76" spans="1:40" s="4" customFormat="1" x14ac:dyDescent="0.2">
      <c r="A76" s="2"/>
      <c r="B76" s="4" t="s">
        <v>465</v>
      </c>
      <c r="C76" s="179">
        <v>32</v>
      </c>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1"/>
    </row>
    <row r="77" spans="1:40" s="4" customFormat="1" x14ac:dyDescent="0.2">
      <c r="A77" s="2"/>
      <c r="B77" s="4" t="s">
        <v>466</v>
      </c>
      <c r="C77" s="7">
        <v>1546</v>
      </c>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1"/>
    </row>
    <row r="78" spans="1:40" s="4" customFormat="1" x14ac:dyDescent="0.2">
      <c r="A78" s="2"/>
      <c r="B78" s="4" t="s">
        <v>467</v>
      </c>
      <c r="C78" s="7">
        <v>8139</v>
      </c>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1"/>
    </row>
    <row r="79" spans="1:40" s="4" customFormat="1" x14ac:dyDescent="0.2">
      <c r="A79" s="2"/>
      <c r="B79" s="4" t="s">
        <v>467</v>
      </c>
      <c r="C79" s="7"/>
      <c r="D79" s="4" t="s">
        <v>468</v>
      </c>
      <c r="E79" s="7">
        <v>18075</v>
      </c>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1"/>
    </row>
    <row r="80" spans="1:40" s="4" customFormat="1" x14ac:dyDescent="0.2">
      <c r="A80" s="2"/>
      <c r="B80" s="4" t="s">
        <v>469</v>
      </c>
      <c r="C80" s="7">
        <v>1966</v>
      </c>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1"/>
    </row>
    <row r="81" spans="1:40" s="4" customFormat="1" x14ac:dyDescent="0.2">
      <c r="A81" s="2"/>
      <c r="B81" s="4" t="s">
        <v>470</v>
      </c>
      <c r="C81" s="7">
        <v>30859</v>
      </c>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1"/>
    </row>
    <row r="82" spans="1:40" s="4" customFormat="1" x14ac:dyDescent="0.2">
      <c r="A82" s="2"/>
      <c r="B82" s="4" t="s">
        <v>470</v>
      </c>
      <c r="C82" s="7">
        <v>2903</v>
      </c>
      <c r="D82" s="4" t="s">
        <v>471</v>
      </c>
      <c r="E82" s="4" t="s">
        <v>472</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1"/>
    </row>
    <row r="83" spans="1:40" s="4" customFormat="1" x14ac:dyDescent="0.2">
      <c r="A83" s="2"/>
      <c r="C83" s="7">
        <f>SUM(C72:C82)</f>
        <v>248880</v>
      </c>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1"/>
    </row>
  </sheetData>
  <mergeCells count="2">
    <mergeCell ref="A8:D8"/>
    <mergeCell ref="A36:D36"/>
  </mergeCells>
  <printOptions gridLines="1"/>
  <pageMargins left="0.25" right="0.25" top="0.75" bottom="0.75" header="0.3" footer="0.3"/>
  <pageSetup scale="62" orientation="landscape" r:id="rId1"/>
  <headerFooter alignWithMargins="0">
    <oddHeader xml:space="preserve">&amp;C&amp;"Arial,Bold"&amp;14DOCTORS MEMORIAL HOSPITAL
FY 2017 BUDGET
</oddHeader>
    <oddFooter>&amp;R&amp;A</oddFooter>
  </headerFooter>
  <ignoredErrors>
    <ignoredError sqref="R52"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55"/>
  <sheetViews>
    <sheetView zoomScale="80" zoomScaleNormal="80" workbookViewId="0">
      <pane xSplit="2" ySplit="7" topLeftCell="C17" activePane="bottomRight" state="frozen"/>
      <selection pane="topRight" activeCell="C1" sqref="C1"/>
      <selection pane="bottomLeft" activeCell="A8" sqref="A8"/>
      <selection pane="bottomRight" activeCell="S47" sqref="S47"/>
    </sheetView>
  </sheetViews>
  <sheetFormatPr defaultRowHeight="12.75" x14ac:dyDescent="0.2"/>
  <cols>
    <col min="1" max="1" width="9.42578125" style="2" bestFit="1" customWidth="1"/>
    <col min="2" max="2" width="28.28515625" style="2" customWidth="1"/>
    <col min="3" max="3" width="12.5703125" style="2" customWidth="1"/>
    <col min="4" max="4" width="9.28515625" style="4" customWidth="1"/>
    <col min="5" max="5" width="3" style="4" customWidth="1"/>
    <col min="6" max="11" width="11.28515625" style="7" bestFit="1" customWidth="1"/>
    <col min="12" max="17" width="11.28515625" style="3" bestFit="1" customWidth="1"/>
    <col min="18" max="18" width="12.28515625" style="96" bestFit="1" customWidth="1"/>
    <col min="19" max="21" width="11.7109375" style="3" customWidth="1"/>
    <col min="22" max="22" width="9.140625" style="3" customWidth="1"/>
    <col min="23" max="183" width="9.140625" style="1"/>
    <col min="184" max="184" width="34.85546875" style="1" bestFit="1" customWidth="1"/>
    <col min="185" max="185" width="16" style="1" customWidth="1"/>
    <col min="186" max="186" width="9.28515625" style="1" customWidth="1"/>
    <col min="187" max="187" width="12.28515625" style="1" customWidth="1"/>
    <col min="188" max="188" width="10.140625" style="1" customWidth="1"/>
    <col min="189" max="189" width="10.28515625" style="1" customWidth="1"/>
    <col min="190" max="190" width="9.5703125" style="1" customWidth="1"/>
    <col min="191" max="191" width="12.7109375" style="1" customWidth="1"/>
    <col min="192" max="192" width="9.42578125" style="1" customWidth="1"/>
    <col min="193" max="193" width="15.28515625" style="1" customWidth="1"/>
    <col min="194" max="195" width="11.7109375" style="1" customWidth="1"/>
    <col min="196" max="207" width="10.5703125" style="1" customWidth="1"/>
    <col min="208" max="208" width="11.140625" style="1" customWidth="1"/>
    <col min="209" max="211" width="11.7109375" style="1" customWidth="1"/>
    <col min="212" max="213" width="9.140625" style="1" customWidth="1"/>
    <col min="214" max="225" width="9.85546875" style="1" customWidth="1"/>
    <col min="226" max="226" width="12.85546875" style="1" customWidth="1"/>
    <col min="227" max="230" width="9.140625" style="1" customWidth="1"/>
    <col min="231" max="231" width="9.28515625" style="1" customWidth="1"/>
    <col min="232" max="232" width="10.28515625" style="1" customWidth="1"/>
    <col min="233" max="243" width="9.140625" style="1" customWidth="1"/>
    <col min="244" max="244" width="9.85546875" style="1" customWidth="1"/>
    <col min="245" max="245" width="10.28515625" style="1" customWidth="1"/>
    <col min="246" max="249" width="9.140625" style="1" customWidth="1"/>
    <col min="250" max="250" width="10.28515625" style="1" bestFit="1" customWidth="1"/>
    <col min="251" max="261" width="9.85546875" style="1" bestFit="1" customWidth="1"/>
    <col min="262" max="262" width="11.28515625" style="1" bestFit="1" customWidth="1"/>
    <col min="263" max="439" width="9.140625" style="1"/>
    <col min="440" max="440" width="34.85546875" style="1" bestFit="1" customWidth="1"/>
    <col min="441" max="441" width="16" style="1" customWidth="1"/>
    <col min="442" max="442" width="9.28515625" style="1" customWidth="1"/>
    <col min="443" max="443" width="12.28515625" style="1" customWidth="1"/>
    <col min="444" max="444" width="10.140625" style="1" customWidth="1"/>
    <col min="445" max="445" width="10.28515625" style="1" customWidth="1"/>
    <col min="446" max="446" width="9.5703125" style="1" customWidth="1"/>
    <col min="447" max="447" width="12.7109375" style="1" customWidth="1"/>
    <col min="448" max="448" width="9.42578125" style="1" customWidth="1"/>
    <col min="449" max="449" width="15.28515625" style="1" customWidth="1"/>
    <col min="450" max="451" width="11.7109375" style="1" customWidth="1"/>
    <col min="452" max="463" width="10.5703125" style="1" customWidth="1"/>
    <col min="464" max="464" width="11.140625" style="1" customWidth="1"/>
    <col min="465" max="467" width="11.7109375" style="1" customWidth="1"/>
    <col min="468" max="469" width="9.140625" style="1" customWidth="1"/>
    <col min="470" max="481" width="9.85546875" style="1" customWidth="1"/>
    <col min="482" max="482" width="12.85546875" style="1" customWidth="1"/>
    <col min="483" max="486" width="9.140625" style="1" customWidth="1"/>
    <col min="487" max="487" width="9.28515625" style="1" customWidth="1"/>
    <col min="488" max="488" width="10.28515625" style="1" customWidth="1"/>
    <col min="489" max="499" width="9.140625" style="1" customWidth="1"/>
    <col min="500" max="500" width="9.85546875" style="1" customWidth="1"/>
    <col min="501" max="501" width="10.28515625" style="1" customWidth="1"/>
    <col min="502" max="505" width="9.140625" style="1" customWidth="1"/>
    <col min="506" max="506" width="10.28515625" style="1" bestFit="1" customWidth="1"/>
    <col min="507" max="517" width="9.85546875" style="1" bestFit="1" customWidth="1"/>
    <col min="518" max="518" width="11.28515625" style="1" bestFit="1" customWidth="1"/>
    <col min="519" max="695" width="9.140625" style="1"/>
    <col min="696" max="696" width="34.85546875" style="1" bestFit="1" customWidth="1"/>
    <col min="697" max="697" width="16" style="1" customWidth="1"/>
    <col min="698" max="698" width="9.28515625" style="1" customWidth="1"/>
    <col min="699" max="699" width="12.28515625" style="1" customWidth="1"/>
    <col min="700" max="700" width="10.140625" style="1" customWidth="1"/>
    <col min="701" max="701" width="10.28515625" style="1" customWidth="1"/>
    <col min="702" max="702" width="9.5703125" style="1" customWidth="1"/>
    <col min="703" max="703" width="12.7109375" style="1" customWidth="1"/>
    <col min="704" max="704" width="9.42578125" style="1" customWidth="1"/>
    <col min="705" max="705" width="15.28515625" style="1" customWidth="1"/>
    <col min="706" max="707" width="11.7109375" style="1" customWidth="1"/>
    <col min="708" max="719" width="10.5703125" style="1" customWidth="1"/>
    <col min="720" max="720" width="11.140625" style="1" customWidth="1"/>
    <col min="721" max="723" width="11.7109375" style="1" customWidth="1"/>
    <col min="724" max="725" width="9.140625" style="1" customWidth="1"/>
    <col min="726" max="737" width="9.85546875" style="1" customWidth="1"/>
    <col min="738" max="738" width="12.85546875" style="1" customWidth="1"/>
    <col min="739" max="742" width="9.140625" style="1" customWidth="1"/>
    <col min="743" max="743" width="9.28515625" style="1" customWidth="1"/>
    <col min="744" max="744" width="10.28515625" style="1" customWidth="1"/>
    <col min="745" max="755" width="9.140625" style="1" customWidth="1"/>
    <col min="756" max="756" width="9.85546875" style="1" customWidth="1"/>
    <col min="757" max="757" width="10.28515625" style="1" customWidth="1"/>
    <col min="758" max="761" width="9.140625" style="1" customWidth="1"/>
    <col min="762" max="762" width="10.28515625" style="1" bestFit="1" customWidth="1"/>
    <col min="763" max="773" width="9.85546875" style="1" bestFit="1" customWidth="1"/>
    <col min="774" max="774" width="11.28515625" style="1" bestFit="1" customWidth="1"/>
    <col min="775" max="951" width="9.140625" style="1"/>
    <col min="952" max="952" width="34.85546875" style="1" bestFit="1" customWidth="1"/>
    <col min="953" max="953" width="16" style="1" customWidth="1"/>
    <col min="954" max="954" width="9.28515625" style="1" customWidth="1"/>
    <col min="955" max="955" width="12.28515625" style="1" customWidth="1"/>
    <col min="956" max="956" width="10.140625" style="1" customWidth="1"/>
    <col min="957" max="957" width="10.28515625" style="1" customWidth="1"/>
    <col min="958" max="958" width="9.5703125" style="1" customWidth="1"/>
    <col min="959" max="959" width="12.7109375" style="1" customWidth="1"/>
    <col min="960" max="960" width="9.42578125" style="1" customWidth="1"/>
    <col min="961" max="961" width="15.28515625" style="1" customWidth="1"/>
    <col min="962" max="963" width="11.7109375" style="1" customWidth="1"/>
    <col min="964" max="975" width="10.5703125" style="1" customWidth="1"/>
    <col min="976" max="976" width="11.140625" style="1" customWidth="1"/>
    <col min="977" max="979" width="11.7109375" style="1" customWidth="1"/>
    <col min="980" max="981" width="9.140625" style="1" customWidth="1"/>
    <col min="982" max="993" width="9.85546875" style="1" customWidth="1"/>
    <col min="994" max="994" width="12.85546875" style="1" customWidth="1"/>
    <col min="995" max="998" width="9.140625" style="1" customWidth="1"/>
    <col min="999" max="999" width="9.28515625" style="1" customWidth="1"/>
    <col min="1000" max="1000" width="10.28515625" style="1" customWidth="1"/>
    <col min="1001" max="1011" width="9.140625" style="1" customWidth="1"/>
    <col min="1012" max="1012" width="9.85546875" style="1" customWidth="1"/>
    <col min="1013" max="1013" width="10.28515625" style="1" customWidth="1"/>
    <col min="1014" max="1017" width="9.140625" style="1" customWidth="1"/>
    <col min="1018" max="1018" width="10.28515625" style="1" bestFit="1" customWidth="1"/>
    <col min="1019" max="1029" width="9.85546875" style="1" bestFit="1" customWidth="1"/>
    <col min="1030" max="1030" width="11.28515625" style="1" bestFit="1" customWidth="1"/>
    <col min="1031" max="1207" width="9.140625" style="1"/>
    <col min="1208" max="1208" width="34.85546875" style="1" bestFit="1" customWidth="1"/>
    <col min="1209" max="1209" width="16" style="1" customWidth="1"/>
    <col min="1210" max="1210" width="9.28515625" style="1" customWidth="1"/>
    <col min="1211" max="1211" width="12.28515625" style="1" customWidth="1"/>
    <col min="1212" max="1212" width="10.140625" style="1" customWidth="1"/>
    <col min="1213" max="1213" width="10.28515625" style="1" customWidth="1"/>
    <col min="1214" max="1214" width="9.5703125" style="1" customWidth="1"/>
    <col min="1215" max="1215" width="12.7109375" style="1" customWidth="1"/>
    <col min="1216" max="1216" width="9.42578125" style="1" customWidth="1"/>
    <col min="1217" max="1217" width="15.28515625" style="1" customWidth="1"/>
    <col min="1218" max="1219" width="11.7109375" style="1" customWidth="1"/>
    <col min="1220" max="1231" width="10.5703125" style="1" customWidth="1"/>
    <col min="1232" max="1232" width="11.140625" style="1" customWidth="1"/>
    <col min="1233" max="1235" width="11.7109375" style="1" customWidth="1"/>
    <col min="1236" max="1237" width="9.140625" style="1" customWidth="1"/>
    <col min="1238" max="1249" width="9.85546875" style="1" customWidth="1"/>
    <col min="1250" max="1250" width="12.85546875" style="1" customWidth="1"/>
    <col min="1251" max="1254" width="9.140625" style="1" customWidth="1"/>
    <col min="1255" max="1255" width="9.28515625" style="1" customWidth="1"/>
    <col min="1256" max="1256" width="10.28515625" style="1" customWidth="1"/>
    <col min="1257" max="1267" width="9.140625" style="1" customWidth="1"/>
    <col min="1268" max="1268" width="9.85546875" style="1" customWidth="1"/>
    <col min="1269" max="1269" width="10.28515625" style="1" customWidth="1"/>
    <col min="1270" max="1273" width="9.140625" style="1" customWidth="1"/>
    <col min="1274" max="1274" width="10.28515625" style="1" bestFit="1" customWidth="1"/>
    <col min="1275" max="1285" width="9.85546875" style="1" bestFit="1" customWidth="1"/>
    <col min="1286" max="1286" width="11.28515625" style="1" bestFit="1" customWidth="1"/>
    <col min="1287" max="1463" width="9.140625" style="1"/>
    <col min="1464" max="1464" width="34.85546875" style="1" bestFit="1" customWidth="1"/>
    <col min="1465" max="1465" width="16" style="1" customWidth="1"/>
    <col min="1466" max="1466" width="9.28515625" style="1" customWidth="1"/>
    <col min="1467" max="1467" width="12.28515625" style="1" customWidth="1"/>
    <col min="1468" max="1468" width="10.140625" style="1" customWidth="1"/>
    <col min="1469" max="1469" width="10.28515625" style="1" customWidth="1"/>
    <col min="1470" max="1470" width="9.5703125" style="1" customWidth="1"/>
    <col min="1471" max="1471" width="12.7109375" style="1" customWidth="1"/>
    <col min="1472" max="1472" width="9.42578125" style="1" customWidth="1"/>
    <col min="1473" max="1473" width="15.28515625" style="1" customWidth="1"/>
    <col min="1474" max="1475" width="11.7109375" style="1" customWidth="1"/>
    <col min="1476" max="1487" width="10.5703125" style="1" customWidth="1"/>
    <col min="1488" max="1488" width="11.140625" style="1" customWidth="1"/>
    <col min="1489" max="1491" width="11.7109375" style="1" customWidth="1"/>
    <col min="1492" max="1493" width="9.140625" style="1" customWidth="1"/>
    <col min="1494" max="1505" width="9.85546875" style="1" customWidth="1"/>
    <col min="1506" max="1506" width="12.85546875" style="1" customWidth="1"/>
    <col min="1507" max="1510" width="9.140625" style="1" customWidth="1"/>
    <col min="1511" max="1511" width="9.28515625" style="1" customWidth="1"/>
    <col min="1512" max="1512" width="10.28515625" style="1" customWidth="1"/>
    <col min="1513" max="1523" width="9.140625" style="1" customWidth="1"/>
    <col min="1524" max="1524" width="9.85546875" style="1" customWidth="1"/>
    <col min="1525" max="1525" width="10.28515625" style="1" customWidth="1"/>
    <col min="1526" max="1529" width="9.140625" style="1" customWidth="1"/>
    <col min="1530" max="1530" width="10.28515625" style="1" bestFit="1" customWidth="1"/>
    <col min="1531" max="1541" width="9.85546875" style="1" bestFit="1" customWidth="1"/>
    <col min="1542" max="1542" width="11.28515625" style="1" bestFit="1" customWidth="1"/>
    <col min="1543" max="1719" width="9.140625" style="1"/>
    <col min="1720" max="1720" width="34.85546875" style="1" bestFit="1" customWidth="1"/>
    <col min="1721" max="1721" width="16" style="1" customWidth="1"/>
    <col min="1722" max="1722" width="9.28515625" style="1" customWidth="1"/>
    <col min="1723" max="1723" width="12.28515625" style="1" customWidth="1"/>
    <col min="1724" max="1724" width="10.140625" style="1" customWidth="1"/>
    <col min="1725" max="1725" width="10.28515625" style="1" customWidth="1"/>
    <col min="1726" max="1726" width="9.5703125" style="1" customWidth="1"/>
    <col min="1727" max="1727" width="12.7109375" style="1" customWidth="1"/>
    <col min="1728" max="1728" width="9.42578125" style="1" customWidth="1"/>
    <col min="1729" max="1729" width="15.28515625" style="1" customWidth="1"/>
    <col min="1730" max="1731" width="11.7109375" style="1" customWidth="1"/>
    <col min="1732" max="1743" width="10.5703125" style="1" customWidth="1"/>
    <col min="1744" max="1744" width="11.140625" style="1" customWidth="1"/>
    <col min="1745" max="1747" width="11.7109375" style="1" customWidth="1"/>
    <col min="1748" max="1749" width="9.140625" style="1" customWidth="1"/>
    <col min="1750" max="1761" width="9.85546875" style="1" customWidth="1"/>
    <col min="1762" max="1762" width="12.85546875" style="1" customWidth="1"/>
    <col min="1763" max="1766" width="9.140625" style="1" customWidth="1"/>
    <col min="1767" max="1767" width="9.28515625" style="1" customWidth="1"/>
    <col min="1768" max="1768" width="10.28515625" style="1" customWidth="1"/>
    <col min="1769" max="1779" width="9.140625" style="1" customWidth="1"/>
    <col min="1780" max="1780" width="9.85546875" style="1" customWidth="1"/>
    <col min="1781" max="1781" width="10.28515625" style="1" customWidth="1"/>
    <col min="1782" max="1785" width="9.140625" style="1" customWidth="1"/>
    <col min="1786" max="1786" width="10.28515625" style="1" bestFit="1" customWidth="1"/>
    <col min="1787" max="1797" width="9.85546875" style="1" bestFit="1" customWidth="1"/>
    <col min="1798" max="1798" width="11.28515625" style="1" bestFit="1" customWidth="1"/>
    <col min="1799" max="1975" width="9.140625" style="1"/>
    <col min="1976" max="1976" width="34.85546875" style="1" bestFit="1" customWidth="1"/>
    <col min="1977" max="1977" width="16" style="1" customWidth="1"/>
    <col min="1978" max="1978" width="9.28515625" style="1" customWidth="1"/>
    <col min="1979" max="1979" width="12.28515625" style="1" customWidth="1"/>
    <col min="1980" max="1980" width="10.140625" style="1" customWidth="1"/>
    <col min="1981" max="1981" width="10.28515625" style="1" customWidth="1"/>
    <col min="1982" max="1982" width="9.5703125" style="1" customWidth="1"/>
    <col min="1983" max="1983" width="12.7109375" style="1" customWidth="1"/>
    <col min="1984" max="1984" width="9.42578125" style="1" customWidth="1"/>
    <col min="1985" max="1985" width="15.28515625" style="1" customWidth="1"/>
    <col min="1986" max="1987" width="11.7109375" style="1" customWidth="1"/>
    <col min="1988" max="1999" width="10.5703125" style="1" customWidth="1"/>
    <col min="2000" max="2000" width="11.140625" style="1" customWidth="1"/>
    <col min="2001" max="2003" width="11.7109375" style="1" customWidth="1"/>
    <col min="2004" max="2005" width="9.140625" style="1" customWidth="1"/>
    <col min="2006" max="2017" width="9.85546875" style="1" customWidth="1"/>
    <col min="2018" max="2018" width="12.85546875" style="1" customWidth="1"/>
    <col min="2019" max="2022" width="9.140625" style="1" customWidth="1"/>
    <col min="2023" max="2023" width="9.28515625" style="1" customWidth="1"/>
    <col min="2024" max="2024" width="10.28515625" style="1" customWidth="1"/>
    <col min="2025" max="2035" width="9.140625" style="1" customWidth="1"/>
    <col min="2036" max="2036" width="9.85546875" style="1" customWidth="1"/>
    <col min="2037" max="2037" width="10.28515625" style="1" customWidth="1"/>
    <col min="2038" max="2041" width="9.140625" style="1" customWidth="1"/>
    <col min="2042" max="2042" width="10.28515625" style="1" bestFit="1" customWidth="1"/>
    <col min="2043" max="2053" width="9.85546875" style="1" bestFit="1" customWidth="1"/>
    <col min="2054" max="2054" width="11.28515625" style="1" bestFit="1" customWidth="1"/>
    <col min="2055" max="2231" width="9.140625" style="1"/>
    <col min="2232" max="2232" width="34.85546875" style="1" bestFit="1" customWidth="1"/>
    <col min="2233" max="2233" width="16" style="1" customWidth="1"/>
    <col min="2234" max="2234" width="9.28515625" style="1" customWidth="1"/>
    <col min="2235" max="2235" width="12.28515625" style="1" customWidth="1"/>
    <col min="2236" max="2236" width="10.140625" style="1" customWidth="1"/>
    <col min="2237" max="2237" width="10.28515625" style="1" customWidth="1"/>
    <col min="2238" max="2238" width="9.5703125" style="1" customWidth="1"/>
    <col min="2239" max="2239" width="12.7109375" style="1" customWidth="1"/>
    <col min="2240" max="2240" width="9.42578125" style="1" customWidth="1"/>
    <col min="2241" max="2241" width="15.28515625" style="1" customWidth="1"/>
    <col min="2242" max="2243" width="11.7109375" style="1" customWidth="1"/>
    <col min="2244" max="2255" width="10.5703125" style="1" customWidth="1"/>
    <col min="2256" max="2256" width="11.140625" style="1" customWidth="1"/>
    <col min="2257" max="2259" width="11.7109375" style="1" customWidth="1"/>
    <col min="2260" max="2261" width="9.140625" style="1" customWidth="1"/>
    <col min="2262" max="2273" width="9.85546875" style="1" customWidth="1"/>
    <col min="2274" max="2274" width="12.85546875" style="1" customWidth="1"/>
    <col min="2275" max="2278" width="9.140625" style="1" customWidth="1"/>
    <col min="2279" max="2279" width="9.28515625" style="1" customWidth="1"/>
    <col min="2280" max="2280" width="10.28515625" style="1" customWidth="1"/>
    <col min="2281" max="2291" width="9.140625" style="1" customWidth="1"/>
    <col min="2292" max="2292" width="9.85546875" style="1" customWidth="1"/>
    <col min="2293" max="2293" width="10.28515625" style="1" customWidth="1"/>
    <col min="2294" max="2297" width="9.140625" style="1" customWidth="1"/>
    <col min="2298" max="2298" width="10.28515625" style="1" bestFit="1" customWidth="1"/>
    <col min="2299" max="2309" width="9.85546875" style="1" bestFit="1" customWidth="1"/>
    <col min="2310" max="2310" width="11.28515625" style="1" bestFit="1" customWidth="1"/>
    <col min="2311" max="2487" width="9.140625" style="1"/>
    <col min="2488" max="2488" width="34.85546875" style="1" bestFit="1" customWidth="1"/>
    <col min="2489" max="2489" width="16" style="1" customWidth="1"/>
    <col min="2490" max="2490" width="9.28515625" style="1" customWidth="1"/>
    <col min="2491" max="2491" width="12.28515625" style="1" customWidth="1"/>
    <col min="2492" max="2492" width="10.140625" style="1" customWidth="1"/>
    <col min="2493" max="2493" width="10.28515625" style="1" customWidth="1"/>
    <col min="2494" max="2494" width="9.5703125" style="1" customWidth="1"/>
    <col min="2495" max="2495" width="12.7109375" style="1" customWidth="1"/>
    <col min="2496" max="2496" width="9.42578125" style="1" customWidth="1"/>
    <col min="2497" max="2497" width="15.28515625" style="1" customWidth="1"/>
    <col min="2498" max="2499" width="11.7109375" style="1" customWidth="1"/>
    <col min="2500" max="2511" width="10.5703125" style="1" customWidth="1"/>
    <col min="2512" max="2512" width="11.140625" style="1" customWidth="1"/>
    <col min="2513" max="2515" width="11.7109375" style="1" customWidth="1"/>
    <col min="2516" max="2517" width="9.140625" style="1" customWidth="1"/>
    <col min="2518" max="2529" width="9.85546875" style="1" customWidth="1"/>
    <col min="2530" max="2530" width="12.85546875" style="1" customWidth="1"/>
    <col min="2531" max="2534" width="9.140625" style="1" customWidth="1"/>
    <col min="2535" max="2535" width="9.28515625" style="1" customWidth="1"/>
    <col min="2536" max="2536" width="10.28515625" style="1" customWidth="1"/>
    <col min="2537" max="2547" width="9.140625" style="1" customWidth="1"/>
    <col min="2548" max="2548" width="9.85546875" style="1" customWidth="1"/>
    <col min="2549" max="2549" width="10.28515625" style="1" customWidth="1"/>
    <col min="2550" max="2553" width="9.140625" style="1" customWidth="1"/>
    <col min="2554" max="2554" width="10.28515625" style="1" bestFit="1" customWidth="1"/>
    <col min="2555" max="2565" width="9.85546875" style="1" bestFit="1" customWidth="1"/>
    <col min="2566" max="2566" width="11.28515625" style="1" bestFit="1" customWidth="1"/>
    <col min="2567" max="2743" width="9.140625" style="1"/>
    <col min="2744" max="2744" width="34.85546875" style="1" bestFit="1" customWidth="1"/>
    <col min="2745" max="2745" width="16" style="1" customWidth="1"/>
    <col min="2746" max="2746" width="9.28515625" style="1" customWidth="1"/>
    <col min="2747" max="2747" width="12.28515625" style="1" customWidth="1"/>
    <col min="2748" max="2748" width="10.140625" style="1" customWidth="1"/>
    <col min="2749" max="2749" width="10.28515625" style="1" customWidth="1"/>
    <col min="2750" max="2750" width="9.5703125" style="1" customWidth="1"/>
    <col min="2751" max="2751" width="12.7109375" style="1" customWidth="1"/>
    <col min="2752" max="2752" width="9.42578125" style="1" customWidth="1"/>
    <col min="2753" max="2753" width="15.28515625" style="1" customWidth="1"/>
    <col min="2754" max="2755" width="11.7109375" style="1" customWidth="1"/>
    <col min="2756" max="2767" width="10.5703125" style="1" customWidth="1"/>
    <col min="2768" max="2768" width="11.140625" style="1" customWidth="1"/>
    <col min="2769" max="2771" width="11.7109375" style="1" customWidth="1"/>
    <col min="2772" max="2773" width="9.140625" style="1" customWidth="1"/>
    <col min="2774" max="2785" width="9.85546875" style="1" customWidth="1"/>
    <col min="2786" max="2786" width="12.85546875" style="1" customWidth="1"/>
    <col min="2787" max="2790" width="9.140625" style="1" customWidth="1"/>
    <col min="2791" max="2791" width="9.28515625" style="1" customWidth="1"/>
    <col min="2792" max="2792" width="10.28515625" style="1" customWidth="1"/>
    <col min="2793" max="2803" width="9.140625" style="1" customWidth="1"/>
    <col min="2804" max="2804" width="9.85546875" style="1" customWidth="1"/>
    <col min="2805" max="2805" width="10.28515625" style="1" customWidth="1"/>
    <col min="2806" max="2809" width="9.140625" style="1" customWidth="1"/>
    <col min="2810" max="2810" width="10.28515625" style="1" bestFit="1" customWidth="1"/>
    <col min="2811" max="2821" width="9.85546875" style="1" bestFit="1" customWidth="1"/>
    <col min="2822" max="2822" width="11.28515625" style="1" bestFit="1" customWidth="1"/>
    <col min="2823" max="2999" width="9.140625" style="1"/>
    <col min="3000" max="3000" width="34.85546875" style="1" bestFit="1" customWidth="1"/>
    <col min="3001" max="3001" width="16" style="1" customWidth="1"/>
    <col min="3002" max="3002" width="9.28515625" style="1" customWidth="1"/>
    <col min="3003" max="3003" width="12.28515625" style="1" customWidth="1"/>
    <col min="3004" max="3004" width="10.140625" style="1" customWidth="1"/>
    <col min="3005" max="3005" width="10.28515625" style="1" customWidth="1"/>
    <col min="3006" max="3006" width="9.5703125" style="1" customWidth="1"/>
    <col min="3007" max="3007" width="12.7109375" style="1" customWidth="1"/>
    <col min="3008" max="3008" width="9.42578125" style="1" customWidth="1"/>
    <col min="3009" max="3009" width="15.28515625" style="1" customWidth="1"/>
    <col min="3010" max="3011" width="11.7109375" style="1" customWidth="1"/>
    <col min="3012" max="3023" width="10.5703125" style="1" customWidth="1"/>
    <col min="3024" max="3024" width="11.140625" style="1" customWidth="1"/>
    <col min="3025" max="3027" width="11.7109375" style="1" customWidth="1"/>
    <col min="3028" max="3029" width="9.140625" style="1" customWidth="1"/>
    <col min="3030" max="3041" width="9.85546875" style="1" customWidth="1"/>
    <col min="3042" max="3042" width="12.85546875" style="1" customWidth="1"/>
    <col min="3043" max="3046" width="9.140625" style="1" customWidth="1"/>
    <col min="3047" max="3047" width="9.28515625" style="1" customWidth="1"/>
    <col min="3048" max="3048" width="10.28515625" style="1" customWidth="1"/>
    <col min="3049" max="3059" width="9.140625" style="1" customWidth="1"/>
    <col min="3060" max="3060" width="9.85546875" style="1" customWidth="1"/>
    <col min="3061" max="3061" width="10.28515625" style="1" customWidth="1"/>
    <col min="3062" max="3065" width="9.140625" style="1" customWidth="1"/>
    <col min="3066" max="3066" width="10.28515625" style="1" bestFit="1" customWidth="1"/>
    <col min="3067" max="3077" width="9.85546875" style="1" bestFit="1" customWidth="1"/>
    <col min="3078" max="3078" width="11.28515625" style="1" bestFit="1" customWidth="1"/>
    <col min="3079" max="3255" width="9.140625" style="1"/>
    <col min="3256" max="3256" width="34.85546875" style="1" bestFit="1" customWidth="1"/>
    <col min="3257" max="3257" width="16" style="1" customWidth="1"/>
    <col min="3258" max="3258" width="9.28515625" style="1" customWidth="1"/>
    <col min="3259" max="3259" width="12.28515625" style="1" customWidth="1"/>
    <col min="3260" max="3260" width="10.140625" style="1" customWidth="1"/>
    <col min="3261" max="3261" width="10.28515625" style="1" customWidth="1"/>
    <col min="3262" max="3262" width="9.5703125" style="1" customWidth="1"/>
    <col min="3263" max="3263" width="12.7109375" style="1" customWidth="1"/>
    <col min="3264" max="3264" width="9.42578125" style="1" customWidth="1"/>
    <col min="3265" max="3265" width="15.28515625" style="1" customWidth="1"/>
    <col min="3266" max="3267" width="11.7109375" style="1" customWidth="1"/>
    <col min="3268" max="3279" width="10.5703125" style="1" customWidth="1"/>
    <col min="3280" max="3280" width="11.140625" style="1" customWidth="1"/>
    <col min="3281" max="3283" width="11.7109375" style="1" customWidth="1"/>
    <col min="3284" max="3285" width="9.140625" style="1" customWidth="1"/>
    <col min="3286" max="3297" width="9.85546875" style="1" customWidth="1"/>
    <col min="3298" max="3298" width="12.85546875" style="1" customWidth="1"/>
    <col min="3299" max="3302" width="9.140625" style="1" customWidth="1"/>
    <col min="3303" max="3303" width="9.28515625" style="1" customWidth="1"/>
    <col min="3304" max="3304" width="10.28515625" style="1" customWidth="1"/>
    <col min="3305" max="3315" width="9.140625" style="1" customWidth="1"/>
    <col min="3316" max="3316" width="9.85546875" style="1" customWidth="1"/>
    <col min="3317" max="3317" width="10.28515625" style="1" customWidth="1"/>
    <col min="3318" max="3321" width="9.140625" style="1" customWidth="1"/>
    <col min="3322" max="3322" width="10.28515625" style="1" bestFit="1" customWidth="1"/>
    <col min="3323" max="3333" width="9.85546875" style="1" bestFit="1" customWidth="1"/>
    <col min="3334" max="3334" width="11.28515625" style="1" bestFit="1" customWidth="1"/>
    <col min="3335" max="3511" width="9.140625" style="1"/>
    <col min="3512" max="3512" width="34.85546875" style="1" bestFit="1" customWidth="1"/>
    <col min="3513" max="3513" width="16" style="1" customWidth="1"/>
    <col min="3514" max="3514" width="9.28515625" style="1" customWidth="1"/>
    <col min="3515" max="3515" width="12.28515625" style="1" customWidth="1"/>
    <col min="3516" max="3516" width="10.140625" style="1" customWidth="1"/>
    <col min="3517" max="3517" width="10.28515625" style="1" customWidth="1"/>
    <col min="3518" max="3518" width="9.5703125" style="1" customWidth="1"/>
    <col min="3519" max="3519" width="12.7109375" style="1" customWidth="1"/>
    <col min="3520" max="3520" width="9.42578125" style="1" customWidth="1"/>
    <col min="3521" max="3521" width="15.28515625" style="1" customWidth="1"/>
    <col min="3522" max="3523" width="11.7109375" style="1" customWidth="1"/>
    <col min="3524" max="3535" width="10.5703125" style="1" customWidth="1"/>
    <col min="3536" max="3536" width="11.140625" style="1" customWidth="1"/>
    <col min="3537" max="3539" width="11.7109375" style="1" customWidth="1"/>
    <col min="3540" max="3541" width="9.140625" style="1" customWidth="1"/>
    <col min="3542" max="3553" width="9.85546875" style="1" customWidth="1"/>
    <col min="3554" max="3554" width="12.85546875" style="1" customWidth="1"/>
    <col min="3555" max="3558" width="9.140625" style="1" customWidth="1"/>
    <col min="3559" max="3559" width="9.28515625" style="1" customWidth="1"/>
    <col min="3560" max="3560" width="10.28515625" style="1" customWidth="1"/>
    <col min="3561" max="3571" width="9.140625" style="1" customWidth="1"/>
    <col min="3572" max="3572" width="9.85546875" style="1" customWidth="1"/>
    <col min="3573" max="3573" width="10.28515625" style="1" customWidth="1"/>
    <col min="3574" max="3577" width="9.140625" style="1" customWidth="1"/>
    <col min="3578" max="3578" width="10.28515625" style="1" bestFit="1" customWidth="1"/>
    <col min="3579" max="3589" width="9.85546875" style="1" bestFit="1" customWidth="1"/>
    <col min="3590" max="3590" width="11.28515625" style="1" bestFit="1" customWidth="1"/>
    <col min="3591" max="3767" width="9.140625" style="1"/>
    <col min="3768" max="3768" width="34.85546875" style="1" bestFit="1" customWidth="1"/>
    <col min="3769" max="3769" width="16" style="1" customWidth="1"/>
    <col min="3770" max="3770" width="9.28515625" style="1" customWidth="1"/>
    <col min="3771" max="3771" width="12.28515625" style="1" customWidth="1"/>
    <col min="3772" max="3772" width="10.140625" style="1" customWidth="1"/>
    <col min="3773" max="3773" width="10.28515625" style="1" customWidth="1"/>
    <col min="3774" max="3774" width="9.5703125" style="1" customWidth="1"/>
    <col min="3775" max="3775" width="12.7109375" style="1" customWidth="1"/>
    <col min="3776" max="3776" width="9.42578125" style="1" customWidth="1"/>
    <col min="3777" max="3777" width="15.28515625" style="1" customWidth="1"/>
    <col min="3778" max="3779" width="11.7109375" style="1" customWidth="1"/>
    <col min="3780" max="3791" width="10.5703125" style="1" customWidth="1"/>
    <col min="3792" max="3792" width="11.140625" style="1" customWidth="1"/>
    <col min="3793" max="3795" width="11.7109375" style="1" customWidth="1"/>
    <col min="3796" max="3797" width="9.140625" style="1" customWidth="1"/>
    <col min="3798" max="3809" width="9.85546875" style="1" customWidth="1"/>
    <col min="3810" max="3810" width="12.85546875" style="1" customWidth="1"/>
    <col min="3811" max="3814" width="9.140625" style="1" customWidth="1"/>
    <col min="3815" max="3815" width="9.28515625" style="1" customWidth="1"/>
    <col min="3816" max="3816" width="10.28515625" style="1" customWidth="1"/>
    <col min="3817" max="3827" width="9.140625" style="1" customWidth="1"/>
    <col min="3828" max="3828" width="9.85546875" style="1" customWidth="1"/>
    <col min="3829" max="3829" width="10.28515625" style="1" customWidth="1"/>
    <col min="3830" max="3833" width="9.140625" style="1" customWidth="1"/>
    <col min="3834" max="3834" width="10.28515625" style="1" bestFit="1" customWidth="1"/>
    <col min="3835" max="3845" width="9.85546875" style="1" bestFit="1" customWidth="1"/>
    <col min="3846" max="3846" width="11.28515625" style="1" bestFit="1" customWidth="1"/>
    <col min="3847" max="4023" width="9.140625" style="1"/>
    <col min="4024" max="4024" width="34.85546875" style="1" bestFit="1" customWidth="1"/>
    <col min="4025" max="4025" width="16" style="1" customWidth="1"/>
    <col min="4026" max="4026" width="9.28515625" style="1" customWidth="1"/>
    <col min="4027" max="4027" width="12.28515625" style="1" customWidth="1"/>
    <col min="4028" max="4028" width="10.140625" style="1" customWidth="1"/>
    <col min="4029" max="4029" width="10.28515625" style="1" customWidth="1"/>
    <col min="4030" max="4030" width="9.5703125" style="1" customWidth="1"/>
    <col min="4031" max="4031" width="12.7109375" style="1" customWidth="1"/>
    <col min="4032" max="4032" width="9.42578125" style="1" customWidth="1"/>
    <col min="4033" max="4033" width="15.28515625" style="1" customWidth="1"/>
    <col min="4034" max="4035" width="11.7109375" style="1" customWidth="1"/>
    <col min="4036" max="4047" width="10.5703125" style="1" customWidth="1"/>
    <col min="4048" max="4048" width="11.140625" style="1" customWidth="1"/>
    <col min="4049" max="4051" width="11.7109375" style="1" customWidth="1"/>
    <col min="4052" max="4053" width="9.140625" style="1" customWidth="1"/>
    <col min="4054" max="4065" width="9.85546875" style="1" customWidth="1"/>
    <col min="4066" max="4066" width="12.85546875" style="1" customWidth="1"/>
    <col min="4067" max="4070" width="9.140625" style="1" customWidth="1"/>
    <col min="4071" max="4071" width="9.28515625" style="1" customWidth="1"/>
    <col min="4072" max="4072" width="10.28515625" style="1" customWidth="1"/>
    <col min="4073" max="4083" width="9.140625" style="1" customWidth="1"/>
    <col min="4084" max="4084" width="9.85546875" style="1" customWidth="1"/>
    <col min="4085" max="4085" width="10.28515625" style="1" customWidth="1"/>
    <col min="4086" max="4089" width="9.140625" style="1" customWidth="1"/>
    <col min="4090" max="4090" width="10.28515625" style="1" bestFit="1" customWidth="1"/>
    <col min="4091" max="4101" width="9.85546875" style="1" bestFit="1" customWidth="1"/>
    <col min="4102" max="4102" width="11.28515625" style="1" bestFit="1" customWidth="1"/>
    <col min="4103" max="4279" width="9.140625" style="1"/>
    <col min="4280" max="4280" width="34.85546875" style="1" bestFit="1" customWidth="1"/>
    <col min="4281" max="4281" width="16" style="1" customWidth="1"/>
    <col min="4282" max="4282" width="9.28515625" style="1" customWidth="1"/>
    <col min="4283" max="4283" width="12.28515625" style="1" customWidth="1"/>
    <col min="4284" max="4284" width="10.140625" style="1" customWidth="1"/>
    <col min="4285" max="4285" width="10.28515625" style="1" customWidth="1"/>
    <col min="4286" max="4286" width="9.5703125" style="1" customWidth="1"/>
    <col min="4287" max="4287" width="12.7109375" style="1" customWidth="1"/>
    <col min="4288" max="4288" width="9.42578125" style="1" customWidth="1"/>
    <col min="4289" max="4289" width="15.28515625" style="1" customWidth="1"/>
    <col min="4290" max="4291" width="11.7109375" style="1" customWidth="1"/>
    <col min="4292" max="4303" width="10.5703125" style="1" customWidth="1"/>
    <col min="4304" max="4304" width="11.140625" style="1" customWidth="1"/>
    <col min="4305" max="4307" width="11.7109375" style="1" customWidth="1"/>
    <col min="4308" max="4309" width="9.140625" style="1" customWidth="1"/>
    <col min="4310" max="4321" width="9.85546875" style="1" customWidth="1"/>
    <col min="4322" max="4322" width="12.85546875" style="1" customWidth="1"/>
    <col min="4323" max="4326" width="9.140625" style="1" customWidth="1"/>
    <col min="4327" max="4327" width="9.28515625" style="1" customWidth="1"/>
    <col min="4328" max="4328" width="10.28515625" style="1" customWidth="1"/>
    <col min="4329" max="4339" width="9.140625" style="1" customWidth="1"/>
    <col min="4340" max="4340" width="9.85546875" style="1" customWidth="1"/>
    <col min="4341" max="4341" width="10.28515625" style="1" customWidth="1"/>
    <col min="4342" max="4345" width="9.140625" style="1" customWidth="1"/>
    <col min="4346" max="4346" width="10.28515625" style="1" bestFit="1" customWidth="1"/>
    <col min="4347" max="4357" width="9.85546875" style="1" bestFit="1" customWidth="1"/>
    <col min="4358" max="4358" width="11.28515625" style="1" bestFit="1" customWidth="1"/>
    <col min="4359" max="4535" width="9.140625" style="1"/>
    <col min="4536" max="4536" width="34.85546875" style="1" bestFit="1" customWidth="1"/>
    <col min="4537" max="4537" width="16" style="1" customWidth="1"/>
    <col min="4538" max="4538" width="9.28515625" style="1" customWidth="1"/>
    <col min="4539" max="4539" width="12.28515625" style="1" customWidth="1"/>
    <col min="4540" max="4540" width="10.140625" style="1" customWidth="1"/>
    <col min="4541" max="4541" width="10.28515625" style="1" customWidth="1"/>
    <col min="4542" max="4542" width="9.5703125" style="1" customWidth="1"/>
    <col min="4543" max="4543" width="12.7109375" style="1" customWidth="1"/>
    <col min="4544" max="4544" width="9.42578125" style="1" customWidth="1"/>
    <col min="4545" max="4545" width="15.28515625" style="1" customWidth="1"/>
    <col min="4546" max="4547" width="11.7109375" style="1" customWidth="1"/>
    <col min="4548" max="4559" width="10.5703125" style="1" customWidth="1"/>
    <col min="4560" max="4560" width="11.140625" style="1" customWidth="1"/>
    <col min="4561" max="4563" width="11.7109375" style="1" customWidth="1"/>
    <col min="4564" max="4565" width="9.140625" style="1" customWidth="1"/>
    <col min="4566" max="4577" width="9.85546875" style="1" customWidth="1"/>
    <col min="4578" max="4578" width="12.85546875" style="1" customWidth="1"/>
    <col min="4579" max="4582" width="9.140625" style="1" customWidth="1"/>
    <col min="4583" max="4583" width="9.28515625" style="1" customWidth="1"/>
    <col min="4584" max="4584" width="10.28515625" style="1" customWidth="1"/>
    <col min="4585" max="4595" width="9.140625" style="1" customWidth="1"/>
    <col min="4596" max="4596" width="9.85546875" style="1" customWidth="1"/>
    <col min="4597" max="4597" width="10.28515625" style="1" customWidth="1"/>
    <col min="4598" max="4601" width="9.140625" style="1" customWidth="1"/>
    <col min="4602" max="4602" width="10.28515625" style="1" bestFit="1" customWidth="1"/>
    <col min="4603" max="4613" width="9.85546875" style="1" bestFit="1" customWidth="1"/>
    <col min="4614" max="4614" width="11.28515625" style="1" bestFit="1" customWidth="1"/>
    <col min="4615" max="4791" width="9.140625" style="1"/>
    <col min="4792" max="4792" width="34.85546875" style="1" bestFit="1" customWidth="1"/>
    <col min="4793" max="4793" width="16" style="1" customWidth="1"/>
    <col min="4794" max="4794" width="9.28515625" style="1" customWidth="1"/>
    <col min="4795" max="4795" width="12.28515625" style="1" customWidth="1"/>
    <col min="4796" max="4796" width="10.140625" style="1" customWidth="1"/>
    <col min="4797" max="4797" width="10.28515625" style="1" customWidth="1"/>
    <col min="4798" max="4798" width="9.5703125" style="1" customWidth="1"/>
    <col min="4799" max="4799" width="12.7109375" style="1" customWidth="1"/>
    <col min="4800" max="4800" width="9.42578125" style="1" customWidth="1"/>
    <col min="4801" max="4801" width="15.28515625" style="1" customWidth="1"/>
    <col min="4802" max="4803" width="11.7109375" style="1" customWidth="1"/>
    <col min="4804" max="4815" width="10.5703125" style="1" customWidth="1"/>
    <col min="4816" max="4816" width="11.140625" style="1" customWidth="1"/>
    <col min="4817" max="4819" width="11.7109375" style="1" customWidth="1"/>
    <col min="4820" max="4821" width="9.140625" style="1" customWidth="1"/>
    <col min="4822" max="4833" width="9.85546875" style="1" customWidth="1"/>
    <col min="4834" max="4834" width="12.85546875" style="1" customWidth="1"/>
    <col min="4835" max="4838" width="9.140625" style="1" customWidth="1"/>
    <col min="4839" max="4839" width="9.28515625" style="1" customWidth="1"/>
    <col min="4840" max="4840" width="10.28515625" style="1" customWidth="1"/>
    <col min="4841" max="4851" width="9.140625" style="1" customWidth="1"/>
    <col min="4852" max="4852" width="9.85546875" style="1" customWidth="1"/>
    <col min="4853" max="4853" width="10.28515625" style="1" customWidth="1"/>
    <col min="4854" max="4857" width="9.140625" style="1" customWidth="1"/>
    <col min="4858" max="4858" width="10.28515625" style="1" bestFit="1" customWidth="1"/>
    <col min="4859" max="4869" width="9.85546875" style="1" bestFit="1" customWidth="1"/>
    <col min="4870" max="4870" width="11.28515625" style="1" bestFit="1" customWidth="1"/>
    <col min="4871" max="5047" width="9.140625" style="1"/>
    <col min="5048" max="5048" width="34.85546875" style="1" bestFit="1" customWidth="1"/>
    <col min="5049" max="5049" width="16" style="1" customWidth="1"/>
    <col min="5050" max="5050" width="9.28515625" style="1" customWidth="1"/>
    <col min="5051" max="5051" width="12.28515625" style="1" customWidth="1"/>
    <col min="5052" max="5052" width="10.140625" style="1" customWidth="1"/>
    <col min="5053" max="5053" width="10.28515625" style="1" customWidth="1"/>
    <col min="5054" max="5054" width="9.5703125" style="1" customWidth="1"/>
    <col min="5055" max="5055" width="12.7109375" style="1" customWidth="1"/>
    <col min="5056" max="5056" width="9.42578125" style="1" customWidth="1"/>
    <col min="5057" max="5057" width="15.28515625" style="1" customWidth="1"/>
    <col min="5058" max="5059" width="11.7109375" style="1" customWidth="1"/>
    <col min="5060" max="5071" width="10.5703125" style="1" customWidth="1"/>
    <col min="5072" max="5072" width="11.140625" style="1" customWidth="1"/>
    <col min="5073" max="5075" width="11.7109375" style="1" customWidth="1"/>
    <col min="5076" max="5077" width="9.140625" style="1" customWidth="1"/>
    <col min="5078" max="5089" width="9.85546875" style="1" customWidth="1"/>
    <col min="5090" max="5090" width="12.85546875" style="1" customWidth="1"/>
    <col min="5091" max="5094" width="9.140625" style="1" customWidth="1"/>
    <col min="5095" max="5095" width="9.28515625" style="1" customWidth="1"/>
    <col min="5096" max="5096" width="10.28515625" style="1" customWidth="1"/>
    <col min="5097" max="5107" width="9.140625" style="1" customWidth="1"/>
    <col min="5108" max="5108" width="9.85546875" style="1" customWidth="1"/>
    <col min="5109" max="5109" width="10.28515625" style="1" customWidth="1"/>
    <col min="5110" max="5113" width="9.140625" style="1" customWidth="1"/>
    <col min="5114" max="5114" width="10.28515625" style="1" bestFit="1" customWidth="1"/>
    <col min="5115" max="5125" width="9.85546875" style="1" bestFit="1" customWidth="1"/>
    <col min="5126" max="5126" width="11.28515625" style="1" bestFit="1" customWidth="1"/>
    <col min="5127" max="5303" width="9.140625" style="1"/>
    <col min="5304" max="5304" width="34.85546875" style="1" bestFit="1" customWidth="1"/>
    <col min="5305" max="5305" width="16" style="1" customWidth="1"/>
    <col min="5306" max="5306" width="9.28515625" style="1" customWidth="1"/>
    <col min="5307" max="5307" width="12.28515625" style="1" customWidth="1"/>
    <col min="5308" max="5308" width="10.140625" style="1" customWidth="1"/>
    <col min="5309" max="5309" width="10.28515625" style="1" customWidth="1"/>
    <col min="5310" max="5310" width="9.5703125" style="1" customWidth="1"/>
    <col min="5311" max="5311" width="12.7109375" style="1" customWidth="1"/>
    <col min="5312" max="5312" width="9.42578125" style="1" customWidth="1"/>
    <col min="5313" max="5313" width="15.28515625" style="1" customWidth="1"/>
    <col min="5314" max="5315" width="11.7109375" style="1" customWidth="1"/>
    <col min="5316" max="5327" width="10.5703125" style="1" customWidth="1"/>
    <col min="5328" max="5328" width="11.140625" style="1" customWidth="1"/>
    <col min="5329" max="5331" width="11.7109375" style="1" customWidth="1"/>
    <col min="5332" max="5333" width="9.140625" style="1" customWidth="1"/>
    <col min="5334" max="5345" width="9.85546875" style="1" customWidth="1"/>
    <col min="5346" max="5346" width="12.85546875" style="1" customWidth="1"/>
    <col min="5347" max="5350" width="9.140625" style="1" customWidth="1"/>
    <col min="5351" max="5351" width="9.28515625" style="1" customWidth="1"/>
    <col min="5352" max="5352" width="10.28515625" style="1" customWidth="1"/>
    <col min="5353" max="5363" width="9.140625" style="1" customWidth="1"/>
    <col min="5364" max="5364" width="9.85546875" style="1" customWidth="1"/>
    <col min="5365" max="5365" width="10.28515625" style="1" customWidth="1"/>
    <col min="5366" max="5369" width="9.140625" style="1" customWidth="1"/>
    <col min="5370" max="5370" width="10.28515625" style="1" bestFit="1" customWidth="1"/>
    <col min="5371" max="5381" width="9.85546875" style="1" bestFit="1" customWidth="1"/>
    <col min="5382" max="5382" width="11.28515625" style="1" bestFit="1" customWidth="1"/>
    <col min="5383" max="5559" width="9.140625" style="1"/>
    <col min="5560" max="5560" width="34.85546875" style="1" bestFit="1" customWidth="1"/>
    <col min="5561" max="5561" width="16" style="1" customWidth="1"/>
    <col min="5562" max="5562" width="9.28515625" style="1" customWidth="1"/>
    <col min="5563" max="5563" width="12.28515625" style="1" customWidth="1"/>
    <col min="5564" max="5564" width="10.140625" style="1" customWidth="1"/>
    <col min="5565" max="5565" width="10.28515625" style="1" customWidth="1"/>
    <col min="5566" max="5566" width="9.5703125" style="1" customWidth="1"/>
    <col min="5567" max="5567" width="12.7109375" style="1" customWidth="1"/>
    <col min="5568" max="5568" width="9.42578125" style="1" customWidth="1"/>
    <col min="5569" max="5569" width="15.28515625" style="1" customWidth="1"/>
    <col min="5570" max="5571" width="11.7109375" style="1" customWidth="1"/>
    <col min="5572" max="5583" width="10.5703125" style="1" customWidth="1"/>
    <col min="5584" max="5584" width="11.140625" style="1" customWidth="1"/>
    <col min="5585" max="5587" width="11.7109375" style="1" customWidth="1"/>
    <col min="5588" max="5589" width="9.140625" style="1" customWidth="1"/>
    <col min="5590" max="5601" width="9.85546875" style="1" customWidth="1"/>
    <col min="5602" max="5602" width="12.85546875" style="1" customWidth="1"/>
    <col min="5603" max="5606" width="9.140625" style="1" customWidth="1"/>
    <col min="5607" max="5607" width="9.28515625" style="1" customWidth="1"/>
    <col min="5608" max="5608" width="10.28515625" style="1" customWidth="1"/>
    <col min="5609" max="5619" width="9.140625" style="1" customWidth="1"/>
    <col min="5620" max="5620" width="9.85546875" style="1" customWidth="1"/>
    <col min="5621" max="5621" width="10.28515625" style="1" customWidth="1"/>
    <col min="5622" max="5625" width="9.140625" style="1" customWidth="1"/>
    <col min="5626" max="5626" width="10.28515625" style="1" bestFit="1" customWidth="1"/>
    <col min="5627" max="5637" width="9.85546875" style="1" bestFit="1" customWidth="1"/>
    <col min="5638" max="5638" width="11.28515625" style="1" bestFit="1" customWidth="1"/>
    <col min="5639" max="5815" width="9.140625" style="1"/>
    <col min="5816" max="5816" width="34.85546875" style="1" bestFit="1" customWidth="1"/>
    <col min="5817" max="5817" width="16" style="1" customWidth="1"/>
    <col min="5818" max="5818" width="9.28515625" style="1" customWidth="1"/>
    <col min="5819" max="5819" width="12.28515625" style="1" customWidth="1"/>
    <col min="5820" max="5820" width="10.140625" style="1" customWidth="1"/>
    <col min="5821" max="5821" width="10.28515625" style="1" customWidth="1"/>
    <col min="5822" max="5822" width="9.5703125" style="1" customWidth="1"/>
    <col min="5823" max="5823" width="12.7109375" style="1" customWidth="1"/>
    <col min="5824" max="5824" width="9.42578125" style="1" customWidth="1"/>
    <col min="5825" max="5825" width="15.28515625" style="1" customWidth="1"/>
    <col min="5826" max="5827" width="11.7109375" style="1" customWidth="1"/>
    <col min="5828" max="5839" width="10.5703125" style="1" customWidth="1"/>
    <col min="5840" max="5840" width="11.140625" style="1" customWidth="1"/>
    <col min="5841" max="5843" width="11.7109375" style="1" customWidth="1"/>
    <col min="5844" max="5845" width="9.140625" style="1" customWidth="1"/>
    <col min="5846" max="5857" width="9.85546875" style="1" customWidth="1"/>
    <col min="5858" max="5858" width="12.85546875" style="1" customWidth="1"/>
    <col min="5859" max="5862" width="9.140625" style="1" customWidth="1"/>
    <col min="5863" max="5863" width="9.28515625" style="1" customWidth="1"/>
    <col min="5864" max="5864" width="10.28515625" style="1" customWidth="1"/>
    <col min="5865" max="5875" width="9.140625" style="1" customWidth="1"/>
    <col min="5876" max="5876" width="9.85546875" style="1" customWidth="1"/>
    <col min="5877" max="5877" width="10.28515625" style="1" customWidth="1"/>
    <col min="5878" max="5881" width="9.140625" style="1" customWidth="1"/>
    <col min="5882" max="5882" width="10.28515625" style="1" bestFit="1" customWidth="1"/>
    <col min="5883" max="5893" width="9.85546875" style="1" bestFit="1" customWidth="1"/>
    <col min="5894" max="5894" width="11.28515625" style="1" bestFit="1" customWidth="1"/>
    <col min="5895" max="6071" width="9.140625" style="1"/>
    <col min="6072" max="6072" width="34.85546875" style="1" bestFit="1" customWidth="1"/>
    <col min="6073" max="6073" width="16" style="1" customWidth="1"/>
    <col min="6074" max="6074" width="9.28515625" style="1" customWidth="1"/>
    <col min="6075" max="6075" width="12.28515625" style="1" customWidth="1"/>
    <col min="6076" max="6076" width="10.140625" style="1" customWidth="1"/>
    <col min="6077" max="6077" width="10.28515625" style="1" customWidth="1"/>
    <col min="6078" max="6078" width="9.5703125" style="1" customWidth="1"/>
    <col min="6079" max="6079" width="12.7109375" style="1" customWidth="1"/>
    <col min="6080" max="6080" width="9.42578125" style="1" customWidth="1"/>
    <col min="6081" max="6081" width="15.28515625" style="1" customWidth="1"/>
    <col min="6082" max="6083" width="11.7109375" style="1" customWidth="1"/>
    <col min="6084" max="6095" width="10.5703125" style="1" customWidth="1"/>
    <col min="6096" max="6096" width="11.140625" style="1" customWidth="1"/>
    <col min="6097" max="6099" width="11.7109375" style="1" customWidth="1"/>
    <col min="6100" max="6101" width="9.140625" style="1" customWidth="1"/>
    <col min="6102" max="6113" width="9.85546875" style="1" customWidth="1"/>
    <col min="6114" max="6114" width="12.85546875" style="1" customWidth="1"/>
    <col min="6115" max="6118" width="9.140625" style="1" customWidth="1"/>
    <col min="6119" max="6119" width="9.28515625" style="1" customWidth="1"/>
    <col min="6120" max="6120" width="10.28515625" style="1" customWidth="1"/>
    <col min="6121" max="6131" width="9.140625" style="1" customWidth="1"/>
    <col min="6132" max="6132" width="9.85546875" style="1" customWidth="1"/>
    <col min="6133" max="6133" width="10.28515625" style="1" customWidth="1"/>
    <col min="6134" max="6137" width="9.140625" style="1" customWidth="1"/>
    <col min="6138" max="6138" width="10.28515625" style="1" bestFit="1" customWidth="1"/>
    <col min="6139" max="6149" width="9.85546875" style="1" bestFit="1" customWidth="1"/>
    <col min="6150" max="6150" width="11.28515625" style="1" bestFit="1" customWidth="1"/>
    <col min="6151" max="6327" width="9.140625" style="1"/>
    <col min="6328" max="6328" width="34.85546875" style="1" bestFit="1" customWidth="1"/>
    <col min="6329" max="6329" width="16" style="1" customWidth="1"/>
    <col min="6330" max="6330" width="9.28515625" style="1" customWidth="1"/>
    <col min="6331" max="6331" width="12.28515625" style="1" customWidth="1"/>
    <col min="6332" max="6332" width="10.140625" style="1" customWidth="1"/>
    <col min="6333" max="6333" width="10.28515625" style="1" customWidth="1"/>
    <col min="6334" max="6334" width="9.5703125" style="1" customWidth="1"/>
    <col min="6335" max="6335" width="12.7109375" style="1" customWidth="1"/>
    <col min="6336" max="6336" width="9.42578125" style="1" customWidth="1"/>
    <col min="6337" max="6337" width="15.28515625" style="1" customWidth="1"/>
    <col min="6338" max="6339" width="11.7109375" style="1" customWidth="1"/>
    <col min="6340" max="6351" width="10.5703125" style="1" customWidth="1"/>
    <col min="6352" max="6352" width="11.140625" style="1" customWidth="1"/>
    <col min="6353" max="6355" width="11.7109375" style="1" customWidth="1"/>
    <col min="6356" max="6357" width="9.140625" style="1" customWidth="1"/>
    <col min="6358" max="6369" width="9.85546875" style="1" customWidth="1"/>
    <col min="6370" max="6370" width="12.85546875" style="1" customWidth="1"/>
    <col min="6371" max="6374" width="9.140625" style="1" customWidth="1"/>
    <col min="6375" max="6375" width="9.28515625" style="1" customWidth="1"/>
    <col min="6376" max="6376" width="10.28515625" style="1" customWidth="1"/>
    <col min="6377" max="6387" width="9.140625" style="1" customWidth="1"/>
    <col min="6388" max="6388" width="9.85546875" style="1" customWidth="1"/>
    <col min="6389" max="6389" width="10.28515625" style="1" customWidth="1"/>
    <col min="6390" max="6393" width="9.140625" style="1" customWidth="1"/>
    <col min="6394" max="6394" width="10.28515625" style="1" bestFit="1" customWidth="1"/>
    <col min="6395" max="6405" width="9.85546875" style="1" bestFit="1" customWidth="1"/>
    <col min="6406" max="6406" width="11.28515625" style="1" bestFit="1" customWidth="1"/>
    <col min="6407" max="6583" width="9.140625" style="1"/>
    <col min="6584" max="6584" width="34.85546875" style="1" bestFit="1" customWidth="1"/>
    <col min="6585" max="6585" width="16" style="1" customWidth="1"/>
    <col min="6586" max="6586" width="9.28515625" style="1" customWidth="1"/>
    <col min="6587" max="6587" width="12.28515625" style="1" customWidth="1"/>
    <col min="6588" max="6588" width="10.140625" style="1" customWidth="1"/>
    <col min="6589" max="6589" width="10.28515625" style="1" customWidth="1"/>
    <col min="6590" max="6590" width="9.5703125" style="1" customWidth="1"/>
    <col min="6591" max="6591" width="12.7109375" style="1" customWidth="1"/>
    <col min="6592" max="6592" width="9.42578125" style="1" customWidth="1"/>
    <col min="6593" max="6593" width="15.28515625" style="1" customWidth="1"/>
    <col min="6594" max="6595" width="11.7109375" style="1" customWidth="1"/>
    <col min="6596" max="6607" width="10.5703125" style="1" customWidth="1"/>
    <col min="6608" max="6608" width="11.140625" style="1" customWidth="1"/>
    <col min="6609" max="6611" width="11.7109375" style="1" customWidth="1"/>
    <col min="6612" max="6613" width="9.140625" style="1" customWidth="1"/>
    <col min="6614" max="6625" width="9.85546875" style="1" customWidth="1"/>
    <col min="6626" max="6626" width="12.85546875" style="1" customWidth="1"/>
    <col min="6627" max="6630" width="9.140625" style="1" customWidth="1"/>
    <col min="6631" max="6631" width="9.28515625" style="1" customWidth="1"/>
    <col min="6632" max="6632" width="10.28515625" style="1" customWidth="1"/>
    <col min="6633" max="6643" width="9.140625" style="1" customWidth="1"/>
    <col min="6644" max="6644" width="9.85546875" style="1" customWidth="1"/>
    <col min="6645" max="6645" width="10.28515625" style="1" customWidth="1"/>
    <col min="6646" max="6649" width="9.140625" style="1" customWidth="1"/>
    <col min="6650" max="6650" width="10.28515625" style="1" bestFit="1" customWidth="1"/>
    <col min="6651" max="6661" width="9.85546875" style="1" bestFit="1" customWidth="1"/>
    <col min="6662" max="6662" width="11.28515625" style="1" bestFit="1" customWidth="1"/>
    <col min="6663" max="6839" width="9.140625" style="1"/>
    <col min="6840" max="6840" width="34.85546875" style="1" bestFit="1" customWidth="1"/>
    <col min="6841" max="6841" width="16" style="1" customWidth="1"/>
    <col min="6842" max="6842" width="9.28515625" style="1" customWidth="1"/>
    <col min="6843" max="6843" width="12.28515625" style="1" customWidth="1"/>
    <col min="6844" max="6844" width="10.140625" style="1" customWidth="1"/>
    <col min="6845" max="6845" width="10.28515625" style="1" customWidth="1"/>
    <col min="6846" max="6846" width="9.5703125" style="1" customWidth="1"/>
    <col min="6847" max="6847" width="12.7109375" style="1" customWidth="1"/>
    <col min="6848" max="6848" width="9.42578125" style="1" customWidth="1"/>
    <col min="6849" max="6849" width="15.28515625" style="1" customWidth="1"/>
    <col min="6850" max="6851" width="11.7109375" style="1" customWidth="1"/>
    <col min="6852" max="6863" width="10.5703125" style="1" customWidth="1"/>
    <col min="6864" max="6864" width="11.140625" style="1" customWidth="1"/>
    <col min="6865" max="6867" width="11.7109375" style="1" customWidth="1"/>
    <col min="6868" max="6869" width="9.140625" style="1" customWidth="1"/>
    <col min="6870" max="6881" width="9.85546875" style="1" customWidth="1"/>
    <col min="6882" max="6882" width="12.85546875" style="1" customWidth="1"/>
    <col min="6883" max="6886" width="9.140625" style="1" customWidth="1"/>
    <col min="6887" max="6887" width="9.28515625" style="1" customWidth="1"/>
    <col min="6888" max="6888" width="10.28515625" style="1" customWidth="1"/>
    <col min="6889" max="6899" width="9.140625" style="1" customWidth="1"/>
    <col min="6900" max="6900" width="9.85546875" style="1" customWidth="1"/>
    <col min="6901" max="6901" width="10.28515625" style="1" customWidth="1"/>
    <col min="6902" max="6905" width="9.140625" style="1" customWidth="1"/>
    <col min="6906" max="6906" width="10.28515625" style="1" bestFit="1" customWidth="1"/>
    <col min="6907" max="6917" width="9.85546875" style="1" bestFit="1" customWidth="1"/>
    <col min="6918" max="6918" width="11.28515625" style="1" bestFit="1" customWidth="1"/>
    <col min="6919" max="7095" width="9.140625" style="1"/>
    <col min="7096" max="7096" width="34.85546875" style="1" bestFit="1" customWidth="1"/>
    <col min="7097" max="7097" width="16" style="1" customWidth="1"/>
    <col min="7098" max="7098" width="9.28515625" style="1" customWidth="1"/>
    <col min="7099" max="7099" width="12.28515625" style="1" customWidth="1"/>
    <col min="7100" max="7100" width="10.140625" style="1" customWidth="1"/>
    <col min="7101" max="7101" width="10.28515625" style="1" customWidth="1"/>
    <col min="7102" max="7102" width="9.5703125" style="1" customWidth="1"/>
    <col min="7103" max="7103" width="12.7109375" style="1" customWidth="1"/>
    <col min="7104" max="7104" width="9.42578125" style="1" customWidth="1"/>
    <col min="7105" max="7105" width="15.28515625" style="1" customWidth="1"/>
    <col min="7106" max="7107" width="11.7109375" style="1" customWidth="1"/>
    <col min="7108" max="7119" width="10.5703125" style="1" customWidth="1"/>
    <col min="7120" max="7120" width="11.140625" style="1" customWidth="1"/>
    <col min="7121" max="7123" width="11.7109375" style="1" customWidth="1"/>
    <col min="7124" max="7125" width="9.140625" style="1" customWidth="1"/>
    <col min="7126" max="7137" width="9.85546875" style="1" customWidth="1"/>
    <col min="7138" max="7138" width="12.85546875" style="1" customWidth="1"/>
    <col min="7139" max="7142" width="9.140625" style="1" customWidth="1"/>
    <col min="7143" max="7143" width="9.28515625" style="1" customWidth="1"/>
    <col min="7144" max="7144" width="10.28515625" style="1" customWidth="1"/>
    <col min="7145" max="7155" width="9.140625" style="1" customWidth="1"/>
    <col min="7156" max="7156" width="9.85546875" style="1" customWidth="1"/>
    <col min="7157" max="7157" width="10.28515625" style="1" customWidth="1"/>
    <col min="7158" max="7161" width="9.140625" style="1" customWidth="1"/>
    <col min="7162" max="7162" width="10.28515625" style="1" bestFit="1" customWidth="1"/>
    <col min="7163" max="7173" width="9.85546875" style="1" bestFit="1" customWidth="1"/>
    <col min="7174" max="7174" width="11.28515625" style="1" bestFit="1" customWidth="1"/>
    <col min="7175" max="7351" width="9.140625" style="1"/>
    <col min="7352" max="7352" width="34.85546875" style="1" bestFit="1" customWidth="1"/>
    <col min="7353" max="7353" width="16" style="1" customWidth="1"/>
    <col min="7354" max="7354" width="9.28515625" style="1" customWidth="1"/>
    <col min="7355" max="7355" width="12.28515625" style="1" customWidth="1"/>
    <col min="7356" max="7356" width="10.140625" style="1" customWidth="1"/>
    <col min="7357" max="7357" width="10.28515625" style="1" customWidth="1"/>
    <col min="7358" max="7358" width="9.5703125" style="1" customWidth="1"/>
    <col min="7359" max="7359" width="12.7109375" style="1" customWidth="1"/>
    <col min="7360" max="7360" width="9.42578125" style="1" customWidth="1"/>
    <col min="7361" max="7361" width="15.28515625" style="1" customWidth="1"/>
    <col min="7362" max="7363" width="11.7109375" style="1" customWidth="1"/>
    <col min="7364" max="7375" width="10.5703125" style="1" customWidth="1"/>
    <col min="7376" max="7376" width="11.140625" style="1" customWidth="1"/>
    <col min="7377" max="7379" width="11.7109375" style="1" customWidth="1"/>
    <col min="7380" max="7381" width="9.140625" style="1" customWidth="1"/>
    <col min="7382" max="7393" width="9.85546875" style="1" customWidth="1"/>
    <col min="7394" max="7394" width="12.85546875" style="1" customWidth="1"/>
    <col min="7395" max="7398" width="9.140625" style="1" customWidth="1"/>
    <col min="7399" max="7399" width="9.28515625" style="1" customWidth="1"/>
    <col min="7400" max="7400" width="10.28515625" style="1" customWidth="1"/>
    <col min="7401" max="7411" width="9.140625" style="1" customWidth="1"/>
    <col min="7412" max="7412" width="9.85546875" style="1" customWidth="1"/>
    <col min="7413" max="7413" width="10.28515625" style="1" customWidth="1"/>
    <col min="7414" max="7417" width="9.140625" style="1" customWidth="1"/>
    <col min="7418" max="7418" width="10.28515625" style="1" bestFit="1" customWidth="1"/>
    <col min="7419" max="7429" width="9.85546875" style="1" bestFit="1" customWidth="1"/>
    <col min="7430" max="7430" width="11.28515625" style="1" bestFit="1" customWidth="1"/>
    <col min="7431" max="7607" width="9.140625" style="1"/>
    <col min="7608" max="7608" width="34.85546875" style="1" bestFit="1" customWidth="1"/>
    <col min="7609" max="7609" width="16" style="1" customWidth="1"/>
    <col min="7610" max="7610" width="9.28515625" style="1" customWidth="1"/>
    <col min="7611" max="7611" width="12.28515625" style="1" customWidth="1"/>
    <col min="7612" max="7612" width="10.140625" style="1" customWidth="1"/>
    <col min="7613" max="7613" width="10.28515625" style="1" customWidth="1"/>
    <col min="7614" max="7614" width="9.5703125" style="1" customWidth="1"/>
    <col min="7615" max="7615" width="12.7109375" style="1" customWidth="1"/>
    <col min="7616" max="7616" width="9.42578125" style="1" customWidth="1"/>
    <col min="7617" max="7617" width="15.28515625" style="1" customWidth="1"/>
    <col min="7618" max="7619" width="11.7109375" style="1" customWidth="1"/>
    <col min="7620" max="7631" width="10.5703125" style="1" customWidth="1"/>
    <col min="7632" max="7632" width="11.140625" style="1" customWidth="1"/>
    <col min="7633" max="7635" width="11.7109375" style="1" customWidth="1"/>
    <col min="7636" max="7637" width="9.140625" style="1" customWidth="1"/>
    <col min="7638" max="7649" width="9.85546875" style="1" customWidth="1"/>
    <col min="7650" max="7650" width="12.85546875" style="1" customWidth="1"/>
    <col min="7651" max="7654" width="9.140625" style="1" customWidth="1"/>
    <col min="7655" max="7655" width="9.28515625" style="1" customWidth="1"/>
    <col min="7656" max="7656" width="10.28515625" style="1" customWidth="1"/>
    <col min="7657" max="7667" width="9.140625" style="1" customWidth="1"/>
    <col min="7668" max="7668" width="9.85546875" style="1" customWidth="1"/>
    <col min="7669" max="7669" width="10.28515625" style="1" customWidth="1"/>
    <col min="7670" max="7673" width="9.140625" style="1" customWidth="1"/>
    <col min="7674" max="7674" width="10.28515625" style="1" bestFit="1" customWidth="1"/>
    <col min="7675" max="7685" width="9.85546875" style="1" bestFit="1" customWidth="1"/>
    <col min="7686" max="7686" width="11.28515625" style="1" bestFit="1" customWidth="1"/>
    <col min="7687" max="7863" width="9.140625" style="1"/>
    <col min="7864" max="7864" width="34.85546875" style="1" bestFit="1" customWidth="1"/>
    <col min="7865" max="7865" width="16" style="1" customWidth="1"/>
    <col min="7866" max="7866" width="9.28515625" style="1" customWidth="1"/>
    <col min="7867" max="7867" width="12.28515625" style="1" customWidth="1"/>
    <col min="7868" max="7868" width="10.140625" style="1" customWidth="1"/>
    <col min="7869" max="7869" width="10.28515625" style="1" customWidth="1"/>
    <col min="7870" max="7870" width="9.5703125" style="1" customWidth="1"/>
    <col min="7871" max="7871" width="12.7109375" style="1" customWidth="1"/>
    <col min="7872" max="7872" width="9.42578125" style="1" customWidth="1"/>
    <col min="7873" max="7873" width="15.28515625" style="1" customWidth="1"/>
    <col min="7874" max="7875" width="11.7109375" style="1" customWidth="1"/>
    <col min="7876" max="7887" width="10.5703125" style="1" customWidth="1"/>
    <col min="7888" max="7888" width="11.140625" style="1" customWidth="1"/>
    <col min="7889" max="7891" width="11.7109375" style="1" customWidth="1"/>
    <col min="7892" max="7893" width="9.140625" style="1" customWidth="1"/>
    <col min="7894" max="7905" width="9.85546875" style="1" customWidth="1"/>
    <col min="7906" max="7906" width="12.85546875" style="1" customWidth="1"/>
    <col min="7907" max="7910" width="9.140625" style="1" customWidth="1"/>
    <col min="7911" max="7911" width="9.28515625" style="1" customWidth="1"/>
    <col min="7912" max="7912" width="10.28515625" style="1" customWidth="1"/>
    <col min="7913" max="7923" width="9.140625" style="1" customWidth="1"/>
    <col min="7924" max="7924" width="9.85546875" style="1" customWidth="1"/>
    <col min="7925" max="7925" width="10.28515625" style="1" customWidth="1"/>
    <col min="7926" max="7929" width="9.140625" style="1" customWidth="1"/>
    <col min="7930" max="7930" width="10.28515625" style="1" bestFit="1" customWidth="1"/>
    <col min="7931" max="7941" width="9.85546875" style="1" bestFit="1" customWidth="1"/>
    <col min="7942" max="7942" width="11.28515625" style="1" bestFit="1" customWidth="1"/>
    <col min="7943" max="8119" width="9.140625" style="1"/>
    <col min="8120" max="8120" width="34.85546875" style="1" bestFit="1" customWidth="1"/>
    <col min="8121" max="8121" width="16" style="1" customWidth="1"/>
    <col min="8122" max="8122" width="9.28515625" style="1" customWidth="1"/>
    <col min="8123" max="8123" width="12.28515625" style="1" customWidth="1"/>
    <col min="8124" max="8124" width="10.140625" style="1" customWidth="1"/>
    <col min="8125" max="8125" width="10.28515625" style="1" customWidth="1"/>
    <col min="8126" max="8126" width="9.5703125" style="1" customWidth="1"/>
    <col min="8127" max="8127" width="12.7109375" style="1" customWidth="1"/>
    <col min="8128" max="8128" width="9.42578125" style="1" customWidth="1"/>
    <col min="8129" max="8129" width="15.28515625" style="1" customWidth="1"/>
    <col min="8130" max="8131" width="11.7109375" style="1" customWidth="1"/>
    <col min="8132" max="8143" width="10.5703125" style="1" customWidth="1"/>
    <col min="8144" max="8144" width="11.140625" style="1" customWidth="1"/>
    <col min="8145" max="8147" width="11.7109375" style="1" customWidth="1"/>
    <col min="8148" max="8149" width="9.140625" style="1" customWidth="1"/>
    <col min="8150" max="8161" width="9.85546875" style="1" customWidth="1"/>
    <col min="8162" max="8162" width="12.85546875" style="1" customWidth="1"/>
    <col min="8163" max="8166" width="9.140625" style="1" customWidth="1"/>
    <col min="8167" max="8167" width="9.28515625" style="1" customWidth="1"/>
    <col min="8168" max="8168" width="10.28515625" style="1" customWidth="1"/>
    <col min="8169" max="8179" width="9.140625" style="1" customWidth="1"/>
    <col min="8180" max="8180" width="9.85546875" style="1" customWidth="1"/>
    <col min="8181" max="8181" width="10.28515625" style="1" customWidth="1"/>
    <col min="8182" max="8185" width="9.140625" style="1" customWidth="1"/>
    <col min="8186" max="8186" width="10.28515625" style="1" bestFit="1" customWidth="1"/>
    <col min="8187" max="8197" width="9.85546875" style="1" bestFit="1" customWidth="1"/>
    <col min="8198" max="8198" width="11.28515625" style="1" bestFit="1" customWidth="1"/>
    <col min="8199" max="8375" width="9.140625" style="1"/>
    <col min="8376" max="8376" width="34.85546875" style="1" bestFit="1" customWidth="1"/>
    <col min="8377" max="8377" width="16" style="1" customWidth="1"/>
    <col min="8378" max="8378" width="9.28515625" style="1" customWidth="1"/>
    <col min="8379" max="8379" width="12.28515625" style="1" customWidth="1"/>
    <col min="8380" max="8380" width="10.140625" style="1" customWidth="1"/>
    <col min="8381" max="8381" width="10.28515625" style="1" customWidth="1"/>
    <col min="8382" max="8382" width="9.5703125" style="1" customWidth="1"/>
    <col min="8383" max="8383" width="12.7109375" style="1" customWidth="1"/>
    <col min="8384" max="8384" width="9.42578125" style="1" customWidth="1"/>
    <col min="8385" max="8385" width="15.28515625" style="1" customWidth="1"/>
    <col min="8386" max="8387" width="11.7109375" style="1" customWidth="1"/>
    <col min="8388" max="8399" width="10.5703125" style="1" customWidth="1"/>
    <col min="8400" max="8400" width="11.140625" style="1" customWidth="1"/>
    <col min="8401" max="8403" width="11.7109375" style="1" customWidth="1"/>
    <col min="8404" max="8405" width="9.140625" style="1" customWidth="1"/>
    <col min="8406" max="8417" width="9.85546875" style="1" customWidth="1"/>
    <col min="8418" max="8418" width="12.85546875" style="1" customWidth="1"/>
    <col min="8419" max="8422" width="9.140625" style="1" customWidth="1"/>
    <col min="8423" max="8423" width="9.28515625" style="1" customWidth="1"/>
    <col min="8424" max="8424" width="10.28515625" style="1" customWidth="1"/>
    <col min="8425" max="8435" width="9.140625" style="1" customWidth="1"/>
    <col min="8436" max="8436" width="9.85546875" style="1" customWidth="1"/>
    <col min="8437" max="8437" width="10.28515625" style="1" customWidth="1"/>
    <col min="8438" max="8441" width="9.140625" style="1" customWidth="1"/>
    <col min="8442" max="8442" width="10.28515625" style="1" bestFit="1" customWidth="1"/>
    <col min="8443" max="8453" width="9.85546875" style="1" bestFit="1" customWidth="1"/>
    <col min="8454" max="8454" width="11.28515625" style="1" bestFit="1" customWidth="1"/>
    <col min="8455" max="8631" width="9.140625" style="1"/>
    <col min="8632" max="8632" width="34.85546875" style="1" bestFit="1" customWidth="1"/>
    <col min="8633" max="8633" width="16" style="1" customWidth="1"/>
    <col min="8634" max="8634" width="9.28515625" style="1" customWidth="1"/>
    <col min="8635" max="8635" width="12.28515625" style="1" customWidth="1"/>
    <col min="8636" max="8636" width="10.140625" style="1" customWidth="1"/>
    <col min="8637" max="8637" width="10.28515625" style="1" customWidth="1"/>
    <col min="8638" max="8638" width="9.5703125" style="1" customWidth="1"/>
    <col min="8639" max="8639" width="12.7109375" style="1" customWidth="1"/>
    <col min="8640" max="8640" width="9.42578125" style="1" customWidth="1"/>
    <col min="8641" max="8641" width="15.28515625" style="1" customWidth="1"/>
    <col min="8642" max="8643" width="11.7109375" style="1" customWidth="1"/>
    <col min="8644" max="8655" width="10.5703125" style="1" customWidth="1"/>
    <col min="8656" max="8656" width="11.140625" style="1" customWidth="1"/>
    <col min="8657" max="8659" width="11.7109375" style="1" customWidth="1"/>
    <col min="8660" max="8661" width="9.140625" style="1" customWidth="1"/>
    <col min="8662" max="8673" width="9.85546875" style="1" customWidth="1"/>
    <col min="8674" max="8674" width="12.85546875" style="1" customWidth="1"/>
    <col min="8675" max="8678" width="9.140625" style="1" customWidth="1"/>
    <col min="8679" max="8679" width="9.28515625" style="1" customWidth="1"/>
    <col min="8680" max="8680" width="10.28515625" style="1" customWidth="1"/>
    <col min="8681" max="8691" width="9.140625" style="1" customWidth="1"/>
    <col min="8692" max="8692" width="9.85546875" style="1" customWidth="1"/>
    <col min="8693" max="8693" width="10.28515625" style="1" customWidth="1"/>
    <col min="8694" max="8697" width="9.140625" style="1" customWidth="1"/>
    <col min="8698" max="8698" width="10.28515625" style="1" bestFit="1" customWidth="1"/>
    <col min="8699" max="8709" width="9.85546875" style="1" bestFit="1" customWidth="1"/>
    <col min="8710" max="8710" width="11.28515625" style="1" bestFit="1" customWidth="1"/>
    <col min="8711" max="8887" width="9.140625" style="1"/>
    <col min="8888" max="8888" width="34.85546875" style="1" bestFit="1" customWidth="1"/>
    <col min="8889" max="8889" width="16" style="1" customWidth="1"/>
    <col min="8890" max="8890" width="9.28515625" style="1" customWidth="1"/>
    <col min="8891" max="8891" width="12.28515625" style="1" customWidth="1"/>
    <col min="8892" max="8892" width="10.140625" style="1" customWidth="1"/>
    <col min="8893" max="8893" width="10.28515625" style="1" customWidth="1"/>
    <col min="8894" max="8894" width="9.5703125" style="1" customWidth="1"/>
    <col min="8895" max="8895" width="12.7109375" style="1" customWidth="1"/>
    <col min="8896" max="8896" width="9.42578125" style="1" customWidth="1"/>
    <col min="8897" max="8897" width="15.28515625" style="1" customWidth="1"/>
    <col min="8898" max="8899" width="11.7109375" style="1" customWidth="1"/>
    <col min="8900" max="8911" width="10.5703125" style="1" customWidth="1"/>
    <col min="8912" max="8912" width="11.140625" style="1" customWidth="1"/>
    <col min="8913" max="8915" width="11.7109375" style="1" customWidth="1"/>
    <col min="8916" max="8917" width="9.140625" style="1" customWidth="1"/>
    <col min="8918" max="8929" width="9.85546875" style="1" customWidth="1"/>
    <col min="8930" max="8930" width="12.85546875" style="1" customWidth="1"/>
    <col min="8931" max="8934" width="9.140625" style="1" customWidth="1"/>
    <col min="8935" max="8935" width="9.28515625" style="1" customWidth="1"/>
    <col min="8936" max="8936" width="10.28515625" style="1" customWidth="1"/>
    <col min="8937" max="8947" width="9.140625" style="1" customWidth="1"/>
    <col min="8948" max="8948" width="9.85546875" style="1" customWidth="1"/>
    <col min="8949" max="8949" width="10.28515625" style="1" customWidth="1"/>
    <col min="8950" max="8953" width="9.140625" style="1" customWidth="1"/>
    <col min="8954" max="8954" width="10.28515625" style="1" bestFit="1" customWidth="1"/>
    <col min="8955" max="8965" width="9.85546875" style="1" bestFit="1" customWidth="1"/>
    <col min="8966" max="8966" width="11.28515625" style="1" bestFit="1" customWidth="1"/>
    <col min="8967" max="9143" width="9.140625" style="1"/>
    <col min="9144" max="9144" width="34.85546875" style="1" bestFit="1" customWidth="1"/>
    <col min="9145" max="9145" width="16" style="1" customWidth="1"/>
    <col min="9146" max="9146" width="9.28515625" style="1" customWidth="1"/>
    <col min="9147" max="9147" width="12.28515625" style="1" customWidth="1"/>
    <col min="9148" max="9148" width="10.140625" style="1" customWidth="1"/>
    <col min="9149" max="9149" width="10.28515625" style="1" customWidth="1"/>
    <col min="9150" max="9150" width="9.5703125" style="1" customWidth="1"/>
    <col min="9151" max="9151" width="12.7109375" style="1" customWidth="1"/>
    <col min="9152" max="9152" width="9.42578125" style="1" customWidth="1"/>
    <col min="9153" max="9153" width="15.28515625" style="1" customWidth="1"/>
    <col min="9154" max="9155" width="11.7109375" style="1" customWidth="1"/>
    <col min="9156" max="9167" width="10.5703125" style="1" customWidth="1"/>
    <col min="9168" max="9168" width="11.140625" style="1" customWidth="1"/>
    <col min="9169" max="9171" width="11.7109375" style="1" customWidth="1"/>
    <col min="9172" max="9173" width="9.140625" style="1" customWidth="1"/>
    <col min="9174" max="9185" width="9.85546875" style="1" customWidth="1"/>
    <col min="9186" max="9186" width="12.85546875" style="1" customWidth="1"/>
    <col min="9187" max="9190" width="9.140625" style="1" customWidth="1"/>
    <col min="9191" max="9191" width="9.28515625" style="1" customWidth="1"/>
    <col min="9192" max="9192" width="10.28515625" style="1" customWidth="1"/>
    <col min="9193" max="9203" width="9.140625" style="1" customWidth="1"/>
    <col min="9204" max="9204" width="9.85546875" style="1" customWidth="1"/>
    <col min="9205" max="9205" width="10.28515625" style="1" customWidth="1"/>
    <col min="9206" max="9209" width="9.140625" style="1" customWidth="1"/>
    <col min="9210" max="9210" width="10.28515625" style="1" bestFit="1" customWidth="1"/>
    <col min="9211" max="9221" width="9.85546875" style="1" bestFit="1" customWidth="1"/>
    <col min="9222" max="9222" width="11.28515625" style="1" bestFit="1" customWidth="1"/>
    <col min="9223" max="9399" width="9.140625" style="1"/>
    <col min="9400" max="9400" width="34.85546875" style="1" bestFit="1" customWidth="1"/>
    <col min="9401" max="9401" width="16" style="1" customWidth="1"/>
    <col min="9402" max="9402" width="9.28515625" style="1" customWidth="1"/>
    <col min="9403" max="9403" width="12.28515625" style="1" customWidth="1"/>
    <col min="9404" max="9404" width="10.140625" style="1" customWidth="1"/>
    <col min="9405" max="9405" width="10.28515625" style="1" customWidth="1"/>
    <col min="9406" max="9406" width="9.5703125" style="1" customWidth="1"/>
    <col min="9407" max="9407" width="12.7109375" style="1" customWidth="1"/>
    <col min="9408" max="9408" width="9.42578125" style="1" customWidth="1"/>
    <col min="9409" max="9409" width="15.28515625" style="1" customWidth="1"/>
    <col min="9410" max="9411" width="11.7109375" style="1" customWidth="1"/>
    <col min="9412" max="9423" width="10.5703125" style="1" customWidth="1"/>
    <col min="9424" max="9424" width="11.140625" style="1" customWidth="1"/>
    <col min="9425" max="9427" width="11.7109375" style="1" customWidth="1"/>
    <col min="9428" max="9429" width="9.140625" style="1" customWidth="1"/>
    <col min="9430" max="9441" width="9.85546875" style="1" customWidth="1"/>
    <col min="9442" max="9442" width="12.85546875" style="1" customWidth="1"/>
    <col min="9443" max="9446" width="9.140625" style="1" customWidth="1"/>
    <col min="9447" max="9447" width="9.28515625" style="1" customWidth="1"/>
    <col min="9448" max="9448" width="10.28515625" style="1" customWidth="1"/>
    <col min="9449" max="9459" width="9.140625" style="1" customWidth="1"/>
    <col min="9460" max="9460" width="9.85546875" style="1" customWidth="1"/>
    <col min="9461" max="9461" width="10.28515625" style="1" customWidth="1"/>
    <col min="9462" max="9465" width="9.140625" style="1" customWidth="1"/>
    <col min="9466" max="9466" width="10.28515625" style="1" bestFit="1" customWidth="1"/>
    <col min="9467" max="9477" width="9.85546875" style="1" bestFit="1" customWidth="1"/>
    <col min="9478" max="9478" width="11.28515625" style="1" bestFit="1" customWidth="1"/>
    <col min="9479" max="9655" width="9.140625" style="1"/>
    <col min="9656" max="9656" width="34.85546875" style="1" bestFit="1" customWidth="1"/>
    <col min="9657" max="9657" width="16" style="1" customWidth="1"/>
    <col min="9658" max="9658" width="9.28515625" style="1" customWidth="1"/>
    <col min="9659" max="9659" width="12.28515625" style="1" customWidth="1"/>
    <col min="9660" max="9660" width="10.140625" style="1" customWidth="1"/>
    <col min="9661" max="9661" width="10.28515625" style="1" customWidth="1"/>
    <col min="9662" max="9662" width="9.5703125" style="1" customWidth="1"/>
    <col min="9663" max="9663" width="12.7109375" style="1" customWidth="1"/>
    <col min="9664" max="9664" width="9.42578125" style="1" customWidth="1"/>
    <col min="9665" max="9665" width="15.28515625" style="1" customWidth="1"/>
    <col min="9666" max="9667" width="11.7109375" style="1" customWidth="1"/>
    <col min="9668" max="9679" width="10.5703125" style="1" customWidth="1"/>
    <col min="9680" max="9680" width="11.140625" style="1" customWidth="1"/>
    <col min="9681" max="9683" width="11.7109375" style="1" customWidth="1"/>
    <col min="9684" max="9685" width="9.140625" style="1" customWidth="1"/>
    <col min="9686" max="9697" width="9.85546875" style="1" customWidth="1"/>
    <col min="9698" max="9698" width="12.85546875" style="1" customWidth="1"/>
    <col min="9699" max="9702" width="9.140625" style="1" customWidth="1"/>
    <col min="9703" max="9703" width="9.28515625" style="1" customWidth="1"/>
    <col min="9704" max="9704" width="10.28515625" style="1" customWidth="1"/>
    <col min="9705" max="9715" width="9.140625" style="1" customWidth="1"/>
    <col min="9716" max="9716" width="9.85546875" style="1" customWidth="1"/>
    <col min="9717" max="9717" width="10.28515625" style="1" customWidth="1"/>
    <col min="9718" max="9721" width="9.140625" style="1" customWidth="1"/>
    <col min="9722" max="9722" width="10.28515625" style="1" bestFit="1" customWidth="1"/>
    <col min="9723" max="9733" width="9.85546875" style="1" bestFit="1" customWidth="1"/>
    <col min="9734" max="9734" width="11.28515625" style="1" bestFit="1" customWidth="1"/>
    <col min="9735" max="9911" width="9.140625" style="1"/>
    <col min="9912" max="9912" width="34.85546875" style="1" bestFit="1" customWidth="1"/>
    <col min="9913" max="9913" width="16" style="1" customWidth="1"/>
    <col min="9914" max="9914" width="9.28515625" style="1" customWidth="1"/>
    <col min="9915" max="9915" width="12.28515625" style="1" customWidth="1"/>
    <col min="9916" max="9916" width="10.140625" style="1" customWidth="1"/>
    <col min="9917" max="9917" width="10.28515625" style="1" customWidth="1"/>
    <col min="9918" max="9918" width="9.5703125" style="1" customWidth="1"/>
    <col min="9919" max="9919" width="12.7109375" style="1" customWidth="1"/>
    <col min="9920" max="9920" width="9.42578125" style="1" customWidth="1"/>
    <col min="9921" max="9921" width="15.28515625" style="1" customWidth="1"/>
    <col min="9922" max="9923" width="11.7109375" style="1" customWidth="1"/>
    <col min="9924" max="9935" width="10.5703125" style="1" customWidth="1"/>
    <col min="9936" max="9936" width="11.140625" style="1" customWidth="1"/>
    <col min="9937" max="9939" width="11.7109375" style="1" customWidth="1"/>
    <col min="9940" max="9941" width="9.140625" style="1" customWidth="1"/>
    <col min="9942" max="9953" width="9.85546875" style="1" customWidth="1"/>
    <col min="9954" max="9954" width="12.85546875" style="1" customWidth="1"/>
    <col min="9955" max="9958" width="9.140625" style="1" customWidth="1"/>
    <col min="9959" max="9959" width="9.28515625" style="1" customWidth="1"/>
    <col min="9960" max="9960" width="10.28515625" style="1" customWidth="1"/>
    <col min="9961" max="9971" width="9.140625" style="1" customWidth="1"/>
    <col min="9972" max="9972" width="9.85546875" style="1" customWidth="1"/>
    <col min="9973" max="9973" width="10.28515625" style="1" customWidth="1"/>
    <col min="9974" max="9977" width="9.140625" style="1" customWidth="1"/>
    <col min="9978" max="9978" width="10.28515625" style="1" bestFit="1" customWidth="1"/>
    <col min="9979" max="9989" width="9.85546875" style="1" bestFit="1" customWidth="1"/>
    <col min="9990" max="9990" width="11.28515625" style="1" bestFit="1" customWidth="1"/>
    <col min="9991" max="10167" width="9.140625" style="1"/>
    <col min="10168" max="10168" width="34.85546875" style="1" bestFit="1" customWidth="1"/>
    <col min="10169" max="10169" width="16" style="1" customWidth="1"/>
    <col min="10170" max="10170" width="9.28515625" style="1" customWidth="1"/>
    <col min="10171" max="10171" width="12.28515625" style="1" customWidth="1"/>
    <col min="10172" max="10172" width="10.140625" style="1" customWidth="1"/>
    <col min="10173" max="10173" width="10.28515625" style="1" customWidth="1"/>
    <col min="10174" max="10174" width="9.5703125" style="1" customWidth="1"/>
    <col min="10175" max="10175" width="12.7109375" style="1" customWidth="1"/>
    <col min="10176" max="10176" width="9.42578125" style="1" customWidth="1"/>
    <col min="10177" max="10177" width="15.28515625" style="1" customWidth="1"/>
    <col min="10178" max="10179" width="11.7109375" style="1" customWidth="1"/>
    <col min="10180" max="10191" width="10.5703125" style="1" customWidth="1"/>
    <col min="10192" max="10192" width="11.140625" style="1" customWidth="1"/>
    <col min="10193" max="10195" width="11.7109375" style="1" customWidth="1"/>
    <col min="10196" max="10197" width="9.140625" style="1" customWidth="1"/>
    <col min="10198" max="10209" width="9.85546875" style="1" customWidth="1"/>
    <col min="10210" max="10210" width="12.85546875" style="1" customWidth="1"/>
    <col min="10211" max="10214" width="9.140625" style="1" customWidth="1"/>
    <col min="10215" max="10215" width="9.28515625" style="1" customWidth="1"/>
    <col min="10216" max="10216" width="10.28515625" style="1" customWidth="1"/>
    <col min="10217" max="10227" width="9.140625" style="1" customWidth="1"/>
    <col min="10228" max="10228" width="9.85546875" style="1" customWidth="1"/>
    <col min="10229" max="10229" width="10.28515625" style="1" customWidth="1"/>
    <col min="10230" max="10233" width="9.140625" style="1" customWidth="1"/>
    <col min="10234" max="10234" width="10.28515625" style="1" bestFit="1" customWidth="1"/>
    <col min="10235" max="10245" width="9.85546875" style="1" bestFit="1" customWidth="1"/>
    <col min="10246" max="10246" width="11.28515625" style="1" bestFit="1" customWidth="1"/>
    <col min="10247" max="10423" width="9.140625" style="1"/>
    <col min="10424" max="10424" width="34.85546875" style="1" bestFit="1" customWidth="1"/>
    <col min="10425" max="10425" width="16" style="1" customWidth="1"/>
    <col min="10426" max="10426" width="9.28515625" style="1" customWidth="1"/>
    <col min="10427" max="10427" width="12.28515625" style="1" customWidth="1"/>
    <col min="10428" max="10428" width="10.140625" style="1" customWidth="1"/>
    <col min="10429" max="10429" width="10.28515625" style="1" customWidth="1"/>
    <col min="10430" max="10430" width="9.5703125" style="1" customWidth="1"/>
    <col min="10431" max="10431" width="12.7109375" style="1" customWidth="1"/>
    <col min="10432" max="10432" width="9.42578125" style="1" customWidth="1"/>
    <col min="10433" max="10433" width="15.28515625" style="1" customWidth="1"/>
    <col min="10434" max="10435" width="11.7109375" style="1" customWidth="1"/>
    <col min="10436" max="10447" width="10.5703125" style="1" customWidth="1"/>
    <col min="10448" max="10448" width="11.140625" style="1" customWidth="1"/>
    <col min="10449" max="10451" width="11.7109375" style="1" customWidth="1"/>
    <col min="10452" max="10453" width="9.140625" style="1" customWidth="1"/>
    <col min="10454" max="10465" width="9.85546875" style="1" customWidth="1"/>
    <col min="10466" max="10466" width="12.85546875" style="1" customWidth="1"/>
    <col min="10467" max="10470" width="9.140625" style="1" customWidth="1"/>
    <col min="10471" max="10471" width="9.28515625" style="1" customWidth="1"/>
    <col min="10472" max="10472" width="10.28515625" style="1" customWidth="1"/>
    <col min="10473" max="10483" width="9.140625" style="1" customWidth="1"/>
    <col min="10484" max="10484" width="9.85546875" style="1" customWidth="1"/>
    <col min="10485" max="10485" width="10.28515625" style="1" customWidth="1"/>
    <col min="10486" max="10489" width="9.140625" style="1" customWidth="1"/>
    <col min="10490" max="10490" width="10.28515625" style="1" bestFit="1" customWidth="1"/>
    <col min="10491" max="10501" width="9.85546875" style="1" bestFit="1" customWidth="1"/>
    <col min="10502" max="10502" width="11.28515625" style="1" bestFit="1" customWidth="1"/>
    <col min="10503" max="10679" width="9.140625" style="1"/>
    <col min="10680" max="10680" width="34.85546875" style="1" bestFit="1" customWidth="1"/>
    <col min="10681" max="10681" width="16" style="1" customWidth="1"/>
    <col min="10682" max="10682" width="9.28515625" style="1" customWidth="1"/>
    <col min="10683" max="10683" width="12.28515625" style="1" customWidth="1"/>
    <col min="10684" max="10684" width="10.140625" style="1" customWidth="1"/>
    <col min="10685" max="10685" width="10.28515625" style="1" customWidth="1"/>
    <col min="10686" max="10686" width="9.5703125" style="1" customWidth="1"/>
    <col min="10687" max="10687" width="12.7109375" style="1" customWidth="1"/>
    <col min="10688" max="10688" width="9.42578125" style="1" customWidth="1"/>
    <col min="10689" max="10689" width="15.28515625" style="1" customWidth="1"/>
    <col min="10690" max="10691" width="11.7109375" style="1" customWidth="1"/>
    <col min="10692" max="10703" width="10.5703125" style="1" customWidth="1"/>
    <col min="10704" max="10704" width="11.140625" style="1" customWidth="1"/>
    <col min="10705" max="10707" width="11.7109375" style="1" customWidth="1"/>
    <col min="10708" max="10709" width="9.140625" style="1" customWidth="1"/>
    <col min="10710" max="10721" width="9.85546875" style="1" customWidth="1"/>
    <col min="10722" max="10722" width="12.85546875" style="1" customWidth="1"/>
    <col min="10723" max="10726" width="9.140625" style="1" customWidth="1"/>
    <col min="10727" max="10727" width="9.28515625" style="1" customWidth="1"/>
    <col min="10728" max="10728" width="10.28515625" style="1" customWidth="1"/>
    <col min="10729" max="10739" width="9.140625" style="1" customWidth="1"/>
    <col min="10740" max="10740" width="9.85546875" style="1" customWidth="1"/>
    <col min="10741" max="10741" width="10.28515625" style="1" customWidth="1"/>
    <col min="10742" max="10745" width="9.140625" style="1" customWidth="1"/>
    <col min="10746" max="10746" width="10.28515625" style="1" bestFit="1" customWidth="1"/>
    <col min="10747" max="10757" width="9.85546875" style="1" bestFit="1" customWidth="1"/>
    <col min="10758" max="10758" width="11.28515625" style="1" bestFit="1" customWidth="1"/>
    <col min="10759" max="10935" width="9.140625" style="1"/>
    <col min="10936" max="10936" width="34.85546875" style="1" bestFit="1" customWidth="1"/>
    <col min="10937" max="10937" width="16" style="1" customWidth="1"/>
    <col min="10938" max="10938" width="9.28515625" style="1" customWidth="1"/>
    <col min="10939" max="10939" width="12.28515625" style="1" customWidth="1"/>
    <col min="10940" max="10940" width="10.140625" style="1" customWidth="1"/>
    <col min="10941" max="10941" width="10.28515625" style="1" customWidth="1"/>
    <col min="10942" max="10942" width="9.5703125" style="1" customWidth="1"/>
    <col min="10943" max="10943" width="12.7109375" style="1" customWidth="1"/>
    <col min="10944" max="10944" width="9.42578125" style="1" customWidth="1"/>
    <col min="10945" max="10945" width="15.28515625" style="1" customWidth="1"/>
    <col min="10946" max="10947" width="11.7109375" style="1" customWidth="1"/>
    <col min="10948" max="10959" width="10.5703125" style="1" customWidth="1"/>
    <col min="10960" max="10960" width="11.140625" style="1" customWidth="1"/>
    <col min="10961" max="10963" width="11.7109375" style="1" customWidth="1"/>
    <col min="10964" max="10965" width="9.140625" style="1" customWidth="1"/>
    <col min="10966" max="10977" width="9.85546875" style="1" customWidth="1"/>
    <col min="10978" max="10978" width="12.85546875" style="1" customWidth="1"/>
    <col min="10979" max="10982" width="9.140625" style="1" customWidth="1"/>
    <col min="10983" max="10983" width="9.28515625" style="1" customWidth="1"/>
    <col min="10984" max="10984" width="10.28515625" style="1" customWidth="1"/>
    <col min="10985" max="10995" width="9.140625" style="1" customWidth="1"/>
    <col min="10996" max="10996" width="9.85546875" style="1" customWidth="1"/>
    <col min="10997" max="10997" width="10.28515625" style="1" customWidth="1"/>
    <col min="10998" max="11001" width="9.140625" style="1" customWidth="1"/>
    <col min="11002" max="11002" width="10.28515625" style="1" bestFit="1" customWidth="1"/>
    <col min="11003" max="11013" width="9.85546875" style="1" bestFit="1" customWidth="1"/>
    <col min="11014" max="11014" width="11.28515625" style="1" bestFit="1" customWidth="1"/>
    <col min="11015" max="11191" width="9.140625" style="1"/>
    <col min="11192" max="11192" width="34.85546875" style="1" bestFit="1" customWidth="1"/>
    <col min="11193" max="11193" width="16" style="1" customWidth="1"/>
    <col min="11194" max="11194" width="9.28515625" style="1" customWidth="1"/>
    <col min="11195" max="11195" width="12.28515625" style="1" customWidth="1"/>
    <col min="11196" max="11196" width="10.140625" style="1" customWidth="1"/>
    <col min="11197" max="11197" width="10.28515625" style="1" customWidth="1"/>
    <col min="11198" max="11198" width="9.5703125" style="1" customWidth="1"/>
    <col min="11199" max="11199" width="12.7109375" style="1" customWidth="1"/>
    <col min="11200" max="11200" width="9.42578125" style="1" customWidth="1"/>
    <col min="11201" max="11201" width="15.28515625" style="1" customWidth="1"/>
    <col min="11202" max="11203" width="11.7109375" style="1" customWidth="1"/>
    <col min="11204" max="11215" width="10.5703125" style="1" customWidth="1"/>
    <col min="11216" max="11216" width="11.140625" style="1" customWidth="1"/>
    <col min="11217" max="11219" width="11.7109375" style="1" customWidth="1"/>
    <col min="11220" max="11221" width="9.140625" style="1" customWidth="1"/>
    <col min="11222" max="11233" width="9.85546875" style="1" customWidth="1"/>
    <col min="11234" max="11234" width="12.85546875" style="1" customWidth="1"/>
    <col min="11235" max="11238" width="9.140625" style="1" customWidth="1"/>
    <col min="11239" max="11239" width="9.28515625" style="1" customWidth="1"/>
    <col min="11240" max="11240" width="10.28515625" style="1" customWidth="1"/>
    <col min="11241" max="11251" width="9.140625" style="1" customWidth="1"/>
    <col min="11252" max="11252" width="9.85546875" style="1" customWidth="1"/>
    <col min="11253" max="11253" width="10.28515625" style="1" customWidth="1"/>
    <col min="11254" max="11257" width="9.140625" style="1" customWidth="1"/>
    <col min="11258" max="11258" width="10.28515625" style="1" bestFit="1" customWidth="1"/>
    <col min="11259" max="11269" width="9.85546875" style="1" bestFit="1" customWidth="1"/>
    <col min="11270" max="11270" width="11.28515625" style="1" bestFit="1" customWidth="1"/>
    <col min="11271" max="11447" width="9.140625" style="1"/>
    <col min="11448" max="11448" width="34.85546875" style="1" bestFit="1" customWidth="1"/>
    <col min="11449" max="11449" width="16" style="1" customWidth="1"/>
    <col min="11450" max="11450" width="9.28515625" style="1" customWidth="1"/>
    <col min="11451" max="11451" width="12.28515625" style="1" customWidth="1"/>
    <col min="11452" max="11452" width="10.140625" style="1" customWidth="1"/>
    <col min="11453" max="11453" width="10.28515625" style="1" customWidth="1"/>
    <col min="11454" max="11454" width="9.5703125" style="1" customWidth="1"/>
    <col min="11455" max="11455" width="12.7109375" style="1" customWidth="1"/>
    <col min="11456" max="11456" width="9.42578125" style="1" customWidth="1"/>
    <col min="11457" max="11457" width="15.28515625" style="1" customWidth="1"/>
    <col min="11458" max="11459" width="11.7109375" style="1" customWidth="1"/>
    <col min="11460" max="11471" width="10.5703125" style="1" customWidth="1"/>
    <col min="11472" max="11472" width="11.140625" style="1" customWidth="1"/>
    <col min="11473" max="11475" width="11.7109375" style="1" customWidth="1"/>
    <col min="11476" max="11477" width="9.140625" style="1" customWidth="1"/>
    <col min="11478" max="11489" width="9.85546875" style="1" customWidth="1"/>
    <col min="11490" max="11490" width="12.85546875" style="1" customWidth="1"/>
    <col min="11491" max="11494" width="9.140625" style="1" customWidth="1"/>
    <col min="11495" max="11495" width="9.28515625" style="1" customWidth="1"/>
    <col min="11496" max="11496" width="10.28515625" style="1" customWidth="1"/>
    <col min="11497" max="11507" width="9.140625" style="1" customWidth="1"/>
    <col min="11508" max="11508" width="9.85546875" style="1" customWidth="1"/>
    <col min="11509" max="11509" width="10.28515625" style="1" customWidth="1"/>
    <col min="11510" max="11513" width="9.140625" style="1" customWidth="1"/>
    <col min="11514" max="11514" width="10.28515625" style="1" bestFit="1" customWidth="1"/>
    <col min="11515" max="11525" width="9.85546875" style="1" bestFit="1" customWidth="1"/>
    <col min="11526" max="11526" width="11.28515625" style="1" bestFit="1" customWidth="1"/>
    <col min="11527" max="11703" width="9.140625" style="1"/>
    <col min="11704" max="11704" width="34.85546875" style="1" bestFit="1" customWidth="1"/>
    <col min="11705" max="11705" width="16" style="1" customWidth="1"/>
    <col min="11706" max="11706" width="9.28515625" style="1" customWidth="1"/>
    <col min="11707" max="11707" width="12.28515625" style="1" customWidth="1"/>
    <col min="11708" max="11708" width="10.140625" style="1" customWidth="1"/>
    <col min="11709" max="11709" width="10.28515625" style="1" customWidth="1"/>
    <col min="11710" max="11710" width="9.5703125" style="1" customWidth="1"/>
    <col min="11711" max="11711" width="12.7109375" style="1" customWidth="1"/>
    <col min="11712" max="11712" width="9.42578125" style="1" customWidth="1"/>
    <col min="11713" max="11713" width="15.28515625" style="1" customWidth="1"/>
    <col min="11714" max="11715" width="11.7109375" style="1" customWidth="1"/>
    <col min="11716" max="11727" width="10.5703125" style="1" customWidth="1"/>
    <col min="11728" max="11728" width="11.140625" style="1" customWidth="1"/>
    <col min="11729" max="11731" width="11.7109375" style="1" customWidth="1"/>
    <col min="11732" max="11733" width="9.140625" style="1" customWidth="1"/>
    <col min="11734" max="11745" width="9.85546875" style="1" customWidth="1"/>
    <col min="11746" max="11746" width="12.85546875" style="1" customWidth="1"/>
    <col min="11747" max="11750" width="9.140625" style="1" customWidth="1"/>
    <col min="11751" max="11751" width="9.28515625" style="1" customWidth="1"/>
    <col min="11752" max="11752" width="10.28515625" style="1" customWidth="1"/>
    <col min="11753" max="11763" width="9.140625" style="1" customWidth="1"/>
    <col min="11764" max="11764" width="9.85546875" style="1" customWidth="1"/>
    <col min="11765" max="11765" width="10.28515625" style="1" customWidth="1"/>
    <col min="11766" max="11769" width="9.140625" style="1" customWidth="1"/>
    <col min="11770" max="11770" width="10.28515625" style="1" bestFit="1" customWidth="1"/>
    <col min="11771" max="11781" width="9.85546875" style="1" bestFit="1" customWidth="1"/>
    <col min="11782" max="11782" width="11.28515625" style="1" bestFit="1" customWidth="1"/>
    <col min="11783" max="11959" width="9.140625" style="1"/>
    <col min="11960" max="11960" width="34.85546875" style="1" bestFit="1" customWidth="1"/>
    <col min="11961" max="11961" width="16" style="1" customWidth="1"/>
    <col min="11962" max="11962" width="9.28515625" style="1" customWidth="1"/>
    <col min="11963" max="11963" width="12.28515625" style="1" customWidth="1"/>
    <col min="11964" max="11964" width="10.140625" style="1" customWidth="1"/>
    <col min="11965" max="11965" width="10.28515625" style="1" customWidth="1"/>
    <col min="11966" max="11966" width="9.5703125" style="1" customWidth="1"/>
    <col min="11967" max="11967" width="12.7109375" style="1" customWidth="1"/>
    <col min="11968" max="11968" width="9.42578125" style="1" customWidth="1"/>
    <col min="11969" max="11969" width="15.28515625" style="1" customWidth="1"/>
    <col min="11970" max="11971" width="11.7109375" style="1" customWidth="1"/>
    <col min="11972" max="11983" width="10.5703125" style="1" customWidth="1"/>
    <col min="11984" max="11984" width="11.140625" style="1" customWidth="1"/>
    <col min="11985" max="11987" width="11.7109375" style="1" customWidth="1"/>
    <col min="11988" max="11989" width="9.140625" style="1" customWidth="1"/>
    <col min="11990" max="12001" width="9.85546875" style="1" customWidth="1"/>
    <col min="12002" max="12002" width="12.85546875" style="1" customWidth="1"/>
    <col min="12003" max="12006" width="9.140625" style="1" customWidth="1"/>
    <col min="12007" max="12007" width="9.28515625" style="1" customWidth="1"/>
    <col min="12008" max="12008" width="10.28515625" style="1" customWidth="1"/>
    <col min="12009" max="12019" width="9.140625" style="1" customWidth="1"/>
    <col min="12020" max="12020" width="9.85546875" style="1" customWidth="1"/>
    <col min="12021" max="12021" width="10.28515625" style="1" customWidth="1"/>
    <col min="12022" max="12025" width="9.140625" style="1" customWidth="1"/>
    <col min="12026" max="12026" width="10.28515625" style="1" bestFit="1" customWidth="1"/>
    <col min="12027" max="12037" width="9.85546875" style="1" bestFit="1" customWidth="1"/>
    <col min="12038" max="12038" width="11.28515625" style="1" bestFit="1" customWidth="1"/>
    <col min="12039" max="12215" width="9.140625" style="1"/>
    <col min="12216" max="12216" width="34.85546875" style="1" bestFit="1" customWidth="1"/>
    <col min="12217" max="12217" width="16" style="1" customWidth="1"/>
    <col min="12218" max="12218" width="9.28515625" style="1" customWidth="1"/>
    <col min="12219" max="12219" width="12.28515625" style="1" customWidth="1"/>
    <col min="12220" max="12220" width="10.140625" style="1" customWidth="1"/>
    <col min="12221" max="12221" width="10.28515625" style="1" customWidth="1"/>
    <col min="12222" max="12222" width="9.5703125" style="1" customWidth="1"/>
    <col min="12223" max="12223" width="12.7109375" style="1" customWidth="1"/>
    <col min="12224" max="12224" width="9.42578125" style="1" customWidth="1"/>
    <col min="12225" max="12225" width="15.28515625" style="1" customWidth="1"/>
    <col min="12226" max="12227" width="11.7109375" style="1" customWidth="1"/>
    <col min="12228" max="12239" width="10.5703125" style="1" customWidth="1"/>
    <col min="12240" max="12240" width="11.140625" style="1" customWidth="1"/>
    <col min="12241" max="12243" width="11.7109375" style="1" customWidth="1"/>
    <col min="12244" max="12245" width="9.140625" style="1" customWidth="1"/>
    <col min="12246" max="12257" width="9.85546875" style="1" customWidth="1"/>
    <col min="12258" max="12258" width="12.85546875" style="1" customWidth="1"/>
    <col min="12259" max="12262" width="9.140625" style="1" customWidth="1"/>
    <col min="12263" max="12263" width="9.28515625" style="1" customWidth="1"/>
    <col min="12264" max="12264" width="10.28515625" style="1" customWidth="1"/>
    <col min="12265" max="12275" width="9.140625" style="1" customWidth="1"/>
    <col min="12276" max="12276" width="9.85546875" style="1" customWidth="1"/>
    <col min="12277" max="12277" width="10.28515625" style="1" customWidth="1"/>
    <col min="12278" max="12281" width="9.140625" style="1" customWidth="1"/>
    <col min="12282" max="12282" width="10.28515625" style="1" bestFit="1" customWidth="1"/>
    <col min="12283" max="12293" width="9.85546875" style="1" bestFit="1" customWidth="1"/>
    <col min="12294" max="12294" width="11.28515625" style="1" bestFit="1" customWidth="1"/>
    <col min="12295" max="12471" width="9.140625" style="1"/>
    <col min="12472" max="12472" width="34.85546875" style="1" bestFit="1" customWidth="1"/>
    <col min="12473" max="12473" width="16" style="1" customWidth="1"/>
    <col min="12474" max="12474" width="9.28515625" style="1" customWidth="1"/>
    <col min="12475" max="12475" width="12.28515625" style="1" customWidth="1"/>
    <col min="12476" max="12476" width="10.140625" style="1" customWidth="1"/>
    <col min="12477" max="12477" width="10.28515625" style="1" customWidth="1"/>
    <col min="12478" max="12478" width="9.5703125" style="1" customWidth="1"/>
    <col min="12479" max="12479" width="12.7109375" style="1" customWidth="1"/>
    <col min="12480" max="12480" width="9.42578125" style="1" customWidth="1"/>
    <col min="12481" max="12481" width="15.28515625" style="1" customWidth="1"/>
    <col min="12482" max="12483" width="11.7109375" style="1" customWidth="1"/>
    <col min="12484" max="12495" width="10.5703125" style="1" customWidth="1"/>
    <col min="12496" max="12496" width="11.140625" style="1" customWidth="1"/>
    <col min="12497" max="12499" width="11.7109375" style="1" customWidth="1"/>
    <col min="12500" max="12501" width="9.140625" style="1" customWidth="1"/>
    <col min="12502" max="12513" width="9.85546875" style="1" customWidth="1"/>
    <col min="12514" max="12514" width="12.85546875" style="1" customWidth="1"/>
    <col min="12515" max="12518" width="9.140625" style="1" customWidth="1"/>
    <col min="12519" max="12519" width="9.28515625" style="1" customWidth="1"/>
    <col min="12520" max="12520" width="10.28515625" style="1" customWidth="1"/>
    <col min="12521" max="12531" width="9.140625" style="1" customWidth="1"/>
    <col min="12532" max="12532" width="9.85546875" style="1" customWidth="1"/>
    <col min="12533" max="12533" width="10.28515625" style="1" customWidth="1"/>
    <col min="12534" max="12537" width="9.140625" style="1" customWidth="1"/>
    <col min="12538" max="12538" width="10.28515625" style="1" bestFit="1" customWidth="1"/>
    <col min="12539" max="12549" width="9.85546875" style="1" bestFit="1" customWidth="1"/>
    <col min="12550" max="12550" width="11.28515625" style="1" bestFit="1" customWidth="1"/>
    <col min="12551" max="12727" width="9.140625" style="1"/>
    <col min="12728" max="12728" width="34.85546875" style="1" bestFit="1" customWidth="1"/>
    <col min="12729" max="12729" width="16" style="1" customWidth="1"/>
    <col min="12730" max="12730" width="9.28515625" style="1" customWidth="1"/>
    <col min="12731" max="12731" width="12.28515625" style="1" customWidth="1"/>
    <col min="12732" max="12732" width="10.140625" style="1" customWidth="1"/>
    <col min="12733" max="12733" width="10.28515625" style="1" customWidth="1"/>
    <col min="12734" max="12734" width="9.5703125" style="1" customWidth="1"/>
    <col min="12735" max="12735" width="12.7109375" style="1" customWidth="1"/>
    <col min="12736" max="12736" width="9.42578125" style="1" customWidth="1"/>
    <col min="12737" max="12737" width="15.28515625" style="1" customWidth="1"/>
    <col min="12738" max="12739" width="11.7109375" style="1" customWidth="1"/>
    <col min="12740" max="12751" width="10.5703125" style="1" customWidth="1"/>
    <col min="12752" max="12752" width="11.140625" style="1" customWidth="1"/>
    <col min="12753" max="12755" width="11.7109375" style="1" customWidth="1"/>
    <col min="12756" max="12757" width="9.140625" style="1" customWidth="1"/>
    <col min="12758" max="12769" width="9.85546875" style="1" customWidth="1"/>
    <col min="12770" max="12770" width="12.85546875" style="1" customWidth="1"/>
    <col min="12771" max="12774" width="9.140625" style="1" customWidth="1"/>
    <col min="12775" max="12775" width="9.28515625" style="1" customWidth="1"/>
    <col min="12776" max="12776" width="10.28515625" style="1" customWidth="1"/>
    <col min="12777" max="12787" width="9.140625" style="1" customWidth="1"/>
    <col min="12788" max="12788" width="9.85546875" style="1" customWidth="1"/>
    <col min="12789" max="12789" width="10.28515625" style="1" customWidth="1"/>
    <col min="12790" max="12793" width="9.140625" style="1" customWidth="1"/>
    <col min="12794" max="12794" width="10.28515625" style="1" bestFit="1" customWidth="1"/>
    <col min="12795" max="12805" width="9.85546875" style="1" bestFit="1" customWidth="1"/>
    <col min="12806" max="12806" width="11.28515625" style="1" bestFit="1" customWidth="1"/>
    <col min="12807" max="12983" width="9.140625" style="1"/>
    <col min="12984" max="12984" width="34.85546875" style="1" bestFit="1" customWidth="1"/>
    <col min="12985" max="12985" width="16" style="1" customWidth="1"/>
    <col min="12986" max="12986" width="9.28515625" style="1" customWidth="1"/>
    <col min="12987" max="12987" width="12.28515625" style="1" customWidth="1"/>
    <col min="12988" max="12988" width="10.140625" style="1" customWidth="1"/>
    <col min="12989" max="12989" width="10.28515625" style="1" customWidth="1"/>
    <col min="12990" max="12990" width="9.5703125" style="1" customWidth="1"/>
    <col min="12991" max="12991" width="12.7109375" style="1" customWidth="1"/>
    <col min="12992" max="12992" width="9.42578125" style="1" customWidth="1"/>
    <col min="12993" max="12993" width="15.28515625" style="1" customWidth="1"/>
    <col min="12994" max="12995" width="11.7109375" style="1" customWidth="1"/>
    <col min="12996" max="13007" width="10.5703125" style="1" customWidth="1"/>
    <col min="13008" max="13008" width="11.140625" style="1" customWidth="1"/>
    <col min="13009" max="13011" width="11.7109375" style="1" customWidth="1"/>
    <col min="13012" max="13013" width="9.140625" style="1" customWidth="1"/>
    <col min="13014" max="13025" width="9.85546875" style="1" customWidth="1"/>
    <col min="13026" max="13026" width="12.85546875" style="1" customWidth="1"/>
    <col min="13027" max="13030" width="9.140625" style="1" customWidth="1"/>
    <col min="13031" max="13031" width="9.28515625" style="1" customWidth="1"/>
    <col min="13032" max="13032" width="10.28515625" style="1" customWidth="1"/>
    <col min="13033" max="13043" width="9.140625" style="1" customWidth="1"/>
    <col min="13044" max="13044" width="9.85546875" style="1" customWidth="1"/>
    <col min="13045" max="13045" width="10.28515625" style="1" customWidth="1"/>
    <col min="13046" max="13049" width="9.140625" style="1" customWidth="1"/>
    <col min="13050" max="13050" width="10.28515625" style="1" bestFit="1" customWidth="1"/>
    <col min="13051" max="13061" width="9.85546875" style="1" bestFit="1" customWidth="1"/>
    <col min="13062" max="13062" width="11.28515625" style="1" bestFit="1" customWidth="1"/>
    <col min="13063" max="13239" width="9.140625" style="1"/>
    <col min="13240" max="13240" width="34.85546875" style="1" bestFit="1" customWidth="1"/>
    <col min="13241" max="13241" width="16" style="1" customWidth="1"/>
    <col min="13242" max="13242" width="9.28515625" style="1" customWidth="1"/>
    <col min="13243" max="13243" width="12.28515625" style="1" customWidth="1"/>
    <col min="13244" max="13244" width="10.140625" style="1" customWidth="1"/>
    <col min="13245" max="13245" width="10.28515625" style="1" customWidth="1"/>
    <col min="13246" max="13246" width="9.5703125" style="1" customWidth="1"/>
    <col min="13247" max="13247" width="12.7109375" style="1" customWidth="1"/>
    <col min="13248" max="13248" width="9.42578125" style="1" customWidth="1"/>
    <col min="13249" max="13249" width="15.28515625" style="1" customWidth="1"/>
    <col min="13250" max="13251" width="11.7109375" style="1" customWidth="1"/>
    <col min="13252" max="13263" width="10.5703125" style="1" customWidth="1"/>
    <col min="13264" max="13264" width="11.140625" style="1" customWidth="1"/>
    <col min="13265" max="13267" width="11.7109375" style="1" customWidth="1"/>
    <col min="13268" max="13269" width="9.140625" style="1" customWidth="1"/>
    <col min="13270" max="13281" width="9.85546875" style="1" customWidth="1"/>
    <col min="13282" max="13282" width="12.85546875" style="1" customWidth="1"/>
    <col min="13283" max="13286" width="9.140625" style="1" customWidth="1"/>
    <col min="13287" max="13287" width="9.28515625" style="1" customWidth="1"/>
    <col min="13288" max="13288" width="10.28515625" style="1" customWidth="1"/>
    <col min="13289" max="13299" width="9.140625" style="1" customWidth="1"/>
    <col min="13300" max="13300" width="9.85546875" style="1" customWidth="1"/>
    <col min="13301" max="13301" width="10.28515625" style="1" customWidth="1"/>
    <col min="13302" max="13305" width="9.140625" style="1" customWidth="1"/>
    <col min="13306" max="13306" width="10.28515625" style="1" bestFit="1" customWidth="1"/>
    <col min="13307" max="13317" width="9.85546875" style="1" bestFit="1" customWidth="1"/>
    <col min="13318" max="13318" width="11.28515625" style="1" bestFit="1" customWidth="1"/>
    <col min="13319" max="13495" width="9.140625" style="1"/>
    <col min="13496" max="13496" width="34.85546875" style="1" bestFit="1" customWidth="1"/>
    <col min="13497" max="13497" width="16" style="1" customWidth="1"/>
    <col min="13498" max="13498" width="9.28515625" style="1" customWidth="1"/>
    <col min="13499" max="13499" width="12.28515625" style="1" customWidth="1"/>
    <col min="13500" max="13500" width="10.140625" style="1" customWidth="1"/>
    <col min="13501" max="13501" width="10.28515625" style="1" customWidth="1"/>
    <col min="13502" max="13502" width="9.5703125" style="1" customWidth="1"/>
    <col min="13503" max="13503" width="12.7109375" style="1" customWidth="1"/>
    <col min="13504" max="13504" width="9.42578125" style="1" customWidth="1"/>
    <col min="13505" max="13505" width="15.28515625" style="1" customWidth="1"/>
    <col min="13506" max="13507" width="11.7109375" style="1" customWidth="1"/>
    <col min="13508" max="13519" width="10.5703125" style="1" customWidth="1"/>
    <col min="13520" max="13520" width="11.140625" style="1" customWidth="1"/>
    <col min="13521" max="13523" width="11.7109375" style="1" customWidth="1"/>
    <col min="13524" max="13525" width="9.140625" style="1" customWidth="1"/>
    <col min="13526" max="13537" width="9.85546875" style="1" customWidth="1"/>
    <col min="13538" max="13538" width="12.85546875" style="1" customWidth="1"/>
    <col min="13539" max="13542" width="9.140625" style="1" customWidth="1"/>
    <col min="13543" max="13543" width="9.28515625" style="1" customWidth="1"/>
    <col min="13544" max="13544" width="10.28515625" style="1" customWidth="1"/>
    <col min="13545" max="13555" width="9.140625" style="1" customWidth="1"/>
    <col min="13556" max="13556" width="9.85546875" style="1" customWidth="1"/>
    <col min="13557" max="13557" width="10.28515625" style="1" customWidth="1"/>
    <col min="13558" max="13561" width="9.140625" style="1" customWidth="1"/>
    <col min="13562" max="13562" width="10.28515625" style="1" bestFit="1" customWidth="1"/>
    <col min="13563" max="13573" width="9.85546875" style="1" bestFit="1" customWidth="1"/>
    <col min="13574" max="13574" width="11.28515625" style="1" bestFit="1" customWidth="1"/>
    <col min="13575" max="13751" width="9.140625" style="1"/>
    <col min="13752" max="13752" width="34.85546875" style="1" bestFit="1" customWidth="1"/>
    <col min="13753" max="13753" width="16" style="1" customWidth="1"/>
    <col min="13754" max="13754" width="9.28515625" style="1" customWidth="1"/>
    <col min="13755" max="13755" width="12.28515625" style="1" customWidth="1"/>
    <col min="13756" max="13756" width="10.140625" style="1" customWidth="1"/>
    <col min="13757" max="13757" width="10.28515625" style="1" customWidth="1"/>
    <col min="13758" max="13758" width="9.5703125" style="1" customWidth="1"/>
    <col min="13759" max="13759" width="12.7109375" style="1" customWidth="1"/>
    <col min="13760" max="13760" width="9.42578125" style="1" customWidth="1"/>
    <col min="13761" max="13761" width="15.28515625" style="1" customWidth="1"/>
    <col min="13762" max="13763" width="11.7109375" style="1" customWidth="1"/>
    <col min="13764" max="13775" width="10.5703125" style="1" customWidth="1"/>
    <col min="13776" max="13776" width="11.140625" style="1" customWidth="1"/>
    <col min="13777" max="13779" width="11.7109375" style="1" customWidth="1"/>
    <col min="13780" max="13781" width="9.140625" style="1" customWidth="1"/>
    <col min="13782" max="13793" width="9.85546875" style="1" customWidth="1"/>
    <col min="13794" max="13794" width="12.85546875" style="1" customWidth="1"/>
    <col min="13795" max="13798" width="9.140625" style="1" customWidth="1"/>
    <col min="13799" max="13799" width="9.28515625" style="1" customWidth="1"/>
    <col min="13800" max="13800" width="10.28515625" style="1" customWidth="1"/>
    <col min="13801" max="13811" width="9.140625" style="1" customWidth="1"/>
    <col min="13812" max="13812" width="9.85546875" style="1" customWidth="1"/>
    <col min="13813" max="13813" width="10.28515625" style="1" customWidth="1"/>
    <col min="13814" max="13817" width="9.140625" style="1" customWidth="1"/>
    <col min="13818" max="13818" width="10.28515625" style="1" bestFit="1" customWidth="1"/>
    <col min="13819" max="13829" width="9.85546875" style="1" bestFit="1" customWidth="1"/>
    <col min="13830" max="13830" width="11.28515625" style="1" bestFit="1" customWidth="1"/>
    <col min="13831" max="14007" width="9.140625" style="1"/>
    <col min="14008" max="14008" width="34.85546875" style="1" bestFit="1" customWidth="1"/>
    <col min="14009" max="14009" width="16" style="1" customWidth="1"/>
    <col min="14010" max="14010" width="9.28515625" style="1" customWidth="1"/>
    <col min="14011" max="14011" width="12.28515625" style="1" customWidth="1"/>
    <col min="14012" max="14012" width="10.140625" style="1" customWidth="1"/>
    <col min="14013" max="14013" width="10.28515625" style="1" customWidth="1"/>
    <col min="14014" max="14014" width="9.5703125" style="1" customWidth="1"/>
    <col min="14015" max="14015" width="12.7109375" style="1" customWidth="1"/>
    <col min="14016" max="14016" width="9.42578125" style="1" customWidth="1"/>
    <col min="14017" max="14017" width="15.28515625" style="1" customWidth="1"/>
    <col min="14018" max="14019" width="11.7109375" style="1" customWidth="1"/>
    <col min="14020" max="14031" width="10.5703125" style="1" customWidth="1"/>
    <col min="14032" max="14032" width="11.140625" style="1" customWidth="1"/>
    <col min="14033" max="14035" width="11.7109375" style="1" customWidth="1"/>
    <col min="14036" max="14037" width="9.140625" style="1" customWidth="1"/>
    <col min="14038" max="14049" width="9.85546875" style="1" customWidth="1"/>
    <col min="14050" max="14050" width="12.85546875" style="1" customWidth="1"/>
    <col min="14051" max="14054" width="9.140625" style="1" customWidth="1"/>
    <col min="14055" max="14055" width="9.28515625" style="1" customWidth="1"/>
    <col min="14056" max="14056" width="10.28515625" style="1" customWidth="1"/>
    <col min="14057" max="14067" width="9.140625" style="1" customWidth="1"/>
    <col min="14068" max="14068" width="9.85546875" style="1" customWidth="1"/>
    <col min="14069" max="14069" width="10.28515625" style="1" customWidth="1"/>
    <col min="14070" max="14073" width="9.140625" style="1" customWidth="1"/>
    <col min="14074" max="14074" width="10.28515625" style="1" bestFit="1" customWidth="1"/>
    <col min="14075" max="14085" width="9.85546875" style="1" bestFit="1" customWidth="1"/>
    <col min="14086" max="14086" width="11.28515625" style="1" bestFit="1" customWidth="1"/>
    <col min="14087" max="14263" width="9.140625" style="1"/>
    <col min="14264" max="14264" width="34.85546875" style="1" bestFit="1" customWidth="1"/>
    <col min="14265" max="14265" width="16" style="1" customWidth="1"/>
    <col min="14266" max="14266" width="9.28515625" style="1" customWidth="1"/>
    <col min="14267" max="14267" width="12.28515625" style="1" customWidth="1"/>
    <col min="14268" max="14268" width="10.140625" style="1" customWidth="1"/>
    <col min="14269" max="14269" width="10.28515625" style="1" customWidth="1"/>
    <col min="14270" max="14270" width="9.5703125" style="1" customWidth="1"/>
    <col min="14271" max="14271" width="12.7109375" style="1" customWidth="1"/>
    <col min="14272" max="14272" width="9.42578125" style="1" customWidth="1"/>
    <col min="14273" max="14273" width="15.28515625" style="1" customWidth="1"/>
    <col min="14274" max="14275" width="11.7109375" style="1" customWidth="1"/>
    <col min="14276" max="14287" width="10.5703125" style="1" customWidth="1"/>
    <col min="14288" max="14288" width="11.140625" style="1" customWidth="1"/>
    <col min="14289" max="14291" width="11.7109375" style="1" customWidth="1"/>
    <col min="14292" max="14293" width="9.140625" style="1" customWidth="1"/>
    <col min="14294" max="14305" width="9.85546875" style="1" customWidth="1"/>
    <col min="14306" max="14306" width="12.85546875" style="1" customWidth="1"/>
    <col min="14307" max="14310" width="9.140625" style="1" customWidth="1"/>
    <col min="14311" max="14311" width="9.28515625" style="1" customWidth="1"/>
    <col min="14312" max="14312" width="10.28515625" style="1" customWidth="1"/>
    <col min="14313" max="14323" width="9.140625" style="1" customWidth="1"/>
    <col min="14324" max="14324" width="9.85546875" style="1" customWidth="1"/>
    <col min="14325" max="14325" width="10.28515625" style="1" customWidth="1"/>
    <col min="14326" max="14329" width="9.140625" style="1" customWidth="1"/>
    <col min="14330" max="14330" width="10.28515625" style="1" bestFit="1" customWidth="1"/>
    <col min="14331" max="14341" width="9.85546875" style="1" bestFit="1" customWidth="1"/>
    <col min="14342" max="14342" width="11.28515625" style="1" bestFit="1" customWidth="1"/>
    <col min="14343" max="14519" width="9.140625" style="1"/>
    <col min="14520" max="14520" width="34.85546875" style="1" bestFit="1" customWidth="1"/>
    <col min="14521" max="14521" width="16" style="1" customWidth="1"/>
    <col min="14522" max="14522" width="9.28515625" style="1" customWidth="1"/>
    <col min="14523" max="14523" width="12.28515625" style="1" customWidth="1"/>
    <col min="14524" max="14524" width="10.140625" style="1" customWidth="1"/>
    <col min="14525" max="14525" width="10.28515625" style="1" customWidth="1"/>
    <col min="14526" max="14526" width="9.5703125" style="1" customWidth="1"/>
    <col min="14527" max="14527" width="12.7109375" style="1" customWidth="1"/>
    <col min="14528" max="14528" width="9.42578125" style="1" customWidth="1"/>
    <col min="14529" max="14529" width="15.28515625" style="1" customWidth="1"/>
    <col min="14530" max="14531" width="11.7109375" style="1" customWidth="1"/>
    <col min="14532" max="14543" width="10.5703125" style="1" customWidth="1"/>
    <col min="14544" max="14544" width="11.140625" style="1" customWidth="1"/>
    <col min="14545" max="14547" width="11.7109375" style="1" customWidth="1"/>
    <col min="14548" max="14549" width="9.140625" style="1" customWidth="1"/>
    <col min="14550" max="14561" width="9.85546875" style="1" customWidth="1"/>
    <col min="14562" max="14562" width="12.85546875" style="1" customWidth="1"/>
    <col min="14563" max="14566" width="9.140625" style="1" customWidth="1"/>
    <col min="14567" max="14567" width="9.28515625" style="1" customWidth="1"/>
    <col min="14568" max="14568" width="10.28515625" style="1" customWidth="1"/>
    <col min="14569" max="14579" width="9.140625" style="1" customWidth="1"/>
    <col min="14580" max="14580" width="9.85546875" style="1" customWidth="1"/>
    <col min="14581" max="14581" width="10.28515625" style="1" customWidth="1"/>
    <col min="14582" max="14585" width="9.140625" style="1" customWidth="1"/>
    <col min="14586" max="14586" width="10.28515625" style="1" bestFit="1" customWidth="1"/>
    <col min="14587" max="14597" width="9.85546875" style="1" bestFit="1" customWidth="1"/>
    <col min="14598" max="14598" width="11.28515625" style="1" bestFit="1" customWidth="1"/>
    <col min="14599" max="14775" width="9.140625" style="1"/>
    <col min="14776" max="14776" width="34.85546875" style="1" bestFit="1" customWidth="1"/>
    <col min="14777" max="14777" width="16" style="1" customWidth="1"/>
    <col min="14778" max="14778" width="9.28515625" style="1" customWidth="1"/>
    <col min="14779" max="14779" width="12.28515625" style="1" customWidth="1"/>
    <col min="14780" max="14780" width="10.140625" style="1" customWidth="1"/>
    <col min="14781" max="14781" width="10.28515625" style="1" customWidth="1"/>
    <col min="14782" max="14782" width="9.5703125" style="1" customWidth="1"/>
    <col min="14783" max="14783" width="12.7109375" style="1" customWidth="1"/>
    <col min="14784" max="14784" width="9.42578125" style="1" customWidth="1"/>
    <col min="14785" max="14785" width="15.28515625" style="1" customWidth="1"/>
    <col min="14786" max="14787" width="11.7109375" style="1" customWidth="1"/>
    <col min="14788" max="14799" width="10.5703125" style="1" customWidth="1"/>
    <col min="14800" max="14800" width="11.140625" style="1" customWidth="1"/>
    <col min="14801" max="14803" width="11.7109375" style="1" customWidth="1"/>
    <col min="14804" max="14805" width="9.140625" style="1" customWidth="1"/>
    <col min="14806" max="14817" width="9.85546875" style="1" customWidth="1"/>
    <col min="14818" max="14818" width="12.85546875" style="1" customWidth="1"/>
    <col min="14819" max="14822" width="9.140625" style="1" customWidth="1"/>
    <col min="14823" max="14823" width="9.28515625" style="1" customWidth="1"/>
    <col min="14824" max="14824" width="10.28515625" style="1" customWidth="1"/>
    <col min="14825" max="14835" width="9.140625" style="1" customWidth="1"/>
    <col min="14836" max="14836" width="9.85546875" style="1" customWidth="1"/>
    <col min="14837" max="14837" width="10.28515625" style="1" customWidth="1"/>
    <col min="14838" max="14841" width="9.140625" style="1" customWidth="1"/>
    <col min="14842" max="14842" width="10.28515625" style="1" bestFit="1" customWidth="1"/>
    <col min="14843" max="14853" width="9.85546875" style="1" bestFit="1" customWidth="1"/>
    <col min="14854" max="14854" width="11.28515625" style="1" bestFit="1" customWidth="1"/>
    <col min="14855" max="15031" width="9.140625" style="1"/>
    <col min="15032" max="15032" width="34.85546875" style="1" bestFit="1" customWidth="1"/>
    <col min="15033" max="15033" width="16" style="1" customWidth="1"/>
    <col min="15034" max="15034" width="9.28515625" style="1" customWidth="1"/>
    <col min="15035" max="15035" width="12.28515625" style="1" customWidth="1"/>
    <col min="15036" max="15036" width="10.140625" style="1" customWidth="1"/>
    <col min="15037" max="15037" width="10.28515625" style="1" customWidth="1"/>
    <col min="15038" max="15038" width="9.5703125" style="1" customWidth="1"/>
    <col min="15039" max="15039" width="12.7109375" style="1" customWidth="1"/>
    <col min="15040" max="15040" width="9.42578125" style="1" customWidth="1"/>
    <col min="15041" max="15041" width="15.28515625" style="1" customWidth="1"/>
    <col min="15042" max="15043" width="11.7109375" style="1" customWidth="1"/>
    <col min="15044" max="15055" width="10.5703125" style="1" customWidth="1"/>
    <col min="15056" max="15056" width="11.140625" style="1" customWidth="1"/>
    <col min="15057" max="15059" width="11.7109375" style="1" customWidth="1"/>
    <col min="15060" max="15061" width="9.140625" style="1" customWidth="1"/>
    <col min="15062" max="15073" width="9.85546875" style="1" customWidth="1"/>
    <col min="15074" max="15074" width="12.85546875" style="1" customWidth="1"/>
    <col min="15075" max="15078" width="9.140625" style="1" customWidth="1"/>
    <col min="15079" max="15079" width="9.28515625" style="1" customWidth="1"/>
    <col min="15080" max="15080" width="10.28515625" style="1" customWidth="1"/>
    <col min="15081" max="15091" width="9.140625" style="1" customWidth="1"/>
    <col min="15092" max="15092" width="9.85546875" style="1" customWidth="1"/>
    <col min="15093" max="15093" width="10.28515625" style="1" customWidth="1"/>
    <col min="15094" max="15097" width="9.140625" style="1" customWidth="1"/>
    <col min="15098" max="15098" width="10.28515625" style="1" bestFit="1" customWidth="1"/>
    <col min="15099" max="15109" width="9.85546875" style="1" bestFit="1" customWidth="1"/>
    <col min="15110" max="15110" width="11.28515625" style="1" bestFit="1" customWidth="1"/>
    <col min="15111" max="15287" width="9.140625" style="1"/>
    <col min="15288" max="15288" width="34.85546875" style="1" bestFit="1" customWidth="1"/>
    <col min="15289" max="15289" width="16" style="1" customWidth="1"/>
    <col min="15290" max="15290" width="9.28515625" style="1" customWidth="1"/>
    <col min="15291" max="15291" width="12.28515625" style="1" customWidth="1"/>
    <col min="15292" max="15292" width="10.140625" style="1" customWidth="1"/>
    <col min="15293" max="15293" width="10.28515625" style="1" customWidth="1"/>
    <col min="15294" max="15294" width="9.5703125" style="1" customWidth="1"/>
    <col min="15295" max="15295" width="12.7109375" style="1" customWidth="1"/>
    <col min="15296" max="15296" width="9.42578125" style="1" customWidth="1"/>
    <col min="15297" max="15297" width="15.28515625" style="1" customWidth="1"/>
    <col min="15298" max="15299" width="11.7109375" style="1" customWidth="1"/>
    <col min="15300" max="15311" width="10.5703125" style="1" customWidth="1"/>
    <col min="15312" max="15312" width="11.140625" style="1" customWidth="1"/>
    <col min="15313" max="15315" width="11.7109375" style="1" customWidth="1"/>
    <col min="15316" max="15317" width="9.140625" style="1" customWidth="1"/>
    <col min="15318" max="15329" width="9.85546875" style="1" customWidth="1"/>
    <col min="15330" max="15330" width="12.85546875" style="1" customWidth="1"/>
    <col min="15331" max="15334" width="9.140625" style="1" customWidth="1"/>
    <col min="15335" max="15335" width="9.28515625" style="1" customWidth="1"/>
    <col min="15336" max="15336" width="10.28515625" style="1" customWidth="1"/>
    <col min="15337" max="15347" width="9.140625" style="1" customWidth="1"/>
    <col min="15348" max="15348" width="9.85546875" style="1" customWidth="1"/>
    <col min="15349" max="15349" width="10.28515625" style="1" customWidth="1"/>
    <col min="15350" max="15353" width="9.140625" style="1" customWidth="1"/>
    <col min="15354" max="15354" width="10.28515625" style="1" bestFit="1" customWidth="1"/>
    <col min="15355" max="15365" width="9.85546875" style="1" bestFit="1" customWidth="1"/>
    <col min="15366" max="15366" width="11.28515625" style="1" bestFit="1" customWidth="1"/>
    <col min="15367" max="15543" width="9.140625" style="1"/>
    <col min="15544" max="15544" width="34.85546875" style="1" bestFit="1" customWidth="1"/>
    <col min="15545" max="15545" width="16" style="1" customWidth="1"/>
    <col min="15546" max="15546" width="9.28515625" style="1" customWidth="1"/>
    <col min="15547" max="15547" width="12.28515625" style="1" customWidth="1"/>
    <col min="15548" max="15548" width="10.140625" style="1" customWidth="1"/>
    <col min="15549" max="15549" width="10.28515625" style="1" customWidth="1"/>
    <col min="15550" max="15550" width="9.5703125" style="1" customWidth="1"/>
    <col min="15551" max="15551" width="12.7109375" style="1" customWidth="1"/>
    <col min="15552" max="15552" width="9.42578125" style="1" customWidth="1"/>
    <col min="15553" max="15553" width="15.28515625" style="1" customWidth="1"/>
    <col min="15554" max="15555" width="11.7109375" style="1" customWidth="1"/>
    <col min="15556" max="15567" width="10.5703125" style="1" customWidth="1"/>
    <col min="15568" max="15568" width="11.140625" style="1" customWidth="1"/>
    <col min="15569" max="15571" width="11.7109375" style="1" customWidth="1"/>
    <col min="15572" max="15573" width="9.140625" style="1" customWidth="1"/>
    <col min="15574" max="15585" width="9.85546875" style="1" customWidth="1"/>
    <col min="15586" max="15586" width="12.85546875" style="1" customWidth="1"/>
    <col min="15587" max="15590" width="9.140625" style="1" customWidth="1"/>
    <col min="15591" max="15591" width="9.28515625" style="1" customWidth="1"/>
    <col min="15592" max="15592" width="10.28515625" style="1" customWidth="1"/>
    <col min="15593" max="15603" width="9.140625" style="1" customWidth="1"/>
    <col min="15604" max="15604" width="9.85546875" style="1" customWidth="1"/>
    <col min="15605" max="15605" width="10.28515625" style="1" customWidth="1"/>
    <col min="15606" max="15609" width="9.140625" style="1" customWidth="1"/>
    <col min="15610" max="15610" width="10.28515625" style="1" bestFit="1" customWidth="1"/>
    <col min="15611" max="15621" width="9.85546875" style="1" bestFit="1" customWidth="1"/>
    <col min="15622" max="15622" width="11.28515625" style="1" bestFit="1" customWidth="1"/>
    <col min="15623" max="15799" width="9.140625" style="1"/>
    <col min="15800" max="15800" width="34.85546875" style="1" bestFit="1" customWidth="1"/>
    <col min="15801" max="15801" width="16" style="1" customWidth="1"/>
    <col min="15802" max="15802" width="9.28515625" style="1" customWidth="1"/>
    <col min="15803" max="15803" width="12.28515625" style="1" customWidth="1"/>
    <col min="15804" max="15804" width="10.140625" style="1" customWidth="1"/>
    <col min="15805" max="15805" width="10.28515625" style="1" customWidth="1"/>
    <col min="15806" max="15806" width="9.5703125" style="1" customWidth="1"/>
    <col min="15807" max="15807" width="12.7109375" style="1" customWidth="1"/>
    <col min="15808" max="15808" width="9.42578125" style="1" customWidth="1"/>
    <col min="15809" max="15809" width="15.28515625" style="1" customWidth="1"/>
    <col min="15810" max="15811" width="11.7109375" style="1" customWidth="1"/>
    <col min="15812" max="15823" width="10.5703125" style="1" customWidth="1"/>
    <col min="15824" max="15824" width="11.140625" style="1" customWidth="1"/>
    <col min="15825" max="15827" width="11.7109375" style="1" customWidth="1"/>
    <col min="15828" max="15829" width="9.140625" style="1" customWidth="1"/>
    <col min="15830" max="15841" width="9.85546875" style="1" customWidth="1"/>
    <col min="15842" max="15842" width="12.85546875" style="1" customWidth="1"/>
    <col min="15843" max="15846" width="9.140625" style="1" customWidth="1"/>
    <col min="15847" max="15847" width="9.28515625" style="1" customWidth="1"/>
    <col min="15848" max="15848" width="10.28515625" style="1" customWidth="1"/>
    <col min="15849" max="15859" width="9.140625" style="1" customWidth="1"/>
    <col min="15860" max="15860" width="9.85546875" style="1" customWidth="1"/>
    <col min="15861" max="15861" width="10.28515625" style="1" customWidth="1"/>
    <col min="15862" max="15865" width="9.140625" style="1" customWidth="1"/>
    <col min="15866" max="15866" width="10.28515625" style="1" bestFit="1" customWidth="1"/>
    <col min="15867" max="15877" width="9.85546875" style="1" bestFit="1" customWidth="1"/>
    <col min="15878" max="15878" width="11.28515625" style="1" bestFit="1" customWidth="1"/>
    <col min="15879" max="16055" width="9.140625" style="1"/>
    <col min="16056" max="16056" width="34.85546875" style="1" bestFit="1" customWidth="1"/>
    <col min="16057" max="16057" width="16" style="1" customWidth="1"/>
    <col min="16058" max="16058" width="9.28515625" style="1" customWidth="1"/>
    <col min="16059" max="16059" width="12.28515625" style="1" customWidth="1"/>
    <col min="16060" max="16060" width="10.140625" style="1" customWidth="1"/>
    <col min="16061" max="16061" width="10.28515625" style="1" customWidth="1"/>
    <col min="16062" max="16062" width="9.5703125" style="1" customWidth="1"/>
    <col min="16063" max="16063" width="12.7109375" style="1" customWidth="1"/>
    <col min="16064" max="16064" width="9.42578125" style="1" customWidth="1"/>
    <col min="16065" max="16065" width="15.28515625" style="1" customWidth="1"/>
    <col min="16066" max="16067" width="11.7109375" style="1" customWidth="1"/>
    <col min="16068" max="16079" width="10.5703125" style="1" customWidth="1"/>
    <col min="16080" max="16080" width="11.140625" style="1" customWidth="1"/>
    <col min="16081" max="16083" width="11.7109375" style="1" customWidth="1"/>
    <col min="16084" max="16085" width="9.140625" style="1" customWidth="1"/>
    <col min="16086" max="16097" width="9.85546875" style="1" customWidth="1"/>
    <col min="16098" max="16098" width="12.85546875" style="1" customWidth="1"/>
    <col min="16099" max="16102" width="9.140625" style="1" customWidth="1"/>
    <col min="16103" max="16103" width="9.28515625" style="1" customWidth="1"/>
    <col min="16104" max="16104" width="10.28515625" style="1" customWidth="1"/>
    <col min="16105" max="16115" width="9.140625" style="1" customWidth="1"/>
    <col min="16116" max="16116" width="9.85546875" style="1" customWidth="1"/>
    <col min="16117" max="16117" width="10.28515625" style="1" customWidth="1"/>
    <col min="16118" max="16121" width="9.140625" style="1" customWidth="1"/>
    <col min="16122" max="16122" width="10.28515625" style="1" bestFit="1" customWidth="1"/>
    <col min="16123" max="16133" width="9.85546875" style="1" bestFit="1" customWidth="1"/>
    <col min="16134" max="16134" width="11.28515625" style="1" bestFit="1" customWidth="1"/>
    <col min="16135" max="16384" width="9.140625" style="1"/>
  </cols>
  <sheetData>
    <row r="1" spans="1:22" x14ac:dyDescent="0.2">
      <c r="F1" s="174" t="s">
        <v>49</v>
      </c>
      <c r="G1" s="174" t="s">
        <v>48</v>
      </c>
      <c r="H1" s="174" t="s">
        <v>47</v>
      </c>
      <c r="I1" s="174" t="s">
        <v>46</v>
      </c>
      <c r="J1" s="174" t="s">
        <v>45</v>
      </c>
      <c r="K1" s="174" t="s">
        <v>44</v>
      </c>
      <c r="L1" s="174" t="s">
        <v>43</v>
      </c>
      <c r="M1" s="174" t="s">
        <v>42</v>
      </c>
      <c r="N1" s="174" t="s">
        <v>41</v>
      </c>
      <c r="O1" s="174" t="s">
        <v>40</v>
      </c>
      <c r="P1" s="174" t="s">
        <v>39</v>
      </c>
      <c r="Q1" s="174" t="s">
        <v>38</v>
      </c>
      <c r="R1" s="174" t="s">
        <v>37</v>
      </c>
    </row>
    <row r="2" spans="1:22" ht="12.75" customHeight="1" x14ac:dyDescent="0.2">
      <c r="B2" s="35" t="s">
        <v>280</v>
      </c>
      <c r="C2" s="38">
        <f>STATS!D47</f>
        <v>481</v>
      </c>
      <c r="D2" s="37"/>
      <c r="E2" s="37"/>
      <c r="F2" s="131">
        <f>'MO STATS'!E43</f>
        <v>24</v>
      </c>
      <c r="G2" s="131">
        <f>'MO STATS'!F43</f>
        <v>50</v>
      </c>
      <c r="H2" s="131">
        <f>'MO STATS'!G43</f>
        <v>47</v>
      </c>
      <c r="I2" s="131">
        <f>'MO STATS'!H43</f>
        <v>48</v>
      </c>
      <c r="J2" s="131">
        <f>'MO STATS'!I43</f>
        <v>56</v>
      </c>
      <c r="K2" s="131">
        <f>'MO STATS'!J43</f>
        <v>34</v>
      </c>
      <c r="L2" s="131">
        <f>'MO STATS'!K43</f>
        <v>35</v>
      </c>
      <c r="M2" s="131">
        <f>'MO STATS'!L43</f>
        <v>19</v>
      </c>
      <c r="N2" s="131">
        <f>'MO STATS'!M43</f>
        <v>49</v>
      </c>
      <c r="O2" s="131">
        <f>'MO STATS'!N43</f>
        <v>36</v>
      </c>
      <c r="P2" s="131">
        <f>'MO STATS'!O43</f>
        <v>57</v>
      </c>
      <c r="Q2" s="131">
        <f>'MO STATS'!P43</f>
        <v>26</v>
      </c>
      <c r="R2" s="101">
        <f t="shared" ref="R2:R4" si="0">SUM(F2:Q2)</f>
        <v>481</v>
      </c>
      <c r="S2" s="3">
        <f>C2-R2</f>
        <v>0</v>
      </c>
      <c r="V2" s="34"/>
    </row>
    <row r="3" spans="1:22" ht="12.75" customHeight="1" x14ac:dyDescent="0.2">
      <c r="B3" s="35" t="s">
        <v>282</v>
      </c>
      <c r="C3" s="38">
        <f>STATS!D48</f>
        <v>1878</v>
      </c>
      <c r="D3" s="37"/>
      <c r="E3" s="37"/>
      <c r="F3" s="131">
        <f>'MO STATS'!E44</f>
        <v>136</v>
      </c>
      <c r="G3" s="131">
        <f>'MO STATS'!F44</f>
        <v>129</v>
      </c>
      <c r="H3" s="131">
        <f>'MO STATS'!G44</f>
        <v>134</v>
      </c>
      <c r="I3" s="131">
        <f>'MO STATS'!H44</f>
        <v>166</v>
      </c>
      <c r="J3" s="131">
        <f>'MO STATS'!I44</f>
        <v>140</v>
      </c>
      <c r="K3" s="131">
        <f>'MO STATS'!J44</f>
        <v>168</v>
      </c>
      <c r="L3" s="131">
        <f>'MO STATS'!K44</f>
        <v>158</v>
      </c>
      <c r="M3" s="131">
        <f>'MO STATS'!L44</f>
        <v>178</v>
      </c>
      <c r="N3" s="131">
        <f>'MO STATS'!M44</f>
        <v>167</v>
      </c>
      <c r="O3" s="131">
        <f>'MO STATS'!N44</f>
        <v>164</v>
      </c>
      <c r="P3" s="131">
        <f>'MO STATS'!O44</f>
        <v>171</v>
      </c>
      <c r="Q3" s="131">
        <f>'MO STATS'!P44</f>
        <v>167</v>
      </c>
      <c r="R3" s="101">
        <f t="shared" si="0"/>
        <v>1878</v>
      </c>
      <c r="S3" s="3">
        <f>C3-R3</f>
        <v>0</v>
      </c>
      <c r="V3" s="34"/>
    </row>
    <row r="4" spans="1:22" x14ac:dyDescent="0.2">
      <c r="B4" s="35" t="s">
        <v>284</v>
      </c>
      <c r="C4" s="38">
        <f>C2+C3</f>
        <v>2359</v>
      </c>
      <c r="F4" s="131">
        <f>'MO STATS'!E45</f>
        <v>160</v>
      </c>
      <c r="G4" s="131">
        <f>'MO STATS'!F45</f>
        <v>179</v>
      </c>
      <c r="H4" s="131">
        <f>'MO STATS'!G45</f>
        <v>181</v>
      </c>
      <c r="I4" s="131">
        <f>'MO STATS'!H45</f>
        <v>214</v>
      </c>
      <c r="J4" s="131">
        <f>'MO STATS'!I45</f>
        <v>196</v>
      </c>
      <c r="K4" s="131">
        <f>'MO STATS'!J45</f>
        <v>202</v>
      </c>
      <c r="L4" s="131">
        <f>'MO STATS'!K45</f>
        <v>193</v>
      </c>
      <c r="M4" s="131">
        <f>'MO STATS'!L45</f>
        <v>197</v>
      </c>
      <c r="N4" s="131">
        <f>'MO STATS'!M45</f>
        <v>216</v>
      </c>
      <c r="O4" s="131">
        <f>'MO STATS'!N45</f>
        <v>200</v>
      </c>
      <c r="P4" s="131">
        <f>'MO STATS'!O45</f>
        <v>228</v>
      </c>
      <c r="Q4" s="131">
        <f>'MO STATS'!P45</f>
        <v>193</v>
      </c>
      <c r="R4" s="101">
        <f t="shared" si="0"/>
        <v>2359</v>
      </c>
      <c r="S4" s="3">
        <f>C4-R4</f>
        <v>0</v>
      </c>
      <c r="V4" s="34"/>
    </row>
    <row r="5" spans="1:22" x14ac:dyDescent="0.2">
      <c r="B5" s="35" t="s">
        <v>534</v>
      </c>
      <c r="C5" s="38">
        <f>STATS!D50</f>
        <v>0</v>
      </c>
      <c r="F5" s="131">
        <f>'MO STATS'!E46</f>
        <v>0</v>
      </c>
      <c r="G5" s="131">
        <f>'MO STATS'!F46</f>
        <v>0</v>
      </c>
      <c r="H5" s="131">
        <f>'MO STATS'!G46</f>
        <v>0</v>
      </c>
      <c r="I5" s="131">
        <f>'MO STATS'!H46</f>
        <v>0</v>
      </c>
      <c r="J5" s="131">
        <f>'MO STATS'!I46</f>
        <v>0</v>
      </c>
      <c r="K5" s="131">
        <f>'MO STATS'!J46</f>
        <v>0</v>
      </c>
      <c r="L5" s="131">
        <f>'MO STATS'!K46</f>
        <v>0</v>
      </c>
      <c r="M5" s="131">
        <f>'MO STATS'!L46</f>
        <v>0</v>
      </c>
      <c r="N5" s="131">
        <f>'MO STATS'!M46</f>
        <v>0</v>
      </c>
      <c r="O5" s="131">
        <f>'MO STATS'!N46</f>
        <v>0</v>
      </c>
      <c r="P5" s="131">
        <f>'MO STATS'!O46</f>
        <v>0</v>
      </c>
      <c r="Q5" s="131">
        <f>'MO STATS'!P46</f>
        <v>0</v>
      </c>
      <c r="R5" s="101">
        <f t="shared" ref="R5:R7" si="1">SUM(F5:Q5)</f>
        <v>0</v>
      </c>
      <c r="S5" s="3">
        <f t="shared" ref="S5:S7" si="2">C5-R5</f>
        <v>0</v>
      </c>
      <c r="V5" s="34"/>
    </row>
    <row r="6" spans="1:22" x14ac:dyDescent="0.2">
      <c r="B6" s="35" t="s">
        <v>535</v>
      </c>
      <c r="C6" s="38">
        <f>STATS!D51</f>
        <v>15</v>
      </c>
      <c r="F6" s="131">
        <f>'MO STATS'!E47</f>
        <v>3</v>
      </c>
      <c r="G6" s="131">
        <f>'MO STATS'!F47</f>
        <v>2</v>
      </c>
      <c r="H6" s="131">
        <f>'MO STATS'!G47</f>
        <v>1</v>
      </c>
      <c r="I6" s="131">
        <f>'MO STATS'!H47</f>
        <v>2</v>
      </c>
      <c r="J6" s="131">
        <f>'MO STATS'!I47</f>
        <v>1</v>
      </c>
      <c r="K6" s="131">
        <f>'MO STATS'!J47</f>
        <v>1</v>
      </c>
      <c r="L6" s="131">
        <f>'MO STATS'!K47</f>
        <v>0</v>
      </c>
      <c r="M6" s="131">
        <f>'MO STATS'!L47</f>
        <v>0</v>
      </c>
      <c r="N6" s="131">
        <f>'MO STATS'!M47</f>
        <v>1</v>
      </c>
      <c r="O6" s="131">
        <f>'MO STATS'!N47</f>
        <v>2</v>
      </c>
      <c r="P6" s="131">
        <f>'MO STATS'!O47</f>
        <v>1</v>
      </c>
      <c r="Q6" s="131">
        <f>'MO STATS'!P47</f>
        <v>1</v>
      </c>
      <c r="R6" s="101">
        <f t="shared" si="1"/>
        <v>15</v>
      </c>
      <c r="S6" s="3">
        <f t="shared" si="2"/>
        <v>0</v>
      </c>
      <c r="V6" s="34"/>
    </row>
    <row r="7" spans="1:22" x14ac:dyDescent="0.2">
      <c r="B7" s="35" t="s">
        <v>536</v>
      </c>
      <c r="C7" s="38">
        <f>C5+C6</f>
        <v>15</v>
      </c>
      <c r="F7" s="131">
        <f>'MO STATS'!E48</f>
        <v>3</v>
      </c>
      <c r="G7" s="131">
        <f>'MO STATS'!F48</f>
        <v>2</v>
      </c>
      <c r="H7" s="131">
        <f>'MO STATS'!G48</f>
        <v>1</v>
      </c>
      <c r="I7" s="131">
        <f>'MO STATS'!H48</f>
        <v>2</v>
      </c>
      <c r="J7" s="131">
        <f>'MO STATS'!I48</f>
        <v>1</v>
      </c>
      <c r="K7" s="131">
        <f>'MO STATS'!J48</f>
        <v>1</v>
      </c>
      <c r="L7" s="131">
        <f>'MO STATS'!K48</f>
        <v>0</v>
      </c>
      <c r="M7" s="131">
        <f>'MO STATS'!L48</f>
        <v>0</v>
      </c>
      <c r="N7" s="131">
        <f>'MO STATS'!M48</f>
        <v>1</v>
      </c>
      <c r="O7" s="131">
        <f>'MO STATS'!N48</f>
        <v>2</v>
      </c>
      <c r="P7" s="131">
        <f>'MO STATS'!O48</f>
        <v>1</v>
      </c>
      <c r="Q7" s="131">
        <f>'MO STATS'!P48</f>
        <v>1</v>
      </c>
      <c r="R7" s="101">
        <f t="shared" si="1"/>
        <v>15</v>
      </c>
      <c r="S7" s="3">
        <f t="shared" si="2"/>
        <v>0</v>
      </c>
      <c r="V7" s="34"/>
    </row>
    <row r="8" spans="1:22" x14ac:dyDescent="0.2">
      <c r="C8" s="36"/>
      <c r="D8" s="7"/>
      <c r="E8" s="7"/>
      <c r="F8" s="100"/>
      <c r="G8" s="100"/>
      <c r="H8" s="100"/>
      <c r="I8" s="100"/>
      <c r="J8" s="100"/>
      <c r="K8" s="100"/>
      <c r="L8" s="34"/>
      <c r="M8" s="34"/>
      <c r="N8" s="34"/>
      <c r="O8" s="34"/>
      <c r="P8" s="34"/>
      <c r="Q8" s="34"/>
      <c r="R8" s="101"/>
      <c r="S8" s="34"/>
      <c r="T8" s="34"/>
      <c r="U8" s="34"/>
      <c r="V8" s="34"/>
    </row>
    <row r="9" spans="1:22" x14ac:dyDescent="0.2">
      <c r="A9" s="711" t="s">
        <v>35</v>
      </c>
      <c r="B9" s="711"/>
      <c r="C9" s="711"/>
      <c r="D9" s="711"/>
      <c r="E9" s="37"/>
    </row>
    <row r="10" spans="1:22" x14ac:dyDescent="0.2">
      <c r="A10" s="21"/>
      <c r="B10" s="181" t="s">
        <v>478</v>
      </c>
      <c r="C10" s="181"/>
      <c r="D10" s="182" t="s">
        <v>481</v>
      </c>
      <c r="E10" s="181"/>
      <c r="F10" s="174" t="s">
        <v>49</v>
      </c>
      <c r="G10" s="174" t="s">
        <v>48</v>
      </c>
      <c r="H10" s="174" t="s">
        <v>47</v>
      </c>
      <c r="I10" s="174" t="s">
        <v>46</v>
      </c>
      <c r="J10" s="174" t="s">
        <v>45</v>
      </c>
      <c r="K10" s="174" t="s">
        <v>44</v>
      </c>
      <c r="L10" s="174" t="s">
        <v>43</v>
      </c>
      <c r="M10" s="174" t="s">
        <v>42</v>
      </c>
      <c r="N10" s="174" t="s">
        <v>41</v>
      </c>
      <c r="O10" s="174" t="s">
        <v>40</v>
      </c>
      <c r="P10" s="174" t="s">
        <v>39</v>
      </c>
      <c r="Q10" s="174" t="s">
        <v>38</v>
      </c>
      <c r="R10" s="174" t="s">
        <v>37</v>
      </c>
    </row>
    <row r="11" spans="1:22" x14ac:dyDescent="0.2">
      <c r="A11" s="16"/>
      <c r="B11" s="29" t="s">
        <v>352</v>
      </c>
      <c r="C11" s="28">
        <f>($C$2+$C$5)*D11</f>
        <v>66662.281795511211</v>
      </c>
      <c r="D11" s="14">
        <f>[5]EKG!$J$13</f>
        <v>138.59102244389027</v>
      </c>
      <c r="E11" s="28"/>
      <c r="F11" s="375">
        <f>$D11*(F$2+F$5)</f>
        <v>3326.1845386533664</v>
      </c>
      <c r="G11" s="375">
        <f t="shared" ref="G11:Q25" si="3">$D11*(G$2+G$5)</f>
        <v>6929.5511221945135</v>
      </c>
      <c r="H11" s="375">
        <f t="shared" si="3"/>
        <v>6513.7780548628425</v>
      </c>
      <c r="I11" s="375">
        <f t="shared" si="3"/>
        <v>6652.3690773067328</v>
      </c>
      <c r="J11" s="375">
        <f t="shared" si="3"/>
        <v>7761.0972568578545</v>
      </c>
      <c r="K11" s="375">
        <f t="shared" si="3"/>
        <v>4712.0947630922692</v>
      </c>
      <c r="L11" s="375">
        <f t="shared" si="3"/>
        <v>4850.6857855361595</v>
      </c>
      <c r="M11" s="375">
        <f t="shared" si="3"/>
        <v>2633.2294264339153</v>
      </c>
      <c r="N11" s="375">
        <f t="shared" si="3"/>
        <v>6790.9600997506232</v>
      </c>
      <c r="O11" s="375">
        <f t="shared" si="3"/>
        <v>4989.2768079800499</v>
      </c>
      <c r="P11" s="375">
        <f t="shared" si="3"/>
        <v>7899.6882793017448</v>
      </c>
      <c r="Q11" s="375">
        <f t="shared" si="3"/>
        <v>3603.3665835411471</v>
      </c>
      <c r="R11" s="109">
        <f>SUM(F11:Q11)</f>
        <v>66662.281795511211</v>
      </c>
      <c r="S11" s="3">
        <f>C11-R11</f>
        <v>0</v>
      </c>
    </row>
    <row r="12" spans="1:22" x14ac:dyDescent="0.2">
      <c r="A12" s="16"/>
      <c r="B12" s="29" t="s">
        <v>353</v>
      </c>
      <c r="C12" s="28">
        <f t="shared" ref="C12:C25" si="4">($C$2+$C$5)*D12</f>
        <v>0</v>
      </c>
      <c r="D12" s="14">
        <v>0</v>
      </c>
      <c r="E12" s="28"/>
      <c r="F12" s="375">
        <f t="shared" ref="F12:F17" si="5">$D12*(F$2+F$5)</f>
        <v>0</v>
      </c>
      <c r="G12" s="375">
        <f t="shared" si="3"/>
        <v>0</v>
      </c>
      <c r="H12" s="375">
        <f t="shared" si="3"/>
        <v>0</v>
      </c>
      <c r="I12" s="375">
        <f t="shared" si="3"/>
        <v>0</v>
      </c>
      <c r="J12" s="375">
        <f t="shared" si="3"/>
        <v>0</v>
      </c>
      <c r="K12" s="375">
        <f t="shared" si="3"/>
        <v>0</v>
      </c>
      <c r="L12" s="375">
        <f t="shared" si="3"/>
        <v>0</v>
      </c>
      <c r="M12" s="375">
        <f t="shared" si="3"/>
        <v>0</v>
      </c>
      <c r="N12" s="375">
        <f t="shared" si="3"/>
        <v>0</v>
      </c>
      <c r="O12" s="375">
        <f t="shared" si="3"/>
        <v>0</v>
      </c>
      <c r="P12" s="375">
        <f t="shared" si="3"/>
        <v>0</v>
      </c>
      <c r="Q12" s="375">
        <f t="shared" si="3"/>
        <v>0</v>
      </c>
      <c r="R12" s="109">
        <f t="shared" ref="R12:R34" si="6">SUM(F12:Q12)</f>
        <v>0</v>
      </c>
      <c r="S12" s="3">
        <f t="shared" ref="S12:S35" si="7">C12-R12</f>
        <v>0</v>
      </c>
    </row>
    <row r="13" spans="1:22" x14ac:dyDescent="0.2">
      <c r="A13" s="16"/>
      <c r="B13" s="29" t="s">
        <v>355</v>
      </c>
      <c r="C13" s="28">
        <f t="shared" si="4"/>
        <v>4102.2942643391516</v>
      </c>
      <c r="D13" s="14">
        <f>[5]EKG!$J$15</f>
        <v>8.528678304239401</v>
      </c>
      <c r="E13" s="28"/>
      <c r="F13" s="375">
        <f t="shared" si="5"/>
        <v>204.68827930174564</v>
      </c>
      <c r="G13" s="375">
        <f t="shared" si="3"/>
        <v>426.43391521197003</v>
      </c>
      <c r="H13" s="375">
        <f t="shared" si="3"/>
        <v>400.84788029925187</v>
      </c>
      <c r="I13" s="375">
        <f t="shared" si="3"/>
        <v>409.37655860349128</v>
      </c>
      <c r="J13" s="375">
        <f t="shared" si="3"/>
        <v>477.60598503740647</v>
      </c>
      <c r="K13" s="375">
        <f t="shared" si="3"/>
        <v>289.97506234413964</v>
      </c>
      <c r="L13" s="375">
        <f t="shared" si="3"/>
        <v>298.50374064837905</v>
      </c>
      <c r="M13" s="375">
        <f t="shared" si="3"/>
        <v>162.04488778054861</v>
      </c>
      <c r="N13" s="375">
        <f t="shared" si="3"/>
        <v>417.90523690773063</v>
      </c>
      <c r="O13" s="375">
        <f t="shared" si="3"/>
        <v>307.03241895261846</v>
      </c>
      <c r="P13" s="375">
        <f t="shared" si="3"/>
        <v>486.13466334164588</v>
      </c>
      <c r="Q13" s="375">
        <f t="shared" si="3"/>
        <v>221.74563591022442</v>
      </c>
      <c r="R13" s="109">
        <f t="shared" si="6"/>
        <v>4102.2942643391525</v>
      </c>
      <c r="S13" s="3">
        <f t="shared" si="7"/>
        <v>0</v>
      </c>
    </row>
    <row r="14" spans="1:22" x14ac:dyDescent="0.2">
      <c r="A14" s="16"/>
      <c r="B14" s="29" t="s">
        <v>370</v>
      </c>
      <c r="C14" s="28">
        <f t="shared" si="4"/>
        <v>0</v>
      </c>
      <c r="D14" s="14"/>
      <c r="E14" s="28"/>
      <c r="F14" s="375">
        <f t="shared" si="5"/>
        <v>0</v>
      </c>
      <c r="G14" s="375">
        <f t="shared" si="3"/>
        <v>0</v>
      </c>
      <c r="H14" s="375">
        <f t="shared" si="3"/>
        <v>0</v>
      </c>
      <c r="I14" s="375">
        <f t="shared" si="3"/>
        <v>0</v>
      </c>
      <c r="J14" s="375">
        <f t="shared" si="3"/>
        <v>0</v>
      </c>
      <c r="K14" s="375">
        <f t="shared" si="3"/>
        <v>0</v>
      </c>
      <c r="L14" s="375">
        <f t="shared" si="3"/>
        <v>0</v>
      </c>
      <c r="M14" s="375">
        <f t="shared" si="3"/>
        <v>0</v>
      </c>
      <c r="N14" s="375">
        <f t="shared" si="3"/>
        <v>0</v>
      </c>
      <c r="O14" s="375">
        <f t="shared" si="3"/>
        <v>0</v>
      </c>
      <c r="P14" s="375">
        <f t="shared" si="3"/>
        <v>0</v>
      </c>
      <c r="Q14" s="375">
        <f t="shared" si="3"/>
        <v>0</v>
      </c>
      <c r="R14" s="109">
        <f t="shared" si="6"/>
        <v>0</v>
      </c>
      <c r="S14" s="3">
        <f t="shared" si="7"/>
        <v>0</v>
      </c>
    </row>
    <row r="15" spans="1:22" x14ac:dyDescent="0.2">
      <c r="A15" s="16"/>
      <c r="B15" s="29" t="s">
        <v>356</v>
      </c>
      <c r="C15" s="28">
        <f t="shared" si="4"/>
        <v>4444.1521197007478</v>
      </c>
      <c r="D15" s="14">
        <f>[5]EKG!$J$17</f>
        <v>9.2394014962593509</v>
      </c>
      <c r="E15" s="28"/>
      <c r="F15" s="375">
        <f t="shared" si="5"/>
        <v>221.74563591022442</v>
      </c>
      <c r="G15" s="375">
        <f t="shared" si="3"/>
        <v>461.97007481296754</v>
      </c>
      <c r="H15" s="375">
        <f t="shared" si="3"/>
        <v>434.2518703241895</v>
      </c>
      <c r="I15" s="375">
        <f t="shared" si="3"/>
        <v>443.49127182044884</v>
      </c>
      <c r="J15" s="375">
        <f t="shared" si="3"/>
        <v>517.40648379052368</v>
      </c>
      <c r="K15" s="375">
        <f t="shared" si="3"/>
        <v>314.13965087281792</v>
      </c>
      <c r="L15" s="375">
        <f t="shared" si="3"/>
        <v>323.37905236907727</v>
      </c>
      <c r="M15" s="375">
        <f t="shared" si="3"/>
        <v>175.54862842892766</v>
      </c>
      <c r="N15" s="375">
        <f t="shared" si="3"/>
        <v>452.73067331670819</v>
      </c>
      <c r="O15" s="375">
        <f t="shared" si="3"/>
        <v>332.61845386533662</v>
      </c>
      <c r="P15" s="375">
        <f t="shared" si="3"/>
        <v>526.64588528678303</v>
      </c>
      <c r="Q15" s="375">
        <f t="shared" si="3"/>
        <v>240.22443890274312</v>
      </c>
      <c r="R15" s="109">
        <f t="shared" si="6"/>
        <v>4444.1521197007478</v>
      </c>
      <c r="S15" s="3">
        <f t="shared" si="7"/>
        <v>0</v>
      </c>
    </row>
    <row r="16" spans="1:22" x14ac:dyDescent="0.2">
      <c r="A16" s="16"/>
      <c r="B16" s="29" t="s">
        <v>354</v>
      </c>
      <c r="C16" s="28">
        <f t="shared" si="4"/>
        <v>16067.319201995013</v>
      </c>
      <c r="D16" s="14">
        <f>[5]EKG!$J$18</f>
        <v>33.403990024937656</v>
      </c>
      <c r="E16" s="28"/>
      <c r="F16" s="375">
        <f t="shared" si="5"/>
        <v>801.69576059850374</v>
      </c>
      <c r="G16" s="375">
        <f t="shared" si="3"/>
        <v>1670.1995012468828</v>
      </c>
      <c r="H16" s="375">
        <f t="shared" si="3"/>
        <v>1569.9875311720698</v>
      </c>
      <c r="I16" s="375">
        <f t="shared" si="3"/>
        <v>1603.3915211970075</v>
      </c>
      <c r="J16" s="375">
        <f t="shared" si="3"/>
        <v>1870.6234413965087</v>
      </c>
      <c r="K16" s="375">
        <f t="shared" si="3"/>
        <v>1135.7356608478804</v>
      </c>
      <c r="L16" s="375">
        <f t="shared" si="3"/>
        <v>1169.139650872818</v>
      </c>
      <c r="M16" s="375">
        <f t="shared" si="3"/>
        <v>634.67581047381543</v>
      </c>
      <c r="N16" s="375">
        <f t="shared" si="3"/>
        <v>1636.7955112219452</v>
      </c>
      <c r="O16" s="375">
        <f t="shared" si="3"/>
        <v>1202.5436408977557</v>
      </c>
      <c r="P16" s="375">
        <f t="shared" si="3"/>
        <v>1904.0274314214464</v>
      </c>
      <c r="Q16" s="375">
        <f t="shared" si="3"/>
        <v>868.50374064837911</v>
      </c>
      <c r="R16" s="109">
        <f t="shared" si="6"/>
        <v>16067.319201995009</v>
      </c>
      <c r="S16" s="3">
        <f t="shared" si="7"/>
        <v>0</v>
      </c>
    </row>
    <row r="17" spans="1:19" x14ac:dyDescent="0.2">
      <c r="A17" s="16"/>
      <c r="B17" s="29" t="s">
        <v>357</v>
      </c>
      <c r="C17" s="28">
        <f t="shared" si="4"/>
        <v>2051.1471321695758</v>
      </c>
      <c r="D17" s="14">
        <f>[5]EKG!$J$19</f>
        <v>4.2643391521197005</v>
      </c>
      <c r="E17" s="28"/>
      <c r="F17" s="375">
        <f t="shared" si="5"/>
        <v>102.34413965087282</v>
      </c>
      <c r="G17" s="375">
        <f t="shared" si="3"/>
        <v>213.21695760598502</v>
      </c>
      <c r="H17" s="375">
        <f t="shared" si="3"/>
        <v>200.42394014962593</v>
      </c>
      <c r="I17" s="375">
        <f t="shared" si="3"/>
        <v>204.68827930174564</v>
      </c>
      <c r="J17" s="375">
        <f t="shared" si="3"/>
        <v>238.80299251870323</v>
      </c>
      <c r="K17" s="375">
        <f t="shared" si="3"/>
        <v>144.98753117206982</v>
      </c>
      <c r="L17" s="375">
        <f t="shared" si="3"/>
        <v>149.25187032418953</v>
      </c>
      <c r="M17" s="375">
        <f t="shared" si="3"/>
        <v>81.022443890274303</v>
      </c>
      <c r="N17" s="375">
        <f t="shared" si="3"/>
        <v>208.95261845386531</v>
      </c>
      <c r="O17" s="375">
        <f t="shared" si="3"/>
        <v>153.51620947630923</v>
      </c>
      <c r="P17" s="375">
        <f t="shared" si="3"/>
        <v>243.06733167082294</v>
      </c>
      <c r="Q17" s="375">
        <f t="shared" si="3"/>
        <v>110.87281795511221</v>
      </c>
      <c r="R17" s="109">
        <f t="shared" si="6"/>
        <v>2051.1471321695763</v>
      </c>
      <c r="S17" s="3">
        <f t="shared" si="7"/>
        <v>0</v>
      </c>
    </row>
    <row r="18" spans="1:19" x14ac:dyDescent="0.2">
      <c r="A18" s="87">
        <v>31110.050999999999</v>
      </c>
      <c r="B18" s="161" t="s">
        <v>483</v>
      </c>
      <c r="C18" s="293">
        <f>SUM(C11:C17)</f>
        <v>93327.194513715702</v>
      </c>
      <c r="D18" s="290"/>
      <c r="E18" s="290"/>
      <c r="F18" s="369">
        <f>SUM(F11:F17)</f>
        <v>4656.6583541147129</v>
      </c>
      <c r="G18" s="369">
        <f t="shared" ref="G18:Q18" si="8">SUM(G11:G17)</f>
        <v>9701.3715710723172</v>
      </c>
      <c r="H18" s="369">
        <f t="shared" si="8"/>
        <v>9119.2892768079782</v>
      </c>
      <c r="I18" s="369">
        <f t="shared" si="8"/>
        <v>9313.3167082294258</v>
      </c>
      <c r="J18" s="369">
        <f t="shared" si="8"/>
        <v>10865.536159600997</v>
      </c>
      <c r="K18" s="369">
        <f t="shared" si="8"/>
        <v>6596.9326683291765</v>
      </c>
      <c r="L18" s="369">
        <f t="shared" si="8"/>
        <v>6790.9600997506222</v>
      </c>
      <c r="M18" s="369">
        <f t="shared" si="8"/>
        <v>3686.5211970074811</v>
      </c>
      <c r="N18" s="369">
        <f t="shared" si="8"/>
        <v>9507.3441396508715</v>
      </c>
      <c r="O18" s="369">
        <f t="shared" si="8"/>
        <v>6984.9875311720698</v>
      </c>
      <c r="P18" s="369">
        <f t="shared" si="8"/>
        <v>11059.563591022443</v>
      </c>
      <c r="Q18" s="369">
        <f t="shared" si="8"/>
        <v>5044.7132169576062</v>
      </c>
      <c r="R18" s="369">
        <f t="shared" si="6"/>
        <v>93327.194513715687</v>
      </c>
      <c r="S18" s="291">
        <f t="shared" si="7"/>
        <v>0</v>
      </c>
    </row>
    <row r="19" spans="1:19" x14ac:dyDescent="0.2">
      <c r="A19" s="16"/>
      <c r="B19" s="29" t="s">
        <v>424</v>
      </c>
      <c r="C19" s="28">
        <f t="shared" si="4"/>
        <v>31109.064837905236</v>
      </c>
      <c r="D19" s="14">
        <f>[5]EKG!$J$23</f>
        <v>64.67581047381546</v>
      </c>
      <c r="E19" s="28"/>
      <c r="F19" s="375">
        <f t="shared" ref="F19:F25" si="9">$D19*(F$2+F$5)</f>
        <v>1552.219451371571</v>
      </c>
      <c r="G19" s="375">
        <f t="shared" si="3"/>
        <v>3233.7905236907732</v>
      </c>
      <c r="H19" s="375">
        <f t="shared" si="3"/>
        <v>3039.7630922693265</v>
      </c>
      <c r="I19" s="375">
        <f t="shared" si="3"/>
        <v>3104.4389027431421</v>
      </c>
      <c r="J19" s="375">
        <f t="shared" si="3"/>
        <v>3621.845386533666</v>
      </c>
      <c r="K19" s="375">
        <f t="shared" si="3"/>
        <v>2198.9775561097258</v>
      </c>
      <c r="L19" s="375">
        <f t="shared" si="3"/>
        <v>2263.6533665835409</v>
      </c>
      <c r="M19" s="375">
        <f t="shared" si="3"/>
        <v>1228.8403990024938</v>
      </c>
      <c r="N19" s="375">
        <f t="shared" si="3"/>
        <v>3169.1147132169576</v>
      </c>
      <c r="O19" s="375">
        <f t="shared" si="3"/>
        <v>2328.3291770573564</v>
      </c>
      <c r="P19" s="375">
        <f t="shared" si="3"/>
        <v>3686.5211970074811</v>
      </c>
      <c r="Q19" s="375">
        <f t="shared" si="3"/>
        <v>1681.5710723192019</v>
      </c>
      <c r="R19" s="109">
        <f t="shared" si="6"/>
        <v>31109.064837905236</v>
      </c>
      <c r="S19" s="3">
        <f t="shared" si="7"/>
        <v>0</v>
      </c>
    </row>
    <row r="20" spans="1:19" x14ac:dyDescent="0.2">
      <c r="A20" s="16"/>
      <c r="B20" s="29" t="s">
        <v>425</v>
      </c>
      <c r="C20" s="28">
        <f t="shared" si="4"/>
        <v>0</v>
      </c>
      <c r="D20" s="14">
        <v>0</v>
      </c>
      <c r="E20" s="28"/>
      <c r="F20" s="375">
        <f t="shared" si="9"/>
        <v>0</v>
      </c>
      <c r="G20" s="375">
        <f t="shared" si="3"/>
        <v>0</v>
      </c>
      <c r="H20" s="375">
        <f t="shared" si="3"/>
        <v>0</v>
      </c>
      <c r="I20" s="375">
        <f t="shared" si="3"/>
        <v>0</v>
      </c>
      <c r="J20" s="375">
        <f t="shared" si="3"/>
        <v>0</v>
      </c>
      <c r="K20" s="375">
        <f t="shared" si="3"/>
        <v>0</v>
      </c>
      <c r="L20" s="375">
        <f t="shared" si="3"/>
        <v>0</v>
      </c>
      <c r="M20" s="375">
        <f t="shared" si="3"/>
        <v>0</v>
      </c>
      <c r="N20" s="375">
        <f t="shared" si="3"/>
        <v>0</v>
      </c>
      <c r="O20" s="375">
        <f t="shared" si="3"/>
        <v>0</v>
      </c>
      <c r="P20" s="375">
        <f t="shared" si="3"/>
        <v>0</v>
      </c>
      <c r="Q20" s="375">
        <f t="shared" si="3"/>
        <v>0</v>
      </c>
      <c r="R20" s="109">
        <f t="shared" si="6"/>
        <v>0</v>
      </c>
      <c r="S20" s="3">
        <f t="shared" si="7"/>
        <v>0</v>
      </c>
    </row>
    <row r="21" spans="1:19" x14ac:dyDescent="0.2">
      <c r="A21" s="16"/>
      <c r="B21" s="29" t="s">
        <v>426</v>
      </c>
      <c r="C21" s="28">
        <f t="shared" si="4"/>
        <v>0</v>
      </c>
      <c r="D21" s="14">
        <v>0</v>
      </c>
      <c r="E21" s="28"/>
      <c r="F21" s="375">
        <f t="shared" si="9"/>
        <v>0</v>
      </c>
      <c r="G21" s="375">
        <f t="shared" si="3"/>
        <v>0</v>
      </c>
      <c r="H21" s="375">
        <f t="shared" si="3"/>
        <v>0</v>
      </c>
      <c r="I21" s="375">
        <f t="shared" si="3"/>
        <v>0</v>
      </c>
      <c r="J21" s="375">
        <f t="shared" si="3"/>
        <v>0</v>
      </c>
      <c r="K21" s="375">
        <f t="shared" si="3"/>
        <v>0</v>
      </c>
      <c r="L21" s="375">
        <f t="shared" si="3"/>
        <v>0</v>
      </c>
      <c r="M21" s="375">
        <f t="shared" si="3"/>
        <v>0</v>
      </c>
      <c r="N21" s="375">
        <f t="shared" si="3"/>
        <v>0</v>
      </c>
      <c r="O21" s="375">
        <f t="shared" si="3"/>
        <v>0</v>
      </c>
      <c r="P21" s="375">
        <f t="shared" si="3"/>
        <v>0</v>
      </c>
      <c r="Q21" s="375">
        <f t="shared" si="3"/>
        <v>0</v>
      </c>
      <c r="R21" s="109">
        <f t="shared" si="6"/>
        <v>0</v>
      </c>
      <c r="S21" s="3">
        <f t="shared" si="7"/>
        <v>0</v>
      </c>
    </row>
    <row r="22" spans="1:19" x14ac:dyDescent="0.2">
      <c r="A22" s="16"/>
      <c r="B22" s="29" t="s">
        <v>427</v>
      </c>
      <c r="C22" s="28">
        <f t="shared" si="4"/>
        <v>0</v>
      </c>
      <c r="D22" s="14">
        <v>0</v>
      </c>
      <c r="E22" s="28"/>
      <c r="F22" s="375">
        <f t="shared" si="9"/>
        <v>0</v>
      </c>
      <c r="G22" s="375">
        <f t="shared" si="3"/>
        <v>0</v>
      </c>
      <c r="H22" s="375">
        <f t="shared" si="3"/>
        <v>0</v>
      </c>
      <c r="I22" s="375">
        <f t="shared" si="3"/>
        <v>0</v>
      </c>
      <c r="J22" s="375">
        <f t="shared" si="3"/>
        <v>0</v>
      </c>
      <c r="K22" s="375">
        <f t="shared" si="3"/>
        <v>0</v>
      </c>
      <c r="L22" s="375">
        <f t="shared" si="3"/>
        <v>0</v>
      </c>
      <c r="M22" s="375">
        <f t="shared" si="3"/>
        <v>0</v>
      </c>
      <c r="N22" s="375">
        <f t="shared" si="3"/>
        <v>0</v>
      </c>
      <c r="O22" s="375">
        <f t="shared" si="3"/>
        <v>0</v>
      </c>
      <c r="P22" s="375">
        <f t="shared" si="3"/>
        <v>0</v>
      </c>
      <c r="Q22" s="375">
        <f t="shared" si="3"/>
        <v>0</v>
      </c>
      <c r="R22" s="109">
        <f t="shared" si="6"/>
        <v>0</v>
      </c>
      <c r="S22" s="3">
        <f t="shared" si="7"/>
        <v>0</v>
      </c>
    </row>
    <row r="23" spans="1:19" x14ac:dyDescent="0.2">
      <c r="A23" s="16"/>
      <c r="B23" s="29" t="s">
        <v>428</v>
      </c>
      <c r="C23" s="28">
        <f t="shared" si="4"/>
        <v>0</v>
      </c>
      <c r="D23" s="14">
        <v>0</v>
      </c>
      <c r="E23" s="28"/>
      <c r="F23" s="375">
        <f t="shared" si="9"/>
        <v>0</v>
      </c>
      <c r="G23" s="375">
        <f t="shared" si="3"/>
        <v>0</v>
      </c>
      <c r="H23" s="375">
        <f t="shared" si="3"/>
        <v>0</v>
      </c>
      <c r="I23" s="375">
        <f t="shared" si="3"/>
        <v>0</v>
      </c>
      <c r="J23" s="375">
        <f t="shared" si="3"/>
        <v>0</v>
      </c>
      <c r="K23" s="375">
        <f t="shared" si="3"/>
        <v>0</v>
      </c>
      <c r="L23" s="375">
        <f t="shared" si="3"/>
        <v>0</v>
      </c>
      <c r="M23" s="375">
        <f t="shared" si="3"/>
        <v>0</v>
      </c>
      <c r="N23" s="375">
        <f t="shared" si="3"/>
        <v>0</v>
      </c>
      <c r="O23" s="375">
        <f t="shared" si="3"/>
        <v>0</v>
      </c>
      <c r="P23" s="375">
        <f t="shared" si="3"/>
        <v>0</v>
      </c>
      <c r="Q23" s="375">
        <f t="shared" si="3"/>
        <v>0</v>
      </c>
      <c r="R23" s="109">
        <f t="shared" si="6"/>
        <v>0</v>
      </c>
      <c r="S23" s="3">
        <f t="shared" si="7"/>
        <v>0</v>
      </c>
    </row>
    <row r="24" spans="1:19" x14ac:dyDescent="0.2">
      <c r="A24" s="16"/>
      <c r="B24" s="29" t="s">
        <v>429</v>
      </c>
      <c r="C24" s="28">
        <f t="shared" si="4"/>
        <v>0</v>
      </c>
      <c r="D24" s="14">
        <v>0</v>
      </c>
      <c r="E24" s="28"/>
      <c r="F24" s="375">
        <f t="shared" si="9"/>
        <v>0</v>
      </c>
      <c r="G24" s="375">
        <f t="shared" si="3"/>
        <v>0</v>
      </c>
      <c r="H24" s="375">
        <f t="shared" si="3"/>
        <v>0</v>
      </c>
      <c r="I24" s="375">
        <f t="shared" si="3"/>
        <v>0</v>
      </c>
      <c r="J24" s="375">
        <f t="shared" si="3"/>
        <v>0</v>
      </c>
      <c r="K24" s="375">
        <f t="shared" si="3"/>
        <v>0</v>
      </c>
      <c r="L24" s="375">
        <f t="shared" si="3"/>
        <v>0</v>
      </c>
      <c r="M24" s="375">
        <f t="shared" si="3"/>
        <v>0</v>
      </c>
      <c r="N24" s="375">
        <f t="shared" si="3"/>
        <v>0</v>
      </c>
      <c r="O24" s="375">
        <f t="shared" si="3"/>
        <v>0</v>
      </c>
      <c r="P24" s="375">
        <f t="shared" si="3"/>
        <v>0</v>
      </c>
      <c r="Q24" s="375">
        <f t="shared" si="3"/>
        <v>0</v>
      </c>
      <c r="R24" s="109">
        <f t="shared" si="6"/>
        <v>0</v>
      </c>
      <c r="S24" s="3">
        <f t="shared" si="7"/>
        <v>0</v>
      </c>
    </row>
    <row r="25" spans="1:19" x14ac:dyDescent="0.2">
      <c r="A25" s="16"/>
      <c r="B25" s="29" t="s">
        <v>430</v>
      </c>
      <c r="C25" s="28">
        <f t="shared" si="4"/>
        <v>0</v>
      </c>
      <c r="D25" s="14">
        <v>0</v>
      </c>
      <c r="E25" s="28"/>
      <c r="F25" s="375">
        <f t="shared" si="9"/>
        <v>0</v>
      </c>
      <c r="G25" s="375">
        <f t="shared" si="3"/>
        <v>0</v>
      </c>
      <c r="H25" s="375">
        <f t="shared" si="3"/>
        <v>0</v>
      </c>
      <c r="I25" s="375">
        <f t="shared" si="3"/>
        <v>0</v>
      </c>
      <c r="J25" s="375">
        <f t="shared" si="3"/>
        <v>0</v>
      </c>
      <c r="K25" s="375">
        <f t="shared" si="3"/>
        <v>0</v>
      </c>
      <c r="L25" s="375">
        <f t="shared" si="3"/>
        <v>0</v>
      </c>
      <c r="M25" s="375">
        <f t="shared" si="3"/>
        <v>0</v>
      </c>
      <c r="N25" s="375">
        <f t="shared" si="3"/>
        <v>0</v>
      </c>
      <c r="O25" s="375">
        <f t="shared" si="3"/>
        <v>0</v>
      </c>
      <c r="P25" s="375">
        <f t="shared" si="3"/>
        <v>0</v>
      </c>
      <c r="Q25" s="375">
        <f t="shared" si="3"/>
        <v>0</v>
      </c>
      <c r="R25" s="109">
        <f t="shared" si="6"/>
        <v>0</v>
      </c>
      <c r="S25" s="3">
        <f t="shared" si="7"/>
        <v>0</v>
      </c>
    </row>
    <row r="26" spans="1:19" x14ac:dyDescent="0.2">
      <c r="A26" s="87">
        <v>31111.050999999999</v>
      </c>
      <c r="B26" s="161" t="s">
        <v>484</v>
      </c>
      <c r="C26" s="293">
        <f>SUM(C19:C25)</f>
        <v>31109.064837905236</v>
      </c>
      <c r="D26" s="293"/>
      <c r="E26" s="293"/>
      <c r="F26" s="369">
        <f>SUM(F19:F25)</f>
        <v>1552.219451371571</v>
      </c>
      <c r="G26" s="369">
        <f t="shared" ref="G26:Q26" si="10">SUM(G19:G25)</f>
        <v>3233.7905236907732</v>
      </c>
      <c r="H26" s="369">
        <f t="shared" si="10"/>
        <v>3039.7630922693265</v>
      </c>
      <c r="I26" s="369">
        <f t="shared" si="10"/>
        <v>3104.4389027431421</v>
      </c>
      <c r="J26" s="369">
        <f t="shared" si="10"/>
        <v>3621.845386533666</v>
      </c>
      <c r="K26" s="369">
        <f t="shared" si="10"/>
        <v>2198.9775561097258</v>
      </c>
      <c r="L26" s="369">
        <f t="shared" si="10"/>
        <v>2263.6533665835409</v>
      </c>
      <c r="M26" s="369">
        <f t="shared" si="10"/>
        <v>1228.8403990024938</v>
      </c>
      <c r="N26" s="369">
        <f t="shared" si="10"/>
        <v>3169.1147132169576</v>
      </c>
      <c r="O26" s="369">
        <f t="shared" si="10"/>
        <v>2328.3291770573564</v>
      </c>
      <c r="P26" s="369">
        <f t="shared" si="10"/>
        <v>3686.5211970074811</v>
      </c>
      <c r="Q26" s="369">
        <f t="shared" si="10"/>
        <v>1681.5710723192019</v>
      </c>
      <c r="R26" s="369">
        <f t="shared" si="6"/>
        <v>31109.064837905236</v>
      </c>
      <c r="S26" s="291">
        <f t="shared" si="7"/>
        <v>0</v>
      </c>
    </row>
    <row r="27" spans="1:19" x14ac:dyDescent="0.2">
      <c r="A27" s="16"/>
      <c r="B27" s="29" t="s">
        <v>358</v>
      </c>
      <c r="C27" s="28">
        <f>($C$3+$C$6)*D27</f>
        <v>261275.36198106338</v>
      </c>
      <c r="D27" s="14">
        <f>[5]EKG!$J$33</f>
        <v>138.02184996358341</v>
      </c>
      <c r="E27" s="28"/>
      <c r="F27" s="375">
        <f>$D27*(F$3+F$6)</f>
        <v>19185.037144938095</v>
      </c>
      <c r="G27" s="375">
        <f t="shared" ref="G27:Q33" si="11">$D27*(G$3+G$6)</f>
        <v>18080.862345229427</v>
      </c>
      <c r="H27" s="375">
        <f t="shared" si="11"/>
        <v>18632.949745083759</v>
      </c>
      <c r="I27" s="375">
        <f t="shared" si="11"/>
        <v>23187.670793882011</v>
      </c>
      <c r="J27" s="375">
        <f t="shared" si="11"/>
        <v>19461.080844865261</v>
      </c>
      <c r="K27" s="375">
        <f t="shared" si="11"/>
        <v>23325.692643845596</v>
      </c>
      <c r="L27" s="375">
        <f t="shared" si="11"/>
        <v>21807.452294246177</v>
      </c>
      <c r="M27" s="375">
        <f t="shared" si="11"/>
        <v>24567.889293517845</v>
      </c>
      <c r="N27" s="375">
        <f t="shared" si="11"/>
        <v>23187.670793882011</v>
      </c>
      <c r="O27" s="375">
        <f t="shared" si="11"/>
        <v>22911.627093954845</v>
      </c>
      <c r="P27" s="375">
        <f t="shared" si="11"/>
        <v>23739.758193736347</v>
      </c>
      <c r="Q27" s="375">
        <f t="shared" si="11"/>
        <v>23187.670793882011</v>
      </c>
      <c r="R27" s="109">
        <f t="shared" si="6"/>
        <v>261275.36198106338</v>
      </c>
      <c r="S27" s="3">
        <f t="shared" si="7"/>
        <v>0</v>
      </c>
    </row>
    <row r="28" spans="1:19" x14ac:dyDescent="0.2">
      <c r="A28" s="16"/>
      <c r="B28" s="29" t="s">
        <v>359</v>
      </c>
      <c r="C28" s="28">
        <f t="shared" ref="C28:C33" si="12">($C$3+$C$6)*D28</f>
        <v>14538.73634377276</v>
      </c>
      <c r="D28" s="14">
        <f>[5]EKG!$J$34</f>
        <v>7.6802621995630007</v>
      </c>
      <c r="E28" s="28"/>
      <c r="F28" s="375">
        <f t="shared" ref="F28:F33" si="13">$D28*(F$3+F$6)</f>
        <v>1067.556445739257</v>
      </c>
      <c r="G28" s="375">
        <f t="shared" si="11"/>
        <v>1006.1143481427531</v>
      </c>
      <c r="H28" s="375">
        <f t="shared" si="11"/>
        <v>1036.835396941005</v>
      </c>
      <c r="I28" s="375">
        <f t="shared" si="11"/>
        <v>1290.2840495265841</v>
      </c>
      <c r="J28" s="375">
        <f t="shared" si="11"/>
        <v>1082.916970138383</v>
      </c>
      <c r="K28" s="375">
        <f t="shared" si="11"/>
        <v>1297.9643117261471</v>
      </c>
      <c r="L28" s="375">
        <f t="shared" si="11"/>
        <v>1213.4814275309541</v>
      </c>
      <c r="M28" s="375">
        <f t="shared" si="11"/>
        <v>1367.0866715222141</v>
      </c>
      <c r="N28" s="375">
        <f t="shared" si="11"/>
        <v>1290.2840495265841</v>
      </c>
      <c r="O28" s="375">
        <f t="shared" si="11"/>
        <v>1274.9235251274581</v>
      </c>
      <c r="P28" s="375">
        <f t="shared" si="11"/>
        <v>1321.0050983248361</v>
      </c>
      <c r="Q28" s="375">
        <f t="shared" si="11"/>
        <v>1290.2840495265841</v>
      </c>
      <c r="R28" s="109">
        <f t="shared" si="6"/>
        <v>14538.736343772764</v>
      </c>
      <c r="S28" s="3">
        <f t="shared" si="7"/>
        <v>0</v>
      </c>
    </row>
    <row r="29" spans="1:19" x14ac:dyDescent="0.2">
      <c r="A29" s="16"/>
      <c r="B29" s="29" t="s">
        <v>372</v>
      </c>
      <c r="C29" s="28">
        <f t="shared" si="12"/>
        <v>66799.599417334306</v>
      </c>
      <c r="D29" s="14">
        <f>[5]EKG!$J$35</f>
        <v>35.287691187181352</v>
      </c>
      <c r="E29" s="28"/>
      <c r="F29" s="375">
        <f t="shared" si="13"/>
        <v>4904.9890750182076</v>
      </c>
      <c r="G29" s="375">
        <f t="shared" si="11"/>
        <v>4622.6875455207573</v>
      </c>
      <c r="H29" s="375">
        <f t="shared" si="11"/>
        <v>4763.8383102694825</v>
      </c>
      <c r="I29" s="375">
        <f t="shared" si="11"/>
        <v>5928.332119446467</v>
      </c>
      <c r="J29" s="375">
        <f t="shared" si="11"/>
        <v>4975.5644573925711</v>
      </c>
      <c r="K29" s="375">
        <f t="shared" si="11"/>
        <v>5963.6198106336487</v>
      </c>
      <c r="L29" s="375">
        <f t="shared" si="11"/>
        <v>5575.4552075746533</v>
      </c>
      <c r="M29" s="375">
        <f t="shared" si="11"/>
        <v>6281.2090313182807</v>
      </c>
      <c r="N29" s="375">
        <f t="shared" si="11"/>
        <v>5928.332119446467</v>
      </c>
      <c r="O29" s="375">
        <f t="shared" si="11"/>
        <v>5857.7567370721044</v>
      </c>
      <c r="P29" s="375">
        <f t="shared" si="11"/>
        <v>6069.4828841951921</v>
      </c>
      <c r="Q29" s="375">
        <f t="shared" si="11"/>
        <v>5928.332119446467</v>
      </c>
      <c r="R29" s="109">
        <f t="shared" si="6"/>
        <v>66799.599417334292</v>
      </c>
      <c r="S29" s="3">
        <f t="shared" si="7"/>
        <v>0</v>
      </c>
    </row>
    <row r="30" spans="1:19" x14ac:dyDescent="0.2">
      <c r="A30" s="16"/>
      <c r="B30" s="29" t="s">
        <v>373</v>
      </c>
      <c r="C30" s="28">
        <f t="shared" si="12"/>
        <v>0</v>
      </c>
      <c r="D30" s="14">
        <v>0</v>
      </c>
      <c r="E30" s="28"/>
      <c r="F30" s="375">
        <f t="shared" si="13"/>
        <v>0</v>
      </c>
      <c r="G30" s="375">
        <f t="shared" si="11"/>
        <v>0</v>
      </c>
      <c r="H30" s="375">
        <f t="shared" si="11"/>
        <v>0</v>
      </c>
      <c r="I30" s="375">
        <f t="shared" si="11"/>
        <v>0</v>
      </c>
      <c r="J30" s="375">
        <f t="shared" si="11"/>
        <v>0</v>
      </c>
      <c r="K30" s="375">
        <f t="shared" si="11"/>
        <v>0</v>
      </c>
      <c r="L30" s="375">
        <f t="shared" si="11"/>
        <v>0</v>
      </c>
      <c r="M30" s="375">
        <f t="shared" si="11"/>
        <v>0</v>
      </c>
      <c r="N30" s="375">
        <f t="shared" si="11"/>
        <v>0</v>
      </c>
      <c r="O30" s="375">
        <f t="shared" si="11"/>
        <v>0</v>
      </c>
      <c r="P30" s="375">
        <f t="shared" si="11"/>
        <v>0</v>
      </c>
      <c r="Q30" s="375">
        <f t="shared" si="11"/>
        <v>0</v>
      </c>
      <c r="R30" s="109">
        <f t="shared" si="6"/>
        <v>0</v>
      </c>
      <c r="S30" s="3">
        <f t="shared" si="7"/>
        <v>0</v>
      </c>
    </row>
    <row r="31" spans="1:19" x14ac:dyDescent="0.2">
      <c r="A31" s="163"/>
      <c r="B31" s="29" t="s">
        <v>361</v>
      </c>
      <c r="C31" s="28">
        <f t="shared" si="12"/>
        <v>45183.828113619813</v>
      </c>
      <c r="D31" s="14">
        <f>[5]EKG!$J$36+[5]EKG!$J$37</f>
        <v>23.868900218499636</v>
      </c>
      <c r="E31" s="28"/>
      <c r="F31" s="375">
        <f t="shared" si="13"/>
        <v>3317.7771303714494</v>
      </c>
      <c r="G31" s="375">
        <f t="shared" si="11"/>
        <v>3126.8259286234525</v>
      </c>
      <c r="H31" s="375">
        <f t="shared" si="11"/>
        <v>3222.3015294974507</v>
      </c>
      <c r="I31" s="375">
        <f t="shared" si="11"/>
        <v>4009.9752367079391</v>
      </c>
      <c r="J31" s="375">
        <f t="shared" si="11"/>
        <v>3365.5149308084488</v>
      </c>
      <c r="K31" s="375">
        <f t="shared" si="11"/>
        <v>4033.8441369264383</v>
      </c>
      <c r="L31" s="375">
        <f t="shared" si="11"/>
        <v>3771.2862345229423</v>
      </c>
      <c r="M31" s="375">
        <f t="shared" si="11"/>
        <v>4248.6642388929349</v>
      </c>
      <c r="N31" s="375">
        <f t="shared" si="11"/>
        <v>4009.9752367079391</v>
      </c>
      <c r="O31" s="375">
        <f t="shared" si="11"/>
        <v>3962.2374362709397</v>
      </c>
      <c r="P31" s="375">
        <f t="shared" si="11"/>
        <v>4105.4508375819378</v>
      </c>
      <c r="Q31" s="375">
        <f t="shared" si="11"/>
        <v>4009.9752367079391</v>
      </c>
      <c r="R31" s="109">
        <f t="shared" si="6"/>
        <v>45183.828113619813</v>
      </c>
      <c r="S31" s="3">
        <f t="shared" si="7"/>
        <v>0</v>
      </c>
    </row>
    <row r="32" spans="1:19" x14ac:dyDescent="0.2">
      <c r="A32" s="163"/>
      <c r="B32" s="29" t="s">
        <v>360</v>
      </c>
      <c r="C32" s="28">
        <f t="shared" si="12"/>
        <v>141445.56664238893</v>
      </c>
      <c r="D32" s="14">
        <f>[5]EKG!$J$38</f>
        <v>74.720320466132563</v>
      </c>
      <c r="E32" s="28"/>
      <c r="F32" s="375">
        <f t="shared" si="13"/>
        <v>10386.124544792427</v>
      </c>
      <c r="G32" s="375">
        <f t="shared" si="11"/>
        <v>9788.3619810633663</v>
      </c>
      <c r="H32" s="375">
        <f t="shared" si="11"/>
        <v>10087.243262927896</v>
      </c>
      <c r="I32" s="375">
        <f t="shared" si="11"/>
        <v>12553.013838310271</v>
      </c>
      <c r="J32" s="375">
        <f t="shared" si="11"/>
        <v>10535.565185724692</v>
      </c>
      <c r="K32" s="375">
        <f t="shared" si="11"/>
        <v>12627.734158776404</v>
      </c>
      <c r="L32" s="375">
        <f t="shared" si="11"/>
        <v>11805.810633648945</v>
      </c>
      <c r="M32" s="375">
        <f t="shared" si="11"/>
        <v>13300.217042971597</v>
      </c>
      <c r="N32" s="375">
        <f t="shared" si="11"/>
        <v>12553.013838310271</v>
      </c>
      <c r="O32" s="375">
        <f t="shared" si="11"/>
        <v>12403.573197378006</v>
      </c>
      <c r="P32" s="375">
        <f t="shared" si="11"/>
        <v>12851.8951201748</v>
      </c>
      <c r="Q32" s="375">
        <f t="shared" si="11"/>
        <v>12553.013838310271</v>
      </c>
      <c r="R32" s="109">
        <f t="shared" si="6"/>
        <v>141445.56664238893</v>
      </c>
      <c r="S32" s="3">
        <f t="shared" si="7"/>
        <v>0</v>
      </c>
    </row>
    <row r="33" spans="1:22" x14ac:dyDescent="0.2">
      <c r="A33" s="163"/>
      <c r="B33" s="29" t="s">
        <v>362</v>
      </c>
      <c r="C33" s="28">
        <f t="shared" si="12"/>
        <v>55011.434814275308</v>
      </c>
      <c r="D33" s="14">
        <f>[5]EKG!$J$39</f>
        <v>29.060451565914057</v>
      </c>
      <c r="E33" s="28"/>
      <c r="F33" s="375">
        <f t="shared" si="13"/>
        <v>4039.402767662054</v>
      </c>
      <c r="G33" s="375">
        <f t="shared" si="11"/>
        <v>3806.9191551347417</v>
      </c>
      <c r="H33" s="375">
        <f t="shared" si="11"/>
        <v>3923.1609613983978</v>
      </c>
      <c r="I33" s="375">
        <f t="shared" si="11"/>
        <v>4882.1558630735617</v>
      </c>
      <c r="J33" s="375">
        <f t="shared" si="11"/>
        <v>4097.523670793882</v>
      </c>
      <c r="K33" s="375">
        <f t="shared" si="11"/>
        <v>4911.216314639476</v>
      </c>
      <c r="L33" s="375">
        <f t="shared" si="11"/>
        <v>4591.5513474144209</v>
      </c>
      <c r="M33" s="375">
        <f t="shared" si="11"/>
        <v>5172.7603787327025</v>
      </c>
      <c r="N33" s="375">
        <f t="shared" si="11"/>
        <v>4882.1558630735617</v>
      </c>
      <c r="O33" s="375">
        <f t="shared" si="11"/>
        <v>4824.0349599417332</v>
      </c>
      <c r="P33" s="375">
        <f t="shared" si="11"/>
        <v>4998.3976693372178</v>
      </c>
      <c r="Q33" s="375">
        <f t="shared" si="11"/>
        <v>4882.1558630735617</v>
      </c>
      <c r="R33" s="109">
        <f t="shared" si="6"/>
        <v>55011.434814275301</v>
      </c>
      <c r="S33" s="3">
        <f t="shared" si="7"/>
        <v>0</v>
      </c>
    </row>
    <row r="34" spans="1:22" x14ac:dyDescent="0.2">
      <c r="A34" s="90">
        <v>31200.050999999999</v>
      </c>
      <c r="B34" s="161" t="s">
        <v>485</v>
      </c>
      <c r="C34" s="293">
        <f>SUM(C27:C33)</f>
        <v>584254.52731245453</v>
      </c>
      <c r="D34" s="290"/>
      <c r="E34" s="290"/>
      <c r="F34" s="369">
        <f>SUM(F27:F33)</f>
        <v>42900.887108521492</v>
      </c>
      <c r="G34" s="369">
        <f t="shared" ref="G34:Q34" si="14">SUM(G27:G33)</f>
        <v>40431.7713037145</v>
      </c>
      <c r="H34" s="369">
        <f t="shared" si="14"/>
        <v>41666.329206117989</v>
      </c>
      <c r="I34" s="369">
        <f t="shared" si="14"/>
        <v>51851.431900946838</v>
      </c>
      <c r="J34" s="369">
        <f t="shared" si="14"/>
        <v>43518.166059723233</v>
      </c>
      <c r="K34" s="369">
        <f t="shared" si="14"/>
        <v>52160.071376547705</v>
      </c>
      <c r="L34" s="369">
        <f t="shared" si="14"/>
        <v>48765.037144938091</v>
      </c>
      <c r="M34" s="369">
        <f t="shared" si="14"/>
        <v>54937.826656955578</v>
      </c>
      <c r="N34" s="369">
        <f t="shared" si="14"/>
        <v>51851.431900946838</v>
      </c>
      <c r="O34" s="369">
        <f t="shared" si="14"/>
        <v>51234.152949745083</v>
      </c>
      <c r="P34" s="369">
        <f t="shared" si="14"/>
        <v>53085.989803350327</v>
      </c>
      <c r="Q34" s="369">
        <f t="shared" si="14"/>
        <v>51851.431900946838</v>
      </c>
      <c r="R34" s="369">
        <f t="shared" si="6"/>
        <v>584254.52731245453</v>
      </c>
      <c r="S34" s="291">
        <f t="shared" si="7"/>
        <v>0</v>
      </c>
    </row>
    <row r="35" spans="1:22" s="5" customFormat="1" x14ac:dyDescent="0.2">
      <c r="A35" s="11"/>
      <c r="B35" s="10" t="s">
        <v>0</v>
      </c>
      <c r="C35" s="293">
        <f>C18+C26+C34</f>
        <v>708690.78666407545</v>
      </c>
      <c r="D35" s="293">
        <f>(C35/(C$4+C$7))</f>
        <v>298.52181409607221</v>
      </c>
      <c r="E35" s="293"/>
      <c r="F35" s="369">
        <f>F18+F26+F34</f>
        <v>49109.764914007777</v>
      </c>
      <c r="G35" s="369">
        <f t="shared" ref="G35:Q35" si="15">G18+G26+G34</f>
        <v>53366.933398477588</v>
      </c>
      <c r="H35" s="369">
        <f t="shared" si="15"/>
        <v>53825.381575195293</v>
      </c>
      <c r="I35" s="369">
        <f t="shared" si="15"/>
        <v>64269.187511919408</v>
      </c>
      <c r="J35" s="369">
        <f t="shared" si="15"/>
        <v>58005.547605857893</v>
      </c>
      <c r="K35" s="369">
        <f t="shared" si="15"/>
        <v>60955.981600986604</v>
      </c>
      <c r="L35" s="369">
        <f t="shared" si="15"/>
        <v>57819.650611272256</v>
      </c>
      <c r="M35" s="369">
        <f t="shared" si="15"/>
        <v>59853.188252965556</v>
      </c>
      <c r="N35" s="369">
        <f t="shared" si="15"/>
        <v>64527.890753814667</v>
      </c>
      <c r="O35" s="369">
        <f t="shared" si="15"/>
        <v>60547.469657974507</v>
      </c>
      <c r="P35" s="369">
        <f t="shared" si="15"/>
        <v>67832.074591380253</v>
      </c>
      <c r="Q35" s="369">
        <f t="shared" si="15"/>
        <v>58577.716190223648</v>
      </c>
      <c r="R35" s="369">
        <f t="shared" ref="R35" si="16">SUM(F35:Q35)</f>
        <v>708690.78666407557</v>
      </c>
      <c r="S35" s="291">
        <f t="shared" si="7"/>
        <v>0</v>
      </c>
      <c r="T35" s="3"/>
      <c r="U35" s="3"/>
      <c r="V35" s="96"/>
    </row>
    <row r="36" spans="1:22" x14ac:dyDescent="0.2">
      <c r="A36" s="711" t="s">
        <v>25</v>
      </c>
      <c r="B36" s="711"/>
      <c r="C36" s="711"/>
      <c r="D36" s="711"/>
      <c r="E36" s="37"/>
      <c r="F36" s="375"/>
      <c r="G36" s="375"/>
      <c r="H36" s="375"/>
      <c r="I36" s="375"/>
      <c r="J36" s="375"/>
      <c r="K36" s="375"/>
      <c r="L36" s="376"/>
      <c r="M36" s="376"/>
      <c r="N36" s="376"/>
      <c r="O36" s="376"/>
      <c r="P36" s="376"/>
      <c r="Q36" s="376"/>
      <c r="R36" s="109"/>
    </row>
    <row r="37" spans="1:22" s="151" customFormat="1" x14ac:dyDescent="0.2">
      <c r="A37" s="21"/>
      <c r="B37" s="10" t="s">
        <v>486</v>
      </c>
      <c r="C37" s="20"/>
      <c r="D37" s="78"/>
      <c r="E37" s="78"/>
      <c r="F37" s="377"/>
      <c r="G37" s="377"/>
      <c r="H37" s="377"/>
      <c r="I37" s="377"/>
      <c r="J37" s="377"/>
      <c r="K37" s="377"/>
      <c r="L37" s="378"/>
      <c r="M37" s="378"/>
      <c r="N37" s="378"/>
      <c r="O37" s="378"/>
      <c r="P37" s="378"/>
      <c r="Q37" s="378"/>
      <c r="R37" s="109"/>
      <c r="S37" s="3"/>
      <c r="T37" s="3"/>
      <c r="U37" s="3"/>
      <c r="V37" s="121"/>
    </row>
    <row r="38" spans="1:22" s="92" customFormat="1" x14ac:dyDescent="0.2">
      <c r="A38" s="87">
        <v>41365.050999999999</v>
      </c>
      <c r="B38" s="15" t="s">
        <v>10</v>
      </c>
      <c r="C38" s="14">
        <f>[6]EKG!$I$15</f>
        <v>2280</v>
      </c>
      <c r="D38" s="14">
        <f>$C38/(C$4+C$7)</f>
        <v>0.96040438079191237</v>
      </c>
      <c r="E38" s="28"/>
      <c r="F38" s="373">
        <f>$D38*(F$4+F$7)</f>
        <v>156.5459140690817</v>
      </c>
      <c r="G38" s="373">
        <f t="shared" ref="G38:Q38" si="17">$D38*(G$4+G$7)</f>
        <v>173.83319292333613</v>
      </c>
      <c r="H38" s="373">
        <f t="shared" si="17"/>
        <v>174.79359730412804</v>
      </c>
      <c r="I38" s="373">
        <f t="shared" si="17"/>
        <v>207.44734625105306</v>
      </c>
      <c r="J38" s="373">
        <f t="shared" si="17"/>
        <v>189.19966301600672</v>
      </c>
      <c r="K38" s="373">
        <f t="shared" si="17"/>
        <v>194.96208930075821</v>
      </c>
      <c r="L38" s="373">
        <f t="shared" si="17"/>
        <v>185.3580454928391</v>
      </c>
      <c r="M38" s="373">
        <f t="shared" si="17"/>
        <v>189.19966301600672</v>
      </c>
      <c r="N38" s="373">
        <f t="shared" si="17"/>
        <v>208.40775063184498</v>
      </c>
      <c r="O38" s="373">
        <f t="shared" si="17"/>
        <v>194.00168491996629</v>
      </c>
      <c r="P38" s="373">
        <f t="shared" si="17"/>
        <v>219.93260320134794</v>
      </c>
      <c r="Q38" s="373">
        <f t="shared" si="17"/>
        <v>186.31844987363101</v>
      </c>
      <c r="R38" s="109">
        <f t="shared" ref="R38:R40" si="18">SUM(F38:Q38)</f>
        <v>2279.9999999999995</v>
      </c>
      <c r="S38" s="3">
        <f>C38-R38</f>
        <v>0</v>
      </c>
      <c r="T38" s="3"/>
      <c r="U38" s="3"/>
      <c r="V38" s="124"/>
    </row>
    <row r="39" spans="1:22" s="92" customFormat="1" x14ac:dyDescent="0.2">
      <c r="A39" s="87">
        <v>41571.050999999999</v>
      </c>
      <c r="B39" s="15" t="s">
        <v>1</v>
      </c>
      <c r="C39" s="14">
        <f>[6]EKG!$I$16</f>
        <v>177</v>
      </c>
      <c r="D39" s="14">
        <f>$C39/(C$4)</f>
        <v>7.5031793132683336E-2</v>
      </c>
      <c r="E39" s="28"/>
      <c r="F39" s="373">
        <f>$D39*(F$4)</f>
        <v>12.005086901229333</v>
      </c>
      <c r="G39" s="373">
        <f t="shared" ref="G39:Q39" si="19">$D39*(G$4)</f>
        <v>13.430690970750318</v>
      </c>
      <c r="H39" s="373">
        <f t="shared" si="19"/>
        <v>13.580754557015684</v>
      </c>
      <c r="I39" s="373">
        <f t="shared" si="19"/>
        <v>16.056803730394233</v>
      </c>
      <c r="J39" s="373">
        <f t="shared" si="19"/>
        <v>14.706231454005934</v>
      </c>
      <c r="K39" s="373">
        <f t="shared" si="19"/>
        <v>15.156422212802035</v>
      </c>
      <c r="L39" s="373">
        <f t="shared" si="19"/>
        <v>14.481136074607884</v>
      </c>
      <c r="M39" s="373">
        <f t="shared" si="19"/>
        <v>14.781263247138618</v>
      </c>
      <c r="N39" s="373">
        <f t="shared" si="19"/>
        <v>16.206867316659601</v>
      </c>
      <c r="O39" s="373">
        <f t="shared" si="19"/>
        <v>15.006358626536667</v>
      </c>
      <c r="P39" s="373">
        <f t="shared" si="19"/>
        <v>17.107248834251802</v>
      </c>
      <c r="Q39" s="373">
        <f t="shared" si="19"/>
        <v>14.481136074607884</v>
      </c>
      <c r="R39" s="109">
        <f t="shared" si="18"/>
        <v>177</v>
      </c>
      <c r="S39" s="3">
        <f t="shared" ref="S39:S40" si="20">C39-R39</f>
        <v>0</v>
      </c>
      <c r="T39" s="3"/>
      <c r="U39" s="3"/>
      <c r="V39" s="124"/>
    </row>
    <row r="40" spans="1:22" s="184" customFormat="1" x14ac:dyDescent="0.2">
      <c r="A40" s="111"/>
      <c r="B40" s="77" t="s">
        <v>0</v>
      </c>
      <c r="C40" s="183">
        <f>SUM(C37:C39)</f>
        <v>2457</v>
      </c>
      <c r="D40" s="104"/>
      <c r="E40" s="104"/>
      <c r="F40" s="379">
        <f>SUM(F38:F39)</f>
        <v>168.55100097031104</v>
      </c>
      <c r="G40" s="379">
        <f t="shared" ref="G40:Q40" si="21">SUM(G38:G39)</f>
        <v>187.26388389408643</v>
      </c>
      <c r="H40" s="379">
        <f t="shared" si="21"/>
        <v>188.37435186114374</v>
      </c>
      <c r="I40" s="379">
        <f t="shared" si="21"/>
        <v>223.50414998144728</v>
      </c>
      <c r="J40" s="379">
        <f t="shared" si="21"/>
        <v>203.90589447001267</v>
      </c>
      <c r="K40" s="379">
        <f t="shared" si="21"/>
        <v>210.11851151356024</v>
      </c>
      <c r="L40" s="379">
        <f t="shared" si="21"/>
        <v>199.83918156744699</v>
      </c>
      <c r="M40" s="379">
        <f t="shared" si="21"/>
        <v>203.98092626314534</v>
      </c>
      <c r="N40" s="379">
        <f t="shared" si="21"/>
        <v>224.61461794850459</v>
      </c>
      <c r="O40" s="379">
        <f t="shared" si="21"/>
        <v>209.00804354650296</v>
      </c>
      <c r="P40" s="379">
        <f t="shared" si="21"/>
        <v>237.03985203559975</v>
      </c>
      <c r="Q40" s="379">
        <f t="shared" si="21"/>
        <v>200.7995859482389</v>
      </c>
      <c r="R40" s="109">
        <f t="shared" si="18"/>
        <v>2457</v>
      </c>
      <c r="S40" s="3">
        <f t="shared" si="20"/>
        <v>0</v>
      </c>
      <c r="T40" s="3"/>
      <c r="U40" s="3"/>
      <c r="V40" s="104"/>
    </row>
    <row r="41" spans="1:22" x14ac:dyDescent="0.2">
      <c r="C41" s="3">
        <f>C40-C35</f>
        <v>-706233.78666407545</v>
      </c>
    </row>
    <row r="45" spans="1:22" x14ac:dyDescent="0.2">
      <c r="C45" s="7"/>
      <c r="L45" s="7"/>
      <c r="M45" s="7"/>
      <c r="N45" s="7"/>
      <c r="O45" s="7"/>
      <c r="P45" s="7"/>
      <c r="Q45" s="7"/>
      <c r="R45" s="7"/>
      <c r="U45" s="2"/>
      <c r="V45" s="2"/>
    </row>
    <row r="46" spans="1:22" x14ac:dyDescent="0.2">
      <c r="C46" s="7"/>
      <c r="L46" s="7"/>
      <c r="M46" s="7"/>
      <c r="N46" s="7"/>
      <c r="O46" s="7"/>
      <c r="P46" s="7"/>
      <c r="Q46" s="7"/>
      <c r="R46" s="7"/>
      <c r="U46" s="2"/>
      <c r="V46" s="2"/>
    </row>
    <row r="47" spans="1:22" x14ac:dyDescent="0.2">
      <c r="C47" s="7"/>
      <c r="L47" s="7"/>
      <c r="M47" s="7"/>
      <c r="N47" s="7"/>
      <c r="O47" s="7"/>
      <c r="P47" s="7"/>
      <c r="Q47" s="7"/>
      <c r="R47" s="7"/>
      <c r="U47" s="2"/>
      <c r="V47" s="2"/>
    </row>
    <row r="48" spans="1:22" x14ac:dyDescent="0.2">
      <c r="C48" s="7"/>
      <c r="U48" s="2"/>
      <c r="V48" s="2"/>
    </row>
    <row r="49" spans="3:22" x14ac:dyDescent="0.2">
      <c r="C49" s="7"/>
      <c r="L49" s="7"/>
      <c r="M49" s="7"/>
      <c r="N49" s="7"/>
      <c r="O49" s="7"/>
      <c r="P49" s="7"/>
      <c r="Q49" s="7"/>
      <c r="R49" s="7"/>
      <c r="U49" s="2"/>
      <c r="V49" s="2"/>
    </row>
    <row r="51" spans="3:22" x14ac:dyDescent="0.2">
      <c r="S51" s="2"/>
      <c r="T51" s="2"/>
      <c r="U51" s="2"/>
      <c r="V51" s="2"/>
    </row>
    <row r="52" spans="3:22" x14ac:dyDescent="0.2">
      <c r="S52" s="2"/>
      <c r="T52" s="2"/>
      <c r="U52" s="2"/>
      <c r="V52" s="2"/>
    </row>
    <row r="53" spans="3:22" x14ac:dyDescent="0.2">
      <c r="S53" s="2"/>
      <c r="T53" s="2"/>
      <c r="U53" s="2"/>
      <c r="V53" s="2"/>
    </row>
    <row r="54" spans="3:22" x14ac:dyDescent="0.2">
      <c r="S54" s="2"/>
      <c r="T54" s="2"/>
      <c r="U54" s="2"/>
      <c r="V54" s="2"/>
    </row>
    <row r="55" spans="3:22" x14ac:dyDescent="0.2">
      <c r="S55" s="2"/>
      <c r="T55" s="2"/>
      <c r="U55" s="2"/>
      <c r="V55" s="2"/>
    </row>
  </sheetData>
  <mergeCells count="2">
    <mergeCell ref="A9:D9"/>
    <mergeCell ref="A36:D36"/>
  </mergeCells>
  <printOptions gridLines="1"/>
  <pageMargins left="0.25" right="0.25" top="0.75" bottom="0.75" header="0.3" footer="0.3"/>
  <pageSetup scale="66" orientation="landscape" r:id="rId1"/>
  <headerFooter alignWithMargins="0">
    <oddHeader xml:space="preserve">&amp;C&amp;"Arial,Bold"&amp;14DOCTORS MEMORIAL HOSPITAL
FY 2017 BUDGET
</oddHeader>
    <oddFooter xml:space="preserve">&amp;R&amp;A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67"/>
  <sheetViews>
    <sheetView zoomScale="80" zoomScaleNormal="80" workbookViewId="0">
      <pane xSplit="2" ySplit="6" topLeftCell="C37" activePane="bottomRight" state="frozen"/>
      <selection pane="topRight" activeCell="C1" sqref="C1"/>
      <selection pane="bottomLeft" activeCell="A7" sqref="A7"/>
      <selection pane="bottomRight" activeCell="C59" sqref="C59"/>
    </sheetView>
  </sheetViews>
  <sheetFormatPr defaultRowHeight="12.75" x14ac:dyDescent="0.2"/>
  <cols>
    <col min="1" max="1" width="11.85546875" style="2" bestFit="1" customWidth="1"/>
    <col min="2" max="2" width="24.28515625" style="4" customWidth="1"/>
    <col min="3" max="3" width="13.5703125" style="4" customWidth="1"/>
    <col min="4" max="4" width="9.85546875" style="4" customWidth="1"/>
    <col min="5" max="5" width="4" style="4" customWidth="1"/>
    <col min="6" max="9" width="11.28515625" style="4" bestFit="1" customWidth="1"/>
    <col min="10" max="10" width="12.28515625" style="2" bestFit="1" customWidth="1"/>
    <col min="11" max="17" width="11.28515625" style="2" bestFit="1" customWidth="1"/>
    <col min="18" max="18" width="13.85546875" style="2" bestFit="1" customWidth="1"/>
    <col min="19" max="20" width="10.5703125" style="2" customWidth="1"/>
    <col min="21" max="200" width="9.140625" style="1"/>
    <col min="201" max="201" width="11.85546875" style="1" bestFit="1" customWidth="1"/>
    <col min="202" max="202" width="28.140625" style="1" bestFit="1" customWidth="1"/>
    <col min="203" max="203" width="15.7109375" style="1" customWidth="1"/>
    <col min="204" max="204" width="9.85546875" style="1" customWidth="1"/>
    <col min="205" max="205" width="13.140625" style="1" customWidth="1"/>
    <col min="206" max="206" width="9.140625" style="1" customWidth="1"/>
    <col min="207" max="207" width="12.28515625" style="1" customWidth="1"/>
    <col min="208" max="208" width="10.5703125" style="1" customWidth="1"/>
    <col min="209" max="210" width="12.7109375" style="1" customWidth="1"/>
    <col min="211" max="223" width="10.5703125" style="1" customWidth="1"/>
    <col min="224" max="224" width="11.140625" style="1" customWidth="1"/>
    <col min="225" max="236" width="10.5703125" style="1" customWidth="1"/>
    <col min="237" max="238" width="9.85546875" style="1" customWidth="1"/>
    <col min="239" max="239" width="9.85546875" style="1" bestFit="1" customWidth="1"/>
    <col min="240" max="240" width="9.85546875" style="1" customWidth="1"/>
    <col min="241" max="241" width="11.140625" style="1" customWidth="1"/>
    <col min="242" max="243" width="11.7109375" style="1" customWidth="1"/>
    <col min="244" max="245" width="9.140625" style="1" customWidth="1"/>
    <col min="246" max="246" width="10.28515625" style="1" customWidth="1"/>
    <col min="247" max="253" width="9.140625" style="1" customWidth="1"/>
    <col min="254" max="254" width="10.5703125" style="1" bestFit="1" customWidth="1"/>
    <col min="255" max="257" width="9.140625" style="1" customWidth="1"/>
    <col min="258" max="258" width="10.5703125" style="1" customWidth="1"/>
    <col min="259" max="262" width="9.140625" style="1" customWidth="1"/>
    <col min="263" max="263" width="9.28515625" style="1" bestFit="1" customWidth="1"/>
    <col min="264" max="274" width="9.140625" style="1"/>
    <col min="275" max="275" width="10.85546875" style="1" customWidth="1"/>
    <col min="276" max="456" width="9.140625" style="1"/>
    <col min="457" max="457" width="11.85546875" style="1" bestFit="1" customWidth="1"/>
    <col min="458" max="458" width="28.140625" style="1" bestFit="1" customWidth="1"/>
    <col min="459" max="459" width="15.7109375" style="1" customWidth="1"/>
    <col min="460" max="460" width="9.85546875" style="1" customWidth="1"/>
    <col min="461" max="461" width="13.140625" style="1" customWidth="1"/>
    <col min="462" max="462" width="9.140625" style="1" customWidth="1"/>
    <col min="463" max="463" width="12.28515625" style="1" customWidth="1"/>
    <col min="464" max="464" width="10.5703125" style="1" customWidth="1"/>
    <col min="465" max="466" width="12.7109375" style="1" customWidth="1"/>
    <col min="467" max="479" width="10.5703125" style="1" customWidth="1"/>
    <col min="480" max="480" width="11.140625" style="1" customWidth="1"/>
    <col min="481" max="492" width="10.5703125" style="1" customWidth="1"/>
    <col min="493" max="494" width="9.85546875" style="1" customWidth="1"/>
    <col min="495" max="495" width="9.85546875" style="1" bestFit="1" customWidth="1"/>
    <col min="496" max="496" width="9.85546875" style="1" customWidth="1"/>
    <col min="497" max="497" width="11.140625" style="1" customWidth="1"/>
    <col min="498" max="499" width="11.7109375" style="1" customWidth="1"/>
    <col min="500" max="501" width="9.140625" style="1" customWidth="1"/>
    <col min="502" max="502" width="10.28515625" style="1" customWidth="1"/>
    <col min="503" max="509" width="9.140625" style="1" customWidth="1"/>
    <col min="510" max="510" width="10.5703125" style="1" bestFit="1" customWidth="1"/>
    <col min="511" max="513" width="9.140625" style="1" customWidth="1"/>
    <col min="514" max="514" width="10.5703125" style="1" customWidth="1"/>
    <col min="515" max="518" width="9.140625" style="1" customWidth="1"/>
    <col min="519" max="519" width="9.28515625" style="1" bestFit="1" customWidth="1"/>
    <col min="520" max="530" width="9.140625" style="1"/>
    <col min="531" max="531" width="10.85546875" style="1" customWidth="1"/>
    <col min="532" max="712" width="9.140625" style="1"/>
    <col min="713" max="713" width="11.85546875" style="1" bestFit="1" customWidth="1"/>
    <col min="714" max="714" width="28.140625" style="1" bestFit="1" customWidth="1"/>
    <col min="715" max="715" width="15.7109375" style="1" customWidth="1"/>
    <col min="716" max="716" width="9.85546875" style="1" customWidth="1"/>
    <col min="717" max="717" width="13.140625" style="1" customWidth="1"/>
    <col min="718" max="718" width="9.140625" style="1" customWidth="1"/>
    <col min="719" max="719" width="12.28515625" style="1" customWidth="1"/>
    <col min="720" max="720" width="10.5703125" style="1" customWidth="1"/>
    <col min="721" max="722" width="12.7109375" style="1" customWidth="1"/>
    <col min="723" max="735" width="10.5703125" style="1" customWidth="1"/>
    <col min="736" max="736" width="11.140625" style="1" customWidth="1"/>
    <col min="737" max="748" width="10.5703125" style="1" customWidth="1"/>
    <col min="749" max="750" width="9.85546875" style="1" customWidth="1"/>
    <col min="751" max="751" width="9.85546875" style="1" bestFit="1" customWidth="1"/>
    <col min="752" max="752" width="9.85546875" style="1" customWidth="1"/>
    <col min="753" max="753" width="11.140625" style="1" customWidth="1"/>
    <col min="754" max="755" width="11.7109375" style="1" customWidth="1"/>
    <col min="756" max="757" width="9.140625" style="1" customWidth="1"/>
    <col min="758" max="758" width="10.28515625" style="1" customWidth="1"/>
    <col min="759" max="765" width="9.140625" style="1" customWidth="1"/>
    <col min="766" max="766" width="10.5703125" style="1" bestFit="1" customWidth="1"/>
    <col min="767" max="769" width="9.140625" style="1" customWidth="1"/>
    <col min="770" max="770" width="10.5703125" style="1" customWidth="1"/>
    <col min="771" max="774" width="9.140625" style="1" customWidth="1"/>
    <col min="775" max="775" width="9.28515625" style="1" bestFit="1" customWidth="1"/>
    <col min="776" max="786" width="9.140625" style="1"/>
    <col min="787" max="787" width="10.85546875" style="1" customWidth="1"/>
    <col min="788" max="968" width="9.140625" style="1"/>
    <col min="969" max="969" width="11.85546875" style="1" bestFit="1" customWidth="1"/>
    <col min="970" max="970" width="28.140625" style="1" bestFit="1" customWidth="1"/>
    <col min="971" max="971" width="15.7109375" style="1" customWidth="1"/>
    <col min="972" max="972" width="9.85546875" style="1" customWidth="1"/>
    <col min="973" max="973" width="13.140625" style="1" customWidth="1"/>
    <col min="974" max="974" width="9.140625" style="1" customWidth="1"/>
    <col min="975" max="975" width="12.28515625" style="1" customWidth="1"/>
    <col min="976" max="976" width="10.5703125" style="1" customWidth="1"/>
    <col min="977" max="978" width="12.7109375" style="1" customWidth="1"/>
    <col min="979" max="991" width="10.5703125" style="1" customWidth="1"/>
    <col min="992" max="992" width="11.140625" style="1" customWidth="1"/>
    <col min="993" max="1004" width="10.5703125" style="1" customWidth="1"/>
    <col min="1005" max="1006" width="9.85546875" style="1" customWidth="1"/>
    <col min="1007" max="1007" width="9.85546875" style="1" bestFit="1" customWidth="1"/>
    <col min="1008" max="1008" width="9.85546875" style="1" customWidth="1"/>
    <col min="1009" max="1009" width="11.140625" style="1" customWidth="1"/>
    <col min="1010" max="1011" width="11.7109375" style="1" customWidth="1"/>
    <col min="1012" max="1013" width="9.140625" style="1" customWidth="1"/>
    <col min="1014" max="1014" width="10.28515625" style="1" customWidth="1"/>
    <col min="1015" max="1021" width="9.140625" style="1" customWidth="1"/>
    <col min="1022" max="1022" width="10.5703125" style="1" bestFit="1" customWidth="1"/>
    <col min="1023" max="1025" width="9.140625" style="1" customWidth="1"/>
    <col min="1026" max="1026" width="10.5703125" style="1" customWidth="1"/>
    <col min="1027" max="1030" width="9.140625" style="1" customWidth="1"/>
    <col min="1031" max="1031" width="9.28515625" style="1" bestFit="1" customWidth="1"/>
    <col min="1032" max="1042" width="9.140625" style="1"/>
    <col min="1043" max="1043" width="10.85546875" style="1" customWidth="1"/>
    <col min="1044" max="1224" width="9.140625" style="1"/>
    <col min="1225" max="1225" width="11.85546875" style="1" bestFit="1" customWidth="1"/>
    <col min="1226" max="1226" width="28.140625" style="1" bestFit="1" customWidth="1"/>
    <col min="1227" max="1227" width="15.7109375" style="1" customWidth="1"/>
    <col min="1228" max="1228" width="9.85546875" style="1" customWidth="1"/>
    <col min="1229" max="1229" width="13.140625" style="1" customWidth="1"/>
    <col min="1230" max="1230" width="9.140625" style="1" customWidth="1"/>
    <col min="1231" max="1231" width="12.28515625" style="1" customWidth="1"/>
    <col min="1232" max="1232" width="10.5703125" style="1" customWidth="1"/>
    <col min="1233" max="1234" width="12.7109375" style="1" customWidth="1"/>
    <col min="1235" max="1247" width="10.5703125" style="1" customWidth="1"/>
    <col min="1248" max="1248" width="11.140625" style="1" customWidth="1"/>
    <col min="1249" max="1260" width="10.5703125" style="1" customWidth="1"/>
    <col min="1261" max="1262" width="9.85546875" style="1" customWidth="1"/>
    <col min="1263" max="1263" width="9.85546875" style="1" bestFit="1" customWidth="1"/>
    <col min="1264" max="1264" width="9.85546875" style="1" customWidth="1"/>
    <col min="1265" max="1265" width="11.140625" style="1" customWidth="1"/>
    <col min="1266" max="1267" width="11.7109375" style="1" customWidth="1"/>
    <col min="1268" max="1269" width="9.140625" style="1" customWidth="1"/>
    <col min="1270" max="1270" width="10.28515625" style="1" customWidth="1"/>
    <col min="1271" max="1277" width="9.140625" style="1" customWidth="1"/>
    <col min="1278" max="1278" width="10.5703125" style="1" bestFit="1" customWidth="1"/>
    <col min="1279" max="1281" width="9.140625" style="1" customWidth="1"/>
    <col min="1282" max="1282" width="10.5703125" style="1" customWidth="1"/>
    <col min="1283" max="1286" width="9.140625" style="1" customWidth="1"/>
    <col min="1287" max="1287" width="9.28515625" style="1" bestFit="1" customWidth="1"/>
    <col min="1288" max="1298" width="9.140625" style="1"/>
    <col min="1299" max="1299" width="10.85546875" style="1" customWidth="1"/>
    <col min="1300" max="1480" width="9.140625" style="1"/>
    <col min="1481" max="1481" width="11.85546875" style="1" bestFit="1" customWidth="1"/>
    <col min="1482" max="1482" width="28.140625" style="1" bestFit="1" customWidth="1"/>
    <col min="1483" max="1483" width="15.7109375" style="1" customWidth="1"/>
    <col min="1484" max="1484" width="9.85546875" style="1" customWidth="1"/>
    <col min="1485" max="1485" width="13.140625" style="1" customWidth="1"/>
    <col min="1486" max="1486" width="9.140625" style="1" customWidth="1"/>
    <col min="1487" max="1487" width="12.28515625" style="1" customWidth="1"/>
    <col min="1488" max="1488" width="10.5703125" style="1" customWidth="1"/>
    <col min="1489" max="1490" width="12.7109375" style="1" customWidth="1"/>
    <col min="1491" max="1503" width="10.5703125" style="1" customWidth="1"/>
    <col min="1504" max="1504" width="11.140625" style="1" customWidth="1"/>
    <col min="1505" max="1516" width="10.5703125" style="1" customWidth="1"/>
    <col min="1517" max="1518" width="9.85546875" style="1" customWidth="1"/>
    <col min="1519" max="1519" width="9.85546875" style="1" bestFit="1" customWidth="1"/>
    <col min="1520" max="1520" width="9.85546875" style="1" customWidth="1"/>
    <col min="1521" max="1521" width="11.140625" style="1" customWidth="1"/>
    <col min="1522" max="1523" width="11.7109375" style="1" customWidth="1"/>
    <col min="1524" max="1525" width="9.140625" style="1" customWidth="1"/>
    <col min="1526" max="1526" width="10.28515625" style="1" customWidth="1"/>
    <col min="1527" max="1533" width="9.140625" style="1" customWidth="1"/>
    <col min="1534" max="1534" width="10.5703125" style="1" bestFit="1" customWidth="1"/>
    <col min="1535" max="1537" width="9.140625" style="1" customWidth="1"/>
    <col min="1538" max="1538" width="10.5703125" style="1" customWidth="1"/>
    <col min="1539" max="1542" width="9.140625" style="1" customWidth="1"/>
    <col min="1543" max="1543" width="9.28515625" style="1" bestFit="1" customWidth="1"/>
    <col min="1544" max="1554" width="9.140625" style="1"/>
    <col min="1555" max="1555" width="10.85546875" style="1" customWidth="1"/>
    <col min="1556" max="1736" width="9.140625" style="1"/>
    <col min="1737" max="1737" width="11.85546875" style="1" bestFit="1" customWidth="1"/>
    <col min="1738" max="1738" width="28.140625" style="1" bestFit="1" customWidth="1"/>
    <col min="1739" max="1739" width="15.7109375" style="1" customWidth="1"/>
    <col min="1740" max="1740" width="9.85546875" style="1" customWidth="1"/>
    <col min="1741" max="1741" width="13.140625" style="1" customWidth="1"/>
    <col min="1742" max="1742" width="9.140625" style="1" customWidth="1"/>
    <col min="1743" max="1743" width="12.28515625" style="1" customWidth="1"/>
    <col min="1744" max="1744" width="10.5703125" style="1" customWidth="1"/>
    <col min="1745" max="1746" width="12.7109375" style="1" customWidth="1"/>
    <col min="1747" max="1759" width="10.5703125" style="1" customWidth="1"/>
    <col min="1760" max="1760" width="11.140625" style="1" customWidth="1"/>
    <col min="1761" max="1772" width="10.5703125" style="1" customWidth="1"/>
    <col min="1773" max="1774" width="9.85546875" style="1" customWidth="1"/>
    <col min="1775" max="1775" width="9.85546875" style="1" bestFit="1" customWidth="1"/>
    <col min="1776" max="1776" width="9.85546875" style="1" customWidth="1"/>
    <col min="1777" max="1777" width="11.140625" style="1" customWidth="1"/>
    <col min="1778" max="1779" width="11.7109375" style="1" customWidth="1"/>
    <col min="1780" max="1781" width="9.140625" style="1" customWidth="1"/>
    <col min="1782" max="1782" width="10.28515625" style="1" customWidth="1"/>
    <col min="1783" max="1789" width="9.140625" style="1" customWidth="1"/>
    <col min="1790" max="1790" width="10.5703125" style="1" bestFit="1" customWidth="1"/>
    <col min="1791" max="1793" width="9.140625" style="1" customWidth="1"/>
    <col min="1794" max="1794" width="10.5703125" style="1" customWidth="1"/>
    <col min="1795" max="1798" width="9.140625" style="1" customWidth="1"/>
    <col min="1799" max="1799" width="9.28515625" style="1" bestFit="1" customWidth="1"/>
    <col min="1800" max="1810" width="9.140625" style="1"/>
    <col min="1811" max="1811" width="10.85546875" style="1" customWidth="1"/>
    <col min="1812" max="1992" width="9.140625" style="1"/>
    <col min="1993" max="1993" width="11.85546875" style="1" bestFit="1" customWidth="1"/>
    <col min="1994" max="1994" width="28.140625" style="1" bestFit="1" customWidth="1"/>
    <col min="1995" max="1995" width="15.7109375" style="1" customWidth="1"/>
    <col min="1996" max="1996" width="9.85546875" style="1" customWidth="1"/>
    <col min="1997" max="1997" width="13.140625" style="1" customWidth="1"/>
    <col min="1998" max="1998" width="9.140625" style="1" customWidth="1"/>
    <col min="1999" max="1999" width="12.28515625" style="1" customWidth="1"/>
    <col min="2000" max="2000" width="10.5703125" style="1" customWidth="1"/>
    <col min="2001" max="2002" width="12.7109375" style="1" customWidth="1"/>
    <col min="2003" max="2015" width="10.5703125" style="1" customWidth="1"/>
    <col min="2016" max="2016" width="11.140625" style="1" customWidth="1"/>
    <col min="2017" max="2028" width="10.5703125" style="1" customWidth="1"/>
    <col min="2029" max="2030" width="9.85546875" style="1" customWidth="1"/>
    <col min="2031" max="2031" width="9.85546875" style="1" bestFit="1" customWidth="1"/>
    <col min="2032" max="2032" width="9.85546875" style="1" customWidth="1"/>
    <col min="2033" max="2033" width="11.140625" style="1" customWidth="1"/>
    <col min="2034" max="2035" width="11.7109375" style="1" customWidth="1"/>
    <col min="2036" max="2037" width="9.140625" style="1" customWidth="1"/>
    <col min="2038" max="2038" width="10.28515625" style="1" customWidth="1"/>
    <col min="2039" max="2045" width="9.140625" style="1" customWidth="1"/>
    <col min="2046" max="2046" width="10.5703125" style="1" bestFit="1" customWidth="1"/>
    <col min="2047" max="2049" width="9.140625" style="1" customWidth="1"/>
    <col min="2050" max="2050" width="10.5703125" style="1" customWidth="1"/>
    <col min="2051" max="2054" width="9.140625" style="1" customWidth="1"/>
    <col min="2055" max="2055" width="9.28515625" style="1" bestFit="1" customWidth="1"/>
    <col min="2056" max="2066" width="9.140625" style="1"/>
    <col min="2067" max="2067" width="10.85546875" style="1" customWidth="1"/>
    <col min="2068" max="2248" width="9.140625" style="1"/>
    <col min="2249" max="2249" width="11.85546875" style="1" bestFit="1" customWidth="1"/>
    <col min="2250" max="2250" width="28.140625" style="1" bestFit="1" customWidth="1"/>
    <col min="2251" max="2251" width="15.7109375" style="1" customWidth="1"/>
    <col min="2252" max="2252" width="9.85546875" style="1" customWidth="1"/>
    <col min="2253" max="2253" width="13.140625" style="1" customWidth="1"/>
    <col min="2254" max="2254" width="9.140625" style="1" customWidth="1"/>
    <col min="2255" max="2255" width="12.28515625" style="1" customWidth="1"/>
    <col min="2256" max="2256" width="10.5703125" style="1" customWidth="1"/>
    <col min="2257" max="2258" width="12.7109375" style="1" customWidth="1"/>
    <col min="2259" max="2271" width="10.5703125" style="1" customWidth="1"/>
    <col min="2272" max="2272" width="11.140625" style="1" customWidth="1"/>
    <col min="2273" max="2284" width="10.5703125" style="1" customWidth="1"/>
    <col min="2285" max="2286" width="9.85546875" style="1" customWidth="1"/>
    <col min="2287" max="2287" width="9.85546875" style="1" bestFit="1" customWidth="1"/>
    <col min="2288" max="2288" width="9.85546875" style="1" customWidth="1"/>
    <col min="2289" max="2289" width="11.140625" style="1" customWidth="1"/>
    <col min="2290" max="2291" width="11.7109375" style="1" customWidth="1"/>
    <col min="2292" max="2293" width="9.140625" style="1" customWidth="1"/>
    <col min="2294" max="2294" width="10.28515625" style="1" customWidth="1"/>
    <col min="2295" max="2301" width="9.140625" style="1" customWidth="1"/>
    <col min="2302" max="2302" width="10.5703125" style="1" bestFit="1" customWidth="1"/>
    <col min="2303" max="2305" width="9.140625" style="1" customWidth="1"/>
    <col min="2306" max="2306" width="10.5703125" style="1" customWidth="1"/>
    <col min="2307" max="2310" width="9.140625" style="1" customWidth="1"/>
    <col min="2311" max="2311" width="9.28515625" style="1" bestFit="1" customWidth="1"/>
    <col min="2312" max="2322" width="9.140625" style="1"/>
    <col min="2323" max="2323" width="10.85546875" style="1" customWidth="1"/>
    <col min="2324" max="2504" width="9.140625" style="1"/>
    <col min="2505" max="2505" width="11.85546875" style="1" bestFit="1" customWidth="1"/>
    <col min="2506" max="2506" width="28.140625" style="1" bestFit="1" customWidth="1"/>
    <col min="2507" max="2507" width="15.7109375" style="1" customWidth="1"/>
    <col min="2508" max="2508" width="9.85546875" style="1" customWidth="1"/>
    <col min="2509" max="2509" width="13.140625" style="1" customWidth="1"/>
    <col min="2510" max="2510" width="9.140625" style="1" customWidth="1"/>
    <col min="2511" max="2511" width="12.28515625" style="1" customWidth="1"/>
    <col min="2512" max="2512" width="10.5703125" style="1" customWidth="1"/>
    <col min="2513" max="2514" width="12.7109375" style="1" customWidth="1"/>
    <col min="2515" max="2527" width="10.5703125" style="1" customWidth="1"/>
    <col min="2528" max="2528" width="11.140625" style="1" customWidth="1"/>
    <col min="2529" max="2540" width="10.5703125" style="1" customWidth="1"/>
    <col min="2541" max="2542" width="9.85546875" style="1" customWidth="1"/>
    <col min="2543" max="2543" width="9.85546875" style="1" bestFit="1" customWidth="1"/>
    <col min="2544" max="2544" width="9.85546875" style="1" customWidth="1"/>
    <col min="2545" max="2545" width="11.140625" style="1" customWidth="1"/>
    <col min="2546" max="2547" width="11.7109375" style="1" customWidth="1"/>
    <col min="2548" max="2549" width="9.140625" style="1" customWidth="1"/>
    <col min="2550" max="2550" width="10.28515625" style="1" customWidth="1"/>
    <col min="2551" max="2557" width="9.140625" style="1" customWidth="1"/>
    <col min="2558" max="2558" width="10.5703125" style="1" bestFit="1" customWidth="1"/>
    <col min="2559" max="2561" width="9.140625" style="1" customWidth="1"/>
    <col min="2562" max="2562" width="10.5703125" style="1" customWidth="1"/>
    <col min="2563" max="2566" width="9.140625" style="1" customWidth="1"/>
    <col min="2567" max="2567" width="9.28515625" style="1" bestFit="1" customWidth="1"/>
    <col min="2568" max="2578" width="9.140625" style="1"/>
    <col min="2579" max="2579" width="10.85546875" style="1" customWidth="1"/>
    <col min="2580" max="2760" width="9.140625" style="1"/>
    <col min="2761" max="2761" width="11.85546875" style="1" bestFit="1" customWidth="1"/>
    <col min="2762" max="2762" width="28.140625" style="1" bestFit="1" customWidth="1"/>
    <col min="2763" max="2763" width="15.7109375" style="1" customWidth="1"/>
    <col min="2764" max="2764" width="9.85546875" style="1" customWidth="1"/>
    <col min="2765" max="2765" width="13.140625" style="1" customWidth="1"/>
    <col min="2766" max="2766" width="9.140625" style="1" customWidth="1"/>
    <col min="2767" max="2767" width="12.28515625" style="1" customWidth="1"/>
    <col min="2768" max="2768" width="10.5703125" style="1" customWidth="1"/>
    <col min="2769" max="2770" width="12.7109375" style="1" customWidth="1"/>
    <col min="2771" max="2783" width="10.5703125" style="1" customWidth="1"/>
    <col min="2784" max="2784" width="11.140625" style="1" customWidth="1"/>
    <col min="2785" max="2796" width="10.5703125" style="1" customWidth="1"/>
    <col min="2797" max="2798" width="9.85546875" style="1" customWidth="1"/>
    <col min="2799" max="2799" width="9.85546875" style="1" bestFit="1" customWidth="1"/>
    <col min="2800" max="2800" width="9.85546875" style="1" customWidth="1"/>
    <col min="2801" max="2801" width="11.140625" style="1" customWidth="1"/>
    <col min="2802" max="2803" width="11.7109375" style="1" customWidth="1"/>
    <col min="2804" max="2805" width="9.140625" style="1" customWidth="1"/>
    <col min="2806" max="2806" width="10.28515625" style="1" customWidth="1"/>
    <col min="2807" max="2813" width="9.140625" style="1" customWidth="1"/>
    <col min="2814" max="2814" width="10.5703125" style="1" bestFit="1" customWidth="1"/>
    <col min="2815" max="2817" width="9.140625" style="1" customWidth="1"/>
    <col min="2818" max="2818" width="10.5703125" style="1" customWidth="1"/>
    <col min="2819" max="2822" width="9.140625" style="1" customWidth="1"/>
    <col min="2823" max="2823" width="9.28515625" style="1" bestFit="1" customWidth="1"/>
    <col min="2824" max="2834" width="9.140625" style="1"/>
    <col min="2835" max="2835" width="10.85546875" style="1" customWidth="1"/>
    <col min="2836" max="3016" width="9.140625" style="1"/>
    <col min="3017" max="3017" width="11.85546875" style="1" bestFit="1" customWidth="1"/>
    <col min="3018" max="3018" width="28.140625" style="1" bestFit="1" customWidth="1"/>
    <col min="3019" max="3019" width="15.7109375" style="1" customWidth="1"/>
    <col min="3020" max="3020" width="9.85546875" style="1" customWidth="1"/>
    <col min="3021" max="3021" width="13.140625" style="1" customWidth="1"/>
    <col min="3022" max="3022" width="9.140625" style="1" customWidth="1"/>
    <col min="3023" max="3023" width="12.28515625" style="1" customWidth="1"/>
    <col min="3024" max="3024" width="10.5703125" style="1" customWidth="1"/>
    <col min="3025" max="3026" width="12.7109375" style="1" customWidth="1"/>
    <col min="3027" max="3039" width="10.5703125" style="1" customWidth="1"/>
    <col min="3040" max="3040" width="11.140625" style="1" customWidth="1"/>
    <col min="3041" max="3052" width="10.5703125" style="1" customWidth="1"/>
    <col min="3053" max="3054" width="9.85546875" style="1" customWidth="1"/>
    <col min="3055" max="3055" width="9.85546875" style="1" bestFit="1" customWidth="1"/>
    <col min="3056" max="3056" width="9.85546875" style="1" customWidth="1"/>
    <col min="3057" max="3057" width="11.140625" style="1" customWidth="1"/>
    <col min="3058" max="3059" width="11.7109375" style="1" customWidth="1"/>
    <col min="3060" max="3061" width="9.140625" style="1" customWidth="1"/>
    <col min="3062" max="3062" width="10.28515625" style="1" customWidth="1"/>
    <col min="3063" max="3069" width="9.140625" style="1" customWidth="1"/>
    <col min="3070" max="3070" width="10.5703125" style="1" bestFit="1" customWidth="1"/>
    <col min="3071" max="3073" width="9.140625" style="1" customWidth="1"/>
    <col min="3074" max="3074" width="10.5703125" style="1" customWidth="1"/>
    <col min="3075" max="3078" width="9.140625" style="1" customWidth="1"/>
    <col min="3079" max="3079" width="9.28515625" style="1" bestFit="1" customWidth="1"/>
    <col min="3080" max="3090" width="9.140625" style="1"/>
    <col min="3091" max="3091" width="10.85546875" style="1" customWidth="1"/>
    <col min="3092" max="3272" width="9.140625" style="1"/>
    <col min="3273" max="3273" width="11.85546875" style="1" bestFit="1" customWidth="1"/>
    <col min="3274" max="3274" width="28.140625" style="1" bestFit="1" customWidth="1"/>
    <col min="3275" max="3275" width="15.7109375" style="1" customWidth="1"/>
    <col min="3276" max="3276" width="9.85546875" style="1" customWidth="1"/>
    <col min="3277" max="3277" width="13.140625" style="1" customWidth="1"/>
    <col min="3278" max="3278" width="9.140625" style="1" customWidth="1"/>
    <col min="3279" max="3279" width="12.28515625" style="1" customWidth="1"/>
    <col min="3280" max="3280" width="10.5703125" style="1" customWidth="1"/>
    <col min="3281" max="3282" width="12.7109375" style="1" customWidth="1"/>
    <col min="3283" max="3295" width="10.5703125" style="1" customWidth="1"/>
    <col min="3296" max="3296" width="11.140625" style="1" customWidth="1"/>
    <col min="3297" max="3308" width="10.5703125" style="1" customWidth="1"/>
    <col min="3309" max="3310" width="9.85546875" style="1" customWidth="1"/>
    <col min="3311" max="3311" width="9.85546875" style="1" bestFit="1" customWidth="1"/>
    <col min="3312" max="3312" width="9.85546875" style="1" customWidth="1"/>
    <col min="3313" max="3313" width="11.140625" style="1" customWidth="1"/>
    <col min="3314" max="3315" width="11.7109375" style="1" customWidth="1"/>
    <col min="3316" max="3317" width="9.140625" style="1" customWidth="1"/>
    <col min="3318" max="3318" width="10.28515625" style="1" customWidth="1"/>
    <col min="3319" max="3325" width="9.140625" style="1" customWidth="1"/>
    <col min="3326" max="3326" width="10.5703125" style="1" bestFit="1" customWidth="1"/>
    <col min="3327" max="3329" width="9.140625" style="1" customWidth="1"/>
    <col min="3330" max="3330" width="10.5703125" style="1" customWidth="1"/>
    <col min="3331" max="3334" width="9.140625" style="1" customWidth="1"/>
    <col min="3335" max="3335" width="9.28515625" style="1" bestFit="1" customWidth="1"/>
    <col min="3336" max="3346" width="9.140625" style="1"/>
    <col min="3347" max="3347" width="10.85546875" style="1" customWidth="1"/>
    <col min="3348" max="3528" width="9.140625" style="1"/>
    <col min="3529" max="3529" width="11.85546875" style="1" bestFit="1" customWidth="1"/>
    <col min="3530" max="3530" width="28.140625" style="1" bestFit="1" customWidth="1"/>
    <col min="3531" max="3531" width="15.7109375" style="1" customWidth="1"/>
    <col min="3532" max="3532" width="9.85546875" style="1" customWidth="1"/>
    <col min="3533" max="3533" width="13.140625" style="1" customWidth="1"/>
    <col min="3534" max="3534" width="9.140625" style="1" customWidth="1"/>
    <col min="3535" max="3535" width="12.28515625" style="1" customWidth="1"/>
    <col min="3536" max="3536" width="10.5703125" style="1" customWidth="1"/>
    <col min="3537" max="3538" width="12.7109375" style="1" customWidth="1"/>
    <col min="3539" max="3551" width="10.5703125" style="1" customWidth="1"/>
    <col min="3552" max="3552" width="11.140625" style="1" customWidth="1"/>
    <col min="3553" max="3564" width="10.5703125" style="1" customWidth="1"/>
    <col min="3565" max="3566" width="9.85546875" style="1" customWidth="1"/>
    <col min="3567" max="3567" width="9.85546875" style="1" bestFit="1" customWidth="1"/>
    <col min="3568" max="3568" width="9.85546875" style="1" customWidth="1"/>
    <col min="3569" max="3569" width="11.140625" style="1" customWidth="1"/>
    <col min="3570" max="3571" width="11.7109375" style="1" customWidth="1"/>
    <col min="3572" max="3573" width="9.140625" style="1" customWidth="1"/>
    <col min="3574" max="3574" width="10.28515625" style="1" customWidth="1"/>
    <col min="3575" max="3581" width="9.140625" style="1" customWidth="1"/>
    <col min="3582" max="3582" width="10.5703125" style="1" bestFit="1" customWidth="1"/>
    <col min="3583" max="3585" width="9.140625" style="1" customWidth="1"/>
    <col min="3586" max="3586" width="10.5703125" style="1" customWidth="1"/>
    <col min="3587" max="3590" width="9.140625" style="1" customWidth="1"/>
    <col min="3591" max="3591" width="9.28515625" style="1" bestFit="1" customWidth="1"/>
    <col min="3592" max="3602" width="9.140625" style="1"/>
    <col min="3603" max="3603" width="10.85546875" style="1" customWidth="1"/>
    <col min="3604" max="3784" width="9.140625" style="1"/>
    <col min="3785" max="3785" width="11.85546875" style="1" bestFit="1" customWidth="1"/>
    <col min="3786" max="3786" width="28.140625" style="1" bestFit="1" customWidth="1"/>
    <col min="3787" max="3787" width="15.7109375" style="1" customWidth="1"/>
    <col min="3788" max="3788" width="9.85546875" style="1" customWidth="1"/>
    <col min="3789" max="3789" width="13.140625" style="1" customWidth="1"/>
    <col min="3790" max="3790" width="9.140625" style="1" customWidth="1"/>
    <col min="3791" max="3791" width="12.28515625" style="1" customWidth="1"/>
    <col min="3792" max="3792" width="10.5703125" style="1" customWidth="1"/>
    <col min="3793" max="3794" width="12.7109375" style="1" customWidth="1"/>
    <col min="3795" max="3807" width="10.5703125" style="1" customWidth="1"/>
    <col min="3808" max="3808" width="11.140625" style="1" customWidth="1"/>
    <col min="3809" max="3820" width="10.5703125" style="1" customWidth="1"/>
    <col min="3821" max="3822" width="9.85546875" style="1" customWidth="1"/>
    <col min="3823" max="3823" width="9.85546875" style="1" bestFit="1" customWidth="1"/>
    <col min="3824" max="3824" width="9.85546875" style="1" customWidth="1"/>
    <col min="3825" max="3825" width="11.140625" style="1" customWidth="1"/>
    <col min="3826" max="3827" width="11.7109375" style="1" customWidth="1"/>
    <col min="3828" max="3829" width="9.140625" style="1" customWidth="1"/>
    <col min="3830" max="3830" width="10.28515625" style="1" customWidth="1"/>
    <col min="3831" max="3837" width="9.140625" style="1" customWidth="1"/>
    <col min="3838" max="3838" width="10.5703125" style="1" bestFit="1" customWidth="1"/>
    <col min="3839" max="3841" width="9.140625" style="1" customWidth="1"/>
    <col min="3842" max="3842" width="10.5703125" style="1" customWidth="1"/>
    <col min="3843" max="3846" width="9.140625" style="1" customWidth="1"/>
    <col min="3847" max="3847" width="9.28515625" style="1" bestFit="1" customWidth="1"/>
    <col min="3848" max="3858" width="9.140625" style="1"/>
    <col min="3859" max="3859" width="10.85546875" style="1" customWidth="1"/>
    <col min="3860" max="4040" width="9.140625" style="1"/>
    <col min="4041" max="4041" width="11.85546875" style="1" bestFit="1" customWidth="1"/>
    <col min="4042" max="4042" width="28.140625" style="1" bestFit="1" customWidth="1"/>
    <col min="4043" max="4043" width="15.7109375" style="1" customWidth="1"/>
    <col min="4044" max="4044" width="9.85546875" style="1" customWidth="1"/>
    <col min="4045" max="4045" width="13.140625" style="1" customWidth="1"/>
    <col min="4046" max="4046" width="9.140625" style="1" customWidth="1"/>
    <col min="4047" max="4047" width="12.28515625" style="1" customWidth="1"/>
    <col min="4048" max="4048" width="10.5703125" style="1" customWidth="1"/>
    <col min="4049" max="4050" width="12.7109375" style="1" customWidth="1"/>
    <col min="4051" max="4063" width="10.5703125" style="1" customWidth="1"/>
    <col min="4064" max="4064" width="11.140625" style="1" customWidth="1"/>
    <col min="4065" max="4076" width="10.5703125" style="1" customWidth="1"/>
    <col min="4077" max="4078" width="9.85546875" style="1" customWidth="1"/>
    <col min="4079" max="4079" width="9.85546875" style="1" bestFit="1" customWidth="1"/>
    <col min="4080" max="4080" width="9.85546875" style="1" customWidth="1"/>
    <col min="4081" max="4081" width="11.140625" style="1" customWidth="1"/>
    <col min="4082" max="4083" width="11.7109375" style="1" customWidth="1"/>
    <col min="4084" max="4085" width="9.140625" style="1" customWidth="1"/>
    <col min="4086" max="4086" width="10.28515625" style="1" customWidth="1"/>
    <col min="4087" max="4093" width="9.140625" style="1" customWidth="1"/>
    <col min="4094" max="4094" width="10.5703125" style="1" bestFit="1" customWidth="1"/>
    <col min="4095" max="4097" width="9.140625" style="1" customWidth="1"/>
    <col min="4098" max="4098" width="10.5703125" style="1" customWidth="1"/>
    <col min="4099" max="4102" width="9.140625" style="1" customWidth="1"/>
    <col min="4103" max="4103" width="9.28515625" style="1" bestFit="1" customWidth="1"/>
    <col min="4104" max="4114" width="9.140625" style="1"/>
    <col min="4115" max="4115" width="10.85546875" style="1" customWidth="1"/>
    <col min="4116" max="4296" width="9.140625" style="1"/>
    <col min="4297" max="4297" width="11.85546875" style="1" bestFit="1" customWidth="1"/>
    <col min="4298" max="4298" width="28.140625" style="1" bestFit="1" customWidth="1"/>
    <col min="4299" max="4299" width="15.7109375" style="1" customWidth="1"/>
    <col min="4300" max="4300" width="9.85546875" style="1" customWidth="1"/>
    <col min="4301" max="4301" width="13.140625" style="1" customWidth="1"/>
    <col min="4302" max="4302" width="9.140625" style="1" customWidth="1"/>
    <col min="4303" max="4303" width="12.28515625" style="1" customWidth="1"/>
    <col min="4304" max="4304" width="10.5703125" style="1" customWidth="1"/>
    <col min="4305" max="4306" width="12.7109375" style="1" customWidth="1"/>
    <col min="4307" max="4319" width="10.5703125" style="1" customWidth="1"/>
    <col min="4320" max="4320" width="11.140625" style="1" customWidth="1"/>
    <col min="4321" max="4332" width="10.5703125" style="1" customWidth="1"/>
    <col min="4333" max="4334" width="9.85546875" style="1" customWidth="1"/>
    <col min="4335" max="4335" width="9.85546875" style="1" bestFit="1" customWidth="1"/>
    <col min="4336" max="4336" width="9.85546875" style="1" customWidth="1"/>
    <col min="4337" max="4337" width="11.140625" style="1" customWidth="1"/>
    <col min="4338" max="4339" width="11.7109375" style="1" customWidth="1"/>
    <col min="4340" max="4341" width="9.140625" style="1" customWidth="1"/>
    <col min="4342" max="4342" width="10.28515625" style="1" customWidth="1"/>
    <col min="4343" max="4349" width="9.140625" style="1" customWidth="1"/>
    <col min="4350" max="4350" width="10.5703125" style="1" bestFit="1" customWidth="1"/>
    <col min="4351" max="4353" width="9.140625" style="1" customWidth="1"/>
    <col min="4354" max="4354" width="10.5703125" style="1" customWidth="1"/>
    <col min="4355" max="4358" width="9.140625" style="1" customWidth="1"/>
    <col min="4359" max="4359" width="9.28515625" style="1" bestFit="1" customWidth="1"/>
    <col min="4360" max="4370" width="9.140625" style="1"/>
    <col min="4371" max="4371" width="10.85546875" style="1" customWidth="1"/>
    <col min="4372" max="4552" width="9.140625" style="1"/>
    <col min="4553" max="4553" width="11.85546875" style="1" bestFit="1" customWidth="1"/>
    <col min="4554" max="4554" width="28.140625" style="1" bestFit="1" customWidth="1"/>
    <col min="4555" max="4555" width="15.7109375" style="1" customWidth="1"/>
    <col min="4556" max="4556" width="9.85546875" style="1" customWidth="1"/>
    <col min="4557" max="4557" width="13.140625" style="1" customWidth="1"/>
    <col min="4558" max="4558" width="9.140625" style="1" customWidth="1"/>
    <col min="4559" max="4559" width="12.28515625" style="1" customWidth="1"/>
    <col min="4560" max="4560" width="10.5703125" style="1" customWidth="1"/>
    <col min="4561" max="4562" width="12.7109375" style="1" customWidth="1"/>
    <col min="4563" max="4575" width="10.5703125" style="1" customWidth="1"/>
    <col min="4576" max="4576" width="11.140625" style="1" customWidth="1"/>
    <col min="4577" max="4588" width="10.5703125" style="1" customWidth="1"/>
    <col min="4589" max="4590" width="9.85546875" style="1" customWidth="1"/>
    <col min="4591" max="4591" width="9.85546875" style="1" bestFit="1" customWidth="1"/>
    <col min="4592" max="4592" width="9.85546875" style="1" customWidth="1"/>
    <col min="4593" max="4593" width="11.140625" style="1" customWidth="1"/>
    <col min="4594" max="4595" width="11.7109375" style="1" customWidth="1"/>
    <col min="4596" max="4597" width="9.140625" style="1" customWidth="1"/>
    <col min="4598" max="4598" width="10.28515625" style="1" customWidth="1"/>
    <col min="4599" max="4605" width="9.140625" style="1" customWidth="1"/>
    <col min="4606" max="4606" width="10.5703125" style="1" bestFit="1" customWidth="1"/>
    <col min="4607" max="4609" width="9.140625" style="1" customWidth="1"/>
    <col min="4610" max="4610" width="10.5703125" style="1" customWidth="1"/>
    <col min="4611" max="4614" width="9.140625" style="1" customWidth="1"/>
    <col min="4615" max="4615" width="9.28515625" style="1" bestFit="1" customWidth="1"/>
    <col min="4616" max="4626" width="9.140625" style="1"/>
    <col min="4627" max="4627" width="10.85546875" style="1" customWidth="1"/>
    <col min="4628" max="4808" width="9.140625" style="1"/>
    <col min="4809" max="4809" width="11.85546875" style="1" bestFit="1" customWidth="1"/>
    <col min="4810" max="4810" width="28.140625" style="1" bestFit="1" customWidth="1"/>
    <col min="4811" max="4811" width="15.7109375" style="1" customWidth="1"/>
    <col min="4812" max="4812" width="9.85546875" style="1" customWidth="1"/>
    <col min="4813" max="4813" width="13.140625" style="1" customWidth="1"/>
    <col min="4814" max="4814" width="9.140625" style="1" customWidth="1"/>
    <col min="4815" max="4815" width="12.28515625" style="1" customWidth="1"/>
    <col min="4816" max="4816" width="10.5703125" style="1" customWidth="1"/>
    <col min="4817" max="4818" width="12.7109375" style="1" customWidth="1"/>
    <col min="4819" max="4831" width="10.5703125" style="1" customWidth="1"/>
    <col min="4832" max="4832" width="11.140625" style="1" customWidth="1"/>
    <col min="4833" max="4844" width="10.5703125" style="1" customWidth="1"/>
    <col min="4845" max="4846" width="9.85546875" style="1" customWidth="1"/>
    <col min="4847" max="4847" width="9.85546875" style="1" bestFit="1" customWidth="1"/>
    <col min="4848" max="4848" width="9.85546875" style="1" customWidth="1"/>
    <col min="4849" max="4849" width="11.140625" style="1" customWidth="1"/>
    <col min="4850" max="4851" width="11.7109375" style="1" customWidth="1"/>
    <col min="4852" max="4853" width="9.140625" style="1" customWidth="1"/>
    <col min="4854" max="4854" width="10.28515625" style="1" customWidth="1"/>
    <col min="4855" max="4861" width="9.140625" style="1" customWidth="1"/>
    <col min="4862" max="4862" width="10.5703125" style="1" bestFit="1" customWidth="1"/>
    <col min="4863" max="4865" width="9.140625" style="1" customWidth="1"/>
    <col min="4866" max="4866" width="10.5703125" style="1" customWidth="1"/>
    <col min="4867" max="4870" width="9.140625" style="1" customWidth="1"/>
    <col min="4871" max="4871" width="9.28515625" style="1" bestFit="1" customWidth="1"/>
    <col min="4872" max="4882" width="9.140625" style="1"/>
    <col min="4883" max="4883" width="10.85546875" style="1" customWidth="1"/>
    <col min="4884" max="5064" width="9.140625" style="1"/>
    <col min="5065" max="5065" width="11.85546875" style="1" bestFit="1" customWidth="1"/>
    <col min="5066" max="5066" width="28.140625" style="1" bestFit="1" customWidth="1"/>
    <col min="5067" max="5067" width="15.7109375" style="1" customWidth="1"/>
    <col min="5068" max="5068" width="9.85546875" style="1" customWidth="1"/>
    <col min="5069" max="5069" width="13.140625" style="1" customWidth="1"/>
    <col min="5070" max="5070" width="9.140625" style="1" customWidth="1"/>
    <col min="5071" max="5071" width="12.28515625" style="1" customWidth="1"/>
    <col min="5072" max="5072" width="10.5703125" style="1" customWidth="1"/>
    <col min="5073" max="5074" width="12.7109375" style="1" customWidth="1"/>
    <col min="5075" max="5087" width="10.5703125" style="1" customWidth="1"/>
    <col min="5088" max="5088" width="11.140625" style="1" customWidth="1"/>
    <col min="5089" max="5100" width="10.5703125" style="1" customWidth="1"/>
    <col min="5101" max="5102" width="9.85546875" style="1" customWidth="1"/>
    <col min="5103" max="5103" width="9.85546875" style="1" bestFit="1" customWidth="1"/>
    <col min="5104" max="5104" width="9.85546875" style="1" customWidth="1"/>
    <col min="5105" max="5105" width="11.140625" style="1" customWidth="1"/>
    <col min="5106" max="5107" width="11.7109375" style="1" customWidth="1"/>
    <col min="5108" max="5109" width="9.140625" style="1" customWidth="1"/>
    <col min="5110" max="5110" width="10.28515625" style="1" customWidth="1"/>
    <col min="5111" max="5117" width="9.140625" style="1" customWidth="1"/>
    <col min="5118" max="5118" width="10.5703125" style="1" bestFit="1" customWidth="1"/>
    <col min="5119" max="5121" width="9.140625" style="1" customWidth="1"/>
    <col min="5122" max="5122" width="10.5703125" style="1" customWidth="1"/>
    <col min="5123" max="5126" width="9.140625" style="1" customWidth="1"/>
    <col min="5127" max="5127" width="9.28515625" style="1" bestFit="1" customWidth="1"/>
    <col min="5128" max="5138" width="9.140625" style="1"/>
    <col min="5139" max="5139" width="10.85546875" style="1" customWidth="1"/>
    <col min="5140" max="5320" width="9.140625" style="1"/>
    <col min="5321" max="5321" width="11.85546875" style="1" bestFit="1" customWidth="1"/>
    <col min="5322" max="5322" width="28.140625" style="1" bestFit="1" customWidth="1"/>
    <col min="5323" max="5323" width="15.7109375" style="1" customWidth="1"/>
    <col min="5324" max="5324" width="9.85546875" style="1" customWidth="1"/>
    <col min="5325" max="5325" width="13.140625" style="1" customWidth="1"/>
    <col min="5326" max="5326" width="9.140625" style="1" customWidth="1"/>
    <col min="5327" max="5327" width="12.28515625" style="1" customWidth="1"/>
    <col min="5328" max="5328" width="10.5703125" style="1" customWidth="1"/>
    <col min="5329" max="5330" width="12.7109375" style="1" customWidth="1"/>
    <col min="5331" max="5343" width="10.5703125" style="1" customWidth="1"/>
    <col min="5344" max="5344" width="11.140625" style="1" customWidth="1"/>
    <col min="5345" max="5356" width="10.5703125" style="1" customWidth="1"/>
    <col min="5357" max="5358" width="9.85546875" style="1" customWidth="1"/>
    <col min="5359" max="5359" width="9.85546875" style="1" bestFit="1" customWidth="1"/>
    <col min="5360" max="5360" width="9.85546875" style="1" customWidth="1"/>
    <col min="5361" max="5361" width="11.140625" style="1" customWidth="1"/>
    <col min="5362" max="5363" width="11.7109375" style="1" customWidth="1"/>
    <col min="5364" max="5365" width="9.140625" style="1" customWidth="1"/>
    <col min="5366" max="5366" width="10.28515625" style="1" customWidth="1"/>
    <col min="5367" max="5373" width="9.140625" style="1" customWidth="1"/>
    <col min="5374" max="5374" width="10.5703125" style="1" bestFit="1" customWidth="1"/>
    <col min="5375" max="5377" width="9.140625" style="1" customWidth="1"/>
    <col min="5378" max="5378" width="10.5703125" style="1" customWidth="1"/>
    <col min="5379" max="5382" width="9.140625" style="1" customWidth="1"/>
    <col min="5383" max="5383" width="9.28515625" style="1" bestFit="1" customWidth="1"/>
    <col min="5384" max="5394" width="9.140625" style="1"/>
    <col min="5395" max="5395" width="10.85546875" style="1" customWidth="1"/>
    <col min="5396" max="5576" width="9.140625" style="1"/>
    <col min="5577" max="5577" width="11.85546875" style="1" bestFit="1" customWidth="1"/>
    <col min="5578" max="5578" width="28.140625" style="1" bestFit="1" customWidth="1"/>
    <col min="5579" max="5579" width="15.7109375" style="1" customWidth="1"/>
    <col min="5580" max="5580" width="9.85546875" style="1" customWidth="1"/>
    <col min="5581" max="5581" width="13.140625" style="1" customWidth="1"/>
    <col min="5582" max="5582" width="9.140625" style="1" customWidth="1"/>
    <col min="5583" max="5583" width="12.28515625" style="1" customWidth="1"/>
    <col min="5584" max="5584" width="10.5703125" style="1" customWidth="1"/>
    <col min="5585" max="5586" width="12.7109375" style="1" customWidth="1"/>
    <col min="5587" max="5599" width="10.5703125" style="1" customWidth="1"/>
    <col min="5600" max="5600" width="11.140625" style="1" customWidth="1"/>
    <col min="5601" max="5612" width="10.5703125" style="1" customWidth="1"/>
    <col min="5613" max="5614" width="9.85546875" style="1" customWidth="1"/>
    <col min="5615" max="5615" width="9.85546875" style="1" bestFit="1" customWidth="1"/>
    <col min="5616" max="5616" width="9.85546875" style="1" customWidth="1"/>
    <col min="5617" max="5617" width="11.140625" style="1" customWidth="1"/>
    <col min="5618" max="5619" width="11.7109375" style="1" customWidth="1"/>
    <col min="5620" max="5621" width="9.140625" style="1" customWidth="1"/>
    <col min="5622" max="5622" width="10.28515625" style="1" customWidth="1"/>
    <col min="5623" max="5629" width="9.140625" style="1" customWidth="1"/>
    <col min="5630" max="5630" width="10.5703125" style="1" bestFit="1" customWidth="1"/>
    <col min="5631" max="5633" width="9.140625" style="1" customWidth="1"/>
    <col min="5634" max="5634" width="10.5703125" style="1" customWidth="1"/>
    <col min="5635" max="5638" width="9.140625" style="1" customWidth="1"/>
    <col min="5639" max="5639" width="9.28515625" style="1" bestFit="1" customWidth="1"/>
    <col min="5640" max="5650" width="9.140625" style="1"/>
    <col min="5651" max="5651" width="10.85546875" style="1" customWidth="1"/>
    <col min="5652" max="5832" width="9.140625" style="1"/>
    <col min="5833" max="5833" width="11.85546875" style="1" bestFit="1" customWidth="1"/>
    <col min="5834" max="5834" width="28.140625" style="1" bestFit="1" customWidth="1"/>
    <col min="5835" max="5835" width="15.7109375" style="1" customWidth="1"/>
    <col min="5836" max="5836" width="9.85546875" style="1" customWidth="1"/>
    <col min="5837" max="5837" width="13.140625" style="1" customWidth="1"/>
    <col min="5838" max="5838" width="9.140625" style="1" customWidth="1"/>
    <col min="5839" max="5839" width="12.28515625" style="1" customWidth="1"/>
    <col min="5840" max="5840" width="10.5703125" style="1" customWidth="1"/>
    <col min="5841" max="5842" width="12.7109375" style="1" customWidth="1"/>
    <col min="5843" max="5855" width="10.5703125" style="1" customWidth="1"/>
    <col min="5856" max="5856" width="11.140625" style="1" customWidth="1"/>
    <col min="5857" max="5868" width="10.5703125" style="1" customWidth="1"/>
    <col min="5869" max="5870" width="9.85546875" style="1" customWidth="1"/>
    <col min="5871" max="5871" width="9.85546875" style="1" bestFit="1" customWidth="1"/>
    <col min="5872" max="5872" width="9.85546875" style="1" customWidth="1"/>
    <col min="5873" max="5873" width="11.140625" style="1" customWidth="1"/>
    <col min="5874" max="5875" width="11.7109375" style="1" customWidth="1"/>
    <col min="5876" max="5877" width="9.140625" style="1" customWidth="1"/>
    <col min="5878" max="5878" width="10.28515625" style="1" customWidth="1"/>
    <col min="5879" max="5885" width="9.140625" style="1" customWidth="1"/>
    <col min="5886" max="5886" width="10.5703125" style="1" bestFit="1" customWidth="1"/>
    <col min="5887" max="5889" width="9.140625" style="1" customWidth="1"/>
    <col min="5890" max="5890" width="10.5703125" style="1" customWidth="1"/>
    <col min="5891" max="5894" width="9.140625" style="1" customWidth="1"/>
    <col min="5895" max="5895" width="9.28515625" style="1" bestFit="1" customWidth="1"/>
    <col min="5896" max="5906" width="9.140625" style="1"/>
    <col min="5907" max="5907" width="10.85546875" style="1" customWidth="1"/>
    <col min="5908" max="6088" width="9.140625" style="1"/>
    <col min="6089" max="6089" width="11.85546875" style="1" bestFit="1" customWidth="1"/>
    <col min="6090" max="6090" width="28.140625" style="1" bestFit="1" customWidth="1"/>
    <col min="6091" max="6091" width="15.7109375" style="1" customWidth="1"/>
    <col min="6092" max="6092" width="9.85546875" style="1" customWidth="1"/>
    <col min="6093" max="6093" width="13.140625" style="1" customWidth="1"/>
    <col min="6094" max="6094" width="9.140625" style="1" customWidth="1"/>
    <col min="6095" max="6095" width="12.28515625" style="1" customWidth="1"/>
    <col min="6096" max="6096" width="10.5703125" style="1" customWidth="1"/>
    <col min="6097" max="6098" width="12.7109375" style="1" customWidth="1"/>
    <col min="6099" max="6111" width="10.5703125" style="1" customWidth="1"/>
    <col min="6112" max="6112" width="11.140625" style="1" customWidth="1"/>
    <col min="6113" max="6124" width="10.5703125" style="1" customWidth="1"/>
    <col min="6125" max="6126" width="9.85546875" style="1" customWidth="1"/>
    <col min="6127" max="6127" width="9.85546875" style="1" bestFit="1" customWidth="1"/>
    <col min="6128" max="6128" width="9.85546875" style="1" customWidth="1"/>
    <col min="6129" max="6129" width="11.140625" style="1" customWidth="1"/>
    <col min="6130" max="6131" width="11.7109375" style="1" customWidth="1"/>
    <col min="6132" max="6133" width="9.140625" style="1" customWidth="1"/>
    <col min="6134" max="6134" width="10.28515625" style="1" customWidth="1"/>
    <col min="6135" max="6141" width="9.140625" style="1" customWidth="1"/>
    <col min="6142" max="6142" width="10.5703125" style="1" bestFit="1" customWidth="1"/>
    <col min="6143" max="6145" width="9.140625" style="1" customWidth="1"/>
    <col min="6146" max="6146" width="10.5703125" style="1" customWidth="1"/>
    <col min="6147" max="6150" width="9.140625" style="1" customWidth="1"/>
    <col min="6151" max="6151" width="9.28515625" style="1" bestFit="1" customWidth="1"/>
    <col min="6152" max="6162" width="9.140625" style="1"/>
    <col min="6163" max="6163" width="10.85546875" style="1" customWidth="1"/>
    <col min="6164" max="6344" width="9.140625" style="1"/>
    <col min="6345" max="6345" width="11.85546875" style="1" bestFit="1" customWidth="1"/>
    <col min="6346" max="6346" width="28.140625" style="1" bestFit="1" customWidth="1"/>
    <col min="6347" max="6347" width="15.7109375" style="1" customWidth="1"/>
    <col min="6348" max="6348" width="9.85546875" style="1" customWidth="1"/>
    <col min="6349" max="6349" width="13.140625" style="1" customWidth="1"/>
    <col min="6350" max="6350" width="9.140625" style="1" customWidth="1"/>
    <col min="6351" max="6351" width="12.28515625" style="1" customWidth="1"/>
    <col min="6352" max="6352" width="10.5703125" style="1" customWidth="1"/>
    <col min="6353" max="6354" width="12.7109375" style="1" customWidth="1"/>
    <col min="6355" max="6367" width="10.5703125" style="1" customWidth="1"/>
    <col min="6368" max="6368" width="11.140625" style="1" customWidth="1"/>
    <col min="6369" max="6380" width="10.5703125" style="1" customWidth="1"/>
    <col min="6381" max="6382" width="9.85546875" style="1" customWidth="1"/>
    <col min="6383" max="6383" width="9.85546875" style="1" bestFit="1" customWidth="1"/>
    <col min="6384" max="6384" width="9.85546875" style="1" customWidth="1"/>
    <col min="6385" max="6385" width="11.140625" style="1" customWidth="1"/>
    <col min="6386" max="6387" width="11.7109375" style="1" customWidth="1"/>
    <col min="6388" max="6389" width="9.140625" style="1" customWidth="1"/>
    <col min="6390" max="6390" width="10.28515625" style="1" customWidth="1"/>
    <col min="6391" max="6397" width="9.140625" style="1" customWidth="1"/>
    <col min="6398" max="6398" width="10.5703125" style="1" bestFit="1" customWidth="1"/>
    <col min="6399" max="6401" width="9.140625" style="1" customWidth="1"/>
    <col min="6402" max="6402" width="10.5703125" style="1" customWidth="1"/>
    <col min="6403" max="6406" width="9.140625" style="1" customWidth="1"/>
    <col min="6407" max="6407" width="9.28515625" style="1" bestFit="1" customWidth="1"/>
    <col min="6408" max="6418" width="9.140625" style="1"/>
    <col min="6419" max="6419" width="10.85546875" style="1" customWidth="1"/>
    <col min="6420" max="6600" width="9.140625" style="1"/>
    <col min="6601" max="6601" width="11.85546875" style="1" bestFit="1" customWidth="1"/>
    <col min="6602" max="6602" width="28.140625" style="1" bestFit="1" customWidth="1"/>
    <col min="6603" max="6603" width="15.7109375" style="1" customWidth="1"/>
    <col min="6604" max="6604" width="9.85546875" style="1" customWidth="1"/>
    <col min="6605" max="6605" width="13.140625" style="1" customWidth="1"/>
    <col min="6606" max="6606" width="9.140625" style="1" customWidth="1"/>
    <col min="6607" max="6607" width="12.28515625" style="1" customWidth="1"/>
    <col min="6608" max="6608" width="10.5703125" style="1" customWidth="1"/>
    <col min="6609" max="6610" width="12.7109375" style="1" customWidth="1"/>
    <col min="6611" max="6623" width="10.5703125" style="1" customWidth="1"/>
    <col min="6624" max="6624" width="11.140625" style="1" customWidth="1"/>
    <col min="6625" max="6636" width="10.5703125" style="1" customWidth="1"/>
    <col min="6637" max="6638" width="9.85546875" style="1" customWidth="1"/>
    <col min="6639" max="6639" width="9.85546875" style="1" bestFit="1" customWidth="1"/>
    <col min="6640" max="6640" width="9.85546875" style="1" customWidth="1"/>
    <col min="6641" max="6641" width="11.140625" style="1" customWidth="1"/>
    <col min="6642" max="6643" width="11.7109375" style="1" customWidth="1"/>
    <col min="6644" max="6645" width="9.140625" style="1" customWidth="1"/>
    <col min="6646" max="6646" width="10.28515625" style="1" customWidth="1"/>
    <col min="6647" max="6653" width="9.140625" style="1" customWidth="1"/>
    <col min="6654" max="6654" width="10.5703125" style="1" bestFit="1" customWidth="1"/>
    <col min="6655" max="6657" width="9.140625" style="1" customWidth="1"/>
    <col min="6658" max="6658" width="10.5703125" style="1" customWidth="1"/>
    <col min="6659" max="6662" width="9.140625" style="1" customWidth="1"/>
    <col min="6663" max="6663" width="9.28515625" style="1" bestFit="1" customWidth="1"/>
    <col min="6664" max="6674" width="9.140625" style="1"/>
    <col min="6675" max="6675" width="10.85546875" style="1" customWidth="1"/>
    <col min="6676" max="6856" width="9.140625" style="1"/>
    <col min="6857" max="6857" width="11.85546875" style="1" bestFit="1" customWidth="1"/>
    <col min="6858" max="6858" width="28.140625" style="1" bestFit="1" customWidth="1"/>
    <col min="6859" max="6859" width="15.7109375" style="1" customWidth="1"/>
    <col min="6860" max="6860" width="9.85546875" style="1" customWidth="1"/>
    <col min="6861" max="6861" width="13.140625" style="1" customWidth="1"/>
    <col min="6862" max="6862" width="9.140625" style="1" customWidth="1"/>
    <col min="6863" max="6863" width="12.28515625" style="1" customWidth="1"/>
    <col min="6864" max="6864" width="10.5703125" style="1" customWidth="1"/>
    <col min="6865" max="6866" width="12.7109375" style="1" customWidth="1"/>
    <col min="6867" max="6879" width="10.5703125" style="1" customWidth="1"/>
    <col min="6880" max="6880" width="11.140625" style="1" customWidth="1"/>
    <col min="6881" max="6892" width="10.5703125" style="1" customWidth="1"/>
    <col min="6893" max="6894" width="9.85546875" style="1" customWidth="1"/>
    <col min="6895" max="6895" width="9.85546875" style="1" bestFit="1" customWidth="1"/>
    <col min="6896" max="6896" width="9.85546875" style="1" customWidth="1"/>
    <col min="6897" max="6897" width="11.140625" style="1" customWidth="1"/>
    <col min="6898" max="6899" width="11.7109375" style="1" customWidth="1"/>
    <col min="6900" max="6901" width="9.140625" style="1" customWidth="1"/>
    <col min="6902" max="6902" width="10.28515625" style="1" customWidth="1"/>
    <col min="6903" max="6909" width="9.140625" style="1" customWidth="1"/>
    <col min="6910" max="6910" width="10.5703125" style="1" bestFit="1" customWidth="1"/>
    <col min="6911" max="6913" width="9.140625" style="1" customWidth="1"/>
    <col min="6914" max="6914" width="10.5703125" style="1" customWidth="1"/>
    <col min="6915" max="6918" width="9.140625" style="1" customWidth="1"/>
    <col min="6919" max="6919" width="9.28515625" style="1" bestFit="1" customWidth="1"/>
    <col min="6920" max="6930" width="9.140625" style="1"/>
    <col min="6931" max="6931" width="10.85546875" style="1" customWidth="1"/>
    <col min="6932" max="7112" width="9.140625" style="1"/>
    <col min="7113" max="7113" width="11.85546875" style="1" bestFit="1" customWidth="1"/>
    <col min="7114" max="7114" width="28.140625" style="1" bestFit="1" customWidth="1"/>
    <col min="7115" max="7115" width="15.7109375" style="1" customWidth="1"/>
    <col min="7116" max="7116" width="9.85546875" style="1" customWidth="1"/>
    <col min="7117" max="7117" width="13.140625" style="1" customWidth="1"/>
    <col min="7118" max="7118" width="9.140625" style="1" customWidth="1"/>
    <col min="7119" max="7119" width="12.28515625" style="1" customWidth="1"/>
    <col min="7120" max="7120" width="10.5703125" style="1" customWidth="1"/>
    <col min="7121" max="7122" width="12.7109375" style="1" customWidth="1"/>
    <col min="7123" max="7135" width="10.5703125" style="1" customWidth="1"/>
    <col min="7136" max="7136" width="11.140625" style="1" customWidth="1"/>
    <col min="7137" max="7148" width="10.5703125" style="1" customWidth="1"/>
    <col min="7149" max="7150" width="9.85546875" style="1" customWidth="1"/>
    <col min="7151" max="7151" width="9.85546875" style="1" bestFit="1" customWidth="1"/>
    <col min="7152" max="7152" width="9.85546875" style="1" customWidth="1"/>
    <col min="7153" max="7153" width="11.140625" style="1" customWidth="1"/>
    <col min="7154" max="7155" width="11.7109375" style="1" customWidth="1"/>
    <col min="7156" max="7157" width="9.140625" style="1" customWidth="1"/>
    <col min="7158" max="7158" width="10.28515625" style="1" customWidth="1"/>
    <col min="7159" max="7165" width="9.140625" style="1" customWidth="1"/>
    <col min="7166" max="7166" width="10.5703125" style="1" bestFit="1" customWidth="1"/>
    <col min="7167" max="7169" width="9.140625" style="1" customWidth="1"/>
    <col min="7170" max="7170" width="10.5703125" style="1" customWidth="1"/>
    <col min="7171" max="7174" width="9.140625" style="1" customWidth="1"/>
    <col min="7175" max="7175" width="9.28515625" style="1" bestFit="1" customWidth="1"/>
    <col min="7176" max="7186" width="9.140625" style="1"/>
    <col min="7187" max="7187" width="10.85546875" style="1" customWidth="1"/>
    <col min="7188" max="7368" width="9.140625" style="1"/>
    <col min="7369" max="7369" width="11.85546875" style="1" bestFit="1" customWidth="1"/>
    <col min="7370" max="7370" width="28.140625" style="1" bestFit="1" customWidth="1"/>
    <col min="7371" max="7371" width="15.7109375" style="1" customWidth="1"/>
    <col min="7372" max="7372" width="9.85546875" style="1" customWidth="1"/>
    <col min="7373" max="7373" width="13.140625" style="1" customWidth="1"/>
    <col min="7374" max="7374" width="9.140625" style="1" customWidth="1"/>
    <col min="7375" max="7375" width="12.28515625" style="1" customWidth="1"/>
    <col min="7376" max="7376" width="10.5703125" style="1" customWidth="1"/>
    <col min="7377" max="7378" width="12.7109375" style="1" customWidth="1"/>
    <col min="7379" max="7391" width="10.5703125" style="1" customWidth="1"/>
    <col min="7392" max="7392" width="11.140625" style="1" customWidth="1"/>
    <col min="7393" max="7404" width="10.5703125" style="1" customWidth="1"/>
    <col min="7405" max="7406" width="9.85546875" style="1" customWidth="1"/>
    <col min="7407" max="7407" width="9.85546875" style="1" bestFit="1" customWidth="1"/>
    <col min="7408" max="7408" width="9.85546875" style="1" customWidth="1"/>
    <col min="7409" max="7409" width="11.140625" style="1" customWidth="1"/>
    <col min="7410" max="7411" width="11.7109375" style="1" customWidth="1"/>
    <col min="7412" max="7413" width="9.140625" style="1" customWidth="1"/>
    <col min="7414" max="7414" width="10.28515625" style="1" customWidth="1"/>
    <col min="7415" max="7421" width="9.140625" style="1" customWidth="1"/>
    <col min="7422" max="7422" width="10.5703125" style="1" bestFit="1" customWidth="1"/>
    <col min="7423" max="7425" width="9.140625" style="1" customWidth="1"/>
    <col min="7426" max="7426" width="10.5703125" style="1" customWidth="1"/>
    <col min="7427" max="7430" width="9.140625" style="1" customWidth="1"/>
    <col min="7431" max="7431" width="9.28515625" style="1" bestFit="1" customWidth="1"/>
    <col min="7432" max="7442" width="9.140625" style="1"/>
    <col min="7443" max="7443" width="10.85546875" style="1" customWidth="1"/>
    <col min="7444" max="7624" width="9.140625" style="1"/>
    <col min="7625" max="7625" width="11.85546875" style="1" bestFit="1" customWidth="1"/>
    <col min="7626" max="7626" width="28.140625" style="1" bestFit="1" customWidth="1"/>
    <col min="7627" max="7627" width="15.7109375" style="1" customWidth="1"/>
    <col min="7628" max="7628" width="9.85546875" style="1" customWidth="1"/>
    <col min="7629" max="7629" width="13.140625" style="1" customWidth="1"/>
    <col min="7630" max="7630" width="9.140625" style="1" customWidth="1"/>
    <col min="7631" max="7631" width="12.28515625" style="1" customWidth="1"/>
    <col min="7632" max="7632" width="10.5703125" style="1" customWidth="1"/>
    <col min="7633" max="7634" width="12.7109375" style="1" customWidth="1"/>
    <col min="7635" max="7647" width="10.5703125" style="1" customWidth="1"/>
    <col min="7648" max="7648" width="11.140625" style="1" customWidth="1"/>
    <col min="7649" max="7660" width="10.5703125" style="1" customWidth="1"/>
    <col min="7661" max="7662" width="9.85546875" style="1" customWidth="1"/>
    <col min="7663" max="7663" width="9.85546875" style="1" bestFit="1" customWidth="1"/>
    <col min="7664" max="7664" width="9.85546875" style="1" customWidth="1"/>
    <col min="7665" max="7665" width="11.140625" style="1" customWidth="1"/>
    <col min="7666" max="7667" width="11.7109375" style="1" customWidth="1"/>
    <col min="7668" max="7669" width="9.140625" style="1" customWidth="1"/>
    <col min="7670" max="7670" width="10.28515625" style="1" customWidth="1"/>
    <col min="7671" max="7677" width="9.140625" style="1" customWidth="1"/>
    <col min="7678" max="7678" width="10.5703125" style="1" bestFit="1" customWidth="1"/>
    <col min="7679" max="7681" width="9.140625" style="1" customWidth="1"/>
    <col min="7682" max="7682" width="10.5703125" style="1" customWidth="1"/>
    <col min="7683" max="7686" width="9.140625" style="1" customWidth="1"/>
    <col min="7687" max="7687" width="9.28515625" style="1" bestFit="1" customWidth="1"/>
    <col min="7688" max="7698" width="9.140625" style="1"/>
    <col min="7699" max="7699" width="10.85546875" style="1" customWidth="1"/>
    <col min="7700" max="7880" width="9.140625" style="1"/>
    <col min="7881" max="7881" width="11.85546875" style="1" bestFit="1" customWidth="1"/>
    <col min="7882" max="7882" width="28.140625" style="1" bestFit="1" customWidth="1"/>
    <col min="7883" max="7883" width="15.7109375" style="1" customWidth="1"/>
    <col min="7884" max="7884" width="9.85546875" style="1" customWidth="1"/>
    <col min="7885" max="7885" width="13.140625" style="1" customWidth="1"/>
    <col min="7886" max="7886" width="9.140625" style="1" customWidth="1"/>
    <col min="7887" max="7887" width="12.28515625" style="1" customWidth="1"/>
    <col min="7888" max="7888" width="10.5703125" style="1" customWidth="1"/>
    <col min="7889" max="7890" width="12.7109375" style="1" customWidth="1"/>
    <col min="7891" max="7903" width="10.5703125" style="1" customWidth="1"/>
    <col min="7904" max="7904" width="11.140625" style="1" customWidth="1"/>
    <col min="7905" max="7916" width="10.5703125" style="1" customWidth="1"/>
    <col min="7917" max="7918" width="9.85546875" style="1" customWidth="1"/>
    <col min="7919" max="7919" width="9.85546875" style="1" bestFit="1" customWidth="1"/>
    <col min="7920" max="7920" width="9.85546875" style="1" customWidth="1"/>
    <col min="7921" max="7921" width="11.140625" style="1" customWidth="1"/>
    <col min="7922" max="7923" width="11.7109375" style="1" customWidth="1"/>
    <col min="7924" max="7925" width="9.140625" style="1" customWidth="1"/>
    <col min="7926" max="7926" width="10.28515625" style="1" customWidth="1"/>
    <col min="7927" max="7933" width="9.140625" style="1" customWidth="1"/>
    <col min="7934" max="7934" width="10.5703125" style="1" bestFit="1" customWidth="1"/>
    <col min="7935" max="7937" width="9.140625" style="1" customWidth="1"/>
    <col min="7938" max="7938" width="10.5703125" style="1" customWidth="1"/>
    <col min="7939" max="7942" width="9.140625" style="1" customWidth="1"/>
    <col min="7943" max="7943" width="9.28515625" style="1" bestFit="1" customWidth="1"/>
    <col min="7944" max="7954" width="9.140625" style="1"/>
    <col min="7955" max="7955" width="10.85546875" style="1" customWidth="1"/>
    <col min="7956" max="8136" width="9.140625" style="1"/>
    <col min="8137" max="8137" width="11.85546875" style="1" bestFit="1" customWidth="1"/>
    <col min="8138" max="8138" width="28.140625" style="1" bestFit="1" customWidth="1"/>
    <col min="8139" max="8139" width="15.7109375" style="1" customWidth="1"/>
    <col min="8140" max="8140" width="9.85546875" style="1" customWidth="1"/>
    <col min="8141" max="8141" width="13.140625" style="1" customWidth="1"/>
    <col min="8142" max="8142" width="9.140625" style="1" customWidth="1"/>
    <col min="8143" max="8143" width="12.28515625" style="1" customWidth="1"/>
    <col min="8144" max="8144" width="10.5703125" style="1" customWidth="1"/>
    <col min="8145" max="8146" width="12.7109375" style="1" customWidth="1"/>
    <col min="8147" max="8159" width="10.5703125" style="1" customWidth="1"/>
    <col min="8160" max="8160" width="11.140625" style="1" customWidth="1"/>
    <col min="8161" max="8172" width="10.5703125" style="1" customWidth="1"/>
    <col min="8173" max="8174" width="9.85546875" style="1" customWidth="1"/>
    <col min="8175" max="8175" width="9.85546875" style="1" bestFit="1" customWidth="1"/>
    <col min="8176" max="8176" width="9.85546875" style="1" customWidth="1"/>
    <col min="8177" max="8177" width="11.140625" style="1" customWidth="1"/>
    <col min="8178" max="8179" width="11.7109375" style="1" customWidth="1"/>
    <col min="8180" max="8181" width="9.140625" style="1" customWidth="1"/>
    <col min="8182" max="8182" width="10.28515625" style="1" customWidth="1"/>
    <col min="8183" max="8189" width="9.140625" style="1" customWidth="1"/>
    <col min="8190" max="8190" width="10.5703125" style="1" bestFit="1" customWidth="1"/>
    <col min="8191" max="8193" width="9.140625" style="1" customWidth="1"/>
    <col min="8194" max="8194" width="10.5703125" style="1" customWidth="1"/>
    <col min="8195" max="8198" width="9.140625" style="1" customWidth="1"/>
    <col min="8199" max="8199" width="9.28515625" style="1" bestFit="1" customWidth="1"/>
    <col min="8200" max="8210" width="9.140625" style="1"/>
    <col min="8211" max="8211" width="10.85546875" style="1" customWidth="1"/>
    <col min="8212" max="8392" width="9.140625" style="1"/>
    <col min="8393" max="8393" width="11.85546875" style="1" bestFit="1" customWidth="1"/>
    <col min="8394" max="8394" width="28.140625" style="1" bestFit="1" customWidth="1"/>
    <col min="8395" max="8395" width="15.7109375" style="1" customWidth="1"/>
    <col min="8396" max="8396" width="9.85546875" style="1" customWidth="1"/>
    <col min="8397" max="8397" width="13.140625" style="1" customWidth="1"/>
    <col min="8398" max="8398" width="9.140625" style="1" customWidth="1"/>
    <col min="8399" max="8399" width="12.28515625" style="1" customWidth="1"/>
    <col min="8400" max="8400" width="10.5703125" style="1" customWidth="1"/>
    <col min="8401" max="8402" width="12.7109375" style="1" customWidth="1"/>
    <col min="8403" max="8415" width="10.5703125" style="1" customWidth="1"/>
    <col min="8416" max="8416" width="11.140625" style="1" customWidth="1"/>
    <col min="8417" max="8428" width="10.5703125" style="1" customWidth="1"/>
    <col min="8429" max="8430" width="9.85546875" style="1" customWidth="1"/>
    <col min="8431" max="8431" width="9.85546875" style="1" bestFit="1" customWidth="1"/>
    <col min="8432" max="8432" width="9.85546875" style="1" customWidth="1"/>
    <col min="8433" max="8433" width="11.140625" style="1" customWidth="1"/>
    <col min="8434" max="8435" width="11.7109375" style="1" customWidth="1"/>
    <col min="8436" max="8437" width="9.140625" style="1" customWidth="1"/>
    <col min="8438" max="8438" width="10.28515625" style="1" customWidth="1"/>
    <col min="8439" max="8445" width="9.140625" style="1" customWidth="1"/>
    <col min="8446" max="8446" width="10.5703125" style="1" bestFit="1" customWidth="1"/>
    <col min="8447" max="8449" width="9.140625" style="1" customWidth="1"/>
    <col min="8450" max="8450" width="10.5703125" style="1" customWidth="1"/>
    <col min="8451" max="8454" width="9.140625" style="1" customWidth="1"/>
    <col min="8455" max="8455" width="9.28515625" style="1" bestFit="1" customWidth="1"/>
    <col min="8456" max="8466" width="9.140625" style="1"/>
    <col min="8467" max="8467" width="10.85546875" style="1" customWidth="1"/>
    <col min="8468" max="8648" width="9.140625" style="1"/>
    <col min="8649" max="8649" width="11.85546875" style="1" bestFit="1" customWidth="1"/>
    <col min="8650" max="8650" width="28.140625" style="1" bestFit="1" customWidth="1"/>
    <col min="8651" max="8651" width="15.7109375" style="1" customWidth="1"/>
    <col min="8652" max="8652" width="9.85546875" style="1" customWidth="1"/>
    <col min="8653" max="8653" width="13.140625" style="1" customWidth="1"/>
    <col min="8654" max="8654" width="9.140625" style="1" customWidth="1"/>
    <col min="8655" max="8655" width="12.28515625" style="1" customWidth="1"/>
    <col min="8656" max="8656" width="10.5703125" style="1" customWidth="1"/>
    <col min="8657" max="8658" width="12.7109375" style="1" customWidth="1"/>
    <col min="8659" max="8671" width="10.5703125" style="1" customWidth="1"/>
    <col min="8672" max="8672" width="11.140625" style="1" customWidth="1"/>
    <col min="8673" max="8684" width="10.5703125" style="1" customWidth="1"/>
    <col min="8685" max="8686" width="9.85546875" style="1" customWidth="1"/>
    <col min="8687" max="8687" width="9.85546875" style="1" bestFit="1" customWidth="1"/>
    <col min="8688" max="8688" width="9.85546875" style="1" customWidth="1"/>
    <col min="8689" max="8689" width="11.140625" style="1" customWidth="1"/>
    <col min="8690" max="8691" width="11.7109375" style="1" customWidth="1"/>
    <col min="8692" max="8693" width="9.140625" style="1" customWidth="1"/>
    <col min="8694" max="8694" width="10.28515625" style="1" customWidth="1"/>
    <col min="8695" max="8701" width="9.140625" style="1" customWidth="1"/>
    <col min="8702" max="8702" width="10.5703125" style="1" bestFit="1" customWidth="1"/>
    <col min="8703" max="8705" width="9.140625" style="1" customWidth="1"/>
    <col min="8706" max="8706" width="10.5703125" style="1" customWidth="1"/>
    <col min="8707" max="8710" width="9.140625" style="1" customWidth="1"/>
    <col min="8711" max="8711" width="9.28515625" style="1" bestFit="1" customWidth="1"/>
    <col min="8712" max="8722" width="9.140625" style="1"/>
    <col min="8723" max="8723" width="10.85546875" style="1" customWidth="1"/>
    <col min="8724" max="8904" width="9.140625" style="1"/>
    <col min="8905" max="8905" width="11.85546875" style="1" bestFit="1" customWidth="1"/>
    <col min="8906" max="8906" width="28.140625" style="1" bestFit="1" customWidth="1"/>
    <col min="8907" max="8907" width="15.7109375" style="1" customWidth="1"/>
    <col min="8908" max="8908" width="9.85546875" style="1" customWidth="1"/>
    <col min="8909" max="8909" width="13.140625" style="1" customWidth="1"/>
    <col min="8910" max="8910" width="9.140625" style="1" customWidth="1"/>
    <col min="8911" max="8911" width="12.28515625" style="1" customWidth="1"/>
    <col min="8912" max="8912" width="10.5703125" style="1" customWidth="1"/>
    <col min="8913" max="8914" width="12.7109375" style="1" customWidth="1"/>
    <col min="8915" max="8927" width="10.5703125" style="1" customWidth="1"/>
    <col min="8928" max="8928" width="11.140625" style="1" customWidth="1"/>
    <col min="8929" max="8940" width="10.5703125" style="1" customWidth="1"/>
    <col min="8941" max="8942" width="9.85546875" style="1" customWidth="1"/>
    <col min="8943" max="8943" width="9.85546875" style="1" bestFit="1" customWidth="1"/>
    <col min="8944" max="8944" width="9.85546875" style="1" customWidth="1"/>
    <col min="8945" max="8945" width="11.140625" style="1" customWidth="1"/>
    <col min="8946" max="8947" width="11.7109375" style="1" customWidth="1"/>
    <col min="8948" max="8949" width="9.140625" style="1" customWidth="1"/>
    <col min="8950" max="8950" width="10.28515625" style="1" customWidth="1"/>
    <col min="8951" max="8957" width="9.140625" style="1" customWidth="1"/>
    <col min="8958" max="8958" width="10.5703125" style="1" bestFit="1" customWidth="1"/>
    <col min="8959" max="8961" width="9.140625" style="1" customWidth="1"/>
    <col min="8962" max="8962" width="10.5703125" style="1" customWidth="1"/>
    <col min="8963" max="8966" width="9.140625" style="1" customWidth="1"/>
    <col min="8967" max="8967" width="9.28515625" style="1" bestFit="1" customWidth="1"/>
    <col min="8968" max="8978" width="9.140625" style="1"/>
    <col min="8979" max="8979" width="10.85546875" style="1" customWidth="1"/>
    <col min="8980" max="9160" width="9.140625" style="1"/>
    <col min="9161" max="9161" width="11.85546875" style="1" bestFit="1" customWidth="1"/>
    <col min="9162" max="9162" width="28.140625" style="1" bestFit="1" customWidth="1"/>
    <col min="9163" max="9163" width="15.7109375" style="1" customWidth="1"/>
    <col min="9164" max="9164" width="9.85546875" style="1" customWidth="1"/>
    <col min="9165" max="9165" width="13.140625" style="1" customWidth="1"/>
    <col min="9166" max="9166" width="9.140625" style="1" customWidth="1"/>
    <col min="9167" max="9167" width="12.28515625" style="1" customWidth="1"/>
    <col min="9168" max="9168" width="10.5703125" style="1" customWidth="1"/>
    <col min="9169" max="9170" width="12.7109375" style="1" customWidth="1"/>
    <col min="9171" max="9183" width="10.5703125" style="1" customWidth="1"/>
    <col min="9184" max="9184" width="11.140625" style="1" customWidth="1"/>
    <col min="9185" max="9196" width="10.5703125" style="1" customWidth="1"/>
    <col min="9197" max="9198" width="9.85546875" style="1" customWidth="1"/>
    <col min="9199" max="9199" width="9.85546875" style="1" bestFit="1" customWidth="1"/>
    <col min="9200" max="9200" width="9.85546875" style="1" customWidth="1"/>
    <col min="9201" max="9201" width="11.140625" style="1" customWidth="1"/>
    <col min="9202" max="9203" width="11.7109375" style="1" customWidth="1"/>
    <col min="9204" max="9205" width="9.140625" style="1" customWidth="1"/>
    <col min="9206" max="9206" width="10.28515625" style="1" customWidth="1"/>
    <col min="9207" max="9213" width="9.140625" style="1" customWidth="1"/>
    <col min="9214" max="9214" width="10.5703125" style="1" bestFit="1" customWidth="1"/>
    <col min="9215" max="9217" width="9.140625" style="1" customWidth="1"/>
    <col min="9218" max="9218" width="10.5703125" style="1" customWidth="1"/>
    <col min="9219" max="9222" width="9.140625" style="1" customWidth="1"/>
    <col min="9223" max="9223" width="9.28515625" style="1" bestFit="1" customWidth="1"/>
    <col min="9224" max="9234" width="9.140625" style="1"/>
    <col min="9235" max="9235" width="10.85546875" style="1" customWidth="1"/>
    <col min="9236" max="9416" width="9.140625" style="1"/>
    <col min="9417" max="9417" width="11.85546875" style="1" bestFit="1" customWidth="1"/>
    <col min="9418" max="9418" width="28.140625" style="1" bestFit="1" customWidth="1"/>
    <col min="9419" max="9419" width="15.7109375" style="1" customWidth="1"/>
    <col min="9420" max="9420" width="9.85546875" style="1" customWidth="1"/>
    <col min="9421" max="9421" width="13.140625" style="1" customWidth="1"/>
    <col min="9422" max="9422" width="9.140625" style="1" customWidth="1"/>
    <col min="9423" max="9423" width="12.28515625" style="1" customWidth="1"/>
    <col min="9424" max="9424" width="10.5703125" style="1" customWidth="1"/>
    <col min="9425" max="9426" width="12.7109375" style="1" customWidth="1"/>
    <col min="9427" max="9439" width="10.5703125" style="1" customWidth="1"/>
    <col min="9440" max="9440" width="11.140625" style="1" customWidth="1"/>
    <col min="9441" max="9452" width="10.5703125" style="1" customWidth="1"/>
    <col min="9453" max="9454" width="9.85546875" style="1" customWidth="1"/>
    <col min="9455" max="9455" width="9.85546875" style="1" bestFit="1" customWidth="1"/>
    <col min="9456" max="9456" width="9.85546875" style="1" customWidth="1"/>
    <col min="9457" max="9457" width="11.140625" style="1" customWidth="1"/>
    <col min="9458" max="9459" width="11.7109375" style="1" customWidth="1"/>
    <col min="9460" max="9461" width="9.140625" style="1" customWidth="1"/>
    <col min="9462" max="9462" width="10.28515625" style="1" customWidth="1"/>
    <col min="9463" max="9469" width="9.140625" style="1" customWidth="1"/>
    <col min="9470" max="9470" width="10.5703125" style="1" bestFit="1" customWidth="1"/>
    <col min="9471" max="9473" width="9.140625" style="1" customWidth="1"/>
    <col min="9474" max="9474" width="10.5703125" style="1" customWidth="1"/>
    <col min="9475" max="9478" width="9.140625" style="1" customWidth="1"/>
    <col min="9479" max="9479" width="9.28515625" style="1" bestFit="1" customWidth="1"/>
    <col min="9480" max="9490" width="9.140625" style="1"/>
    <col min="9491" max="9491" width="10.85546875" style="1" customWidth="1"/>
    <col min="9492" max="9672" width="9.140625" style="1"/>
    <col min="9673" max="9673" width="11.85546875" style="1" bestFit="1" customWidth="1"/>
    <col min="9674" max="9674" width="28.140625" style="1" bestFit="1" customWidth="1"/>
    <col min="9675" max="9675" width="15.7109375" style="1" customWidth="1"/>
    <col min="9676" max="9676" width="9.85546875" style="1" customWidth="1"/>
    <col min="9677" max="9677" width="13.140625" style="1" customWidth="1"/>
    <col min="9678" max="9678" width="9.140625" style="1" customWidth="1"/>
    <col min="9679" max="9679" width="12.28515625" style="1" customWidth="1"/>
    <col min="9680" max="9680" width="10.5703125" style="1" customWidth="1"/>
    <col min="9681" max="9682" width="12.7109375" style="1" customWidth="1"/>
    <col min="9683" max="9695" width="10.5703125" style="1" customWidth="1"/>
    <col min="9696" max="9696" width="11.140625" style="1" customWidth="1"/>
    <col min="9697" max="9708" width="10.5703125" style="1" customWidth="1"/>
    <col min="9709" max="9710" width="9.85546875" style="1" customWidth="1"/>
    <col min="9711" max="9711" width="9.85546875" style="1" bestFit="1" customWidth="1"/>
    <col min="9712" max="9712" width="9.85546875" style="1" customWidth="1"/>
    <col min="9713" max="9713" width="11.140625" style="1" customWidth="1"/>
    <col min="9714" max="9715" width="11.7109375" style="1" customWidth="1"/>
    <col min="9716" max="9717" width="9.140625" style="1" customWidth="1"/>
    <col min="9718" max="9718" width="10.28515625" style="1" customWidth="1"/>
    <col min="9719" max="9725" width="9.140625" style="1" customWidth="1"/>
    <col min="9726" max="9726" width="10.5703125" style="1" bestFit="1" customWidth="1"/>
    <col min="9727" max="9729" width="9.140625" style="1" customWidth="1"/>
    <col min="9730" max="9730" width="10.5703125" style="1" customWidth="1"/>
    <col min="9731" max="9734" width="9.140625" style="1" customWidth="1"/>
    <col min="9735" max="9735" width="9.28515625" style="1" bestFit="1" customWidth="1"/>
    <col min="9736" max="9746" width="9.140625" style="1"/>
    <col min="9747" max="9747" width="10.85546875" style="1" customWidth="1"/>
    <col min="9748" max="9928" width="9.140625" style="1"/>
    <col min="9929" max="9929" width="11.85546875" style="1" bestFit="1" customWidth="1"/>
    <col min="9930" max="9930" width="28.140625" style="1" bestFit="1" customWidth="1"/>
    <col min="9931" max="9931" width="15.7109375" style="1" customWidth="1"/>
    <col min="9932" max="9932" width="9.85546875" style="1" customWidth="1"/>
    <col min="9933" max="9933" width="13.140625" style="1" customWidth="1"/>
    <col min="9934" max="9934" width="9.140625" style="1" customWidth="1"/>
    <col min="9935" max="9935" width="12.28515625" style="1" customWidth="1"/>
    <col min="9936" max="9936" width="10.5703125" style="1" customWidth="1"/>
    <col min="9937" max="9938" width="12.7109375" style="1" customWidth="1"/>
    <col min="9939" max="9951" width="10.5703125" style="1" customWidth="1"/>
    <col min="9952" max="9952" width="11.140625" style="1" customWidth="1"/>
    <col min="9953" max="9964" width="10.5703125" style="1" customWidth="1"/>
    <col min="9965" max="9966" width="9.85546875" style="1" customWidth="1"/>
    <col min="9967" max="9967" width="9.85546875" style="1" bestFit="1" customWidth="1"/>
    <col min="9968" max="9968" width="9.85546875" style="1" customWidth="1"/>
    <col min="9969" max="9969" width="11.140625" style="1" customWidth="1"/>
    <col min="9970" max="9971" width="11.7109375" style="1" customWidth="1"/>
    <col min="9972" max="9973" width="9.140625" style="1" customWidth="1"/>
    <col min="9974" max="9974" width="10.28515625" style="1" customWidth="1"/>
    <col min="9975" max="9981" width="9.140625" style="1" customWidth="1"/>
    <col min="9982" max="9982" width="10.5703125" style="1" bestFit="1" customWidth="1"/>
    <col min="9983" max="9985" width="9.140625" style="1" customWidth="1"/>
    <col min="9986" max="9986" width="10.5703125" style="1" customWidth="1"/>
    <col min="9987" max="9990" width="9.140625" style="1" customWidth="1"/>
    <col min="9991" max="9991" width="9.28515625" style="1" bestFit="1" customWidth="1"/>
    <col min="9992" max="10002" width="9.140625" style="1"/>
    <col min="10003" max="10003" width="10.85546875" style="1" customWidth="1"/>
    <col min="10004" max="10184" width="9.140625" style="1"/>
    <col min="10185" max="10185" width="11.85546875" style="1" bestFit="1" customWidth="1"/>
    <col min="10186" max="10186" width="28.140625" style="1" bestFit="1" customWidth="1"/>
    <col min="10187" max="10187" width="15.7109375" style="1" customWidth="1"/>
    <col min="10188" max="10188" width="9.85546875" style="1" customWidth="1"/>
    <col min="10189" max="10189" width="13.140625" style="1" customWidth="1"/>
    <col min="10190" max="10190" width="9.140625" style="1" customWidth="1"/>
    <col min="10191" max="10191" width="12.28515625" style="1" customWidth="1"/>
    <col min="10192" max="10192" width="10.5703125" style="1" customWidth="1"/>
    <col min="10193" max="10194" width="12.7109375" style="1" customWidth="1"/>
    <col min="10195" max="10207" width="10.5703125" style="1" customWidth="1"/>
    <col min="10208" max="10208" width="11.140625" style="1" customWidth="1"/>
    <col min="10209" max="10220" width="10.5703125" style="1" customWidth="1"/>
    <col min="10221" max="10222" width="9.85546875" style="1" customWidth="1"/>
    <col min="10223" max="10223" width="9.85546875" style="1" bestFit="1" customWidth="1"/>
    <col min="10224" max="10224" width="9.85546875" style="1" customWidth="1"/>
    <col min="10225" max="10225" width="11.140625" style="1" customWidth="1"/>
    <col min="10226" max="10227" width="11.7109375" style="1" customWidth="1"/>
    <col min="10228" max="10229" width="9.140625" style="1" customWidth="1"/>
    <col min="10230" max="10230" width="10.28515625" style="1" customWidth="1"/>
    <col min="10231" max="10237" width="9.140625" style="1" customWidth="1"/>
    <col min="10238" max="10238" width="10.5703125" style="1" bestFit="1" customWidth="1"/>
    <col min="10239" max="10241" width="9.140625" style="1" customWidth="1"/>
    <col min="10242" max="10242" width="10.5703125" style="1" customWidth="1"/>
    <col min="10243" max="10246" width="9.140625" style="1" customWidth="1"/>
    <col min="10247" max="10247" width="9.28515625" style="1" bestFit="1" customWidth="1"/>
    <col min="10248" max="10258" width="9.140625" style="1"/>
    <col min="10259" max="10259" width="10.85546875" style="1" customWidth="1"/>
    <col min="10260" max="10440" width="9.140625" style="1"/>
    <col min="10441" max="10441" width="11.85546875" style="1" bestFit="1" customWidth="1"/>
    <col min="10442" max="10442" width="28.140625" style="1" bestFit="1" customWidth="1"/>
    <col min="10443" max="10443" width="15.7109375" style="1" customWidth="1"/>
    <col min="10444" max="10444" width="9.85546875" style="1" customWidth="1"/>
    <col min="10445" max="10445" width="13.140625" style="1" customWidth="1"/>
    <col min="10446" max="10446" width="9.140625" style="1" customWidth="1"/>
    <col min="10447" max="10447" width="12.28515625" style="1" customWidth="1"/>
    <col min="10448" max="10448" width="10.5703125" style="1" customWidth="1"/>
    <col min="10449" max="10450" width="12.7109375" style="1" customWidth="1"/>
    <col min="10451" max="10463" width="10.5703125" style="1" customWidth="1"/>
    <col min="10464" max="10464" width="11.140625" style="1" customWidth="1"/>
    <col min="10465" max="10476" width="10.5703125" style="1" customWidth="1"/>
    <col min="10477" max="10478" width="9.85546875" style="1" customWidth="1"/>
    <col min="10479" max="10479" width="9.85546875" style="1" bestFit="1" customWidth="1"/>
    <col min="10480" max="10480" width="9.85546875" style="1" customWidth="1"/>
    <col min="10481" max="10481" width="11.140625" style="1" customWidth="1"/>
    <col min="10482" max="10483" width="11.7109375" style="1" customWidth="1"/>
    <col min="10484" max="10485" width="9.140625" style="1" customWidth="1"/>
    <col min="10486" max="10486" width="10.28515625" style="1" customWidth="1"/>
    <col min="10487" max="10493" width="9.140625" style="1" customWidth="1"/>
    <col min="10494" max="10494" width="10.5703125" style="1" bestFit="1" customWidth="1"/>
    <col min="10495" max="10497" width="9.140625" style="1" customWidth="1"/>
    <col min="10498" max="10498" width="10.5703125" style="1" customWidth="1"/>
    <col min="10499" max="10502" width="9.140625" style="1" customWidth="1"/>
    <col min="10503" max="10503" width="9.28515625" style="1" bestFit="1" customWidth="1"/>
    <col min="10504" max="10514" width="9.140625" style="1"/>
    <col min="10515" max="10515" width="10.85546875" style="1" customWidth="1"/>
    <col min="10516" max="10696" width="9.140625" style="1"/>
    <col min="10697" max="10697" width="11.85546875" style="1" bestFit="1" customWidth="1"/>
    <col min="10698" max="10698" width="28.140625" style="1" bestFit="1" customWidth="1"/>
    <col min="10699" max="10699" width="15.7109375" style="1" customWidth="1"/>
    <col min="10700" max="10700" width="9.85546875" style="1" customWidth="1"/>
    <col min="10701" max="10701" width="13.140625" style="1" customWidth="1"/>
    <col min="10702" max="10702" width="9.140625" style="1" customWidth="1"/>
    <col min="10703" max="10703" width="12.28515625" style="1" customWidth="1"/>
    <col min="10704" max="10704" width="10.5703125" style="1" customWidth="1"/>
    <col min="10705" max="10706" width="12.7109375" style="1" customWidth="1"/>
    <col min="10707" max="10719" width="10.5703125" style="1" customWidth="1"/>
    <col min="10720" max="10720" width="11.140625" style="1" customWidth="1"/>
    <col min="10721" max="10732" width="10.5703125" style="1" customWidth="1"/>
    <col min="10733" max="10734" width="9.85546875" style="1" customWidth="1"/>
    <col min="10735" max="10735" width="9.85546875" style="1" bestFit="1" customWidth="1"/>
    <col min="10736" max="10736" width="9.85546875" style="1" customWidth="1"/>
    <col min="10737" max="10737" width="11.140625" style="1" customWidth="1"/>
    <col min="10738" max="10739" width="11.7109375" style="1" customWidth="1"/>
    <col min="10740" max="10741" width="9.140625" style="1" customWidth="1"/>
    <col min="10742" max="10742" width="10.28515625" style="1" customWidth="1"/>
    <col min="10743" max="10749" width="9.140625" style="1" customWidth="1"/>
    <col min="10750" max="10750" width="10.5703125" style="1" bestFit="1" customWidth="1"/>
    <col min="10751" max="10753" width="9.140625" style="1" customWidth="1"/>
    <col min="10754" max="10754" width="10.5703125" style="1" customWidth="1"/>
    <col min="10755" max="10758" width="9.140625" style="1" customWidth="1"/>
    <col min="10759" max="10759" width="9.28515625" style="1" bestFit="1" customWidth="1"/>
    <col min="10760" max="10770" width="9.140625" style="1"/>
    <col min="10771" max="10771" width="10.85546875" style="1" customWidth="1"/>
    <col min="10772" max="10952" width="9.140625" style="1"/>
    <col min="10953" max="10953" width="11.85546875" style="1" bestFit="1" customWidth="1"/>
    <col min="10954" max="10954" width="28.140625" style="1" bestFit="1" customWidth="1"/>
    <col min="10955" max="10955" width="15.7109375" style="1" customWidth="1"/>
    <col min="10956" max="10956" width="9.85546875" style="1" customWidth="1"/>
    <col min="10957" max="10957" width="13.140625" style="1" customWidth="1"/>
    <col min="10958" max="10958" width="9.140625" style="1" customWidth="1"/>
    <col min="10959" max="10959" width="12.28515625" style="1" customWidth="1"/>
    <col min="10960" max="10960" width="10.5703125" style="1" customWidth="1"/>
    <col min="10961" max="10962" width="12.7109375" style="1" customWidth="1"/>
    <col min="10963" max="10975" width="10.5703125" style="1" customWidth="1"/>
    <col min="10976" max="10976" width="11.140625" style="1" customWidth="1"/>
    <col min="10977" max="10988" width="10.5703125" style="1" customWidth="1"/>
    <col min="10989" max="10990" width="9.85546875" style="1" customWidth="1"/>
    <col min="10991" max="10991" width="9.85546875" style="1" bestFit="1" customWidth="1"/>
    <col min="10992" max="10992" width="9.85546875" style="1" customWidth="1"/>
    <col min="10993" max="10993" width="11.140625" style="1" customWidth="1"/>
    <col min="10994" max="10995" width="11.7109375" style="1" customWidth="1"/>
    <col min="10996" max="10997" width="9.140625" style="1" customWidth="1"/>
    <col min="10998" max="10998" width="10.28515625" style="1" customWidth="1"/>
    <col min="10999" max="11005" width="9.140625" style="1" customWidth="1"/>
    <col min="11006" max="11006" width="10.5703125" style="1" bestFit="1" customWidth="1"/>
    <col min="11007" max="11009" width="9.140625" style="1" customWidth="1"/>
    <col min="11010" max="11010" width="10.5703125" style="1" customWidth="1"/>
    <col min="11011" max="11014" width="9.140625" style="1" customWidth="1"/>
    <col min="11015" max="11015" width="9.28515625" style="1" bestFit="1" customWidth="1"/>
    <col min="11016" max="11026" width="9.140625" style="1"/>
    <col min="11027" max="11027" width="10.85546875" style="1" customWidth="1"/>
    <col min="11028" max="11208" width="9.140625" style="1"/>
    <col min="11209" max="11209" width="11.85546875" style="1" bestFit="1" customWidth="1"/>
    <col min="11210" max="11210" width="28.140625" style="1" bestFit="1" customWidth="1"/>
    <col min="11211" max="11211" width="15.7109375" style="1" customWidth="1"/>
    <col min="11212" max="11212" width="9.85546875" style="1" customWidth="1"/>
    <col min="11213" max="11213" width="13.140625" style="1" customWidth="1"/>
    <col min="11214" max="11214" width="9.140625" style="1" customWidth="1"/>
    <col min="11215" max="11215" width="12.28515625" style="1" customWidth="1"/>
    <col min="11216" max="11216" width="10.5703125" style="1" customWidth="1"/>
    <col min="11217" max="11218" width="12.7109375" style="1" customWidth="1"/>
    <col min="11219" max="11231" width="10.5703125" style="1" customWidth="1"/>
    <col min="11232" max="11232" width="11.140625" style="1" customWidth="1"/>
    <col min="11233" max="11244" width="10.5703125" style="1" customWidth="1"/>
    <col min="11245" max="11246" width="9.85546875" style="1" customWidth="1"/>
    <col min="11247" max="11247" width="9.85546875" style="1" bestFit="1" customWidth="1"/>
    <col min="11248" max="11248" width="9.85546875" style="1" customWidth="1"/>
    <col min="11249" max="11249" width="11.140625" style="1" customWidth="1"/>
    <col min="11250" max="11251" width="11.7109375" style="1" customWidth="1"/>
    <col min="11252" max="11253" width="9.140625" style="1" customWidth="1"/>
    <col min="11254" max="11254" width="10.28515625" style="1" customWidth="1"/>
    <col min="11255" max="11261" width="9.140625" style="1" customWidth="1"/>
    <col min="11262" max="11262" width="10.5703125" style="1" bestFit="1" customWidth="1"/>
    <col min="11263" max="11265" width="9.140625" style="1" customWidth="1"/>
    <col min="11266" max="11266" width="10.5703125" style="1" customWidth="1"/>
    <col min="11267" max="11270" width="9.140625" style="1" customWidth="1"/>
    <col min="11271" max="11271" width="9.28515625" style="1" bestFit="1" customWidth="1"/>
    <col min="11272" max="11282" width="9.140625" style="1"/>
    <col min="11283" max="11283" width="10.85546875" style="1" customWidth="1"/>
    <col min="11284" max="11464" width="9.140625" style="1"/>
    <col min="11465" max="11465" width="11.85546875" style="1" bestFit="1" customWidth="1"/>
    <col min="11466" max="11466" width="28.140625" style="1" bestFit="1" customWidth="1"/>
    <col min="11467" max="11467" width="15.7109375" style="1" customWidth="1"/>
    <col min="11468" max="11468" width="9.85546875" style="1" customWidth="1"/>
    <col min="11469" max="11469" width="13.140625" style="1" customWidth="1"/>
    <col min="11470" max="11470" width="9.140625" style="1" customWidth="1"/>
    <col min="11471" max="11471" width="12.28515625" style="1" customWidth="1"/>
    <col min="11472" max="11472" width="10.5703125" style="1" customWidth="1"/>
    <col min="11473" max="11474" width="12.7109375" style="1" customWidth="1"/>
    <col min="11475" max="11487" width="10.5703125" style="1" customWidth="1"/>
    <col min="11488" max="11488" width="11.140625" style="1" customWidth="1"/>
    <col min="11489" max="11500" width="10.5703125" style="1" customWidth="1"/>
    <col min="11501" max="11502" width="9.85546875" style="1" customWidth="1"/>
    <col min="11503" max="11503" width="9.85546875" style="1" bestFit="1" customWidth="1"/>
    <col min="11504" max="11504" width="9.85546875" style="1" customWidth="1"/>
    <col min="11505" max="11505" width="11.140625" style="1" customWidth="1"/>
    <col min="11506" max="11507" width="11.7109375" style="1" customWidth="1"/>
    <col min="11508" max="11509" width="9.140625" style="1" customWidth="1"/>
    <col min="11510" max="11510" width="10.28515625" style="1" customWidth="1"/>
    <col min="11511" max="11517" width="9.140625" style="1" customWidth="1"/>
    <col min="11518" max="11518" width="10.5703125" style="1" bestFit="1" customWidth="1"/>
    <col min="11519" max="11521" width="9.140625" style="1" customWidth="1"/>
    <col min="11522" max="11522" width="10.5703125" style="1" customWidth="1"/>
    <col min="11523" max="11526" width="9.140625" style="1" customWidth="1"/>
    <col min="11527" max="11527" width="9.28515625" style="1" bestFit="1" customWidth="1"/>
    <col min="11528" max="11538" width="9.140625" style="1"/>
    <col min="11539" max="11539" width="10.85546875" style="1" customWidth="1"/>
    <col min="11540" max="11720" width="9.140625" style="1"/>
    <col min="11721" max="11721" width="11.85546875" style="1" bestFit="1" customWidth="1"/>
    <col min="11722" max="11722" width="28.140625" style="1" bestFit="1" customWidth="1"/>
    <col min="11723" max="11723" width="15.7109375" style="1" customWidth="1"/>
    <col min="11724" max="11724" width="9.85546875" style="1" customWidth="1"/>
    <col min="11725" max="11725" width="13.140625" style="1" customWidth="1"/>
    <col min="11726" max="11726" width="9.140625" style="1" customWidth="1"/>
    <col min="11727" max="11727" width="12.28515625" style="1" customWidth="1"/>
    <col min="11728" max="11728" width="10.5703125" style="1" customWidth="1"/>
    <col min="11729" max="11730" width="12.7109375" style="1" customWidth="1"/>
    <col min="11731" max="11743" width="10.5703125" style="1" customWidth="1"/>
    <col min="11744" max="11744" width="11.140625" style="1" customWidth="1"/>
    <col min="11745" max="11756" width="10.5703125" style="1" customWidth="1"/>
    <col min="11757" max="11758" width="9.85546875" style="1" customWidth="1"/>
    <col min="11759" max="11759" width="9.85546875" style="1" bestFit="1" customWidth="1"/>
    <col min="11760" max="11760" width="9.85546875" style="1" customWidth="1"/>
    <col min="11761" max="11761" width="11.140625" style="1" customWidth="1"/>
    <col min="11762" max="11763" width="11.7109375" style="1" customWidth="1"/>
    <col min="11764" max="11765" width="9.140625" style="1" customWidth="1"/>
    <col min="11766" max="11766" width="10.28515625" style="1" customWidth="1"/>
    <col min="11767" max="11773" width="9.140625" style="1" customWidth="1"/>
    <col min="11774" max="11774" width="10.5703125" style="1" bestFit="1" customWidth="1"/>
    <col min="11775" max="11777" width="9.140625" style="1" customWidth="1"/>
    <col min="11778" max="11778" width="10.5703125" style="1" customWidth="1"/>
    <col min="11779" max="11782" width="9.140625" style="1" customWidth="1"/>
    <col min="11783" max="11783" width="9.28515625" style="1" bestFit="1" customWidth="1"/>
    <col min="11784" max="11794" width="9.140625" style="1"/>
    <col min="11795" max="11795" width="10.85546875" style="1" customWidth="1"/>
    <col min="11796" max="11976" width="9.140625" style="1"/>
    <col min="11977" max="11977" width="11.85546875" style="1" bestFit="1" customWidth="1"/>
    <col min="11978" max="11978" width="28.140625" style="1" bestFit="1" customWidth="1"/>
    <col min="11979" max="11979" width="15.7109375" style="1" customWidth="1"/>
    <col min="11980" max="11980" width="9.85546875" style="1" customWidth="1"/>
    <col min="11981" max="11981" width="13.140625" style="1" customWidth="1"/>
    <col min="11982" max="11982" width="9.140625" style="1" customWidth="1"/>
    <col min="11983" max="11983" width="12.28515625" style="1" customWidth="1"/>
    <col min="11984" max="11984" width="10.5703125" style="1" customWidth="1"/>
    <col min="11985" max="11986" width="12.7109375" style="1" customWidth="1"/>
    <col min="11987" max="11999" width="10.5703125" style="1" customWidth="1"/>
    <col min="12000" max="12000" width="11.140625" style="1" customWidth="1"/>
    <col min="12001" max="12012" width="10.5703125" style="1" customWidth="1"/>
    <col min="12013" max="12014" width="9.85546875" style="1" customWidth="1"/>
    <col min="12015" max="12015" width="9.85546875" style="1" bestFit="1" customWidth="1"/>
    <col min="12016" max="12016" width="9.85546875" style="1" customWidth="1"/>
    <col min="12017" max="12017" width="11.140625" style="1" customWidth="1"/>
    <col min="12018" max="12019" width="11.7109375" style="1" customWidth="1"/>
    <col min="12020" max="12021" width="9.140625" style="1" customWidth="1"/>
    <col min="12022" max="12022" width="10.28515625" style="1" customWidth="1"/>
    <col min="12023" max="12029" width="9.140625" style="1" customWidth="1"/>
    <col min="12030" max="12030" width="10.5703125" style="1" bestFit="1" customWidth="1"/>
    <col min="12031" max="12033" width="9.140625" style="1" customWidth="1"/>
    <col min="12034" max="12034" width="10.5703125" style="1" customWidth="1"/>
    <col min="12035" max="12038" width="9.140625" style="1" customWidth="1"/>
    <col min="12039" max="12039" width="9.28515625" style="1" bestFit="1" customWidth="1"/>
    <col min="12040" max="12050" width="9.140625" style="1"/>
    <col min="12051" max="12051" width="10.85546875" style="1" customWidth="1"/>
    <col min="12052" max="12232" width="9.140625" style="1"/>
    <col min="12233" max="12233" width="11.85546875" style="1" bestFit="1" customWidth="1"/>
    <col min="12234" max="12234" width="28.140625" style="1" bestFit="1" customWidth="1"/>
    <col min="12235" max="12235" width="15.7109375" style="1" customWidth="1"/>
    <col min="12236" max="12236" width="9.85546875" style="1" customWidth="1"/>
    <col min="12237" max="12237" width="13.140625" style="1" customWidth="1"/>
    <col min="12238" max="12238" width="9.140625" style="1" customWidth="1"/>
    <col min="12239" max="12239" width="12.28515625" style="1" customWidth="1"/>
    <col min="12240" max="12240" width="10.5703125" style="1" customWidth="1"/>
    <col min="12241" max="12242" width="12.7109375" style="1" customWidth="1"/>
    <col min="12243" max="12255" width="10.5703125" style="1" customWidth="1"/>
    <col min="12256" max="12256" width="11.140625" style="1" customWidth="1"/>
    <col min="12257" max="12268" width="10.5703125" style="1" customWidth="1"/>
    <col min="12269" max="12270" width="9.85546875" style="1" customWidth="1"/>
    <col min="12271" max="12271" width="9.85546875" style="1" bestFit="1" customWidth="1"/>
    <col min="12272" max="12272" width="9.85546875" style="1" customWidth="1"/>
    <col min="12273" max="12273" width="11.140625" style="1" customWidth="1"/>
    <col min="12274" max="12275" width="11.7109375" style="1" customWidth="1"/>
    <col min="12276" max="12277" width="9.140625" style="1" customWidth="1"/>
    <col min="12278" max="12278" width="10.28515625" style="1" customWidth="1"/>
    <col min="12279" max="12285" width="9.140625" style="1" customWidth="1"/>
    <col min="12286" max="12286" width="10.5703125" style="1" bestFit="1" customWidth="1"/>
    <col min="12287" max="12289" width="9.140625" style="1" customWidth="1"/>
    <col min="12290" max="12290" width="10.5703125" style="1" customWidth="1"/>
    <col min="12291" max="12294" width="9.140625" style="1" customWidth="1"/>
    <col min="12295" max="12295" width="9.28515625" style="1" bestFit="1" customWidth="1"/>
    <col min="12296" max="12306" width="9.140625" style="1"/>
    <col min="12307" max="12307" width="10.85546875" style="1" customWidth="1"/>
    <col min="12308" max="12488" width="9.140625" style="1"/>
    <col min="12489" max="12489" width="11.85546875" style="1" bestFit="1" customWidth="1"/>
    <col min="12490" max="12490" width="28.140625" style="1" bestFit="1" customWidth="1"/>
    <col min="12491" max="12491" width="15.7109375" style="1" customWidth="1"/>
    <col min="12492" max="12492" width="9.85546875" style="1" customWidth="1"/>
    <col min="12493" max="12493" width="13.140625" style="1" customWidth="1"/>
    <col min="12494" max="12494" width="9.140625" style="1" customWidth="1"/>
    <col min="12495" max="12495" width="12.28515625" style="1" customWidth="1"/>
    <col min="12496" max="12496" width="10.5703125" style="1" customWidth="1"/>
    <col min="12497" max="12498" width="12.7109375" style="1" customWidth="1"/>
    <col min="12499" max="12511" width="10.5703125" style="1" customWidth="1"/>
    <col min="12512" max="12512" width="11.140625" style="1" customWidth="1"/>
    <col min="12513" max="12524" width="10.5703125" style="1" customWidth="1"/>
    <col min="12525" max="12526" width="9.85546875" style="1" customWidth="1"/>
    <col min="12527" max="12527" width="9.85546875" style="1" bestFit="1" customWidth="1"/>
    <col min="12528" max="12528" width="9.85546875" style="1" customWidth="1"/>
    <col min="12529" max="12529" width="11.140625" style="1" customWidth="1"/>
    <col min="12530" max="12531" width="11.7109375" style="1" customWidth="1"/>
    <col min="12532" max="12533" width="9.140625" style="1" customWidth="1"/>
    <col min="12534" max="12534" width="10.28515625" style="1" customWidth="1"/>
    <col min="12535" max="12541" width="9.140625" style="1" customWidth="1"/>
    <col min="12542" max="12542" width="10.5703125" style="1" bestFit="1" customWidth="1"/>
    <col min="12543" max="12545" width="9.140625" style="1" customWidth="1"/>
    <col min="12546" max="12546" width="10.5703125" style="1" customWidth="1"/>
    <col min="12547" max="12550" width="9.140625" style="1" customWidth="1"/>
    <col min="12551" max="12551" width="9.28515625" style="1" bestFit="1" customWidth="1"/>
    <col min="12552" max="12562" width="9.140625" style="1"/>
    <col min="12563" max="12563" width="10.85546875" style="1" customWidth="1"/>
    <col min="12564" max="12744" width="9.140625" style="1"/>
    <col min="12745" max="12745" width="11.85546875" style="1" bestFit="1" customWidth="1"/>
    <col min="12746" max="12746" width="28.140625" style="1" bestFit="1" customWidth="1"/>
    <col min="12747" max="12747" width="15.7109375" style="1" customWidth="1"/>
    <col min="12748" max="12748" width="9.85546875" style="1" customWidth="1"/>
    <col min="12749" max="12749" width="13.140625" style="1" customWidth="1"/>
    <col min="12750" max="12750" width="9.140625" style="1" customWidth="1"/>
    <col min="12751" max="12751" width="12.28515625" style="1" customWidth="1"/>
    <col min="12752" max="12752" width="10.5703125" style="1" customWidth="1"/>
    <col min="12753" max="12754" width="12.7109375" style="1" customWidth="1"/>
    <col min="12755" max="12767" width="10.5703125" style="1" customWidth="1"/>
    <col min="12768" max="12768" width="11.140625" style="1" customWidth="1"/>
    <col min="12769" max="12780" width="10.5703125" style="1" customWidth="1"/>
    <col min="12781" max="12782" width="9.85546875" style="1" customWidth="1"/>
    <col min="12783" max="12783" width="9.85546875" style="1" bestFit="1" customWidth="1"/>
    <col min="12784" max="12784" width="9.85546875" style="1" customWidth="1"/>
    <col min="12785" max="12785" width="11.140625" style="1" customWidth="1"/>
    <col min="12786" max="12787" width="11.7109375" style="1" customWidth="1"/>
    <col min="12788" max="12789" width="9.140625" style="1" customWidth="1"/>
    <col min="12790" max="12790" width="10.28515625" style="1" customWidth="1"/>
    <col min="12791" max="12797" width="9.140625" style="1" customWidth="1"/>
    <col min="12798" max="12798" width="10.5703125" style="1" bestFit="1" customWidth="1"/>
    <col min="12799" max="12801" width="9.140625" style="1" customWidth="1"/>
    <col min="12802" max="12802" width="10.5703125" style="1" customWidth="1"/>
    <col min="12803" max="12806" width="9.140625" style="1" customWidth="1"/>
    <col min="12807" max="12807" width="9.28515625" style="1" bestFit="1" customWidth="1"/>
    <col min="12808" max="12818" width="9.140625" style="1"/>
    <col min="12819" max="12819" width="10.85546875" style="1" customWidth="1"/>
    <col min="12820" max="13000" width="9.140625" style="1"/>
    <col min="13001" max="13001" width="11.85546875" style="1" bestFit="1" customWidth="1"/>
    <col min="13002" max="13002" width="28.140625" style="1" bestFit="1" customWidth="1"/>
    <col min="13003" max="13003" width="15.7109375" style="1" customWidth="1"/>
    <col min="13004" max="13004" width="9.85546875" style="1" customWidth="1"/>
    <col min="13005" max="13005" width="13.140625" style="1" customWidth="1"/>
    <col min="13006" max="13006" width="9.140625" style="1" customWidth="1"/>
    <col min="13007" max="13007" width="12.28515625" style="1" customWidth="1"/>
    <col min="13008" max="13008" width="10.5703125" style="1" customWidth="1"/>
    <col min="13009" max="13010" width="12.7109375" style="1" customWidth="1"/>
    <col min="13011" max="13023" width="10.5703125" style="1" customWidth="1"/>
    <col min="13024" max="13024" width="11.140625" style="1" customWidth="1"/>
    <col min="13025" max="13036" width="10.5703125" style="1" customWidth="1"/>
    <col min="13037" max="13038" width="9.85546875" style="1" customWidth="1"/>
    <col min="13039" max="13039" width="9.85546875" style="1" bestFit="1" customWidth="1"/>
    <col min="13040" max="13040" width="9.85546875" style="1" customWidth="1"/>
    <col min="13041" max="13041" width="11.140625" style="1" customWidth="1"/>
    <col min="13042" max="13043" width="11.7109375" style="1" customWidth="1"/>
    <col min="13044" max="13045" width="9.140625" style="1" customWidth="1"/>
    <col min="13046" max="13046" width="10.28515625" style="1" customWidth="1"/>
    <col min="13047" max="13053" width="9.140625" style="1" customWidth="1"/>
    <col min="13054" max="13054" width="10.5703125" style="1" bestFit="1" customWidth="1"/>
    <col min="13055" max="13057" width="9.140625" style="1" customWidth="1"/>
    <col min="13058" max="13058" width="10.5703125" style="1" customWidth="1"/>
    <col min="13059" max="13062" width="9.140625" style="1" customWidth="1"/>
    <col min="13063" max="13063" width="9.28515625" style="1" bestFit="1" customWidth="1"/>
    <col min="13064" max="13074" width="9.140625" style="1"/>
    <col min="13075" max="13075" width="10.85546875" style="1" customWidth="1"/>
    <col min="13076" max="13256" width="9.140625" style="1"/>
    <col min="13257" max="13257" width="11.85546875" style="1" bestFit="1" customWidth="1"/>
    <col min="13258" max="13258" width="28.140625" style="1" bestFit="1" customWidth="1"/>
    <col min="13259" max="13259" width="15.7109375" style="1" customWidth="1"/>
    <col min="13260" max="13260" width="9.85546875" style="1" customWidth="1"/>
    <col min="13261" max="13261" width="13.140625" style="1" customWidth="1"/>
    <col min="13262" max="13262" width="9.140625" style="1" customWidth="1"/>
    <col min="13263" max="13263" width="12.28515625" style="1" customWidth="1"/>
    <col min="13264" max="13264" width="10.5703125" style="1" customWidth="1"/>
    <col min="13265" max="13266" width="12.7109375" style="1" customWidth="1"/>
    <col min="13267" max="13279" width="10.5703125" style="1" customWidth="1"/>
    <col min="13280" max="13280" width="11.140625" style="1" customWidth="1"/>
    <col min="13281" max="13292" width="10.5703125" style="1" customWidth="1"/>
    <col min="13293" max="13294" width="9.85546875" style="1" customWidth="1"/>
    <col min="13295" max="13295" width="9.85546875" style="1" bestFit="1" customWidth="1"/>
    <col min="13296" max="13296" width="9.85546875" style="1" customWidth="1"/>
    <col min="13297" max="13297" width="11.140625" style="1" customWidth="1"/>
    <col min="13298" max="13299" width="11.7109375" style="1" customWidth="1"/>
    <col min="13300" max="13301" width="9.140625" style="1" customWidth="1"/>
    <col min="13302" max="13302" width="10.28515625" style="1" customWidth="1"/>
    <col min="13303" max="13309" width="9.140625" style="1" customWidth="1"/>
    <col min="13310" max="13310" width="10.5703125" style="1" bestFit="1" customWidth="1"/>
    <col min="13311" max="13313" width="9.140625" style="1" customWidth="1"/>
    <col min="13314" max="13314" width="10.5703125" style="1" customWidth="1"/>
    <col min="13315" max="13318" width="9.140625" style="1" customWidth="1"/>
    <col min="13319" max="13319" width="9.28515625" style="1" bestFit="1" customWidth="1"/>
    <col min="13320" max="13330" width="9.140625" style="1"/>
    <col min="13331" max="13331" width="10.85546875" style="1" customWidth="1"/>
    <col min="13332" max="13512" width="9.140625" style="1"/>
    <col min="13513" max="13513" width="11.85546875" style="1" bestFit="1" customWidth="1"/>
    <col min="13514" max="13514" width="28.140625" style="1" bestFit="1" customWidth="1"/>
    <col min="13515" max="13515" width="15.7109375" style="1" customWidth="1"/>
    <col min="13516" max="13516" width="9.85546875" style="1" customWidth="1"/>
    <col min="13517" max="13517" width="13.140625" style="1" customWidth="1"/>
    <col min="13518" max="13518" width="9.140625" style="1" customWidth="1"/>
    <col min="13519" max="13519" width="12.28515625" style="1" customWidth="1"/>
    <col min="13520" max="13520" width="10.5703125" style="1" customWidth="1"/>
    <col min="13521" max="13522" width="12.7109375" style="1" customWidth="1"/>
    <col min="13523" max="13535" width="10.5703125" style="1" customWidth="1"/>
    <col min="13536" max="13536" width="11.140625" style="1" customWidth="1"/>
    <col min="13537" max="13548" width="10.5703125" style="1" customWidth="1"/>
    <col min="13549" max="13550" width="9.85546875" style="1" customWidth="1"/>
    <col min="13551" max="13551" width="9.85546875" style="1" bestFit="1" customWidth="1"/>
    <col min="13552" max="13552" width="9.85546875" style="1" customWidth="1"/>
    <col min="13553" max="13553" width="11.140625" style="1" customWidth="1"/>
    <col min="13554" max="13555" width="11.7109375" style="1" customWidth="1"/>
    <col min="13556" max="13557" width="9.140625" style="1" customWidth="1"/>
    <col min="13558" max="13558" width="10.28515625" style="1" customWidth="1"/>
    <col min="13559" max="13565" width="9.140625" style="1" customWidth="1"/>
    <col min="13566" max="13566" width="10.5703125" style="1" bestFit="1" customWidth="1"/>
    <col min="13567" max="13569" width="9.140625" style="1" customWidth="1"/>
    <col min="13570" max="13570" width="10.5703125" style="1" customWidth="1"/>
    <col min="13571" max="13574" width="9.140625" style="1" customWidth="1"/>
    <col min="13575" max="13575" width="9.28515625" style="1" bestFit="1" customWidth="1"/>
    <col min="13576" max="13586" width="9.140625" style="1"/>
    <col min="13587" max="13587" width="10.85546875" style="1" customWidth="1"/>
    <col min="13588" max="13768" width="9.140625" style="1"/>
    <col min="13769" max="13769" width="11.85546875" style="1" bestFit="1" customWidth="1"/>
    <col min="13770" max="13770" width="28.140625" style="1" bestFit="1" customWidth="1"/>
    <col min="13771" max="13771" width="15.7109375" style="1" customWidth="1"/>
    <col min="13772" max="13772" width="9.85546875" style="1" customWidth="1"/>
    <col min="13773" max="13773" width="13.140625" style="1" customWidth="1"/>
    <col min="13774" max="13774" width="9.140625" style="1" customWidth="1"/>
    <col min="13775" max="13775" width="12.28515625" style="1" customWidth="1"/>
    <col min="13776" max="13776" width="10.5703125" style="1" customWidth="1"/>
    <col min="13777" max="13778" width="12.7109375" style="1" customWidth="1"/>
    <col min="13779" max="13791" width="10.5703125" style="1" customWidth="1"/>
    <col min="13792" max="13792" width="11.140625" style="1" customWidth="1"/>
    <col min="13793" max="13804" width="10.5703125" style="1" customWidth="1"/>
    <col min="13805" max="13806" width="9.85546875" style="1" customWidth="1"/>
    <col min="13807" max="13807" width="9.85546875" style="1" bestFit="1" customWidth="1"/>
    <col min="13808" max="13808" width="9.85546875" style="1" customWidth="1"/>
    <col min="13809" max="13809" width="11.140625" style="1" customWidth="1"/>
    <col min="13810" max="13811" width="11.7109375" style="1" customWidth="1"/>
    <col min="13812" max="13813" width="9.140625" style="1" customWidth="1"/>
    <col min="13814" max="13814" width="10.28515625" style="1" customWidth="1"/>
    <col min="13815" max="13821" width="9.140625" style="1" customWidth="1"/>
    <col min="13822" max="13822" width="10.5703125" style="1" bestFit="1" customWidth="1"/>
    <col min="13823" max="13825" width="9.140625" style="1" customWidth="1"/>
    <col min="13826" max="13826" width="10.5703125" style="1" customWidth="1"/>
    <col min="13827" max="13830" width="9.140625" style="1" customWidth="1"/>
    <col min="13831" max="13831" width="9.28515625" style="1" bestFit="1" customWidth="1"/>
    <col min="13832" max="13842" width="9.140625" style="1"/>
    <col min="13843" max="13843" width="10.85546875" style="1" customWidth="1"/>
    <col min="13844" max="14024" width="9.140625" style="1"/>
    <col min="14025" max="14025" width="11.85546875" style="1" bestFit="1" customWidth="1"/>
    <col min="14026" max="14026" width="28.140625" style="1" bestFit="1" customWidth="1"/>
    <col min="14027" max="14027" width="15.7109375" style="1" customWidth="1"/>
    <col min="14028" max="14028" width="9.85546875" style="1" customWidth="1"/>
    <col min="14029" max="14029" width="13.140625" style="1" customWidth="1"/>
    <col min="14030" max="14030" width="9.140625" style="1" customWidth="1"/>
    <col min="14031" max="14031" width="12.28515625" style="1" customWidth="1"/>
    <col min="14032" max="14032" width="10.5703125" style="1" customWidth="1"/>
    <col min="14033" max="14034" width="12.7109375" style="1" customWidth="1"/>
    <col min="14035" max="14047" width="10.5703125" style="1" customWidth="1"/>
    <col min="14048" max="14048" width="11.140625" style="1" customWidth="1"/>
    <col min="14049" max="14060" width="10.5703125" style="1" customWidth="1"/>
    <col min="14061" max="14062" width="9.85546875" style="1" customWidth="1"/>
    <col min="14063" max="14063" width="9.85546875" style="1" bestFit="1" customWidth="1"/>
    <col min="14064" max="14064" width="9.85546875" style="1" customWidth="1"/>
    <col min="14065" max="14065" width="11.140625" style="1" customWidth="1"/>
    <col min="14066" max="14067" width="11.7109375" style="1" customWidth="1"/>
    <col min="14068" max="14069" width="9.140625" style="1" customWidth="1"/>
    <col min="14070" max="14070" width="10.28515625" style="1" customWidth="1"/>
    <col min="14071" max="14077" width="9.140625" style="1" customWidth="1"/>
    <col min="14078" max="14078" width="10.5703125" style="1" bestFit="1" customWidth="1"/>
    <col min="14079" max="14081" width="9.140625" style="1" customWidth="1"/>
    <col min="14082" max="14082" width="10.5703125" style="1" customWidth="1"/>
    <col min="14083" max="14086" width="9.140625" style="1" customWidth="1"/>
    <col min="14087" max="14087" width="9.28515625" style="1" bestFit="1" customWidth="1"/>
    <col min="14088" max="14098" width="9.140625" style="1"/>
    <col min="14099" max="14099" width="10.85546875" style="1" customWidth="1"/>
    <col min="14100" max="14280" width="9.140625" style="1"/>
    <col min="14281" max="14281" width="11.85546875" style="1" bestFit="1" customWidth="1"/>
    <col min="14282" max="14282" width="28.140625" style="1" bestFit="1" customWidth="1"/>
    <col min="14283" max="14283" width="15.7109375" style="1" customWidth="1"/>
    <col min="14284" max="14284" width="9.85546875" style="1" customWidth="1"/>
    <col min="14285" max="14285" width="13.140625" style="1" customWidth="1"/>
    <col min="14286" max="14286" width="9.140625" style="1" customWidth="1"/>
    <col min="14287" max="14287" width="12.28515625" style="1" customWidth="1"/>
    <col min="14288" max="14288" width="10.5703125" style="1" customWidth="1"/>
    <col min="14289" max="14290" width="12.7109375" style="1" customWidth="1"/>
    <col min="14291" max="14303" width="10.5703125" style="1" customWidth="1"/>
    <col min="14304" max="14304" width="11.140625" style="1" customWidth="1"/>
    <col min="14305" max="14316" width="10.5703125" style="1" customWidth="1"/>
    <col min="14317" max="14318" width="9.85546875" style="1" customWidth="1"/>
    <col min="14319" max="14319" width="9.85546875" style="1" bestFit="1" customWidth="1"/>
    <col min="14320" max="14320" width="9.85546875" style="1" customWidth="1"/>
    <col min="14321" max="14321" width="11.140625" style="1" customWidth="1"/>
    <col min="14322" max="14323" width="11.7109375" style="1" customWidth="1"/>
    <col min="14324" max="14325" width="9.140625" style="1" customWidth="1"/>
    <col min="14326" max="14326" width="10.28515625" style="1" customWidth="1"/>
    <col min="14327" max="14333" width="9.140625" style="1" customWidth="1"/>
    <col min="14334" max="14334" width="10.5703125" style="1" bestFit="1" customWidth="1"/>
    <col min="14335" max="14337" width="9.140625" style="1" customWidth="1"/>
    <col min="14338" max="14338" width="10.5703125" style="1" customWidth="1"/>
    <col min="14339" max="14342" width="9.140625" style="1" customWidth="1"/>
    <col min="14343" max="14343" width="9.28515625" style="1" bestFit="1" customWidth="1"/>
    <col min="14344" max="14354" width="9.140625" style="1"/>
    <col min="14355" max="14355" width="10.85546875" style="1" customWidth="1"/>
    <col min="14356" max="14536" width="9.140625" style="1"/>
    <col min="14537" max="14537" width="11.85546875" style="1" bestFit="1" customWidth="1"/>
    <col min="14538" max="14538" width="28.140625" style="1" bestFit="1" customWidth="1"/>
    <col min="14539" max="14539" width="15.7109375" style="1" customWidth="1"/>
    <col min="14540" max="14540" width="9.85546875" style="1" customWidth="1"/>
    <col min="14541" max="14541" width="13.140625" style="1" customWidth="1"/>
    <col min="14542" max="14542" width="9.140625" style="1" customWidth="1"/>
    <col min="14543" max="14543" width="12.28515625" style="1" customWidth="1"/>
    <col min="14544" max="14544" width="10.5703125" style="1" customWidth="1"/>
    <col min="14545" max="14546" width="12.7109375" style="1" customWidth="1"/>
    <col min="14547" max="14559" width="10.5703125" style="1" customWidth="1"/>
    <col min="14560" max="14560" width="11.140625" style="1" customWidth="1"/>
    <col min="14561" max="14572" width="10.5703125" style="1" customWidth="1"/>
    <col min="14573" max="14574" width="9.85546875" style="1" customWidth="1"/>
    <col min="14575" max="14575" width="9.85546875" style="1" bestFit="1" customWidth="1"/>
    <col min="14576" max="14576" width="9.85546875" style="1" customWidth="1"/>
    <col min="14577" max="14577" width="11.140625" style="1" customWidth="1"/>
    <col min="14578" max="14579" width="11.7109375" style="1" customWidth="1"/>
    <col min="14580" max="14581" width="9.140625" style="1" customWidth="1"/>
    <col min="14582" max="14582" width="10.28515625" style="1" customWidth="1"/>
    <col min="14583" max="14589" width="9.140625" style="1" customWidth="1"/>
    <col min="14590" max="14590" width="10.5703125" style="1" bestFit="1" customWidth="1"/>
    <col min="14591" max="14593" width="9.140625" style="1" customWidth="1"/>
    <col min="14594" max="14594" width="10.5703125" style="1" customWidth="1"/>
    <col min="14595" max="14598" width="9.140625" style="1" customWidth="1"/>
    <col min="14599" max="14599" width="9.28515625" style="1" bestFit="1" customWidth="1"/>
    <col min="14600" max="14610" width="9.140625" style="1"/>
    <col min="14611" max="14611" width="10.85546875" style="1" customWidth="1"/>
    <col min="14612" max="14792" width="9.140625" style="1"/>
    <col min="14793" max="14793" width="11.85546875" style="1" bestFit="1" customWidth="1"/>
    <col min="14794" max="14794" width="28.140625" style="1" bestFit="1" customWidth="1"/>
    <col min="14795" max="14795" width="15.7109375" style="1" customWidth="1"/>
    <col min="14796" max="14796" width="9.85546875" style="1" customWidth="1"/>
    <col min="14797" max="14797" width="13.140625" style="1" customWidth="1"/>
    <col min="14798" max="14798" width="9.140625" style="1" customWidth="1"/>
    <col min="14799" max="14799" width="12.28515625" style="1" customWidth="1"/>
    <col min="14800" max="14800" width="10.5703125" style="1" customWidth="1"/>
    <col min="14801" max="14802" width="12.7109375" style="1" customWidth="1"/>
    <col min="14803" max="14815" width="10.5703125" style="1" customWidth="1"/>
    <col min="14816" max="14816" width="11.140625" style="1" customWidth="1"/>
    <col min="14817" max="14828" width="10.5703125" style="1" customWidth="1"/>
    <col min="14829" max="14830" width="9.85546875" style="1" customWidth="1"/>
    <col min="14831" max="14831" width="9.85546875" style="1" bestFit="1" customWidth="1"/>
    <col min="14832" max="14832" width="9.85546875" style="1" customWidth="1"/>
    <col min="14833" max="14833" width="11.140625" style="1" customWidth="1"/>
    <col min="14834" max="14835" width="11.7109375" style="1" customWidth="1"/>
    <col min="14836" max="14837" width="9.140625" style="1" customWidth="1"/>
    <col min="14838" max="14838" width="10.28515625" style="1" customWidth="1"/>
    <col min="14839" max="14845" width="9.140625" style="1" customWidth="1"/>
    <col min="14846" max="14846" width="10.5703125" style="1" bestFit="1" customWidth="1"/>
    <col min="14847" max="14849" width="9.140625" style="1" customWidth="1"/>
    <col min="14850" max="14850" width="10.5703125" style="1" customWidth="1"/>
    <col min="14851" max="14854" width="9.140625" style="1" customWidth="1"/>
    <col min="14855" max="14855" width="9.28515625" style="1" bestFit="1" customWidth="1"/>
    <col min="14856" max="14866" width="9.140625" style="1"/>
    <col min="14867" max="14867" width="10.85546875" style="1" customWidth="1"/>
    <col min="14868" max="15048" width="9.140625" style="1"/>
    <col min="15049" max="15049" width="11.85546875" style="1" bestFit="1" customWidth="1"/>
    <col min="15050" max="15050" width="28.140625" style="1" bestFit="1" customWidth="1"/>
    <col min="15051" max="15051" width="15.7109375" style="1" customWidth="1"/>
    <col min="15052" max="15052" width="9.85546875" style="1" customWidth="1"/>
    <col min="15053" max="15053" width="13.140625" style="1" customWidth="1"/>
    <col min="15054" max="15054" width="9.140625" style="1" customWidth="1"/>
    <col min="15055" max="15055" width="12.28515625" style="1" customWidth="1"/>
    <col min="15056" max="15056" width="10.5703125" style="1" customWidth="1"/>
    <col min="15057" max="15058" width="12.7109375" style="1" customWidth="1"/>
    <col min="15059" max="15071" width="10.5703125" style="1" customWidth="1"/>
    <col min="15072" max="15072" width="11.140625" style="1" customWidth="1"/>
    <col min="15073" max="15084" width="10.5703125" style="1" customWidth="1"/>
    <col min="15085" max="15086" width="9.85546875" style="1" customWidth="1"/>
    <col min="15087" max="15087" width="9.85546875" style="1" bestFit="1" customWidth="1"/>
    <col min="15088" max="15088" width="9.85546875" style="1" customWidth="1"/>
    <col min="15089" max="15089" width="11.140625" style="1" customWidth="1"/>
    <col min="15090" max="15091" width="11.7109375" style="1" customWidth="1"/>
    <col min="15092" max="15093" width="9.140625" style="1" customWidth="1"/>
    <col min="15094" max="15094" width="10.28515625" style="1" customWidth="1"/>
    <col min="15095" max="15101" width="9.140625" style="1" customWidth="1"/>
    <col min="15102" max="15102" width="10.5703125" style="1" bestFit="1" customWidth="1"/>
    <col min="15103" max="15105" width="9.140625" style="1" customWidth="1"/>
    <col min="15106" max="15106" width="10.5703125" style="1" customWidth="1"/>
    <col min="15107" max="15110" width="9.140625" style="1" customWidth="1"/>
    <col min="15111" max="15111" width="9.28515625" style="1" bestFit="1" customWidth="1"/>
    <col min="15112" max="15122" width="9.140625" style="1"/>
    <col min="15123" max="15123" width="10.85546875" style="1" customWidth="1"/>
    <col min="15124" max="15304" width="9.140625" style="1"/>
    <col min="15305" max="15305" width="11.85546875" style="1" bestFit="1" customWidth="1"/>
    <col min="15306" max="15306" width="28.140625" style="1" bestFit="1" customWidth="1"/>
    <col min="15307" max="15307" width="15.7109375" style="1" customWidth="1"/>
    <col min="15308" max="15308" width="9.85546875" style="1" customWidth="1"/>
    <col min="15309" max="15309" width="13.140625" style="1" customWidth="1"/>
    <col min="15310" max="15310" width="9.140625" style="1" customWidth="1"/>
    <col min="15311" max="15311" width="12.28515625" style="1" customWidth="1"/>
    <col min="15312" max="15312" width="10.5703125" style="1" customWidth="1"/>
    <col min="15313" max="15314" width="12.7109375" style="1" customWidth="1"/>
    <col min="15315" max="15327" width="10.5703125" style="1" customWidth="1"/>
    <col min="15328" max="15328" width="11.140625" style="1" customWidth="1"/>
    <col min="15329" max="15340" width="10.5703125" style="1" customWidth="1"/>
    <col min="15341" max="15342" width="9.85546875" style="1" customWidth="1"/>
    <col min="15343" max="15343" width="9.85546875" style="1" bestFit="1" customWidth="1"/>
    <col min="15344" max="15344" width="9.85546875" style="1" customWidth="1"/>
    <col min="15345" max="15345" width="11.140625" style="1" customWidth="1"/>
    <col min="15346" max="15347" width="11.7109375" style="1" customWidth="1"/>
    <col min="15348" max="15349" width="9.140625" style="1" customWidth="1"/>
    <col min="15350" max="15350" width="10.28515625" style="1" customWidth="1"/>
    <col min="15351" max="15357" width="9.140625" style="1" customWidth="1"/>
    <col min="15358" max="15358" width="10.5703125" style="1" bestFit="1" customWidth="1"/>
    <col min="15359" max="15361" width="9.140625" style="1" customWidth="1"/>
    <col min="15362" max="15362" width="10.5703125" style="1" customWidth="1"/>
    <col min="15363" max="15366" width="9.140625" style="1" customWidth="1"/>
    <col min="15367" max="15367" width="9.28515625" style="1" bestFit="1" customWidth="1"/>
    <col min="15368" max="15378" width="9.140625" style="1"/>
    <col min="15379" max="15379" width="10.85546875" style="1" customWidth="1"/>
    <col min="15380" max="15560" width="9.140625" style="1"/>
    <col min="15561" max="15561" width="11.85546875" style="1" bestFit="1" customWidth="1"/>
    <col min="15562" max="15562" width="28.140625" style="1" bestFit="1" customWidth="1"/>
    <col min="15563" max="15563" width="15.7109375" style="1" customWidth="1"/>
    <col min="15564" max="15564" width="9.85546875" style="1" customWidth="1"/>
    <col min="15565" max="15565" width="13.140625" style="1" customWidth="1"/>
    <col min="15566" max="15566" width="9.140625" style="1" customWidth="1"/>
    <col min="15567" max="15567" width="12.28515625" style="1" customWidth="1"/>
    <col min="15568" max="15568" width="10.5703125" style="1" customWidth="1"/>
    <col min="15569" max="15570" width="12.7109375" style="1" customWidth="1"/>
    <col min="15571" max="15583" width="10.5703125" style="1" customWidth="1"/>
    <col min="15584" max="15584" width="11.140625" style="1" customWidth="1"/>
    <col min="15585" max="15596" width="10.5703125" style="1" customWidth="1"/>
    <col min="15597" max="15598" width="9.85546875" style="1" customWidth="1"/>
    <col min="15599" max="15599" width="9.85546875" style="1" bestFit="1" customWidth="1"/>
    <col min="15600" max="15600" width="9.85546875" style="1" customWidth="1"/>
    <col min="15601" max="15601" width="11.140625" style="1" customWidth="1"/>
    <col min="15602" max="15603" width="11.7109375" style="1" customWidth="1"/>
    <col min="15604" max="15605" width="9.140625" style="1" customWidth="1"/>
    <col min="15606" max="15606" width="10.28515625" style="1" customWidth="1"/>
    <col min="15607" max="15613" width="9.140625" style="1" customWidth="1"/>
    <col min="15614" max="15614" width="10.5703125" style="1" bestFit="1" customWidth="1"/>
    <col min="15615" max="15617" width="9.140625" style="1" customWidth="1"/>
    <col min="15618" max="15618" width="10.5703125" style="1" customWidth="1"/>
    <col min="15619" max="15622" width="9.140625" style="1" customWidth="1"/>
    <col min="15623" max="15623" width="9.28515625" style="1" bestFit="1" customWidth="1"/>
    <col min="15624" max="15634" width="9.140625" style="1"/>
    <col min="15635" max="15635" width="10.85546875" style="1" customWidth="1"/>
    <col min="15636" max="15816" width="9.140625" style="1"/>
    <col min="15817" max="15817" width="11.85546875" style="1" bestFit="1" customWidth="1"/>
    <col min="15818" max="15818" width="28.140625" style="1" bestFit="1" customWidth="1"/>
    <col min="15819" max="15819" width="15.7109375" style="1" customWidth="1"/>
    <col min="15820" max="15820" width="9.85546875" style="1" customWidth="1"/>
    <col min="15821" max="15821" width="13.140625" style="1" customWidth="1"/>
    <col min="15822" max="15822" width="9.140625" style="1" customWidth="1"/>
    <col min="15823" max="15823" width="12.28515625" style="1" customWidth="1"/>
    <col min="15824" max="15824" width="10.5703125" style="1" customWidth="1"/>
    <col min="15825" max="15826" width="12.7109375" style="1" customWidth="1"/>
    <col min="15827" max="15839" width="10.5703125" style="1" customWidth="1"/>
    <col min="15840" max="15840" width="11.140625" style="1" customWidth="1"/>
    <col min="15841" max="15852" width="10.5703125" style="1" customWidth="1"/>
    <col min="15853" max="15854" width="9.85546875" style="1" customWidth="1"/>
    <col min="15855" max="15855" width="9.85546875" style="1" bestFit="1" customWidth="1"/>
    <col min="15856" max="15856" width="9.85546875" style="1" customWidth="1"/>
    <col min="15857" max="15857" width="11.140625" style="1" customWidth="1"/>
    <col min="15858" max="15859" width="11.7109375" style="1" customWidth="1"/>
    <col min="15860" max="15861" width="9.140625" style="1" customWidth="1"/>
    <col min="15862" max="15862" width="10.28515625" style="1" customWidth="1"/>
    <col min="15863" max="15869" width="9.140625" style="1" customWidth="1"/>
    <col min="15870" max="15870" width="10.5703125" style="1" bestFit="1" customWidth="1"/>
    <col min="15871" max="15873" width="9.140625" style="1" customWidth="1"/>
    <col min="15874" max="15874" width="10.5703125" style="1" customWidth="1"/>
    <col min="15875" max="15878" width="9.140625" style="1" customWidth="1"/>
    <col min="15879" max="15879" width="9.28515625" style="1" bestFit="1" customWidth="1"/>
    <col min="15880" max="15890" width="9.140625" style="1"/>
    <col min="15891" max="15891" width="10.85546875" style="1" customWidth="1"/>
    <col min="15892" max="16072" width="9.140625" style="1"/>
    <col min="16073" max="16073" width="11.85546875" style="1" bestFit="1" customWidth="1"/>
    <col min="16074" max="16074" width="28.140625" style="1" bestFit="1" customWidth="1"/>
    <col min="16075" max="16075" width="15.7109375" style="1" customWidth="1"/>
    <col min="16076" max="16076" width="9.85546875" style="1" customWidth="1"/>
    <col min="16077" max="16077" width="13.140625" style="1" customWidth="1"/>
    <col min="16078" max="16078" width="9.140625" style="1" customWidth="1"/>
    <col min="16079" max="16079" width="12.28515625" style="1" customWidth="1"/>
    <col min="16080" max="16080" width="10.5703125" style="1" customWidth="1"/>
    <col min="16081" max="16082" width="12.7109375" style="1" customWidth="1"/>
    <col min="16083" max="16095" width="10.5703125" style="1" customWidth="1"/>
    <col min="16096" max="16096" width="11.140625" style="1" customWidth="1"/>
    <col min="16097" max="16108" width="10.5703125" style="1" customWidth="1"/>
    <col min="16109" max="16110" width="9.85546875" style="1" customWidth="1"/>
    <col min="16111" max="16111" width="9.85546875" style="1" bestFit="1" customWidth="1"/>
    <col min="16112" max="16112" width="9.85546875" style="1" customWidth="1"/>
    <col min="16113" max="16113" width="11.140625" style="1" customWidth="1"/>
    <col min="16114" max="16115" width="11.7109375" style="1" customWidth="1"/>
    <col min="16116" max="16117" width="9.140625" style="1" customWidth="1"/>
    <col min="16118" max="16118" width="10.28515625" style="1" customWidth="1"/>
    <col min="16119" max="16125" width="9.140625" style="1" customWidth="1"/>
    <col min="16126" max="16126" width="10.5703125" style="1" bestFit="1" customWidth="1"/>
    <col min="16127" max="16129" width="9.140625" style="1" customWidth="1"/>
    <col min="16130" max="16130" width="10.5703125" style="1" customWidth="1"/>
    <col min="16131" max="16134" width="9.140625" style="1" customWidth="1"/>
    <col min="16135" max="16135" width="9.28515625" style="1" bestFit="1" customWidth="1"/>
    <col min="16136" max="16146" width="9.140625" style="1"/>
    <col min="16147" max="16147" width="10.85546875" style="1" customWidth="1"/>
    <col min="16148" max="16384" width="9.140625" style="1"/>
  </cols>
  <sheetData>
    <row r="1" spans="1:20" x14ac:dyDescent="0.2">
      <c r="F1" s="177" t="s">
        <v>49</v>
      </c>
      <c r="G1" s="177" t="s">
        <v>48</v>
      </c>
      <c r="H1" s="177" t="s">
        <v>47</v>
      </c>
      <c r="I1" s="177" t="s">
        <v>46</v>
      </c>
      <c r="J1" s="177" t="s">
        <v>45</v>
      </c>
      <c r="K1" s="177" t="s">
        <v>44</v>
      </c>
      <c r="L1" s="177" t="s">
        <v>43</v>
      </c>
      <c r="M1" s="177" t="s">
        <v>42</v>
      </c>
      <c r="N1" s="177" t="s">
        <v>41</v>
      </c>
      <c r="O1" s="177" t="s">
        <v>40</v>
      </c>
      <c r="P1" s="177" t="s">
        <v>39</v>
      </c>
      <c r="Q1" s="177" t="s">
        <v>38</v>
      </c>
      <c r="R1" s="177" t="s">
        <v>37</v>
      </c>
    </row>
    <row r="2" spans="1:20" x14ac:dyDescent="0.2">
      <c r="B2" s="190" t="s">
        <v>296</v>
      </c>
      <c r="C2" s="191">
        <f>STATS!D53</f>
        <v>705</v>
      </c>
      <c r="D2" s="111"/>
      <c r="E2" s="111"/>
      <c r="F2" s="131">
        <f>'MO STATS'!E49</f>
        <v>45</v>
      </c>
      <c r="G2" s="131">
        <f>'MO STATS'!F49</f>
        <v>46</v>
      </c>
      <c r="H2" s="131">
        <f>'MO STATS'!G49</f>
        <v>48</v>
      </c>
      <c r="I2" s="131">
        <f>'MO STATS'!H49</f>
        <v>48</v>
      </c>
      <c r="J2" s="131">
        <f>'MO STATS'!I49</f>
        <v>89</v>
      </c>
      <c r="K2" s="131">
        <f>'MO STATS'!J49</f>
        <v>76</v>
      </c>
      <c r="L2" s="131">
        <f>'MO STATS'!K49</f>
        <v>52</v>
      </c>
      <c r="M2" s="131">
        <f>'MO STATS'!L49</f>
        <v>42</v>
      </c>
      <c r="N2" s="131">
        <f>'MO STATS'!M49</f>
        <v>73</v>
      </c>
      <c r="O2" s="131">
        <f>'MO STATS'!N49</f>
        <v>62</v>
      </c>
      <c r="P2" s="131">
        <f>'MO STATS'!O49</f>
        <v>77</v>
      </c>
      <c r="Q2" s="131">
        <f>'MO STATS'!P49</f>
        <v>47</v>
      </c>
      <c r="R2" s="96">
        <f>SUM(F2:Q2)</f>
        <v>705</v>
      </c>
      <c r="S2" s="3">
        <f>C2-R2</f>
        <v>0</v>
      </c>
    </row>
    <row r="3" spans="1:20" x14ac:dyDescent="0.2">
      <c r="B3" s="190" t="s">
        <v>298</v>
      </c>
      <c r="C3" s="191">
        <f>STATS!D54</f>
        <v>5278</v>
      </c>
      <c r="D3" s="111"/>
      <c r="E3" s="111"/>
      <c r="F3" s="131">
        <f>'MO STATS'!E50</f>
        <v>450</v>
      </c>
      <c r="G3" s="131">
        <f>'MO STATS'!F50</f>
        <v>461</v>
      </c>
      <c r="H3" s="131">
        <f>'MO STATS'!G50</f>
        <v>430</v>
      </c>
      <c r="I3" s="131">
        <f>'MO STATS'!H50</f>
        <v>443</v>
      </c>
      <c r="J3" s="131">
        <f>'MO STATS'!I50</f>
        <v>483</v>
      </c>
      <c r="K3" s="131">
        <f>'MO STATS'!J50</f>
        <v>433</v>
      </c>
      <c r="L3" s="131">
        <f>'MO STATS'!K50</f>
        <v>447</v>
      </c>
      <c r="M3" s="131">
        <f>'MO STATS'!L50</f>
        <v>443</v>
      </c>
      <c r="N3" s="131">
        <f>'MO STATS'!M50</f>
        <v>402</v>
      </c>
      <c r="O3" s="131">
        <f>'MO STATS'!N50</f>
        <v>390</v>
      </c>
      <c r="P3" s="131">
        <f>'MO STATS'!O50</f>
        <v>465</v>
      </c>
      <c r="Q3" s="131">
        <f>'MO STATS'!P50</f>
        <v>431</v>
      </c>
      <c r="R3" s="96">
        <f>SUM(F3:Q3)</f>
        <v>5278</v>
      </c>
      <c r="S3" s="3">
        <f>C3-R3</f>
        <v>0</v>
      </c>
    </row>
    <row r="4" spans="1:20" x14ac:dyDescent="0.2">
      <c r="B4" s="190" t="s">
        <v>300</v>
      </c>
      <c r="C4" s="191">
        <f>C2+C3</f>
        <v>5983</v>
      </c>
      <c r="D4" s="111"/>
      <c r="E4" s="111"/>
      <c r="F4" s="131">
        <f>'MO STATS'!E51</f>
        <v>495</v>
      </c>
      <c r="G4" s="131">
        <f>'MO STATS'!F51</f>
        <v>507</v>
      </c>
      <c r="H4" s="131">
        <f>'MO STATS'!G51</f>
        <v>478</v>
      </c>
      <c r="I4" s="131">
        <f>'MO STATS'!H51</f>
        <v>491</v>
      </c>
      <c r="J4" s="131">
        <f>'MO STATS'!I51</f>
        <v>572</v>
      </c>
      <c r="K4" s="131">
        <f>'MO STATS'!J51</f>
        <v>509</v>
      </c>
      <c r="L4" s="131">
        <f>'MO STATS'!K51</f>
        <v>499</v>
      </c>
      <c r="M4" s="131">
        <f>'MO STATS'!L51</f>
        <v>485</v>
      </c>
      <c r="N4" s="131">
        <f>'MO STATS'!M51</f>
        <v>475</v>
      </c>
      <c r="O4" s="131">
        <f>'MO STATS'!N51</f>
        <v>452</v>
      </c>
      <c r="P4" s="131">
        <f>'MO STATS'!O51</f>
        <v>542</v>
      </c>
      <c r="Q4" s="131">
        <f>'MO STATS'!P51</f>
        <v>478</v>
      </c>
      <c r="R4" s="96">
        <f>SUM(R2:R3)</f>
        <v>5983</v>
      </c>
      <c r="S4" s="3">
        <f>C4-R4</f>
        <v>0</v>
      </c>
    </row>
    <row r="5" spans="1:20" x14ac:dyDescent="0.2">
      <c r="B5" s="38" t="s">
        <v>940</v>
      </c>
      <c r="C5" s="483">
        <f>'[4]2017 FTEs'!$AS$22</f>
        <v>7</v>
      </c>
      <c r="D5" s="111"/>
      <c r="E5" s="111"/>
      <c r="F5" s="131"/>
      <c r="G5" s="131"/>
      <c r="H5" s="131"/>
      <c r="I5" s="131"/>
      <c r="J5" s="131"/>
      <c r="K5" s="131"/>
      <c r="L5" s="131"/>
      <c r="M5" s="131"/>
      <c r="N5" s="131"/>
      <c r="O5" s="131"/>
      <c r="P5" s="131"/>
      <c r="Q5" s="131"/>
      <c r="R5" s="96"/>
      <c r="S5" s="3"/>
    </row>
    <row r="6" spans="1:20" x14ac:dyDescent="0.2">
      <c r="B6" s="38" t="s">
        <v>939</v>
      </c>
      <c r="C6" s="191">
        <f>C5*2080</f>
        <v>14560</v>
      </c>
      <c r="D6" s="111"/>
      <c r="E6" s="111"/>
      <c r="F6" s="426">
        <f>($C6/$R7)*F7</f>
        <v>1236.6027397260275</v>
      </c>
      <c r="G6" s="426">
        <f t="shared" ref="G6:Q6" si="0">($C6/$R7)*G7</f>
        <v>1196.7123287671234</v>
      </c>
      <c r="H6" s="426">
        <f t="shared" si="0"/>
        <v>1236.6027397260275</v>
      </c>
      <c r="I6" s="426">
        <f t="shared" si="0"/>
        <v>1236.6027397260275</v>
      </c>
      <c r="J6" s="426">
        <f t="shared" si="0"/>
        <v>1116.9315068493152</v>
      </c>
      <c r="K6" s="426">
        <f t="shared" si="0"/>
        <v>1236.6027397260275</v>
      </c>
      <c r="L6" s="426">
        <f t="shared" si="0"/>
        <v>1196.7123287671234</v>
      </c>
      <c r="M6" s="426">
        <f t="shared" si="0"/>
        <v>1236.6027397260275</v>
      </c>
      <c r="N6" s="426">
        <f t="shared" si="0"/>
        <v>1196.7123287671234</v>
      </c>
      <c r="O6" s="426">
        <f t="shared" si="0"/>
        <v>1236.6027397260275</v>
      </c>
      <c r="P6" s="426">
        <f t="shared" si="0"/>
        <v>1236.6027397260275</v>
      </c>
      <c r="Q6" s="426">
        <f t="shared" si="0"/>
        <v>1196.7123287671234</v>
      </c>
      <c r="R6" s="6">
        <f>SUM(F6:Q6)</f>
        <v>14560.000000000004</v>
      </c>
      <c r="S6" s="3">
        <f>C6-R6</f>
        <v>0</v>
      </c>
    </row>
    <row r="7" spans="1:20" x14ac:dyDescent="0.2">
      <c r="B7" s="190"/>
      <c r="C7" s="191"/>
      <c r="D7" s="111"/>
      <c r="E7" s="111"/>
      <c r="F7" s="2">
        <v>31</v>
      </c>
      <c r="G7" s="2">
        <v>30</v>
      </c>
      <c r="H7" s="2">
        <v>31</v>
      </c>
      <c r="I7" s="2">
        <v>31</v>
      </c>
      <c r="J7" s="2">
        <v>28</v>
      </c>
      <c r="K7" s="2">
        <v>31</v>
      </c>
      <c r="L7" s="2">
        <v>30</v>
      </c>
      <c r="M7" s="2">
        <v>31</v>
      </c>
      <c r="N7" s="2">
        <v>30</v>
      </c>
      <c r="O7" s="2">
        <v>31</v>
      </c>
      <c r="P7" s="2">
        <v>31</v>
      </c>
      <c r="Q7" s="2">
        <v>30</v>
      </c>
      <c r="R7" s="6">
        <f t="shared" ref="R7" si="1">SUM(F7:Q7)</f>
        <v>365</v>
      </c>
      <c r="S7" s="3"/>
    </row>
    <row r="8" spans="1:20" x14ac:dyDescent="0.2">
      <c r="A8" s="1"/>
      <c r="B8" s="176" t="s">
        <v>35</v>
      </c>
      <c r="C8" s="192"/>
      <c r="D8" s="192"/>
      <c r="E8" s="193"/>
    </row>
    <row r="9" spans="1:20" x14ac:dyDescent="0.2">
      <c r="A9" s="21"/>
      <c r="B9" s="77" t="s">
        <v>491</v>
      </c>
      <c r="C9" s="78"/>
      <c r="D9" s="168" t="s">
        <v>492</v>
      </c>
      <c r="E9" s="140"/>
    </row>
    <row r="10" spans="1:20" x14ac:dyDescent="0.2">
      <c r="A10" s="16"/>
      <c r="B10" s="29" t="s">
        <v>352</v>
      </c>
      <c r="C10" s="28">
        <f>C$2*D10</f>
        <v>51718.864678899088</v>
      </c>
      <c r="D10" s="13">
        <f>[5]Radiology!$J$11</f>
        <v>73.36009174311927</v>
      </c>
      <c r="E10" s="7"/>
      <c r="F10" s="375">
        <f>$D10*F$2</f>
        <v>3301.2041284403672</v>
      </c>
      <c r="G10" s="375">
        <f t="shared" ref="G10:Q16" si="2">$D10*G$2</f>
        <v>3374.5642201834862</v>
      </c>
      <c r="H10" s="375">
        <f t="shared" si="2"/>
        <v>3521.2844036697252</v>
      </c>
      <c r="I10" s="375">
        <f t="shared" si="2"/>
        <v>3521.2844036697252</v>
      </c>
      <c r="J10" s="375">
        <f t="shared" si="2"/>
        <v>6529.0481651376149</v>
      </c>
      <c r="K10" s="375">
        <f t="shared" si="2"/>
        <v>5575.3669724770643</v>
      </c>
      <c r="L10" s="375">
        <f t="shared" si="2"/>
        <v>3814.7247706422022</v>
      </c>
      <c r="M10" s="375">
        <f t="shared" si="2"/>
        <v>3081.1238532110092</v>
      </c>
      <c r="N10" s="375">
        <f t="shared" si="2"/>
        <v>5355.2866972477068</v>
      </c>
      <c r="O10" s="375">
        <f t="shared" si="2"/>
        <v>4548.3256880733943</v>
      </c>
      <c r="P10" s="375">
        <f t="shared" si="2"/>
        <v>5648.7270642201838</v>
      </c>
      <c r="Q10" s="375">
        <f t="shared" si="2"/>
        <v>3447.9243119266057</v>
      </c>
      <c r="R10" s="109">
        <f>SUM(F10:Q10)</f>
        <v>51718.864678899081</v>
      </c>
      <c r="S10" s="3">
        <f>C10-R10</f>
        <v>0</v>
      </c>
      <c r="T10" s="3"/>
    </row>
    <row r="11" spans="1:20" x14ac:dyDescent="0.2">
      <c r="A11" s="16"/>
      <c r="B11" s="29" t="s">
        <v>353</v>
      </c>
      <c r="C11" s="28">
        <f t="shared" ref="C11:C16" si="3">C$2*D11</f>
        <v>244.16284403669724</v>
      </c>
      <c r="D11" s="13">
        <f>[5]Radiology!$J$12</f>
        <v>0.34633027522935778</v>
      </c>
      <c r="E11" s="7"/>
      <c r="F11" s="375">
        <f t="shared" ref="F11:Q24" si="4">$D11*F$2</f>
        <v>15.584862385321101</v>
      </c>
      <c r="G11" s="375">
        <f t="shared" si="2"/>
        <v>15.931192660550458</v>
      </c>
      <c r="H11" s="375">
        <f t="shared" si="2"/>
        <v>16.623853211009173</v>
      </c>
      <c r="I11" s="375">
        <f t="shared" si="2"/>
        <v>16.623853211009173</v>
      </c>
      <c r="J11" s="375">
        <f t="shared" si="2"/>
        <v>30.823394495412842</v>
      </c>
      <c r="K11" s="375">
        <f t="shared" si="2"/>
        <v>26.321100917431192</v>
      </c>
      <c r="L11" s="375">
        <f t="shared" si="2"/>
        <v>18.009174311926603</v>
      </c>
      <c r="M11" s="375">
        <f t="shared" si="2"/>
        <v>14.545871559633026</v>
      </c>
      <c r="N11" s="375">
        <f t="shared" si="2"/>
        <v>25.282110091743117</v>
      </c>
      <c r="O11" s="375">
        <f t="shared" si="2"/>
        <v>21.472477064220183</v>
      </c>
      <c r="P11" s="375">
        <f t="shared" si="2"/>
        <v>26.667431192660548</v>
      </c>
      <c r="Q11" s="375">
        <f t="shared" si="2"/>
        <v>16.277522935779814</v>
      </c>
      <c r="R11" s="109">
        <f t="shared" ref="R11:R33" si="5">SUM(F11:Q11)</f>
        <v>244.16284403669724</v>
      </c>
      <c r="S11" s="3">
        <f t="shared" ref="S11:S34" si="6">C11-R11</f>
        <v>0</v>
      </c>
      <c r="T11" s="3"/>
    </row>
    <row r="12" spans="1:20" x14ac:dyDescent="0.2">
      <c r="A12" s="16"/>
      <c r="B12" s="29" t="s">
        <v>355</v>
      </c>
      <c r="C12" s="28">
        <f t="shared" si="3"/>
        <v>1041.3302752293578</v>
      </c>
      <c r="D12" s="13">
        <f>[5]Radiology!$J$13</f>
        <v>1.4770642201834863</v>
      </c>
      <c r="E12" s="7"/>
      <c r="F12" s="375">
        <f t="shared" si="4"/>
        <v>66.467889908256879</v>
      </c>
      <c r="G12" s="375">
        <f t="shared" si="2"/>
        <v>67.944954128440372</v>
      </c>
      <c r="H12" s="375">
        <f t="shared" si="2"/>
        <v>70.899082568807344</v>
      </c>
      <c r="I12" s="375">
        <f t="shared" si="2"/>
        <v>70.899082568807344</v>
      </c>
      <c r="J12" s="375">
        <f t="shared" si="2"/>
        <v>131.45871559633028</v>
      </c>
      <c r="K12" s="375">
        <f t="shared" si="2"/>
        <v>112.25688073394495</v>
      </c>
      <c r="L12" s="375">
        <f t="shared" si="2"/>
        <v>76.807339449541288</v>
      </c>
      <c r="M12" s="375">
        <f t="shared" si="2"/>
        <v>62.036697247706421</v>
      </c>
      <c r="N12" s="375">
        <f t="shared" si="2"/>
        <v>107.8256880733945</v>
      </c>
      <c r="O12" s="375">
        <f t="shared" si="2"/>
        <v>91.577981651376149</v>
      </c>
      <c r="P12" s="375">
        <f t="shared" si="2"/>
        <v>113.73394495412845</v>
      </c>
      <c r="Q12" s="375">
        <f t="shared" si="2"/>
        <v>69.422018348623851</v>
      </c>
      <c r="R12" s="109">
        <f t="shared" si="5"/>
        <v>1041.330275229358</v>
      </c>
      <c r="S12" s="3">
        <f t="shared" si="6"/>
        <v>0</v>
      </c>
      <c r="T12" s="3"/>
    </row>
    <row r="13" spans="1:20" x14ac:dyDescent="0.2">
      <c r="A13" s="16"/>
      <c r="B13" s="29" t="s">
        <v>370</v>
      </c>
      <c r="C13" s="28">
        <f t="shared" si="3"/>
        <v>0</v>
      </c>
      <c r="D13" s="13"/>
      <c r="E13" s="7"/>
      <c r="F13" s="375">
        <f t="shared" si="4"/>
        <v>0</v>
      </c>
      <c r="G13" s="375">
        <f t="shared" si="2"/>
        <v>0</v>
      </c>
      <c r="H13" s="375">
        <f t="shared" si="2"/>
        <v>0</v>
      </c>
      <c r="I13" s="375">
        <f t="shared" si="2"/>
        <v>0</v>
      </c>
      <c r="J13" s="375">
        <f t="shared" si="2"/>
        <v>0</v>
      </c>
      <c r="K13" s="375">
        <f t="shared" si="2"/>
        <v>0</v>
      </c>
      <c r="L13" s="375">
        <f t="shared" si="2"/>
        <v>0</v>
      </c>
      <c r="M13" s="375">
        <f t="shared" si="2"/>
        <v>0</v>
      </c>
      <c r="N13" s="375">
        <f t="shared" si="2"/>
        <v>0</v>
      </c>
      <c r="O13" s="375">
        <f t="shared" si="2"/>
        <v>0</v>
      </c>
      <c r="P13" s="375">
        <f t="shared" si="2"/>
        <v>0</v>
      </c>
      <c r="Q13" s="375">
        <f t="shared" si="2"/>
        <v>0</v>
      </c>
      <c r="R13" s="109">
        <f t="shared" si="5"/>
        <v>0</v>
      </c>
      <c r="S13" s="3">
        <f t="shared" si="6"/>
        <v>0</v>
      </c>
      <c r="T13" s="3"/>
    </row>
    <row r="14" spans="1:20" x14ac:dyDescent="0.2">
      <c r="A14" s="16"/>
      <c r="B14" s="29" t="s">
        <v>356</v>
      </c>
      <c r="C14" s="28">
        <f t="shared" si="3"/>
        <v>3636.5711009174311</v>
      </c>
      <c r="D14" s="13">
        <f>[5]Radiology!$J$15</f>
        <v>5.1582568807339451</v>
      </c>
      <c r="E14" s="7"/>
      <c r="F14" s="375">
        <f t="shared" si="4"/>
        <v>232.12155963302752</v>
      </c>
      <c r="G14" s="375">
        <f t="shared" si="2"/>
        <v>237.27981651376146</v>
      </c>
      <c r="H14" s="375">
        <f t="shared" si="2"/>
        <v>247.59633027522938</v>
      </c>
      <c r="I14" s="375">
        <f t="shared" si="2"/>
        <v>247.59633027522938</v>
      </c>
      <c r="J14" s="375">
        <f t="shared" si="2"/>
        <v>459.08486238532112</v>
      </c>
      <c r="K14" s="375">
        <f t="shared" si="2"/>
        <v>392.02752293577981</v>
      </c>
      <c r="L14" s="375">
        <f t="shared" si="2"/>
        <v>268.22935779816515</v>
      </c>
      <c r="M14" s="375">
        <f t="shared" si="2"/>
        <v>216.64678899082568</v>
      </c>
      <c r="N14" s="375">
        <f t="shared" si="2"/>
        <v>376.55275229357801</v>
      </c>
      <c r="O14" s="375">
        <f t="shared" si="2"/>
        <v>319.8119266055046</v>
      </c>
      <c r="P14" s="375">
        <f t="shared" si="2"/>
        <v>397.18577981651379</v>
      </c>
      <c r="Q14" s="375">
        <f t="shared" si="2"/>
        <v>242.4380733944954</v>
      </c>
      <c r="R14" s="109">
        <f t="shared" si="5"/>
        <v>3636.5711009174315</v>
      </c>
      <c r="S14" s="3">
        <f t="shared" si="6"/>
        <v>0</v>
      </c>
      <c r="T14" s="3"/>
    </row>
    <row r="15" spans="1:20" x14ac:dyDescent="0.2">
      <c r="A15" s="16"/>
      <c r="B15" s="29" t="s">
        <v>354</v>
      </c>
      <c r="C15" s="28">
        <f t="shared" si="3"/>
        <v>13511.422018348623</v>
      </c>
      <c r="D15" s="13">
        <f>[5]Radiology!$J$16</f>
        <v>19.165137614678898</v>
      </c>
      <c r="E15" s="7"/>
      <c r="F15" s="375">
        <f t="shared" si="4"/>
        <v>862.43119266055044</v>
      </c>
      <c r="G15" s="375">
        <f t="shared" si="2"/>
        <v>881.59633027522932</v>
      </c>
      <c r="H15" s="375">
        <f t="shared" si="2"/>
        <v>919.92660550458709</v>
      </c>
      <c r="I15" s="375">
        <f t="shared" si="2"/>
        <v>919.92660550458709</v>
      </c>
      <c r="J15" s="375">
        <f t="shared" si="2"/>
        <v>1705.6972477064219</v>
      </c>
      <c r="K15" s="375">
        <f t="shared" si="2"/>
        <v>1456.5504587155963</v>
      </c>
      <c r="L15" s="375">
        <f t="shared" si="2"/>
        <v>996.58715596330262</v>
      </c>
      <c r="M15" s="375">
        <f t="shared" si="2"/>
        <v>804.93577981651367</v>
      </c>
      <c r="N15" s="375">
        <f t="shared" si="2"/>
        <v>1399.0550458715595</v>
      </c>
      <c r="O15" s="375">
        <f t="shared" si="2"/>
        <v>1188.2385321100917</v>
      </c>
      <c r="P15" s="375">
        <f t="shared" si="2"/>
        <v>1475.715596330275</v>
      </c>
      <c r="Q15" s="375">
        <f t="shared" si="2"/>
        <v>900.7614678899082</v>
      </c>
      <c r="R15" s="109">
        <f t="shared" si="5"/>
        <v>13511.422018348623</v>
      </c>
      <c r="S15" s="3">
        <f t="shared" si="6"/>
        <v>0</v>
      </c>
      <c r="T15" s="3"/>
    </row>
    <row r="16" spans="1:20" x14ac:dyDescent="0.2">
      <c r="A16" s="16"/>
      <c r="B16" s="29" t="s">
        <v>357</v>
      </c>
      <c r="C16" s="28">
        <f t="shared" si="3"/>
        <v>1128.6467889908258</v>
      </c>
      <c r="D16" s="13">
        <f>[5]Radiology!$J$17</f>
        <v>1.6009174311926606</v>
      </c>
      <c r="E16" s="7"/>
      <c r="F16" s="375">
        <f t="shared" si="4"/>
        <v>72.041284403669721</v>
      </c>
      <c r="G16" s="375">
        <f t="shared" si="2"/>
        <v>73.642201834862391</v>
      </c>
      <c r="H16" s="375">
        <f t="shared" si="2"/>
        <v>76.844036697247702</v>
      </c>
      <c r="I16" s="375">
        <f t="shared" si="2"/>
        <v>76.844036697247702</v>
      </c>
      <c r="J16" s="375">
        <f t="shared" si="2"/>
        <v>142.4816513761468</v>
      </c>
      <c r="K16" s="375">
        <f t="shared" si="2"/>
        <v>121.6697247706422</v>
      </c>
      <c r="L16" s="375">
        <f t="shared" si="2"/>
        <v>83.247706422018354</v>
      </c>
      <c r="M16" s="375">
        <f t="shared" si="2"/>
        <v>67.238532110091739</v>
      </c>
      <c r="N16" s="375">
        <f t="shared" si="2"/>
        <v>116.86697247706422</v>
      </c>
      <c r="O16" s="375">
        <f t="shared" si="2"/>
        <v>99.256880733944953</v>
      </c>
      <c r="P16" s="375">
        <f t="shared" si="2"/>
        <v>123.27064220183486</v>
      </c>
      <c r="Q16" s="375">
        <f t="shared" si="2"/>
        <v>75.243119266055047</v>
      </c>
      <c r="R16" s="109">
        <f t="shared" si="5"/>
        <v>1128.6467889908258</v>
      </c>
      <c r="S16" s="3">
        <f t="shared" si="6"/>
        <v>0</v>
      </c>
      <c r="T16" s="3"/>
    </row>
    <row r="17" spans="1:20" x14ac:dyDescent="0.2">
      <c r="A17" s="87">
        <v>31110.061000000002</v>
      </c>
      <c r="B17" s="161" t="s">
        <v>496</v>
      </c>
      <c r="C17" s="293">
        <f>SUM(C10:C16)</f>
        <v>71280.997706422029</v>
      </c>
      <c r="D17" s="292"/>
      <c r="E17" s="292"/>
      <c r="F17" s="369">
        <f>SUM(F10:F16)</f>
        <v>4549.850917431193</v>
      </c>
      <c r="G17" s="369">
        <f t="shared" ref="G17:Q17" si="7">SUM(G10:G16)</f>
        <v>4650.95871559633</v>
      </c>
      <c r="H17" s="369">
        <f t="shared" si="7"/>
        <v>4853.1743119266066</v>
      </c>
      <c r="I17" s="369">
        <f t="shared" si="7"/>
        <v>4853.1743119266066</v>
      </c>
      <c r="J17" s="369">
        <f t="shared" si="7"/>
        <v>8998.5940366972463</v>
      </c>
      <c r="K17" s="369">
        <f t="shared" si="7"/>
        <v>7684.1926605504586</v>
      </c>
      <c r="L17" s="369">
        <f t="shared" si="7"/>
        <v>5257.6055045871562</v>
      </c>
      <c r="M17" s="369">
        <f t="shared" si="7"/>
        <v>4246.5275229357794</v>
      </c>
      <c r="N17" s="369">
        <f t="shared" si="7"/>
        <v>7380.8692660550469</v>
      </c>
      <c r="O17" s="369">
        <f t="shared" si="7"/>
        <v>6268.6834862385322</v>
      </c>
      <c r="P17" s="369">
        <f t="shared" si="7"/>
        <v>7785.3004587155965</v>
      </c>
      <c r="Q17" s="369">
        <f t="shared" si="7"/>
        <v>4752.0665137614678</v>
      </c>
      <c r="R17" s="369">
        <f t="shared" si="5"/>
        <v>71280.997706422015</v>
      </c>
      <c r="S17" s="292">
        <f t="shared" si="6"/>
        <v>0</v>
      </c>
      <c r="T17" s="3"/>
    </row>
    <row r="18" spans="1:20" x14ac:dyDescent="0.2">
      <c r="A18" s="16"/>
      <c r="B18" s="29" t="s">
        <v>424</v>
      </c>
      <c r="C18" s="28">
        <f t="shared" ref="C18:C24" si="8">C$2*D18</f>
        <v>18596.800458715596</v>
      </c>
      <c r="D18" s="13">
        <f>[5]Radiology!$J$21</f>
        <v>26.378440366972477</v>
      </c>
      <c r="E18" s="7"/>
      <c r="F18" s="375">
        <f t="shared" si="4"/>
        <v>1187.0298165137615</v>
      </c>
      <c r="G18" s="375">
        <f t="shared" si="4"/>
        <v>1213.4082568807339</v>
      </c>
      <c r="H18" s="375">
        <f t="shared" si="4"/>
        <v>1266.1651376146788</v>
      </c>
      <c r="I18" s="375">
        <f t="shared" si="4"/>
        <v>1266.1651376146788</v>
      </c>
      <c r="J18" s="375">
        <f t="shared" si="4"/>
        <v>2347.6811926605506</v>
      </c>
      <c r="K18" s="375">
        <f t="shared" si="4"/>
        <v>2004.7614678899083</v>
      </c>
      <c r="L18" s="375">
        <f t="shared" si="4"/>
        <v>1371.6788990825687</v>
      </c>
      <c r="M18" s="375">
        <f t="shared" si="4"/>
        <v>1107.894495412844</v>
      </c>
      <c r="N18" s="375">
        <f t="shared" si="4"/>
        <v>1925.6261467889908</v>
      </c>
      <c r="O18" s="375">
        <f t="shared" si="4"/>
        <v>1635.4633027522937</v>
      </c>
      <c r="P18" s="375">
        <f t="shared" si="4"/>
        <v>2031.1399082568807</v>
      </c>
      <c r="Q18" s="375">
        <f t="shared" si="4"/>
        <v>1239.7866972477063</v>
      </c>
      <c r="R18" s="109">
        <f t="shared" si="5"/>
        <v>18596.800458715596</v>
      </c>
      <c r="S18" s="3">
        <f t="shared" si="6"/>
        <v>0</v>
      </c>
      <c r="T18" s="3"/>
    </row>
    <row r="19" spans="1:20" x14ac:dyDescent="0.2">
      <c r="A19" s="16"/>
      <c r="B19" s="29" t="s">
        <v>425</v>
      </c>
      <c r="C19" s="28">
        <f t="shared" si="8"/>
        <v>0</v>
      </c>
      <c r="D19" s="13"/>
      <c r="E19" s="7"/>
      <c r="F19" s="375">
        <f t="shared" si="4"/>
        <v>0</v>
      </c>
      <c r="G19" s="375">
        <f t="shared" si="4"/>
        <v>0</v>
      </c>
      <c r="H19" s="375">
        <f t="shared" si="4"/>
        <v>0</v>
      </c>
      <c r="I19" s="375">
        <f t="shared" si="4"/>
        <v>0</v>
      </c>
      <c r="J19" s="375">
        <f t="shared" si="4"/>
        <v>0</v>
      </c>
      <c r="K19" s="375">
        <f t="shared" si="4"/>
        <v>0</v>
      </c>
      <c r="L19" s="375">
        <f t="shared" si="4"/>
        <v>0</v>
      </c>
      <c r="M19" s="375">
        <f t="shared" si="4"/>
        <v>0</v>
      </c>
      <c r="N19" s="375">
        <f t="shared" si="4"/>
        <v>0</v>
      </c>
      <c r="O19" s="375">
        <f t="shared" si="4"/>
        <v>0</v>
      </c>
      <c r="P19" s="375">
        <f t="shared" si="4"/>
        <v>0</v>
      </c>
      <c r="Q19" s="375">
        <f t="shared" si="4"/>
        <v>0</v>
      </c>
      <c r="R19" s="109">
        <f t="shared" si="5"/>
        <v>0</v>
      </c>
      <c r="S19" s="3">
        <f t="shared" si="6"/>
        <v>0</v>
      </c>
      <c r="T19" s="3"/>
    </row>
    <row r="20" spans="1:20" x14ac:dyDescent="0.2">
      <c r="A20" s="16"/>
      <c r="B20" s="29" t="s">
        <v>426</v>
      </c>
      <c r="C20" s="28">
        <f t="shared" si="8"/>
        <v>0</v>
      </c>
      <c r="D20" s="13"/>
      <c r="E20" s="7"/>
      <c r="F20" s="375">
        <f t="shared" si="4"/>
        <v>0</v>
      </c>
      <c r="G20" s="375">
        <f t="shared" si="4"/>
        <v>0</v>
      </c>
      <c r="H20" s="375">
        <f t="shared" si="4"/>
        <v>0</v>
      </c>
      <c r="I20" s="375">
        <f t="shared" si="4"/>
        <v>0</v>
      </c>
      <c r="J20" s="375">
        <f t="shared" si="4"/>
        <v>0</v>
      </c>
      <c r="K20" s="375">
        <f t="shared" si="4"/>
        <v>0</v>
      </c>
      <c r="L20" s="375">
        <f t="shared" si="4"/>
        <v>0</v>
      </c>
      <c r="M20" s="375">
        <f t="shared" si="4"/>
        <v>0</v>
      </c>
      <c r="N20" s="375">
        <f t="shared" si="4"/>
        <v>0</v>
      </c>
      <c r="O20" s="375">
        <f t="shared" si="4"/>
        <v>0</v>
      </c>
      <c r="P20" s="375">
        <f t="shared" si="4"/>
        <v>0</v>
      </c>
      <c r="Q20" s="375">
        <f t="shared" si="4"/>
        <v>0</v>
      </c>
      <c r="R20" s="109">
        <f t="shared" si="5"/>
        <v>0</v>
      </c>
      <c r="S20" s="3">
        <f t="shared" si="6"/>
        <v>0</v>
      </c>
      <c r="T20" s="3"/>
    </row>
    <row r="21" spans="1:20" s="5" customFormat="1" x14ac:dyDescent="0.2">
      <c r="A21" s="87"/>
      <c r="B21" s="29" t="s">
        <v>427</v>
      </c>
      <c r="C21" s="28">
        <f t="shared" si="8"/>
        <v>0</v>
      </c>
      <c r="D21" s="27"/>
      <c r="E21" s="104"/>
      <c r="F21" s="375">
        <f t="shared" si="4"/>
        <v>0</v>
      </c>
      <c r="G21" s="375">
        <f t="shared" si="4"/>
        <v>0</v>
      </c>
      <c r="H21" s="375">
        <f t="shared" si="4"/>
        <v>0</v>
      </c>
      <c r="I21" s="375">
        <f t="shared" si="4"/>
        <v>0</v>
      </c>
      <c r="J21" s="375">
        <f t="shared" si="4"/>
        <v>0</v>
      </c>
      <c r="K21" s="375">
        <f t="shared" si="4"/>
        <v>0</v>
      </c>
      <c r="L21" s="375">
        <f t="shared" si="4"/>
        <v>0</v>
      </c>
      <c r="M21" s="375">
        <f t="shared" si="4"/>
        <v>0</v>
      </c>
      <c r="N21" s="375">
        <f t="shared" si="4"/>
        <v>0</v>
      </c>
      <c r="O21" s="375">
        <f t="shared" si="4"/>
        <v>0</v>
      </c>
      <c r="P21" s="375">
        <f t="shared" si="4"/>
        <v>0</v>
      </c>
      <c r="Q21" s="375">
        <f t="shared" si="4"/>
        <v>0</v>
      </c>
      <c r="R21" s="109">
        <f t="shared" si="5"/>
        <v>0</v>
      </c>
      <c r="S21" s="3">
        <f t="shared" si="6"/>
        <v>0</v>
      </c>
      <c r="T21" s="3"/>
    </row>
    <row r="22" spans="1:20" x14ac:dyDescent="0.2">
      <c r="A22" s="16"/>
      <c r="B22" s="29" t="s">
        <v>428</v>
      </c>
      <c r="C22" s="28">
        <f t="shared" si="8"/>
        <v>0</v>
      </c>
      <c r="D22" s="13"/>
      <c r="E22" s="7"/>
      <c r="F22" s="375">
        <f t="shared" si="4"/>
        <v>0</v>
      </c>
      <c r="G22" s="375">
        <f t="shared" si="4"/>
        <v>0</v>
      </c>
      <c r="H22" s="375">
        <f t="shared" si="4"/>
        <v>0</v>
      </c>
      <c r="I22" s="375">
        <f t="shared" si="4"/>
        <v>0</v>
      </c>
      <c r="J22" s="375">
        <f t="shared" si="4"/>
        <v>0</v>
      </c>
      <c r="K22" s="375">
        <f t="shared" si="4"/>
        <v>0</v>
      </c>
      <c r="L22" s="375">
        <f t="shared" si="4"/>
        <v>0</v>
      </c>
      <c r="M22" s="375">
        <f t="shared" si="4"/>
        <v>0</v>
      </c>
      <c r="N22" s="375">
        <f t="shared" si="4"/>
        <v>0</v>
      </c>
      <c r="O22" s="375">
        <f t="shared" si="4"/>
        <v>0</v>
      </c>
      <c r="P22" s="375">
        <f t="shared" si="4"/>
        <v>0</v>
      </c>
      <c r="Q22" s="375">
        <f t="shared" si="4"/>
        <v>0</v>
      </c>
      <c r="R22" s="109">
        <f t="shared" si="5"/>
        <v>0</v>
      </c>
      <c r="S22" s="3">
        <f t="shared" si="6"/>
        <v>0</v>
      </c>
      <c r="T22" s="3"/>
    </row>
    <row r="23" spans="1:20" x14ac:dyDescent="0.2">
      <c r="A23" s="16"/>
      <c r="B23" s="29" t="s">
        <v>429</v>
      </c>
      <c r="C23" s="28">
        <f t="shared" si="8"/>
        <v>0</v>
      </c>
      <c r="D23" s="13"/>
      <c r="E23" s="7"/>
      <c r="F23" s="375">
        <f t="shared" si="4"/>
        <v>0</v>
      </c>
      <c r="G23" s="375">
        <f t="shared" si="4"/>
        <v>0</v>
      </c>
      <c r="H23" s="375">
        <f t="shared" si="4"/>
        <v>0</v>
      </c>
      <c r="I23" s="375">
        <f t="shared" si="4"/>
        <v>0</v>
      </c>
      <c r="J23" s="375">
        <f t="shared" si="4"/>
        <v>0</v>
      </c>
      <c r="K23" s="375">
        <f t="shared" si="4"/>
        <v>0</v>
      </c>
      <c r="L23" s="375">
        <f t="shared" si="4"/>
        <v>0</v>
      </c>
      <c r="M23" s="375">
        <f t="shared" si="4"/>
        <v>0</v>
      </c>
      <c r="N23" s="375">
        <f t="shared" si="4"/>
        <v>0</v>
      </c>
      <c r="O23" s="375">
        <f t="shared" si="4"/>
        <v>0</v>
      </c>
      <c r="P23" s="375">
        <f t="shared" si="4"/>
        <v>0</v>
      </c>
      <c r="Q23" s="375">
        <f t="shared" si="4"/>
        <v>0</v>
      </c>
      <c r="R23" s="109">
        <f t="shared" si="5"/>
        <v>0</v>
      </c>
      <c r="S23" s="3">
        <f t="shared" si="6"/>
        <v>0</v>
      </c>
      <c r="T23" s="3"/>
    </row>
    <row r="24" spans="1:20" x14ac:dyDescent="0.2">
      <c r="A24" s="16"/>
      <c r="B24" s="29" t="s">
        <v>430</v>
      </c>
      <c r="C24" s="28">
        <f t="shared" si="8"/>
        <v>0</v>
      </c>
      <c r="D24" s="13"/>
      <c r="E24" s="7"/>
      <c r="F24" s="375">
        <f t="shared" si="4"/>
        <v>0</v>
      </c>
      <c r="G24" s="375">
        <f t="shared" si="4"/>
        <v>0</v>
      </c>
      <c r="H24" s="375">
        <f t="shared" si="4"/>
        <v>0</v>
      </c>
      <c r="I24" s="375">
        <f t="shared" si="4"/>
        <v>0</v>
      </c>
      <c r="J24" s="375">
        <f t="shared" si="4"/>
        <v>0</v>
      </c>
      <c r="K24" s="375">
        <f t="shared" si="4"/>
        <v>0</v>
      </c>
      <c r="L24" s="375">
        <f t="shared" si="4"/>
        <v>0</v>
      </c>
      <c r="M24" s="375">
        <f t="shared" si="4"/>
        <v>0</v>
      </c>
      <c r="N24" s="375">
        <f t="shared" si="4"/>
        <v>0</v>
      </c>
      <c r="O24" s="375">
        <f t="shared" si="4"/>
        <v>0</v>
      </c>
      <c r="P24" s="375">
        <f t="shared" si="4"/>
        <v>0</v>
      </c>
      <c r="Q24" s="375">
        <f t="shared" si="4"/>
        <v>0</v>
      </c>
      <c r="R24" s="109">
        <f t="shared" si="5"/>
        <v>0</v>
      </c>
      <c r="S24" s="3">
        <f t="shared" si="6"/>
        <v>0</v>
      </c>
      <c r="T24" s="3"/>
    </row>
    <row r="25" spans="1:20" x14ac:dyDescent="0.2">
      <c r="A25" s="87">
        <v>31111.061000000002</v>
      </c>
      <c r="B25" s="161" t="s">
        <v>497</v>
      </c>
      <c r="C25" s="293">
        <f>SUM(C18:C24)</f>
        <v>18596.800458715596</v>
      </c>
      <c r="D25" s="292"/>
      <c r="E25" s="292"/>
      <c r="F25" s="369">
        <f>SUM(F18:F24)</f>
        <v>1187.0298165137615</v>
      </c>
      <c r="G25" s="369">
        <f t="shared" ref="G25:Q25" si="9">SUM(G18:G24)</f>
        <v>1213.4082568807339</v>
      </c>
      <c r="H25" s="369">
        <f t="shared" si="9"/>
        <v>1266.1651376146788</v>
      </c>
      <c r="I25" s="369">
        <f t="shared" si="9"/>
        <v>1266.1651376146788</v>
      </c>
      <c r="J25" s="369">
        <f t="shared" si="9"/>
        <v>2347.6811926605506</v>
      </c>
      <c r="K25" s="369">
        <f t="shared" si="9"/>
        <v>2004.7614678899083</v>
      </c>
      <c r="L25" s="369">
        <f t="shared" si="9"/>
        <v>1371.6788990825687</v>
      </c>
      <c r="M25" s="369">
        <f t="shared" si="9"/>
        <v>1107.894495412844</v>
      </c>
      <c r="N25" s="369">
        <f t="shared" si="9"/>
        <v>1925.6261467889908</v>
      </c>
      <c r="O25" s="369">
        <f t="shared" si="9"/>
        <v>1635.4633027522937</v>
      </c>
      <c r="P25" s="369">
        <f t="shared" si="9"/>
        <v>2031.1399082568807</v>
      </c>
      <c r="Q25" s="369">
        <f t="shared" si="9"/>
        <v>1239.7866972477063</v>
      </c>
      <c r="R25" s="369">
        <f t="shared" si="5"/>
        <v>18596.800458715596</v>
      </c>
      <c r="S25" s="292">
        <f t="shared" si="6"/>
        <v>0</v>
      </c>
      <c r="T25" s="3"/>
    </row>
    <row r="26" spans="1:20" x14ac:dyDescent="0.2">
      <c r="A26" s="16"/>
      <c r="B26" s="29" t="s">
        <v>358</v>
      </c>
      <c r="C26" s="28">
        <f t="shared" ref="C26:C32" si="10">C$3*D26</f>
        <v>319722.88855869242</v>
      </c>
      <c r="D26" s="13">
        <f>[5]Radiology!$J$31</f>
        <v>60.576523031203564</v>
      </c>
      <c r="E26" s="7"/>
      <c r="F26" s="375">
        <f>$D26*F$3</f>
        <v>27259.435364041605</v>
      </c>
      <c r="G26" s="375">
        <f t="shared" ref="G26:Q32" si="11">$D26*G$3</f>
        <v>27925.777117384841</v>
      </c>
      <c r="H26" s="375">
        <f t="shared" si="11"/>
        <v>26047.904903417533</v>
      </c>
      <c r="I26" s="375">
        <f t="shared" si="11"/>
        <v>26835.399702823179</v>
      </c>
      <c r="J26" s="375">
        <f t="shared" si="11"/>
        <v>29258.460624071322</v>
      </c>
      <c r="K26" s="375">
        <f t="shared" si="11"/>
        <v>26229.634472511145</v>
      </c>
      <c r="L26" s="375">
        <f t="shared" si="11"/>
        <v>27077.705794947993</v>
      </c>
      <c r="M26" s="375">
        <f t="shared" si="11"/>
        <v>26835.399702823179</v>
      </c>
      <c r="N26" s="375">
        <f t="shared" si="11"/>
        <v>24351.762258543833</v>
      </c>
      <c r="O26" s="375">
        <f t="shared" si="11"/>
        <v>23624.84398216939</v>
      </c>
      <c r="P26" s="375">
        <f t="shared" si="11"/>
        <v>28168.083209509656</v>
      </c>
      <c r="Q26" s="375">
        <f t="shared" si="11"/>
        <v>26108.481426448736</v>
      </c>
      <c r="R26" s="109">
        <f t="shared" si="5"/>
        <v>319722.88855869247</v>
      </c>
      <c r="S26" s="3">
        <f t="shared" si="6"/>
        <v>0</v>
      </c>
      <c r="T26" s="3"/>
    </row>
    <row r="27" spans="1:20" x14ac:dyDescent="0.2">
      <c r="A27" s="16"/>
      <c r="B27" s="29" t="s">
        <v>359</v>
      </c>
      <c r="C27" s="28">
        <f t="shared" si="10"/>
        <v>23685.645864289254</v>
      </c>
      <c r="D27" s="13">
        <f>[5]Radiology!$J$32</f>
        <v>4.4876176324913324</v>
      </c>
      <c r="E27" s="7"/>
      <c r="F27" s="375">
        <f t="shared" ref="F27:F32" si="12">$D27*F$3</f>
        <v>2019.4279346210997</v>
      </c>
      <c r="G27" s="375">
        <f t="shared" si="11"/>
        <v>2068.7917285785043</v>
      </c>
      <c r="H27" s="375">
        <f t="shared" si="11"/>
        <v>1929.675581971273</v>
      </c>
      <c r="I27" s="375">
        <f t="shared" si="11"/>
        <v>1988.0146111936604</v>
      </c>
      <c r="J27" s="375">
        <f t="shared" si="11"/>
        <v>2167.5193164933135</v>
      </c>
      <c r="K27" s="375">
        <f t="shared" si="11"/>
        <v>1943.138434868747</v>
      </c>
      <c r="L27" s="375">
        <f t="shared" si="11"/>
        <v>2005.9650817236256</v>
      </c>
      <c r="M27" s="375">
        <f t="shared" si="11"/>
        <v>1988.0146111936604</v>
      </c>
      <c r="N27" s="375">
        <f t="shared" si="11"/>
        <v>1804.0222882615155</v>
      </c>
      <c r="O27" s="375">
        <f t="shared" si="11"/>
        <v>1750.1708766716197</v>
      </c>
      <c r="P27" s="375">
        <f t="shared" si="11"/>
        <v>2086.7421991084698</v>
      </c>
      <c r="Q27" s="375">
        <f t="shared" si="11"/>
        <v>1934.1631996037643</v>
      </c>
      <c r="R27" s="109">
        <f t="shared" si="5"/>
        <v>23685.64586428925</v>
      </c>
      <c r="S27" s="3">
        <f t="shared" si="6"/>
        <v>0</v>
      </c>
      <c r="T27" s="3"/>
    </row>
    <row r="28" spans="1:20" x14ac:dyDescent="0.2">
      <c r="A28" s="16"/>
      <c r="B28" s="29" t="s">
        <v>372</v>
      </c>
      <c r="C28" s="28">
        <f t="shared" si="10"/>
        <v>151392.8553739475</v>
      </c>
      <c r="D28" s="13">
        <f>[5]Radiology!$J$33</f>
        <v>28.683754333828627</v>
      </c>
      <c r="E28" s="7"/>
      <c r="F28" s="375">
        <f t="shared" si="12"/>
        <v>12907.689450222882</v>
      </c>
      <c r="G28" s="375">
        <f t="shared" si="11"/>
        <v>13223.210747894997</v>
      </c>
      <c r="H28" s="375">
        <f t="shared" si="11"/>
        <v>12334.01436354631</v>
      </c>
      <c r="I28" s="375">
        <f t="shared" si="11"/>
        <v>12706.903169886082</v>
      </c>
      <c r="J28" s="375">
        <f t="shared" si="11"/>
        <v>13854.253343239227</v>
      </c>
      <c r="K28" s="375">
        <f t="shared" si="11"/>
        <v>12420.065626547796</v>
      </c>
      <c r="L28" s="375">
        <f t="shared" si="11"/>
        <v>12821.638187221397</v>
      </c>
      <c r="M28" s="375">
        <f t="shared" si="11"/>
        <v>12706.903169886082</v>
      </c>
      <c r="N28" s="375">
        <f t="shared" si="11"/>
        <v>11530.869242199109</v>
      </c>
      <c r="O28" s="375">
        <f t="shared" si="11"/>
        <v>11186.664190193165</v>
      </c>
      <c r="P28" s="375">
        <f t="shared" si="11"/>
        <v>13337.945765230312</v>
      </c>
      <c r="Q28" s="375">
        <f t="shared" si="11"/>
        <v>12362.698117880138</v>
      </c>
      <c r="R28" s="109">
        <f t="shared" si="5"/>
        <v>151392.8553739475</v>
      </c>
      <c r="S28" s="3">
        <f t="shared" si="6"/>
        <v>0</v>
      </c>
      <c r="T28" s="3"/>
    </row>
    <row r="29" spans="1:20" x14ac:dyDescent="0.2">
      <c r="A29" s="16"/>
      <c r="B29" s="29" t="s">
        <v>373</v>
      </c>
      <c r="C29" s="28">
        <f t="shared" si="10"/>
        <v>0</v>
      </c>
      <c r="D29" s="13">
        <v>0</v>
      </c>
      <c r="E29" s="7"/>
      <c r="F29" s="375">
        <f t="shared" si="12"/>
        <v>0</v>
      </c>
      <c r="G29" s="375">
        <f t="shared" si="11"/>
        <v>0</v>
      </c>
      <c r="H29" s="375">
        <f t="shared" si="11"/>
        <v>0</v>
      </c>
      <c r="I29" s="375">
        <f t="shared" si="11"/>
        <v>0</v>
      </c>
      <c r="J29" s="375">
        <f t="shared" si="11"/>
        <v>0</v>
      </c>
      <c r="K29" s="375">
        <f t="shared" si="11"/>
        <v>0</v>
      </c>
      <c r="L29" s="375">
        <f t="shared" si="11"/>
        <v>0</v>
      </c>
      <c r="M29" s="375">
        <f t="shared" si="11"/>
        <v>0</v>
      </c>
      <c r="N29" s="375">
        <f t="shared" si="11"/>
        <v>0</v>
      </c>
      <c r="O29" s="375">
        <f t="shared" si="11"/>
        <v>0</v>
      </c>
      <c r="P29" s="375">
        <f t="shared" si="11"/>
        <v>0</v>
      </c>
      <c r="Q29" s="375">
        <f t="shared" si="11"/>
        <v>0</v>
      </c>
      <c r="R29" s="109">
        <f t="shared" si="5"/>
        <v>0</v>
      </c>
      <c r="S29" s="3">
        <f t="shared" si="6"/>
        <v>0</v>
      </c>
      <c r="T29" s="3"/>
    </row>
    <row r="30" spans="1:20" x14ac:dyDescent="0.2">
      <c r="A30" s="16"/>
      <c r="B30" s="29" t="s">
        <v>361</v>
      </c>
      <c r="C30" s="28">
        <f t="shared" si="10"/>
        <v>118198.18276374444</v>
      </c>
      <c r="D30" s="13">
        <f>[5]Radiology!$J$34+[5]Radiology!$J$35</f>
        <v>22.394502228826152</v>
      </c>
      <c r="E30" s="7"/>
      <c r="F30" s="375">
        <f t="shared" si="12"/>
        <v>10077.526002971768</v>
      </c>
      <c r="G30" s="375">
        <f t="shared" si="11"/>
        <v>10323.865527488855</v>
      </c>
      <c r="H30" s="375">
        <f t="shared" si="11"/>
        <v>9629.6359583952453</v>
      </c>
      <c r="I30" s="375">
        <f t="shared" si="11"/>
        <v>9920.7644873699846</v>
      </c>
      <c r="J30" s="375">
        <f t="shared" si="11"/>
        <v>10816.544576523031</v>
      </c>
      <c r="K30" s="375">
        <f t="shared" si="11"/>
        <v>9696.819465081724</v>
      </c>
      <c r="L30" s="375">
        <f t="shared" si="11"/>
        <v>10010.34249628529</v>
      </c>
      <c r="M30" s="375">
        <f t="shared" si="11"/>
        <v>9920.7644873699846</v>
      </c>
      <c r="N30" s="375">
        <f t="shared" si="11"/>
        <v>9002.5898959881124</v>
      </c>
      <c r="O30" s="375">
        <f t="shared" si="11"/>
        <v>8733.8558692421993</v>
      </c>
      <c r="P30" s="375">
        <f t="shared" si="11"/>
        <v>10413.44353640416</v>
      </c>
      <c r="Q30" s="375">
        <f t="shared" si="11"/>
        <v>9652.0304606240716</v>
      </c>
      <c r="R30" s="109">
        <f t="shared" si="5"/>
        <v>118198.18276374442</v>
      </c>
      <c r="S30" s="3">
        <f t="shared" si="6"/>
        <v>0</v>
      </c>
      <c r="T30" s="3"/>
    </row>
    <row r="31" spans="1:20" x14ac:dyDescent="0.2">
      <c r="A31" s="16"/>
      <c r="B31" s="29" t="s">
        <v>360</v>
      </c>
      <c r="C31" s="28">
        <f t="shared" si="10"/>
        <v>272748.94997523527</v>
      </c>
      <c r="D31" s="13">
        <f>[5]Radiology!$J$36</f>
        <v>51.676572560673598</v>
      </c>
      <c r="E31" s="7"/>
      <c r="F31" s="375">
        <f t="shared" si="12"/>
        <v>23254.457652303121</v>
      </c>
      <c r="G31" s="375">
        <f t="shared" si="11"/>
        <v>23822.899950470528</v>
      </c>
      <c r="H31" s="375">
        <f t="shared" si="11"/>
        <v>22220.926201089649</v>
      </c>
      <c r="I31" s="375">
        <f t="shared" si="11"/>
        <v>22892.721644378405</v>
      </c>
      <c r="J31" s="375">
        <f t="shared" si="11"/>
        <v>24959.784546805349</v>
      </c>
      <c r="K31" s="375">
        <f t="shared" si="11"/>
        <v>22375.95591877167</v>
      </c>
      <c r="L31" s="375">
        <f t="shared" si="11"/>
        <v>23099.427934621097</v>
      </c>
      <c r="M31" s="375">
        <f t="shared" si="11"/>
        <v>22892.721644378405</v>
      </c>
      <c r="N31" s="375">
        <f t="shared" si="11"/>
        <v>20773.982169390787</v>
      </c>
      <c r="O31" s="375">
        <f t="shared" si="11"/>
        <v>20153.863298662702</v>
      </c>
      <c r="P31" s="375">
        <f t="shared" si="11"/>
        <v>24029.606240713223</v>
      </c>
      <c r="Q31" s="375">
        <f t="shared" si="11"/>
        <v>22272.60277365032</v>
      </c>
      <c r="R31" s="109">
        <f t="shared" si="5"/>
        <v>272748.94997523527</v>
      </c>
      <c r="S31" s="3">
        <f t="shared" si="6"/>
        <v>0</v>
      </c>
      <c r="T31" s="3"/>
    </row>
    <row r="32" spans="1:20" x14ac:dyDescent="0.2">
      <c r="A32" s="16"/>
      <c r="B32" s="29" t="s">
        <v>362</v>
      </c>
      <c r="C32" s="28">
        <f t="shared" si="10"/>
        <v>85833.507677067857</v>
      </c>
      <c r="D32" s="13">
        <f>[5]Radiology!$J$37</f>
        <v>16.262506191183753</v>
      </c>
      <c r="E32" s="7"/>
      <c r="F32" s="375">
        <f t="shared" si="12"/>
        <v>7318.1277860326891</v>
      </c>
      <c r="G32" s="375">
        <f t="shared" si="11"/>
        <v>7497.0153541357104</v>
      </c>
      <c r="H32" s="375">
        <f t="shared" si="11"/>
        <v>6992.8776622090136</v>
      </c>
      <c r="I32" s="375">
        <f t="shared" si="11"/>
        <v>7204.2902426944029</v>
      </c>
      <c r="J32" s="375">
        <f t="shared" si="11"/>
        <v>7854.790490341753</v>
      </c>
      <c r="K32" s="375">
        <f t="shared" si="11"/>
        <v>7041.6651807825656</v>
      </c>
      <c r="L32" s="375">
        <f t="shared" si="11"/>
        <v>7269.340267459138</v>
      </c>
      <c r="M32" s="375">
        <f t="shared" si="11"/>
        <v>7204.2902426944029</v>
      </c>
      <c r="N32" s="375">
        <f t="shared" si="11"/>
        <v>6537.5274888558688</v>
      </c>
      <c r="O32" s="375">
        <f t="shared" si="11"/>
        <v>6342.3774145616635</v>
      </c>
      <c r="P32" s="375">
        <f t="shared" si="11"/>
        <v>7562.0653789004455</v>
      </c>
      <c r="Q32" s="375">
        <f t="shared" si="11"/>
        <v>7009.1401684001976</v>
      </c>
      <c r="R32" s="109">
        <f t="shared" si="5"/>
        <v>85833.507677067857</v>
      </c>
      <c r="S32" s="3">
        <f t="shared" si="6"/>
        <v>0</v>
      </c>
      <c r="T32" s="3"/>
    </row>
    <row r="33" spans="1:20" x14ac:dyDescent="0.2">
      <c r="A33" s="90">
        <v>31200.061000000002</v>
      </c>
      <c r="B33" s="161" t="s">
        <v>498</v>
      </c>
      <c r="C33" s="293">
        <f>SUM(C26:C32)</f>
        <v>971582.03021297674</v>
      </c>
      <c r="D33" s="292"/>
      <c r="E33" s="292"/>
      <c r="F33" s="369">
        <f>SUM(F26:F32)</f>
        <v>82836.664190193173</v>
      </c>
      <c r="G33" s="369">
        <f t="shared" ref="G33:Q33" si="13">SUM(G26:G32)</f>
        <v>84861.560425953445</v>
      </c>
      <c r="H33" s="369">
        <f t="shared" si="13"/>
        <v>79155.034670629015</v>
      </c>
      <c r="I33" s="369">
        <f t="shared" si="13"/>
        <v>81548.093858345717</v>
      </c>
      <c r="J33" s="369">
        <f t="shared" si="13"/>
        <v>88911.352897473989</v>
      </c>
      <c r="K33" s="369">
        <f t="shared" si="13"/>
        <v>79707.279098563653</v>
      </c>
      <c r="L33" s="369">
        <f t="shared" si="13"/>
        <v>82284.419762258534</v>
      </c>
      <c r="M33" s="369">
        <f t="shared" si="13"/>
        <v>81548.093858345717</v>
      </c>
      <c r="N33" s="369">
        <f t="shared" si="13"/>
        <v>74000.753343239223</v>
      </c>
      <c r="O33" s="369">
        <f t="shared" si="13"/>
        <v>71791.775631500743</v>
      </c>
      <c r="P33" s="369">
        <f t="shared" si="13"/>
        <v>85597.886329866262</v>
      </c>
      <c r="Q33" s="369">
        <f t="shared" si="13"/>
        <v>79339.116146607237</v>
      </c>
      <c r="R33" s="369">
        <f t="shared" si="5"/>
        <v>971582.03021297662</v>
      </c>
      <c r="S33" s="292">
        <f t="shared" si="6"/>
        <v>0</v>
      </c>
      <c r="T33" s="3"/>
    </row>
    <row r="34" spans="1:20" s="5" customFormat="1" x14ac:dyDescent="0.2">
      <c r="A34" s="11"/>
      <c r="B34" s="77" t="s">
        <v>0</v>
      </c>
      <c r="C34" s="293">
        <f>C17+C25+C33</f>
        <v>1061459.8283781144</v>
      </c>
      <c r="D34" s="292">
        <f>(C34/C$4)</f>
        <v>177.41264054456198</v>
      </c>
      <c r="E34" s="292"/>
      <c r="F34" s="369">
        <f>F17+F25+F33</f>
        <v>88573.544924138128</v>
      </c>
      <c r="G34" s="369">
        <f t="shared" ref="G34:Q34" si="14">G17+G25+G33</f>
        <v>90725.927398430504</v>
      </c>
      <c r="H34" s="369">
        <f t="shared" si="14"/>
        <v>85274.374120170294</v>
      </c>
      <c r="I34" s="369">
        <f t="shared" si="14"/>
        <v>87667.433307886997</v>
      </c>
      <c r="J34" s="369">
        <f t="shared" si="14"/>
        <v>100257.62812683178</v>
      </c>
      <c r="K34" s="369">
        <f t="shared" si="14"/>
        <v>89396.233227004021</v>
      </c>
      <c r="L34" s="369">
        <f t="shared" si="14"/>
        <v>88913.704165928255</v>
      </c>
      <c r="M34" s="369">
        <f t="shared" si="14"/>
        <v>86902.515876694335</v>
      </c>
      <c r="N34" s="369">
        <f t="shared" si="14"/>
        <v>83307.248756083252</v>
      </c>
      <c r="O34" s="369">
        <f t="shared" si="14"/>
        <v>79695.922420491566</v>
      </c>
      <c r="P34" s="369">
        <f t="shared" si="14"/>
        <v>95414.326696838747</v>
      </c>
      <c r="Q34" s="369">
        <f t="shared" si="14"/>
        <v>85330.969357616414</v>
      </c>
      <c r="R34" s="369">
        <f t="shared" ref="R34" si="15">SUM(F34:Q34)</f>
        <v>1061459.8283781144</v>
      </c>
      <c r="S34" s="292">
        <f t="shared" si="6"/>
        <v>0</v>
      </c>
      <c r="T34" s="3"/>
    </row>
    <row r="35" spans="1:20" x14ac:dyDescent="0.2">
      <c r="A35" s="21"/>
      <c r="C35" s="78"/>
      <c r="F35" s="414"/>
      <c r="G35" s="414"/>
      <c r="H35" s="414"/>
      <c r="I35" s="414"/>
      <c r="J35" s="160"/>
      <c r="K35" s="160"/>
      <c r="L35" s="160"/>
      <c r="M35" s="160"/>
      <c r="N35" s="160"/>
      <c r="O35" s="160"/>
      <c r="P35" s="160"/>
      <c r="Q35" s="160"/>
      <c r="R35" s="160"/>
    </row>
    <row r="36" spans="1:20" x14ac:dyDescent="0.2">
      <c r="A36" s="715" t="s">
        <v>25</v>
      </c>
      <c r="B36" s="715"/>
      <c r="C36" s="715"/>
      <c r="D36" s="715"/>
      <c r="E36" s="194"/>
      <c r="F36" s="414"/>
      <c r="G36" s="414"/>
      <c r="H36" s="414"/>
      <c r="I36" s="414"/>
      <c r="J36" s="160"/>
      <c r="K36" s="160"/>
      <c r="L36" s="160"/>
      <c r="M36" s="160"/>
      <c r="N36" s="160"/>
      <c r="O36" s="160"/>
      <c r="P36" s="160"/>
      <c r="Q36" s="160"/>
      <c r="R36" s="160"/>
    </row>
    <row r="37" spans="1:20" s="151" customFormat="1" x14ac:dyDescent="0.2">
      <c r="A37" s="21"/>
      <c r="B37" s="77" t="s">
        <v>491</v>
      </c>
      <c r="C37" s="78"/>
      <c r="D37" s="168" t="s">
        <v>492</v>
      </c>
      <c r="E37" s="140"/>
      <c r="F37" s="248"/>
      <c r="G37" s="248"/>
      <c r="H37" s="248"/>
      <c r="I37" s="248"/>
      <c r="J37" s="277"/>
      <c r="K37" s="277"/>
      <c r="L37" s="277"/>
      <c r="M37" s="277"/>
      <c r="N37" s="277"/>
      <c r="O37" s="277"/>
      <c r="P37" s="277"/>
      <c r="Q37" s="277"/>
      <c r="R37" s="277"/>
      <c r="S37" s="164"/>
      <c r="T37" s="164"/>
    </row>
    <row r="38" spans="1:20" s="92" customFormat="1" x14ac:dyDescent="0.2">
      <c r="A38" s="87">
        <v>41101.061000000002</v>
      </c>
      <c r="B38" s="15" t="s">
        <v>22</v>
      </c>
      <c r="C38" s="428">
        <f>[6]Radiology!$J$15</f>
        <v>322090.2</v>
      </c>
      <c r="D38" s="434">
        <f>$C38/C$6</f>
        <v>22.12157967032967</v>
      </c>
      <c r="E38" s="120"/>
      <c r="F38" s="373">
        <f>$D38*F$6</f>
        <v>27355.606027397262</v>
      </c>
      <c r="G38" s="373">
        <f t="shared" ref="G38:Q38" si="16">$D38*G$6</f>
        <v>26473.167123287672</v>
      </c>
      <c r="H38" s="373">
        <f t="shared" si="16"/>
        <v>27355.606027397262</v>
      </c>
      <c r="I38" s="373">
        <f t="shared" si="16"/>
        <v>27355.606027397262</v>
      </c>
      <c r="J38" s="373">
        <f t="shared" si="16"/>
        <v>24708.289315068494</v>
      </c>
      <c r="K38" s="373">
        <f t="shared" si="16"/>
        <v>27355.606027397262</v>
      </c>
      <c r="L38" s="373">
        <f t="shared" si="16"/>
        <v>26473.167123287672</v>
      </c>
      <c r="M38" s="373">
        <f t="shared" si="16"/>
        <v>27355.606027397262</v>
      </c>
      <c r="N38" s="373">
        <f t="shared" si="16"/>
        <v>26473.167123287672</v>
      </c>
      <c r="O38" s="373">
        <f t="shared" si="16"/>
        <v>27355.606027397262</v>
      </c>
      <c r="P38" s="373">
        <f t="shared" si="16"/>
        <v>27355.606027397262</v>
      </c>
      <c r="Q38" s="373">
        <f t="shared" si="16"/>
        <v>26473.167123287672</v>
      </c>
      <c r="R38" s="109">
        <f t="shared" ref="R38:R61" si="17">SUM(F38:Q38)</f>
        <v>322090.20000000007</v>
      </c>
      <c r="S38" s="3">
        <f>C38-R38</f>
        <v>0</v>
      </c>
      <c r="T38" s="3"/>
    </row>
    <row r="39" spans="1:20" s="92" customFormat="1" x14ac:dyDescent="0.2">
      <c r="A39" s="87">
        <v>41110.061000000002</v>
      </c>
      <c r="B39" s="15" t="s">
        <v>21</v>
      </c>
      <c r="C39" s="428">
        <f>[6]Radiology!$J$16</f>
        <v>35787.800000000003</v>
      </c>
      <c r="D39" s="434">
        <f t="shared" ref="D39:D41" si="18">$C39/C$6</f>
        <v>2.4579532967032969</v>
      </c>
      <c r="E39" s="120"/>
      <c r="F39" s="373">
        <f t="shared" ref="F39:Q41" si="19">$D39*F$6</f>
        <v>3039.5117808219184</v>
      </c>
      <c r="G39" s="373">
        <f t="shared" si="19"/>
        <v>2941.4630136986307</v>
      </c>
      <c r="H39" s="373">
        <f t="shared" si="19"/>
        <v>3039.5117808219184</v>
      </c>
      <c r="I39" s="373">
        <f t="shared" si="19"/>
        <v>3039.5117808219184</v>
      </c>
      <c r="J39" s="373">
        <f t="shared" si="19"/>
        <v>2745.3654794520553</v>
      </c>
      <c r="K39" s="373">
        <f t="shared" si="19"/>
        <v>3039.5117808219184</v>
      </c>
      <c r="L39" s="373">
        <f t="shared" si="19"/>
        <v>2941.4630136986307</v>
      </c>
      <c r="M39" s="373">
        <f t="shared" si="19"/>
        <v>3039.5117808219184</v>
      </c>
      <c r="N39" s="373">
        <f t="shared" si="19"/>
        <v>2941.4630136986307</v>
      </c>
      <c r="O39" s="373">
        <f t="shared" si="19"/>
        <v>3039.5117808219184</v>
      </c>
      <c r="P39" s="373">
        <f t="shared" si="19"/>
        <v>3039.5117808219184</v>
      </c>
      <c r="Q39" s="373">
        <f t="shared" si="19"/>
        <v>2941.4630136986307</v>
      </c>
      <c r="R39" s="109">
        <f t="shared" ref="R39:R60" si="20">SUM(F39:Q39)</f>
        <v>35787.80000000001</v>
      </c>
      <c r="S39" s="3">
        <f t="shared" ref="S39:S60" si="21">C39-R39</f>
        <v>0</v>
      </c>
      <c r="T39" s="3"/>
    </row>
    <row r="40" spans="1:20" s="92" customFormat="1" x14ac:dyDescent="0.2">
      <c r="A40" s="87">
        <v>41115.061000000002</v>
      </c>
      <c r="B40" s="15" t="s">
        <v>20</v>
      </c>
      <c r="C40" s="428">
        <f>[6]Radiology!$J$17</f>
        <v>675</v>
      </c>
      <c r="D40" s="434">
        <f t="shared" si="18"/>
        <v>4.6359890109890112E-2</v>
      </c>
      <c r="E40" s="120"/>
      <c r="F40" s="373">
        <f t="shared" si="19"/>
        <v>57.328767123287676</v>
      </c>
      <c r="G40" s="373">
        <f t="shared" si="19"/>
        <v>55.479452054794528</v>
      </c>
      <c r="H40" s="373">
        <f t="shared" si="19"/>
        <v>57.328767123287676</v>
      </c>
      <c r="I40" s="373">
        <f t="shared" si="19"/>
        <v>57.328767123287676</v>
      </c>
      <c r="J40" s="373">
        <f t="shared" si="19"/>
        <v>51.780821917808225</v>
      </c>
      <c r="K40" s="373">
        <f t="shared" si="19"/>
        <v>57.328767123287676</v>
      </c>
      <c r="L40" s="373">
        <f t="shared" si="19"/>
        <v>55.479452054794528</v>
      </c>
      <c r="M40" s="373">
        <f t="shared" si="19"/>
        <v>57.328767123287676</v>
      </c>
      <c r="N40" s="373">
        <f t="shared" si="19"/>
        <v>55.479452054794528</v>
      </c>
      <c r="O40" s="373">
        <f t="shared" si="19"/>
        <v>57.328767123287676</v>
      </c>
      <c r="P40" s="373">
        <f t="shared" si="19"/>
        <v>57.328767123287676</v>
      </c>
      <c r="Q40" s="373">
        <f t="shared" si="19"/>
        <v>55.479452054794528</v>
      </c>
      <c r="R40" s="109">
        <f t="shared" si="20"/>
        <v>675</v>
      </c>
      <c r="S40" s="3">
        <f t="shared" si="21"/>
        <v>0</v>
      </c>
      <c r="T40" s="3"/>
    </row>
    <row r="41" spans="1:20" s="92" customFormat="1" x14ac:dyDescent="0.2">
      <c r="A41" s="87">
        <v>41150.061000000002</v>
      </c>
      <c r="B41" s="15" t="s">
        <v>19</v>
      </c>
      <c r="C41" s="428">
        <f>[6]Radiology!$J$18</f>
        <v>27429.304499999998</v>
      </c>
      <c r="D41" s="434">
        <f t="shared" si="18"/>
        <v>1.8838808035714285</v>
      </c>
      <c r="E41" s="120"/>
      <c r="F41" s="373">
        <f t="shared" si="19"/>
        <v>2329.6121630136986</v>
      </c>
      <c r="G41" s="373">
        <f t="shared" si="19"/>
        <v>2254.4633835616442</v>
      </c>
      <c r="H41" s="373">
        <f t="shared" si="19"/>
        <v>2329.6121630136986</v>
      </c>
      <c r="I41" s="373">
        <f t="shared" si="19"/>
        <v>2329.6121630136986</v>
      </c>
      <c r="J41" s="373">
        <f t="shared" si="19"/>
        <v>2104.1658246575344</v>
      </c>
      <c r="K41" s="373">
        <f t="shared" si="19"/>
        <v>2329.6121630136986</v>
      </c>
      <c r="L41" s="373">
        <f t="shared" si="19"/>
        <v>2254.4633835616442</v>
      </c>
      <c r="M41" s="373">
        <f t="shared" si="19"/>
        <v>2329.6121630136986</v>
      </c>
      <c r="N41" s="373">
        <f t="shared" si="19"/>
        <v>2254.4633835616442</v>
      </c>
      <c r="O41" s="373">
        <f t="shared" si="19"/>
        <v>2329.6121630136986</v>
      </c>
      <c r="P41" s="373">
        <f t="shared" si="19"/>
        <v>2329.6121630136986</v>
      </c>
      <c r="Q41" s="373">
        <f t="shared" si="19"/>
        <v>2254.4633835616442</v>
      </c>
      <c r="R41" s="109">
        <f t="shared" si="20"/>
        <v>27429.304500000002</v>
      </c>
      <c r="S41" s="3">
        <f t="shared" si="21"/>
        <v>0</v>
      </c>
      <c r="T41" s="3"/>
    </row>
    <row r="42" spans="1:20" s="92" customFormat="1" x14ac:dyDescent="0.2">
      <c r="A42" s="87">
        <v>41214.061000000002</v>
      </c>
      <c r="B42" s="15" t="s">
        <v>493</v>
      </c>
      <c r="C42" s="14"/>
      <c r="D42" s="330">
        <f t="shared" ref="D42:D60" si="22">$C42/C$4</f>
        <v>0</v>
      </c>
      <c r="E42" s="120"/>
      <c r="F42" s="373">
        <f t="shared" ref="F42:Q60" si="23">$D42*F$4</f>
        <v>0</v>
      </c>
      <c r="G42" s="373">
        <f t="shared" ref="G42:Q56" si="24">$D42*G$4</f>
        <v>0</v>
      </c>
      <c r="H42" s="373">
        <f t="shared" si="24"/>
        <v>0</v>
      </c>
      <c r="I42" s="373">
        <f t="shared" si="24"/>
        <v>0</v>
      </c>
      <c r="J42" s="373">
        <f t="shared" si="24"/>
        <v>0</v>
      </c>
      <c r="K42" s="373">
        <f t="shared" si="24"/>
        <v>0</v>
      </c>
      <c r="L42" s="373">
        <f t="shared" si="24"/>
        <v>0</v>
      </c>
      <c r="M42" s="373">
        <f t="shared" si="24"/>
        <v>0</v>
      </c>
      <c r="N42" s="373">
        <f t="shared" si="24"/>
        <v>0</v>
      </c>
      <c r="O42" s="373">
        <f t="shared" si="24"/>
        <v>0</v>
      </c>
      <c r="P42" s="373">
        <f t="shared" si="24"/>
        <v>0</v>
      </c>
      <c r="Q42" s="373">
        <f t="shared" si="24"/>
        <v>0</v>
      </c>
      <c r="R42" s="109">
        <f t="shared" si="20"/>
        <v>0</v>
      </c>
      <c r="S42" s="3">
        <f t="shared" si="21"/>
        <v>0</v>
      </c>
      <c r="T42" s="3"/>
    </row>
    <row r="43" spans="1:20" s="92" customFormat="1" x14ac:dyDescent="0.2">
      <c r="A43" s="87">
        <v>41237.061000000002</v>
      </c>
      <c r="B43" s="15" t="s">
        <v>17</v>
      </c>
      <c r="C43" s="14">
        <f>[6]Radiology!$J$19</f>
        <v>3171</v>
      </c>
      <c r="D43" s="330">
        <f t="shared" si="22"/>
        <v>0.53000167140230658</v>
      </c>
      <c r="E43" s="120"/>
      <c r="F43" s="373">
        <f t="shared" si="23"/>
        <v>262.35082734414175</v>
      </c>
      <c r="G43" s="373">
        <f t="shared" si="24"/>
        <v>268.71084740096944</v>
      </c>
      <c r="H43" s="373">
        <f t="shared" si="24"/>
        <v>253.34079893030255</v>
      </c>
      <c r="I43" s="373">
        <f t="shared" si="24"/>
        <v>260.23082065853254</v>
      </c>
      <c r="J43" s="373">
        <f t="shared" si="24"/>
        <v>303.16095604211938</v>
      </c>
      <c r="K43" s="373">
        <f t="shared" si="24"/>
        <v>269.77085074377408</v>
      </c>
      <c r="L43" s="373">
        <f t="shared" si="24"/>
        <v>264.47083402975096</v>
      </c>
      <c r="M43" s="373">
        <f t="shared" si="24"/>
        <v>257.05081063011869</v>
      </c>
      <c r="N43" s="373">
        <f t="shared" si="24"/>
        <v>251.75079391609563</v>
      </c>
      <c r="O43" s="373">
        <f t="shared" si="24"/>
        <v>239.56075547384256</v>
      </c>
      <c r="P43" s="373">
        <f t="shared" si="24"/>
        <v>287.26090590005015</v>
      </c>
      <c r="Q43" s="373">
        <f t="shared" si="24"/>
        <v>253.34079893030255</v>
      </c>
      <c r="R43" s="109">
        <f t="shared" si="20"/>
        <v>3171.0000000000005</v>
      </c>
      <c r="S43" s="3">
        <f t="shared" si="21"/>
        <v>0</v>
      </c>
      <c r="T43" s="3"/>
    </row>
    <row r="44" spans="1:20" s="92" customFormat="1" x14ac:dyDescent="0.2">
      <c r="A44" s="87">
        <v>41246.061000000002</v>
      </c>
      <c r="B44" s="15" t="s">
        <v>494</v>
      </c>
      <c r="C44" s="14"/>
      <c r="D44" s="330">
        <f t="shared" si="22"/>
        <v>0</v>
      </c>
      <c r="E44" s="120"/>
      <c r="F44" s="373">
        <f t="shared" si="23"/>
        <v>0</v>
      </c>
      <c r="G44" s="373">
        <f t="shared" si="24"/>
        <v>0</v>
      </c>
      <c r="H44" s="373">
        <f t="shared" si="24"/>
        <v>0</v>
      </c>
      <c r="I44" s="373">
        <f t="shared" si="24"/>
        <v>0</v>
      </c>
      <c r="J44" s="373">
        <f t="shared" si="24"/>
        <v>0</v>
      </c>
      <c r="K44" s="373">
        <f t="shared" si="24"/>
        <v>0</v>
      </c>
      <c r="L44" s="373">
        <f t="shared" si="24"/>
        <v>0</v>
      </c>
      <c r="M44" s="373">
        <f t="shared" si="24"/>
        <v>0</v>
      </c>
      <c r="N44" s="373">
        <f t="shared" si="24"/>
        <v>0</v>
      </c>
      <c r="O44" s="373">
        <f t="shared" si="24"/>
        <v>0</v>
      </c>
      <c r="P44" s="373">
        <f t="shared" si="24"/>
        <v>0</v>
      </c>
      <c r="Q44" s="373">
        <f t="shared" si="24"/>
        <v>0</v>
      </c>
      <c r="R44" s="109">
        <f t="shared" si="20"/>
        <v>0</v>
      </c>
      <c r="S44" s="3">
        <f t="shared" si="21"/>
        <v>0</v>
      </c>
      <c r="T44" s="3"/>
    </row>
    <row r="45" spans="1:20" s="92" customFormat="1" x14ac:dyDescent="0.2">
      <c r="A45" s="87">
        <v>41250.061000000002</v>
      </c>
      <c r="B45" s="15" t="s">
        <v>15</v>
      </c>
      <c r="C45" s="14"/>
      <c r="D45" s="330">
        <f t="shared" si="22"/>
        <v>0</v>
      </c>
      <c r="E45" s="120"/>
      <c r="F45" s="373">
        <f t="shared" si="23"/>
        <v>0</v>
      </c>
      <c r="G45" s="373">
        <f t="shared" si="24"/>
        <v>0</v>
      </c>
      <c r="H45" s="373">
        <f t="shared" si="24"/>
        <v>0</v>
      </c>
      <c r="I45" s="373">
        <f t="shared" si="24"/>
        <v>0</v>
      </c>
      <c r="J45" s="373">
        <f t="shared" si="24"/>
        <v>0</v>
      </c>
      <c r="K45" s="373">
        <f t="shared" si="24"/>
        <v>0</v>
      </c>
      <c r="L45" s="373">
        <f t="shared" si="24"/>
        <v>0</v>
      </c>
      <c r="M45" s="373">
        <f t="shared" si="24"/>
        <v>0</v>
      </c>
      <c r="N45" s="373">
        <f t="shared" si="24"/>
        <v>0</v>
      </c>
      <c r="O45" s="373">
        <f t="shared" si="24"/>
        <v>0</v>
      </c>
      <c r="P45" s="373">
        <f t="shared" si="24"/>
        <v>0</v>
      </c>
      <c r="Q45" s="373">
        <f t="shared" si="24"/>
        <v>0</v>
      </c>
      <c r="R45" s="109">
        <f t="shared" si="20"/>
        <v>0</v>
      </c>
      <c r="S45" s="3">
        <f t="shared" si="21"/>
        <v>0</v>
      </c>
      <c r="T45" s="3"/>
    </row>
    <row r="46" spans="1:20" s="92" customFormat="1" x14ac:dyDescent="0.2">
      <c r="A46" s="87">
        <v>41260.061000000002</v>
      </c>
      <c r="B46" s="15" t="s">
        <v>14</v>
      </c>
      <c r="C46" s="14"/>
      <c r="D46" s="330">
        <f t="shared" si="22"/>
        <v>0</v>
      </c>
      <c r="E46" s="120"/>
      <c r="F46" s="373">
        <f t="shared" si="23"/>
        <v>0</v>
      </c>
      <c r="G46" s="373">
        <f t="shared" si="24"/>
        <v>0</v>
      </c>
      <c r="H46" s="373">
        <f t="shared" si="24"/>
        <v>0</v>
      </c>
      <c r="I46" s="373">
        <f t="shared" si="24"/>
        <v>0</v>
      </c>
      <c r="J46" s="373">
        <f t="shared" si="24"/>
        <v>0</v>
      </c>
      <c r="K46" s="373">
        <f t="shared" si="24"/>
        <v>0</v>
      </c>
      <c r="L46" s="373">
        <f t="shared" si="24"/>
        <v>0</v>
      </c>
      <c r="M46" s="373">
        <f t="shared" si="24"/>
        <v>0</v>
      </c>
      <c r="N46" s="373">
        <f t="shared" si="24"/>
        <v>0</v>
      </c>
      <c r="O46" s="373">
        <f t="shared" si="24"/>
        <v>0</v>
      </c>
      <c r="P46" s="373">
        <f t="shared" si="24"/>
        <v>0</v>
      </c>
      <c r="Q46" s="373">
        <f t="shared" si="24"/>
        <v>0</v>
      </c>
      <c r="R46" s="109">
        <f t="shared" si="20"/>
        <v>0</v>
      </c>
      <c r="S46" s="3">
        <f t="shared" si="21"/>
        <v>0</v>
      </c>
      <c r="T46" s="3"/>
    </row>
    <row r="47" spans="1:20" s="92" customFormat="1" x14ac:dyDescent="0.2">
      <c r="A47" s="87">
        <v>41265.061000000002</v>
      </c>
      <c r="B47" s="15" t="s">
        <v>365</v>
      </c>
      <c r="C47" s="14"/>
      <c r="D47" s="330">
        <f t="shared" si="22"/>
        <v>0</v>
      </c>
      <c r="E47" s="120"/>
      <c r="F47" s="373">
        <f t="shared" si="23"/>
        <v>0</v>
      </c>
      <c r="G47" s="373">
        <f t="shared" si="24"/>
        <v>0</v>
      </c>
      <c r="H47" s="373">
        <f t="shared" si="24"/>
        <v>0</v>
      </c>
      <c r="I47" s="373">
        <f t="shared" si="24"/>
        <v>0</v>
      </c>
      <c r="J47" s="373">
        <f t="shared" si="24"/>
        <v>0</v>
      </c>
      <c r="K47" s="373">
        <f t="shared" si="24"/>
        <v>0</v>
      </c>
      <c r="L47" s="373">
        <f t="shared" si="24"/>
        <v>0</v>
      </c>
      <c r="M47" s="373">
        <f t="shared" si="24"/>
        <v>0</v>
      </c>
      <c r="N47" s="373">
        <f t="shared" si="24"/>
        <v>0</v>
      </c>
      <c r="O47" s="373">
        <f t="shared" si="24"/>
        <v>0</v>
      </c>
      <c r="P47" s="373">
        <f t="shared" si="24"/>
        <v>0</v>
      </c>
      <c r="Q47" s="373">
        <f t="shared" si="24"/>
        <v>0</v>
      </c>
      <c r="R47" s="109">
        <f t="shared" si="20"/>
        <v>0</v>
      </c>
      <c r="S47" s="3">
        <f t="shared" si="21"/>
        <v>0</v>
      </c>
      <c r="T47" s="3"/>
    </row>
    <row r="48" spans="1:20" s="92" customFormat="1" x14ac:dyDescent="0.2">
      <c r="A48" s="87">
        <v>41324.061000000002</v>
      </c>
      <c r="B48" s="15" t="s">
        <v>495</v>
      </c>
      <c r="C48" s="14"/>
      <c r="D48" s="330">
        <f t="shared" si="22"/>
        <v>0</v>
      </c>
      <c r="E48" s="120"/>
      <c r="F48" s="373">
        <f t="shared" si="23"/>
        <v>0</v>
      </c>
      <c r="G48" s="373">
        <f t="shared" si="24"/>
        <v>0</v>
      </c>
      <c r="H48" s="373">
        <f t="shared" si="24"/>
        <v>0</v>
      </c>
      <c r="I48" s="373">
        <f t="shared" si="24"/>
        <v>0</v>
      </c>
      <c r="J48" s="373">
        <f t="shared" si="24"/>
        <v>0</v>
      </c>
      <c r="K48" s="373">
        <f t="shared" si="24"/>
        <v>0</v>
      </c>
      <c r="L48" s="373">
        <f t="shared" si="24"/>
        <v>0</v>
      </c>
      <c r="M48" s="373">
        <f t="shared" si="24"/>
        <v>0</v>
      </c>
      <c r="N48" s="373">
        <f t="shared" si="24"/>
        <v>0</v>
      </c>
      <c r="O48" s="373">
        <f t="shared" si="24"/>
        <v>0</v>
      </c>
      <c r="P48" s="373">
        <f t="shared" si="24"/>
        <v>0</v>
      </c>
      <c r="Q48" s="373">
        <f t="shared" si="24"/>
        <v>0</v>
      </c>
      <c r="R48" s="109">
        <f t="shared" si="20"/>
        <v>0</v>
      </c>
      <c r="S48" s="3">
        <f t="shared" si="21"/>
        <v>0</v>
      </c>
      <c r="T48" s="3"/>
    </row>
    <row r="49" spans="1:20" s="92" customFormat="1" x14ac:dyDescent="0.2">
      <c r="A49" s="87">
        <v>41342.061000000002</v>
      </c>
      <c r="B49" s="15" t="s">
        <v>11</v>
      </c>
      <c r="C49" s="14">
        <v>0</v>
      </c>
      <c r="D49" s="330">
        <f t="shared" si="22"/>
        <v>0</v>
      </c>
      <c r="E49" s="120"/>
      <c r="F49" s="373">
        <f t="shared" si="23"/>
        <v>0</v>
      </c>
      <c r="G49" s="373">
        <f t="shared" si="23"/>
        <v>0</v>
      </c>
      <c r="H49" s="373">
        <f t="shared" si="23"/>
        <v>0</v>
      </c>
      <c r="I49" s="373">
        <f t="shared" si="23"/>
        <v>0</v>
      </c>
      <c r="J49" s="373">
        <f t="shared" si="23"/>
        <v>0</v>
      </c>
      <c r="K49" s="373">
        <f t="shared" si="23"/>
        <v>0</v>
      </c>
      <c r="L49" s="373">
        <f t="shared" si="23"/>
        <v>0</v>
      </c>
      <c r="M49" s="373">
        <f t="shared" si="23"/>
        <v>0</v>
      </c>
      <c r="N49" s="373">
        <f t="shared" si="23"/>
        <v>0</v>
      </c>
      <c r="O49" s="373">
        <f t="shared" si="23"/>
        <v>0</v>
      </c>
      <c r="P49" s="373">
        <f t="shared" si="23"/>
        <v>0</v>
      </c>
      <c r="Q49" s="373">
        <f t="shared" si="23"/>
        <v>0</v>
      </c>
      <c r="R49" s="109">
        <f t="shared" ref="R49" si="25">SUM(F49:Q49)</f>
        <v>0</v>
      </c>
      <c r="S49" s="3">
        <f t="shared" ref="S49" si="26">C49-R49</f>
        <v>0</v>
      </c>
      <c r="T49" s="3"/>
    </row>
    <row r="50" spans="1:20" s="92" customFormat="1" x14ac:dyDescent="0.2">
      <c r="A50" s="87">
        <v>41365.061000000002</v>
      </c>
      <c r="B50" s="15" t="s">
        <v>10</v>
      </c>
      <c r="C50" s="14">
        <f>[6]Radiology!$J$20</f>
        <v>2950</v>
      </c>
      <c r="D50" s="330">
        <f t="shared" si="22"/>
        <v>0.49306368042787901</v>
      </c>
      <c r="E50" s="120"/>
      <c r="F50" s="373">
        <f t="shared" si="23"/>
        <v>244.0665218118001</v>
      </c>
      <c r="G50" s="373">
        <f t="shared" si="24"/>
        <v>249.98328597693467</v>
      </c>
      <c r="H50" s="373">
        <f t="shared" si="24"/>
        <v>235.68443924452617</v>
      </c>
      <c r="I50" s="373">
        <f t="shared" si="24"/>
        <v>242.09426709008861</v>
      </c>
      <c r="J50" s="373">
        <f t="shared" si="24"/>
        <v>282.0324252047468</v>
      </c>
      <c r="K50" s="373">
        <f t="shared" si="24"/>
        <v>250.96941333779043</v>
      </c>
      <c r="L50" s="373">
        <f t="shared" si="24"/>
        <v>246.03877653351162</v>
      </c>
      <c r="M50" s="373">
        <f t="shared" si="24"/>
        <v>239.13588500752132</v>
      </c>
      <c r="N50" s="373">
        <f t="shared" si="24"/>
        <v>234.20524820324252</v>
      </c>
      <c r="O50" s="373">
        <f t="shared" si="24"/>
        <v>222.86478355340131</v>
      </c>
      <c r="P50" s="373">
        <f t="shared" si="24"/>
        <v>267.24051479191041</v>
      </c>
      <c r="Q50" s="373">
        <f t="shared" si="24"/>
        <v>235.68443924452617</v>
      </c>
      <c r="R50" s="109">
        <f t="shared" si="20"/>
        <v>2950</v>
      </c>
      <c r="S50" s="3">
        <f t="shared" si="21"/>
        <v>0</v>
      </c>
      <c r="T50" s="3"/>
    </row>
    <row r="51" spans="1:20" s="92" customFormat="1" x14ac:dyDescent="0.2">
      <c r="A51" s="87">
        <v>41423.061000000002</v>
      </c>
      <c r="B51" s="15" t="s">
        <v>419</v>
      </c>
      <c r="C51" s="14">
        <v>0</v>
      </c>
      <c r="D51" s="330">
        <f t="shared" si="22"/>
        <v>0</v>
      </c>
      <c r="E51" s="120"/>
      <c r="F51" s="373">
        <f t="shared" si="23"/>
        <v>0</v>
      </c>
      <c r="G51" s="373">
        <f t="shared" si="24"/>
        <v>0</v>
      </c>
      <c r="H51" s="373">
        <f t="shared" si="24"/>
        <v>0</v>
      </c>
      <c r="I51" s="373">
        <f t="shared" si="24"/>
        <v>0</v>
      </c>
      <c r="J51" s="373">
        <f t="shared" si="24"/>
        <v>0</v>
      </c>
      <c r="K51" s="373">
        <f t="shared" si="24"/>
        <v>0</v>
      </c>
      <c r="L51" s="373">
        <f t="shared" si="24"/>
        <v>0</v>
      </c>
      <c r="M51" s="373">
        <f t="shared" si="24"/>
        <v>0</v>
      </c>
      <c r="N51" s="373">
        <f t="shared" si="24"/>
        <v>0</v>
      </c>
      <c r="O51" s="373">
        <f t="shared" si="24"/>
        <v>0</v>
      </c>
      <c r="P51" s="373">
        <f t="shared" si="24"/>
        <v>0</v>
      </c>
      <c r="Q51" s="373">
        <f t="shared" si="24"/>
        <v>0</v>
      </c>
      <c r="R51" s="109">
        <f t="shared" si="20"/>
        <v>0</v>
      </c>
      <c r="S51" s="3">
        <f t="shared" si="21"/>
        <v>0</v>
      </c>
      <c r="T51" s="3"/>
    </row>
    <row r="52" spans="1:20" s="92" customFormat="1" x14ac:dyDescent="0.2">
      <c r="A52" s="87">
        <v>41426.061000000002</v>
      </c>
      <c r="B52" s="15" t="s">
        <v>8</v>
      </c>
      <c r="C52" s="14">
        <v>0</v>
      </c>
      <c r="D52" s="330">
        <f t="shared" si="22"/>
        <v>0</v>
      </c>
      <c r="E52" s="120"/>
      <c r="F52" s="373">
        <f t="shared" si="23"/>
        <v>0</v>
      </c>
      <c r="G52" s="373">
        <f t="shared" si="24"/>
        <v>0</v>
      </c>
      <c r="H52" s="373">
        <f t="shared" si="24"/>
        <v>0</v>
      </c>
      <c r="I52" s="373">
        <f t="shared" si="24"/>
        <v>0</v>
      </c>
      <c r="J52" s="373">
        <f t="shared" si="24"/>
        <v>0</v>
      </c>
      <c r="K52" s="373">
        <f t="shared" si="24"/>
        <v>0</v>
      </c>
      <c r="L52" s="373">
        <f t="shared" si="24"/>
        <v>0</v>
      </c>
      <c r="M52" s="373">
        <f t="shared" si="24"/>
        <v>0</v>
      </c>
      <c r="N52" s="373">
        <f t="shared" si="24"/>
        <v>0</v>
      </c>
      <c r="O52" s="373">
        <f t="shared" si="24"/>
        <v>0</v>
      </c>
      <c r="P52" s="373">
        <f t="shared" si="24"/>
        <v>0</v>
      </c>
      <c r="Q52" s="373">
        <f t="shared" si="24"/>
        <v>0</v>
      </c>
      <c r="R52" s="109">
        <f t="shared" si="20"/>
        <v>0</v>
      </c>
      <c r="S52" s="3">
        <f t="shared" si="21"/>
        <v>0</v>
      </c>
      <c r="T52" s="3"/>
    </row>
    <row r="53" spans="1:20" s="92" customFormat="1" x14ac:dyDescent="0.2">
      <c r="A53" s="87">
        <v>41439.061000000002</v>
      </c>
      <c r="B53" s="15" t="s">
        <v>366</v>
      </c>
      <c r="C53" s="14"/>
      <c r="D53" s="330">
        <f t="shared" si="22"/>
        <v>0</v>
      </c>
      <c r="E53" s="120"/>
      <c r="F53" s="373">
        <f t="shared" si="23"/>
        <v>0</v>
      </c>
      <c r="G53" s="373">
        <f t="shared" si="24"/>
        <v>0</v>
      </c>
      <c r="H53" s="373">
        <f t="shared" si="24"/>
        <v>0</v>
      </c>
      <c r="I53" s="373">
        <f t="shared" si="24"/>
        <v>0</v>
      </c>
      <c r="J53" s="373">
        <f t="shared" si="24"/>
        <v>0</v>
      </c>
      <c r="K53" s="373">
        <f t="shared" si="24"/>
        <v>0</v>
      </c>
      <c r="L53" s="373">
        <f t="shared" si="24"/>
        <v>0</v>
      </c>
      <c r="M53" s="373">
        <f t="shared" si="24"/>
        <v>0</v>
      </c>
      <c r="N53" s="373">
        <f t="shared" si="24"/>
        <v>0</v>
      </c>
      <c r="O53" s="373">
        <f t="shared" si="24"/>
        <v>0</v>
      </c>
      <c r="P53" s="373">
        <f t="shared" si="24"/>
        <v>0</v>
      </c>
      <c r="Q53" s="373">
        <f t="shared" si="24"/>
        <v>0</v>
      </c>
      <c r="R53" s="109">
        <f t="shared" si="20"/>
        <v>0</v>
      </c>
      <c r="S53" s="3">
        <f t="shared" si="21"/>
        <v>0</v>
      </c>
      <c r="T53" s="3"/>
    </row>
    <row r="54" spans="1:20" s="92" customFormat="1" x14ac:dyDescent="0.2">
      <c r="A54" s="87">
        <v>41440.061000000002</v>
      </c>
      <c r="B54" s="15" t="s">
        <v>477</v>
      </c>
      <c r="C54" s="14"/>
      <c r="D54" s="330">
        <f t="shared" si="22"/>
        <v>0</v>
      </c>
      <c r="E54" s="120"/>
      <c r="F54" s="373">
        <f t="shared" si="23"/>
        <v>0</v>
      </c>
      <c r="G54" s="373">
        <f t="shared" si="24"/>
        <v>0</v>
      </c>
      <c r="H54" s="373">
        <f t="shared" si="24"/>
        <v>0</v>
      </c>
      <c r="I54" s="373">
        <f t="shared" si="24"/>
        <v>0</v>
      </c>
      <c r="J54" s="373">
        <f t="shared" si="24"/>
        <v>0</v>
      </c>
      <c r="K54" s="373">
        <f t="shared" si="24"/>
        <v>0</v>
      </c>
      <c r="L54" s="373">
        <f t="shared" si="24"/>
        <v>0</v>
      </c>
      <c r="M54" s="373">
        <f t="shared" si="24"/>
        <v>0</v>
      </c>
      <c r="N54" s="373">
        <f t="shared" si="24"/>
        <v>0</v>
      </c>
      <c r="O54" s="373">
        <f t="shared" si="24"/>
        <v>0</v>
      </c>
      <c r="P54" s="373">
        <f t="shared" si="24"/>
        <v>0</v>
      </c>
      <c r="Q54" s="373">
        <f t="shared" si="24"/>
        <v>0</v>
      </c>
      <c r="R54" s="109">
        <f t="shared" ref="R54:R55" si="27">SUM(F54:Q54)</f>
        <v>0</v>
      </c>
      <c r="S54" s="3">
        <f t="shared" ref="S54:S55" si="28">C54-R54</f>
        <v>0</v>
      </c>
      <c r="T54" s="3"/>
    </row>
    <row r="55" spans="1:20" s="92" customFormat="1" x14ac:dyDescent="0.2">
      <c r="A55" s="87">
        <v>41460.061000000002</v>
      </c>
      <c r="B55" s="15" t="s">
        <v>6</v>
      </c>
      <c r="C55" s="14"/>
      <c r="D55" s="330">
        <f t="shared" si="22"/>
        <v>0</v>
      </c>
      <c r="E55" s="120"/>
      <c r="F55" s="373">
        <f t="shared" si="23"/>
        <v>0</v>
      </c>
      <c r="G55" s="373">
        <f t="shared" si="24"/>
        <v>0</v>
      </c>
      <c r="H55" s="373">
        <f t="shared" si="24"/>
        <v>0</v>
      </c>
      <c r="I55" s="373">
        <f t="shared" si="24"/>
        <v>0</v>
      </c>
      <c r="J55" s="373">
        <f t="shared" si="24"/>
        <v>0</v>
      </c>
      <c r="K55" s="373">
        <f t="shared" si="24"/>
        <v>0</v>
      </c>
      <c r="L55" s="373">
        <f t="shared" si="24"/>
        <v>0</v>
      </c>
      <c r="M55" s="373">
        <f t="shared" si="24"/>
        <v>0</v>
      </c>
      <c r="N55" s="373">
        <f t="shared" si="24"/>
        <v>0</v>
      </c>
      <c r="O55" s="373">
        <f t="shared" si="24"/>
        <v>0</v>
      </c>
      <c r="P55" s="373">
        <f t="shared" si="24"/>
        <v>0</v>
      </c>
      <c r="Q55" s="373">
        <f t="shared" si="24"/>
        <v>0</v>
      </c>
      <c r="R55" s="109">
        <f t="shared" si="27"/>
        <v>0</v>
      </c>
      <c r="S55" s="3">
        <f t="shared" si="28"/>
        <v>0</v>
      </c>
      <c r="T55" s="3"/>
    </row>
    <row r="56" spans="1:20" s="92" customFormat="1" x14ac:dyDescent="0.2">
      <c r="A56" s="87">
        <v>41490.061000000002</v>
      </c>
      <c r="B56" s="15" t="s">
        <v>367</v>
      </c>
      <c r="C56" s="14"/>
      <c r="D56" s="330">
        <f t="shared" si="22"/>
        <v>0</v>
      </c>
      <c r="E56" s="120"/>
      <c r="F56" s="373">
        <f t="shared" si="23"/>
        <v>0</v>
      </c>
      <c r="G56" s="373">
        <f t="shared" si="24"/>
        <v>0</v>
      </c>
      <c r="H56" s="373">
        <f t="shared" si="24"/>
        <v>0</v>
      </c>
      <c r="I56" s="373">
        <f t="shared" si="24"/>
        <v>0</v>
      </c>
      <c r="J56" s="373">
        <f t="shared" si="24"/>
        <v>0</v>
      </c>
      <c r="K56" s="373">
        <f t="shared" si="24"/>
        <v>0</v>
      </c>
      <c r="L56" s="373">
        <f t="shared" si="24"/>
        <v>0</v>
      </c>
      <c r="M56" s="373">
        <f t="shared" si="24"/>
        <v>0</v>
      </c>
      <c r="N56" s="373">
        <f t="shared" si="24"/>
        <v>0</v>
      </c>
      <c r="O56" s="373">
        <f t="shared" si="24"/>
        <v>0</v>
      </c>
      <c r="P56" s="373">
        <f t="shared" si="24"/>
        <v>0</v>
      </c>
      <c r="Q56" s="373">
        <f t="shared" si="24"/>
        <v>0</v>
      </c>
      <c r="R56" s="109">
        <f t="shared" si="20"/>
        <v>0</v>
      </c>
      <c r="S56" s="3">
        <f t="shared" si="21"/>
        <v>0</v>
      </c>
      <c r="T56" s="3"/>
    </row>
    <row r="57" spans="1:20" s="92" customFormat="1" x14ac:dyDescent="0.2">
      <c r="A57" s="87">
        <v>41509.061000000002</v>
      </c>
      <c r="B57" s="15" t="s">
        <v>3</v>
      </c>
      <c r="C57" s="14">
        <f>[6]Radiology!$J$21</f>
        <v>295</v>
      </c>
      <c r="D57" s="330">
        <f t="shared" si="22"/>
        <v>4.9306368042787901E-2</v>
      </c>
      <c r="E57" s="120"/>
      <c r="F57" s="373">
        <f t="shared" si="23"/>
        <v>24.406652181180011</v>
      </c>
      <c r="G57" s="373">
        <f t="shared" si="23"/>
        <v>24.998328597693465</v>
      </c>
      <c r="H57" s="373">
        <f t="shared" si="23"/>
        <v>23.568443924452616</v>
      </c>
      <c r="I57" s="373">
        <f t="shared" si="23"/>
        <v>24.209426709008859</v>
      </c>
      <c r="J57" s="373">
        <f t="shared" si="23"/>
        <v>28.203242520474678</v>
      </c>
      <c r="K57" s="373">
        <f t="shared" si="23"/>
        <v>25.096941333779043</v>
      </c>
      <c r="L57" s="373">
        <f t="shared" si="23"/>
        <v>24.603877653351162</v>
      </c>
      <c r="M57" s="373">
        <f t="shared" si="23"/>
        <v>23.913588500752134</v>
      </c>
      <c r="N57" s="373">
        <f t="shared" si="23"/>
        <v>23.420524820324253</v>
      </c>
      <c r="O57" s="373">
        <f t="shared" si="23"/>
        <v>22.286478355340133</v>
      </c>
      <c r="P57" s="373">
        <f t="shared" si="23"/>
        <v>26.724051479191044</v>
      </c>
      <c r="Q57" s="373">
        <f t="shared" si="23"/>
        <v>23.568443924452616</v>
      </c>
      <c r="R57" s="109">
        <f t="shared" si="20"/>
        <v>295</v>
      </c>
      <c r="S57" s="3">
        <f t="shared" si="21"/>
        <v>0</v>
      </c>
      <c r="T57" s="3"/>
    </row>
    <row r="58" spans="1:20" s="92" customFormat="1" x14ac:dyDescent="0.2">
      <c r="A58" s="87">
        <v>41560.061000000002</v>
      </c>
      <c r="B58" s="15" t="s">
        <v>420</v>
      </c>
      <c r="C58" s="14">
        <f>[6]Radiology!$J$22</f>
        <v>655</v>
      </c>
      <c r="D58" s="330">
        <f t="shared" si="22"/>
        <v>0.10947685107805449</v>
      </c>
      <c r="E58" s="120"/>
      <c r="F58" s="373">
        <f t="shared" si="23"/>
        <v>54.191041283636977</v>
      </c>
      <c r="G58" s="373">
        <f t="shared" si="23"/>
        <v>55.504763496573631</v>
      </c>
      <c r="H58" s="373">
        <f t="shared" si="23"/>
        <v>52.329934815310047</v>
      </c>
      <c r="I58" s="373">
        <f t="shared" si="23"/>
        <v>53.753133879324757</v>
      </c>
      <c r="J58" s="373">
        <f t="shared" si="23"/>
        <v>62.620758816647168</v>
      </c>
      <c r="K58" s="373">
        <f t="shared" si="23"/>
        <v>55.723717198729737</v>
      </c>
      <c r="L58" s="373">
        <f t="shared" si="23"/>
        <v>54.62894868794919</v>
      </c>
      <c r="M58" s="373">
        <f t="shared" si="23"/>
        <v>53.09627277285643</v>
      </c>
      <c r="N58" s="373">
        <f t="shared" si="23"/>
        <v>52.001504262075883</v>
      </c>
      <c r="O58" s="373">
        <f t="shared" si="23"/>
        <v>49.483536687280633</v>
      </c>
      <c r="P58" s="373">
        <f t="shared" si="23"/>
        <v>59.336453284305534</v>
      </c>
      <c r="Q58" s="373">
        <f t="shared" si="23"/>
        <v>52.329934815310047</v>
      </c>
      <c r="R58" s="109">
        <f t="shared" si="20"/>
        <v>655</v>
      </c>
      <c r="S58" s="3">
        <f t="shared" si="21"/>
        <v>0</v>
      </c>
      <c r="T58" s="3"/>
    </row>
    <row r="59" spans="1:20" s="92" customFormat="1" x14ac:dyDescent="0.2">
      <c r="A59" s="87">
        <v>41570.061000000002</v>
      </c>
      <c r="B59" s="15" t="s">
        <v>2</v>
      </c>
      <c r="C59" s="14">
        <f>[6]Radiology!$J$23</f>
        <v>6000</v>
      </c>
      <c r="D59" s="330">
        <f t="shared" si="22"/>
        <v>1.0028413839211099</v>
      </c>
      <c r="E59" s="120"/>
      <c r="F59" s="373">
        <f t="shared" si="23"/>
        <v>496.40648504094941</v>
      </c>
      <c r="G59" s="373">
        <f t="shared" si="23"/>
        <v>508.44058164800271</v>
      </c>
      <c r="H59" s="373">
        <f t="shared" si="23"/>
        <v>479.35818151429055</v>
      </c>
      <c r="I59" s="373">
        <f t="shared" si="23"/>
        <v>492.39511950526497</v>
      </c>
      <c r="J59" s="373">
        <f t="shared" si="23"/>
        <v>573.62527160287482</v>
      </c>
      <c r="K59" s="373">
        <f t="shared" si="23"/>
        <v>510.44626441584495</v>
      </c>
      <c r="L59" s="373">
        <f t="shared" si="23"/>
        <v>500.41785057663384</v>
      </c>
      <c r="M59" s="373">
        <f t="shared" si="23"/>
        <v>486.37807120173829</v>
      </c>
      <c r="N59" s="373">
        <f t="shared" si="23"/>
        <v>476.34965736252718</v>
      </c>
      <c r="O59" s="373">
        <f t="shared" si="23"/>
        <v>453.28430553234165</v>
      </c>
      <c r="P59" s="373">
        <f t="shared" si="23"/>
        <v>543.5400300852416</v>
      </c>
      <c r="Q59" s="373">
        <f t="shared" si="23"/>
        <v>479.35818151429055</v>
      </c>
      <c r="R59" s="109">
        <f t="shared" si="20"/>
        <v>6000.0000000000009</v>
      </c>
      <c r="S59" s="3">
        <f t="shared" si="21"/>
        <v>0</v>
      </c>
      <c r="T59" s="3"/>
    </row>
    <row r="60" spans="1:20" s="92" customFormat="1" x14ac:dyDescent="0.2">
      <c r="A60" s="87">
        <v>41571.061000000002</v>
      </c>
      <c r="B60" s="15" t="s">
        <v>1</v>
      </c>
      <c r="C60" s="14">
        <f>[6]Radiology!$J$24</f>
        <v>28625</v>
      </c>
      <c r="D60" s="330">
        <f t="shared" si="22"/>
        <v>4.7843891024569611</v>
      </c>
      <c r="E60" s="120"/>
      <c r="F60" s="373">
        <f t="shared" si="23"/>
        <v>2368.2726057161958</v>
      </c>
      <c r="G60" s="373">
        <f t="shared" si="23"/>
        <v>2425.6852749456793</v>
      </c>
      <c r="H60" s="373">
        <f t="shared" si="23"/>
        <v>2286.9379909744275</v>
      </c>
      <c r="I60" s="373">
        <f t="shared" si="23"/>
        <v>2349.1350493063678</v>
      </c>
      <c r="J60" s="373">
        <f t="shared" si="23"/>
        <v>2736.6705666053817</v>
      </c>
      <c r="K60" s="373">
        <f t="shared" si="23"/>
        <v>2435.2540531505933</v>
      </c>
      <c r="L60" s="373">
        <f t="shared" si="23"/>
        <v>2387.4101621260238</v>
      </c>
      <c r="M60" s="373">
        <f t="shared" si="23"/>
        <v>2320.4287146916263</v>
      </c>
      <c r="N60" s="373">
        <f t="shared" si="23"/>
        <v>2272.5848236670568</v>
      </c>
      <c r="O60" s="373">
        <f t="shared" si="23"/>
        <v>2162.5438743105465</v>
      </c>
      <c r="P60" s="373">
        <f t="shared" si="23"/>
        <v>2593.1388935316731</v>
      </c>
      <c r="Q60" s="373">
        <f t="shared" si="23"/>
        <v>2286.9379909744275</v>
      </c>
      <c r="R60" s="109">
        <f t="shared" si="20"/>
        <v>28625</v>
      </c>
      <c r="S60" s="3">
        <f t="shared" si="21"/>
        <v>0</v>
      </c>
      <c r="T60" s="3"/>
    </row>
    <row r="61" spans="1:20" s="159" customFormat="1" x14ac:dyDescent="0.2">
      <c r="A61" s="11"/>
      <c r="B61" s="77" t="s">
        <v>0</v>
      </c>
      <c r="C61" s="128">
        <f>SUM(C38:C60)</f>
        <v>427678.30449999997</v>
      </c>
      <c r="D61" s="128">
        <f>C61/C$4</f>
        <v>71.482250459635623</v>
      </c>
      <c r="E61" s="128"/>
      <c r="F61" s="374">
        <f>SUM(F38:F60)</f>
        <v>36231.752871734061</v>
      </c>
      <c r="G61" s="374">
        <f t="shared" ref="G61:Q61" si="29">SUM(G38:G60)</f>
        <v>35257.896054668592</v>
      </c>
      <c r="H61" s="374">
        <f t="shared" si="29"/>
        <v>36113.278527759467</v>
      </c>
      <c r="I61" s="374">
        <f t="shared" si="29"/>
        <v>36203.87655550475</v>
      </c>
      <c r="J61" s="374">
        <f t="shared" si="29"/>
        <v>33595.914661888135</v>
      </c>
      <c r="K61" s="374">
        <f t="shared" si="29"/>
        <v>36329.319978536681</v>
      </c>
      <c r="L61" s="374">
        <f t="shared" si="29"/>
        <v>35202.143422209963</v>
      </c>
      <c r="M61" s="374">
        <f t="shared" si="29"/>
        <v>36162.062081160773</v>
      </c>
      <c r="N61" s="374">
        <f t="shared" si="29"/>
        <v>35034.885524834062</v>
      </c>
      <c r="O61" s="374">
        <f t="shared" si="29"/>
        <v>35932.082472268914</v>
      </c>
      <c r="P61" s="374">
        <f t="shared" si="29"/>
        <v>36559.299587428541</v>
      </c>
      <c r="Q61" s="374">
        <f t="shared" si="29"/>
        <v>35055.792762006051</v>
      </c>
      <c r="R61" s="109">
        <f t="shared" si="17"/>
        <v>427678.30449999997</v>
      </c>
      <c r="S61" s="3">
        <f>C61-R61</f>
        <v>0</v>
      </c>
      <c r="T61" s="3"/>
    </row>
    <row r="62" spans="1:20" x14ac:dyDescent="0.2">
      <c r="C62" s="7">
        <f>C61-C34</f>
        <v>-633781.52387811441</v>
      </c>
      <c r="F62" s="414"/>
      <c r="G62" s="414"/>
      <c r="H62" s="414"/>
      <c r="I62" s="414"/>
      <c r="J62" s="160"/>
      <c r="K62" s="160"/>
      <c r="L62" s="160"/>
      <c r="M62" s="160"/>
      <c r="N62" s="160"/>
      <c r="O62" s="160"/>
      <c r="P62" s="160"/>
      <c r="Q62" s="160"/>
      <c r="R62" s="160"/>
    </row>
    <row r="63" spans="1:20" x14ac:dyDescent="0.2">
      <c r="A63" s="4"/>
      <c r="C63" s="7"/>
      <c r="F63" s="7"/>
      <c r="G63" s="7"/>
      <c r="H63" s="7"/>
      <c r="I63" s="7"/>
      <c r="J63" s="7"/>
      <c r="K63" s="7"/>
      <c r="L63" s="7"/>
      <c r="M63" s="7"/>
      <c r="N63" s="7"/>
      <c r="O63" s="7"/>
      <c r="P63" s="7"/>
      <c r="Q63" s="7"/>
      <c r="R63" s="7"/>
      <c r="T63" s="4"/>
    </row>
    <row r="64" spans="1:20" x14ac:dyDescent="0.2">
      <c r="A64" s="4"/>
      <c r="C64" s="7"/>
      <c r="F64" s="7"/>
      <c r="G64" s="7"/>
      <c r="H64" s="7"/>
      <c r="I64" s="7"/>
      <c r="J64" s="7"/>
      <c r="K64" s="7"/>
      <c r="L64" s="7"/>
      <c r="M64" s="7"/>
      <c r="N64" s="7"/>
      <c r="O64" s="7"/>
      <c r="P64" s="7"/>
      <c r="Q64" s="7"/>
      <c r="R64" s="7"/>
      <c r="T64" s="4"/>
    </row>
    <row r="65" spans="1:20" x14ac:dyDescent="0.2">
      <c r="C65" s="7"/>
      <c r="F65" s="7"/>
      <c r="G65" s="7"/>
      <c r="H65" s="7"/>
      <c r="I65" s="7"/>
      <c r="J65" s="7"/>
      <c r="K65" s="7"/>
      <c r="L65" s="7"/>
      <c r="M65" s="7"/>
      <c r="N65" s="7"/>
      <c r="O65" s="7"/>
      <c r="P65" s="7"/>
      <c r="Q65" s="7"/>
      <c r="R65" s="7"/>
    </row>
    <row r="67" spans="1:20" x14ac:dyDescent="0.2">
      <c r="A67" s="4"/>
      <c r="C67" s="7"/>
      <c r="F67" s="7"/>
      <c r="G67" s="7"/>
      <c r="H67" s="7"/>
      <c r="I67" s="7"/>
      <c r="J67" s="7"/>
      <c r="K67" s="7"/>
      <c r="L67" s="7"/>
      <c r="M67" s="7"/>
      <c r="N67" s="7"/>
      <c r="O67" s="7"/>
      <c r="P67" s="7"/>
      <c r="Q67" s="7"/>
      <c r="R67" s="3"/>
      <c r="T67" s="4"/>
    </row>
  </sheetData>
  <mergeCells count="1">
    <mergeCell ref="A36:D36"/>
  </mergeCells>
  <printOptions gridLines="1"/>
  <pageMargins left="0.25" right="0.25" top="0.75" bottom="0.75" header="0.3" footer="0.3"/>
  <pageSetup scale="65" orientation="landscape" r:id="rId1"/>
  <headerFooter alignWithMargins="0">
    <oddHeader>&amp;C&amp;"Arial,Bold"&amp;14DOCTORS MEMORIAL HOSPITAL
FY 2017 BUDGET</oddHead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53"/>
  <sheetViews>
    <sheetView zoomScale="80" zoomScaleNormal="80" workbookViewId="0">
      <pane xSplit="2" ySplit="6" topLeftCell="C19" activePane="bottomRight" state="frozen"/>
      <selection pane="topRight" activeCell="C1" sqref="C1"/>
      <selection pane="bottomLeft" activeCell="A7" sqref="A7"/>
      <selection pane="bottomRight" activeCell="G51" sqref="G51"/>
    </sheetView>
  </sheetViews>
  <sheetFormatPr defaultRowHeight="12.75" x14ac:dyDescent="0.2"/>
  <cols>
    <col min="1" max="1" width="11.85546875" style="2" bestFit="1" customWidth="1"/>
    <col min="2" max="2" width="23.28515625" style="4" customWidth="1"/>
    <col min="3" max="3" width="12.7109375" style="4" bestFit="1" customWidth="1"/>
    <col min="4" max="4" width="10.5703125" style="4" bestFit="1" customWidth="1"/>
    <col min="5" max="5" width="2.7109375" style="4" customWidth="1"/>
    <col min="6" max="9" width="11.28515625" style="4" bestFit="1" customWidth="1"/>
    <col min="10" max="17" width="11.28515625" style="2" bestFit="1" customWidth="1"/>
    <col min="18" max="18" width="12.28515625" style="2" bestFit="1" customWidth="1"/>
    <col min="19" max="20" width="10.5703125" style="2" customWidth="1"/>
    <col min="21" max="200" width="9.140625" style="1"/>
    <col min="201" max="201" width="11.85546875" style="1" bestFit="1" customWidth="1"/>
    <col min="202" max="202" width="28.140625" style="1" bestFit="1" customWidth="1"/>
    <col min="203" max="203" width="15.7109375" style="1" customWidth="1"/>
    <col min="204" max="204" width="9.85546875" style="1" customWidth="1"/>
    <col min="205" max="205" width="13.140625" style="1" customWidth="1"/>
    <col min="206" max="206" width="9.140625" style="1" customWidth="1"/>
    <col min="207" max="207" width="12.28515625" style="1" customWidth="1"/>
    <col min="208" max="208" width="10.5703125" style="1" customWidth="1"/>
    <col min="209" max="210" width="12.7109375" style="1" customWidth="1"/>
    <col min="211" max="223" width="10.5703125" style="1" customWidth="1"/>
    <col min="224" max="224" width="11.140625" style="1" customWidth="1"/>
    <col min="225" max="236" width="10.5703125" style="1" customWidth="1"/>
    <col min="237" max="238" width="9.85546875" style="1" customWidth="1"/>
    <col min="239" max="239" width="9.85546875" style="1" bestFit="1" customWidth="1"/>
    <col min="240" max="240" width="9.85546875" style="1" customWidth="1"/>
    <col min="241" max="241" width="11.140625" style="1" customWidth="1"/>
    <col min="242" max="243" width="11.7109375" style="1" customWidth="1"/>
    <col min="244" max="245" width="9.140625" style="1" customWidth="1"/>
    <col min="246" max="246" width="10.28515625" style="1" customWidth="1"/>
    <col min="247" max="253" width="9.140625" style="1" customWidth="1"/>
    <col min="254" max="254" width="10.5703125" style="1" bestFit="1" customWidth="1"/>
    <col min="255" max="257" width="9.140625" style="1" customWidth="1"/>
    <col min="258" max="258" width="10.5703125" style="1" customWidth="1"/>
    <col min="259" max="262" width="9.140625" style="1" customWidth="1"/>
    <col min="263" max="263" width="9.28515625" style="1" bestFit="1" customWidth="1"/>
    <col min="264" max="274" width="9.140625" style="1"/>
    <col min="275" max="275" width="10.85546875" style="1" customWidth="1"/>
    <col min="276" max="456" width="9.140625" style="1"/>
    <col min="457" max="457" width="11.85546875" style="1" bestFit="1" customWidth="1"/>
    <col min="458" max="458" width="28.140625" style="1" bestFit="1" customWidth="1"/>
    <col min="459" max="459" width="15.7109375" style="1" customWidth="1"/>
    <col min="460" max="460" width="9.85546875" style="1" customWidth="1"/>
    <col min="461" max="461" width="13.140625" style="1" customWidth="1"/>
    <col min="462" max="462" width="9.140625" style="1" customWidth="1"/>
    <col min="463" max="463" width="12.28515625" style="1" customWidth="1"/>
    <col min="464" max="464" width="10.5703125" style="1" customWidth="1"/>
    <col min="465" max="466" width="12.7109375" style="1" customWidth="1"/>
    <col min="467" max="479" width="10.5703125" style="1" customWidth="1"/>
    <col min="480" max="480" width="11.140625" style="1" customWidth="1"/>
    <col min="481" max="492" width="10.5703125" style="1" customWidth="1"/>
    <col min="493" max="494" width="9.85546875" style="1" customWidth="1"/>
    <col min="495" max="495" width="9.85546875" style="1" bestFit="1" customWidth="1"/>
    <col min="496" max="496" width="9.85546875" style="1" customWidth="1"/>
    <col min="497" max="497" width="11.140625" style="1" customWidth="1"/>
    <col min="498" max="499" width="11.7109375" style="1" customWidth="1"/>
    <col min="500" max="501" width="9.140625" style="1" customWidth="1"/>
    <col min="502" max="502" width="10.28515625" style="1" customWidth="1"/>
    <col min="503" max="509" width="9.140625" style="1" customWidth="1"/>
    <col min="510" max="510" width="10.5703125" style="1" bestFit="1" customWidth="1"/>
    <col min="511" max="513" width="9.140625" style="1" customWidth="1"/>
    <col min="514" max="514" width="10.5703125" style="1" customWidth="1"/>
    <col min="515" max="518" width="9.140625" style="1" customWidth="1"/>
    <col min="519" max="519" width="9.28515625" style="1" bestFit="1" customWidth="1"/>
    <col min="520" max="530" width="9.140625" style="1"/>
    <col min="531" max="531" width="10.85546875" style="1" customWidth="1"/>
    <col min="532" max="712" width="9.140625" style="1"/>
    <col min="713" max="713" width="11.85546875" style="1" bestFit="1" customWidth="1"/>
    <col min="714" max="714" width="28.140625" style="1" bestFit="1" customWidth="1"/>
    <col min="715" max="715" width="15.7109375" style="1" customWidth="1"/>
    <col min="716" max="716" width="9.85546875" style="1" customWidth="1"/>
    <col min="717" max="717" width="13.140625" style="1" customWidth="1"/>
    <col min="718" max="718" width="9.140625" style="1" customWidth="1"/>
    <col min="719" max="719" width="12.28515625" style="1" customWidth="1"/>
    <col min="720" max="720" width="10.5703125" style="1" customWidth="1"/>
    <col min="721" max="722" width="12.7109375" style="1" customWidth="1"/>
    <col min="723" max="735" width="10.5703125" style="1" customWidth="1"/>
    <col min="736" max="736" width="11.140625" style="1" customWidth="1"/>
    <col min="737" max="748" width="10.5703125" style="1" customWidth="1"/>
    <col min="749" max="750" width="9.85546875" style="1" customWidth="1"/>
    <col min="751" max="751" width="9.85546875" style="1" bestFit="1" customWidth="1"/>
    <col min="752" max="752" width="9.85546875" style="1" customWidth="1"/>
    <col min="753" max="753" width="11.140625" style="1" customWidth="1"/>
    <col min="754" max="755" width="11.7109375" style="1" customWidth="1"/>
    <col min="756" max="757" width="9.140625" style="1" customWidth="1"/>
    <col min="758" max="758" width="10.28515625" style="1" customWidth="1"/>
    <col min="759" max="765" width="9.140625" style="1" customWidth="1"/>
    <col min="766" max="766" width="10.5703125" style="1" bestFit="1" customWidth="1"/>
    <col min="767" max="769" width="9.140625" style="1" customWidth="1"/>
    <col min="770" max="770" width="10.5703125" style="1" customWidth="1"/>
    <col min="771" max="774" width="9.140625" style="1" customWidth="1"/>
    <col min="775" max="775" width="9.28515625" style="1" bestFit="1" customWidth="1"/>
    <col min="776" max="786" width="9.140625" style="1"/>
    <col min="787" max="787" width="10.85546875" style="1" customWidth="1"/>
    <col min="788" max="968" width="9.140625" style="1"/>
    <col min="969" max="969" width="11.85546875" style="1" bestFit="1" customWidth="1"/>
    <col min="970" max="970" width="28.140625" style="1" bestFit="1" customWidth="1"/>
    <col min="971" max="971" width="15.7109375" style="1" customWidth="1"/>
    <col min="972" max="972" width="9.85546875" style="1" customWidth="1"/>
    <col min="973" max="973" width="13.140625" style="1" customWidth="1"/>
    <col min="974" max="974" width="9.140625" style="1" customWidth="1"/>
    <col min="975" max="975" width="12.28515625" style="1" customWidth="1"/>
    <col min="976" max="976" width="10.5703125" style="1" customWidth="1"/>
    <col min="977" max="978" width="12.7109375" style="1" customWidth="1"/>
    <col min="979" max="991" width="10.5703125" style="1" customWidth="1"/>
    <col min="992" max="992" width="11.140625" style="1" customWidth="1"/>
    <col min="993" max="1004" width="10.5703125" style="1" customWidth="1"/>
    <col min="1005" max="1006" width="9.85546875" style="1" customWidth="1"/>
    <col min="1007" max="1007" width="9.85546875" style="1" bestFit="1" customWidth="1"/>
    <col min="1008" max="1008" width="9.85546875" style="1" customWidth="1"/>
    <col min="1009" max="1009" width="11.140625" style="1" customWidth="1"/>
    <col min="1010" max="1011" width="11.7109375" style="1" customWidth="1"/>
    <col min="1012" max="1013" width="9.140625" style="1" customWidth="1"/>
    <col min="1014" max="1014" width="10.28515625" style="1" customWidth="1"/>
    <col min="1015" max="1021" width="9.140625" style="1" customWidth="1"/>
    <col min="1022" max="1022" width="10.5703125" style="1" bestFit="1" customWidth="1"/>
    <col min="1023" max="1025" width="9.140625" style="1" customWidth="1"/>
    <col min="1026" max="1026" width="10.5703125" style="1" customWidth="1"/>
    <col min="1027" max="1030" width="9.140625" style="1" customWidth="1"/>
    <col min="1031" max="1031" width="9.28515625" style="1" bestFit="1" customWidth="1"/>
    <col min="1032" max="1042" width="9.140625" style="1"/>
    <col min="1043" max="1043" width="10.85546875" style="1" customWidth="1"/>
    <col min="1044" max="1224" width="9.140625" style="1"/>
    <col min="1225" max="1225" width="11.85546875" style="1" bestFit="1" customWidth="1"/>
    <col min="1226" max="1226" width="28.140625" style="1" bestFit="1" customWidth="1"/>
    <col min="1227" max="1227" width="15.7109375" style="1" customWidth="1"/>
    <col min="1228" max="1228" width="9.85546875" style="1" customWidth="1"/>
    <col min="1229" max="1229" width="13.140625" style="1" customWidth="1"/>
    <col min="1230" max="1230" width="9.140625" style="1" customWidth="1"/>
    <col min="1231" max="1231" width="12.28515625" style="1" customWidth="1"/>
    <col min="1232" max="1232" width="10.5703125" style="1" customWidth="1"/>
    <col min="1233" max="1234" width="12.7109375" style="1" customWidth="1"/>
    <col min="1235" max="1247" width="10.5703125" style="1" customWidth="1"/>
    <col min="1248" max="1248" width="11.140625" style="1" customWidth="1"/>
    <col min="1249" max="1260" width="10.5703125" style="1" customWidth="1"/>
    <col min="1261" max="1262" width="9.85546875" style="1" customWidth="1"/>
    <col min="1263" max="1263" width="9.85546875" style="1" bestFit="1" customWidth="1"/>
    <col min="1264" max="1264" width="9.85546875" style="1" customWidth="1"/>
    <col min="1265" max="1265" width="11.140625" style="1" customWidth="1"/>
    <col min="1266" max="1267" width="11.7109375" style="1" customWidth="1"/>
    <col min="1268" max="1269" width="9.140625" style="1" customWidth="1"/>
    <col min="1270" max="1270" width="10.28515625" style="1" customWidth="1"/>
    <col min="1271" max="1277" width="9.140625" style="1" customWidth="1"/>
    <col min="1278" max="1278" width="10.5703125" style="1" bestFit="1" customWidth="1"/>
    <col min="1279" max="1281" width="9.140625" style="1" customWidth="1"/>
    <col min="1282" max="1282" width="10.5703125" style="1" customWidth="1"/>
    <col min="1283" max="1286" width="9.140625" style="1" customWidth="1"/>
    <col min="1287" max="1287" width="9.28515625" style="1" bestFit="1" customWidth="1"/>
    <col min="1288" max="1298" width="9.140625" style="1"/>
    <col min="1299" max="1299" width="10.85546875" style="1" customWidth="1"/>
    <col min="1300" max="1480" width="9.140625" style="1"/>
    <col min="1481" max="1481" width="11.85546875" style="1" bestFit="1" customWidth="1"/>
    <col min="1482" max="1482" width="28.140625" style="1" bestFit="1" customWidth="1"/>
    <col min="1483" max="1483" width="15.7109375" style="1" customWidth="1"/>
    <col min="1484" max="1484" width="9.85546875" style="1" customWidth="1"/>
    <col min="1485" max="1485" width="13.140625" style="1" customWidth="1"/>
    <col min="1486" max="1486" width="9.140625" style="1" customWidth="1"/>
    <col min="1487" max="1487" width="12.28515625" style="1" customWidth="1"/>
    <col min="1488" max="1488" width="10.5703125" style="1" customWidth="1"/>
    <col min="1489" max="1490" width="12.7109375" style="1" customWidth="1"/>
    <col min="1491" max="1503" width="10.5703125" style="1" customWidth="1"/>
    <col min="1504" max="1504" width="11.140625" style="1" customWidth="1"/>
    <col min="1505" max="1516" width="10.5703125" style="1" customWidth="1"/>
    <col min="1517" max="1518" width="9.85546875" style="1" customWidth="1"/>
    <col min="1519" max="1519" width="9.85546875" style="1" bestFit="1" customWidth="1"/>
    <col min="1520" max="1520" width="9.85546875" style="1" customWidth="1"/>
    <col min="1521" max="1521" width="11.140625" style="1" customWidth="1"/>
    <col min="1522" max="1523" width="11.7109375" style="1" customWidth="1"/>
    <col min="1524" max="1525" width="9.140625" style="1" customWidth="1"/>
    <col min="1526" max="1526" width="10.28515625" style="1" customWidth="1"/>
    <col min="1527" max="1533" width="9.140625" style="1" customWidth="1"/>
    <col min="1534" max="1534" width="10.5703125" style="1" bestFit="1" customWidth="1"/>
    <col min="1535" max="1537" width="9.140625" style="1" customWidth="1"/>
    <col min="1538" max="1538" width="10.5703125" style="1" customWidth="1"/>
    <col min="1539" max="1542" width="9.140625" style="1" customWidth="1"/>
    <col min="1543" max="1543" width="9.28515625" style="1" bestFit="1" customWidth="1"/>
    <col min="1544" max="1554" width="9.140625" style="1"/>
    <col min="1555" max="1555" width="10.85546875" style="1" customWidth="1"/>
    <col min="1556" max="1736" width="9.140625" style="1"/>
    <col min="1737" max="1737" width="11.85546875" style="1" bestFit="1" customWidth="1"/>
    <col min="1738" max="1738" width="28.140625" style="1" bestFit="1" customWidth="1"/>
    <col min="1739" max="1739" width="15.7109375" style="1" customWidth="1"/>
    <col min="1740" max="1740" width="9.85546875" style="1" customWidth="1"/>
    <col min="1741" max="1741" width="13.140625" style="1" customWidth="1"/>
    <col min="1742" max="1742" width="9.140625" style="1" customWidth="1"/>
    <col min="1743" max="1743" width="12.28515625" style="1" customWidth="1"/>
    <col min="1744" max="1744" width="10.5703125" style="1" customWidth="1"/>
    <col min="1745" max="1746" width="12.7109375" style="1" customWidth="1"/>
    <col min="1747" max="1759" width="10.5703125" style="1" customWidth="1"/>
    <col min="1760" max="1760" width="11.140625" style="1" customWidth="1"/>
    <col min="1761" max="1772" width="10.5703125" style="1" customWidth="1"/>
    <col min="1773" max="1774" width="9.85546875" style="1" customWidth="1"/>
    <col min="1775" max="1775" width="9.85546875" style="1" bestFit="1" customWidth="1"/>
    <col min="1776" max="1776" width="9.85546875" style="1" customWidth="1"/>
    <col min="1777" max="1777" width="11.140625" style="1" customWidth="1"/>
    <col min="1778" max="1779" width="11.7109375" style="1" customWidth="1"/>
    <col min="1780" max="1781" width="9.140625" style="1" customWidth="1"/>
    <col min="1782" max="1782" width="10.28515625" style="1" customWidth="1"/>
    <col min="1783" max="1789" width="9.140625" style="1" customWidth="1"/>
    <col min="1790" max="1790" width="10.5703125" style="1" bestFit="1" customWidth="1"/>
    <col min="1791" max="1793" width="9.140625" style="1" customWidth="1"/>
    <col min="1794" max="1794" width="10.5703125" style="1" customWidth="1"/>
    <col min="1795" max="1798" width="9.140625" style="1" customWidth="1"/>
    <col min="1799" max="1799" width="9.28515625" style="1" bestFit="1" customWidth="1"/>
    <col min="1800" max="1810" width="9.140625" style="1"/>
    <col min="1811" max="1811" width="10.85546875" style="1" customWidth="1"/>
    <col min="1812" max="1992" width="9.140625" style="1"/>
    <col min="1993" max="1993" width="11.85546875" style="1" bestFit="1" customWidth="1"/>
    <col min="1994" max="1994" width="28.140625" style="1" bestFit="1" customWidth="1"/>
    <col min="1995" max="1995" width="15.7109375" style="1" customWidth="1"/>
    <col min="1996" max="1996" width="9.85546875" style="1" customWidth="1"/>
    <col min="1997" max="1997" width="13.140625" style="1" customWidth="1"/>
    <col min="1998" max="1998" width="9.140625" style="1" customWidth="1"/>
    <col min="1999" max="1999" width="12.28515625" style="1" customWidth="1"/>
    <col min="2000" max="2000" width="10.5703125" style="1" customWidth="1"/>
    <col min="2001" max="2002" width="12.7109375" style="1" customWidth="1"/>
    <col min="2003" max="2015" width="10.5703125" style="1" customWidth="1"/>
    <col min="2016" max="2016" width="11.140625" style="1" customWidth="1"/>
    <col min="2017" max="2028" width="10.5703125" style="1" customWidth="1"/>
    <col min="2029" max="2030" width="9.85546875" style="1" customWidth="1"/>
    <col min="2031" max="2031" width="9.85546875" style="1" bestFit="1" customWidth="1"/>
    <col min="2032" max="2032" width="9.85546875" style="1" customWidth="1"/>
    <col min="2033" max="2033" width="11.140625" style="1" customWidth="1"/>
    <col min="2034" max="2035" width="11.7109375" style="1" customWidth="1"/>
    <col min="2036" max="2037" width="9.140625" style="1" customWidth="1"/>
    <col min="2038" max="2038" width="10.28515625" style="1" customWidth="1"/>
    <col min="2039" max="2045" width="9.140625" style="1" customWidth="1"/>
    <col min="2046" max="2046" width="10.5703125" style="1" bestFit="1" customWidth="1"/>
    <col min="2047" max="2049" width="9.140625" style="1" customWidth="1"/>
    <col min="2050" max="2050" width="10.5703125" style="1" customWidth="1"/>
    <col min="2051" max="2054" width="9.140625" style="1" customWidth="1"/>
    <col min="2055" max="2055" width="9.28515625" style="1" bestFit="1" customWidth="1"/>
    <col min="2056" max="2066" width="9.140625" style="1"/>
    <col min="2067" max="2067" width="10.85546875" style="1" customWidth="1"/>
    <col min="2068" max="2248" width="9.140625" style="1"/>
    <col min="2249" max="2249" width="11.85546875" style="1" bestFit="1" customWidth="1"/>
    <col min="2250" max="2250" width="28.140625" style="1" bestFit="1" customWidth="1"/>
    <col min="2251" max="2251" width="15.7109375" style="1" customWidth="1"/>
    <col min="2252" max="2252" width="9.85546875" style="1" customWidth="1"/>
    <col min="2253" max="2253" width="13.140625" style="1" customWidth="1"/>
    <col min="2254" max="2254" width="9.140625" style="1" customWidth="1"/>
    <col min="2255" max="2255" width="12.28515625" style="1" customWidth="1"/>
    <col min="2256" max="2256" width="10.5703125" style="1" customWidth="1"/>
    <col min="2257" max="2258" width="12.7109375" style="1" customWidth="1"/>
    <col min="2259" max="2271" width="10.5703125" style="1" customWidth="1"/>
    <col min="2272" max="2272" width="11.140625" style="1" customWidth="1"/>
    <col min="2273" max="2284" width="10.5703125" style="1" customWidth="1"/>
    <col min="2285" max="2286" width="9.85546875" style="1" customWidth="1"/>
    <col min="2287" max="2287" width="9.85546875" style="1" bestFit="1" customWidth="1"/>
    <col min="2288" max="2288" width="9.85546875" style="1" customWidth="1"/>
    <col min="2289" max="2289" width="11.140625" style="1" customWidth="1"/>
    <col min="2290" max="2291" width="11.7109375" style="1" customWidth="1"/>
    <col min="2292" max="2293" width="9.140625" style="1" customWidth="1"/>
    <col min="2294" max="2294" width="10.28515625" style="1" customWidth="1"/>
    <col min="2295" max="2301" width="9.140625" style="1" customWidth="1"/>
    <col min="2302" max="2302" width="10.5703125" style="1" bestFit="1" customWidth="1"/>
    <col min="2303" max="2305" width="9.140625" style="1" customWidth="1"/>
    <col min="2306" max="2306" width="10.5703125" style="1" customWidth="1"/>
    <col min="2307" max="2310" width="9.140625" style="1" customWidth="1"/>
    <col min="2311" max="2311" width="9.28515625" style="1" bestFit="1" customWidth="1"/>
    <col min="2312" max="2322" width="9.140625" style="1"/>
    <col min="2323" max="2323" width="10.85546875" style="1" customWidth="1"/>
    <col min="2324" max="2504" width="9.140625" style="1"/>
    <col min="2505" max="2505" width="11.85546875" style="1" bestFit="1" customWidth="1"/>
    <col min="2506" max="2506" width="28.140625" style="1" bestFit="1" customWidth="1"/>
    <col min="2507" max="2507" width="15.7109375" style="1" customWidth="1"/>
    <col min="2508" max="2508" width="9.85546875" style="1" customWidth="1"/>
    <col min="2509" max="2509" width="13.140625" style="1" customWidth="1"/>
    <col min="2510" max="2510" width="9.140625" style="1" customWidth="1"/>
    <col min="2511" max="2511" width="12.28515625" style="1" customWidth="1"/>
    <col min="2512" max="2512" width="10.5703125" style="1" customWidth="1"/>
    <col min="2513" max="2514" width="12.7109375" style="1" customWidth="1"/>
    <col min="2515" max="2527" width="10.5703125" style="1" customWidth="1"/>
    <col min="2528" max="2528" width="11.140625" style="1" customWidth="1"/>
    <col min="2529" max="2540" width="10.5703125" style="1" customWidth="1"/>
    <col min="2541" max="2542" width="9.85546875" style="1" customWidth="1"/>
    <col min="2543" max="2543" width="9.85546875" style="1" bestFit="1" customWidth="1"/>
    <col min="2544" max="2544" width="9.85546875" style="1" customWidth="1"/>
    <col min="2545" max="2545" width="11.140625" style="1" customWidth="1"/>
    <col min="2546" max="2547" width="11.7109375" style="1" customWidth="1"/>
    <col min="2548" max="2549" width="9.140625" style="1" customWidth="1"/>
    <col min="2550" max="2550" width="10.28515625" style="1" customWidth="1"/>
    <col min="2551" max="2557" width="9.140625" style="1" customWidth="1"/>
    <col min="2558" max="2558" width="10.5703125" style="1" bestFit="1" customWidth="1"/>
    <col min="2559" max="2561" width="9.140625" style="1" customWidth="1"/>
    <col min="2562" max="2562" width="10.5703125" style="1" customWidth="1"/>
    <col min="2563" max="2566" width="9.140625" style="1" customWidth="1"/>
    <col min="2567" max="2567" width="9.28515625" style="1" bestFit="1" customWidth="1"/>
    <col min="2568" max="2578" width="9.140625" style="1"/>
    <col min="2579" max="2579" width="10.85546875" style="1" customWidth="1"/>
    <col min="2580" max="2760" width="9.140625" style="1"/>
    <col min="2761" max="2761" width="11.85546875" style="1" bestFit="1" customWidth="1"/>
    <col min="2762" max="2762" width="28.140625" style="1" bestFit="1" customWidth="1"/>
    <col min="2763" max="2763" width="15.7109375" style="1" customWidth="1"/>
    <col min="2764" max="2764" width="9.85546875" style="1" customWidth="1"/>
    <col min="2765" max="2765" width="13.140625" style="1" customWidth="1"/>
    <col min="2766" max="2766" width="9.140625" style="1" customWidth="1"/>
    <col min="2767" max="2767" width="12.28515625" style="1" customWidth="1"/>
    <col min="2768" max="2768" width="10.5703125" style="1" customWidth="1"/>
    <col min="2769" max="2770" width="12.7109375" style="1" customWidth="1"/>
    <col min="2771" max="2783" width="10.5703125" style="1" customWidth="1"/>
    <col min="2784" max="2784" width="11.140625" style="1" customWidth="1"/>
    <col min="2785" max="2796" width="10.5703125" style="1" customWidth="1"/>
    <col min="2797" max="2798" width="9.85546875" style="1" customWidth="1"/>
    <col min="2799" max="2799" width="9.85546875" style="1" bestFit="1" customWidth="1"/>
    <col min="2800" max="2800" width="9.85546875" style="1" customWidth="1"/>
    <col min="2801" max="2801" width="11.140625" style="1" customWidth="1"/>
    <col min="2802" max="2803" width="11.7109375" style="1" customWidth="1"/>
    <col min="2804" max="2805" width="9.140625" style="1" customWidth="1"/>
    <col min="2806" max="2806" width="10.28515625" style="1" customWidth="1"/>
    <col min="2807" max="2813" width="9.140625" style="1" customWidth="1"/>
    <col min="2814" max="2814" width="10.5703125" style="1" bestFit="1" customWidth="1"/>
    <col min="2815" max="2817" width="9.140625" style="1" customWidth="1"/>
    <col min="2818" max="2818" width="10.5703125" style="1" customWidth="1"/>
    <col min="2819" max="2822" width="9.140625" style="1" customWidth="1"/>
    <col min="2823" max="2823" width="9.28515625" style="1" bestFit="1" customWidth="1"/>
    <col min="2824" max="2834" width="9.140625" style="1"/>
    <col min="2835" max="2835" width="10.85546875" style="1" customWidth="1"/>
    <col min="2836" max="3016" width="9.140625" style="1"/>
    <col min="3017" max="3017" width="11.85546875" style="1" bestFit="1" customWidth="1"/>
    <col min="3018" max="3018" width="28.140625" style="1" bestFit="1" customWidth="1"/>
    <col min="3019" max="3019" width="15.7109375" style="1" customWidth="1"/>
    <col min="3020" max="3020" width="9.85546875" style="1" customWidth="1"/>
    <col min="3021" max="3021" width="13.140625" style="1" customWidth="1"/>
    <col min="3022" max="3022" width="9.140625" style="1" customWidth="1"/>
    <col min="3023" max="3023" width="12.28515625" style="1" customWidth="1"/>
    <col min="3024" max="3024" width="10.5703125" style="1" customWidth="1"/>
    <col min="3025" max="3026" width="12.7109375" style="1" customWidth="1"/>
    <col min="3027" max="3039" width="10.5703125" style="1" customWidth="1"/>
    <col min="3040" max="3040" width="11.140625" style="1" customWidth="1"/>
    <col min="3041" max="3052" width="10.5703125" style="1" customWidth="1"/>
    <col min="3053" max="3054" width="9.85546875" style="1" customWidth="1"/>
    <col min="3055" max="3055" width="9.85546875" style="1" bestFit="1" customWidth="1"/>
    <col min="3056" max="3056" width="9.85546875" style="1" customWidth="1"/>
    <col min="3057" max="3057" width="11.140625" style="1" customWidth="1"/>
    <col min="3058" max="3059" width="11.7109375" style="1" customWidth="1"/>
    <col min="3060" max="3061" width="9.140625" style="1" customWidth="1"/>
    <col min="3062" max="3062" width="10.28515625" style="1" customWidth="1"/>
    <col min="3063" max="3069" width="9.140625" style="1" customWidth="1"/>
    <col min="3070" max="3070" width="10.5703125" style="1" bestFit="1" customWidth="1"/>
    <col min="3071" max="3073" width="9.140625" style="1" customWidth="1"/>
    <col min="3074" max="3074" width="10.5703125" style="1" customWidth="1"/>
    <col min="3075" max="3078" width="9.140625" style="1" customWidth="1"/>
    <col min="3079" max="3079" width="9.28515625" style="1" bestFit="1" customWidth="1"/>
    <col min="3080" max="3090" width="9.140625" style="1"/>
    <col min="3091" max="3091" width="10.85546875" style="1" customWidth="1"/>
    <col min="3092" max="3272" width="9.140625" style="1"/>
    <col min="3273" max="3273" width="11.85546875" style="1" bestFit="1" customWidth="1"/>
    <col min="3274" max="3274" width="28.140625" style="1" bestFit="1" customWidth="1"/>
    <col min="3275" max="3275" width="15.7109375" style="1" customWidth="1"/>
    <col min="3276" max="3276" width="9.85546875" style="1" customWidth="1"/>
    <col min="3277" max="3277" width="13.140625" style="1" customWidth="1"/>
    <col min="3278" max="3278" width="9.140625" style="1" customWidth="1"/>
    <col min="3279" max="3279" width="12.28515625" style="1" customWidth="1"/>
    <col min="3280" max="3280" width="10.5703125" style="1" customWidth="1"/>
    <col min="3281" max="3282" width="12.7109375" style="1" customWidth="1"/>
    <col min="3283" max="3295" width="10.5703125" style="1" customWidth="1"/>
    <col min="3296" max="3296" width="11.140625" style="1" customWidth="1"/>
    <col min="3297" max="3308" width="10.5703125" style="1" customWidth="1"/>
    <col min="3309" max="3310" width="9.85546875" style="1" customWidth="1"/>
    <col min="3311" max="3311" width="9.85546875" style="1" bestFit="1" customWidth="1"/>
    <col min="3312" max="3312" width="9.85546875" style="1" customWidth="1"/>
    <col min="3313" max="3313" width="11.140625" style="1" customWidth="1"/>
    <col min="3314" max="3315" width="11.7109375" style="1" customWidth="1"/>
    <col min="3316" max="3317" width="9.140625" style="1" customWidth="1"/>
    <col min="3318" max="3318" width="10.28515625" style="1" customWidth="1"/>
    <col min="3319" max="3325" width="9.140625" style="1" customWidth="1"/>
    <col min="3326" max="3326" width="10.5703125" style="1" bestFit="1" customWidth="1"/>
    <col min="3327" max="3329" width="9.140625" style="1" customWidth="1"/>
    <col min="3330" max="3330" width="10.5703125" style="1" customWidth="1"/>
    <col min="3331" max="3334" width="9.140625" style="1" customWidth="1"/>
    <col min="3335" max="3335" width="9.28515625" style="1" bestFit="1" customWidth="1"/>
    <col min="3336" max="3346" width="9.140625" style="1"/>
    <col min="3347" max="3347" width="10.85546875" style="1" customWidth="1"/>
    <col min="3348" max="3528" width="9.140625" style="1"/>
    <col min="3529" max="3529" width="11.85546875" style="1" bestFit="1" customWidth="1"/>
    <col min="3530" max="3530" width="28.140625" style="1" bestFit="1" customWidth="1"/>
    <col min="3531" max="3531" width="15.7109375" style="1" customWidth="1"/>
    <col min="3532" max="3532" width="9.85546875" style="1" customWidth="1"/>
    <col min="3533" max="3533" width="13.140625" style="1" customWidth="1"/>
    <col min="3534" max="3534" width="9.140625" style="1" customWidth="1"/>
    <col min="3535" max="3535" width="12.28515625" style="1" customWidth="1"/>
    <col min="3536" max="3536" width="10.5703125" style="1" customWidth="1"/>
    <col min="3537" max="3538" width="12.7109375" style="1" customWidth="1"/>
    <col min="3539" max="3551" width="10.5703125" style="1" customWidth="1"/>
    <col min="3552" max="3552" width="11.140625" style="1" customWidth="1"/>
    <col min="3553" max="3564" width="10.5703125" style="1" customWidth="1"/>
    <col min="3565" max="3566" width="9.85546875" style="1" customWidth="1"/>
    <col min="3567" max="3567" width="9.85546875" style="1" bestFit="1" customWidth="1"/>
    <col min="3568" max="3568" width="9.85546875" style="1" customWidth="1"/>
    <col min="3569" max="3569" width="11.140625" style="1" customWidth="1"/>
    <col min="3570" max="3571" width="11.7109375" style="1" customWidth="1"/>
    <col min="3572" max="3573" width="9.140625" style="1" customWidth="1"/>
    <col min="3574" max="3574" width="10.28515625" style="1" customWidth="1"/>
    <col min="3575" max="3581" width="9.140625" style="1" customWidth="1"/>
    <col min="3582" max="3582" width="10.5703125" style="1" bestFit="1" customWidth="1"/>
    <col min="3583" max="3585" width="9.140625" style="1" customWidth="1"/>
    <col min="3586" max="3586" width="10.5703125" style="1" customWidth="1"/>
    <col min="3587" max="3590" width="9.140625" style="1" customWidth="1"/>
    <col min="3591" max="3591" width="9.28515625" style="1" bestFit="1" customWidth="1"/>
    <col min="3592" max="3602" width="9.140625" style="1"/>
    <col min="3603" max="3603" width="10.85546875" style="1" customWidth="1"/>
    <col min="3604" max="3784" width="9.140625" style="1"/>
    <col min="3785" max="3785" width="11.85546875" style="1" bestFit="1" customWidth="1"/>
    <col min="3786" max="3786" width="28.140625" style="1" bestFit="1" customWidth="1"/>
    <col min="3787" max="3787" width="15.7109375" style="1" customWidth="1"/>
    <col min="3788" max="3788" width="9.85546875" style="1" customWidth="1"/>
    <col min="3789" max="3789" width="13.140625" style="1" customWidth="1"/>
    <col min="3790" max="3790" width="9.140625" style="1" customWidth="1"/>
    <col min="3791" max="3791" width="12.28515625" style="1" customWidth="1"/>
    <col min="3792" max="3792" width="10.5703125" style="1" customWidth="1"/>
    <col min="3793" max="3794" width="12.7109375" style="1" customWidth="1"/>
    <col min="3795" max="3807" width="10.5703125" style="1" customWidth="1"/>
    <col min="3808" max="3808" width="11.140625" style="1" customWidth="1"/>
    <col min="3809" max="3820" width="10.5703125" style="1" customWidth="1"/>
    <col min="3821" max="3822" width="9.85546875" style="1" customWidth="1"/>
    <col min="3823" max="3823" width="9.85546875" style="1" bestFit="1" customWidth="1"/>
    <col min="3824" max="3824" width="9.85546875" style="1" customWidth="1"/>
    <col min="3825" max="3825" width="11.140625" style="1" customWidth="1"/>
    <col min="3826" max="3827" width="11.7109375" style="1" customWidth="1"/>
    <col min="3828" max="3829" width="9.140625" style="1" customWidth="1"/>
    <col min="3830" max="3830" width="10.28515625" style="1" customWidth="1"/>
    <col min="3831" max="3837" width="9.140625" style="1" customWidth="1"/>
    <col min="3838" max="3838" width="10.5703125" style="1" bestFit="1" customWidth="1"/>
    <col min="3839" max="3841" width="9.140625" style="1" customWidth="1"/>
    <col min="3842" max="3842" width="10.5703125" style="1" customWidth="1"/>
    <col min="3843" max="3846" width="9.140625" style="1" customWidth="1"/>
    <col min="3847" max="3847" width="9.28515625" style="1" bestFit="1" customWidth="1"/>
    <col min="3848" max="3858" width="9.140625" style="1"/>
    <col min="3859" max="3859" width="10.85546875" style="1" customWidth="1"/>
    <col min="3860" max="4040" width="9.140625" style="1"/>
    <col min="4041" max="4041" width="11.85546875" style="1" bestFit="1" customWidth="1"/>
    <col min="4042" max="4042" width="28.140625" style="1" bestFit="1" customWidth="1"/>
    <col min="4043" max="4043" width="15.7109375" style="1" customWidth="1"/>
    <col min="4044" max="4044" width="9.85546875" style="1" customWidth="1"/>
    <col min="4045" max="4045" width="13.140625" style="1" customWidth="1"/>
    <col min="4046" max="4046" width="9.140625" style="1" customWidth="1"/>
    <col min="4047" max="4047" width="12.28515625" style="1" customWidth="1"/>
    <col min="4048" max="4048" width="10.5703125" style="1" customWidth="1"/>
    <col min="4049" max="4050" width="12.7109375" style="1" customWidth="1"/>
    <col min="4051" max="4063" width="10.5703125" style="1" customWidth="1"/>
    <col min="4064" max="4064" width="11.140625" style="1" customWidth="1"/>
    <col min="4065" max="4076" width="10.5703125" style="1" customWidth="1"/>
    <col min="4077" max="4078" width="9.85546875" style="1" customWidth="1"/>
    <col min="4079" max="4079" width="9.85546875" style="1" bestFit="1" customWidth="1"/>
    <col min="4080" max="4080" width="9.85546875" style="1" customWidth="1"/>
    <col min="4081" max="4081" width="11.140625" style="1" customWidth="1"/>
    <col min="4082" max="4083" width="11.7109375" style="1" customWidth="1"/>
    <col min="4084" max="4085" width="9.140625" style="1" customWidth="1"/>
    <col min="4086" max="4086" width="10.28515625" style="1" customWidth="1"/>
    <col min="4087" max="4093" width="9.140625" style="1" customWidth="1"/>
    <col min="4094" max="4094" width="10.5703125" style="1" bestFit="1" customWidth="1"/>
    <col min="4095" max="4097" width="9.140625" style="1" customWidth="1"/>
    <col min="4098" max="4098" width="10.5703125" style="1" customWidth="1"/>
    <col min="4099" max="4102" width="9.140625" style="1" customWidth="1"/>
    <col min="4103" max="4103" width="9.28515625" style="1" bestFit="1" customWidth="1"/>
    <col min="4104" max="4114" width="9.140625" style="1"/>
    <col min="4115" max="4115" width="10.85546875" style="1" customWidth="1"/>
    <col min="4116" max="4296" width="9.140625" style="1"/>
    <col min="4297" max="4297" width="11.85546875" style="1" bestFit="1" customWidth="1"/>
    <col min="4298" max="4298" width="28.140625" style="1" bestFit="1" customWidth="1"/>
    <col min="4299" max="4299" width="15.7109375" style="1" customWidth="1"/>
    <col min="4300" max="4300" width="9.85546875" style="1" customWidth="1"/>
    <col min="4301" max="4301" width="13.140625" style="1" customWidth="1"/>
    <col min="4302" max="4302" width="9.140625" style="1" customWidth="1"/>
    <col min="4303" max="4303" width="12.28515625" style="1" customWidth="1"/>
    <col min="4304" max="4304" width="10.5703125" style="1" customWidth="1"/>
    <col min="4305" max="4306" width="12.7109375" style="1" customWidth="1"/>
    <col min="4307" max="4319" width="10.5703125" style="1" customWidth="1"/>
    <col min="4320" max="4320" width="11.140625" style="1" customWidth="1"/>
    <col min="4321" max="4332" width="10.5703125" style="1" customWidth="1"/>
    <col min="4333" max="4334" width="9.85546875" style="1" customWidth="1"/>
    <col min="4335" max="4335" width="9.85546875" style="1" bestFit="1" customWidth="1"/>
    <col min="4336" max="4336" width="9.85546875" style="1" customWidth="1"/>
    <col min="4337" max="4337" width="11.140625" style="1" customWidth="1"/>
    <col min="4338" max="4339" width="11.7109375" style="1" customWidth="1"/>
    <col min="4340" max="4341" width="9.140625" style="1" customWidth="1"/>
    <col min="4342" max="4342" width="10.28515625" style="1" customWidth="1"/>
    <col min="4343" max="4349" width="9.140625" style="1" customWidth="1"/>
    <col min="4350" max="4350" width="10.5703125" style="1" bestFit="1" customWidth="1"/>
    <col min="4351" max="4353" width="9.140625" style="1" customWidth="1"/>
    <col min="4354" max="4354" width="10.5703125" style="1" customWidth="1"/>
    <col min="4355" max="4358" width="9.140625" style="1" customWidth="1"/>
    <col min="4359" max="4359" width="9.28515625" style="1" bestFit="1" customWidth="1"/>
    <col min="4360" max="4370" width="9.140625" style="1"/>
    <col min="4371" max="4371" width="10.85546875" style="1" customWidth="1"/>
    <col min="4372" max="4552" width="9.140625" style="1"/>
    <col min="4553" max="4553" width="11.85546875" style="1" bestFit="1" customWidth="1"/>
    <col min="4554" max="4554" width="28.140625" style="1" bestFit="1" customWidth="1"/>
    <col min="4555" max="4555" width="15.7109375" style="1" customWidth="1"/>
    <col min="4556" max="4556" width="9.85546875" style="1" customWidth="1"/>
    <col min="4557" max="4557" width="13.140625" style="1" customWidth="1"/>
    <col min="4558" max="4558" width="9.140625" style="1" customWidth="1"/>
    <col min="4559" max="4559" width="12.28515625" style="1" customWidth="1"/>
    <col min="4560" max="4560" width="10.5703125" style="1" customWidth="1"/>
    <col min="4561" max="4562" width="12.7109375" style="1" customWidth="1"/>
    <col min="4563" max="4575" width="10.5703125" style="1" customWidth="1"/>
    <col min="4576" max="4576" width="11.140625" style="1" customWidth="1"/>
    <col min="4577" max="4588" width="10.5703125" style="1" customWidth="1"/>
    <col min="4589" max="4590" width="9.85546875" style="1" customWidth="1"/>
    <col min="4591" max="4591" width="9.85546875" style="1" bestFit="1" customWidth="1"/>
    <col min="4592" max="4592" width="9.85546875" style="1" customWidth="1"/>
    <col min="4593" max="4593" width="11.140625" style="1" customWidth="1"/>
    <col min="4594" max="4595" width="11.7109375" style="1" customWidth="1"/>
    <col min="4596" max="4597" width="9.140625" style="1" customWidth="1"/>
    <col min="4598" max="4598" width="10.28515625" style="1" customWidth="1"/>
    <col min="4599" max="4605" width="9.140625" style="1" customWidth="1"/>
    <col min="4606" max="4606" width="10.5703125" style="1" bestFit="1" customWidth="1"/>
    <col min="4607" max="4609" width="9.140625" style="1" customWidth="1"/>
    <col min="4610" max="4610" width="10.5703125" style="1" customWidth="1"/>
    <col min="4611" max="4614" width="9.140625" style="1" customWidth="1"/>
    <col min="4615" max="4615" width="9.28515625" style="1" bestFit="1" customWidth="1"/>
    <col min="4616" max="4626" width="9.140625" style="1"/>
    <col min="4627" max="4627" width="10.85546875" style="1" customWidth="1"/>
    <col min="4628" max="4808" width="9.140625" style="1"/>
    <col min="4809" max="4809" width="11.85546875" style="1" bestFit="1" customWidth="1"/>
    <col min="4810" max="4810" width="28.140625" style="1" bestFit="1" customWidth="1"/>
    <col min="4811" max="4811" width="15.7109375" style="1" customWidth="1"/>
    <col min="4812" max="4812" width="9.85546875" style="1" customWidth="1"/>
    <col min="4813" max="4813" width="13.140625" style="1" customWidth="1"/>
    <col min="4814" max="4814" width="9.140625" style="1" customWidth="1"/>
    <col min="4815" max="4815" width="12.28515625" style="1" customWidth="1"/>
    <col min="4816" max="4816" width="10.5703125" style="1" customWidth="1"/>
    <col min="4817" max="4818" width="12.7109375" style="1" customWidth="1"/>
    <col min="4819" max="4831" width="10.5703125" style="1" customWidth="1"/>
    <col min="4832" max="4832" width="11.140625" style="1" customWidth="1"/>
    <col min="4833" max="4844" width="10.5703125" style="1" customWidth="1"/>
    <col min="4845" max="4846" width="9.85546875" style="1" customWidth="1"/>
    <col min="4847" max="4847" width="9.85546875" style="1" bestFit="1" customWidth="1"/>
    <col min="4848" max="4848" width="9.85546875" style="1" customWidth="1"/>
    <col min="4849" max="4849" width="11.140625" style="1" customWidth="1"/>
    <col min="4850" max="4851" width="11.7109375" style="1" customWidth="1"/>
    <col min="4852" max="4853" width="9.140625" style="1" customWidth="1"/>
    <col min="4854" max="4854" width="10.28515625" style="1" customWidth="1"/>
    <col min="4855" max="4861" width="9.140625" style="1" customWidth="1"/>
    <col min="4862" max="4862" width="10.5703125" style="1" bestFit="1" customWidth="1"/>
    <col min="4863" max="4865" width="9.140625" style="1" customWidth="1"/>
    <col min="4866" max="4866" width="10.5703125" style="1" customWidth="1"/>
    <col min="4867" max="4870" width="9.140625" style="1" customWidth="1"/>
    <col min="4871" max="4871" width="9.28515625" style="1" bestFit="1" customWidth="1"/>
    <col min="4872" max="4882" width="9.140625" style="1"/>
    <col min="4883" max="4883" width="10.85546875" style="1" customWidth="1"/>
    <col min="4884" max="5064" width="9.140625" style="1"/>
    <col min="5065" max="5065" width="11.85546875" style="1" bestFit="1" customWidth="1"/>
    <col min="5066" max="5066" width="28.140625" style="1" bestFit="1" customWidth="1"/>
    <col min="5067" max="5067" width="15.7109375" style="1" customWidth="1"/>
    <col min="5068" max="5068" width="9.85546875" style="1" customWidth="1"/>
    <col min="5069" max="5069" width="13.140625" style="1" customWidth="1"/>
    <col min="5070" max="5070" width="9.140625" style="1" customWidth="1"/>
    <col min="5071" max="5071" width="12.28515625" style="1" customWidth="1"/>
    <col min="5072" max="5072" width="10.5703125" style="1" customWidth="1"/>
    <col min="5073" max="5074" width="12.7109375" style="1" customWidth="1"/>
    <col min="5075" max="5087" width="10.5703125" style="1" customWidth="1"/>
    <col min="5088" max="5088" width="11.140625" style="1" customWidth="1"/>
    <col min="5089" max="5100" width="10.5703125" style="1" customWidth="1"/>
    <col min="5101" max="5102" width="9.85546875" style="1" customWidth="1"/>
    <col min="5103" max="5103" width="9.85546875" style="1" bestFit="1" customWidth="1"/>
    <col min="5104" max="5104" width="9.85546875" style="1" customWidth="1"/>
    <col min="5105" max="5105" width="11.140625" style="1" customWidth="1"/>
    <col min="5106" max="5107" width="11.7109375" style="1" customWidth="1"/>
    <col min="5108" max="5109" width="9.140625" style="1" customWidth="1"/>
    <col min="5110" max="5110" width="10.28515625" style="1" customWidth="1"/>
    <col min="5111" max="5117" width="9.140625" style="1" customWidth="1"/>
    <col min="5118" max="5118" width="10.5703125" style="1" bestFit="1" customWidth="1"/>
    <col min="5119" max="5121" width="9.140625" style="1" customWidth="1"/>
    <col min="5122" max="5122" width="10.5703125" style="1" customWidth="1"/>
    <col min="5123" max="5126" width="9.140625" style="1" customWidth="1"/>
    <col min="5127" max="5127" width="9.28515625" style="1" bestFit="1" customWidth="1"/>
    <col min="5128" max="5138" width="9.140625" style="1"/>
    <col min="5139" max="5139" width="10.85546875" style="1" customWidth="1"/>
    <col min="5140" max="5320" width="9.140625" style="1"/>
    <col min="5321" max="5321" width="11.85546875" style="1" bestFit="1" customWidth="1"/>
    <col min="5322" max="5322" width="28.140625" style="1" bestFit="1" customWidth="1"/>
    <col min="5323" max="5323" width="15.7109375" style="1" customWidth="1"/>
    <col min="5324" max="5324" width="9.85546875" style="1" customWidth="1"/>
    <col min="5325" max="5325" width="13.140625" style="1" customWidth="1"/>
    <col min="5326" max="5326" width="9.140625" style="1" customWidth="1"/>
    <col min="5327" max="5327" width="12.28515625" style="1" customWidth="1"/>
    <col min="5328" max="5328" width="10.5703125" style="1" customWidth="1"/>
    <col min="5329" max="5330" width="12.7109375" style="1" customWidth="1"/>
    <col min="5331" max="5343" width="10.5703125" style="1" customWidth="1"/>
    <col min="5344" max="5344" width="11.140625" style="1" customWidth="1"/>
    <col min="5345" max="5356" width="10.5703125" style="1" customWidth="1"/>
    <col min="5357" max="5358" width="9.85546875" style="1" customWidth="1"/>
    <col min="5359" max="5359" width="9.85546875" style="1" bestFit="1" customWidth="1"/>
    <col min="5360" max="5360" width="9.85546875" style="1" customWidth="1"/>
    <col min="5361" max="5361" width="11.140625" style="1" customWidth="1"/>
    <col min="5362" max="5363" width="11.7109375" style="1" customWidth="1"/>
    <col min="5364" max="5365" width="9.140625" style="1" customWidth="1"/>
    <col min="5366" max="5366" width="10.28515625" style="1" customWidth="1"/>
    <col min="5367" max="5373" width="9.140625" style="1" customWidth="1"/>
    <col min="5374" max="5374" width="10.5703125" style="1" bestFit="1" customWidth="1"/>
    <col min="5375" max="5377" width="9.140625" style="1" customWidth="1"/>
    <col min="5378" max="5378" width="10.5703125" style="1" customWidth="1"/>
    <col min="5379" max="5382" width="9.140625" style="1" customWidth="1"/>
    <col min="5383" max="5383" width="9.28515625" style="1" bestFit="1" customWidth="1"/>
    <col min="5384" max="5394" width="9.140625" style="1"/>
    <col min="5395" max="5395" width="10.85546875" style="1" customWidth="1"/>
    <col min="5396" max="5576" width="9.140625" style="1"/>
    <col min="5577" max="5577" width="11.85546875" style="1" bestFit="1" customWidth="1"/>
    <col min="5578" max="5578" width="28.140625" style="1" bestFit="1" customWidth="1"/>
    <col min="5579" max="5579" width="15.7109375" style="1" customWidth="1"/>
    <col min="5580" max="5580" width="9.85546875" style="1" customWidth="1"/>
    <col min="5581" max="5581" width="13.140625" style="1" customWidth="1"/>
    <col min="5582" max="5582" width="9.140625" style="1" customWidth="1"/>
    <col min="5583" max="5583" width="12.28515625" style="1" customWidth="1"/>
    <col min="5584" max="5584" width="10.5703125" style="1" customWidth="1"/>
    <col min="5585" max="5586" width="12.7109375" style="1" customWidth="1"/>
    <col min="5587" max="5599" width="10.5703125" style="1" customWidth="1"/>
    <col min="5600" max="5600" width="11.140625" style="1" customWidth="1"/>
    <col min="5601" max="5612" width="10.5703125" style="1" customWidth="1"/>
    <col min="5613" max="5614" width="9.85546875" style="1" customWidth="1"/>
    <col min="5615" max="5615" width="9.85546875" style="1" bestFit="1" customWidth="1"/>
    <col min="5616" max="5616" width="9.85546875" style="1" customWidth="1"/>
    <col min="5617" max="5617" width="11.140625" style="1" customWidth="1"/>
    <col min="5618" max="5619" width="11.7109375" style="1" customWidth="1"/>
    <col min="5620" max="5621" width="9.140625" style="1" customWidth="1"/>
    <col min="5622" max="5622" width="10.28515625" style="1" customWidth="1"/>
    <col min="5623" max="5629" width="9.140625" style="1" customWidth="1"/>
    <col min="5630" max="5630" width="10.5703125" style="1" bestFit="1" customWidth="1"/>
    <col min="5631" max="5633" width="9.140625" style="1" customWidth="1"/>
    <col min="5634" max="5634" width="10.5703125" style="1" customWidth="1"/>
    <col min="5635" max="5638" width="9.140625" style="1" customWidth="1"/>
    <col min="5639" max="5639" width="9.28515625" style="1" bestFit="1" customWidth="1"/>
    <col min="5640" max="5650" width="9.140625" style="1"/>
    <col min="5651" max="5651" width="10.85546875" style="1" customWidth="1"/>
    <col min="5652" max="5832" width="9.140625" style="1"/>
    <col min="5833" max="5833" width="11.85546875" style="1" bestFit="1" customWidth="1"/>
    <col min="5834" max="5834" width="28.140625" style="1" bestFit="1" customWidth="1"/>
    <col min="5835" max="5835" width="15.7109375" style="1" customWidth="1"/>
    <col min="5836" max="5836" width="9.85546875" style="1" customWidth="1"/>
    <col min="5837" max="5837" width="13.140625" style="1" customWidth="1"/>
    <col min="5838" max="5838" width="9.140625" style="1" customWidth="1"/>
    <col min="5839" max="5839" width="12.28515625" style="1" customWidth="1"/>
    <col min="5840" max="5840" width="10.5703125" style="1" customWidth="1"/>
    <col min="5841" max="5842" width="12.7109375" style="1" customWidth="1"/>
    <col min="5843" max="5855" width="10.5703125" style="1" customWidth="1"/>
    <col min="5856" max="5856" width="11.140625" style="1" customWidth="1"/>
    <col min="5857" max="5868" width="10.5703125" style="1" customWidth="1"/>
    <col min="5869" max="5870" width="9.85546875" style="1" customWidth="1"/>
    <col min="5871" max="5871" width="9.85546875" style="1" bestFit="1" customWidth="1"/>
    <col min="5872" max="5872" width="9.85546875" style="1" customWidth="1"/>
    <col min="5873" max="5873" width="11.140625" style="1" customWidth="1"/>
    <col min="5874" max="5875" width="11.7109375" style="1" customWidth="1"/>
    <col min="5876" max="5877" width="9.140625" style="1" customWidth="1"/>
    <col min="5878" max="5878" width="10.28515625" style="1" customWidth="1"/>
    <col min="5879" max="5885" width="9.140625" style="1" customWidth="1"/>
    <col min="5886" max="5886" width="10.5703125" style="1" bestFit="1" customWidth="1"/>
    <col min="5887" max="5889" width="9.140625" style="1" customWidth="1"/>
    <col min="5890" max="5890" width="10.5703125" style="1" customWidth="1"/>
    <col min="5891" max="5894" width="9.140625" style="1" customWidth="1"/>
    <col min="5895" max="5895" width="9.28515625" style="1" bestFit="1" customWidth="1"/>
    <col min="5896" max="5906" width="9.140625" style="1"/>
    <col min="5907" max="5907" width="10.85546875" style="1" customWidth="1"/>
    <col min="5908" max="6088" width="9.140625" style="1"/>
    <col min="6089" max="6089" width="11.85546875" style="1" bestFit="1" customWidth="1"/>
    <col min="6090" max="6090" width="28.140625" style="1" bestFit="1" customWidth="1"/>
    <col min="6091" max="6091" width="15.7109375" style="1" customWidth="1"/>
    <col min="6092" max="6092" width="9.85546875" style="1" customWidth="1"/>
    <col min="6093" max="6093" width="13.140625" style="1" customWidth="1"/>
    <col min="6094" max="6094" width="9.140625" style="1" customWidth="1"/>
    <col min="6095" max="6095" width="12.28515625" style="1" customWidth="1"/>
    <col min="6096" max="6096" width="10.5703125" style="1" customWidth="1"/>
    <col min="6097" max="6098" width="12.7109375" style="1" customWidth="1"/>
    <col min="6099" max="6111" width="10.5703125" style="1" customWidth="1"/>
    <col min="6112" max="6112" width="11.140625" style="1" customWidth="1"/>
    <col min="6113" max="6124" width="10.5703125" style="1" customWidth="1"/>
    <col min="6125" max="6126" width="9.85546875" style="1" customWidth="1"/>
    <col min="6127" max="6127" width="9.85546875" style="1" bestFit="1" customWidth="1"/>
    <col min="6128" max="6128" width="9.85546875" style="1" customWidth="1"/>
    <col min="6129" max="6129" width="11.140625" style="1" customWidth="1"/>
    <col min="6130" max="6131" width="11.7109375" style="1" customWidth="1"/>
    <col min="6132" max="6133" width="9.140625" style="1" customWidth="1"/>
    <col min="6134" max="6134" width="10.28515625" style="1" customWidth="1"/>
    <col min="6135" max="6141" width="9.140625" style="1" customWidth="1"/>
    <col min="6142" max="6142" width="10.5703125" style="1" bestFit="1" customWidth="1"/>
    <col min="6143" max="6145" width="9.140625" style="1" customWidth="1"/>
    <col min="6146" max="6146" width="10.5703125" style="1" customWidth="1"/>
    <col min="6147" max="6150" width="9.140625" style="1" customWidth="1"/>
    <col min="6151" max="6151" width="9.28515625" style="1" bestFit="1" customWidth="1"/>
    <col min="6152" max="6162" width="9.140625" style="1"/>
    <col min="6163" max="6163" width="10.85546875" style="1" customWidth="1"/>
    <col min="6164" max="6344" width="9.140625" style="1"/>
    <col min="6345" max="6345" width="11.85546875" style="1" bestFit="1" customWidth="1"/>
    <col min="6346" max="6346" width="28.140625" style="1" bestFit="1" customWidth="1"/>
    <col min="6347" max="6347" width="15.7109375" style="1" customWidth="1"/>
    <col min="6348" max="6348" width="9.85546875" style="1" customWidth="1"/>
    <col min="6349" max="6349" width="13.140625" style="1" customWidth="1"/>
    <col min="6350" max="6350" width="9.140625" style="1" customWidth="1"/>
    <col min="6351" max="6351" width="12.28515625" style="1" customWidth="1"/>
    <col min="6352" max="6352" width="10.5703125" style="1" customWidth="1"/>
    <col min="6353" max="6354" width="12.7109375" style="1" customWidth="1"/>
    <col min="6355" max="6367" width="10.5703125" style="1" customWidth="1"/>
    <col min="6368" max="6368" width="11.140625" style="1" customWidth="1"/>
    <col min="6369" max="6380" width="10.5703125" style="1" customWidth="1"/>
    <col min="6381" max="6382" width="9.85546875" style="1" customWidth="1"/>
    <col min="6383" max="6383" width="9.85546875" style="1" bestFit="1" customWidth="1"/>
    <col min="6384" max="6384" width="9.85546875" style="1" customWidth="1"/>
    <col min="6385" max="6385" width="11.140625" style="1" customWidth="1"/>
    <col min="6386" max="6387" width="11.7109375" style="1" customWidth="1"/>
    <col min="6388" max="6389" width="9.140625" style="1" customWidth="1"/>
    <col min="6390" max="6390" width="10.28515625" style="1" customWidth="1"/>
    <col min="6391" max="6397" width="9.140625" style="1" customWidth="1"/>
    <col min="6398" max="6398" width="10.5703125" style="1" bestFit="1" customWidth="1"/>
    <col min="6399" max="6401" width="9.140625" style="1" customWidth="1"/>
    <col min="6402" max="6402" width="10.5703125" style="1" customWidth="1"/>
    <col min="6403" max="6406" width="9.140625" style="1" customWidth="1"/>
    <col min="6407" max="6407" width="9.28515625" style="1" bestFit="1" customWidth="1"/>
    <col min="6408" max="6418" width="9.140625" style="1"/>
    <col min="6419" max="6419" width="10.85546875" style="1" customWidth="1"/>
    <col min="6420" max="6600" width="9.140625" style="1"/>
    <col min="6601" max="6601" width="11.85546875" style="1" bestFit="1" customWidth="1"/>
    <col min="6602" max="6602" width="28.140625" style="1" bestFit="1" customWidth="1"/>
    <col min="6603" max="6603" width="15.7109375" style="1" customWidth="1"/>
    <col min="6604" max="6604" width="9.85546875" style="1" customWidth="1"/>
    <col min="6605" max="6605" width="13.140625" style="1" customWidth="1"/>
    <col min="6606" max="6606" width="9.140625" style="1" customWidth="1"/>
    <col min="6607" max="6607" width="12.28515625" style="1" customWidth="1"/>
    <col min="6608" max="6608" width="10.5703125" style="1" customWidth="1"/>
    <col min="6609" max="6610" width="12.7109375" style="1" customWidth="1"/>
    <col min="6611" max="6623" width="10.5703125" style="1" customWidth="1"/>
    <col min="6624" max="6624" width="11.140625" style="1" customWidth="1"/>
    <col min="6625" max="6636" width="10.5703125" style="1" customWidth="1"/>
    <col min="6637" max="6638" width="9.85546875" style="1" customWidth="1"/>
    <col min="6639" max="6639" width="9.85546875" style="1" bestFit="1" customWidth="1"/>
    <col min="6640" max="6640" width="9.85546875" style="1" customWidth="1"/>
    <col min="6641" max="6641" width="11.140625" style="1" customWidth="1"/>
    <col min="6642" max="6643" width="11.7109375" style="1" customWidth="1"/>
    <col min="6644" max="6645" width="9.140625" style="1" customWidth="1"/>
    <col min="6646" max="6646" width="10.28515625" style="1" customWidth="1"/>
    <col min="6647" max="6653" width="9.140625" style="1" customWidth="1"/>
    <col min="6654" max="6654" width="10.5703125" style="1" bestFit="1" customWidth="1"/>
    <col min="6655" max="6657" width="9.140625" style="1" customWidth="1"/>
    <col min="6658" max="6658" width="10.5703125" style="1" customWidth="1"/>
    <col min="6659" max="6662" width="9.140625" style="1" customWidth="1"/>
    <col min="6663" max="6663" width="9.28515625" style="1" bestFit="1" customWidth="1"/>
    <col min="6664" max="6674" width="9.140625" style="1"/>
    <col min="6675" max="6675" width="10.85546875" style="1" customWidth="1"/>
    <col min="6676" max="6856" width="9.140625" style="1"/>
    <col min="6857" max="6857" width="11.85546875" style="1" bestFit="1" customWidth="1"/>
    <col min="6858" max="6858" width="28.140625" style="1" bestFit="1" customWidth="1"/>
    <col min="6859" max="6859" width="15.7109375" style="1" customWidth="1"/>
    <col min="6860" max="6860" width="9.85546875" style="1" customWidth="1"/>
    <col min="6861" max="6861" width="13.140625" style="1" customWidth="1"/>
    <col min="6862" max="6862" width="9.140625" style="1" customWidth="1"/>
    <col min="6863" max="6863" width="12.28515625" style="1" customWidth="1"/>
    <col min="6864" max="6864" width="10.5703125" style="1" customWidth="1"/>
    <col min="6865" max="6866" width="12.7109375" style="1" customWidth="1"/>
    <col min="6867" max="6879" width="10.5703125" style="1" customWidth="1"/>
    <col min="6880" max="6880" width="11.140625" style="1" customWidth="1"/>
    <col min="6881" max="6892" width="10.5703125" style="1" customWidth="1"/>
    <col min="6893" max="6894" width="9.85546875" style="1" customWidth="1"/>
    <col min="6895" max="6895" width="9.85546875" style="1" bestFit="1" customWidth="1"/>
    <col min="6896" max="6896" width="9.85546875" style="1" customWidth="1"/>
    <col min="6897" max="6897" width="11.140625" style="1" customWidth="1"/>
    <col min="6898" max="6899" width="11.7109375" style="1" customWidth="1"/>
    <col min="6900" max="6901" width="9.140625" style="1" customWidth="1"/>
    <col min="6902" max="6902" width="10.28515625" style="1" customWidth="1"/>
    <col min="6903" max="6909" width="9.140625" style="1" customWidth="1"/>
    <col min="6910" max="6910" width="10.5703125" style="1" bestFit="1" customWidth="1"/>
    <col min="6911" max="6913" width="9.140625" style="1" customWidth="1"/>
    <col min="6914" max="6914" width="10.5703125" style="1" customWidth="1"/>
    <col min="6915" max="6918" width="9.140625" style="1" customWidth="1"/>
    <col min="6919" max="6919" width="9.28515625" style="1" bestFit="1" customWidth="1"/>
    <col min="6920" max="6930" width="9.140625" style="1"/>
    <col min="6931" max="6931" width="10.85546875" style="1" customWidth="1"/>
    <col min="6932" max="7112" width="9.140625" style="1"/>
    <col min="7113" max="7113" width="11.85546875" style="1" bestFit="1" customWidth="1"/>
    <col min="7114" max="7114" width="28.140625" style="1" bestFit="1" customWidth="1"/>
    <col min="7115" max="7115" width="15.7109375" style="1" customWidth="1"/>
    <col min="7116" max="7116" width="9.85546875" style="1" customWidth="1"/>
    <col min="7117" max="7117" width="13.140625" style="1" customWidth="1"/>
    <col min="7118" max="7118" width="9.140625" style="1" customWidth="1"/>
    <col min="7119" max="7119" width="12.28515625" style="1" customWidth="1"/>
    <col min="7120" max="7120" width="10.5703125" style="1" customWidth="1"/>
    <col min="7121" max="7122" width="12.7109375" style="1" customWidth="1"/>
    <col min="7123" max="7135" width="10.5703125" style="1" customWidth="1"/>
    <col min="7136" max="7136" width="11.140625" style="1" customWidth="1"/>
    <col min="7137" max="7148" width="10.5703125" style="1" customWidth="1"/>
    <col min="7149" max="7150" width="9.85546875" style="1" customWidth="1"/>
    <col min="7151" max="7151" width="9.85546875" style="1" bestFit="1" customWidth="1"/>
    <col min="7152" max="7152" width="9.85546875" style="1" customWidth="1"/>
    <col min="7153" max="7153" width="11.140625" style="1" customWidth="1"/>
    <col min="7154" max="7155" width="11.7109375" style="1" customWidth="1"/>
    <col min="7156" max="7157" width="9.140625" style="1" customWidth="1"/>
    <col min="7158" max="7158" width="10.28515625" style="1" customWidth="1"/>
    <col min="7159" max="7165" width="9.140625" style="1" customWidth="1"/>
    <col min="7166" max="7166" width="10.5703125" style="1" bestFit="1" customWidth="1"/>
    <col min="7167" max="7169" width="9.140625" style="1" customWidth="1"/>
    <col min="7170" max="7170" width="10.5703125" style="1" customWidth="1"/>
    <col min="7171" max="7174" width="9.140625" style="1" customWidth="1"/>
    <col min="7175" max="7175" width="9.28515625" style="1" bestFit="1" customWidth="1"/>
    <col min="7176" max="7186" width="9.140625" style="1"/>
    <col min="7187" max="7187" width="10.85546875" style="1" customWidth="1"/>
    <col min="7188" max="7368" width="9.140625" style="1"/>
    <col min="7369" max="7369" width="11.85546875" style="1" bestFit="1" customWidth="1"/>
    <col min="7370" max="7370" width="28.140625" style="1" bestFit="1" customWidth="1"/>
    <col min="7371" max="7371" width="15.7109375" style="1" customWidth="1"/>
    <col min="7372" max="7372" width="9.85546875" style="1" customWidth="1"/>
    <col min="7373" max="7373" width="13.140625" style="1" customWidth="1"/>
    <col min="7374" max="7374" width="9.140625" style="1" customWidth="1"/>
    <col min="7375" max="7375" width="12.28515625" style="1" customWidth="1"/>
    <col min="7376" max="7376" width="10.5703125" style="1" customWidth="1"/>
    <col min="7377" max="7378" width="12.7109375" style="1" customWidth="1"/>
    <col min="7379" max="7391" width="10.5703125" style="1" customWidth="1"/>
    <col min="7392" max="7392" width="11.140625" style="1" customWidth="1"/>
    <col min="7393" max="7404" width="10.5703125" style="1" customWidth="1"/>
    <col min="7405" max="7406" width="9.85546875" style="1" customWidth="1"/>
    <col min="7407" max="7407" width="9.85546875" style="1" bestFit="1" customWidth="1"/>
    <col min="7408" max="7408" width="9.85546875" style="1" customWidth="1"/>
    <col min="7409" max="7409" width="11.140625" style="1" customWidth="1"/>
    <col min="7410" max="7411" width="11.7109375" style="1" customWidth="1"/>
    <col min="7412" max="7413" width="9.140625" style="1" customWidth="1"/>
    <col min="7414" max="7414" width="10.28515625" style="1" customWidth="1"/>
    <col min="7415" max="7421" width="9.140625" style="1" customWidth="1"/>
    <col min="7422" max="7422" width="10.5703125" style="1" bestFit="1" customWidth="1"/>
    <col min="7423" max="7425" width="9.140625" style="1" customWidth="1"/>
    <col min="7426" max="7426" width="10.5703125" style="1" customWidth="1"/>
    <col min="7427" max="7430" width="9.140625" style="1" customWidth="1"/>
    <col min="7431" max="7431" width="9.28515625" style="1" bestFit="1" customWidth="1"/>
    <col min="7432" max="7442" width="9.140625" style="1"/>
    <col min="7443" max="7443" width="10.85546875" style="1" customWidth="1"/>
    <col min="7444" max="7624" width="9.140625" style="1"/>
    <col min="7625" max="7625" width="11.85546875" style="1" bestFit="1" customWidth="1"/>
    <col min="7626" max="7626" width="28.140625" style="1" bestFit="1" customWidth="1"/>
    <col min="7627" max="7627" width="15.7109375" style="1" customWidth="1"/>
    <col min="7628" max="7628" width="9.85546875" style="1" customWidth="1"/>
    <col min="7629" max="7629" width="13.140625" style="1" customWidth="1"/>
    <col min="7630" max="7630" width="9.140625" style="1" customWidth="1"/>
    <col min="7631" max="7631" width="12.28515625" style="1" customWidth="1"/>
    <col min="7632" max="7632" width="10.5703125" style="1" customWidth="1"/>
    <col min="7633" max="7634" width="12.7109375" style="1" customWidth="1"/>
    <col min="7635" max="7647" width="10.5703125" style="1" customWidth="1"/>
    <col min="7648" max="7648" width="11.140625" style="1" customWidth="1"/>
    <col min="7649" max="7660" width="10.5703125" style="1" customWidth="1"/>
    <col min="7661" max="7662" width="9.85546875" style="1" customWidth="1"/>
    <col min="7663" max="7663" width="9.85546875" style="1" bestFit="1" customWidth="1"/>
    <col min="7664" max="7664" width="9.85546875" style="1" customWidth="1"/>
    <col min="7665" max="7665" width="11.140625" style="1" customWidth="1"/>
    <col min="7666" max="7667" width="11.7109375" style="1" customWidth="1"/>
    <col min="7668" max="7669" width="9.140625" style="1" customWidth="1"/>
    <col min="7670" max="7670" width="10.28515625" style="1" customWidth="1"/>
    <col min="7671" max="7677" width="9.140625" style="1" customWidth="1"/>
    <col min="7678" max="7678" width="10.5703125" style="1" bestFit="1" customWidth="1"/>
    <col min="7679" max="7681" width="9.140625" style="1" customWidth="1"/>
    <col min="7682" max="7682" width="10.5703125" style="1" customWidth="1"/>
    <col min="7683" max="7686" width="9.140625" style="1" customWidth="1"/>
    <col min="7687" max="7687" width="9.28515625" style="1" bestFit="1" customWidth="1"/>
    <col min="7688" max="7698" width="9.140625" style="1"/>
    <col min="7699" max="7699" width="10.85546875" style="1" customWidth="1"/>
    <col min="7700" max="7880" width="9.140625" style="1"/>
    <col min="7881" max="7881" width="11.85546875" style="1" bestFit="1" customWidth="1"/>
    <col min="7882" max="7882" width="28.140625" style="1" bestFit="1" customWidth="1"/>
    <col min="7883" max="7883" width="15.7109375" style="1" customWidth="1"/>
    <col min="7884" max="7884" width="9.85546875" style="1" customWidth="1"/>
    <col min="7885" max="7885" width="13.140625" style="1" customWidth="1"/>
    <col min="7886" max="7886" width="9.140625" style="1" customWidth="1"/>
    <col min="7887" max="7887" width="12.28515625" style="1" customWidth="1"/>
    <col min="7888" max="7888" width="10.5703125" style="1" customWidth="1"/>
    <col min="7889" max="7890" width="12.7109375" style="1" customWidth="1"/>
    <col min="7891" max="7903" width="10.5703125" style="1" customWidth="1"/>
    <col min="7904" max="7904" width="11.140625" style="1" customWidth="1"/>
    <col min="7905" max="7916" width="10.5703125" style="1" customWidth="1"/>
    <col min="7917" max="7918" width="9.85546875" style="1" customWidth="1"/>
    <col min="7919" max="7919" width="9.85546875" style="1" bestFit="1" customWidth="1"/>
    <col min="7920" max="7920" width="9.85546875" style="1" customWidth="1"/>
    <col min="7921" max="7921" width="11.140625" style="1" customWidth="1"/>
    <col min="7922" max="7923" width="11.7109375" style="1" customWidth="1"/>
    <col min="7924" max="7925" width="9.140625" style="1" customWidth="1"/>
    <col min="7926" max="7926" width="10.28515625" style="1" customWidth="1"/>
    <col min="7927" max="7933" width="9.140625" style="1" customWidth="1"/>
    <col min="7934" max="7934" width="10.5703125" style="1" bestFit="1" customWidth="1"/>
    <col min="7935" max="7937" width="9.140625" style="1" customWidth="1"/>
    <col min="7938" max="7938" width="10.5703125" style="1" customWidth="1"/>
    <col min="7939" max="7942" width="9.140625" style="1" customWidth="1"/>
    <col min="7943" max="7943" width="9.28515625" style="1" bestFit="1" customWidth="1"/>
    <col min="7944" max="7954" width="9.140625" style="1"/>
    <col min="7955" max="7955" width="10.85546875" style="1" customWidth="1"/>
    <col min="7956" max="8136" width="9.140625" style="1"/>
    <col min="8137" max="8137" width="11.85546875" style="1" bestFit="1" customWidth="1"/>
    <col min="8138" max="8138" width="28.140625" style="1" bestFit="1" customWidth="1"/>
    <col min="8139" max="8139" width="15.7109375" style="1" customWidth="1"/>
    <col min="8140" max="8140" width="9.85546875" style="1" customWidth="1"/>
    <col min="8141" max="8141" width="13.140625" style="1" customWidth="1"/>
    <col min="8142" max="8142" width="9.140625" style="1" customWidth="1"/>
    <col min="8143" max="8143" width="12.28515625" style="1" customWidth="1"/>
    <col min="8144" max="8144" width="10.5703125" style="1" customWidth="1"/>
    <col min="8145" max="8146" width="12.7109375" style="1" customWidth="1"/>
    <col min="8147" max="8159" width="10.5703125" style="1" customWidth="1"/>
    <col min="8160" max="8160" width="11.140625" style="1" customWidth="1"/>
    <col min="8161" max="8172" width="10.5703125" style="1" customWidth="1"/>
    <col min="8173" max="8174" width="9.85546875" style="1" customWidth="1"/>
    <col min="8175" max="8175" width="9.85546875" style="1" bestFit="1" customWidth="1"/>
    <col min="8176" max="8176" width="9.85546875" style="1" customWidth="1"/>
    <col min="8177" max="8177" width="11.140625" style="1" customWidth="1"/>
    <col min="8178" max="8179" width="11.7109375" style="1" customWidth="1"/>
    <col min="8180" max="8181" width="9.140625" style="1" customWidth="1"/>
    <col min="8182" max="8182" width="10.28515625" style="1" customWidth="1"/>
    <col min="8183" max="8189" width="9.140625" style="1" customWidth="1"/>
    <col min="8190" max="8190" width="10.5703125" style="1" bestFit="1" customWidth="1"/>
    <col min="8191" max="8193" width="9.140625" style="1" customWidth="1"/>
    <col min="8194" max="8194" width="10.5703125" style="1" customWidth="1"/>
    <col min="8195" max="8198" width="9.140625" style="1" customWidth="1"/>
    <col min="8199" max="8199" width="9.28515625" style="1" bestFit="1" customWidth="1"/>
    <col min="8200" max="8210" width="9.140625" style="1"/>
    <col min="8211" max="8211" width="10.85546875" style="1" customWidth="1"/>
    <col min="8212" max="8392" width="9.140625" style="1"/>
    <col min="8393" max="8393" width="11.85546875" style="1" bestFit="1" customWidth="1"/>
    <col min="8394" max="8394" width="28.140625" style="1" bestFit="1" customWidth="1"/>
    <col min="8395" max="8395" width="15.7109375" style="1" customWidth="1"/>
    <col min="8396" max="8396" width="9.85546875" style="1" customWidth="1"/>
    <col min="8397" max="8397" width="13.140625" style="1" customWidth="1"/>
    <col min="8398" max="8398" width="9.140625" style="1" customWidth="1"/>
    <col min="8399" max="8399" width="12.28515625" style="1" customWidth="1"/>
    <col min="8400" max="8400" width="10.5703125" style="1" customWidth="1"/>
    <col min="8401" max="8402" width="12.7109375" style="1" customWidth="1"/>
    <col min="8403" max="8415" width="10.5703125" style="1" customWidth="1"/>
    <col min="8416" max="8416" width="11.140625" style="1" customWidth="1"/>
    <col min="8417" max="8428" width="10.5703125" style="1" customWidth="1"/>
    <col min="8429" max="8430" width="9.85546875" style="1" customWidth="1"/>
    <col min="8431" max="8431" width="9.85546875" style="1" bestFit="1" customWidth="1"/>
    <col min="8432" max="8432" width="9.85546875" style="1" customWidth="1"/>
    <col min="8433" max="8433" width="11.140625" style="1" customWidth="1"/>
    <col min="8434" max="8435" width="11.7109375" style="1" customWidth="1"/>
    <col min="8436" max="8437" width="9.140625" style="1" customWidth="1"/>
    <col min="8438" max="8438" width="10.28515625" style="1" customWidth="1"/>
    <col min="8439" max="8445" width="9.140625" style="1" customWidth="1"/>
    <col min="8446" max="8446" width="10.5703125" style="1" bestFit="1" customWidth="1"/>
    <col min="8447" max="8449" width="9.140625" style="1" customWidth="1"/>
    <col min="8450" max="8450" width="10.5703125" style="1" customWidth="1"/>
    <col min="8451" max="8454" width="9.140625" style="1" customWidth="1"/>
    <col min="8455" max="8455" width="9.28515625" style="1" bestFit="1" customWidth="1"/>
    <col min="8456" max="8466" width="9.140625" style="1"/>
    <col min="8467" max="8467" width="10.85546875" style="1" customWidth="1"/>
    <col min="8468" max="8648" width="9.140625" style="1"/>
    <col min="8649" max="8649" width="11.85546875" style="1" bestFit="1" customWidth="1"/>
    <col min="8650" max="8650" width="28.140625" style="1" bestFit="1" customWidth="1"/>
    <col min="8651" max="8651" width="15.7109375" style="1" customWidth="1"/>
    <col min="8652" max="8652" width="9.85546875" style="1" customWidth="1"/>
    <col min="8653" max="8653" width="13.140625" style="1" customWidth="1"/>
    <col min="8654" max="8654" width="9.140625" style="1" customWidth="1"/>
    <col min="8655" max="8655" width="12.28515625" style="1" customWidth="1"/>
    <col min="8656" max="8656" width="10.5703125" style="1" customWidth="1"/>
    <col min="8657" max="8658" width="12.7109375" style="1" customWidth="1"/>
    <col min="8659" max="8671" width="10.5703125" style="1" customWidth="1"/>
    <col min="8672" max="8672" width="11.140625" style="1" customWidth="1"/>
    <col min="8673" max="8684" width="10.5703125" style="1" customWidth="1"/>
    <col min="8685" max="8686" width="9.85546875" style="1" customWidth="1"/>
    <col min="8687" max="8687" width="9.85546875" style="1" bestFit="1" customWidth="1"/>
    <col min="8688" max="8688" width="9.85546875" style="1" customWidth="1"/>
    <col min="8689" max="8689" width="11.140625" style="1" customWidth="1"/>
    <col min="8690" max="8691" width="11.7109375" style="1" customWidth="1"/>
    <col min="8692" max="8693" width="9.140625" style="1" customWidth="1"/>
    <col min="8694" max="8694" width="10.28515625" style="1" customWidth="1"/>
    <col min="8695" max="8701" width="9.140625" style="1" customWidth="1"/>
    <col min="8702" max="8702" width="10.5703125" style="1" bestFit="1" customWidth="1"/>
    <col min="8703" max="8705" width="9.140625" style="1" customWidth="1"/>
    <col min="8706" max="8706" width="10.5703125" style="1" customWidth="1"/>
    <col min="8707" max="8710" width="9.140625" style="1" customWidth="1"/>
    <col min="8711" max="8711" width="9.28515625" style="1" bestFit="1" customWidth="1"/>
    <col min="8712" max="8722" width="9.140625" style="1"/>
    <col min="8723" max="8723" width="10.85546875" style="1" customWidth="1"/>
    <col min="8724" max="8904" width="9.140625" style="1"/>
    <col min="8905" max="8905" width="11.85546875" style="1" bestFit="1" customWidth="1"/>
    <col min="8906" max="8906" width="28.140625" style="1" bestFit="1" customWidth="1"/>
    <col min="8907" max="8907" width="15.7109375" style="1" customWidth="1"/>
    <col min="8908" max="8908" width="9.85546875" style="1" customWidth="1"/>
    <col min="8909" max="8909" width="13.140625" style="1" customWidth="1"/>
    <col min="8910" max="8910" width="9.140625" style="1" customWidth="1"/>
    <col min="8911" max="8911" width="12.28515625" style="1" customWidth="1"/>
    <col min="8912" max="8912" width="10.5703125" style="1" customWidth="1"/>
    <col min="8913" max="8914" width="12.7109375" style="1" customWidth="1"/>
    <col min="8915" max="8927" width="10.5703125" style="1" customWidth="1"/>
    <col min="8928" max="8928" width="11.140625" style="1" customWidth="1"/>
    <col min="8929" max="8940" width="10.5703125" style="1" customWidth="1"/>
    <col min="8941" max="8942" width="9.85546875" style="1" customWidth="1"/>
    <col min="8943" max="8943" width="9.85546875" style="1" bestFit="1" customWidth="1"/>
    <col min="8944" max="8944" width="9.85546875" style="1" customWidth="1"/>
    <col min="8945" max="8945" width="11.140625" style="1" customWidth="1"/>
    <col min="8946" max="8947" width="11.7109375" style="1" customWidth="1"/>
    <col min="8948" max="8949" width="9.140625" style="1" customWidth="1"/>
    <col min="8950" max="8950" width="10.28515625" style="1" customWidth="1"/>
    <col min="8951" max="8957" width="9.140625" style="1" customWidth="1"/>
    <col min="8958" max="8958" width="10.5703125" style="1" bestFit="1" customWidth="1"/>
    <col min="8959" max="8961" width="9.140625" style="1" customWidth="1"/>
    <col min="8962" max="8962" width="10.5703125" style="1" customWidth="1"/>
    <col min="8963" max="8966" width="9.140625" style="1" customWidth="1"/>
    <col min="8967" max="8967" width="9.28515625" style="1" bestFit="1" customWidth="1"/>
    <col min="8968" max="8978" width="9.140625" style="1"/>
    <col min="8979" max="8979" width="10.85546875" style="1" customWidth="1"/>
    <col min="8980" max="9160" width="9.140625" style="1"/>
    <col min="9161" max="9161" width="11.85546875" style="1" bestFit="1" customWidth="1"/>
    <col min="9162" max="9162" width="28.140625" style="1" bestFit="1" customWidth="1"/>
    <col min="9163" max="9163" width="15.7109375" style="1" customWidth="1"/>
    <col min="9164" max="9164" width="9.85546875" style="1" customWidth="1"/>
    <col min="9165" max="9165" width="13.140625" style="1" customWidth="1"/>
    <col min="9166" max="9166" width="9.140625" style="1" customWidth="1"/>
    <col min="9167" max="9167" width="12.28515625" style="1" customWidth="1"/>
    <col min="9168" max="9168" width="10.5703125" style="1" customWidth="1"/>
    <col min="9169" max="9170" width="12.7109375" style="1" customWidth="1"/>
    <col min="9171" max="9183" width="10.5703125" style="1" customWidth="1"/>
    <col min="9184" max="9184" width="11.140625" style="1" customWidth="1"/>
    <col min="9185" max="9196" width="10.5703125" style="1" customWidth="1"/>
    <col min="9197" max="9198" width="9.85546875" style="1" customWidth="1"/>
    <col min="9199" max="9199" width="9.85546875" style="1" bestFit="1" customWidth="1"/>
    <col min="9200" max="9200" width="9.85546875" style="1" customWidth="1"/>
    <col min="9201" max="9201" width="11.140625" style="1" customWidth="1"/>
    <col min="9202" max="9203" width="11.7109375" style="1" customWidth="1"/>
    <col min="9204" max="9205" width="9.140625" style="1" customWidth="1"/>
    <col min="9206" max="9206" width="10.28515625" style="1" customWidth="1"/>
    <col min="9207" max="9213" width="9.140625" style="1" customWidth="1"/>
    <col min="9214" max="9214" width="10.5703125" style="1" bestFit="1" customWidth="1"/>
    <col min="9215" max="9217" width="9.140625" style="1" customWidth="1"/>
    <col min="9218" max="9218" width="10.5703125" style="1" customWidth="1"/>
    <col min="9219" max="9222" width="9.140625" style="1" customWidth="1"/>
    <col min="9223" max="9223" width="9.28515625" style="1" bestFit="1" customWidth="1"/>
    <col min="9224" max="9234" width="9.140625" style="1"/>
    <col min="9235" max="9235" width="10.85546875" style="1" customWidth="1"/>
    <col min="9236" max="9416" width="9.140625" style="1"/>
    <col min="9417" max="9417" width="11.85546875" style="1" bestFit="1" customWidth="1"/>
    <col min="9418" max="9418" width="28.140625" style="1" bestFit="1" customWidth="1"/>
    <col min="9419" max="9419" width="15.7109375" style="1" customWidth="1"/>
    <col min="9420" max="9420" width="9.85546875" style="1" customWidth="1"/>
    <col min="9421" max="9421" width="13.140625" style="1" customWidth="1"/>
    <col min="9422" max="9422" width="9.140625" style="1" customWidth="1"/>
    <col min="9423" max="9423" width="12.28515625" style="1" customWidth="1"/>
    <col min="9424" max="9424" width="10.5703125" style="1" customWidth="1"/>
    <col min="9425" max="9426" width="12.7109375" style="1" customWidth="1"/>
    <col min="9427" max="9439" width="10.5703125" style="1" customWidth="1"/>
    <col min="9440" max="9440" width="11.140625" style="1" customWidth="1"/>
    <col min="9441" max="9452" width="10.5703125" style="1" customWidth="1"/>
    <col min="9453" max="9454" width="9.85546875" style="1" customWidth="1"/>
    <col min="9455" max="9455" width="9.85546875" style="1" bestFit="1" customWidth="1"/>
    <col min="9456" max="9456" width="9.85546875" style="1" customWidth="1"/>
    <col min="9457" max="9457" width="11.140625" style="1" customWidth="1"/>
    <col min="9458" max="9459" width="11.7109375" style="1" customWidth="1"/>
    <col min="9460" max="9461" width="9.140625" style="1" customWidth="1"/>
    <col min="9462" max="9462" width="10.28515625" style="1" customWidth="1"/>
    <col min="9463" max="9469" width="9.140625" style="1" customWidth="1"/>
    <col min="9470" max="9470" width="10.5703125" style="1" bestFit="1" customWidth="1"/>
    <col min="9471" max="9473" width="9.140625" style="1" customWidth="1"/>
    <col min="9474" max="9474" width="10.5703125" style="1" customWidth="1"/>
    <col min="9475" max="9478" width="9.140625" style="1" customWidth="1"/>
    <col min="9479" max="9479" width="9.28515625" style="1" bestFit="1" customWidth="1"/>
    <col min="9480" max="9490" width="9.140625" style="1"/>
    <col min="9491" max="9491" width="10.85546875" style="1" customWidth="1"/>
    <col min="9492" max="9672" width="9.140625" style="1"/>
    <col min="9673" max="9673" width="11.85546875" style="1" bestFit="1" customWidth="1"/>
    <col min="9674" max="9674" width="28.140625" style="1" bestFit="1" customWidth="1"/>
    <col min="9675" max="9675" width="15.7109375" style="1" customWidth="1"/>
    <col min="9676" max="9676" width="9.85546875" style="1" customWidth="1"/>
    <col min="9677" max="9677" width="13.140625" style="1" customWidth="1"/>
    <col min="9678" max="9678" width="9.140625" style="1" customWidth="1"/>
    <col min="9679" max="9679" width="12.28515625" style="1" customWidth="1"/>
    <col min="9680" max="9680" width="10.5703125" style="1" customWidth="1"/>
    <col min="9681" max="9682" width="12.7109375" style="1" customWidth="1"/>
    <col min="9683" max="9695" width="10.5703125" style="1" customWidth="1"/>
    <col min="9696" max="9696" width="11.140625" style="1" customWidth="1"/>
    <col min="9697" max="9708" width="10.5703125" style="1" customWidth="1"/>
    <col min="9709" max="9710" width="9.85546875" style="1" customWidth="1"/>
    <col min="9711" max="9711" width="9.85546875" style="1" bestFit="1" customWidth="1"/>
    <col min="9712" max="9712" width="9.85546875" style="1" customWidth="1"/>
    <col min="9713" max="9713" width="11.140625" style="1" customWidth="1"/>
    <col min="9714" max="9715" width="11.7109375" style="1" customWidth="1"/>
    <col min="9716" max="9717" width="9.140625" style="1" customWidth="1"/>
    <col min="9718" max="9718" width="10.28515625" style="1" customWidth="1"/>
    <col min="9719" max="9725" width="9.140625" style="1" customWidth="1"/>
    <col min="9726" max="9726" width="10.5703125" style="1" bestFit="1" customWidth="1"/>
    <col min="9727" max="9729" width="9.140625" style="1" customWidth="1"/>
    <col min="9730" max="9730" width="10.5703125" style="1" customWidth="1"/>
    <col min="9731" max="9734" width="9.140625" style="1" customWidth="1"/>
    <col min="9735" max="9735" width="9.28515625" style="1" bestFit="1" customWidth="1"/>
    <col min="9736" max="9746" width="9.140625" style="1"/>
    <col min="9747" max="9747" width="10.85546875" style="1" customWidth="1"/>
    <col min="9748" max="9928" width="9.140625" style="1"/>
    <col min="9929" max="9929" width="11.85546875" style="1" bestFit="1" customWidth="1"/>
    <col min="9930" max="9930" width="28.140625" style="1" bestFit="1" customWidth="1"/>
    <col min="9931" max="9931" width="15.7109375" style="1" customWidth="1"/>
    <col min="9932" max="9932" width="9.85546875" style="1" customWidth="1"/>
    <col min="9933" max="9933" width="13.140625" style="1" customWidth="1"/>
    <col min="9934" max="9934" width="9.140625" style="1" customWidth="1"/>
    <col min="9935" max="9935" width="12.28515625" style="1" customWidth="1"/>
    <col min="9936" max="9936" width="10.5703125" style="1" customWidth="1"/>
    <col min="9937" max="9938" width="12.7109375" style="1" customWidth="1"/>
    <col min="9939" max="9951" width="10.5703125" style="1" customWidth="1"/>
    <col min="9952" max="9952" width="11.140625" style="1" customWidth="1"/>
    <col min="9953" max="9964" width="10.5703125" style="1" customWidth="1"/>
    <col min="9965" max="9966" width="9.85546875" style="1" customWidth="1"/>
    <col min="9967" max="9967" width="9.85546875" style="1" bestFit="1" customWidth="1"/>
    <col min="9968" max="9968" width="9.85546875" style="1" customWidth="1"/>
    <col min="9969" max="9969" width="11.140625" style="1" customWidth="1"/>
    <col min="9970" max="9971" width="11.7109375" style="1" customWidth="1"/>
    <col min="9972" max="9973" width="9.140625" style="1" customWidth="1"/>
    <col min="9974" max="9974" width="10.28515625" style="1" customWidth="1"/>
    <col min="9975" max="9981" width="9.140625" style="1" customWidth="1"/>
    <col min="9982" max="9982" width="10.5703125" style="1" bestFit="1" customWidth="1"/>
    <col min="9983" max="9985" width="9.140625" style="1" customWidth="1"/>
    <col min="9986" max="9986" width="10.5703125" style="1" customWidth="1"/>
    <col min="9987" max="9990" width="9.140625" style="1" customWidth="1"/>
    <col min="9991" max="9991" width="9.28515625" style="1" bestFit="1" customWidth="1"/>
    <col min="9992" max="10002" width="9.140625" style="1"/>
    <col min="10003" max="10003" width="10.85546875" style="1" customWidth="1"/>
    <col min="10004" max="10184" width="9.140625" style="1"/>
    <col min="10185" max="10185" width="11.85546875" style="1" bestFit="1" customWidth="1"/>
    <col min="10186" max="10186" width="28.140625" style="1" bestFit="1" customWidth="1"/>
    <col min="10187" max="10187" width="15.7109375" style="1" customWidth="1"/>
    <col min="10188" max="10188" width="9.85546875" style="1" customWidth="1"/>
    <col min="10189" max="10189" width="13.140625" style="1" customWidth="1"/>
    <col min="10190" max="10190" width="9.140625" style="1" customWidth="1"/>
    <col min="10191" max="10191" width="12.28515625" style="1" customWidth="1"/>
    <col min="10192" max="10192" width="10.5703125" style="1" customWidth="1"/>
    <col min="10193" max="10194" width="12.7109375" style="1" customWidth="1"/>
    <col min="10195" max="10207" width="10.5703125" style="1" customWidth="1"/>
    <col min="10208" max="10208" width="11.140625" style="1" customWidth="1"/>
    <col min="10209" max="10220" width="10.5703125" style="1" customWidth="1"/>
    <col min="10221" max="10222" width="9.85546875" style="1" customWidth="1"/>
    <col min="10223" max="10223" width="9.85546875" style="1" bestFit="1" customWidth="1"/>
    <col min="10224" max="10224" width="9.85546875" style="1" customWidth="1"/>
    <col min="10225" max="10225" width="11.140625" style="1" customWidth="1"/>
    <col min="10226" max="10227" width="11.7109375" style="1" customWidth="1"/>
    <col min="10228" max="10229" width="9.140625" style="1" customWidth="1"/>
    <col min="10230" max="10230" width="10.28515625" style="1" customWidth="1"/>
    <col min="10231" max="10237" width="9.140625" style="1" customWidth="1"/>
    <col min="10238" max="10238" width="10.5703125" style="1" bestFit="1" customWidth="1"/>
    <col min="10239" max="10241" width="9.140625" style="1" customWidth="1"/>
    <col min="10242" max="10242" width="10.5703125" style="1" customWidth="1"/>
    <col min="10243" max="10246" width="9.140625" style="1" customWidth="1"/>
    <col min="10247" max="10247" width="9.28515625" style="1" bestFit="1" customWidth="1"/>
    <col min="10248" max="10258" width="9.140625" style="1"/>
    <col min="10259" max="10259" width="10.85546875" style="1" customWidth="1"/>
    <col min="10260" max="10440" width="9.140625" style="1"/>
    <col min="10441" max="10441" width="11.85546875" style="1" bestFit="1" customWidth="1"/>
    <col min="10442" max="10442" width="28.140625" style="1" bestFit="1" customWidth="1"/>
    <col min="10443" max="10443" width="15.7109375" style="1" customWidth="1"/>
    <col min="10444" max="10444" width="9.85546875" style="1" customWidth="1"/>
    <col min="10445" max="10445" width="13.140625" style="1" customWidth="1"/>
    <col min="10446" max="10446" width="9.140625" style="1" customWidth="1"/>
    <col min="10447" max="10447" width="12.28515625" style="1" customWidth="1"/>
    <col min="10448" max="10448" width="10.5703125" style="1" customWidth="1"/>
    <col min="10449" max="10450" width="12.7109375" style="1" customWidth="1"/>
    <col min="10451" max="10463" width="10.5703125" style="1" customWidth="1"/>
    <col min="10464" max="10464" width="11.140625" style="1" customWidth="1"/>
    <col min="10465" max="10476" width="10.5703125" style="1" customWidth="1"/>
    <col min="10477" max="10478" width="9.85546875" style="1" customWidth="1"/>
    <col min="10479" max="10479" width="9.85546875" style="1" bestFit="1" customWidth="1"/>
    <col min="10480" max="10480" width="9.85546875" style="1" customWidth="1"/>
    <col min="10481" max="10481" width="11.140625" style="1" customWidth="1"/>
    <col min="10482" max="10483" width="11.7109375" style="1" customWidth="1"/>
    <col min="10484" max="10485" width="9.140625" style="1" customWidth="1"/>
    <col min="10486" max="10486" width="10.28515625" style="1" customWidth="1"/>
    <col min="10487" max="10493" width="9.140625" style="1" customWidth="1"/>
    <col min="10494" max="10494" width="10.5703125" style="1" bestFit="1" customWidth="1"/>
    <col min="10495" max="10497" width="9.140625" style="1" customWidth="1"/>
    <col min="10498" max="10498" width="10.5703125" style="1" customWidth="1"/>
    <col min="10499" max="10502" width="9.140625" style="1" customWidth="1"/>
    <col min="10503" max="10503" width="9.28515625" style="1" bestFit="1" customWidth="1"/>
    <col min="10504" max="10514" width="9.140625" style="1"/>
    <col min="10515" max="10515" width="10.85546875" style="1" customWidth="1"/>
    <col min="10516" max="10696" width="9.140625" style="1"/>
    <col min="10697" max="10697" width="11.85546875" style="1" bestFit="1" customWidth="1"/>
    <col min="10698" max="10698" width="28.140625" style="1" bestFit="1" customWidth="1"/>
    <col min="10699" max="10699" width="15.7109375" style="1" customWidth="1"/>
    <col min="10700" max="10700" width="9.85546875" style="1" customWidth="1"/>
    <col min="10701" max="10701" width="13.140625" style="1" customWidth="1"/>
    <col min="10702" max="10702" width="9.140625" style="1" customWidth="1"/>
    <col min="10703" max="10703" width="12.28515625" style="1" customWidth="1"/>
    <col min="10704" max="10704" width="10.5703125" style="1" customWidth="1"/>
    <col min="10705" max="10706" width="12.7109375" style="1" customWidth="1"/>
    <col min="10707" max="10719" width="10.5703125" style="1" customWidth="1"/>
    <col min="10720" max="10720" width="11.140625" style="1" customWidth="1"/>
    <col min="10721" max="10732" width="10.5703125" style="1" customWidth="1"/>
    <col min="10733" max="10734" width="9.85546875" style="1" customWidth="1"/>
    <col min="10735" max="10735" width="9.85546875" style="1" bestFit="1" customWidth="1"/>
    <col min="10736" max="10736" width="9.85546875" style="1" customWidth="1"/>
    <col min="10737" max="10737" width="11.140625" style="1" customWidth="1"/>
    <col min="10738" max="10739" width="11.7109375" style="1" customWidth="1"/>
    <col min="10740" max="10741" width="9.140625" style="1" customWidth="1"/>
    <col min="10742" max="10742" width="10.28515625" style="1" customWidth="1"/>
    <col min="10743" max="10749" width="9.140625" style="1" customWidth="1"/>
    <col min="10750" max="10750" width="10.5703125" style="1" bestFit="1" customWidth="1"/>
    <col min="10751" max="10753" width="9.140625" style="1" customWidth="1"/>
    <col min="10754" max="10754" width="10.5703125" style="1" customWidth="1"/>
    <col min="10755" max="10758" width="9.140625" style="1" customWidth="1"/>
    <col min="10759" max="10759" width="9.28515625" style="1" bestFit="1" customWidth="1"/>
    <col min="10760" max="10770" width="9.140625" style="1"/>
    <col min="10771" max="10771" width="10.85546875" style="1" customWidth="1"/>
    <col min="10772" max="10952" width="9.140625" style="1"/>
    <col min="10953" max="10953" width="11.85546875" style="1" bestFit="1" customWidth="1"/>
    <col min="10954" max="10954" width="28.140625" style="1" bestFit="1" customWidth="1"/>
    <col min="10955" max="10955" width="15.7109375" style="1" customWidth="1"/>
    <col min="10956" max="10956" width="9.85546875" style="1" customWidth="1"/>
    <col min="10957" max="10957" width="13.140625" style="1" customWidth="1"/>
    <col min="10958" max="10958" width="9.140625" style="1" customWidth="1"/>
    <col min="10959" max="10959" width="12.28515625" style="1" customWidth="1"/>
    <col min="10960" max="10960" width="10.5703125" style="1" customWidth="1"/>
    <col min="10961" max="10962" width="12.7109375" style="1" customWidth="1"/>
    <col min="10963" max="10975" width="10.5703125" style="1" customWidth="1"/>
    <col min="10976" max="10976" width="11.140625" style="1" customWidth="1"/>
    <col min="10977" max="10988" width="10.5703125" style="1" customWidth="1"/>
    <col min="10989" max="10990" width="9.85546875" style="1" customWidth="1"/>
    <col min="10991" max="10991" width="9.85546875" style="1" bestFit="1" customWidth="1"/>
    <col min="10992" max="10992" width="9.85546875" style="1" customWidth="1"/>
    <col min="10993" max="10993" width="11.140625" style="1" customWidth="1"/>
    <col min="10994" max="10995" width="11.7109375" style="1" customWidth="1"/>
    <col min="10996" max="10997" width="9.140625" style="1" customWidth="1"/>
    <col min="10998" max="10998" width="10.28515625" style="1" customWidth="1"/>
    <col min="10999" max="11005" width="9.140625" style="1" customWidth="1"/>
    <col min="11006" max="11006" width="10.5703125" style="1" bestFit="1" customWidth="1"/>
    <col min="11007" max="11009" width="9.140625" style="1" customWidth="1"/>
    <col min="11010" max="11010" width="10.5703125" style="1" customWidth="1"/>
    <col min="11011" max="11014" width="9.140625" style="1" customWidth="1"/>
    <col min="11015" max="11015" width="9.28515625" style="1" bestFit="1" customWidth="1"/>
    <col min="11016" max="11026" width="9.140625" style="1"/>
    <col min="11027" max="11027" width="10.85546875" style="1" customWidth="1"/>
    <col min="11028" max="11208" width="9.140625" style="1"/>
    <col min="11209" max="11209" width="11.85546875" style="1" bestFit="1" customWidth="1"/>
    <col min="11210" max="11210" width="28.140625" style="1" bestFit="1" customWidth="1"/>
    <col min="11211" max="11211" width="15.7109375" style="1" customWidth="1"/>
    <col min="11212" max="11212" width="9.85546875" style="1" customWidth="1"/>
    <col min="11213" max="11213" width="13.140625" style="1" customWidth="1"/>
    <col min="11214" max="11214" width="9.140625" style="1" customWidth="1"/>
    <col min="11215" max="11215" width="12.28515625" style="1" customWidth="1"/>
    <col min="11216" max="11216" width="10.5703125" style="1" customWidth="1"/>
    <col min="11217" max="11218" width="12.7109375" style="1" customWidth="1"/>
    <col min="11219" max="11231" width="10.5703125" style="1" customWidth="1"/>
    <col min="11232" max="11232" width="11.140625" style="1" customWidth="1"/>
    <col min="11233" max="11244" width="10.5703125" style="1" customWidth="1"/>
    <col min="11245" max="11246" width="9.85546875" style="1" customWidth="1"/>
    <col min="11247" max="11247" width="9.85546875" style="1" bestFit="1" customWidth="1"/>
    <col min="11248" max="11248" width="9.85546875" style="1" customWidth="1"/>
    <col min="11249" max="11249" width="11.140625" style="1" customWidth="1"/>
    <col min="11250" max="11251" width="11.7109375" style="1" customWidth="1"/>
    <col min="11252" max="11253" width="9.140625" style="1" customWidth="1"/>
    <col min="11254" max="11254" width="10.28515625" style="1" customWidth="1"/>
    <col min="11255" max="11261" width="9.140625" style="1" customWidth="1"/>
    <col min="11262" max="11262" width="10.5703125" style="1" bestFit="1" customWidth="1"/>
    <col min="11263" max="11265" width="9.140625" style="1" customWidth="1"/>
    <col min="11266" max="11266" width="10.5703125" style="1" customWidth="1"/>
    <col min="11267" max="11270" width="9.140625" style="1" customWidth="1"/>
    <col min="11271" max="11271" width="9.28515625" style="1" bestFit="1" customWidth="1"/>
    <col min="11272" max="11282" width="9.140625" style="1"/>
    <col min="11283" max="11283" width="10.85546875" style="1" customWidth="1"/>
    <col min="11284" max="11464" width="9.140625" style="1"/>
    <col min="11465" max="11465" width="11.85546875" style="1" bestFit="1" customWidth="1"/>
    <col min="11466" max="11466" width="28.140625" style="1" bestFit="1" customWidth="1"/>
    <col min="11467" max="11467" width="15.7109375" style="1" customWidth="1"/>
    <col min="11468" max="11468" width="9.85546875" style="1" customWidth="1"/>
    <col min="11469" max="11469" width="13.140625" style="1" customWidth="1"/>
    <col min="11470" max="11470" width="9.140625" style="1" customWidth="1"/>
    <col min="11471" max="11471" width="12.28515625" style="1" customWidth="1"/>
    <col min="11472" max="11472" width="10.5703125" style="1" customWidth="1"/>
    <col min="11473" max="11474" width="12.7109375" style="1" customWidth="1"/>
    <col min="11475" max="11487" width="10.5703125" style="1" customWidth="1"/>
    <col min="11488" max="11488" width="11.140625" style="1" customWidth="1"/>
    <col min="11489" max="11500" width="10.5703125" style="1" customWidth="1"/>
    <col min="11501" max="11502" width="9.85546875" style="1" customWidth="1"/>
    <col min="11503" max="11503" width="9.85546875" style="1" bestFit="1" customWidth="1"/>
    <col min="11504" max="11504" width="9.85546875" style="1" customWidth="1"/>
    <col min="11505" max="11505" width="11.140625" style="1" customWidth="1"/>
    <col min="11506" max="11507" width="11.7109375" style="1" customWidth="1"/>
    <col min="11508" max="11509" width="9.140625" style="1" customWidth="1"/>
    <col min="11510" max="11510" width="10.28515625" style="1" customWidth="1"/>
    <col min="11511" max="11517" width="9.140625" style="1" customWidth="1"/>
    <col min="11518" max="11518" width="10.5703125" style="1" bestFit="1" customWidth="1"/>
    <col min="11519" max="11521" width="9.140625" style="1" customWidth="1"/>
    <col min="11522" max="11522" width="10.5703125" style="1" customWidth="1"/>
    <col min="11523" max="11526" width="9.140625" style="1" customWidth="1"/>
    <col min="11527" max="11527" width="9.28515625" style="1" bestFit="1" customWidth="1"/>
    <col min="11528" max="11538" width="9.140625" style="1"/>
    <col min="11539" max="11539" width="10.85546875" style="1" customWidth="1"/>
    <col min="11540" max="11720" width="9.140625" style="1"/>
    <col min="11721" max="11721" width="11.85546875" style="1" bestFit="1" customWidth="1"/>
    <col min="11722" max="11722" width="28.140625" style="1" bestFit="1" customWidth="1"/>
    <col min="11723" max="11723" width="15.7109375" style="1" customWidth="1"/>
    <col min="11724" max="11724" width="9.85546875" style="1" customWidth="1"/>
    <col min="11725" max="11725" width="13.140625" style="1" customWidth="1"/>
    <col min="11726" max="11726" width="9.140625" style="1" customWidth="1"/>
    <col min="11727" max="11727" width="12.28515625" style="1" customWidth="1"/>
    <col min="11728" max="11728" width="10.5703125" style="1" customWidth="1"/>
    <col min="11729" max="11730" width="12.7109375" style="1" customWidth="1"/>
    <col min="11731" max="11743" width="10.5703125" style="1" customWidth="1"/>
    <col min="11744" max="11744" width="11.140625" style="1" customWidth="1"/>
    <col min="11745" max="11756" width="10.5703125" style="1" customWidth="1"/>
    <col min="11757" max="11758" width="9.85546875" style="1" customWidth="1"/>
    <col min="11759" max="11759" width="9.85546875" style="1" bestFit="1" customWidth="1"/>
    <col min="11760" max="11760" width="9.85546875" style="1" customWidth="1"/>
    <col min="11761" max="11761" width="11.140625" style="1" customWidth="1"/>
    <col min="11762" max="11763" width="11.7109375" style="1" customWidth="1"/>
    <col min="11764" max="11765" width="9.140625" style="1" customWidth="1"/>
    <col min="11766" max="11766" width="10.28515625" style="1" customWidth="1"/>
    <col min="11767" max="11773" width="9.140625" style="1" customWidth="1"/>
    <col min="11774" max="11774" width="10.5703125" style="1" bestFit="1" customWidth="1"/>
    <col min="11775" max="11777" width="9.140625" style="1" customWidth="1"/>
    <col min="11778" max="11778" width="10.5703125" style="1" customWidth="1"/>
    <col min="11779" max="11782" width="9.140625" style="1" customWidth="1"/>
    <col min="11783" max="11783" width="9.28515625" style="1" bestFit="1" customWidth="1"/>
    <col min="11784" max="11794" width="9.140625" style="1"/>
    <col min="11795" max="11795" width="10.85546875" style="1" customWidth="1"/>
    <col min="11796" max="11976" width="9.140625" style="1"/>
    <col min="11977" max="11977" width="11.85546875" style="1" bestFit="1" customWidth="1"/>
    <col min="11978" max="11978" width="28.140625" style="1" bestFit="1" customWidth="1"/>
    <col min="11979" max="11979" width="15.7109375" style="1" customWidth="1"/>
    <col min="11980" max="11980" width="9.85546875" style="1" customWidth="1"/>
    <col min="11981" max="11981" width="13.140625" style="1" customWidth="1"/>
    <col min="11982" max="11982" width="9.140625" style="1" customWidth="1"/>
    <col min="11983" max="11983" width="12.28515625" style="1" customWidth="1"/>
    <col min="11984" max="11984" width="10.5703125" style="1" customWidth="1"/>
    <col min="11985" max="11986" width="12.7109375" style="1" customWidth="1"/>
    <col min="11987" max="11999" width="10.5703125" style="1" customWidth="1"/>
    <col min="12000" max="12000" width="11.140625" style="1" customWidth="1"/>
    <col min="12001" max="12012" width="10.5703125" style="1" customWidth="1"/>
    <col min="12013" max="12014" width="9.85546875" style="1" customWidth="1"/>
    <col min="12015" max="12015" width="9.85546875" style="1" bestFit="1" customWidth="1"/>
    <col min="12016" max="12016" width="9.85546875" style="1" customWidth="1"/>
    <col min="12017" max="12017" width="11.140625" style="1" customWidth="1"/>
    <col min="12018" max="12019" width="11.7109375" style="1" customWidth="1"/>
    <col min="12020" max="12021" width="9.140625" style="1" customWidth="1"/>
    <col min="12022" max="12022" width="10.28515625" style="1" customWidth="1"/>
    <col min="12023" max="12029" width="9.140625" style="1" customWidth="1"/>
    <col min="12030" max="12030" width="10.5703125" style="1" bestFit="1" customWidth="1"/>
    <col min="12031" max="12033" width="9.140625" style="1" customWidth="1"/>
    <col min="12034" max="12034" width="10.5703125" style="1" customWidth="1"/>
    <col min="12035" max="12038" width="9.140625" style="1" customWidth="1"/>
    <col min="12039" max="12039" width="9.28515625" style="1" bestFit="1" customWidth="1"/>
    <col min="12040" max="12050" width="9.140625" style="1"/>
    <col min="12051" max="12051" width="10.85546875" style="1" customWidth="1"/>
    <col min="12052" max="12232" width="9.140625" style="1"/>
    <col min="12233" max="12233" width="11.85546875" style="1" bestFit="1" customWidth="1"/>
    <col min="12234" max="12234" width="28.140625" style="1" bestFit="1" customWidth="1"/>
    <col min="12235" max="12235" width="15.7109375" style="1" customWidth="1"/>
    <col min="12236" max="12236" width="9.85546875" style="1" customWidth="1"/>
    <col min="12237" max="12237" width="13.140625" style="1" customWidth="1"/>
    <col min="12238" max="12238" width="9.140625" style="1" customWidth="1"/>
    <col min="12239" max="12239" width="12.28515625" style="1" customWidth="1"/>
    <col min="12240" max="12240" width="10.5703125" style="1" customWidth="1"/>
    <col min="12241" max="12242" width="12.7109375" style="1" customWidth="1"/>
    <col min="12243" max="12255" width="10.5703125" style="1" customWidth="1"/>
    <col min="12256" max="12256" width="11.140625" style="1" customWidth="1"/>
    <col min="12257" max="12268" width="10.5703125" style="1" customWidth="1"/>
    <col min="12269" max="12270" width="9.85546875" style="1" customWidth="1"/>
    <col min="12271" max="12271" width="9.85546875" style="1" bestFit="1" customWidth="1"/>
    <col min="12272" max="12272" width="9.85546875" style="1" customWidth="1"/>
    <col min="12273" max="12273" width="11.140625" style="1" customWidth="1"/>
    <col min="12274" max="12275" width="11.7109375" style="1" customWidth="1"/>
    <col min="12276" max="12277" width="9.140625" style="1" customWidth="1"/>
    <col min="12278" max="12278" width="10.28515625" style="1" customWidth="1"/>
    <col min="12279" max="12285" width="9.140625" style="1" customWidth="1"/>
    <col min="12286" max="12286" width="10.5703125" style="1" bestFit="1" customWidth="1"/>
    <col min="12287" max="12289" width="9.140625" style="1" customWidth="1"/>
    <col min="12290" max="12290" width="10.5703125" style="1" customWidth="1"/>
    <col min="12291" max="12294" width="9.140625" style="1" customWidth="1"/>
    <col min="12295" max="12295" width="9.28515625" style="1" bestFit="1" customWidth="1"/>
    <col min="12296" max="12306" width="9.140625" style="1"/>
    <col min="12307" max="12307" width="10.85546875" style="1" customWidth="1"/>
    <col min="12308" max="12488" width="9.140625" style="1"/>
    <col min="12489" max="12489" width="11.85546875" style="1" bestFit="1" customWidth="1"/>
    <col min="12490" max="12490" width="28.140625" style="1" bestFit="1" customWidth="1"/>
    <col min="12491" max="12491" width="15.7109375" style="1" customWidth="1"/>
    <col min="12492" max="12492" width="9.85546875" style="1" customWidth="1"/>
    <col min="12493" max="12493" width="13.140625" style="1" customWidth="1"/>
    <col min="12494" max="12494" width="9.140625" style="1" customWidth="1"/>
    <col min="12495" max="12495" width="12.28515625" style="1" customWidth="1"/>
    <col min="12496" max="12496" width="10.5703125" style="1" customWidth="1"/>
    <col min="12497" max="12498" width="12.7109375" style="1" customWidth="1"/>
    <col min="12499" max="12511" width="10.5703125" style="1" customWidth="1"/>
    <col min="12512" max="12512" width="11.140625" style="1" customWidth="1"/>
    <col min="12513" max="12524" width="10.5703125" style="1" customWidth="1"/>
    <col min="12525" max="12526" width="9.85546875" style="1" customWidth="1"/>
    <col min="12527" max="12527" width="9.85546875" style="1" bestFit="1" customWidth="1"/>
    <col min="12528" max="12528" width="9.85546875" style="1" customWidth="1"/>
    <col min="12529" max="12529" width="11.140625" style="1" customWidth="1"/>
    <col min="12530" max="12531" width="11.7109375" style="1" customWidth="1"/>
    <col min="12532" max="12533" width="9.140625" style="1" customWidth="1"/>
    <col min="12534" max="12534" width="10.28515625" style="1" customWidth="1"/>
    <col min="12535" max="12541" width="9.140625" style="1" customWidth="1"/>
    <col min="12542" max="12542" width="10.5703125" style="1" bestFit="1" customWidth="1"/>
    <col min="12543" max="12545" width="9.140625" style="1" customWidth="1"/>
    <col min="12546" max="12546" width="10.5703125" style="1" customWidth="1"/>
    <col min="12547" max="12550" width="9.140625" style="1" customWidth="1"/>
    <col min="12551" max="12551" width="9.28515625" style="1" bestFit="1" customWidth="1"/>
    <col min="12552" max="12562" width="9.140625" style="1"/>
    <col min="12563" max="12563" width="10.85546875" style="1" customWidth="1"/>
    <col min="12564" max="12744" width="9.140625" style="1"/>
    <col min="12745" max="12745" width="11.85546875" style="1" bestFit="1" customWidth="1"/>
    <col min="12746" max="12746" width="28.140625" style="1" bestFit="1" customWidth="1"/>
    <col min="12747" max="12747" width="15.7109375" style="1" customWidth="1"/>
    <col min="12748" max="12748" width="9.85546875" style="1" customWidth="1"/>
    <col min="12749" max="12749" width="13.140625" style="1" customWidth="1"/>
    <col min="12750" max="12750" width="9.140625" style="1" customWidth="1"/>
    <col min="12751" max="12751" width="12.28515625" style="1" customWidth="1"/>
    <col min="12752" max="12752" width="10.5703125" style="1" customWidth="1"/>
    <col min="12753" max="12754" width="12.7109375" style="1" customWidth="1"/>
    <col min="12755" max="12767" width="10.5703125" style="1" customWidth="1"/>
    <col min="12768" max="12768" width="11.140625" style="1" customWidth="1"/>
    <col min="12769" max="12780" width="10.5703125" style="1" customWidth="1"/>
    <col min="12781" max="12782" width="9.85546875" style="1" customWidth="1"/>
    <col min="12783" max="12783" width="9.85546875" style="1" bestFit="1" customWidth="1"/>
    <col min="12784" max="12784" width="9.85546875" style="1" customWidth="1"/>
    <col min="12785" max="12785" width="11.140625" style="1" customWidth="1"/>
    <col min="12786" max="12787" width="11.7109375" style="1" customWidth="1"/>
    <col min="12788" max="12789" width="9.140625" style="1" customWidth="1"/>
    <col min="12790" max="12790" width="10.28515625" style="1" customWidth="1"/>
    <col min="12791" max="12797" width="9.140625" style="1" customWidth="1"/>
    <col min="12798" max="12798" width="10.5703125" style="1" bestFit="1" customWidth="1"/>
    <col min="12799" max="12801" width="9.140625" style="1" customWidth="1"/>
    <col min="12802" max="12802" width="10.5703125" style="1" customWidth="1"/>
    <col min="12803" max="12806" width="9.140625" style="1" customWidth="1"/>
    <col min="12807" max="12807" width="9.28515625" style="1" bestFit="1" customWidth="1"/>
    <col min="12808" max="12818" width="9.140625" style="1"/>
    <col min="12819" max="12819" width="10.85546875" style="1" customWidth="1"/>
    <col min="12820" max="13000" width="9.140625" style="1"/>
    <col min="13001" max="13001" width="11.85546875" style="1" bestFit="1" customWidth="1"/>
    <col min="13002" max="13002" width="28.140625" style="1" bestFit="1" customWidth="1"/>
    <col min="13003" max="13003" width="15.7109375" style="1" customWidth="1"/>
    <col min="13004" max="13004" width="9.85546875" style="1" customWidth="1"/>
    <col min="13005" max="13005" width="13.140625" style="1" customWidth="1"/>
    <col min="13006" max="13006" width="9.140625" style="1" customWidth="1"/>
    <col min="13007" max="13007" width="12.28515625" style="1" customWidth="1"/>
    <col min="13008" max="13008" width="10.5703125" style="1" customWidth="1"/>
    <col min="13009" max="13010" width="12.7109375" style="1" customWidth="1"/>
    <col min="13011" max="13023" width="10.5703125" style="1" customWidth="1"/>
    <col min="13024" max="13024" width="11.140625" style="1" customWidth="1"/>
    <col min="13025" max="13036" width="10.5703125" style="1" customWidth="1"/>
    <col min="13037" max="13038" width="9.85546875" style="1" customWidth="1"/>
    <col min="13039" max="13039" width="9.85546875" style="1" bestFit="1" customWidth="1"/>
    <col min="13040" max="13040" width="9.85546875" style="1" customWidth="1"/>
    <col min="13041" max="13041" width="11.140625" style="1" customWidth="1"/>
    <col min="13042" max="13043" width="11.7109375" style="1" customWidth="1"/>
    <col min="13044" max="13045" width="9.140625" style="1" customWidth="1"/>
    <col min="13046" max="13046" width="10.28515625" style="1" customWidth="1"/>
    <col min="13047" max="13053" width="9.140625" style="1" customWidth="1"/>
    <col min="13054" max="13054" width="10.5703125" style="1" bestFit="1" customWidth="1"/>
    <col min="13055" max="13057" width="9.140625" style="1" customWidth="1"/>
    <col min="13058" max="13058" width="10.5703125" style="1" customWidth="1"/>
    <col min="13059" max="13062" width="9.140625" style="1" customWidth="1"/>
    <col min="13063" max="13063" width="9.28515625" style="1" bestFit="1" customWidth="1"/>
    <col min="13064" max="13074" width="9.140625" style="1"/>
    <col min="13075" max="13075" width="10.85546875" style="1" customWidth="1"/>
    <col min="13076" max="13256" width="9.140625" style="1"/>
    <col min="13257" max="13257" width="11.85546875" style="1" bestFit="1" customWidth="1"/>
    <col min="13258" max="13258" width="28.140625" style="1" bestFit="1" customWidth="1"/>
    <col min="13259" max="13259" width="15.7109375" style="1" customWidth="1"/>
    <col min="13260" max="13260" width="9.85546875" style="1" customWidth="1"/>
    <col min="13261" max="13261" width="13.140625" style="1" customWidth="1"/>
    <col min="13262" max="13262" width="9.140625" style="1" customWidth="1"/>
    <col min="13263" max="13263" width="12.28515625" style="1" customWidth="1"/>
    <col min="13264" max="13264" width="10.5703125" style="1" customWidth="1"/>
    <col min="13265" max="13266" width="12.7109375" style="1" customWidth="1"/>
    <col min="13267" max="13279" width="10.5703125" style="1" customWidth="1"/>
    <col min="13280" max="13280" width="11.140625" style="1" customWidth="1"/>
    <col min="13281" max="13292" width="10.5703125" style="1" customWidth="1"/>
    <col min="13293" max="13294" width="9.85546875" style="1" customWidth="1"/>
    <col min="13295" max="13295" width="9.85546875" style="1" bestFit="1" customWidth="1"/>
    <col min="13296" max="13296" width="9.85546875" style="1" customWidth="1"/>
    <col min="13297" max="13297" width="11.140625" style="1" customWidth="1"/>
    <col min="13298" max="13299" width="11.7109375" style="1" customWidth="1"/>
    <col min="13300" max="13301" width="9.140625" style="1" customWidth="1"/>
    <col min="13302" max="13302" width="10.28515625" style="1" customWidth="1"/>
    <col min="13303" max="13309" width="9.140625" style="1" customWidth="1"/>
    <col min="13310" max="13310" width="10.5703125" style="1" bestFit="1" customWidth="1"/>
    <col min="13311" max="13313" width="9.140625" style="1" customWidth="1"/>
    <col min="13314" max="13314" width="10.5703125" style="1" customWidth="1"/>
    <col min="13315" max="13318" width="9.140625" style="1" customWidth="1"/>
    <col min="13319" max="13319" width="9.28515625" style="1" bestFit="1" customWidth="1"/>
    <col min="13320" max="13330" width="9.140625" style="1"/>
    <col min="13331" max="13331" width="10.85546875" style="1" customWidth="1"/>
    <col min="13332" max="13512" width="9.140625" style="1"/>
    <col min="13513" max="13513" width="11.85546875" style="1" bestFit="1" customWidth="1"/>
    <col min="13514" max="13514" width="28.140625" style="1" bestFit="1" customWidth="1"/>
    <col min="13515" max="13515" width="15.7109375" style="1" customWidth="1"/>
    <col min="13516" max="13516" width="9.85546875" style="1" customWidth="1"/>
    <col min="13517" max="13517" width="13.140625" style="1" customWidth="1"/>
    <col min="13518" max="13518" width="9.140625" style="1" customWidth="1"/>
    <col min="13519" max="13519" width="12.28515625" style="1" customWidth="1"/>
    <col min="13520" max="13520" width="10.5703125" style="1" customWidth="1"/>
    <col min="13521" max="13522" width="12.7109375" style="1" customWidth="1"/>
    <col min="13523" max="13535" width="10.5703125" style="1" customWidth="1"/>
    <col min="13536" max="13536" width="11.140625" style="1" customWidth="1"/>
    <col min="13537" max="13548" width="10.5703125" style="1" customWidth="1"/>
    <col min="13549" max="13550" width="9.85546875" style="1" customWidth="1"/>
    <col min="13551" max="13551" width="9.85546875" style="1" bestFit="1" customWidth="1"/>
    <col min="13552" max="13552" width="9.85546875" style="1" customWidth="1"/>
    <col min="13553" max="13553" width="11.140625" style="1" customWidth="1"/>
    <col min="13554" max="13555" width="11.7109375" style="1" customWidth="1"/>
    <col min="13556" max="13557" width="9.140625" style="1" customWidth="1"/>
    <col min="13558" max="13558" width="10.28515625" style="1" customWidth="1"/>
    <col min="13559" max="13565" width="9.140625" style="1" customWidth="1"/>
    <col min="13566" max="13566" width="10.5703125" style="1" bestFit="1" customWidth="1"/>
    <col min="13567" max="13569" width="9.140625" style="1" customWidth="1"/>
    <col min="13570" max="13570" width="10.5703125" style="1" customWidth="1"/>
    <col min="13571" max="13574" width="9.140625" style="1" customWidth="1"/>
    <col min="13575" max="13575" width="9.28515625" style="1" bestFit="1" customWidth="1"/>
    <col min="13576" max="13586" width="9.140625" style="1"/>
    <col min="13587" max="13587" width="10.85546875" style="1" customWidth="1"/>
    <col min="13588" max="13768" width="9.140625" style="1"/>
    <col min="13769" max="13769" width="11.85546875" style="1" bestFit="1" customWidth="1"/>
    <col min="13770" max="13770" width="28.140625" style="1" bestFit="1" customWidth="1"/>
    <col min="13771" max="13771" width="15.7109375" style="1" customWidth="1"/>
    <col min="13772" max="13772" width="9.85546875" style="1" customWidth="1"/>
    <col min="13773" max="13773" width="13.140625" style="1" customWidth="1"/>
    <col min="13774" max="13774" width="9.140625" style="1" customWidth="1"/>
    <col min="13775" max="13775" width="12.28515625" style="1" customWidth="1"/>
    <col min="13776" max="13776" width="10.5703125" style="1" customWidth="1"/>
    <col min="13777" max="13778" width="12.7109375" style="1" customWidth="1"/>
    <col min="13779" max="13791" width="10.5703125" style="1" customWidth="1"/>
    <col min="13792" max="13792" width="11.140625" style="1" customWidth="1"/>
    <col min="13793" max="13804" width="10.5703125" style="1" customWidth="1"/>
    <col min="13805" max="13806" width="9.85546875" style="1" customWidth="1"/>
    <col min="13807" max="13807" width="9.85546875" style="1" bestFit="1" customWidth="1"/>
    <col min="13808" max="13808" width="9.85546875" style="1" customWidth="1"/>
    <col min="13809" max="13809" width="11.140625" style="1" customWidth="1"/>
    <col min="13810" max="13811" width="11.7109375" style="1" customWidth="1"/>
    <col min="13812" max="13813" width="9.140625" style="1" customWidth="1"/>
    <col min="13814" max="13814" width="10.28515625" style="1" customWidth="1"/>
    <col min="13815" max="13821" width="9.140625" style="1" customWidth="1"/>
    <col min="13822" max="13822" width="10.5703125" style="1" bestFit="1" customWidth="1"/>
    <col min="13823" max="13825" width="9.140625" style="1" customWidth="1"/>
    <col min="13826" max="13826" width="10.5703125" style="1" customWidth="1"/>
    <col min="13827" max="13830" width="9.140625" style="1" customWidth="1"/>
    <col min="13831" max="13831" width="9.28515625" style="1" bestFit="1" customWidth="1"/>
    <col min="13832" max="13842" width="9.140625" style="1"/>
    <col min="13843" max="13843" width="10.85546875" style="1" customWidth="1"/>
    <col min="13844" max="14024" width="9.140625" style="1"/>
    <col min="14025" max="14025" width="11.85546875" style="1" bestFit="1" customWidth="1"/>
    <col min="14026" max="14026" width="28.140625" style="1" bestFit="1" customWidth="1"/>
    <col min="14027" max="14027" width="15.7109375" style="1" customWidth="1"/>
    <col min="14028" max="14028" width="9.85546875" style="1" customWidth="1"/>
    <col min="14029" max="14029" width="13.140625" style="1" customWidth="1"/>
    <col min="14030" max="14030" width="9.140625" style="1" customWidth="1"/>
    <col min="14031" max="14031" width="12.28515625" style="1" customWidth="1"/>
    <col min="14032" max="14032" width="10.5703125" style="1" customWidth="1"/>
    <col min="14033" max="14034" width="12.7109375" style="1" customWidth="1"/>
    <col min="14035" max="14047" width="10.5703125" style="1" customWidth="1"/>
    <col min="14048" max="14048" width="11.140625" style="1" customWidth="1"/>
    <col min="14049" max="14060" width="10.5703125" style="1" customWidth="1"/>
    <col min="14061" max="14062" width="9.85546875" style="1" customWidth="1"/>
    <col min="14063" max="14063" width="9.85546875" style="1" bestFit="1" customWidth="1"/>
    <col min="14064" max="14064" width="9.85546875" style="1" customWidth="1"/>
    <col min="14065" max="14065" width="11.140625" style="1" customWidth="1"/>
    <col min="14066" max="14067" width="11.7109375" style="1" customWidth="1"/>
    <col min="14068" max="14069" width="9.140625" style="1" customWidth="1"/>
    <col min="14070" max="14070" width="10.28515625" style="1" customWidth="1"/>
    <col min="14071" max="14077" width="9.140625" style="1" customWidth="1"/>
    <col min="14078" max="14078" width="10.5703125" style="1" bestFit="1" customWidth="1"/>
    <col min="14079" max="14081" width="9.140625" style="1" customWidth="1"/>
    <col min="14082" max="14082" width="10.5703125" style="1" customWidth="1"/>
    <col min="14083" max="14086" width="9.140625" style="1" customWidth="1"/>
    <col min="14087" max="14087" width="9.28515625" style="1" bestFit="1" customWidth="1"/>
    <col min="14088" max="14098" width="9.140625" style="1"/>
    <col min="14099" max="14099" width="10.85546875" style="1" customWidth="1"/>
    <col min="14100" max="14280" width="9.140625" style="1"/>
    <col min="14281" max="14281" width="11.85546875" style="1" bestFit="1" customWidth="1"/>
    <col min="14282" max="14282" width="28.140625" style="1" bestFit="1" customWidth="1"/>
    <col min="14283" max="14283" width="15.7109375" style="1" customWidth="1"/>
    <col min="14284" max="14284" width="9.85546875" style="1" customWidth="1"/>
    <col min="14285" max="14285" width="13.140625" style="1" customWidth="1"/>
    <col min="14286" max="14286" width="9.140625" style="1" customWidth="1"/>
    <col min="14287" max="14287" width="12.28515625" style="1" customWidth="1"/>
    <col min="14288" max="14288" width="10.5703125" style="1" customWidth="1"/>
    <col min="14289" max="14290" width="12.7109375" style="1" customWidth="1"/>
    <col min="14291" max="14303" width="10.5703125" style="1" customWidth="1"/>
    <col min="14304" max="14304" width="11.140625" style="1" customWidth="1"/>
    <col min="14305" max="14316" width="10.5703125" style="1" customWidth="1"/>
    <col min="14317" max="14318" width="9.85546875" style="1" customWidth="1"/>
    <col min="14319" max="14319" width="9.85546875" style="1" bestFit="1" customWidth="1"/>
    <col min="14320" max="14320" width="9.85546875" style="1" customWidth="1"/>
    <col min="14321" max="14321" width="11.140625" style="1" customWidth="1"/>
    <col min="14322" max="14323" width="11.7109375" style="1" customWidth="1"/>
    <col min="14324" max="14325" width="9.140625" style="1" customWidth="1"/>
    <col min="14326" max="14326" width="10.28515625" style="1" customWidth="1"/>
    <col min="14327" max="14333" width="9.140625" style="1" customWidth="1"/>
    <col min="14334" max="14334" width="10.5703125" style="1" bestFit="1" customWidth="1"/>
    <col min="14335" max="14337" width="9.140625" style="1" customWidth="1"/>
    <col min="14338" max="14338" width="10.5703125" style="1" customWidth="1"/>
    <col min="14339" max="14342" width="9.140625" style="1" customWidth="1"/>
    <col min="14343" max="14343" width="9.28515625" style="1" bestFit="1" customWidth="1"/>
    <col min="14344" max="14354" width="9.140625" style="1"/>
    <col min="14355" max="14355" width="10.85546875" style="1" customWidth="1"/>
    <col min="14356" max="14536" width="9.140625" style="1"/>
    <col min="14537" max="14537" width="11.85546875" style="1" bestFit="1" customWidth="1"/>
    <col min="14538" max="14538" width="28.140625" style="1" bestFit="1" customWidth="1"/>
    <col min="14539" max="14539" width="15.7109375" style="1" customWidth="1"/>
    <col min="14540" max="14540" width="9.85546875" style="1" customWidth="1"/>
    <col min="14541" max="14541" width="13.140625" style="1" customWidth="1"/>
    <col min="14542" max="14542" width="9.140625" style="1" customWidth="1"/>
    <col min="14543" max="14543" width="12.28515625" style="1" customWidth="1"/>
    <col min="14544" max="14544" width="10.5703125" style="1" customWidth="1"/>
    <col min="14545" max="14546" width="12.7109375" style="1" customWidth="1"/>
    <col min="14547" max="14559" width="10.5703125" style="1" customWidth="1"/>
    <col min="14560" max="14560" width="11.140625" style="1" customWidth="1"/>
    <col min="14561" max="14572" width="10.5703125" style="1" customWidth="1"/>
    <col min="14573" max="14574" width="9.85546875" style="1" customWidth="1"/>
    <col min="14575" max="14575" width="9.85546875" style="1" bestFit="1" customWidth="1"/>
    <col min="14576" max="14576" width="9.85546875" style="1" customWidth="1"/>
    <col min="14577" max="14577" width="11.140625" style="1" customWidth="1"/>
    <col min="14578" max="14579" width="11.7109375" style="1" customWidth="1"/>
    <col min="14580" max="14581" width="9.140625" style="1" customWidth="1"/>
    <col min="14582" max="14582" width="10.28515625" style="1" customWidth="1"/>
    <col min="14583" max="14589" width="9.140625" style="1" customWidth="1"/>
    <col min="14590" max="14590" width="10.5703125" style="1" bestFit="1" customWidth="1"/>
    <col min="14591" max="14593" width="9.140625" style="1" customWidth="1"/>
    <col min="14594" max="14594" width="10.5703125" style="1" customWidth="1"/>
    <col min="14595" max="14598" width="9.140625" style="1" customWidth="1"/>
    <col min="14599" max="14599" width="9.28515625" style="1" bestFit="1" customWidth="1"/>
    <col min="14600" max="14610" width="9.140625" style="1"/>
    <col min="14611" max="14611" width="10.85546875" style="1" customWidth="1"/>
    <col min="14612" max="14792" width="9.140625" style="1"/>
    <col min="14793" max="14793" width="11.85546875" style="1" bestFit="1" customWidth="1"/>
    <col min="14794" max="14794" width="28.140625" style="1" bestFit="1" customWidth="1"/>
    <col min="14795" max="14795" width="15.7109375" style="1" customWidth="1"/>
    <col min="14796" max="14796" width="9.85546875" style="1" customWidth="1"/>
    <col min="14797" max="14797" width="13.140625" style="1" customWidth="1"/>
    <col min="14798" max="14798" width="9.140625" style="1" customWidth="1"/>
    <col min="14799" max="14799" width="12.28515625" style="1" customWidth="1"/>
    <col min="14800" max="14800" width="10.5703125" style="1" customWidth="1"/>
    <col min="14801" max="14802" width="12.7109375" style="1" customWidth="1"/>
    <col min="14803" max="14815" width="10.5703125" style="1" customWidth="1"/>
    <col min="14816" max="14816" width="11.140625" style="1" customWidth="1"/>
    <col min="14817" max="14828" width="10.5703125" style="1" customWidth="1"/>
    <col min="14829" max="14830" width="9.85546875" style="1" customWidth="1"/>
    <col min="14831" max="14831" width="9.85546875" style="1" bestFit="1" customWidth="1"/>
    <col min="14832" max="14832" width="9.85546875" style="1" customWidth="1"/>
    <col min="14833" max="14833" width="11.140625" style="1" customWidth="1"/>
    <col min="14834" max="14835" width="11.7109375" style="1" customWidth="1"/>
    <col min="14836" max="14837" width="9.140625" style="1" customWidth="1"/>
    <col min="14838" max="14838" width="10.28515625" style="1" customWidth="1"/>
    <col min="14839" max="14845" width="9.140625" style="1" customWidth="1"/>
    <col min="14846" max="14846" width="10.5703125" style="1" bestFit="1" customWidth="1"/>
    <col min="14847" max="14849" width="9.140625" style="1" customWidth="1"/>
    <col min="14850" max="14850" width="10.5703125" style="1" customWidth="1"/>
    <col min="14851" max="14854" width="9.140625" style="1" customWidth="1"/>
    <col min="14855" max="14855" width="9.28515625" style="1" bestFit="1" customWidth="1"/>
    <col min="14856" max="14866" width="9.140625" style="1"/>
    <col min="14867" max="14867" width="10.85546875" style="1" customWidth="1"/>
    <col min="14868" max="15048" width="9.140625" style="1"/>
    <col min="15049" max="15049" width="11.85546875" style="1" bestFit="1" customWidth="1"/>
    <col min="15050" max="15050" width="28.140625" style="1" bestFit="1" customWidth="1"/>
    <col min="15051" max="15051" width="15.7109375" style="1" customWidth="1"/>
    <col min="15052" max="15052" width="9.85546875" style="1" customWidth="1"/>
    <col min="15053" max="15053" width="13.140625" style="1" customWidth="1"/>
    <col min="15054" max="15054" width="9.140625" style="1" customWidth="1"/>
    <col min="15055" max="15055" width="12.28515625" style="1" customWidth="1"/>
    <col min="15056" max="15056" width="10.5703125" style="1" customWidth="1"/>
    <col min="15057" max="15058" width="12.7109375" style="1" customWidth="1"/>
    <col min="15059" max="15071" width="10.5703125" style="1" customWidth="1"/>
    <col min="15072" max="15072" width="11.140625" style="1" customWidth="1"/>
    <col min="15073" max="15084" width="10.5703125" style="1" customWidth="1"/>
    <col min="15085" max="15086" width="9.85546875" style="1" customWidth="1"/>
    <col min="15087" max="15087" width="9.85546875" style="1" bestFit="1" customWidth="1"/>
    <col min="15088" max="15088" width="9.85546875" style="1" customWidth="1"/>
    <col min="15089" max="15089" width="11.140625" style="1" customWidth="1"/>
    <col min="15090" max="15091" width="11.7109375" style="1" customWidth="1"/>
    <col min="15092" max="15093" width="9.140625" style="1" customWidth="1"/>
    <col min="15094" max="15094" width="10.28515625" style="1" customWidth="1"/>
    <col min="15095" max="15101" width="9.140625" style="1" customWidth="1"/>
    <col min="15102" max="15102" width="10.5703125" style="1" bestFit="1" customWidth="1"/>
    <col min="15103" max="15105" width="9.140625" style="1" customWidth="1"/>
    <col min="15106" max="15106" width="10.5703125" style="1" customWidth="1"/>
    <col min="15107" max="15110" width="9.140625" style="1" customWidth="1"/>
    <col min="15111" max="15111" width="9.28515625" style="1" bestFit="1" customWidth="1"/>
    <col min="15112" max="15122" width="9.140625" style="1"/>
    <col min="15123" max="15123" width="10.85546875" style="1" customWidth="1"/>
    <col min="15124" max="15304" width="9.140625" style="1"/>
    <col min="15305" max="15305" width="11.85546875" style="1" bestFit="1" customWidth="1"/>
    <col min="15306" max="15306" width="28.140625" style="1" bestFit="1" customWidth="1"/>
    <col min="15307" max="15307" width="15.7109375" style="1" customWidth="1"/>
    <col min="15308" max="15308" width="9.85546875" style="1" customWidth="1"/>
    <col min="15309" max="15309" width="13.140625" style="1" customWidth="1"/>
    <col min="15310" max="15310" width="9.140625" style="1" customWidth="1"/>
    <col min="15311" max="15311" width="12.28515625" style="1" customWidth="1"/>
    <col min="15312" max="15312" width="10.5703125" style="1" customWidth="1"/>
    <col min="15313" max="15314" width="12.7109375" style="1" customWidth="1"/>
    <col min="15315" max="15327" width="10.5703125" style="1" customWidth="1"/>
    <col min="15328" max="15328" width="11.140625" style="1" customWidth="1"/>
    <col min="15329" max="15340" width="10.5703125" style="1" customWidth="1"/>
    <col min="15341" max="15342" width="9.85546875" style="1" customWidth="1"/>
    <col min="15343" max="15343" width="9.85546875" style="1" bestFit="1" customWidth="1"/>
    <col min="15344" max="15344" width="9.85546875" style="1" customWidth="1"/>
    <col min="15345" max="15345" width="11.140625" style="1" customWidth="1"/>
    <col min="15346" max="15347" width="11.7109375" style="1" customWidth="1"/>
    <col min="15348" max="15349" width="9.140625" style="1" customWidth="1"/>
    <col min="15350" max="15350" width="10.28515625" style="1" customWidth="1"/>
    <col min="15351" max="15357" width="9.140625" style="1" customWidth="1"/>
    <col min="15358" max="15358" width="10.5703125" style="1" bestFit="1" customWidth="1"/>
    <col min="15359" max="15361" width="9.140625" style="1" customWidth="1"/>
    <col min="15362" max="15362" width="10.5703125" style="1" customWidth="1"/>
    <col min="15363" max="15366" width="9.140625" style="1" customWidth="1"/>
    <col min="15367" max="15367" width="9.28515625" style="1" bestFit="1" customWidth="1"/>
    <col min="15368" max="15378" width="9.140625" style="1"/>
    <col min="15379" max="15379" width="10.85546875" style="1" customWidth="1"/>
    <col min="15380" max="15560" width="9.140625" style="1"/>
    <col min="15561" max="15561" width="11.85546875" style="1" bestFit="1" customWidth="1"/>
    <col min="15562" max="15562" width="28.140625" style="1" bestFit="1" customWidth="1"/>
    <col min="15563" max="15563" width="15.7109375" style="1" customWidth="1"/>
    <col min="15564" max="15564" width="9.85546875" style="1" customWidth="1"/>
    <col min="15565" max="15565" width="13.140625" style="1" customWidth="1"/>
    <col min="15566" max="15566" width="9.140625" style="1" customWidth="1"/>
    <col min="15567" max="15567" width="12.28515625" style="1" customWidth="1"/>
    <col min="15568" max="15568" width="10.5703125" style="1" customWidth="1"/>
    <col min="15569" max="15570" width="12.7109375" style="1" customWidth="1"/>
    <col min="15571" max="15583" width="10.5703125" style="1" customWidth="1"/>
    <col min="15584" max="15584" width="11.140625" style="1" customWidth="1"/>
    <col min="15585" max="15596" width="10.5703125" style="1" customWidth="1"/>
    <col min="15597" max="15598" width="9.85546875" style="1" customWidth="1"/>
    <col min="15599" max="15599" width="9.85546875" style="1" bestFit="1" customWidth="1"/>
    <col min="15600" max="15600" width="9.85546875" style="1" customWidth="1"/>
    <col min="15601" max="15601" width="11.140625" style="1" customWidth="1"/>
    <col min="15602" max="15603" width="11.7109375" style="1" customWidth="1"/>
    <col min="15604" max="15605" width="9.140625" style="1" customWidth="1"/>
    <col min="15606" max="15606" width="10.28515625" style="1" customWidth="1"/>
    <col min="15607" max="15613" width="9.140625" style="1" customWidth="1"/>
    <col min="15614" max="15614" width="10.5703125" style="1" bestFit="1" customWidth="1"/>
    <col min="15615" max="15617" width="9.140625" style="1" customWidth="1"/>
    <col min="15618" max="15618" width="10.5703125" style="1" customWidth="1"/>
    <col min="15619" max="15622" width="9.140625" style="1" customWidth="1"/>
    <col min="15623" max="15623" width="9.28515625" style="1" bestFit="1" customWidth="1"/>
    <col min="15624" max="15634" width="9.140625" style="1"/>
    <col min="15635" max="15635" width="10.85546875" style="1" customWidth="1"/>
    <col min="15636" max="15816" width="9.140625" style="1"/>
    <col min="15817" max="15817" width="11.85546875" style="1" bestFit="1" customWidth="1"/>
    <col min="15818" max="15818" width="28.140625" style="1" bestFit="1" customWidth="1"/>
    <col min="15819" max="15819" width="15.7109375" style="1" customWidth="1"/>
    <col min="15820" max="15820" width="9.85546875" style="1" customWidth="1"/>
    <col min="15821" max="15821" width="13.140625" style="1" customWidth="1"/>
    <col min="15822" max="15822" width="9.140625" style="1" customWidth="1"/>
    <col min="15823" max="15823" width="12.28515625" style="1" customWidth="1"/>
    <col min="15824" max="15824" width="10.5703125" style="1" customWidth="1"/>
    <col min="15825" max="15826" width="12.7109375" style="1" customWidth="1"/>
    <col min="15827" max="15839" width="10.5703125" style="1" customWidth="1"/>
    <col min="15840" max="15840" width="11.140625" style="1" customWidth="1"/>
    <col min="15841" max="15852" width="10.5703125" style="1" customWidth="1"/>
    <col min="15853" max="15854" width="9.85546875" style="1" customWidth="1"/>
    <col min="15855" max="15855" width="9.85546875" style="1" bestFit="1" customWidth="1"/>
    <col min="15856" max="15856" width="9.85546875" style="1" customWidth="1"/>
    <col min="15857" max="15857" width="11.140625" style="1" customWidth="1"/>
    <col min="15858" max="15859" width="11.7109375" style="1" customWidth="1"/>
    <col min="15860" max="15861" width="9.140625" style="1" customWidth="1"/>
    <col min="15862" max="15862" width="10.28515625" style="1" customWidth="1"/>
    <col min="15863" max="15869" width="9.140625" style="1" customWidth="1"/>
    <col min="15870" max="15870" width="10.5703125" style="1" bestFit="1" customWidth="1"/>
    <col min="15871" max="15873" width="9.140625" style="1" customWidth="1"/>
    <col min="15874" max="15874" width="10.5703125" style="1" customWidth="1"/>
    <col min="15875" max="15878" width="9.140625" style="1" customWidth="1"/>
    <col min="15879" max="15879" width="9.28515625" style="1" bestFit="1" customWidth="1"/>
    <col min="15880" max="15890" width="9.140625" style="1"/>
    <col min="15891" max="15891" width="10.85546875" style="1" customWidth="1"/>
    <col min="15892" max="16072" width="9.140625" style="1"/>
    <col min="16073" max="16073" width="11.85546875" style="1" bestFit="1" customWidth="1"/>
    <col min="16074" max="16074" width="28.140625" style="1" bestFit="1" customWidth="1"/>
    <col min="16075" max="16075" width="15.7109375" style="1" customWidth="1"/>
    <col min="16076" max="16076" width="9.85546875" style="1" customWidth="1"/>
    <col min="16077" max="16077" width="13.140625" style="1" customWidth="1"/>
    <col min="16078" max="16078" width="9.140625" style="1" customWidth="1"/>
    <col min="16079" max="16079" width="12.28515625" style="1" customWidth="1"/>
    <col min="16080" max="16080" width="10.5703125" style="1" customWidth="1"/>
    <col min="16081" max="16082" width="12.7109375" style="1" customWidth="1"/>
    <col min="16083" max="16095" width="10.5703125" style="1" customWidth="1"/>
    <col min="16096" max="16096" width="11.140625" style="1" customWidth="1"/>
    <col min="16097" max="16108" width="10.5703125" style="1" customWidth="1"/>
    <col min="16109" max="16110" width="9.85546875" style="1" customWidth="1"/>
    <col min="16111" max="16111" width="9.85546875" style="1" bestFit="1" customWidth="1"/>
    <col min="16112" max="16112" width="9.85546875" style="1" customWidth="1"/>
    <col min="16113" max="16113" width="11.140625" style="1" customWidth="1"/>
    <col min="16114" max="16115" width="11.7109375" style="1" customWidth="1"/>
    <col min="16116" max="16117" width="9.140625" style="1" customWidth="1"/>
    <col min="16118" max="16118" width="10.28515625" style="1" customWidth="1"/>
    <col min="16119" max="16125" width="9.140625" style="1" customWidth="1"/>
    <col min="16126" max="16126" width="10.5703125" style="1" bestFit="1" customWidth="1"/>
    <col min="16127" max="16129" width="9.140625" style="1" customWidth="1"/>
    <col min="16130" max="16130" width="10.5703125" style="1" customWidth="1"/>
    <col min="16131" max="16134" width="9.140625" style="1" customWidth="1"/>
    <col min="16135" max="16135" width="9.28515625" style="1" bestFit="1" customWidth="1"/>
    <col min="16136" max="16146" width="9.140625" style="1"/>
    <col min="16147" max="16147" width="10.85546875" style="1" customWidth="1"/>
    <col min="16148" max="16384" width="9.140625" style="1"/>
  </cols>
  <sheetData>
    <row r="1" spans="1:20" x14ac:dyDescent="0.2">
      <c r="F1" s="177" t="s">
        <v>49</v>
      </c>
      <c r="G1" s="177" t="s">
        <v>48</v>
      </c>
      <c r="H1" s="177" t="s">
        <v>47</v>
      </c>
      <c r="I1" s="177" t="s">
        <v>46</v>
      </c>
      <c r="J1" s="177" t="s">
        <v>45</v>
      </c>
      <c r="K1" s="177" t="s">
        <v>44</v>
      </c>
      <c r="L1" s="177" t="s">
        <v>43</v>
      </c>
      <c r="M1" s="177" t="s">
        <v>42</v>
      </c>
      <c r="N1" s="177" t="s">
        <v>41</v>
      </c>
      <c r="O1" s="177" t="s">
        <v>40</v>
      </c>
      <c r="P1" s="177" t="s">
        <v>39</v>
      </c>
      <c r="Q1" s="177" t="s">
        <v>38</v>
      </c>
      <c r="R1" s="177" t="s">
        <v>37</v>
      </c>
    </row>
    <row r="2" spans="1:20" x14ac:dyDescent="0.2">
      <c r="B2" s="190" t="s">
        <v>499</v>
      </c>
      <c r="C2" s="191">
        <f>STATS!D56</f>
        <v>122</v>
      </c>
      <c r="D2" s="111"/>
      <c r="E2" s="111"/>
      <c r="F2" s="131">
        <f>'MO STATS'!E52</f>
        <v>9</v>
      </c>
      <c r="G2" s="131">
        <f>'MO STATS'!F52</f>
        <v>15</v>
      </c>
      <c r="H2" s="131">
        <f>'MO STATS'!G52</f>
        <v>11</v>
      </c>
      <c r="I2" s="131">
        <f>'MO STATS'!H52</f>
        <v>5</v>
      </c>
      <c r="J2" s="131">
        <f>'MO STATS'!I52</f>
        <v>7</v>
      </c>
      <c r="K2" s="131">
        <f>'MO STATS'!J52</f>
        <v>11</v>
      </c>
      <c r="L2" s="131">
        <f>'MO STATS'!K52</f>
        <v>2</v>
      </c>
      <c r="M2" s="131">
        <f>'MO STATS'!L52</f>
        <v>13</v>
      </c>
      <c r="N2" s="131">
        <f>'MO STATS'!M52</f>
        <v>12</v>
      </c>
      <c r="O2" s="131">
        <f>'MO STATS'!N52</f>
        <v>11</v>
      </c>
      <c r="P2" s="131">
        <f>'MO STATS'!O52</f>
        <v>14</v>
      </c>
      <c r="Q2" s="131">
        <f>'MO STATS'!P52</f>
        <v>12</v>
      </c>
      <c r="R2" s="96">
        <f>SUM(F2:Q2)</f>
        <v>122</v>
      </c>
      <c r="S2" s="3">
        <f>C2-R2</f>
        <v>0</v>
      </c>
    </row>
    <row r="3" spans="1:20" x14ac:dyDescent="0.2">
      <c r="B3" s="190" t="s">
        <v>500</v>
      </c>
      <c r="C3" s="191">
        <f>STATS!D57</f>
        <v>1020</v>
      </c>
      <c r="D3" s="111"/>
      <c r="E3" s="111"/>
      <c r="F3" s="131">
        <f>'MO STATS'!E53</f>
        <v>84</v>
      </c>
      <c r="G3" s="131">
        <f>'MO STATS'!F53</f>
        <v>75</v>
      </c>
      <c r="H3" s="131">
        <f>'MO STATS'!G53</f>
        <v>55</v>
      </c>
      <c r="I3" s="131">
        <f>'MO STATS'!H53</f>
        <v>81</v>
      </c>
      <c r="J3" s="131">
        <f>'MO STATS'!I53</f>
        <v>98</v>
      </c>
      <c r="K3" s="131">
        <f>'MO STATS'!J53</f>
        <v>99</v>
      </c>
      <c r="L3" s="131">
        <f>'MO STATS'!K53</f>
        <v>72</v>
      </c>
      <c r="M3" s="131">
        <f>'MO STATS'!L53</f>
        <v>77</v>
      </c>
      <c r="N3" s="131">
        <f>'MO STATS'!M53</f>
        <v>95</v>
      </c>
      <c r="O3" s="131">
        <f>'MO STATS'!N53</f>
        <v>90</v>
      </c>
      <c r="P3" s="131">
        <f>'MO STATS'!O53</f>
        <v>107</v>
      </c>
      <c r="Q3" s="131">
        <f>'MO STATS'!P53</f>
        <v>87</v>
      </c>
      <c r="R3" s="96">
        <f>SUM(F3:Q3)</f>
        <v>1020</v>
      </c>
      <c r="S3" s="3">
        <f>C3-R3</f>
        <v>0</v>
      </c>
    </row>
    <row r="4" spans="1:20" x14ac:dyDescent="0.2">
      <c r="B4" s="190" t="s">
        <v>501</v>
      </c>
      <c r="C4" s="191">
        <f>C2+C3</f>
        <v>1142</v>
      </c>
      <c r="D4" s="111"/>
      <c r="E4" s="111"/>
      <c r="F4" s="131">
        <f>'MO STATS'!E54</f>
        <v>93</v>
      </c>
      <c r="G4" s="131">
        <f>'MO STATS'!F54</f>
        <v>90</v>
      </c>
      <c r="H4" s="131">
        <f>'MO STATS'!G54</f>
        <v>66</v>
      </c>
      <c r="I4" s="131">
        <f>'MO STATS'!H54</f>
        <v>86</v>
      </c>
      <c r="J4" s="131">
        <f>'MO STATS'!I54</f>
        <v>105</v>
      </c>
      <c r="K4" s="131">
        <f>'MO STATS'!J54</f>
        <v>110</v>
      </c>
      <c r="L4" s="131">
        <f>'MO STATS'!K54</f>
        <v>74</v>
      </c>
      <c r="M4" s="131">
        <f>'MO STATS'!L54</f>
        <v>90</v>
      </c>
      <c r="N4" s="131">
        <f>'MO STATS'!M54</f>
        <v>107</v>
      </c>
      <c r="O4" s="131">
        <f>'MO STATS'!N54</f>
        <v>101</v>
      </c>
      <c r="P4" s="131">
        <f>'MO STATS'!O54</f>
        <v>121</v>
      </c>
      <c r="Q4" s="131">
        <f>'MO STATS'!P54</f>
        <v>99</v>
      </c>
      <c r="R4" s="96">
        <f>SUM(R2:R3)</f>
        <v>1142</v>
      </c>
      <c r="S4" s="3">
        <f>C4-R4</f>
        <v>0</v>
      </c>
    </row>
    <row r="5" spans="1:20" x14ac:dyDescent="0.2">
      <c r="B5" s="38" t="s">
        <v>940</v>
      </c>
      <c r="C5" s="483">
        <f>'[4]2017 FTEs'!$AS$23</f>
        <v>1</v>
      </c>
      <c r="D5" s="111"/>
      <c r="E5" s="111"/>
      <c r="F5" s="131"/>
      <c r="G5" s="131"/>
      <c r="H5" s="131"/>
      <c r="I5" s="131"/>
      <c r="J5" s="131"/>
      <c r="K5" s="131"/>
      <c r="L5" s="131"/>
      <c r="M5" s="131"/>
      <c r="N5" s="131"/>
      <c r="O5" s="131"/>
      <c r="P5" s="131"/>
      <c r="Q5" s="131"/>
      <c r="R5" s="96"/>
      <c r="S5" s="3"/>
    </row>
    <row r="6" spans="1:20" x14ac:dyDescent="0.2">
      <c r="B6" s="38" t="s">
        <v>939</v>
      </c>
      <c r="C6" s="191">
        <f>C5*2080</f>
        <v>2080</v>
      </c>
      <c r="D6" s="111"/>
      <c r="E6" s="111"/>
      <c r="F6" s="426">
        <f>($C6/$R7)*F7</f>
        <v>176.65753424657532</v>
      </c>
      <c r="G6" s="426">
        <f t="shared" ref="G6:Q6" si="0">($C6/$R7)*G7</f>
        <v>170.95890410958904</v>
      </c>
      <c r="H6" s="426">
        <f t="shared" si="0"/>
        <v>176.65753424657532</v>
      </c>
      <c r="I6" s="426">
        <f t="shared" si="0"/>
        <v>176.65753424657532</v>
      </c>
      <c r="J6" s="426">
        <f t="shared" si="0"/>
        <v>159.56164383561642</v>
      </c>
      <c r="K6" s="426">
        <f t="shared" si="0"/>
        <v>176.65753424657532</v>
      </c>
      <c r="L6" s="426">
        <f t="shared" si="0"/>
        <v>170.95890410958904</v>
      </c>
      <c r="M6" s="426">
        <f t="shared" si="0"/>
        <v>176.65753424657532</v>
      </c>
      <c r="N6" s="426">
        <f t="shared" si="0"/>
        <v>170.95890410958904</v>
      </c>
      <c r="O6" s="426">
        <f t="shared" si="0"/>
        <v>176.65753424657532</v>
      </c>
      <c r="P6" s="426">
        <f t="shared" si="0"/>
        <v>176.65753424657532</v>
      </c>
      <c r="Q6" s="426">
        <f t="shared" si="0"/>
        <v>170.95890410958904</v>
      </c>
      <c r="R6" s="6">
        <f>SUM(F6:Q6)</f>
        <v>2080</v>
      </c>
      <c r="S6" s="3">
        <f>C6-R6</f>
        <v>0</v>
      </c>
    </row>
    <row r="7" spans="1:20" x14ac:dyDescent="0.2">
      <c r="B7" s="190"/>
      <c r="C7" s="191"/>
      <c r="D7" s="111"/>
      <c r="E7" s="111"/>
      <c r="F7" s="2">
        <v>31</v>
      </c>
      <c r="G7" s="2">
        <v>30</v>
      </c>
      <c r="H7" s="2">
        <v>31</v>
      </c>
      <c r="I7" s="2">
        <v>31</v>
      </c>
      <c r="J7" s="2">
        <v>28</v>
      </c>
      <c r="K7" s="2">
        <v>31</v>
      </c>
      <c r="L7" s="2">
        <v>30</v>
      </c>
      <c r="M7" s="2">
        <v>31</v>
      </c>
      <c r="N7" s="2">
        <v>30</v>
      </c>
      <c r="O7" s="2">
        <v>31</v>
      </c>
      <c r="P7" s="2">
        <v>31</v>
      </c>
      <c r="Q7" s="2">
        <v>30</v>
      </c>
      <c r="R7" s="6">
        <f t="shared" ref="R7" si="1">SUM(F7:Q7)</f>
        <v>365</v>
      </c>
      <c r="S7" s="3"/>
    </row>
    <row r="8" spans="1:20" x14ac:dyDescent="0.2">
      <c r="A8" s="1"/>
      <c r="B8" s="176" t="s">
        <v>35</v>
      </c>
      <c r="C8" s="192"/>
      <c r="D8" s="192"/>
      <c r="E8" s="193"/>
    </row>
    <row r="9" spans="1:20" x14ac:dyDescent="0.2">
      <c r="A9" s="21"/>
      <c r="B9" s="77" t="s">
        <v>502</v>
      </c>
      <c r="C9" s="78"/>
      <c r="D9" s="168" t="s">
        <v>506</v>
      </c>
      <c r="E9" s="140"/>
    </row>
    <row r="10" spans="1:20" x14ac:dyDescent="0.2">
      <c r="A10" s="16"/>
      <c r="B10" s="29" t="s">
        <v>352</v>
      </c>
      <c r="C10" s="28">
        <f>C$2*D10</f>
        <v>63093.825000000004</v>
      </c>
      <c r="D10" s="13">
        <f>[5]Ultrasound!$J$11</f>
        <v>517.16250000000002</v>
      </c>
      <c r="E10" s="7"/>
      <c r="F10" s="375">
        <f>$D10*F$2</f>
        <v>4654.4625000000005</v>
      </c>
      <c r="G10" s="375">
        <f t="shared" ref="G10:Q16" si="2">$D10*G$2</f>
        <v>7757.4375</v>
      </c>
      <c r="H10" s="375">
        <f t="shared" si="2"/>
        <v>5688.7875000000004</v>
      </c>
      <c r="I10" s="375">
        <f t="shared" si="2"/>
        <v>2585.8125</v>
      </c>
      <c r="J10" s="375">
        <f t="shared" si="2"/>
        <v>3620.1375000000003</v>
      </c>
      <c r="K10" s="375">
        <f t="shared" si="2"/>
        <v>5688.7875000000004</v>
      </c>
      <c r="L10" s="375">
        <f t="shared" si="2"/>
        <v>1034.325</v>
      </c>
      <c r="M10" s="375">
        <f t="shared" si="2"/>
        <v>6723.1125000000002</v>
      </c>
      <c r="N10" s="375">
        <f t="shared" si="2"/>
        <v>6205.9500000000007</v>
      </c>
      <c r="O10" s="375">
        <f t="shared" si="2"/>
        <v>5688.7875000000004</v>
      </c>
      <c r="P10" s="375">
        <f t="shared" si="2"/>
        <v>7240.2750000000005</v>
      </c>
      <c r="Q10" s="375">
        <f t="shared" si="2"/>
        <v>6205.9500000000007</v>
      </c>
      <c r="R10" s="109">
        <f>SUM(F10:Q10)</f>
        <v>63093.824999999997</v>
      </c>
      <c r="S10" s="3">
        <f>C10-R10</f>
        <v>0</v>
      </c>
      <c r="T10" s="3"/>
    </row>
    <row r="11" spans="1:20" x14ac:dyDescent="0.2">
      <c r="A11" s="16"/>
      <c r="B11" s="29" t="s">
        <v>353</v>
      </c>
      <c r="C11" s="28">
        <f t="shared" ref="C11:C16" si="3">C$2*D11</f>
        <v>0</v>
      </c>
      <c r="D11" s="13">
        <v>0</v>
      </c>
      <c r="E11" s="7"/>
      <c r="F11" s="375">
        <f t="shared" ref="F11:Q24" si="4">$D11*F$2</f>
        <v>0</v>
      </c>
      <c r="G11" s="375">
        <f t="shared" si="2"/>
        <v>0</v>
      </c>
      <c r="H11" s="375">
        <f t="shared" si="2"/>
        <v>0</v>
      </c>
      <c r="I11" s="375">
        <f t="shared" si="2"/>
        <v>0</v>
      </c>
      <c r="J11" s="375">
        <f t="shared" si="2"/>
        <v>0</v>
      </c>
      <c r="K11" s="375">
        <f t="shared" si="2"/>
        <v>0</v>
      </c>
      <c r="L11" s="375">
        <f t="shared" si="2"/>
        <v>0</v>
      </c>
      <c r="M11" s="375">
        <f t="shared" si="2"/>
        <v>0</v>
      </c>
      <c r="N11" s="375">
        <f t="shared" si="2"/>
        <v>0</v>
      </c>
      <c r="O11" s="375">
        <f t="shared" si="2"/>
        <v>0</v>
      </c>
      <c r="P11" s="375">
        <f t="shared" si="2"/>
        <v>0</v>
      </c>
      <c r="Q11" s="375">
        <f t="shared" si="2"/>
        <v>0</v>
      </c>
      <c r="R11" s="109">
        <f t="shared" ref="R11:R34" si="5">SUM(F11:Q11)</f>
        <v>0</v>
      </c>
      <c r="S11" s="3">
        <f t="shared" ref="S11:S34" si="6">C11-R11</f>
        <v>0</v>
      </c>
      <c r="T11" s="3"/>
    </row>
    <row r="12" spans="1:20" x14ac:dyDescent="0.2">
      <c r="A12" s="16"/>
      <c r="B12" s="29" t="s">
        <v>355</v>
      </c>
      <c r="C12" s="28">
        <f t="shared" si="3"/>
        <v>509.34999999999997</v>
      </c>
      <c r="D12" s="13">
        <f>[5]Ultrasound!$J$13</f>
        <v>4.1749999999999998</v>
      </c>
      <c r="E12" s="7"/>
      <c r="F12" s="375">
        <f t="shared" si="4"/>
        <v>37.574999999999996</v>
      </c>
      <c r="G12" s="375">
        <f t="shared" si="2"/>
        <v>62.625</v>
      </c>
      <c r="H12" s="375">
        <f t="shared" si="2"/>
        <v>45.924999999999997</v>
      </c>
      <c r="I12" s="375">
        <f t="shared" si="2"/>
        <v>20.875</v>
      </c>
      <c r="J12" s="375">
        <f t="shared" si="2"/>
        <v>29.224999999999998</v>
      </c>
      <c r="K12" s="375">
        <f t="shared" si="2"/>
        <v>45.924999999999997</v>
      </c>
      <c r="L12" s="375">
        <f t="shared" si="2"/>
        <v>8.35</v>
      </c>
      <c r="M12" s="375">
        <f t="shared" si="2"/>
        <v>54.274999999999999</v>
      </c>
      <c r="N12" s="375">
        <f t="shared" si="2"/>
        <v>50.099999999999994</v>
      </c>
      <c r="O12" s="375">
        <f t="shared" si="2"/>
        <v>45.924999999999997</v>
      </c>
      <c r="P12" s="375">
        <f t="shared" si="2"/>
        <v>58.449999999999996</v>
      </c>
      <c r="Q12" s="375">
        <f t="shared" si="2"/>
        <v>50.099999999999994</v>
      </c>
      <c r="R12" s="109">
        <f t="shared" si="5"/>
        <v>509.35</v>
      </c>
      <c r="S12" s="3">
        <f t="shared" si="6"/>
        <v>0</v>
      </c>
      <c r="T12" s="3"/>
    </row>
    <row r="13" spans="1:20" x14ac:dyDescent="0.2">
      <c r="A13" s="16"/>
      <c r="B13" s="29" t="s">
        <v>370</v>
      </c>
      <c r="C13" s="28">
        <f t="shared" si="3"/>
        <v>0</v>
      </c>
      <c r="D13" s="13"/>
      <c r="E13" s="7"/>
      <c r="F13" s="375">
        <f t="shared" si="4"/>
        <v>0</v>
      </c>
      <c r="G13" s="375">
        <f t="shared" si="2"/>
        <v>0</v>
      </c>
      <c r="H13" s="375">
        <f t="shared" si="2"/>
        <v>0</v>
      </c>
      <c r="I13" s="375">
        <f t="shared" si="2"/>
        <v>0</v>
      </c>
      <c r="J13" s="375">
        <f t="shared" si="2"/>
        <v>0</v>
      </c>
      <c r="K13" s="375">
        <f t="shared" si="2"/>
        <v>0</v>
      </c>
      <c r="L13" s="375">
        <f t="shared" si="2"/>
        <v>0</v>
      </c>
      <c r="M13" s="375">
        <f t="shared" si="2"/>
        <v>0</v>
      </c>
      <c r="N13" s="375">
        <f t="shared" si="2"/>
        <v>0</v>
      </c>
      <c r="O13" s="375">
        <f t="shared" si="2"/>
        <v>0</v>
      </c>
      <c r="P13" s="375">
        <f t="shared" si="2"/>
        <v>0</v>
      </c>
      <c r="Q13" s="375">
        <f t="shared" si="2"/>
        <v>0</v>
      </c>
      <c r="R13" s="109">
        <f t="shared" si="5"/>
        <v>0</v>
      </c>
      <c r="S13" s="3">
        <f t="shared" si="6"/>
        <v>0</v>
      </c>
      <c r="T13" s="3"/>
    </row>
    <row r="14" spans="1:20" x14ac:dyDescent="0.2">
      <c r="A14" s="16"/>
      <c r="B14" s="29" t="s">
        <v>356</v>
      </c>
      <c r="C14" s="28">
        <f t="shared" si="3"/>
        <v>1624.125</v>
      </c>
      <c r="D14" s="13">
        <f>[5]Ultrasound!$J$15</f>
        <v>13.3125</v>
      </c>
      <c r="E14" s="7"/>
      <c r="F14" s="375">
        <f t="shared" si="4"/>
        <v>119.8125</v>
      </c>
      <c r="G14" s="375">
        <f t="shared" si="2"/>
        <v>199.6875</v>
      </c>
      <c r="H14" s="375">
        <f t="shared" si="2"/>
        <v>146.4375</v>
      </c>
      <c r="I14" s="375">
        <f t="shared" si="2"/>
        <v>66.5625</v>
      </c>
      <c r="J14" s="375">
        <f t="shared" si="2"/>
        <v>93.1875</v>
      </c>
      <c r="K14" s="375">
        <f t="shared" si="2"/>
        <v>146.4375</v>
      </c>
      <c r="L14" s="375">
        <f t="shared" si="2"/>
        <v>26.625</v>
      </c>
      <c r="M14" s="375">
        <f t="shared" si="2"/>
        <v>173.0625</v>
      </c>
      <c r="N14" s="375">
        <f t="shared" si="2"/>
        <v>159.75</v>
      </c>
      <c r="O14" s="375">
        <f t="shared" si="2"/>
        <v>146.4375</v>
      </c>
      <c r="P14" s="375">
        <f t="shared" si="2"/>
        <v>186.375</v>
      </c>
      <c r="Q14" s="375">
        <f t="shared" si="2"/>
        <v>159.75</v>
      </c>
      <c r="R14" s="109">
        <f t="shared" si="5"/>
        <v>1624.125</v>
      </c>
      <c r="S14" s="3">
        <f t="shared" si="6"/>
        <v>0</v>
      </c>
      <c r="T14" s="3"/>
    </row>
    <row r="15" spans="1:20" x14ac:dyDescent="0.2">
      <c r="A15" s="16"/>
      <c r="B15" s="29" t="s">
        <v>354</v>
      </c>
      <c r="C15" s="28">
        <f t="shared" si="3"/>
        <v>20264.2</v>
      </c>
      <c r="D15" s="13">
        <f>[5]Ultrasound!$J$16</f>
        <v>166.1</v>
      </c>
      <c r="E15" s="7"/>
      <c r="F15" s="375">
        <f t="shared" si="4"/>
        <v>1494.8999999999999</v>
      </c>
      <c r="G15" s="375">
        <f t="shared" si="2"/>
        <v>2491.5</v>
      </c>
      <c r="H15" s="375">
        <f t="shared" si="2"/>
        <v>1827.1</v>
      </c>
      <c r="I15" s="375">
        <f t="shared" si="2"/>
        <v>830.5</v>
      </c>
      <c r="J15" s="375">
        <f t="shared" si="2"/>
        <v>1162.7</v>
      </c>
      <c r="K15" s="375">
        <f t="shared" si="2"/>
        <v>1827.1</v>
      </c>
      <c r="L15" s="375">
        <f t="shared" si="2"/>
        <v>332.2</v>
      </c>
      <c r="M15" s="375">
        <f t="shared" si="2"/>
        <v>2159.2999999999997</v>
      </c>
      <c r="N15" s="375">
        <f t="shared" si="2"/>
        <v>1993.1999999999998</v>
      </c>
      <c r="O15" s="375">
        <f t="shared" si="2"/>
        <v>1827.1</v>
      </c>
      <c r="P15" s="375">
        <f t="shared" si="2"/>
        <v>2325.4</v>
      </c>
      <c r="Q15" s="375">
        <f t="shared" si="2"/>
        <v>1993.1999999999998</v>
      </c>
      <c r="R15" s="109">
        <f t="shared" si="5"/>
        <v>20264.2</v>
      </c>
      <c r="S15" s="3">
        <f t="shared" si="6"/>
        <v>0</v>
      </c>
      <c r="T15" s="3"/>
    </row>
    <row r="16" spans="1:20" x14ac:dyDescent="0.2">
      <c r="A16" s="16"/>
      <c r="B16" s="29" t="s">
        <v>357</v>
      </c>
      <c r="C16" s="28">
        <f t="shared" si="3"/>
        <v>4129.7</v>
      </c>
      <c r="D16" s="13">
        <f>[5]Ultrasound!$J$17</f>
        <v>33.85</v>
      </c>
      <c r="E16" s="7"/>
      <c r="F16" s="375">
        <f t="shared" si="4"/>
        <v>304.65000000000003</v>
      </c>
      <c r="G16" s="375">
        <f t="shared" si="2"/>
        <v>507.75</v>
      </c>
      <c r="H16" s="375">
        <f t="shared" si="2"/>
        <v>372.35</v>
      </c>
      <c r="I16" s="375">
        <f t="shared" si="2"/>
        <v>169.25</v>
      </c>
      <c r="J16" s="375">
        <f t="shared" si="2"/>
        <v>236.95000000000002</v>
      </c>
      <c r="K16" s="375">
        <f t="shared" si="2"/>
        <v>372.35</v>
      </c>
      <c r="L16" s="375">
        <f t="shared" si="2"/>
        <v>67.7</v>
      </c>
      <c r="M16" s="375">
        <f t="shared" si="2"/>
        <v>440.05</v>
      </c>
      <c r="N16" s="375">
        <f t="shared" si="2"/>
        <v>406.20000000000005</v>
      </c>
      <c r="O16" s="375">
        <f t="shared" si="2"/>
        <v>372.35</v>
      </c>
      <c r="P16" s="375">
        <f t="shared" si="2"/>
        <v>473.90000000000003</v>
      </c>
      <c r="Q16" s="375">
        <f t="shared" si="2"/>
        <v>406.20000000000005</v>
      </c>
      <c r="R16" s="109">
        <f t="shared" si="5"/>
        <v>4129.7</v>
      </c>
      <c r="S16" s="3">
        <f t="shared" si="6"/>
        <v>0</v>
      </c>
      <c r="T16" s="3"/>
    </row>
    <row r="17" spans="1:20" x14ac:dyDescent="0.2">
      <c r="A17" s="87">
        <v>31110.062000000002</v>
      </c>
      <c r="B17" s="161" t="s">
        <v>503</v>
      </c>
      <c r="C17" s="293">
        <f>SUM(C10:C16)</f>
        <v>89621.2</v>
      </c>
      <c r="D17" s="291"/>
      <c r="E17" s="291"/>
      <c r="F17" s="369">
        <f>SUM(F10:F16)</f>
        <v>6611.4</v>
      </c>
      <c r="G17" s="369">
        <f t="shared" ref="G17:Q17" si="7">SUM(G10:G16)</f>
        <v>11019</v>
      </c>
      <c r="H17" s="369">
        <f t="shared" si="7"/>
        <v>8080.6</v>
      </c>
      <c r="I17" s="369">
        <f t="shared" si="7"/>
        <v>3673</v>
      </c>
      <c r="J17" s="369">
        <f t="shared" si="7"/>
        <v>5142.2</v>
      </c>
      <c r="K17" s="369">
        <f t="shared" si="7"/>
        <v>8080.6</v>
      </c>
      <c r="L17" s="369">
        <f t="shared" si="7"/>
        <v>1469.2</v>
      </c>
      <c r="M17" s="369">
        <f t="shared" si="7"/>
        <v>9549.7999999999993</v>
      </c>
      <c r="N17" s="369">
        <f t="shared" si="7"/>
        <v>8815.2000000000007</v>
      </c>
      <c r="O17" s="369">
        <f t="shared" si="7"/>
        <v>8080.6</v>
      </c>
      <c r="P17" s="369">
        <f t="shared" si="7"/>
        <v>10284.4</v>
      </c>
      <c r="Q17" s="369">
        <f t="shared" si="7"/>
        <v>8815.2000000000007</v>
      </c>
      <c r="R17" s="369">
        <f t="shared" si="5"/>
        <v>89621.199999999983</v>
      </c>
      <c r="S17" s="292">
        <f t="shared" si="6"/>
        <v>0</v>
      </c>
      <c r="T17" s="3"/>
    </row>
    <row r="18" spans="1:20" x14ac:dyDescent="0.2">
      <c r="A18" s="16"/>
      <c r="B18" s="29" t="s">
        <v>424</v>
      </c>
      <c r="C18" s="28">
        <f t="shared" ref="C18:C24" si="8">C$2*D18</f>
        <v>4353.875</v>
      </c>
      <c r="D18" s="13">
        <f>[5]Ultrasound!$J$21</f>
        <v>35.6875</v>
      </c>
      <c r="E18" s="7"/>
      <c r="F18" s="375">
        <f t="shared" si="4"/>
        <v>321.1875</v>
      </c>
      <c r="G18" s="375">
        <f t="shared" si="4"/>
        <v>535.3125</v>
      </c>
      <c r="H18" s="375">
        <f t="shared" si="4"/>
        <v>392.5625</v>
      </c>
      <c r="I18" s="375">
        <f t="shared" si="4"/>
        <v>178.4375</v>
      </c>
      <c r="J18" s="375">
        <f t="shared" si="4"/>
        <v>249.8125</v>
      </c>
      <c r="K18" s="375">
        <f t="shared" si="4"/>
        <v>392.5625</v>
      </c>
      <c r="L18" s="375">
        <f t="shared" si="4"/>
        <v>71.375</v>
      </c>
      <c r="M18" s="375">
        <f t="shared" si="4"/>
        <v>463.9375</v>
      </c>
      <c r="N18" s="375">
        <f t="shared" si="4"/>
        <v>428.25</v>
      </c>
      <c r="O18" s="375">
        <f t="shared" si="4"/>
        <v>392.5625</v>
      </c>
      <c r="P18" s="375">
        <f t="shared" si="4"/>
        <v>499.625</v>
      </c>
      <c r="Q18" s="375">
        <f t="shared" si="4"/>
        <v>428.25</v>
      </c>
      <c r="R18" s="109">
        <f t="shared" si="5"/>
        <v>4353.875</v>
      </c>
      <c r="S18" s="3">
        <f t="shared" si="6"/>
        <v>0</v>
      </c>
      <c r="T18" s="3"/>
    </row>
    <row r="19" spans="1:20" x14ac:dyDescent="0.2">
      <c r="A19" s="16"/>
      <c r="B19" s="29" t="s">
        <v>425</v>
      </c>
      <c r="C19" s="28">
        <f t="shared" si="8"/>
        <v>0</v>
      </c>
      <c r="D19" s="13">
        <f>[9]ULTRASOUND!$M$22</f>
        <v>0</v>
      </c>
      <c r="E19" s="7"/>
      <c r="F19" s="375">
        <f t="shared" si="4"/>
        <v>0</v>
      </c>
      <c r="G19" s="375">
        <f t="shared" si="4"/>
        <v>0</v>
      </c>
      <c r="H19" s="375">
        <f t="shared" si="4"/>
        <v>0</v>
      </c>
      <c r="I19" s="375">
        <f t="shared" si="4"/>
        <v>0</v>
      </c>
      <c r="J19" s="375">
        <f t="shared" si="4"/>
        <v>0</v>
      </c>
      <c r="K19" s="375">
        <f t="shared" si="4"/>
        <v>0</v>
      </c>
      <c r="L19" s="375">
        <f t="shared" si="4"/>
        <v>0</v>
      </c>
      <c r="M19" s="375">
        <f t="shared" si="4"/>
        <v>0</v>
      </c>
      <c r="N19" s="375">
        <f t="shared" si="4"/>
        <v>0</v>
      </c>
      <c r="O19" s="375">
        <f t="shared" si="4"/>
        <v>0</v>
      </c>
      <c r="P19" s="375">
        <f t="shared" si="4"/>
        <v>0</v>
      </c>
      <c r="Q19" s="375">
        <f t="shared" si="4"/>
        <v>0</v>
      </c>
      <c r="R19" s="109">
        <f t="shared" si="5"/>
        <v>0</v>
      </c>
      <c r="S19" s="3">
        <f t="shared" si="6"/>
        <v>0</v>
      </c>
      <c r="T19" s="3"/>
    </row>
    <row r="20" spans="1:20" x14ac:dyDescent="0.2">
      <c r="A20" s="16"/>
      <c r="B20" s="29" t="s">
        <v>426</v>
      </c>
      <c r="C20" s="28">
        <f t="shared" si="8"/>
        <v>0</v>
      </c>
      <c r="D20" s="13">
        <v>0</v>
      </c>
      <c r="E20" s="7"/>
      <c r="F20" s="375">
        <f t="shared" si="4"/>
        <v>0</v>
      </c>
      <c r="G20" s="375">
        <f t="shared" si="4"/>
        <v>0</v>
      </c>
      <c r="H20" s="375">
        <f t="shared" si="4"/>
        <v>0</v>
      </c>
      <c r="I20" s="375">
        <f t="shared" si="4"/>
        <v>0</v>
      </c>
      <c r="J20" s="375">
        <f t="shared" si="4"/>
        <v>0</v>
      </c>
      <c r="K20" s="375">
        <f t="shared" si="4"/>
        <v>0</v>
      </c>
      <c r="L20" s="375">
        <f t="shared" si="4"/>
        <v>0</v>
      </c>
      <c r="M20" s="375">
        <f t="shared" si="4"/>
        <v>0</v>
      </c>
      <c r="N20" s="375">
        <f t="shared" si="4"/>
        <v>0</v>
      </c>
      <c r="O20" s="375">
        <f t="shared" si="4"/>
        <v>0</v>
      </c>
      <c r="P20" s="375">
        <f t="shared" si="4"/>
        <v>0</v>
      </c>
      <c r="Q20" s="375">
        <f t="shared" si="4"/>
        <v>0</v>
      </c>
      <c r="R20" s="109">
        <f t="shared" si="5"/>
        <v>0</v>
      </c>
      <c r="S20" s="3">
        <f t="shared" si="6"/>
        <v>0</v>
      </c>
      <c r="T20" s="3"/>
    </row>
    <row r="21" spans="1:20" s="5" customFormat="1" x14ac:dyDescent="0.2">
      <c r="A21" s="87"/>
      <c r="B21" s="29" t="s">
        <v>427</v>
      </c>
      <c r="C21" s="28">
        <f t="shared" si="8"/>
        <v>0</v>
      </c>
      <c r="D21" s="27">
        <v>0</v>
      </c>
      <c r="E21" s="104"/>
      <c r="F21" s="375">
        <f t="shared" si="4"/>
        <v>0</v>
      </c>
      <c r="G21" s="375">
        <f t="shared" si="4"/>
        <v>0</v>
      </c>
      <c r="H21" s="375">
        <f t="shared" si="4"/>
        <v>0</v>
      </c>
      <c r="I21" s="375">
        <f t="shared" si="4"/>
        <v>0</v>
      </c>
      <c r="J21" s="375">
        <f t="shared" si="4"/>
        <v>0</v>
      </c>
      <c r="K21" s="375">
        <f t="shared" si="4"/>
        <v>0</v>
      </c>
      <c r="L21" s="375">
        <f t="shared" si="4"/>
        <v>0</v>
      </c>
      <c r="M21" s="375">
        <f t="shared" si="4"/>
        <v>0</v>
      </c>
      <c r="N21" s="375">
        <f t="shared" si="4"/>
        <v>0</v>
      </c>
      <c r="O21" s="375">
        <f t="shared" si="4"/>
        <v>0</v>
      </c>
      <c r="P21" s="375">
        <f t="shared" si="4"/>
        <v>0</v>
      </c>
      <c r="Q21" s="375">
        <f t="shared" si="4"/>
        <v>0</v>
      </c>
      <c r="R21" s="109">
        <f t="shared" si="5"/>
        <v>0</v>
      </c>
      <c r="S21" s="3">
        <f t="shared" si="6"/>
        <v>0</v>
      </c>
      <c r="T21" s="3"/>
    </row>
    <row r="22" spans="1:20" x14ac:dyDescent="0.2">
      <c r="A22" s="16"/>
      <c r="B22" s="29" t="s">
        <v>428</v>
      </c>
      <c r="C22" s="28">
        <f t="shared" si="8"/>
        <v>0</v>
      </c>
      <c r="D22" s="13">
        <v>0</v>
      </c>
      <c r="E22" s="7"/>
      <c r="F22" s="375">
        <f t="shared" si="4"/>
        <v>0</v>
      </c>
      <c r="G22" s="375">
        <f t="shared" si="4"/>
        <v>0</v>
      </c>
      <c r="H22" s="375">
        <f t="shared" si="4"/>
        <v>0</v>
      </c>
      <c r="I22" s="375">
        <f t="shared" si="4"/>
        <v>0</v>
      </c>
      <c r="J22" s="375">
        <f t="shared" si="4"/>
        <v>0</v>
      </c>
      <c r="K22" s="375">
        <f t="shared" si="4"/>
        <v>0</v>
      </c>
      <c r="L22" s="375">
        <f t="shared" si="4"/>
        <v>0</v>
      </c>
      <c r="M22" s="375">
        <f t="shared" si="4"/>
        <v>0</v>
      </c>
      <c r="N22" s="375">
        <f t="shared" si="4"/>
        <v>0</v>
      </c>
      <c r="O22" s="375">
        <f t="shared" si="4"/>
        <v>0</v>
      </c>
      <c r="P22" s="375">
        <f t="shared" si="4"/>
        <v>0</v>
      </c>
      <c r="Q22" s="375">
        <f t="shared" si="4"/>
        <v>0</v>
      </c>
      <c r="R22" s="109">
        <f t="shared" si="5"/>
        <v>0</v>
      </c>
      <c r="S22" s="3">
        <f t="shared" si="6"/>
        <v>0</v>
      </c>
      <c r="T22" s="3"/>
    </row>
    <row r="23" spans="1:20" x14ac:dyDescent="0.2">
      <c r="A23" s="16"/>
      <c r="B23" s="29" t="s">
        <v>429</v>
      </c>
      <c r="C23" s="28">
        <f t="shared" si="8"/>
        <v>0</v>
      </c>
      <c r="D23" s="13">
        <v>0</v>
      </c>
      <c r="E23" s="7"/>
      <c r="F23" s="375">
        <f t="shared" si="4"/>
        <v>0</v>
      </c>
      <c r="G23" s="375">
        <f t="shared" si="4"/>
        <v>0</v>
      </c>
      <c r="H23" s="375">
        <f t="shared" si="4"/>
        <v>0</v>
      </c>
      <c r="I23" s="375">
        <f t="shared" si="4"/>
        <v>0</v>
      </c>
      <c r="J23" s="375">
        <f t="shared" si="4"/>
        <v>0</v>
      </c>
      <c r="K23" s="375">
        <f t="shared" si="4"/>
        <v>0</v>
      </c>
      <c r="L23" s="375">
        <f t="shared" si="4"/>
        <v>0</v>
      </c>
      <c r="M23" s="375">
        <f t="shared" si="4"/>
        <v>0</v>
      </c>
      <c r="N23" s="375">
        <f t="shared" si="4"/>
        <v>0</v>
      </c>
      <c r="O23" s="375">
        <f t="shared" si="4"/>
        <v>0</v>
      </c>
      <c r="P23" s="375">
        <f t="shared" si="4"/>
        <v>0</v>
      </c>
      <c r="Q23" s="375">
        <f t="shared" si="4"/>
        <v>0</v>
      </c>
      <c r="R23" s="109">
        <f t="shared" si="5"/>
        <v>0</v>
      </c>
      <c r="S23" s="3">
        <f t="shared" si="6"/>
        <v>0</v>
      </c>
      <c r="T23" s="3"/>
    </row>
    <row r="24" spans="1:20" x14ac:dyDescent="0.2">
      <c r="A24" s="16"/>
      <c r="B24" s="29" t="s">
        <v>430</v>
      </c>
      <c r="C24" s="28">
        <f t="shared" si="8"/>
        <v>0</v>
      </c>
      <c r="D24" s="13">
        <f>[9]ULTRASOUND!$M$26</f>
        <v>0</v>
      </c>
      <c r="E24" s="7"/>
      <c r="F24" s="375">
        <f t="shared" si="4"/>
        <v>0</v>
      </c>
      <c r="G24" s="375">
        <f t="shared" si="4"/>
        <v>0</v>
      </c>
      <c r="H24" s="375">
        <f t="shared" si="4"/>
        <v>0</v>
      </c>
      <c r="I24" s="375">
        <f t="shared" si="4"/>
        <v>0</v>
      </c>
      <c r="J24" s="375">
        <f t="shared" si="4"/>
        <v>0</v>
      </c>
      <c r="K24" s="375">
        <f t="shared" si="4"/>
        <v>0</v>
      </c>
      <c r="L24" s="375">
        <f t="shared" si="4"/>
        <v>0</v>
      </c>
      <c r="M24" s="375">
        <f t="shared" si="4"/>
        <v>0</v>
      </c>
      <c r="N24" s="375">
        <f t="shared" si="4"/>
        <v>0</v>
      </c>
      <c r="O24" s="375">
        <f t="shared" si="4"/>
        <v>0</v>
      </c>
      <c r="P24" s="375">
        <f t="shared" si="4"/>
        <v>0</v>
      </c>
      <c r="Q24" s="375">
        <f t="shared" si="4"/>
        <v>0</v>
      </c>
      <c r="R24" s="109">
        <f t="shared" si="5"/>
        <v>0</v>
      </c>
      <c r="S24" s="3">
        <f t="shared" si="6"/>
        <v>0</v>
      </c>
      <c r="T24" s="3"/>
    </row>
    <row r="25" spans="1:20" x14ac:dyDescent="0.2">
      <c r="A25" s="87">
        <v>31111.062000000002</v>
      </c>
      <c r="B25" s="161" t="s">
        <v>504</v>
      </c>
      <c r="C25" s="293">
        <f>SUM(C18:C24)</f>
        <v>4353.875</v>
      </c>
      <c r="D25" s="291"/>
      <c r="E25" s="291"/>
      <c r="F25" s="369">
        <f>SUM(F18:F24)</f>
        <v>321.1875</v>
      </c>
      <c r="G25" s="369">
        <f t="shared" ref="G25:Q25" si="9">SUM(G18:G24)</f>
        <v>535.3125</v>
      </c>
      <c r="H25" s="369">
        <f t="shared" si="9"/>
        <v>392.5625</v>
      </c>
      <c r="I25" s="369">
        <f t="shared" si="9"/>
        <v>178.4375</v>
      </c>
      <c r="J25" s="369">
        <f t="shared" si="9"/>
        <v>249.8125</v>
      </c>
      <c r="K25" s="369">
        <f t="shared" si="9"/>
        <v>392.5625</v>
      </c>
      <c r="L25" s="369">
        <f t="shared" si="9"/>
        <v>71.375</v>
      </c>
      <c r="M25" s="369">
        <f t="shared" si="9"/>
        <v>463.9375</v>
      </c>
      <c r="N25" s="369">
        <f t="shared" si="9"/>
        <v>428.25</v>
      </c>
      <c r="O25" s="369">
        <f t="shared" si="9"/>
        <v>392.5625</v>
      </c>
      <c r="P25" s="369">
        <f t="shared" si="9"/>
        <v>499.625</v>
      </c>
      <c r="Q25" s="369">
        <f t="shared" si="9"/>
        <v>428.25</v>
      </c>
      <c r="R25" s="369">
        <f t="shared" si="5"/>
        <v>4353.875</v>
      </c>
      <c r="S25" s="292">
        <f t="shared" si="6"/>
        <v>0</v>
      </c>
      <c r="T25" s="3"/>
    </row>
    <row r="26" spans="1:20" x14ac:dyDescent="0.2">
      <c r="A26" s="16"/>
      <c r="B26" s="29" t="s">
        <v>358</v>
      </c>
      <c r="C26" s="28">
        <f t="shared" ref="C26:C32" si="10">C$3*D26</f>
        <v>256021.41666666669</v>
      </c>
      <c r="D26" s="13">
        <f>[5]Ultrasound!$J$31</f>
        <v>251.0013888888889</v>
      </c>
      <c r="E26" s="7"/>
      <c r="F26" s="375">
        <f>$D26*F$3</f>
        <v>21084.116666666669</v>
      </c>
      <c r="G26" s="375">
        <f t="shared" ref="G26:Q32" si="11">$D26*G$3</f>
        <v>18825.104166666668</v>
      </c>
      <c r="H26" s="375">
        <f t="shared" si="11"/>
        <v>13805.076388888889</v>
      </c>
      <c r="I26" s="375">
        <f t="shared" si="11"/>
        <v>20331.112499999999</v>
      </c>
      <c r="J26" s="375">
        <f t="shared" si="11"/>
        <v>24598.136111111111</v>
      </c>
      <c r="K26" s="375">
        <f t="shared" si="11"/>
        <v>24849.137500000001</v>
      </c>
      <c r="L26" s="375">
        <f t="shared" si="11"/>
        <v>18072.100000000002</v>
      </c>
      <c r="M26" s="375">
        <f t="shared" si="11"/>
        <v>19327.106944444444</v>
      </c>
      <c r="N26" s="375">
        <f t="shared" si="11"/>
        <v>23845.131944444445</v>
      </c>
      <c r="O26" s="375">
        <f t="shared" si="11"/>
        <v>22590.125</v>
      </c>
      <c r="P26" s="375">
        <f t="shared" si="11"/>
        <v>26857.148611111112</v>
      </c>
      <c r="Q26" s="375">
        <f t="shared" si="11"/>
        <v>21837.120833333334</v>
      </c>
      <c r="R26" s="109">
        <f t="shared" si="5"/>
        <v>256021.41666666663</v>
      </c>
      <c r="S26" s="3">
        <f t="shared" si="6"/>
        <v>0</v>
      </c>
      <c r="T26" s="3"/>
    </row>
    <row r="27" spans="1:20" x14ac:dyDescent="0.2">
      <c r="A27" s="16"/>
      <c r="B27" s="29" t="s">
        <v>359</v>
      </c>
      <c r="C27" s="28">
        <f t="shared" si="10"/>
        <v>7074.833333333333</v>
      </c>
      <c r="D27" s="13">
        <f>[5]Ultrasound!$J$32</f>
        <v>6.9361111111111109</v>
      </c>
      <c r="E27" s="7"/>
      <c r="F27" s="375">
        <f t="shared" ref="F27:F32" si="12">$D27*F$3</f>
        <v>582.63333333333333</v>
      </c>
      <c r="G27" s="375">
        <f t="shared" si="11"/>
        <v>520.20833333333337</v>
      </c>
      <c r="H27" s="375">
        <f t="shared" si="11"/>
        <v>381.48611111111109</v>
      </c>
      <c r="I27" s="375">
        <f t="shared" si="11"/>
        <v>561.82499999999993</v>
      </c>
      <c r="J27" s="375">
        <f t="shared" si="11"/>
        <v>679.73888888888882</v>
      </c>
      <c r="K27" s="375">
        <f t="shared" si="11"/>
        <v>686.67499999999995</v>
      </c>
      <c r="L27" s="375">
        <f t="shared" si="11"/>
        <v>499.4</v>
      </c>
      <c r="M27" s="375">
        <f t="shared" si="11"/>
        <v>534.08055555555552</v>
      </c>
      <c r="N27" s="375">
        <f t="shared" si="11"/>
        <v>658.93055555555554</v>
      </c>
      <c r="O27" s="375">
        <f t="shared" si="11"/>
        <v>624.25</v>
      </c>
      <c r="P27" s="375">
        <f t="shared" si="11"/>
        <v>742.16388888888889</v>
      </c>
      <c r="Q27" s="375">
        <f t="shared" si="11"/>
        <v>603.44166666666661</v>
      </c>
      <c r="R27" s="109">
        <f t="shared" si="5"/>
        <v>7074.8333333333339</v>
      </c>
      <c r="S27" s="3">
        <f t="shared" si="6"/>
        <v>0</v>
      </c>
      <c r="T27" s="3"/>
    </row>
    <row r="28" spans="1:20" x14ac:dyDescent="0.2">
      <c r="A28" s="16"/>
      <c r="B28" s="29" t="s">
        <v>372</v>
      </c>
      <c r="C28" s="28">
        <f t="shared" si="10"/>
        <v>107319.58333333333</v>
      </c>
      <c r="D28" s="13">
        <f>[5]Ultrasound!$J$33</f>
        <v>105.21527777777777</v>
      </c>
      <c r="E28" s="7"/>
      <c r="F28" s="375">
        <f t="shared" si="12"/>
        <v>8838.0833333333321</v>
      </c>
      <c r="G28" s="375">
        <f t="shared" si="11"/>
        <v>7891.145833333333</v>
      </c>
      <c r="H28" s="375">
        <f t="shared" si="11"/>
        <v>5786.8402777777774</v>
      </c>
      <c r="I28" s="375">
        <f t="shared" si="11"/>
        <v>8522.4375</v>
      </c>
      <c r="J28" s="375">
        <f t="shared" si="11"/>
        <v>10311.097222222221</v>
      </c>
      <c r="K28" s="375">
        <f t="shared" si="11"/>
        <v>10416.3125</v>
      </c>
      <c r="L28" s="375">
        <f t="shared" si="11"/>
        <v>7575.5</v>
      </c>
      <c r="M28" s="375">
        <f t="shared" si="11"/>
        <v>8101.5763888888887</v>
      </c>
      <c r="N28" s="375">
        <f t="shared" si="11"/>
        <v>9995.4513888888887</v>
      </c>
      <c r="O28" s="375">
        <f t="shared" si="11"/>
        <v>9469.375</v>
      </c>
      <c r="P28" s="375">
        <f t="shared" si="11"/>
        <v>11258.034722222221</v>
      </c>
      <c r="Q28" s="375">
        <f t="shared" si="11"/>
        <v>9153.7291666666661</v>
      </c>
      <c r="R28" s="109">
        <f t="shared" si="5"/>
        <v>107319.58333333333</v>
      </c>
      <c r="S28" s="3">
        <f t="shared" si="6"/>
        <v>0</v>
      </c>
      <c r="T28" s="3"/>
    </row>
    <row r="29" spans="1:20" x14ac:dyDescent="0.2">
      <c r="A29" s="16"/>
      <c r="B29" s="29" t="s">
        <v>373</v>
      </c>
      <c r="C29" s="28">
        <f t="shared" si="10"/>
        <v>0</v>
      </c>
      <c r="D29" s="13">
        <v>0</v>
      </c>
      <c r="E29" s="7"/>
      <c r="F29" s="375">
        <f t="shared" si="12"/>
        <v>0</v>
      </c>
      <c r="G29" s="375">
        <f t="shared" si="11"/>
        <v>0</v>
      </c>
      <c r="H29" s="375">
        <f t="shared" si="11"/>
        <v>0</v>
      </c>
      <c r="I29" s="375">
        <f t="shared" si="11"/>
        <v>0</v>
      </c>
      <c r="J29" s="375">
        <f t="shared" si="11"/>
        <v>0</v>
      </c>
      <c r="K29" s="375">
        <f t="shared" si="11"/>
        <v>0</v>
      </c>
      <c r="L29" s="375">
        <f t="shared" si="11"/>
        <v>0</v>
      </c>
      <c r="M29" s="375">
        <f t="shared" si="11"/>
        <v>0</v>
      </c>
      <c r="N29" s="375">
        <f t="shared" si="11"/>
        <v>0</v>
      </c>
      <c r="O29" s="375">
        <f t="shared" si="11"/>
        <v>0</v>
      </c>
      <c r="P29" s="375">
        <f t="shared" si="11"/>
        <v>0</v>
      </c>
      <c r="Q29" s="375">
        <f t="shared" si="11"/>
        <v>0</v>
      </c>
      <c r="R29" s="109">
        <f t="shared" si="5"/>
        <v>0</v>
      </c>
      <c r="S29" s="3">
        <f t="shared" si="6"/>
        <v>0</v>
      </c>
      <c r="T29" s="3"/>
    </row>
    <row r="30" spans="1:20" x14ac:dyDescent="0.2">
      <c r="A30" s="16"/>
      <c r="B30" s="29" t="s">
        <v>361</v>
      </c>
      <c r="C30" s="28">
        <f t="shared" si="10"/>
        <v>47363.416666666664</v>
      </c>
      <c r="D30" s="13">
        <f>[5]Ultrasound!$J$35</f>
        <v>46.43472222222222</v>
      </c>
      <c r="E30" s="7"/>
      <c r="F30" s="375">
        <f t="shared" si="12"/>
        <v>3900.5166666666664</v>
      </c>
      <c r="G30" s="375">
        <f t="shared" si="11"/>
        <v>3482.6041666666665</v>
      </c>
      <c r="H30" s="375">
        <f t="shared" si="11"/>
        <v>2553.9097222222222</v>
      </c>
      <c r="I30" s="375">
        <f t="shared" si="11"/>
        <v>3761.2124999999996</v>
      </c>
      <c r="J30" s="375">
        <f t="shared" si="11"/>
        <v>4550.6027777777772</v>
      </c>
      <c r="K30" s="375">
        <f t="shared" si="11"/>
        <v>4597.0374999999995</v>
      </c>
      <c r="L30" s="375">
        <f t="shared" si="11"/>
        <v>3343.2999999999997</v>
      </c>
      <c r="M30" s="375">
        <f t="shared" si="11"/>
        <v>3575.473611111111</v>
      </c>
      <c r="N30" s="375">
        <f t="shared" si="11"/>
        <v>4411.2986111111113</v>
      </c>
      <c r="O30" s="375">
        <f t="shared" si="11"/>
        <v>4179.125</v>
      </c>
      <c r="P30" s="375">
        <f t="shared" si="11"/>
        <v>4968.5152777777776</v>
      </c>
      <c r="Q30" s="375">
        <f t="shared" si="11"/>
        <v>4039.8208333333332</v>
      </c>
      <c r="R30" s="109">
        <f t="shared" si="5"/>
        <v>47363.416666666664</v>
      </c>
      <c r="S30" s="3">
        <f t="shared" si="6"/>
        <v>0</v>
      </c>
      <c r="T30" s="3"/>
    </row>
    <row r="31" spans="1:20" x14ac:dyDescent="0.2">
      <c r="A31" s="16"/>
      <c r="B31" s="29" t="s">
        <v>360</v>
      </c>
      <c r="C31" s="28">
        <f t="shared" si="10"/>
        <v>139235.66666666666</v>
      </c>
      <c r="D31" s="13">
        <f>[5]Ultrasound!$J$36</f>
        <v>136.50555555555556</v>
      </c>
      <c r="E31" s="7"/>
      <c r="F31" s="375">
        <f t="shared" si="12"/>
        <v>11466.466666666667</v>
      </c>
      <c r="G31" s="375">
        <f t="shared" si="11"/>
        <v>10237.916666666668</v>
      </c>
      <c r="H31" s="375">
        <f t="shared" si="11"/>
        <v>7507.8055555555557</v>
      </c>
      <c r="I31" s="375">
        <f t="shared" si="11"/>
        <v>11056.95</v>
      </c>
      <c r="J31" s="375">
        <f t="shared" si="11"/>
        <v>13377.544444444446</v>
      </c>
      <c r="K31" s="375">
        <f t="shared" si="11"/>
        <v>13514.050000000001</v>
      </c>
      <c r="L31" s="375">
        <f t="shared" si="11"/>
        <v>9828.4</v>
      </c>
      <c r="M31" s="375">
        <f t="shared" si="11"/>
        <v>10510.927777777779</v>
      </c>
      <c r="N31" s="375">
        <f t="shared" si="11"/>
        <v>12968.027777777777</v>
      </c>
      <c r="O31" s="375">
        <f t="shared" si="11"/>
        <v>12285.5</v>
      </c>
      <c r="P31" s="375">
        <f t="shared" si="11"/>
        <v>14606.094444444445</v>
      </c>
      <c r="Q31" s="375">
        <f t="shared" si="11"/>
        <v>11875.983333333334</v>
      </c>
      <c r="R31" s="109">
        <f t="shared" si="5"/>
        <v>139235.66666666666</v>
      </c>
      <c r="S31" s="3">
        <f t="shared" si="6"/>
        <v>0</v>
      </c>
      <c r="T31" s="3"/>
    </row>
    <row r="32" spans="1:20" x14ac:dyDescent="0.2">
      <c r="A32" s="16"/>
      <c r="B32" s="29" t="s">
        <v>362</v>
      </c>
      <c r="C32" s="28">
        <f t="shared" si="10"/>
        <v>23006.666666666668</v>
      </c>
      <c r="D32" s="13">
        <f>[5]Ultrasound!$J$37</f>
        <v>22.555555555555557</v>
      </c>
      <c r="E32" s="7"/>
      <c r="F32" s="375">
        <f t="shared" si="12"/>
        <v>1894.6666666666667</v>
      </c>
      <c r="G32" s="375">
        <f t="shared" si="11"/>
        <v>1691.6666666666667</v>
      </c>
      <c r="H32" s="375">
        <f t="shared" si="11"/>
        <v>1240.5555555555557</v>
      </c>
      <c r="I32" s="375">
        <f t="shared" si="11"/>
        <v>1827.0000000000002</v>
      </c>
      <c r="J32" s="375">
        <f t="shared" si="11"/>
        <v>2210.4444444444448</v>
      </c>
      <c r="K32" s="375">
        <f t="shared" si="11"/>
        <v>2233</v>
      </c>
      <c r="L32" s="375">
        <f t="shared" si="11"/>
        <v>1624</v>
      </c>
      <c r="M32" s="375">
        <f t="shared" si="11"/>
        <v>1736.7777777777778</v>
      </c>
      <c r="N32" s="375">
        <f t="shared" si="11"/>
        <v>2142.7777777777778</v>
      </c>
      <c r="O32" s="375">
        <f t="shared" si="11"/>
        <v>2030.0000000000002</v>
      </c>
      <c r="P32" s="375">
        <f t="shared" si="11"/>
        <v>2413.4444444444448</v>
      </c>
      <c r="Q32" s="375">
        <f t="shared" si="11"/>
        <v>1962.3333333333335</v>
      </c>
      <c r="R32" s="109">
        <f t="shared" si="5"/>
        <v>23006.666666666668</v>
      </c>
      <c r="S32" s="3">
        <f t="shared" si="6"/>
        <v>0</v>
      </c>
      <c r="T32" s="3"/>
    </row>
    <row r="33" spans="1:20" x14ac:dyDescent="0.2">
      <c r="A33" s="90">
        <v>31200.062000000002</v>
      </c>
      <c r="B33" s="161" t="s">
        <v>505</v>
      </c>
      <c r="C33" s="293">
        <f>SUM(C26:C32)</f>
        <v>580021.58333333326</v>
      </c>
      <c r="D33" s="291"/>
      <c r="E33" s="291"/>
      <c r="F33" s="369">
        <f>SUM(F26:F32)</f>
        <v>47766.483333333337</v>
      </c>
      <c r="G33" s="369">
        <f t="shared" ref="G33:Q33" si="13">SUM(G26:G32)</f>
        <v>42648.645833333336</v>
      </c>
      <c r="H33" s="369">
        <f t="shared" si="13"/>
        <v>31275.673611111109</v>
      </c>
      <c r="I33" s="369">
        <f t="shared" si="13"/>
        <v>46060.537500000006</v>
      </c>
      <c r="J33" s="369">
        <f t="shared" si="13"/>
        <v>55727.563888888886</v>
      </c>
      <c r="K33" s="369">
        <f t="shared" si="13"/>
        <v>56296.212500000001</v>
      </c>
      <c r="L33" s="369">
        <f t="shared" si="13"/>
        <v>40942.700000000004</v>
      </c>
      <c r="M33" s="369">
        <f t="shared" si="13"/>
        <v>43785.943055555559</v>
      </c>
      <c r="N33" s="369">
        <f t="shared" si="13"/>
        <v>54021.618055555562</v>
      </c>
      <c r="O33" s="369">
        <f t="shared" si="13"/>
        <v>51178.375</v>
      </c>
      <c r="P33" s="369">
        <f t="shared" si="13"/>
        <v>60845.401388888888</v>
      </c>
      <c r="Q33" s="369">
        <f t="shared" si="13"/>
        <v>49472.429166666661</v>
      </c>
      <c r="R33" s="369">
        <f t="shared" si="5"/>
        <v>580021.58333333349</v>
      </c>
      <c r="S33" s="292">
        <f t="shared" si="6"/>
        <v>0</v>
      </c>
      <c r="T33" s="3"/>
    </row>
    <row r="34" spans="1:20" s="5" customFormat="1" x14ac:dyDescent="0.2">
      <c r="A34" s="11"/>
      <c r="B34" s="77" t="s">
        <v>0</v>
      </c>
      <c r="C34" s="293">
        <f>C17+C25+C33</f>
        <v>673996.65833333321</v>
      </c>
      <c r="D34" s="292">
        <f>(C34/C$4)</f>
        <v>590.18971833041439</v>
      </c>
      <c r="E34" s="292"/>
      <c r="F34" s="369">
        <f>F17+F25+F33</f>
        <v>54699.070833333339</v>
      </c>
      <c r="G34" s="369">
        <f t="shared" ref="G34:Q34" si="14">G17+G25+G33</f>
        <v>54202.958333333336</v>
      </c>
      <c r="H34" s="369">
        <f t="shared" si="14"/>
        <v>39748.836111111108</v>
      </c>
      <c r="I34" s="369">
        <f t="shared" si="14"/>
        <v>49911.975000000006</v>
      </c>
      <c r="J34" s="369">
        <f t="shared" si="14"/>
        <v>61119.576388888883</v>
      </c>
      <c r="K34" s="369">
        <f t="shared" si="14"/>
        <v>64769.375</v>
      </c>
      <c r="L34" s="369">
        <f t="shared" si="14"/>
        <v>42483.275000000001</v>
      </c>
      <c r="M34" s="369">
        <f t="shared" si="14"/>
        <v>53799.680555555562</v>
      </c>
      <c r="N34" s="369">
        <f t="shared" si="14"/>
        <v>63265.068055555559</v>
      </c>
      <c r="O34" s="369">
        <f t="shared" si="14"/>
        <v>59651.537499999999</v>
      </c>
      <c r="P34" s="369">
        <f t="shared" si="14"/>
        <v>71629.426388888882</v>
      </c>
      <c r="Q34" s="369">
        <f t="shared" si="14"/>
        <v>58715.879166666666</v>
      </c>
      <c r="R34" s="369">
        <f t="shared" si="5"/>
        <v>673996.65833333333</v>
      </c>
      <c r="S34" s="292">
        <f t="shared" si="6"/>
        <v>0</v>
      </c>
      <c r="T34" s="3"/>
    </row>
    <row r="35" spans="1:20" x14ac:dyDescent="0.2">
      <c r="A35" s="21"/>
      <c r="C35" s="78"/>
      <c r="F35" s="414"/>
      <c r="G35" s="414"/>
      <c r="H35" s="414"/>
      <c r="I35" s="414"/>
      <c r="J35" s="160"/>
      <c r="K35" s="160"/>
      <c r="L35" s="160"/>
      <c r="M35" s="160"/>
      <c r="N35" s="160"/>
      <c r="O35" s="160"/>
      <c r="P35" s="160"/>
      <c r="Q35" s="160"/>
      <c r="R35" s="160"/>
    </row>
    <row r="36" spans="1:20" x14ac:dyDescent="0.2">
      <c r="A36" s="715" t="s">
        <v>25</v>
      </c>
      <c r="B36" s="715"/>
      <c r="C36" s="715"/>
      <c r="D36" s="715"/>
      <c r="E36" s="194"/>
      <c r="F36" s="414"/>
      <c r="G36" s="414"/>
      <c r="H36" s="414"/>
      <c r="I36" s="414"/>
      <c r="J36" s="160"/>
      <c r="K36" s="160"/>
      <c r="L36" s="160"/>
      <c r="M36" s="160"/>
      <c r="N36" s="160"/>
      <c r="O36" s="160"/>
      <c r="P36" s="160"/>
      <c r="Q36" s="160"/>
      <c r="R36" s="160"/>
    </row>
    <row r="37" spans="1:20" s="151" customFormat="1" x14ac:dyDescent="0.2">
      <c r="A37" s="21"/>
      <c r="B37" s="77" t="s">
        <v>502</v>
      </c>
      <c r="C37" s="78"/>
      <c r="D37" s="168" t="s">
        <v>506</v>
      </c>
      <c r="E37" s="140"/>
      <c r="F37" s="248"/>
      <c r="G37" s="248"/>
      <c r="H37" s="248"/>
      <c r="I37" s="248"/>
      <c r="J37" s="277"/>
      <c r="K37" s="277"/>
      <c r="L37" s="277"/>
      <c r="M37" s="277"/>
      <c r="N37" s="277"/>
      <c r="O37" s="277"/>
      <c r="P37" s="277"/>
      <c r="Q37" s="277"/>
      <c r="R37" s="277"/>
      <c r="S37" s="164"/>
      <c r="T37" s="164"/>
    </row>
    <row r="38" spans="1:20" s="92" customFormat="1" x14ac:dyDescent="0.2">
      <c r="A38" s="87">
        <v>41101.061999999998</v>
      </c>
      <c r="B38" s="15" t="s">
        <v>22</v>
      </c>
      <c r="C38" s="428">
        <f>[6]Ultrasound!$J$15</f>
        <v>52318.8</v>
      </c>
      <c r="D38" s="434">
        <f>$C38/C$6</f>
        <v>25.153269230769233</v>
      </c>
      <c r="E38" s="120"/>
      <c r="F38" s="373">
        <f>$D38*F$6</f>
        <v>4443.5145205479448</v>
      </c>
      <c r="G38" s="373">
        <f t="shared" ref="G38:Q38" si="15">$D38*G$6</f>
        <v>4300.1753424657536</v>
      </c>
      <c r="H38" s="373">
        <f t="shared" si="15"/>
        <v>4443.5145205479448</v>
      </c>
      <c r="I38" s="373">
        <f t="shared" si="15"/>
        <v>4443.5145205479448</v>
      </c>
      <c r="J38" s="373">
        <f t="shared" si="15"/>
        <v>4013.4969863013698</v>
      </c>
      <c r="K38" s="373">
        <f t="shared" si="15"/>
        <v>4443.5145205479448</v>
      </c>
      <c r="L38" s="373">
        <f t="shared" si="15"/>
        <v>4300.1753424657536</v>
      </c>
      <c r="M38" s="373">
        <f t="shared" si="15"/>
        <v>4443.5145205479448</v>
      </c>
      <c r="N38" s="373">
        <f t="shared" si="15"/>
        <v>4300.1753424657536</v>
      </c>
      <c r="O38" s="373">
        <f t="shared" si="15"/>
        <v>4443.5145205479448</v>
      </c>
      <c r="P38" s="373">
        <f t="shared" si="15"/>
        <v>4443.5145205479448</v>
      </c>
      <c r="Q38" s="373">
        <f t="shared" si="15"/>
        <v>4300.1753424657536</v>
      </c>
      <c r="R38" s="109">
        <f t="shared" ref="R38:R47" si="16">SUM(F38:Q38)</f>
        <v>52318.799999999988</v>
      </c>
      <c r="S38" s="3">
        <f>C38-R38</f>
        <v>0</v>
      </c>
      <c r="T38" s="3"/>
    </row>
    <row r="39" spans="1:20" s="92" customFormat="1" x14ac:dyDescent="0.2">
      <c r="A39" s="87">
        <v>41110.061999999998</v>
      </c>
      <c r="B39" s="15" t="s">
        <v>21</v>
      </c>
      <c r="C39" s="428">
        <f>[6]Ultrasound!$J$16</f>
        <v>5813.2000000000007</v>
      </c>
      <c r="D39" s="434">
        <f t="shared" ref="D39:D41" si="17">$C39/C$6</f>
        <v>2.7948076923076925</v>
      </c>
      <c r="E39" s="120"/>
      <c r="F39" s="373">
        <f t="shared" ref="F39:Q41" si="18">$D39*F$6</f>
        <v>493.72383561643835</v>
      </c>
      <c r="G39" s="373">
        <f t="shared" si="18"/>
        <v>477.79726027397265</v>
      </c>
      <c r="H39" s="373">
        <f t="shared" si="18"/>
        <v>493.72383561643835</v>
      </c>
      <c r="I39" s="373">
        <f t="shared" si="18"/>
        <v>493.72383561643835</v>
      </c>
      <c r="J39" s="373">
        <f t="shared" si="18"/>
        <v>445.94410958904109</v>
      </c>
      <c r="K39" s="373">
        <f t="shared" si="18"/>
        <v>493.72383561643835</v>
      </c>
      <c r="L39" s="373">
        <f t="shared" si="18"/>
        <v>477.79726027397265</v>
      </c>
      <c r="M39" s="373">
        <f t="shared" si="18"/>
        <v>493.72383561643835</v>
      </c>
      <c r="N39" s="373">
        <f t="shared" si="18"/>
        <v>477.79726027397265</v>
      </c>
      <c r="O39" s="373">
        <f t="shared" si="18"/>
        <v>493.72383561643835</v>
      </c>
      <c r="P39" s="373">
        <f t="shared" si="18"/>
        <v>493.72383561643835</v>
      </c>
      <c r="Q39" s="373">
        <f t="shared" si="18"/>
        <v>477.79726027397265</v>
      </c>
      <c r="R39" s="109">
        <f t="shared" si="16"/>
        <v>5813.2</v>
      </c>
      <c r="S39" s="3">
        <f t="shared" ref="S39:S46" si="19">C39-R39</f>
        <v>0</v>
      </c>
      <c r="T39" s="3"/>
    </row>
    <row r="40" spans="1:20" s="92" customFormat="1" x14ac:dyDescent="0.2">
      <c r="A40" s="87">
        <v>41115.061999999998</v>
      </c>
      <c r="B40" s="15" t="s">
        <v>20</v>
      </c>
      <c r="C40" s="428">
        <f>[6]Ultrasound!$J$17</f>
        <v>150</v>
      </c>
      <c r="D40" s="434">
        <f t="shared" si="17"/>
        <v>7.2115384615384609E-2</v>
      </c>
      <c r="E40" s="120"/>
      <c r="F40" s="373">
        <f t="shared" si="18"/>
        <v>12.739726027397257</v>
      </c>
      <c r="G40" s="373">
        <f t="shared" si="18"/>
        <v>12.328767123287671</v>
      </c>
      <c r="H40" s="373">
        <f t="shared" si="18"/>
        <v>12.739726027397257</v>
      </c>
      <c r="I40" s="373">
        <f t="shared" si="18"/>
        <v>12.739726027397257</v>
      </c>
      <c r="J40" s="373">
        <f t="shared" si="18"/>
        <v>11.506849315068491</v>
      </c>
      <c r="K40" s="373">
        <f t="shared" si="18"/>
        <v>12.739726027397257</v>
      </c>
      <c r="L40" s="373">
        <f t="shared" si="18"/>
        <v>12.328767123287671</v>
      </c>
      <c r="M40" s="373">
        <f t="shared" si="18"/>
        <v>12.739726027397257</v>
      </c>
      <c r="N40" s="373">
        <f t="shared" si="18"/>
        <v>12.328767123287671</v>
      </c>
      <c r="O40" s="373">
        <f t="shared" si="18"/>
        <v>12.739726027397257</v>
      </c>
      <c r="P40" s="373">
        <f t="shared" si="18"/>
        <v>12.739726027397257</v>
      </c>
      <c r="Q40" s="373">
        <f t="shared" si="18"/>
        <v>12.328767123287671</v>
      </c>
      <c r="R40" s="109">
        <f t="shared" ref="R40" si="20">SUM(F40:Q40)</f>
        <v>149.99999999999997</v>
      </c>
      <c r="S40" s="3">
        <f t="shared" ref="S40" si="21">C40-R40</f>
        <v>0</v>
      </c>
      <c r="T40" s="3"/>
    </row>
    <row r="41" spans="1:20" s="92" customFormat="1" x14ac:dyDescent="0.2">
      <c r="A41" s="87">
        <v>41150.061999999998</v>
      </c>
      <c r="B41" s="15" t="s">
        <v>19</v>
      </c>
      <c r="C41" s="428">
        <f>[6]Ultrasound!$J$18</f>
        <v>4458.5730000000003</v>
      </c>
      <c r="D41" s="434">
        <f t="shared" si="17"/>
        <v>2.1435447115384618</v>
      </c>
      <c r="E41" s="120"/>
      <c r="F41" s="373">
        <f t="shared" si="18"/>
        <v>378.67332328767122</v>
      </c>
      <c r="G41" s="373">
        <f t="shared" si="18"/>
        <v>366.45805479452059</v>
      </c>
      <c r="H41" s="373">
        <f t="shared" si="18"/>
        <v>378.67332328767122</v>
      </c>
      <c r="I41" s="373">
        <f t="shared" si="18"/>
        <v>378.67332328767122</v>
      </c>
      <c r="J41" s="373">
        <f t="shared" si="18"/>
        <v>342.02751780821922</v>
      </c>
      <c r="K41" s="373">
        <f t="shared" si="18"/>
        <v>378.67332328767122</v>
      </c>
      <c r="L41" s="373">
        <f t="shared" si="18"/>
        <v>366.45805479452059</v>
      </c>
      <c r="M41" s="373">
        <f t="shared" si="18"/>
        <v>378.67332328767122</v>
      </c>
      <c r="N41" s="373">
        <f t="shared" si="18"/>
        <v>366.45805479452059</v>
      </c>
      <c r="O41" s="373">
        <f t="shared" si="18"/>
        <v>378.67332328767122</v>
      </c>
      <c r="P41" s="373">
        <f t="shared" si="18"/>
        <v>378.67332328767122</v>
      </c>
      <c r="Q41" s="373">
        <f t="shared" si="18"/>
        <v>366.45805479452059</v>
      </c>
      <c r="R41" s="109">
        <f t="shared" si="16"/>
        <v>4458.5730000000003</v>
      </c>
      <c r="S41" s="3">
        <f t="shared" si="19"/>
        <v>0</v>
      </c>
      <c r="T41" s="3"/>
    </row>
    <row r="42" spans="1:20" s="92" customFormat="1" x14ac:dyDescent="0.2">
      <c r="A42" s="87">
        <v>41214.061999999998</v>
      </c>
      <c r="B42" s="15" t="s">
        <v>493</v>
      </c>
      <c r="C42" s="14"/>
      <c r="D42" s="330">
        <f t="shared" ref="D42:D46" si="22">$C42/C$4</f>
        <v>0</v>
      </c>
      <c r="E42" s="120"/>
      <c r="F42" s="373">
        <f t="shared" ref="F42:F46" si="23">$D42*F$4</f>
        <v>0</v>
      </c>
      <c r="G42" s="373">
        <f t="shared" ref="G42:Q46" si="24">$D42*G$4</f>
        <v>0</v>
      </c>
      <c r="H42" s="373">
        <f t="shared" si="24"/>
        <v>0</v>
      </c>
      <c r="I42" s="373">
        <f t="shared" si="24"/>
        <v>0</v>
      </c>
      <c r="J42" s="373">
        <f t="shared" si="24"/>
        <v>0</v>
      </c>
      <c r="K42" s="373">
        <f t="shared" si="24"/>
        <v>0</v>
      </c>
      <c r="L42" s="373">
        <f t="shared" si="24"/>
        <v>0</v>
      </c>
      <c r="M42" s="373">
        <f t="shared" si="24"/>
        <v>0</v>
      </c>
      <c r="N42" s="373">
        <f t="shared" si="24"/>
        <v>0</v>
      </c>
      <c r="O42" s="373">
        <f t="shared" si="24"/>
        <v>0</v>
      </c>
      <c r="P42" s="373">
        <f t="shared" si="24"/>
        <v>0</v>
      </c>
      <c r="Q42" s="373">
        <f t="shared" si="24"/>
        <v>0</v>
      </c>
      <c r="R42" s="109">
        <f t="shared" si="16"/>
        <v>0</v>
      </c>
      <c r="S42" s="3">
        <f t="shared" si="19"/>
        <v>0</v>
      </c>
      <c r="T42" s="3"/>
    </row>
    <row r="43" spans="1:20" s="92" customFormat="1" x14ac:dyDescent="0.2">
      <c r="A43" s="87">
        <v>41237.061999999998</v>
      </c>
      <c r="B43" s="15" t="s">
        <v>17</v>
      </c>
      <c r="C43" s="14">
        <f>[6]Ultrasound!$J$19</f>
        <v>176</v>
      </c>
      <c r="D43" s="330">
        <f t="shared" si="22"/>
        <v>0.15411558669001751</v>
      </c>
      <c r="E43" s="120"/>
      <c r="F43" s="373">
        <f t="shared" si="23"/>
        <v>14.332749562171628</v>
      </c>
      <c r="G43" s="373">
        <f t="shared" si="24"/>
        <v>13.870402802101577</v>
      </c>
      <c r="H43" s="373">
        <f t="shared" si="24"/>
        <v>10.171628721541156</v>
      </c>
      <c r="I43" s="373">
        <f t="shared" si="24"/>
        <v>13.253940455341507</v>
      </c>
      <c r="J43" s="373">
        <f t="shared" si="24"/>
        <v>16.182136602451838</v>
      </c>
      <c r="K43" s="373">
        <f t="shared" si="24"/>
        <v>16.952714535901926</v>
      </c>
      <c r="L43" s="373">
        <f t="shared" si="24"/>
        <v>11.404553415061295</v>
      </c>
      <c r="M43" s="373">
        <f t="shared" si="24"/>
        <v>13.870402802101577</v>
      </c>
      <c r="N43" s="373">
        <f t="shared" si="24"/>
        <v>16.490367775831874</v>
      </c>
      <c r="O43" s="373">
        <f t="shared" si="24"/>
        <v>15.56567425569177</v>
      </c>
      <c r="P43" s="373">
        <f t="shared" si="24"/>
        <v>18.64798598949212</v>
      </c>
      <c r="Q43" s="373">
        <f>$D43*Q$4</f>
        <v>15.257443082311735</v>
      </c>
      <c r="R43" s="109">
        <f t="shared" si="16"/>
        <v>176</v>
      </c>
      <c r="S43" s="3">
        <f t="shared" si="19"/>
        <v>0</v>
      </c>
      <c r="T43" s="3"/>
    </row>
    <row r="44" spans="1:20" s="92" customFormat="1" x14ac:dyDescent="0.2">
      <c r="A44" s="87">
        <v>41250.061999999998</v>
      </c>
      <c r="B44" s="15" t="s">
        <v>15</v>
      </c>
      <c r="C44" s="14"/>
      <c r="D44" s="330">
        <f t="shared" si="22"/>
        <v>0</v>
      </c>
      <c r="E44" s="120"/>
      <c r="F44" s="373">
        <f t="shared" si="23"/>
        <v>0</v>
      </c>
      <c r="G44" s="373">
        <f t="shared" si="24"/>
        <v>0</v>
      </c>
      <c r="H44" s="373">
        <f t="shared" si="24"/>
        <v>0</v>
      </c>
      <c r="I44" s="373">
        <f t="shared" si="24"/>
        <v>0</v>
      </c>
      <c r="J44" s="373">
        <f t="shared" si="24"/>
        <v>0</v>
      </c>
      <c r="K44" s="373">
        <f t="shared" si="24"/>
        <v>0</v>
      </c>
      <c r="L44" s="373">
        <f t="shared" si="24"/>
        <v>0</v>
      </c>
      <c r="M44" s="373">
        <f t="shared" si="24"/>
        <v>0</v>
      </c>
      <c r="N44" s="373">
        <f t="shared" si="24"/>
        <v>0</v>
      </c>
      <c r="O44" s="373">
        <f t="shared" si="24"/>
        <v>0</v>
      </c>
      <c r="P44" s="373">
        <f t="shared" si="24"/>
        <v>0</v>
      </c>
      <c r="Q44" s="373">
        <f t="shared" si="24"/>
        <v>0</v>
      </c>
      <c r="R44" s="109">
        <f t="shared" si="16"/>
        <v>0</v>
      </c>
      <c r="S44" s="3">
        <f t="shared" si="19"/>
        <v>0</v>
      </c>
      <c r="T44" s="3"/>
    </row>
    <row r="45" spans="1:20" s="92" customFormat="1" x14ac:dyDescent="0.2">
      <c r="A45" s="87">
        <v>41570.061999999998</v>
      </c>
      <c r="B45" s="15" t="s">
        <v>2</v>
      </c>
      <c r="C45" s="14"/>
      <c r="D45" s="330">
        <f t="shared" si="22"/>
        <v>0</v>
      </c>
      <c r="E45" s="120"/>
      <c r="F45" s="373">
        <f t="shared" si="23"/>
        <v>0</v>
      </c>
      <c r="G45" s="373">
        <f t="shared" si="24"/>
        <v>0</v>
      </c>
      <c r="H45" s="373">
        <f t="shared" si="24"/>
        <v>0</v>
      </c>
      <c r="I45" s="373">
        <f t="shared" si="24"/>
        <v>0</v>
      </c>
      <c r="J45" s="373">
        <f t="shared" si="24"/>
        <v>0</v>
      </c>
      <c r="K45" s="373">
        <f t="shared" si="24"/>
        <v>0</v>
      </c>
      <c r="L45" s="373">
        <f t="shared" si="24"/>
        <v>0</v>
      </c>
      <c r="M45" s="373">
        <f t="shared" si="24"/>
        <v>0</v>
      </c>
      <c r="N45" s="373">
        <f t="shared" si="24"/>
        <v>0</v>
      </c>
      <c r="O45" s="373">
        <f t="shared" si="24"/>
        <v>0</v>
      </c>
      <c r="P45" s="373">
        <f t="shared" si="24"/>
        <v>0</v>
      </c>
      <c r="Q45" s="373">
        <f t="shared" si="24"/>
        <v>0</v>
      </c>
      <c r="R45" s="109">
        <f t="shared" si="16"/>
        <v>0</v>
      </c>
      <c r="S45" s="3">
        <f t="shared" si="19"/>
        <v>0</v>
      </c>
      <c r="T45" s="3"/>
    </row>
    <row r="46" spans="1:20" s="92" customFormat="1" x14ac:dyDescent="0.2">
      <c r="A46" s="87">
        <v>41571.061999999998</v>
      </c>
      <c r="B46" s="15" t="s">
        <v>1</v>
      </c>
      <c r="C46" s="14">
        <f>[6]Ultrasound!$J$20</f>
        <v>8725</v>
      </c>
      <c r="D46" s="330">
        <f t="shared" si="22"/>
        <v>7.6401050788091069</v>
      </c>
      <c r="E46" s="120"/>
      <c r="F46" s="373">
        <f t="shared" si="23"/>
        <v>710.52977232924695</v>
      </c>
      <c r="G46" s="373">
        <f t="shared" si="24"/>
        <v>687.60945709281964</v>
      </c>
      <c r="H46" s="373">
        <f t="shared" si="24"/>
        <v>504.24693520140107</v>
      </c>
      <c r="I46" s="373">
        <f t="shared" si="24"/>
        <v>657.04903677758318</v>
      </c>
      <c r="J46" s="373">
        <f t="shared" si="24"/>
        <v>802.21103327495621</v>
      </c>
      <c r="K46" s="373">
        <f t="shared" si="24"/>
        <v>840.41155866900181</v>
      </c>
      <c r="L46" s="373">
        <f t="shared" si="24"/>
        <v>565.36777583187393</v>
      </c>
      <c r="M46" s="373">
        <f t="shared" si="24"/>
        <v>687.60945709281964</v>
      </c>
      <c r="N46" s="373">
        <f t="shared" si="24"/>
        <v>817.49124343257449</v>
      </c>
      <c r="O46" s="373">
        <f t="shared" si="24"/>
        <v>771.65061295971975</v>
      </c>
      <c r="P46" s="373">
        <f t="shared" si="24"/>
        <v>924.45271453590192</v>
      </c>
      <c r="Q46" s="373">
        <f>$D46*Q$4</f>
        <v>756.37040280210158</v>
      </c>
      <c r="R46" s="109">
        <f t="shared" si="16"/>
        <v>8725</v>
      </c>
      <c r="S46" s="3">
        <f t="shared" si="19"/>
        <v>0</v>
      </c>
      <c r="T46" s="3"/>
    </row>
    <row r="47" spans="1:20" s="159" customFormat="1" x14ac:dyDescent="0.2">
      <c r="A47" s="11"/>
      <c r="B47" s="77" t="s">
        <v>0</v>
      </c>
      <c r="C47" s="128">
        <f>SUM(C38:C46)</f>
        <v>71641.573000000004</v>
      </c>
      <c r="D47" s="128">
        <f>C47/C$4</f>
        <v>62.733426444833626</v>
      </c>
      <c r="E47" s="128"/>
      <c r="F47" s="374">
        <f t="shared" ref="F47:Q47" si="25">SUM(F38:F46)</f>
        <v>6053.5139273708701</v>
      </c>
      <c r="G47" s="374">
        <f t="shared" si="25"/>
        <v>5858.2392845524555</v>
      </c>
      <c r="H47" s="374">
        <f t="shared" si="25"/>
        <v>5843.0699694023942</v>
      </c>
      <c r="I47" s="374">
        <f t="shared" si="25"/>
        <v>5998.9543827123762</v>
      </c>
      <c r="J47" s="374">
        <f t="shared" si="25"/>
        <v>5631.3686328911062</v>
      </c>
      <c r="K47" s="374">
        <f t="shared" si="25"/>
        <v>6186.0156786843545</v>
      </c>
      <c r="L47" s="374">
        <f t="shared" si="25"/>
        <v>5733.531753904469</v>
      </c>
      <c r="M47" s="374">
        <f t="shared" si="25"/>
        <v>6030.1312653743726</v>
      </c>
      <c r="N47" s="374">
        <f t="shared" si="25"/>
        <v>5990.7410358659408</v>
      </c>
      <c r="O47" s="374">
        <f t="shared" si="25"/>
        <v>6115.8676926948638</v>
      </c>
      <c r="P47" s="374">
        <f t="shared" si="25"/>
        <v>6271.7521060048457</v>
      </c>
      <c r="Q47" s="374">
        <f t="shared" si="25"/>
        <v>5928.3872705419471</v>
      </c>
      <c r="R47" s="109">
        <f t="shared" si="16"/>
        <v>71641.573000000004</v>
      </c>
      <c r="S47" s="3">
        <f>C47-R47</f>
        <v>0</v>
      </c>
      <c r="T47" s="3"/>
    </row>
    <row r="48" spans="1:20" x14ac:dyDescent="0.2">
      <c r="C48" s="7">
        <f>C47-C34</f>
        <v>-602355.08533333323</v>
      </c>
    </row>
    <row r="49" spans="1:20" x14ac:dyDescent="0.2">
      <c r="A49" s="4"/>
      <c r="C49" s="7"/>
      <c r="F49" s="7"/>
      <c r="G49" s="7"/>
      <c r="H49" s="7"/>
      <c r="I49" s="7"/>
      <c r="J49" s="7"/>
      <c r="K49" s="7"/>
      <c r="L49" s="7"/>
      <c r="M49" s="7"/>
      <c r="N49" s="7"/>
      <c r="O49" s="7"/>
      <c r="P49" s="7"/>
      <c r="Q49" s="7"/>
      <c r="R49" s="7"/>
      <c r="T49" s="4"/>
    </row>
    <row r="50" spans="1:20" x14ac:dyDescent="0.2">
      <c r="A50" s="4"/>
      <c r="C50" s="7"/>
      <c r="F50" s="7"/>
      <c r="G50" s="7"/>
      <c r="H50" s="7"/>
      <c r="I50" s="7"/>
      <c r="J50" s="7"/>
      <c r="K50" s="7"/>
      <c r="L50" s="7"/>
      <c r="M50" s="7"/>
      <c r="N50" s="7"/>
      <c r="O50" s="7"/>
      <c r="P50" s="7"/>
      <c r="Q50" s="7"/>
      <c r="R50" s="7"/>
      <c r="T50" s="4"/>
    </row>
    <row r="51" spans="1:20" x14ac:dyDescent="0.2">
      <c r="C51" s="7"/>
      <c r="F51" s="7"/>
      <c r="G51" s="7"/>
      <c r="H51" s="7"/>
      <c r="I51" s="7"/>
      <c r="J51" s="7"/>
      <c r="K51" s="7"/>
      <c r="L51" s="7"/>
      <c r="M51" s="7"/>
      <c r="N51" s="7"/>
      <c r="O51" s="7"/>
      <c r="P51" s="7"/>
      <c r="Q51" s="7"/>
      <c r="R51" s="7"/>
    </row>
    <row r="53" spans="1:20" x14ac:dyDescent="0.2">
      <c r="A53" s="4"/>
      <c r="C53" s="7"/>
      <c r="F53" s="7"/>
      <c r="G53" s="7"/>
      <c r="H53" s="7"/>
      <c r="I53" s="7"/>
      <c r="J53" s="7"/>
      <c r="K53" s="7"/>
      <c r="L53" s="7"/>
      <c r="M53" s="7"/>
      <c r="N53" s="7"/>
      <c r="O53" s="7"/>
      <c r="P53" s="7"/>
      <c r="Q53" s="7"/>
      <c r="R53" s="3"/>
      <c r="T53" s="4"/>
    </row>
  </sheetData>
  <mergeCells count="1">
    <mergeCell ref="A36:D36"/>
  </mergeCells>
  <printOptions gridLines="1"/>
  <pageMargins left="0.25" right="0.25" top="0.75" bottom="0.75" header="0.3" footer="0.3"/>
  <pageSetup scale="70" orientation="landscape" r:id="rId1"/>
  <headerFooter alignWithMargins="0">
    <oddHeader xml:space="preserve">&amp;C&amp;"Arial,Bold"&amp;14DOCTORS MEMORIAL HOSPITAL
FY 2017 BUDGET
</oddHead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54"/>
  <sheetViews>
    <sheetView zoomScale="80" zoomScaleNormal="80" workbookViewId="0">
      <pane xSplit="2" ySplit="4" topLeftCell="C23" activePane="bottomRight" state="frozen"/>
      <selection pane="topRight" activeCell="C1" sqref="C1"/>
      <selection pane="bottomLeft" activeCell="A5" sqref="A5"/>
      <selection pane="bottomRight" activeCell="B53" sqref="B53"/>
    </sheetView>
  </sheetViews>
  <sheetFormatPr defaultRowHeight="12.75" x14ac:dyDescent="0.2"/>
  <cols>
    <col min="1" max="1" width="10.28515625" style="4" bestFit="1" customWidth="1"/>
    <col min="2" max="2" width="24.85546875" style="4" customWidth="1"/>
    <col min="3" max="3" width="15.7109375" style="4" customWidth="1"/>
    <col min="4" max="4" width="9.85546875" style="4" customWidth="1"/>
    <col min="5" max="5" width="3.42578125" style="4" customWidth="1"/>
    <col min="6" max="7" width="12.28515625" style="4" bestFit="1" customWidth="1"/>
    <col min="8" max="17" width="12.28515625" style="2" bestFit="1" customWidth="1"/>
    <col min="18" max="18" width="13.85546875" style="2" bestFit="1" customWidth="1"/>
    <col min="19" max="20" width="10.42578125" style="2" customWidth="1"/>
    <col min="21" max="220" width="9.140625" style="1"/>
    <col min="221" max="221" width="28" style="1" bestFit="1" customWidth="1"/>
    <col min="222" max="222" width="15.7109375" style="1" customWidth="1"/>
    <col min="223" max="223" width="9.85546875" style="1" customWidth="1"/>
    <col min="224" max="224" width="12.85546875" style="1" customWidth="1"/>
    <col min="225" max="225" width="9.85546875" style="1" customWidth="1"/>
    <col min="226" max="227" width="12.85546875" style="1" customWidth="1"/>
    <col min="228" max="228" width="9.140625" style="1" customWidth="1"/>
    <col min="229" max="233" width="12.28515625" style="1" customWidth="1"/>
    <col min="234" max="234" width="11.28515625" style="1" customWidth="1"/>
    <col min="235" max="240" width="12.28515625" style="1" customWidth="1"/>
    <col min="241" max="241" width="11.140625" style="1" customWidth="1"/>
    <col min="242" max="243" width="10.42578125" style="1" customWidth="1"/>
    <col min="244" max="245" width="9.140625" style="1" customWidth="1"/>
    <col min="246" max="257" width="9.85546875" style="1" customWidth="1"/>
    <col min="258" max="258" width="13" style="1" customWidth="1"/>
    <col min="259" max="260" width="9.28515625" style="1" customWidth="1"/>
    <col min="261" max="261" width="9.140625" style="1" customWidth="1"/>
    <col min="262" max="262" width="9.28515625" style="1" customWidth="1"/>
    <col min="263" max="263" width="10.28515625" style="1" bestFit="1" customWidth="1"/>
    <col min="264" max="274" width="9.140625" style="1"/>
    <col min="275" max="275" width="9.85546875" style="1" bestFit="1" customWidth="1"/>
    <col min="276" max="276" width="10.42578125" style="1" bestFit="1" customWidth="1"/>
    <col min="277" max="476" width="9.140625" style="1"/>
    <col min="477" max="477" width="28" style="1" bestFit="1" customWidth="1"/>
    <col min="478" max="478" width="15.7109375" style="1" customWidth="1"/>
    <col min="479" max="479" width="9.85546875" style="1" customWidth="1"/>
    <col min="480" max="480" width="12.85546875" style="1" customWidth="1"/>
    <col min="481" max="481" width="9.85546875" style="1" customWidth="1"/>
    <col min="482" max="483" width="12.85546875" style="1" customWidth="1"/>
    <col min="484" max="484" width="9.140625" style="1" customWidth="1"/>
    <col min="485" max="489" width="12.28515625" style="1" customWidth="1"/>
    <col min="490" max="490" width="11.28515625" style="1" customWidth="1"/>
    <col min="491" max="496" width="12.28515625" style="1" customWidth="1"/>
    <col min="497" max="497" width="11.140625" style="1" customWidth="1"/>
    <col min="498" max="499" width="10.42578125" style="1" customWidth="1"/>
    <col min="500" max="501" width="9.140625" style="1" customWidth="1"/>
    <col min="502" max="513" width="9.85546875" style="1" customWidth="1"/>
    <col min="514" max="514" width="13" style="1" customWidth="1"/>
    <col min="515" max="516" width="9.28515625" style="1" customWidth="1"/>
    <col min="517" max="517" width="9.140625" style="1" customWidth="1"/>
    <col min="518" max="518" width="9.28515625" style="1" customWidth="1"/>
    <col min="519" max="519" width="10.28515625" style="1" bestFit="1" customWidth="1"/>
    <col min="520" max="530" width="9.140625" style="1"/>
    <col min="531" max="531" width="9.85546875" style="1" bestFit="1" customWidth="1"/>
    <col min="532" max="532" width="10.42578125" style="1" bestFit="1" customWidth="1"/>
    <col min="533" max="732" width="9.140625" style="1"/>
    <col min="733" max="733" width="28" style="1" bestFit="1" customWidth="1"/>
    <col min="734" max="734" width="15.7109375" style="1" customWidth="1"/>
    <col min="735" max="735" width="9.85546875" style="1" customWidth="1"/>
    <col min="736" max="736" width="12.85546875" style="1" customWidth="1"/>
    <col min="737" max="737" width="9.85546875" style="1" customWidth="1"/>
    <col min="738" max="739" width="12.85546875" style="1" customWidth="1"/>
    <col min="740" max="740" width="9.140625" style="1" customWidth="1"/>
    <col min="741" max="745" width="12.28515625" style="1" customWidth="1"/>
    <col min="746" max="746" width="11.28515625" style="1" customWidth="1"/>
    <col min="747" max="752" width="12.28515625" style="1" customWidth="1"/>
    <col min="753" max="753" width="11.140625" style="1" customWidth="1"/>
    <col min="754" max="755" width="10.42578125" style="1" customWidth="1"/>
    <col min="756" max="757" width="9.140625" style="1" customWidth="1"/>
    <col min="758" max="769" width="9.85546875" style="1" customWidth="1"/>
    <col min="770" max="770" width="13" style="1" customWidth="1"/>
    <col min="771" max="772" width="9.28515625" style="1" customWidth="1"/>
    <col min="773" max="773" width="9.140625" style="1" customWidth="1"/>
    <col min="774" max="774" width="9.28515625" style="1" customWidth="1"/>
    <col min="775" max="775" width="10.28515625" style="1" bestFit="1" customWidth="1"/>
    <col min="776" max="786" width="9.140625" style="1"/>
    <col min="787" max="787" width="9.85546875" style="1" bestFit="1" customWidth="1"/>
    <col min="788" max="788" width="10.42578125" style="1" bestFit="1" customWidth="1"/>
    <col min="789" max="988" width="9.140625" style="1"/>
    <col min="989" max="989" width="28" style="1" bestFit="1" customWidth="1"/>
    <col min="990" max="990" width="15.7109375" style="1" customWidth="1"/>
    <col min="991" max="991" width="9.85546875" style="1" customWidth="1"/>
    <col min="992" max="992" width="12.85546875" style="1" customWidth="1"/>
    <col min="993" max="993" width="9.85546875" style="1" customWidth="1"/>
    <col min="994" max="995" width="12.85546875" style="1" customWidth="1"/>
    <col min="996" max="996" width="9.140625" style="1" customWidth="1"/>
    <col min="997" max="1001" width="12.28515625" style="1" customWidth="1"/>
    <col min="1002" max="1002" width="11.28515625" style="1" customWidth="1"/>
    <col min="1003" max="1008" width="12.28515625" style="1" customWidth="1"/>
    <col min="1009" max="1009" width="11.140625" style="1" customWidth="1"/>
    <col min="1010" max="1011" width="10.42578125" style="1" customWidth="1"/>
    <col min="1012" max="1013" width="9.140625" style="1" customWidth="1"/>
    <col min="1014" max="1025" width="9.85546875" style="1" customWidth="1"/>
    <col min="1026" max="1026" width="13" style="1" customWidth="1"/>
    <col min="1027" max="1028" width="9.28515625" style="1" customWidth="1"/>
    <col min="1029" max="1029" width="9.140625" style="1" customWidth="1"/>
    <col min="1030" max="1030" width="9.28515625" style="1" customWidth="1"/>
    <col min="1031" max="1031" width="10.28515625" style="1" bestFit="1" customWidth="1"/>
    <col min="1032" max="1042" width="9.140625" style="1"/>
    <col min="1043" max="1043" width="9.85546875" style="1" bestFit="1" customWidth="1"/>
    <col min="1044" max="1044" width="10.42578125" style="1" bestFit="1" customWidth="1"/>
    <col min="1045" max="1244" width="9.140625" style="1"/>
    <col min="1245" max="1245" width="28" style="1" bestFit="1" customWidth="1"/>
    <col min="1246" max="1246" width="15.7109375" style="1" customWidth="1"/>
    <col min="1247" max="1247" width="9.85546875" style="1" customWidth="1"/>
    <col min="1248" max="1248" width="12.85546875" style="1" customWidth="1"/>
    <col min="1249" max="1249" width="9.85546875" style="1" customWidth="1"/>
    <col min="1250" max="1251" width="12.85546875" style="1" customWidth="1"/>
    <col min="1252" max="1252" width="9.140625" style="1" customWidth="1"/>
    <col min="1253" max="1257" width="12.28515625" style="1" customWidth="1"/>
    <col min="1258" max="1258" width="11.28515625" style="1" customWidth="1"/>
    <col min="1259" max="1264" width="12.28515625" style="1" customWidth="1"/>
    <col min="1265" max="1265" width="11.140625" style="1" customWidth="1"/>
    <col min="1266" max="1267" width="10.42578125" style="1" customWidth="1"/>
    <col min="1268" max="1269" width="9.140625" style="1" customWidth="1"/>
    <col min="1270" max="1281" width="9.85546875" style="1" customWidth="1"/>
    <col min="1282" max="1282" width="13" style="1" customWidth="1"/>
    <col min="1283" max="1284" width="9.28515625" style="1" customWidth="1"/>
    <col min="1285" max="1285" width="9.140625" style="1" customWidth="1"/>
    <col min="1286" max="1286" width="9.28515625" style="1" customWidth="1"/>
    <col min="1287" max="1287" width="10.28515625" style="1" bestFit="1" customWidth="1"/>
    <col min="1288" max="1298" width="9.140625" style="1"/>
    <col min="1299" max="1299" width="9.85546875" style="1" bestFit="1" customWidth="1"/>
    <col min="1300" max="1300" width="10.42578125" style="1" bestFit="1" customWidth="1"/>
    <col min="1301" max="1500" width="9.140625" style="1"/>
    <col min="1501" max="1501" width="28" style="1" bestFit="1" customWidth="1"/>
    <col min="1502" max="1502" width="15.7109375" style="1" customWidth="1"/>
    <col min="1503" max="1503" width="9.85546875" style="1" customWidth="1"/>
    <col min="1504" max="1504" width="12.85546875" style="1" customWidth="1"/>
    <col min="1505" max="1505" width="9.85546875" style="1" customWidth="1"/>
    <col min="1506" max="1507" width="12.85546875" style="1" customWidth="1"/>
    <col min="1508" max="1508" width="9.140625" style="1" customWidth="1"/>
    <col min="1509" max="1513" width="12.28515625" style="1" customWidth="1"/>
    <col min="1514" max="1514" width="11.28515625" style="1" customWidth="1"/>
    <col min="1515" max="1520" width="12.28515625" style="1" customWidth="1"/>
    <col min="1521" max="1521" width="11.140625" style="1" customWidth="1"/>
    <col min="1522" max="1523" width="10.42578125" style="1" customWidth="1"/>
    <col min="1524" max="1525" width="9.140625" style="1" customWidth="1"/>
    <col min="1526" max="1537" width="9.85546875" style="1" customWidth="1"/>
    <col min="1538" max="1538" width="13" style="1" customWidth="1"/>
    <col min="1539" max="1540" width="9.28515625" style="1" customWidth="1"/>
    <col min="1541" max="1541" width="9.140625" style="1" customWidth="1"/>
    <col min="1542" max="1542" width="9.28515625" style="1" customWidth="1"/>
    <col min="1543" max="1543" width="10.28515625" style="1" bestFit="1" customWidth="1"/>
    <col min="1544" max="1554" width="9.140625" style="1"/>
    <col min="1555" max="1555" width="9.85546875" style="1" bestFit="1" customWidth="1"/>
    <col min="1556" max="1556" width="10.42578125" style="1" bestFit="1" customWidth="1"/>
    <col min="1557" max="1756" width="9.140625" style="1"/>
    <col min="1757" max="1757" width="28" style="1" bestFit="1" customWidth="1"/>
    <col min="1758" max="1758" width="15.7109375" style="1" customWidth="1"/>
    <col min="1759" max="1759" width="9.85546875" style="1" customWidth="1"/>
    <col min="1760" max="1760" width="12.85546875" style="1" customWidth="1"/>
    <col min="1761" max="1761" width="9.85546875" style="1" customWidth="1"/>
    <col min="1762" max="1763" width="12.85546875" style="1" customWidth="1"/>
    <col min="1764" max="1764" width="9.140625" style="1" customWidth="1"/>
    <col min="1765" max="1769" width="12.28515625" style="1" customWidth="1"/>
    <col min="1770" max="1770" width="11.28515625" style="1" customWidth="1"/>
    <col min="1771" max="1776" width="12.28515625" style="1" customWidth="1"/>
    <col min="1777" max="1777" width="11.140625" style="1" customWidth="1"/>
    <col min="1778" max="1779" width="10.42578125" style="1" customWidth="1"/>
    <col min="1780" max="1781" width="9.140625" style="1" customWidth="1"/>
    <col min="1782" max="1793" width="9.85546875" style="1" customWidth="1"/>
    <col min="1794" max="1794" width="13" style="1" customWidth="1"/>
    <col min="1795" max="1796" width="9.28515625" style="1" customWidth="1"/>
    <col min="1797" max="1797" width="9.140625" style="1" customWidth="1"/>
    <col min="1798" max="1798" width="9.28515625" style="1" customWidth="1"/>
    <col min="1799" max="1799" width="10.28515625" style="1" bestFit="1" customWidth="1"/>
    <col min="1800" max="1810" width="9.140625" style="1"/>
    <col min="1811" max="1811" width="9.85546875" style="1" bestFit="1" customWidth="1"/>
    <col min="1812" max="1812" width="10.42578125" style="1" bestFit="1" customWidth="1"/>
    <col min="1813" max="2012" width="9.140625" style="1"/>
    <col min="2013" max="2013" width="28" style="1" bestFit="1" customWidth="1"/>
    <col min="2014" max="2014" width="15.7109375" style="1" customWidth="1"/>
    <col min="2015" max="2015" width="9.85546875" style="1" customWidth="1"/>
    <col min="2016" max="2016" width="12.85546875" style="1" customWidth="1"/>
    <col min="2017" max="2017" width="9.85546875" style="1" customWidth="1"/>
    <col min="2018" max="2019" width="12.85546875" style="1" customWidth="1"/>
    <col min="2020" max="2020" width="9.140625" style="1" customWidth="1"/>
    <col min="2021" max="2025" width="12.28515625" style="1" customWidth="1"/>
    <col min="2026" max="2026" width="11.28515625" style="1" customWidth="1"/>
    <col min="2027" max="2032" width="12.28515625" style="1" customWidth="1"/>
    <col min="2033" max="2033" width="11.140625" style="1" customWidth="1"/>
    <col min="2034" max="2035" width="10.42578125" style="1" customWidth="1"/>
    <col min="2036" max="2037" width="9.140625" style="1" customWidth="1"/>
    <col min="2038" max="2049" width="9.85546875" style="1" customWidth="1"/>
    <col min="2050" max="2050" width="13" style="1" customWidth="1"/>
    <col min="2051" max="2052" width="9.28515625" style="1" customWidth="1"/>
    <col min="2053" max="2053" width="9.140625" style="1" customWidth="1"/>
    <col min="2054" max="2054" width="9.28515625" style="1" customWidth="1"/>
    <col min="2055" max="2055" width="10.28515625" style="1" bestFit="1" customWidth="1"/>
    <col min="2056" max="2066" width="9.140625" style="1"/>
    <col min="2067" max="2067" width="9.85546875" style="1" bestFit="1" customWidth="1"/>
    <col min="2068" max="2068" width="10.42578125" style="1" bestFit="1" customWidth="1"/>
    <col min="2069" max="2268" width="9.140625" style="1"/>
    <col min="2269" max="2269" width="28" style="1" bestFit="1" customWidth="1"/>
    <col min="2270" max="2270" width="15.7109375" style="1" customWidth="1"/>
    <col min="2271" max="2271" width="9.85546875" style="1" customWidth="1"/>
    <col min="2272" max="2272" width="12.85546875" style="1" customWidth="1"/>
    <col min="2273" max="2273" width="9.85546875" style="1" customWidth="1"/>
    <col min="2274" max="2275" width="12.85546875" style="1" customWidth="1"/>
    <col min="2276" max="2276" width="9.140625" style="1" customWidth="1"/>
    <col min="2277" max="2281" width="12.28515625" style="1" customWidth="1"/>
    <col min="2282" max="2282" width="11.28515625" style="1" customWidth="1"/>
    <col min="2283" max="2288" width="12.28515625" style="1" customWidth="1"/>
    <col min="2289" max="2289" width="11.140625" style="1" customWidth="1"/>
    <col min="2290" max="2291" width="10.42578125" style="1" customWidth="1"/>
    <col min="2292" max="2293" width="9.140625" style="1" customWidth="1"/>
    <col min="2294" max="2305" width="9.85546875" style="1" customWidth="1"/>
    <col min="2306" max="2306" width="13" style="1" customWidth="1"/>
    <col min="2307" max="2308" width="9.28515625" style="1" customWidth="1"/>
    <col min="2309" max="2309" width="9.140625" style="1" customWidth="1"/>
    <col min="2310" max="2310" width="9.28515625" style="1" customWidth="1"/>
    <col min="2311" max="2311" width="10.28515625" style="1" bestFit="1" customWidth="1"/>
    <col min="2312" max="2322" width="9.140625" style="1"/>
    <col min="2323" max="2323" width="9.85546875" style="1" bestFit="1" customWidth="1"/>
    <col min="2324" max="2324" width="10.42578125" style="1" bestFit="1" customWidth="1"/>
    <col min="2325" max="2524" width="9.140625" style="1"/>
    <col min="2525" max="2525" width="28" style="1" bestFit="1" customWidth="1"/>
    <col min="2526" max="2526" width="15.7109375" style="1" customWidth="1"/>
    <col min="2527" max="2527" width="9.85546875" style="1" customWidth="1"/>
    <col min="2528" max="2528" width="12.85546875" style="1" customWidth="1"/>
    <col min="2529" max="2529" width="9.85546875" style="1" customWidth="1"/>
    <col min="2530" max="2531" width="12.85546875" style="1" customWidth="1"/>
    <col min="2532" max="2532" width="9.140625" style="1" customWidth="1"/>
    <col min="2533" max="2537" width="12.28515625" style="1" customWidth="1"/>
    <col min="2538" max="2538" width="11.28515625" style="1" customWidth="1"/>
    <col min="2539" max="2544" width="12.28515625" style="1" customWidth="1"/>
    <col min="2545" max="2545" width="11.140625" style="1" customWidth="1"/>
    <col min="2546" max="2547" width="10.42578125" style="1" customWidth="1"/>
    <col min="2548" max="2549" width="9.140625" style="1" customWidth="1"/>
    <col min="2550" max="2561" width="9.85546875" style="1" customWidth="1"/>
    <col min="2562" max="2562" width="13" style="1" customWidth="1"/>
    <col min="2563" max="2564" width="9.28515625" style="1" customWidth="1"/>
    <col min="2565" max="2565" width="9.140625" style="1" customWidth="1"/>
    <col min="2566" max="2566" width="9.28515625" style="1" customWidth="1"/>
    <col min="2567" max="2567" width="10.28515625" style="1" bestFit="1" customWidth="1"/>
    <col min="2568" max="2578" width="9.140625" style="1"/>
    <col min="2579" max="2579" width="9.85546875" style="1" bestFit="1" customWidth="1"/>
    <col min="2580" max="2580" width="10.42578125" style="1" bestFit="1" customWidth="1"/>
    <col min="2581" max="2780" width="9.140625" style="1"/>
    <col min="2781" max="2781" width="28" style="1" bestFit="1" customWidth="1"/>
    <col min="2782" max="2782" width="15.7109375" style="1" customWidth="1"/>
    <col min="2783" max="2783" width="9.85546875" style="1" customWidth="1"/>
    <col min="2784" max="2784" width="12.85546875" style="1" customWidth="1"/>
    <col min="2785" max="2785" width="9.85546875" style="1" customWidth="1"/>
    <col min="2786" max="2787" width="12.85546875" style="1" customWidth="1"/>
    <col min="2788" max="2788" width="9.140625" style="1" customWidth="1"/>
    <col min="2789" max="2793" width="12.28515625" style="1" customWidth="1"/>
    <col min="2794" max="2794" width="11.28515625" style="1" customWidth="1"/>
    <col min="2795" max="2800" width="12.28515625" style="1" customWidth="1"/>
    <col min="2801" max="2801" width="11.140625" style="1" customWidth="1"/>
    <col min="2802" max="2803" width="10.42578125" style="1" customWidth="1"/>
    <col min="2804" max="2805" width="9.140625" style="1" customWidth="1"/>
    <col min="2806" max="2817" width="9.85546875" style="1" customWidth="1"/>
    <col min="2818" max="2818" width="13" style="1" customWidth="1"/>
    <col min="2819" max="2820" width="9.28515625" style="1" customWidth="1"/>
    <col min="2821" max="2821" width="9.140625" style="1" customWidth="1"/>
    <col min="2822" max="2822" width="9.28515625" style="1" customWidth="1"/>
    <col min="2823" max="2823" width="10.28515625" style="1" bestFit="1" customWidth="1"/>
    <col min="2824" max="2834" width="9.140625" style="1"/>
    <col min="2835" max="2835" width="9.85546875" style="1" bestFit="1" customWidth="1"/>
    <col min="2836" max="2836" width="10.42578125" style="1" bestFit="1" customWidth="1"/>
    <col min="2837" max="3036" width="9.140625" style="1"/>
    <col min="3037" max="3037" width="28" style="1" bestFit="1" customWidth="1"/>
    <col min="3038" max="3038" width="15.7109375" style="1" customWidth="1"/>
    <col min="3039" max="3039" width="9.85546875" style="1" customWidth="1"/>
    <col min="3040" max="3040" width="12.85546875" style="1" customWidth="1"/>
    <col min="3041" max="3041" width="9.85546875" style="1" customWidth="1"/>
    <col min="3042" max="3043" width="12.85546875" style="1" customWidth="1"/>
    <col min="3044" max="3044" width="9.140625" style="1" customWidth="1"/>
    <col min="3045" max="3049" width="12.28515625" style="1" customWidth="1"/>
    <col min="3050" max="3050" width="11.28515625" style="1" customWidth="1"/>
    <col min="3051" max="3056" width="12.28515625" style="1" customWidth="1"/>
    <col min="3057" max="3057" width="11.140625" style="1" customWidth="1"/>
    <col min="3058" max="3059" width="10.42578125" style="1" customWidth="1"/>
    <col min="3060" max="3061" width="9.140625" style="1" customWidth="1"/>
    <col min="3062" max="3073" width="9.85546875" style="1" customWidth="1"/>
    <col min="3074" max="3074" width="13" style="1" customWidth="1"/>
    <col min="3075" max="3076" width="9.28515625" style="1" customWidth="1"/>
    <col min="3077" max="3077" width="9.140625" style="1" customWidth="1"/>
    <col min="3078" max="3078" width="9.28515625" style="1" customWidth="1"/>
    <col min="3079" max="3079" width="10.28515625" style="1" bestFit="1" customWidth="1"/>
    <col min="3080" max="3090" width="9.140625" style="1"/>
    <col min="3091" max="3091" width="9.85546875" style="1" bestFit="1" customWidth="1"/>
    <col min="3092" max="3092" width="10.42578125" style="1" bestFit="1" customWidth="1"/>
    <col min="3093" max="3292" width="9.140625" style="1"/>
    <col min="3293" max="3293" width="28" style="1" bestFit="1" customWidth="1"/>
    <col min="3294" max="3294" width="15.7109375" style="1" customWidth="1"/>
    <col min="3295" max="3295" width="9.85546875" style="1" customWidth="1"/>
    <col min="3296" max="3296" width="12.85546875" style="1" customWidth="1"/>
    <col min="3297" max="3297" width="9.85546875" style="1" customWidth="1"/>
    <col min="3298" max="3299" width="12.85546875" style="1" customWidth="1"/>
    <col min="3300" max="3300" width="9.140625" style="1" customWidth="1"/>
    <col min="3301" max="3305" width="12.28515625" style="1" customWidth="1"/>
    <col min="3306" max="3306" width="11.28515625" style="1" customWidth="1"/>
    <col min="3307" max="3312" width="12.28515625" style="1" customWidth="1"/>
    <col min="3313" max="3313" width="11.140625" style="1" customWidth="1"/>
    <col min="3314" max="3315" width="10.42578125" style="1" customWidth="1"/>
    <col min="3316" max="3317" width="9.140625" style="1" customWidth="1"/>
    <col min="3318" max="3329" width="9.85546875" style="1" customWidth="1"/>
    <col min="3330" max="3330" width="13" style="1" customWidth="1"/>
    <col min="3331" max="3332" width="9.28515625" style="1" customWidth="1"/>
    <col min="3333" max="3333" width="9.140625" style="1" customWidth="1"/>
    <col min="3334" max="3334" width="9.28515625" style="1" customWidth="1"/>
    <col min="3335" max="3335" width="10.28515625" style="1" bestFit="1" customWidth="1"/>
    <col min="3336" max="3346" width="9.140625" style="1"/>
    <col min="3347" max="3347" width="9.85546875" style="1" bestFit="1" customWidth="1"/>
    <col min="3348" max="3348" width="10.42578125" style="1" bestFit="1" customWidth="1"/>
    <col min="3349" max="3548" width="9.140625" style="1"/>
    <col min="3549" max="3549" width="28" style="1" bestFit="1" customWidth="1"/>
    <col min="3550" max="3550" width="15.7109375" style="1" customWidth="1"/>
    <col min="3551" max="3551" width="9.85546875" style="1" customWidth="1"/>
    <col min="3552" max="3552" width="12.85546875" style="1" customWidth="1"/>
    <col min="3553" max="3553" width="9.85546875" style="1" customWidth="1"/>
    <col min="3554" max="3555" width="12.85546875" style="1" customWidth="1"/>
    <col min="3556" max="3556" width="9.140625" style="1" customWidth="1"/>
    <col min="3557" max="3561" width="12.28515625" style="1" customWidth="1"/>
    <col min="3562" max="3562" width="11.28515625" style="1" customWidth="1"/>
    <col min="3563" max="3568" width="12.28515625" style="1" customWidth="1"/>
    <col min="3569" max="3569" width="11.140625" style="1" customWidth="1"/>
    <col min="3570" max="3571" width="10.42578125" style="1" customWidth="1"/>
    <col min="3572" max="3573" width="9.140625" style="1" customWidth="1"/>
    <col min="3574" max="3585" width="9.85546875" style="1" customWidth="1"/>
    <col min="3586" max="3586" width="13" style="1" customWidth="1"/>
    <col min="3587" max="3588" width="9.28515625" style="1" customWidth="1"/>
    <col min="3589" max="3589" width="9.140625" style="1" customWidth="1"/>
    <col min="3590" max="3590" width="9.28515625" style="1" customWidth="1"/>
    <col min="3591" max="3591" width="10.28515625" style="1" bestFit="1" customWidth="1"/>
    <col min="3592" max="3602" width="9.140625" style="1"/>
    <col min="3603" max="3603" width="9.85546875" style="1" bestFit="1" customWidth="1"/>
    <col min="3604" max="3604" width="10.42578125" style="1" bestFit="1" customWidth="1"/>
    <col min="3605" max="3804" width="9.140625" style="1"/>
    <col min="3805" max="3805" width="28" style="1" bestFit="1" customWidth="1"/>
    <col min="3806" max="3806" width="15.7109375" style="1" customWidth="1"/>
    <col min="3807" max="3807" width="9.85546875" style="1" customWidth="1"/>
    <col min="3808" max="3808" width="12.85546875" style="1" customWidth="1"/>
    <col min="3809" max="3809" width="9.85546875" style="1" customWidth="1"/>
    <col min="3810" max="3811" width="12.85546875" style="1" customWidth="1"/>
    <col min="3812" max="3812" width="9.140625" style="1" customWidth="1"/>
    <col min="3813" max="3817" width="12.28515625" style="1" customWidth="1"/>
    <col min="3818" max="3818" width="11.28515625" style="1" customWidth="1"/>
    <col min="3819" max="3824" width="12.28515625" style="1" customWidth="1"/>
    <col min="3825" max="3825" width="11.140625" style="1" customWidth="1"/>
    <col min="3826" max="3827" width="10.42578125" style="1" customWidth="1"/>
    <col min="3828" max="3829" width="9.140625" style="1" customWidth="1"/>
    <col min="3830" max="3841" width="9.85546875" style="1" customWidth="1"/>
    <col min="3842" max="3842" width="13" style="1" customWidth="1"/>
    <col min="3843" max="3844" width="9.28515625" style="1" customWidth="1"/>
    <col min="3845" max="3845" width="9.140625" style="1" customWidth="1"/>
    <col min="3846" max="3846" width="9.28515625" style="1" customWidth="1"/>
    <col min="3847" max="3847" width="10.28515625" style="1" bestFit="1" customWidth="1"/>
    <col min="3848" max="3858" width="9.140625" style="1"/>
    <col min="3859" max="3859" width="9.85546875" style="1" bestFit="1" customWidth="1"/>
    <col min="3860" max="3860" width="10.42578125" style="1" bestFit="1" customWidth="1"/>
    <col min="3861" max="4060" width="9.140625" style="1"/>
    <col min="4061" max="4061" width="28" style="1" bestFit="1" customWidth="1"/>
    <col min="4062" max="4062" width="15.7109375" style="1" customWidth="1"/>
    <col min="4063" max="4063" width="9.85546875" style="1" customWidth="1"/>
    <col min="4064" max="4064" width="12.85546875" style="1" customWidth="1"/>
    <col min="4065" max="4065" width="9.85546875" style="1" customWidth="1"/>
    <col min="4066" max="4067" width="12.85546875" style="1" customWidth="1"/>
    <col min="4068" max="4068" width="9.140625" style="1" customWidth="1"/>
    <col min="4069" max="4073" width="12.28515625" style="1" customWidth="1"/>
    <col min="4074" max="4074" width="11.28515625" style="1" customWidth="1"/>
    <col min="4075" max="4080" width="12.28515625" style="1" customWidth="1"/>
    <col min="4081" max="4081" width="11.140625" style="1" customWidth="1"/>
    <col min="4082" max="4083" width="10.42578125" style="1" customWidth="1"/>
    <col min="4084" max="4085" width="9.140625" style="1" customWidth="1"/>
    <col min="4086" max="4097" width="9.85546875" style="1" customWidth="1"/>
    <col min="4098" max="4098" width="13" style="1" customWidth="1"/>
    <col min="4099" max="4100" width="9.28515625" style="1" customWidth="1"/>
    <col min="4101" max="4101" width="9.140625" style="1" customWidth="1"/>
    <col min="4102" max="4102" width="9.28515625" style="1" customWidth="1"/>
    <col min="4103" max="4103" width="10.28515625" style="1" bestFit="1" customWidth="1"/>
    <col min="4104" max="4114" width="9.140625" style="1"/>
    <col min="4115" max="4115" width="9.85546875" style="1" bestFit="1" customWidth="1"/>
    <col min="4116" max="4116" width="10.42578125" style="1" bestFit="1" customWidth="1"/>
    <col min="4117" max="4316" width="9.140625" style="1"/>
    <col min="4317" max="4317" width="28" style="1" bestFit="1" customWidth="1"/>
    <col min="4318" max="4318" width="15.7109375" style="1" customWidth="1"/>
    <col min="4319" max="4319" width="9.85546875" style="1" customWidth="1"/>
    <col min="4320" max="4320" width="12.85546875" style="1" customWidth="1"/>
    <col min="4321" max="4321" width="9.85546875" style="1" customWidth="1"/>
    <col min="4322" max="4323" width="12.85546875" style="1" customWidth="1"/>
    <col min="4324" max="4324" width="9.140625" style="1" customWidth="1"/>
    <col min="4325" max="4329" width="12.28515625" style="1" customWidth="1"/>
    <col min="4330" max="4330" width="11.28515625" style="1" customWidth="1"/>
    <col min="4331" max="4336" width="12.28515625" style="1" customWidth="1"/>
    <col min="4337" max="4337" width="11.140625" style="1" customWidth="1"/>
    <col min="4338" max="4339" width="10.42578125" style="1" customWidth="1"/>
    <col min="4340" max="4341" width="9.140625" style="1" customWidth="1"/>
    <col min="4342" max="4353" width="9.85546875" style="1" customWidth="1"/>
    <col min="4354" max="4354" width="13" style="1" customWidth="1"/>
    <col min="4355" max="4356" width="9.28515625" style="1" customWidth="1"/>
    <col min="4357" max="4357" width="9.140625" style="1" customWidth="1"/>
    <col min="4358" max="4358" width="9.28515625" style="1" customWidth="1"/>
    <col min="4359" max="4359" width="10.28515625" style="1" bestFit="1" customWidth="1"/>
    <col min="4360" max="4370" width="9.140625" style="1"/>
    <col min="4371" max="4371" width="9.85546875" style="1" bestFit="1" customWidth="1"/>
    <col min="4372" max="4372" width="10.42578125" style="1" bestFit="1" customWidth="1"/>
    <col min="4373" max="4572" width="9.140625" style="1"/>
    <col min="4573" max="4573" width="28" style="1" bestFit="1" customWidth="1"/>
    <col min="4574" max="4574" width="15.7109375" style="1" customWidth="1"/>
    <col min="4575" max="4575" width="9.85546875" style="1" customWidth="1"/>
    <col min="4576" max="4576" width="12.85546875" style="1" customWidth="1"/>
    <col min="4577" max="4577" width="9.85546875" style="1" customWidth="1"/>
    <col min="4578" max="4579" width="12.85546875" style="1" customWidth="1"/>
    <col min="4580" max="4580" width="9.140625" style="1" customWidth="1"/>
    <col min="4581" max="4585" width="12.28515625" style="1" customWidth="1"/>
    <col min="4586" max="4586" width="11.28515625" style="1" customWidth="1"/>
    <col min="4587" max="4592" width="12.28515625" style="1" customWidth="1"/>
    <col min="4593" max="4593" width="11.140625" style="1" customWidth="1"/>
    <col min="4594" max="4595" width="10.42578125" style="1" customWidth="1"/>
    <col min="4596" max="4597" width="9.140625" style="1" customWidth="1"/>
    <col min="4598" max="4609" width="9.85546875" style="1" customWidth="1"/>
    <col min="4610" max="4610" width="13" style="1" customWidth="1"/>
    <col min="4611" max="4612" width="9.28515625" style="1" customWidth="1"/>
    <col min="4613" max="4613" width="9.140625" style="1" customWidth="1"/>
    <col min="4614" max="4614" width="9.28515625" style="1" customWidth="1"/>
    <col min="4615" max="4615" width="10.28515625" style="1" bestFit="1" customWidth="1"/>
    <col min="4616" max="4626" width="9.140625" style="1"/>
    <col min="4627" max="4627" width="9.85546875" style="1" bestFit="1" customWidth="1"/>
    <col min="4628" max="4628" width="10.42578125" style="1" bestFit="1" customWidth="1"/>
    <col min="4629" max="4828" width="9.140625" style="1"/>
    <col min="4829" max="4829" width="28" style="1" bestFit="1" customWidth="1"/>
    <col min="4830" max="4830" width="15.7109375" style="1" customWidth="1"/>
    <col min="4831" max="4831" width="9.85546875" style="1" customWidth="1"/>
    <col min="4832" max="4832" width="12.85546875" style="1" customWidth="1"/>
    <col min="4833" max="4833" width="9.85546875" style="1" customWidth="1"/>
    <col min="4834" max="4835" width="12.85546875" style="1" customWidth="1"/>
    <col min="4836" max="4836" width="9.140625" style="1" customWidth="1"/>
    <col min="4837" max="4841" width="12.28515625" style="1" customWidth="1"/>
    <col min="4842" max="4842" width="11.28515625" style="1" customWidth="1"/>
    <col min="4843" max="4848" width="12.28515625" style="1" customWidth="1"/>
    <col min="4849" max="4849" width="11.140625" style="1" customWidth="1"/>
    <col min="4850" max="4851" width="10.42578125" style="1" customWidth="1"/>
    <col min="4852" max="4853" width="9.140625" style="1" customWidth="1"/>
    <col min="4854" max="4865" width="9.85546875" style="1" customWidth="1"/>
    <col min="4866" max="4866" width="13" style="1" customWidth="1"/>
    <col min="4867" max="4868" width="9.28515625" style="1" customWidth="1"/>
    <col min="4869" max="4869" width="9.140625" style="1" customWidth="1"/>
    <col min="4870" max="4870" width="9.28515625" style="1" customWidth="1"/>
    <col min="4871" max="4871" width="10.28515625" style="1" bestFit="1" customWidth="1"/>
    <col min="4872" max="4882" width="9.140625" style="1"/>
    <col min="4883" max="4883" width="9.85546875" style="1" bestFit="1" customWidth="1"/>
    <col min="4884" max="4884" width="10.42578125" style="1" bestFit="1" customWidth="1"/>
    <col min="4885" max="5084" width="9.140625" style="1"/>
    <col min="5085" max="5085" width="28" style="1" bestFit="1" customWidth="1"/>
    <col min="5086" max="5086" width="15.7109375" style="1" customWidth="1"/>
    <col min="5087" max="5087" width="9.85546875" style="1" customWidth="1"/>
    <col min="5088" max="5088" width="12.85546875" style="1" customWidth="1"/>
    <col min="5089" max="5089" width="9.85546875" style="1" customWidth="1"/>
    <col min="5090" max="5091" width="12.85546875" style="1" customWidth="1"/>
    <col min="5092" max="5092" width="9.140625" style="1" customWidth="1"/>
    <col min="5093" max="5097" width="12.28515625" style="1" customWidth="1"/>
    <col min="5098" max="5098" width="11.28515625" style="1" customWidth="1"/>
    <col min="5099" max="5104" width="12.28515625" style="1" customWidth="1"/>
    <col min="5105" max="5105" width="11.140625" style="1" customWidth="1"/>
    <col min="5106" max="5107" width="10.42578125" style="1" customWidth="1"/>
    <col min="5108" max="5109" width="9.140625" style="1" customWidth="1"/>
    <col min="5110" max="5121" width="9.85546875" style="1" customWidth="1"/>
    <col min="5122" max="5122" width="13" style="1" customWidth="1"/>
    <col min="5123" max="5124" width="9.28515625" style="1" customWidth="1"/>
    <col min="5125" max="5125" width="9.140625" style="1" customWidth="1"/>
    <col min="5126" max="5126" width="9.28515625" style="1" customWidth="1"/>
    <col min="5127" max="5127" width="10.28515625" style="1" bestFit="1" customWidth="1"/>
    <col min="5128" max="5138" width="9.140625" style="1"/>
    <col min="5139" max="5139" width="9.85546875" style="1" bestFit="1" customWidth="1"/>
    <col min="5140" max="5140" width="10.42578125" style="1" bestFit="1" customWidth="1"/>
    <col min="5141" max="5340" width="9.140625" style="1"/>
    <col min="5341" max="5341" width="28" style="1" bestFit="1" customWidth="1"/>
    <col min="5342" max="5342" width="15.7109375" style="1" customWidth="1"/>
    <col min="5343" max="5343" width="9.85546875" style="1" customWidth="1"/>
    <col min="5344" max="5344" width="12.85546875" style="1" customWidth="1"/>
    <col min="5345" max="5345" width="9.85546875" style="1" customWidth="1"/>
    <col min="5346" max="5347" width="12.85546875" style="1" customWidth="1"/>
    <col min="5348" max="5348" width="9.140625" style="1" customWidth="1"/>
    <col min="5349" max="5353" width="12.28515625" style="1" customWidth="1"/>
    <col min="5354" max="5354" width="11.28515625" style="1" customWidth="1"/>
    <col min="5355" max="5360" width="12.28515625" style="1" customWidth="1"/>
    <col min="5361" max="5361" width="11.140625" style="1" customWidth="1"/>
    <col min="5362" max="5363" width="10.42578125" style="1" customWidth="1"/>
    <col min="5364" max="5365" width="9.140625" style="1" customWidth="1"/>
    <col min="5366" max="5377" width="9.85546875" style="1" customWidth="1"/>
    <col min="5378" max="5378" width="13" style="1" customWidth="1"/>
    <col min="5379" max="5380" width="9.28515625" style="1" customWidth="1"/>
    <col min="5381" max="5381" width="9.140625" style="1" customWidth="1"/>
    <col min="5382" max="5382" width="9.28515625" style="1" customWidth="1"/>
    <col min="5383" max="5383" width="10.28515625" style="1" bestFit="1" customWidth="1"/>
    <col min="5384" max="5394" width="9.140625" style="1"/>
    <col min="5395" max="5395" width="9.85546875" style="1" bestFit="1" customWidth="1"/>
    <col min="5396" max="5396" width="10.42578125" style="1" bestFit="1" customWidth="1"/>
    <col min="5397" max="5596" width="9.140625" style="1"/>
    <col min="5597" max="5597" width="28" style="1" bestFit="1" customWidth="1"/>
    <col min="5598" max="5598" width="15.7109375" style="1" customWidth="1"/>
    <col min="5599" max="5599" width="9.85546875" style="1" customWidth="1"/>
    <col min="5600" max="5600" width="12.85546875" style="1" customWidth="1"/>
    <col min="5601" max="5601" width="9.85546875" style="1" customWidth="1"/>
    <col min="5602" max="5603" width="12.85546875" style="1" customWidth="1"/>
    <col min="5604" max="5604" width="9.140625" style="1" customWidth="1"/>
    <col min="5605" max="5609" width="12.28515625" style="1" customWidth="1"/>
    <col min="5610" max="5610" width="11.28515625" style="1" customWidth="1"/>
    <col min="5611" max="5616" width="12.28515625" style="1" customWidth="1"/>
    <col min="5617" max="5617" width="11.140625" style="1" customWidth="1"/>
    <col min="5618" max="5619" width="10.42578125" style="1" customWidth="1"/>
    <col min="5620" max="5621" width="9.140625" style="1" customWidth="1"/>
    <col min="5622" max="5633" width="9.85546875" style="1" customWidth="1"/>
    <col min="5634" max="5634" width="13" style="1" customWidth="1"/>
    <col min="5635" max="5636" width="9.28515625" style="1" customWidth="1"/>
    <col min="5637" max="5637" width="9.140625" style="1" customWidth="1"/>
    <col min="5638" max="5638" width="9.28515625" style="1" customWidth="1"/>
    <col min="5639" max="5639" width="10.28515625" style="1" bestFit="1" customWidth="1"/>
    <col min="5640" max="5650" width="9.140625" style="1"/>
    <col min="5651" max="5651" width="9.85546875" style="1" bestFit="1" customWidth="1"/>
    <col min="5652" max="5652" width="10.42578125" style="1" bestFit="1" customWidth="1"/>
    <col min="5653" max="5852" width="9.140625" style="1"/>
    <col min="5853" max="5853" width="28" style="1" bestFit="1" customWidth="1"/>
    <col min="5854" max="5854" width="15.7109375" style="1" customWidth="1"/>
    <col min="5855" max="5855" width="9.85546875" style="1" customWidth="1"/>
    <col min="5856" max="5856" width="12.85546875" style="1" customWidth="1"/>
    <col min="5857" max="5857" width="9.85546875" style="1" customWidth="1"/>
    <col min="5858" max="5859" width="12.85546875" style="1" customWidth="1"/>
    <col min="5860" max="5860" width="9.140625" style="1" customWidth="1"/>
    <col min="5861" max="5865" width="12.28515625" style="1" customWidth="1"/>
    <col min="5866" max="5866" width="11.28515625" style="1" customWidth="1"/>
    <col min="5867" max="5872" width="12.28515625" style="1" customWidth="1"/>
    <col min="5873" max="5873" width="11.140625" style="1" customWidth="1"/>
    <col min="5874" max="5875" width="10.42578125" style="1" customWidth="1"/>
    <col min="5876" max="5877" width="9.140625" style="1" customWidth="1"/>
    <col min="5878" max="5889" width="9.85546875" style="1" customWidth="1"/>
    <col min="5890" max="5890" width="13" style="1" customWidth="1"/>
    <col min="5891" max="5892" width="9.28515625" style="1" customWidth="1"/>
    <col min="5893" max="5893" width="9.140625" style="1" customWidth="1"/>
    <col min="5894" max="5894" width="9.28515625" style="1" customWidth="1"/>
    <col min="5895" max="5895" width="10.28515625" style="1" bestFit="1" customWidth="1"/>
    <col min="5896" max="5906" width="9.140625" style="1"/>
    <col min="5907" max="5907" width="9.85546875" style="1" bestFit="1" customWidth="1"/>
    <col min="5908" max="5908" width="10.42578125" style="1" bestFit="1" customWidth="1"/>
    <col min="5909" max="6108" width="9.140625" style="1"/>
    <col min="6109" max="6109" width="28" style="1" bestFit="1" customWidth="1"/>
    <col min="6110" max="6110" width="15.7109375" style="1" customWidth="1"/>
    <col min="6111" max="6111" width="9.85546875" style="1" customWidth="1"/>
    <col min="6112" max="6112" width="12.85546875" style="1" customWidth="1"/>
    <col min="6113" max="6113" width="9.85546875" style="1" customWidth="1"/>
    <col min="6114" max="6115" width="12.85546875" style="1" customWidth="1"/>
    <col min="6116" max="6116" width="9.140625" style="1" customWidth="1"/>
    <col min="6117" max="6121" width="12.28515625" style="1" customWidth="1"/>
    <col min="6122" max="6122" width="11.28515625" style="1" customWidth="1"/>
    <col min="6123" max="6128" width="12.28515625" style="1" customWidth="1"/>
    <col min="6129" max="6129" width="11.140625" style="1" customWidth="1"/>
    <col min="6130" max="6131" width="10.42578125" style="1" customWidth="1"/>
    <col min="6132" max="6133" width="9.140625" style="1" customWidth="1"/>
    <col min="6134" max="6145" width="9.85546875" style="1" customWidth="1"/>
    <col min="6146" max="6146" width="13" style="1" customWidth="1"/>
    <col min="6147" max="6148" width="9.28515625" style="1" customWidth="1"/>
    <col min="6149" max="6149" width="9.140625" style="1" customWidth="1"/>
    <col min="6150" max="6150" width="9.28515625" style="1" customWidth="1"/>
    <col min="6151" max="6151" width="10.28515625" style="1" bestFit="1" customWidth="1"/>
    <col min="6152" max="6162" width="9.140625" style="1"/>
    <col min="6163" max="6163" width="9.85546875" style="1" bestFit="1" customWidth="1"/>
    <col min="6164" max="6164" width="10.42578125" style="1" bestFit="1" customWidth="1"/>
    <col min="6165" max="6364" width="9.140625" style="1"/>
    <col min="6365" max="6365" width="28" style="1" bestFit="1" customWidth="1"/>
    <col min="6366" max="6366" width="15.7109375" style="1" customWidth="1"/>
    <col min="6367" max="6367" width="9.85546875" style="1" customWidth="1"/>
    <col min="6368" max="6368" width="12.85546875" style="1" customWidth="1"/>
    <col min="6369" max="6369" width="9.85546875" style="1" customWidth="1"/>
    <col min="6370" max="6371" width="12.85546875" style="1" customWidth="1"/>
    <col min="6372" max="6372" width="9.140625" style="1" customWidth="1"/>
    <col min="6373" max="6377" width="12.28515625" style="1" customWidth="1"/>
    <col min="6378" max="6378" width="11.28515625" style="1" customWidth="1"/>
    <col min="6379" max="6384" width="12.28515625" style="1" customWidth="1"/>
    <col min="6385" max="6385" width="11.140625" style="1" customWidth="1"/>
    <col min="6386" max="6387" width="10.42578125" style="1" customWidth="1"/>
    <col min="6388" max="6389" width="9.140625" style="1" customWidth="1"/>
    <col min="6390" max="6401" width="9.85546875" style="1" customWidth="1"/>
    <col min="6402" max="6402" width="13" style="1" customWidth="1"/>
    <col min="6403" max="6404" width="9.28515625" style="1" customWidth="1"/>
    <col min="6405" max="6405" width="9.140625" style="1" customWidth="1"/>
    <col min="6406" max="6406" width="9.28515625" style="1" customWidth="1"/>
    <col min="6407" max="6407" width="10.28515625" style="1" bestFit="1" customWidth="1"/>
    <col min="6408" max="6418" width="9.140625" style="1"/>
    <col min="6419" max="6419" width="9.85546875" style="1" bestFit="1" customWidth="1"/>
    <col min="6420" max="6420" width="10.42578125" style="1" bestFit="1" customWidth="1"/>
    <col min="6421" max="6620" width="9.140625" style="1"/>
    <col min="6621" max="6621" width="28" style="1" bestFit="1" customWidth="1"/>
    <col min="6622" max="6622" width="15.7109375" style="1" customWidth="1"/>
    <col min="6623" max="6623" width="9.85546875" style="1" customWidth="1"/>
    <col min="6624" max="6624" width="12.85546875" style="1" customWidth="1"/>
    <col min="6625" max="6625" width="9.85546875" style="1" customWidth="1"/>
    <col min="6626" max="6627" width="12.85546875" style="1" customWidth="1"/>
    <col min="6628" max="6628" width="9.140625" style="1" customWidth="1"/>
    <col min="6629" max="6633" width="12.28515625" style="1" customWidth="1"/>
    <col min="6634" max="6634" width="11.28515625" style="1" customWidth="1"/>
    <col min="6635" max="6640" width="12.28515625" style="1" customWidth="1"/>
    <col min="6641" max="6641" width="11.140625" style="1" customWidth="1"/>
    <col min="6642" max="6643" width="10.42578125" style="1" customWidth="1"/>
    <col min="6644" max="6645" width="9.140625" style="1" customWidth="1"/>
    <col min="6646" max="6657" width="9.85546875" style="1" customWidth="1"/>
    <col min="6658" max="6658" width="13" style="1" customWidth="1"/>
    <col min="6659" max="6660" width="9.28515625" style="1" customWidth="1"/>
    <col min="6661" max="6661" width="9.140625" style="1" customWidth="1"/>
    <col min="6662" max="6662" width="9.28515625" style="1" customWidth="1"/>
    <col min="6663" max="6663" width="10.28515625" style="1" bestFit="1" customWidth="1"/>
    <col min="6664" max="6674" width="9.140625" style="1"/>
    <col min="6675" max="6675" width="9.85546875" style="1" bestFit="1" customWidth="1"/>
    <col min="6676" max="6676" width="10.42578125" style="1" bestFit="1" customWidth="1"/>
    <col min="6677" max="6876" width="9.140625" style="1"/>
    <col min="6877" max="6877" width="28" style="1" bestFit="1" customWidth="1"/>
    <col min="6878" max="6878" width="15.7109375" style="1" customWidth="1"/>
    <col min="6879" max="6879" width="9.85546875" style="1" customWidth="1"/>
    <col min="6880" max="6880" width="12.85546875" style="1" customWidth="1"/>
    <col min="6881" max="6881" width="9.85546875" style="1" customWidth="1"/>
    <col min="6882" max="6883" width="12.85546875" style="1" customWidth="1"/>
    <col min="6884" max="6884" width="9.140625" style="1" customWidth="1"/>
    <col min="6885" max="6889" width="12.28515625" style="1" customWidth="1"/>
    <col min="6890" max="6890" width="11.28515625" style="1" customWidth="1"/>
    <col min="6891" max="6896" width="12.28515625" style="1" customWidth="1"/>
    <col min="6897" max="6897" width="11.140625" style="1" customWidth="1"/>
    <col min="6898" max="6899" width="10.42578125" style="1" customWidth="1"/>
    <col min="6900" max="6901" width="9.140625" style="1" customWidth="1"/>
    <col min="6902" max="6913" width="9.85546875" style="1" customWidth="1"/>
    <col min="6914" max="6914" width="13" style="1" customWidth="1"/>
    <col min="6915" max="6916" width="9.28515625" style="1" customWidth="1"/>
    <col min="6917" max="6917" width="9.140625" style="1" customWidth="1"/>
    <col min="6918" max="6918" width="9.28515625" style="1" customWidth="1"/>
    <col min="6919" max="6919" width="10.28515625" style="1" bestFit="1" customWidth="1"/>
    <col min="6920" max="6930" width="9.140625" style="1"/>
    <col min="6931" max="6931" width="9.85546875" style="1" bestFit="1" customWidth="1"/>
    <col min="6932" max="6932" width="10.42578125" style="1" bestFit="1" customWidth="1"/>
    <col min="6933" max="7132" width="9.140625" style="1"/>
    <col min="7133" max="7133" width="28" style="1" bestFit="1" customWidth="1"/>
    <col min="7134" max="7134" width="15.7109375" style="1" customWidth="1"/>
    <col min="7135" max="7135" width="9.85546875" style="1" customWidth="1"/>
    <col min="7136" max="7136" width="12.85546875" style="1" customWidth="1"/>
    <col min="7137" max="7137" width="9.85546875" style="1" customWidth="1"/>
    <col min="7138" max="7139" width="12.85546875" style="1" customWidth="1"/>
    <col min="7140" max="7140" width="9.140625" style="1" customWidth="1"/>
    <col min="7141" max="7145" width="12.28515625" style="1" customWidth="1"/>
    <col min="7146" max="7146" width="11.28515625" style="1" customWidth="1"/>
    <col min="7147" max="7152" width="12.28515625" style="1" customWidth="1"/>
    <col min="7153" max="7153" width="11.140625" style="1" customWidth="1"/>
    <col min="7154" max="7155" width="10.42578125" style="1" customWidth="1"/>
    <col min="7156" max="7157" width="9.140625" style="1" customWidth="1"/>
    <col min="7158" max="7169" width="9.85546875" style="1" customWidth="1"/>
    <col min="7170" max="7170" width="13" style="1" customWidth="1"/>
    <col min="7171" max="7172" width="9.28515625" style="1" customWidth="1"/>
    <col min="7173" max="7173" width="9.140625" style="1" customWidth="1"/>
    <col min="7174" max="7174" width="9.28515625" style="1" customWidth="1"/>
    <col min="7175" max="7175" width="10.28515625" style="1" bestFit="1" customWidth="1"/>
    <col min="7176" max="7186" width="9.140625" style="1"/>
    <col min="7187" max="7187" width="9.85546875" style="1" bestFit="1" customWidth="1"/>
    <col min="7188" max="7188" width="10.42578125" style="1" bestFit="1" customWidth="1"/>
    <col min="7189" max="7388" width="9.140625" style="1"/>
    <col min="7389" max="7389" width="28" style="1" bestFit="1" customWidth="1"/>
    <col min="7390" max="7390" width="15.7109375" style="1" customWidth="1"/>
    <col min="7391" max="7391" width="9.85546875" style="1" customWidth="1"/>
    <col min="7392" max="7392" width="12.85546875" style="1" customWidth="1"/>
    <col min="7393" max="7393" width="9.85546875" style="1" customWidth="1"/>
    <col min="7394" max="7395" width="12.85546875" style="1" customWidth="1"/>
    <col min="7396" max="7396" width="9.140625" style="1" customWidth="1"/>
    <col min="7397" max="7401" width="12.28515625" style="1" customWidth="1"/>
    <col min="7402" max="7402" width="11.28515625" style="1" customWidth="1"/>
    <col min="7403" max="7408" width="12.28515625" style="1" customWidth="1"/>
    <col min="7409" max="7409" width="11.140625" style="1" customWidth="1"/>
    <col min="7410" max="7411" width="10.42578125" style="1" customWidth="1"/>
    <col min="7412" max="7413" width="9.140625" style="1" customWidth="1"/>
    <col min="7414" max="7425" width="9.85546875" style="1" customWidth="1"/>
    <col min="7426" max="7426" width="13" style="1" customWidth="1"/>
    <col min="7427" max="7428" width="9.28515625" style="1" customWidth="1"/>
    <col min="7429" max="7429" width="9.140625" style="1" customWidth="1"/>
    <col min="7430" max="7430" width="9.28515625" style="1" customWidth="1"/>
    <col min="7431" max="7431" width="10.28515625" style="1" bestFit="1" customWidth="1"/>
    <col min="7432" max="7442" width="9.140625" style="1"/>
    <col min="7443" max="7443" width="9.85546875" style="1" bestFit="1" customWidth="1"/>
    <col min="7444" max="7444" width="10.42578125" style="1" bestFit="1" customWidth="1"/>
    <col min="7445" max="7644" width="9.140625" style="1"/>
    <col min="7645" max="7645" width="28" style="1" bestFit="1" customWidth="1"/>
    <col min="7646" max="7646" width="15.7109375" style="1" customWidth="1"/>
    <col min="7647" max="7647" width="9.85546875" style="1" customWidth="1"/>
    <col min="7648" max="7648" width="12.85546875" style="1" customWidth="1"/>
    <col min="7649" max="7649" width="9.85546875" style="1" customWidth="1"/>
    <col min="7650" max="7651" width="12.85546875" style="1" customWidth="1"/>
    <col min="7652" max="7652" width="9.140625" style="1" customWidth="1"/>
    <col min="7653" max="7657" width="12.28515625" style="1" customWidth="1"/>
    <col min="7658" max="7658" width="11.28515625" style="1" customWidth="1"/>
    <col min="7659" max="7664" width="12.28515625" style="1" customWidth="1"/>
    <col min="7665" max="7665" width="11.140625" style="1" customWidth="1"/>
    <col min="7666" max="7667" width="10.42578125" style="1" customWidth="1"/>
    <col min="7668" max="7669" width="9.140625" style="1" customWidth="1"/>
    <col min="7670" max="7681" width="9.85546875" style="1" customWidth="1"/>
    <col min="7682" max="7682" width="13" style="1" customWidth="1"/>
    <col min="7683" max="7684" width="9.28515625" style="1" customWidth="1"/>
    <col min="7685" max="7685" width="9.140625" style="1" customWidth="1"/>
    <col min="7686" max="7686" width="9.28515625" style="1" customWidth="1"/>
    <col min="7687" max="7687" width="10.28515625" style="1" bestFit="1" customWidth="1"/>
    <col min="7688" max="7698" width="9.140625" style="1"/>
    <col min="7699" max="7699" width="9.85546875" style="1" bestFit="1" customWidth="1"/>
    <col min="7700" max="7700" width="10.42578125" style="1" bestFit="1" customWidth="1"/>
    <col min="7701" max="7900" width="9.140625" style="1"/>
    <col min="7901" max="7901" width="28" style="1" bestFit="1" customWidth="1"/>
    <col min="7902" max="7902" width="15.7109375" style="1" customWidth="1"/>
    <col min="7903" max="7903" width="9.85546875" style="1" customWidth="1"/>
    <col min="7904" max="7904" width="12.85546875" style="1" customWidth="1"/>
    <col min="7905" max="7905" width="9.85546875" style="1" customWidth="1"/>
    <col min="7906" max="7907" width="12.85546875" style="1" customWidth="1"/>
    <col min="7908" max="7908" width="9.140625" style="1" customWidth="1"/>
    <col min="7909" max="7913" width="12.28515625" style="1" customWidth="1"/>
    <col min="7914" max="7914" width="11.28515625" style="1" customWidth="1"/>
    <col min="7915" max="7920" width="12.28515625" style="1" customWidth="1"/>
    <col min="7921" max="7921" width="11.140625" style="1" customWidth="1"/>
    <col min="7922" max="7923" width="10.42578125" style="1" customWidth="1"/>
    <col min="7924" max="7925" width="9.140625" style="1" customWidth="1"/>
    <col min="7926" max="7937" width="9.85546875" style="1" customWidth="1"/>
    <col min="7938" max="7938" width="13" style="1" customWidth="1"/>
    <col min="7939" max="7940" width="9.28515625" style="1" customWidth="1"/>
    <col min="7941" max="7941" width="9.140625" style="1" customWidth="1"/>
    <col min="7942" max="7942" width="9.28515625" style="1" customWidth="1"/>
    <col min="7943" max="7943" width="10.28515625" style="1" bestFit="1" customWidth="1"/>
    <col min="7944" max="7954" width="9.140625" style="1"/>
    <col min="7955" max="7955" width="9.85546875" style="1" bestFit="1" customWidth="1"/>
    <col min="7956" max="7956" width="10.42578125" style="1" bestFit="1" customWidth="1"/>
    <col min="7957" max="8156" width="9.140625" style="1"/>
    <col min="8157" max="8157" width="28" style="1" bestFit="1" customWidth="1"/>
    <col min="8158" max="8158" width="15.7109375" style="1" customWidth="1"/>
    <col min="8159" max="8159" width="9.85546875" style="1" customWidth="1"/>
    <col min="8160" max="8160" width="12.85546875" style="1" customWidth="1"/>
    <col min="8161" max="8161" width="9.85546875" style="1" customWidth="1"/>
    <col min="8162" max="8163" width="12.85546875" style="1" customWidth="1"/>
    <col min="8164" max="8164" width="9.140625" style="1" customWidth="1"/>
    <col min="8165" max="8169" width="12.28515625" style="1" customWidth="1"/>
    <col min="8170" max="8170" width="11.28515625" style="1" customWidth="1"/>
    <col min="8171" max="8176" width="12.28515625" style="1" customWidth="1"/>
    <col min="8177" max="8177" width="11.140625" style="1" customWidth="1"/>
    <col min="8178" max="8179" width="10.42578125" style="1" customWidth="1"/>
    <col min="8180" max="8181" width="9.140625" style="1" customWidth="1"/>
    <col min="8182" max="8193" width="9.85546875" style="1" customWidth="1"/>
    <col min="8194" max="8194" width="13" style="1" customWidth="1"/>
    <col min="8195" max="8196" width="9.28515625" style="1" customWidth="1"/>
    <col min="8197" max="8197" width="9.140625" style="1" customWidth="1"/>
    <col min="8198" max="8198" width="9.28515625" style="1" customWidth="1"/>
    <col min="8199" max="8199" width="10.28515625" style="1" bestFit="1" customWidth="1"/>
    <col min="8200" max="8210" width="9.140625" style="1"/>
    <col min="8211" max="8211" width="9.85546875" style="1" bestFit="1" customWidth="1"/>
    <col min="8212" max="8212" width="10.42578125" style="1" bestFit="1" customWidth="1"/>
    <col min="8213" max="8412" width="9.140625" style="1"/>
    <col min="8413" max="8413" width="28" style="1" bestFit="1" customWidth="1"/>
    <col min="8414" max="8414" width="15.7109375" style="1" customWidth="1"/>
    <col min="8415" max="8415" width="9.85546875" style="1" customWidth="1"/>
    <col min="8416" max="8416" width="12.85546875" style="1" customWidth="1"/>
    <col min="8417" max="8417" width="9.85546875" style="1" customWidth="1"/>
    <col min="8418" max="8419" width="12.85546875" style="1" customWidth="1"/>
    <col min="8420" max="8420" width="9.140625" style="1" customWidth="1"/>
    <col min="8421" max="8425" width="12.28515625" style="1" customWidth="1"/>
    <col min="8426" max="8426" width="11.28515625" style="1" customWidth="1"/>
    <col min="8427" max="8432" width="12.28515625" style="1" customWidth="1"/>
    <col min="8433" max="8433" width="11.140625" style="1" customWidth="1"/>
    <col min="8434" max="8435" width="10.42578125" style="1" customWidth="1"/>
    <col min="8436" max="8437" width="9.140625" style="1" customWidth="1"/>
    <col min="8438" max="8449" width="9.85546875" style="1" customWidth="1"/>
    <col min="8450" max="8450" width="13" style="1" customWidth="1"/>
    <col min="8451" max="8452" width="9.28515625" style="1" customWidth="1"/>
    <col min="8453" max="8453" width="9.140625" style="1" customWidth="1"/>
    <col min="8454" max="8454" width="9.28515625" style="1" customWidth="1"/>
    <col min="8455" max="8455" width="10.28515625" style="1" bestFit="1" customWidth="1"/>
    <col min="8456" max="8466" width="9.140625" style="1"/>
    <col min="8467" max="8467" width="9.85546875" style="1" bestFit="1" customWidth="1"/>
    <col min="8468" max="8468" width="10.42578125" style="1" bestFit="1" customWidth="1"/>
    <col min="8469" max="8668" width="9.140625" style="1"/>
    <col min="8669" max="8669" width="28" style="1" bestFit="1" customWidth="1"/>
    <col min="8670" max="8670" width="15.7109375" style="1" customWidth="1"/>
    <col min="8671" max="8671" width="9.85546875" style="1" customWidth="1"/>
    <col min="8672" max="8672" width="12.85546875" style="1" customWidth="1"/>
    <col min="8673" max="8673" width="9.85546875" style="1" customWidth="1"/>
    <col min="8674" max="8675" width="12.85546875" style="1" customWidth="1"/>
    <col min="8676" max="8676" width="9.140625" style="1" customWidth="1"/>
    <col min="8677" max="8681" width="12.28515625" style="1" customWidth="1"/>
    <col min="8682" max="8682" width="11.28515625" style="1" customWidth="1"/>
    <col min="8683" max="8688" width="12.28515625" style="1" customWidth="1"/>
    <col min="8689" max="8689" width="11.140625" style="1" customWidth="1"/>
    <col min="8690" max="8691" width="10.42578125" style="1" customWidth="1"/>
    <col min="8692" max="8693" width="9.140625" style="1" customWidth="1"/>
    <col min="8694" max="8705" width="9.85546875" style="1" customWidth="1"/>
    <col min="8706" max="8706" width="13" style="1" customWidth="1"/>
    <col min="8707" max="8708" width="9.28515625" style="1" customWidth="1"/>
    <col min="8709" max="8709" width="9.140625" style="1" customWidth="1"/>
    <col min="8710" max="8710" width="9.28515625" style="1" customWidth="1"/>
    <col min="8711" max="8711" width="10.28515625" style="1" bestFit="1" customWidth="1"/>
    <col min="8712" max="8722" width="9.140625" style="1"/>
    <col min="8723" max="8723" width="9.85546875" style="1" bestFit="1" customWidth="1"/>
    <col min="8724" max="8724" width="10.42578125" style="1" bestFit="1" customWidth="1"/>
    <col min="8725" max="8924" width="9.140625" style="1"/>
    <col min="8925" max="8925" width="28" style="1" bestFit="1" customWidth="1"/>
    <col min="8926" max="8926" width="15.7109375" style="1" customWidth="1"/>
    <col min="8927" max="8927" width="9.85546875" style="1" customWidth="1"/>
    <col min="8928" max="8928" width="12.85546875" style="1" customWidth="1"/>
    <col min="8929" max="8929" width="9.85546875" style="1" customWidth="1"/>
    <col min="8930" max="8931" width="12.85546875" style="1" customWidth="1"/>
    <col min="8932" max="8932" width="9.140625" style="1" customWidth="1"/>
    <col min="8933" max="8937" width="12.28515625" style="1" customWidth="1"/>
    <col min="8938" max="8938" width="11.28515625" style="1" customWidth="1"/>
    <col min="8939" max="8944" width="12.28515625" style="1" customWidth="1"/>
    <col min="8945" max="8945" width="11.140625" style="1" customWidth="1"/>
    <col min="8946" max="8947" width="10.42578125" style="1" customWidth="1"/>
    <col min="8948" max="8949" width="9.140625" style="1" customWidth="1"/>
    <col min="8950" max="8961" width="9.85546875" style="1" customWidth="1"/>
    <col min="8962" max="8962" width="13" style="1" customWidth="1"/>
    <col min="8963" max="8964" width="9.28515625" style="1" customWidth="1"/>
    <col min="8965" max="8965" width="9.140625" style="1" customWidth="1"/>
    <col min="8966" max="8966" width="9.28515625" style="1" customWidth="1"/>
    <col min="8967" max="8967" width="10.28515625" style="1" bestFit="1" customWidth="1"/>
    <col min="8968" max="8978" width="9.140625" style="1"/>
    <col min="8979" max="8979" width="9.85546875" style="1" bestFit="1" customWidth="1"/>
    <col min="8980" max="8980" width="10.42578125" style="1" bestFit="1" customWidth="1"/>
    <col min="8981" max="9180" width="9.140625" style="1"/>
    <col min="9181" max="9181" width="28" style="1" bestFit="1" customWidth="1"/>
    <col min="9182" max="9182" width="15.7109375" style="1" customWidth="1"/>
    <col min="9183" max="9183" width="9.85546875" style="1" customWidth="1"/>
    <col min="9184" max="9184" width="12.85546875" style="1" customWidth="1"/>
    <col min="9185" max="9185" width="9.85546875" style="1" customWidth="1"/>
    <col min="9186" max="9187" width="12.85546875" style="1" customWidth="1"/>
    <col min="9188" max="9188" width="9.140625" style="1" customWidth="1"/>
    <col min="9189" max="9193" width="12.28515625" style="1" customWidth="1"/>
    <col min="9194" max="9194" width="11.28515625" style="1" customWidth="1"/>
    <col min="9195" max="9200" width="12.28515625" style="1" customWidth="1"/>
    <col min="9201" max="9201" width="11.140625" style="1" customWidth="1"/>
    <col min="9202" max="9203" width="10.42578125" style="1" customWidth="1"/>
    <col min="9204" max="9205" width="9.140625" style="1" customWidth="1"/>
    <col min="9206" max="9217" width="9.85546875" style="1" customWidth="1"/>
    <col min="9218" max="9218" width="13" style="1" customWidth="1"/>
    <col min="9219" max="9220" width="9.28515625" style="1" customWidth="1"/>
    <col min="9221" max="9221" width="9.140625" style="1" customWidth="1"/>
    <col min="9222" max="9222" width="9.28515625" style="1" customWidth="1"/>
    <col min="9223" max="9223" width="10.28515625" style="1" bestFit="1" customWidth="1"/>
    <col min="9224" max="9234" width="9.140625" style="1"/>
    <col min="9235" max="9235" width="9.85546875" style="1" bestFit="1" customWidth="1"/>
    <col min="9236" max="9236" width="10.42578125" style="1" bestFit="1" customWidth="1"/>
    <col min="9237" max="9436" width="9.140625" style="1"/>
    <col min="9437" max="9437" width="28" style="1" bestFit="1" customWidth="1"/>
    <col min="9438" max="9438" width="15.7109375" style="1" customWidth="1"/>
    <col min="9439" max="9439" width="9.85546875" style="1" customWidth="1"/>
    <col min="9440" max="9440" width="12.85546875" style="1" customWidth="1"/>
    <col min="9441" max="9441" width="9.85546875" style="1" customWidth="1"/>
    <col min="9442" max="9443" width="12.85546875" style="1" customWidth="1"/>
    <col min="9444" max="9444" width="9.140625" style="1" customWidth="1"/>
    <col min="9445" max="9449" width="12.28515625" style="1" customWidth="1"/>
    <col min="9450" max="9450" width="11.28515625" style="1" customWidth="1"/>
    <col min="9451" max="9456" width="12.28515625" style="1" customWidth="1"/>
    <col min="9457" max="9457" width="11.140625" style="1" customWidth="1"/>
    <col min="9458" max="9459" width="10.42578125" style="1" customWidth="1"/>
    <col min="9460" max="9461" width="9.140625" style="1" customWidth="1"/>
    <col min="9462" max="9473" width="9.85546875" style="1" customWidth="1"/>
    <col min="9474" max="9474" width="13" style="1" customWidth="1"/>
    <col min="9475" max="9476" width="9.28515625" style="1" customWidth="1"/>
    <col min="9477" max="9477" width="9.140625" style="1" customWidth="1"/>
    <col min="9478" max="9478" width="9.28515625" style="1" customWidth="1"/>
    <col min="9479" max="9479" width="10.28515625" style="1" bestFit="1" customWidth="1"/>
    <col min="9480" max="9490" width="9.140625" style="1"/>
    <col min="9491" max="9491" width="9.85546875" style="1" bestFit="1" customWidth="1"/>
    <col min="9492" max="9492" width="10.42578125" style="1" bestFit="1" customWidth="1"/>
    <col min="9493" max="9692" width="9.140625" style="1"/>
    <col min="9693" max="9693" width="28" style="1" bestFit="1" customWidth="1"/>
    <col min="9694" max="9694" width="15.7109375" style="1" customWidth="1"/>
    <col min="9695" max="9695" width="9.85546875" style="1" customWidth="1"/>
    <col min="9696" max="9696" width="12.85546875" style="1" customWidth="1"/>
    <col min="9697" max="9697" width="9.85546875" style="1" customWidth="1"/>
    <col min="9698" max="9699" width="12.85546875" style="1" customWidth="1"/>
    <col min="9700" max="9700" width="9.140625" style="1" customWidth="1"/>
    <col min="9701" max="9705" width="12.28515625" style="1" customWidth="1"/>
    <col min="9706" max="9706" width="11.28515625" style="1" customWidth="1"/>
    <col min="9707" max="9712" width="12.28515625" style="1" customWidth="1"/>
    <col min="9713" max="9713" width="11.140625" style="1" customWidth="1"/>
    <col min="9714" max="9715" width="10.42578125" style="1" customWidth="1"/>
    <col min="9716" max="9717" width="9.140625" style="1" customWidth="1"/>
    <col min="9718" max="9729" width="9.85546875" style="1" customWidth="1"/>
    <col min="9730" max="9730" width="13" style="1" customWidth="1"/>
    <col min="9731" max="9732" width="9.28515625" style="1" customWidth="1"/>
    <col min="9733" max="9733" width="9.140625" style="1" customWidth="1"/>
    <col min="9734" max="9734" width="9.28515625" style="1" customWidth="1"/>
    <col min="9735" max="9735" width="10.28515625" style="1" bestFit="1" customWidth="1"/>
    <col min="9736" max="9746" width="9.140625" style="1"/>
    <col min="9747" max="9747" width="9.85546875" style="1" bestFit="1" customWidth="1"/>
    <col min="9748" max="9748" width="10.42578125" style="1" bestFit="1" customWidth="1"/>
    <col min="9749" max="9948" width="9.140625" style="1"/>
    <col min="9949" max="9949" width="28" style="1" bestFit="1" customWidth="1"/>
    <col min="9950" max="9950" width="15.7109375" style="1" customWidth="1"/>
    <col min="9951" max="9951" width="9.85546875" style="1" customWidth="1"/>
    <col min="9952" max="9952" width="12.85546875" style="1" customWidth="1"/>
    <col min="9953" max="9953" width="9.85546875" style="1" customWidth="1"/>
    <col min="9954" max="9955" width="12.85546875" style="1" customWidth="1"/>
    <col min="9956" max="9956" width="9.140625" style="1" customWidth="1"/>
    <col min="9957" max="9961" width="12.28515625" style="1" customWidth="1"/>
    <col min="9962" max="9962" width="11.28515625" style="1" customWidth="1"/>
    <col min="9963" max="9968" width="12.28515625" style="1" customWidth="1"/>
    <col min="9969" max="9969" width="11.140625" style="1" customWidth="1"/>
    <col min="9970" max="9971" width="10.42578125" style="1" customWidth="1"/>
    <col min="9972" max="9973" width="9.140625" style="1" customWidth="1"/>
    <col min="9974" max="9985" width="9.85546875" style="1" customWidth="1"/>
    <col min="9986" max="9986" width="13" style="1" customWidth="1"/>
    <col min="9987" max="9988" width="9.28515625" style="1" customWidth="1"/>
    <col min="9989" max="9989" width="9.140625" style="1" customWidth="1"/>
    <col min="9990" max="9990" width="9.28515625" style="1" customWidth="1"/>
    <col min="9991" max="9991" width="10.28515625" style="1" bestFit="1" customWidth="1"/>
    <col min="9992" max="10002" width="9.140625" style="1"/>
    <col min="10003" max="10003" width="9.85546875" style="1" bestFit="1" customWidth="1"/>
    <col min="10004" max="10004" width="10.42578125" style="1" bestFit="1" customWidth="1"/>
    <col min="10005" max="10204" width="9.140625" style="1"/>
    <col min="10205" max="10205" width="28" style="1" bestFit="1" customWidth="1"/>
    <col min="10206" max="10206" width="15.7109375" style="1" customWidth="1"/>
    <col min="10207" max="10207" width="9.85546875" style="1" customWidth="1"/>
    <col min="10208" max="10208" width="12.85546875" style="1" customWidth="1"/>
    <col min="10209" max="10209" width="9.85546875" style="1" customWidth="1"/>
    <col min="10210" max="10211" width="12.85546875" style="1" customWidth="1"/>
    <col min="10212" max="10212" width="9.140625" style="1" customWidth="1"/>
    <col min="10213" max="10217" width="12.28515625" style="1" customWidth="1"/>
    <col min="10218" max="10218" width="11.28515625" style="1" customWidth="1"/>
    <col min="10219" max="10224" width="12.28515625" style="1" customWidth="1"/>
    <col min="10225" max="10225" width="11.140625" style="1" customWidth="1"/>
    <col min="10226" max="10227" width="10.42578125" style="1" customWidth="1"/>
    <col min="10228" max="10229" width="9.140625" style="1" customWidth="1"/>
    <col min="10230" max="10241" width="9.85546875" style="1" customWidth="1"/>
    <col min="10242" max="10242" width="13" style="1" customWidth="1"/>
    <col min="10243" max="10244" width="9.28515625" style="1" customWidth="1"/>
    <col min="10245" max="10245" width="9.140625" style="1" customWidth="1"/>
    <col min="10246" max="10246" width="9.28515625" style="1" customWidth="1"/>
    <col min="10247" max="10247" width="10.28515625" style="1" bestFit="1" customWidth="1"/>
    <col min="10248" max="10258" width="9.140625" style="1"/>
    <col min="10259" max="10259" width="9.85546875" style="1" bestFit="1" customWidth="1"/>
    <col min="10260" max="10260" width="10.42578125" style="1" bestFit="1" customWidth="1"/>
    <col min="10261" max="10460" width="9.140625" style="1"/>
    <col min="10461" max="10461" width="28" style="1" bestFit="1" customWidth="1"/>
    <col min="10462" max="10462" width="15.7109375" style="1" customWidth="1"/>
    <col min="10463" max="10463" width="9.85546875" style="1" customWidth="1"/>
    <col min="10464" max="10464" width="12.85546875" style="1" customWidth="1"/>
    <col min="10465" max="10465" width="9.85546875" style="1" customWidth="1"/>
    <col min="10466" max="10467" width="12.85546875" style="1" customWidth="1"/>
    <col min="10468" max="10468" width="9.140625" style="1" customWidth="1"/>
    <col min="10469" max="10473" width="12.28515625" style="1" customWidth="1"/>
    <col min="10474" max="10474" width="11.28515625" style="1" customWidth="1"/>
    <col min="10475" max="10480" width="12.28515625" style="1" customWidth="1"/>
    <col min="10481" max="10481" width="11.140625" style="1" customWidth="1"/>
    <col min="10482" max="10483" width="10.42578125" style="1" customWidth="1"/>
    <col min="10484" max="10485" width="9.140625" style="1" customWidth="1"/>
    <col min="10486" max="10497" width="9.85546875" style="1" customWidth="1"/>
    <col min="10498" max="10498" width="13" style="1" customWidth="1"/>
    <col min="10499" max="10500" width="9.28515625" style="1" customWidth="1"/>
    <col min="10501" max="10501" width="9.140625" style="1" customWidth="1"/>
    <col min="10502" max="10502" width="9.28515625" style="1" customWidth="1"/>
    <col min="10503" max="10503" width="10.28515625" style="1" bestFit="1" customWidth="1"/>
    <col min="10504" max="10514" width="9.140625" style="1"/>
    <col min="10515" max="10515" width="9.85546875" style="1" bestFit="1" customWidth="1"/>
    <col min="10516" max="10516" width="10.42578125" style="1" bestFit="1" customWidth="1"/>
    <col min="10517" max="10716" width="9.140625" style="1"/>
    <col min="10717" max="10717" width="28" style="1" bestFit="1" customWidth="1"/>
    <col min="10718" max="10718" width="15.7109375" style="1" customWidth="1"/>
    <col min="10719" max="10719" width="9.85546875" style="1" customWidth="1"/>
    <col min="10720" max="10720" width="12.85546875" style="1" customWidth="1"/>
    <col min="10721" max="10721" width="9.85546875" style="1" customWidth="1"/>
    <col min="10722" max="10723" width="12.85546875" style="1" customWidth="1"/>
    <col min="10724" max="10724" width="9.140625" style="1" customWidth="1"/>
    <col min="10725" max="10729" width="12.28515625" style="1" customWidth="1"/>
    <col min="10730" max="10730" width="11.28515625" style="1" customWidth="1"/>
    <col min="10731" max="10736" width="12.28515625" style="1" customWidth="1"/>
    <col min="10737" max="10737" width="11.140625" style="1" customWidth="1"/>
    <col min="10738" max="10739" width="10.42578125" style="1" customWidth="1"/>
    <col min="10740" max="10741" width="9.140625" style="1" customWidth="1"/>
    <col min="10742" max="10753" width="9.85546875" style="1" customWidth="1"/>
    <col min="10754" max="10754" width="13" style="1" customWidth="1"/>
    <col min="10755" max="10756" width="9.28515625" style="1" customWidth="1"/>
    <col min="10757" max="10757" width="9.140625" style="1" customWidth="1"/>
    <col min="10758" max="10758" width="9.28515625" style="1" customWidth="1"/>
    <col min="10759" max="10759" width="10.28515625" style="1" bestFit="1" customWidth="1"/>
    <col min="10760" max="10770" width="9.140625" style="1"/>
    <col min="10771" max="10771" width="9.85546875" style="1" bestFit="1" customWidth="1"/>
    <col min="10772" max="10772" width="10.42578125" style="1" bestFit="1" customWidth="1"/>
    <col min="10773" max="10972" width="9.140625" style="1"/>
    <col min="10973" max="10973" width="28" style="1" bestFit="1" customWidth="1"/>
    <col min="10974" max="10974" width="15.7109375" style="1" customWidth="1"/>
    <col min="10975" max="10975" width="9.85546875" style="1" customWidth="1"/>
    <col min="10976" max="10976" width="12.85546875" style="1" customWidth="1"/>
    <col min="10977" max="10977" width="9.85546875" style="1" customWidth="1"/>
    <col min="10978" max="10979" width="12.85546875" style="1" customWidth="1"/>
    <col min="10980" max="10980" width="9.140625" style="1" customWidth="1"/>
    <col min="10981" max="10985" width="12.28515625" style="1" customWidth="1"/>
    <col min="10986" max="10986" width="11.28515625" style="1" customWidth="1"/>
    <col min="10987" max="10992" width="12.28515625" style="1" customWidth="1"/>
    <col min="10993" max="10993" width="11.140625" style="1" customWidth="1"/>
    <col min="10994" max="10995" width="10.42578125" style="1" customWidth="1"/>
    <col min="10996" max="10997" width="9.140625" style="1" customWidth="1"/>
    <col min="10998" max="11009" width="9.85546875" style="1" customWidth="1"/>
    <col min="11010" max="11010" width="13" style="1" customWidth="1"/>
    <col min="11011" max="11012" width="9.28515625" style="1" customWidth="1"/>
    <col min="11013" max="11013" width="9.140625" style="1" customWidth="1"/>
    <col min="11014" max="11014" width="9.28515625" style="1" customWidth="1"/>
    <col min="11015" max="11015" width="10.28515625" style="1" bestFit="1" customWidth="1"/>
    <col min="11016" max="11026" width="9.140625" style="1"/>
    <col min="11027" max="11027" width="9.85546875" style="1" bestFit="1" customWidth="1"/>
    <col min="11028" max="11028" width="10.42578125" style="1" bestFit="1" customWidth="1"/>
    <col min="11029" max="11228" width="9.140625" style="1"/>
    <col min="11229" max="11229" width="28" style="1" bestFit="1" customWidth="1"/>
    <col min="11230" max="11230" width="15.7109375" style="1" customWidth="1"/>
    <col min="11231" max="11231" width="9.85546875" style="1" customWidth="1"/>
    <col min="11232" max="11232" width="12.85546875" style="1" customWidth="1"/>
    <col min="11233" max="11233" width="9.85546875" style="1" customWidth="1"/>
    <col min="11234" max="11235" width="12.85546875" style="1" customWidth="1"/>
    <col min="11236" max="11236" width="9.140625" style="1" customWidth="1"/>
    <col min="11237" max="11241" width="12.28515625" style="1" customWidth="1"/>
    <col min="11242" max="11242" width="11.28515625" style="1" customWidth="1"/>
    <col min="11243" max="11248" width="12.28515625" style="1" customWidth="1"/>
    <col min="11249" max="11249" width="11.140625" style="1" customWidth="1"/>
    <col min="11250" max="11251" width="10.42578125" style="1" customWidth="1"/>
    <col min="11252" max="11253" width="9.140625" style="1" customWidth="1"/>
    <col min="11254" max="11265" width="9.85546875" style="1" customWidth="1"/>
    <col min="11266" max="11266" width="13" style="1" customWidth="1"/>
    <col min="11267" max="11268" width="9.28515625" style="1" customWidth="1"/>
    <col min="11269" max="11269" width="9.140625" style="1" customWidth="1"/>
    <col min="11270" max="11270" width="9.28515625" style="1" customWidth="1"/>
    <col min="11271" max="11271" width="10.28515625" style="1" bestFit="1" customWidth="1"/>
    <col min="11272" max="11282" width="9.140625" style="1"/>
    <col min="11283" max="11283" width="9.85546875" style="1" bestFit="1" customWidth="1"/>
    <col min="11284" max="11284" width="10.42578125" style="1" bestFit="1" customWidth="1"/>
    <col min="11285" max="11484" width="9.140625" style="1"/>
    <col min="11485" max="11485" width="28" style="1" bestFit="1" customWidth="1"/>
    <col min="11486" max="11486" width="15.7109375" style="1" customWidth="1"/>
    <col min="11487" max="11487" width="9.85546875" style="1" customWidth="1"/>
    <col min="11488" max="11488" width="12.85546875" style="1" customWidth="1"/>
    <col min="11489" max="11489" width="9.85546875" style="1" customWidth="1"/>
    <col min="11490" max="11491" width="12.85546875" style="1" customWidth="1"/>
    <col min="11492" max="11492" width="9.140625" style="1" customWidth="1"/>
    <col min="11493" max="11497" width="12.28515625" style="1" customWidth="1"/>
    <col min="11498" max="11498" width="11.28515625" style="1" customWidth="1"/>
    <col min="11499" max="11504" width="12.28515625" style="1" customWidth="1"/>
    <col min="11505" max="11505" width="11.140625" style="1" customWidth="1"/>
    <col min="11506" max="11507" width="10.42578125" style="1" customWidth="1"/>
    <col min="11508" max="11509" width="9.140625" style="1" customWidth="1"/>
    <col min="11510" max="11521" width="9.85546875" style="1" customWidth="1"/>
    <col min="11522" max="11522" width="13" style="1" customWidth="1"/>
    <col min="11523" max="11524" width="9.28515625" style="1" customWidth="1"/>
    <col min="11525" max="11525" width="9.140625" style="1" customWidth="1"/>
    <col min="11526" max="11526" width="9.28515625" style="1" customWidth="1"/>
    <col min="11527" max="11527" width="10.28515625" style="1" bestFit="1" customWidth="1"/>
    <col min="11528" max="11538" width="9.140625" style="1"/>
    <col min="11539" max="11539" width="9.85546875" style="1" bestFit="1" customWidth="1"/>
    <col min="11540" max="11540" width="10.42578125" style="1" bestFit="1" customWidth="1"/>
    <col min="11541" max="11740" width="9.140625" style="1"/>
    <col min="11741" max="11741" width="28" style="1" bestFit="1" customWidth="1"/>
    <col min="11742" max="11742" width="15.7109375" style="1" customWidth="1"/>
    <col min="11743" max="11743" width="9.85546875" style="1" customWidth="1"/>
    <col min="11744" max="11744" width="12.85546875" style="1" customWidth="1"/>
    <col min="11745" max="11745" width="9.85546875" style="1" customWidth="1"/>
    <col min="11746" max="11747" width="12.85546875" style="1" customWidth="1"/>
    <col min="11748" max="11748" width="9.140625" style="1" customWidth="1"/>
    <col min="11749" max="11753" width="12.28515625" style="1" customWidth="1"/>
    <col min="11754" max="11754" width="11.28515625" style="1" customWidth="1"/>
    <col min="11755" max="11760" width="12.28515625" style="1" customWidth="1"/>
    <col min="11761" max="11761" width="11.140625" style="1" customWidth="1"/>
    <col min="11762" max="11763" width="10.42578125" style="1" customWidth="1"/>
    <col min="11764" max="11765" width="9.140625" style="1" customWidth="1"/>
    <col min="11766" max="11777" width="9.85546875" style="1" customWidth="1"/>
    <col min="11778" max="11778" width="13" style="1" customWidth="1"/>
    <col min="11779" max="11780" width="9.28515625" style="1" customWidth="1"/>
    <col min="11781" max="11781" width="9.140625" style="1" customWidth="1"/>
    <col min="11782" max="11782" width="9.28515625" style="1" customWidth="1"/>
    <col min="11783" max="11783" width="10.28515625" style="1" bestFit="1" customWidth="1"/>
    <col min="11784" max="11794" width="9.140625" style="1"/>
    <col min="11795" max="11795" width="9.85546875" style="1" bestFit="1" customWidth="1"/>
    <col min="11796" max="11796" width="10.42578125" style="1" bestFit="1" customWidth="1"/>
    <col min="11797" max="11996" width="9.140625" style="1"/>
    <col min="11997" max="11997" width="28" style="1" bestFit="1" customWidth="1"/>
    <col min="11998" max="11998" width="15.7109375" style="1" customWidth="1"/>
    <col min="11999" max="11999" width="9.85546875" style="1" customWidth="1"/>
    <col min="12000" max="12000" width="12.85546875" style="1" customWidth="1"/>
    <col min="12001" max="12001" width="9.85546875" style="1" customWidth="1"/>
    <col min="12002" max="12003" width="12.85546875" style="1" customWidth="1"/>
    <col min="12004" max="12004" width="9.140625" style="1" customWidth="1"/>
    <col min="12005" max="12009" width="12.28515625" style="1" customWidth="1"/>
    <col min="12010" max="12010" width="11.28515625" style="1" customWidth="1"/>
    <col min="12011" max="12016" width="12.28515625" style="1" customWidth="1"/>
    <col min="12017" max="12017" width="11.140625" style="1" customWidth="1"/>
    <col min="12018" max="12019" width="10.42578125" style="1" customWidth="1"/>
    <col min="12020" max="12021" width="9.140625" style="1" customWidth="1"/>
    <col min="12022" max="12033" width="9.85546875" style="1" customWidth="1"/>
    <col min="12034" max="12034" width="13" style="1" customWidth="1"/>
    <col min="12035" max="12036" width="9.28515625" style="1" customWidth="1"/>
    <col min="12037" max="12037" width="9.140625" style="1" customWidth="1"/>
    <col min="12038" max="12038" width="9.28515625" style="1" customWidth="1"/>
    <col min="12039" max="12039" width="10.28515625" style="1" bestFit="1" customWidth="1"/>
    <col min="12040" max="12050" width="9.140625" style="1"/>
    <col min="12051" max="12051" width="9.85546875" style="1" bestFit="1" customWidth="1"/>
    <col min="12052" max="12052" width="10.42578125" style="1" bestFit="1" customWidth="1"/>
    <col min="12053" max="12252" width="9.140625" style="1"/>
    <col min="12253" max="12253" width="28" style="1" bestFit="1" customWidth="1"/>
    <col min="12254" max="12254" width="15.7109375" style="1" customWidth="1"/>
    <col min="12255" max="12255" width="9.85546875" style="1" customWidth="1"/>
    <col min="12256" max="12256" width="12.85546875" style="1" customWidth="1"/>
    <col min="12257" max="12257" width="9.85546875" style="1" customWidth="1"/>
    <col min="12258" max="12259" width="12.85546875" style="1" customWidth="1"/>
    <col min="12260" max="12260" width="9.140625" style="1" customWidth="1"/>
    <col min="12261" max="12265" width="12.28515625" style="1" customWidth="1"/>
    <col min="12266" max="12266" width="11.28515625" style="1" customWidth="1"/>
    <col min="12267" max="12272" width="12.28515625" style="1" customWidth="1"/>
    <col min="12273" max="12273" width="11.140625" style="1" customWidth="1"/>
    <col min="12274" max="12275" width="10.42578125" style="1" customWidth="1"/>
    <col min="12276" max="12277" width="9.140625" style="1" customWidth="1"/>
    <col min="12278" max="12289" width="9.85546875" style="1" customWidth="1"/>
    <col min="12290" max="12290" width="13" style="1" customWidth="1"/>
    <col min="12291" max="12292" width="9.28515625" style="1" customWidth="1"/>
    <col min="12293" max="12293" width="9.140625" style="1" customWidth="1"/>
    <col min="12294" max="12294" width="9.28515625" style="1" customWidth="1"/>
    <col min="12295" max="12295" width="10.28515625" style="1" bestFit="1" customWidth="1"/>
    <col min="12296" max="12306" width="9.140625" style="1"/>
    <col min="12307" max="12307" width="9.85546875" style="1" bestFit="1" customWidth="1"/>
    <col min="12308" max="12308" width="10.42578125" style="1" bestFit="1" customWidth="1"/>
    <col min="12309" max="12508" width="9.140625" style="1"/>
    <col min="12509" max="12509" width="28" style="1" bestFit="1" customWidth="1"/>
    <col min="12510" max="12510" width="15.7109375" style="1" customWidth="1"/>
    <col min="12511" max="12511" width="9.85546875" style="1" customWidth="1"/>
    <col min="12512" max="12512" width="12.85546875" style="1" customWidth="1"/>
    <col min="12513" max="12513" width="9.85546875" style="1" customWidth="1"/>
    <col min="12514" max="12515" width="12.85546875" style="1" customWidth="1"/>
    <col min="12516" max="12516" width="9.140625" style="1" customWidth="1"/>
    <col min="12517" max="12521" width="12.28515625" style="1" customWidth="1"/>
    <col min="12522" max="12522" width="11.28515625" style="1" customWidth="1"/>
    <col min="12523" max="12528" width="12.28515625" style="1" customWidth="1"/>
    <col min="12529" max="12529" width="11.140625" style="1" customWidth="1"/>
    <col min="12530" max="12531" width="10.42578125" style="1" customWidth="1"/>
    <col min="12532" max="12533" width="9.140625" style="1" customWidth="1"/>
    <col min="12534" max="12545" width="9.85546875" style="1" customWidth="1"/>
    <col min="12546" max="12546" width="13" style="1" customWidth="1"/>
    <col min="12547" max="12548" width="9.28515625" style="1" customWidth="1"/>
    <col min="12549" max="12549" width="9.140625" style="1" customWidth="1"/>
    <col min="12550" max="12550" width="9.28515625" style="1" customWidth="1"/>
    <col min="12551" max="12551" width="10.28515625" style="1" bestFit="1" customWidth="1"/>
    <col min="12552" max="12562" width="9.140625" style="1"/>
    <col min="12563" max="12563" width="9.85546875" style="1" bestFit="1" customWidth="1"/>
    <col min="12564" max="12564" width="10.42578125" style="1" bestFit="1" customWidth="1"/>
    <col min="12565" max="12764" width="9.140625" style="1"/>
    <col min="12765" max="12765" width="28" style="1" bestFit="1" customWidth="1"/>
    <col min="12766" max="12766" width="15.7109375" style="1" customWidth="1"/>
    <col min="12767" max="12767" width="9.85546875" style="1" customWidth="1"/>
    <col min="12768" max="12768" width="12.85546875" style="1" customWidth="1"/>
    <col min="12769" max="12769" width="9.85546875" style="1" customWidth="1"/>
    <col min="12770" max="12771" width="12.85546875" style="1" customWidth="1"/>
    <col min="12772" max="12772" width="9.140625" style="1" customWidth="1"/>
    <col min="12773" max="12777" width="12.28515625" style="1" customWidth="1"/>
    <col min="12778" max="12778" width="11.28515625" style="1" customWidth="1"/>
    <col min="12779" max="12784" width="12.28515625" style="1" customWidth="1"/>
    <col min="12785" max="12785" width="11.140625" style="1" customWidth="1"/>
    <col min="12786" max="12787" width="10.42578125" style="1" customWidth="1"/>
    <col min="12788" max="12789" width="9.140625" style="1" customWidth="1"/>
    <col min="12790" max="12801" width="9.85546875" style="1" customWidth="1"/>
    <col min="12802" max="12802" width="13" style="1" customWidth="1"/>
    <col min="12803" max="12804" width="9.28515625" style="1" customWidth="1"/>
    <col min="12805" max="12805" width="9.140625" style="1" customWidth="1"/>
    <col min="12806" max="12806" width="9.28515625" style="1" customWidth="1"/>
    <col min="12807" max="12807" width="10.28515625" style="1" bestFit="1" customWidth="1"/>
    <col min="12808" max="12818" width="9.140625" style="1"/>
    <col min="12819" max="12819" width="9.85546875" style="1" bestFit="1" customWidth="1"/>
    <col min="12820" max="12820" width="10.42578125" style="1" bestFit="1" customWidth="1"/>
    <col min="12821" max="13020" width="9.140625" style="1"/>
    <col min="13021" max="13021" width="28" style="1" bestFit="1" customWidth="1"/>
    <col min="13022" max="13022" width="15.7109375" style="1" customWidth="1"/>
    <col min="13023" max="13023" width="9.85546875" style="1" customWidth="1"/>
    <col min="13024" max="13024" width="12.85546875" style="1" customWidth="1"/>
    <col min="13025" max="13025" width="9.85546875" style="1" customWidth="1"/>
    <col min="13026" max="13027" width="12.85546875" style="1" customWidth="1"/>
    <col min="13028" max="13028" width="9.140625" style="1" customWidth="1"/>
    <col min="13029" max="13033" width="12.28515625" style="1" customWidth="1"/>
    <col min="13034" max="13034" width="11.28515625" style="1" customWidth="1"/>
    <col min="13035" max="13040" width="12.28515625" style="1" customWidth="1"/>
    <col min="13041" max="13041" width="11.140625" style="1" customWidth="1"/>
    <col min="13042" max="13043" width="10.42578125" style="1" customWidth="1"/>
    <col min="13044" max="13045" width="9.140625" style="1" customWidth="1"/>
    <col min="13046" max="13057" width="9.85546875" style="1" customWidth="1"/>
    <col min="13058" max="13058" width="13" style="1" customWidth="1"/>
    <col min="13059" max="13060" width="9.28515625" style="1" customWidth="1"/>
    <col min="13061" max="13061" width="9.140625" style="1" customWidth="1"/>
    <col min="13062" max="13062" width="9.28515625" style="1" customWidth="1"/>
    <col min="13063" max="13063" width="10.28515625" style="1" bestFit="1" customWidth="1"/>
    <col min="13064" max="13074" width="9.140625" style="1"/>
    <col min="13075" max="13075" width="9.85546875" style="1" bestFit="1" customWidth="1"/>
    <col min="13076" max="13076" width="10.42578125" style="1" bestFit="1" customWidth="1"/>
    <col min="13077" max="13276" width="9.140625" style="1"/>
    <col min="13277" max="13277" width="28" style="1" bestFit="1" customWidth="1"/>
    <col min="13278" max="13278" width="15.7109375" style="1" customWidth="1"/>
    <col min="13279" max="13279" width="9.85546875" style="1" customWidth="1"/>
    <col min="13280" max="13280" width="12.85546875" style="1" customWidth="1"/>
    <col min="13281" max="13281" width="9.85546875" style="1" customWidth="1"/>
    <col min="13282" max="13283" width="12.85546875" style="1" customWidth="1"/>
    <col min="13284" max="13284" width="9.140625" style="1" customWidth="1"/>
    <col min="13285" max="13289" width="12.28515625" style="1" customWidth="1"/>
    <col min="13290" max="13290" width="11.28515625" style="1" customWidth="1"/>
    <col min="13291" max="13296" width="12.28515625" style="1" customWidth="1"/>
    <col min="13297" max="13297" width="11.140625" style="1" customWidth="1"/>
    <col min="13298" max="13299" width="10.42578125" style="1" customWidth="1"/>
    <col min="13300" max="13301" width="9.140625" style="1" customWidth="1"/>
    <col min="13302" max="13313" width="9.85546875" style="1" customWidth="1"/>
    <col min="13314" max="13314" width="13" style="1" customWidth="1"/>
    <col min="13315" max="13316" width="9.28515625" style="1" customWidth="1"/>
    <col min="13317" max="13317" width="9.140625" style="1" customWidth="1"/>
    <col min="13318" max="13318" width="9.28515625" style="1" customWidth="1"/>
    <col min="13319" max="13319" width="10.28515625" style="1" bestFit="1" customWidth="1"/>
    <col min="13320" max="13330" width="9.140625" style="1"/>
    <col min="13331" max="13331" width="9.85546875" style="1" bestFit="1" customWidth="1"/>
    <col min="13332" max="13332" width="10.42578125" style="1" bestFit="1" customWidth="1"/>
    <col min="13333" max="13532" width="9.140625" style="1"/>
    <col min="13533" max="13533" width="28" style="1" bestFit="1" customWidth="1"/>
    <col min="13534" max="13534" width="15.7109375" style="1" customWidth="1"/>
    <col min="13535" max="13535" width="9.85546875" style="1" customWidth="1"/>
    <col min="13536" max="13536" width="12.85546875" style="1" customWidth="1"/>
    <col min="13537" max="13537" width="9.85546875" style="1" customWidth="1"/>
    <col min="13538" max="13539" width="12.85546875" style="1" customWidth="1"/>
    <col min="13540" max="13540" width="9.140625" style="1" customWidth="1"/>
    <col min="13541" max="13545" width="12.28515625" style="1" customWidth="1"/>
    <col min="13546" max="13546" width="11.28515625" style="1" customWidth="1"/>
    <col min="13547" max="13552" width="12.28515625" style="1" customWidth="1"/>
    <col min="13553" max="13553" width="11.140625" style="1" customWidth="1"/>
    <col min="13554" max="13555" width="10.42578125" style="1" customWidth="1"/>
    <col min="13556" max="13557" width="9.140625" style="1" customWidth="1"/>
    <col min="13558" max="13569" width="9.85546875" style="1" customWidth="1"/>
    <col min="13570" max="13570" width="13" style="1" customWidth="1"/>
    <col min="13571" max="13572" width="9.28515625" style="1" customWidth="1"/>
    <col min="13573" max="13573" width="9.140625" style="1" customWidth="1"/>
    <col min="13574" max="13574" width="9.28515625" style="1" customWidth="1"/>
    <col min="13575" max="13575" width="10.28515625" style="1" bestFit="1" customWidth="1"/>
    <col min="13576" max="13586" width="9.140625" style="1"/>
    <col min="13587" max="13587" width="9.85546875" style="1" bestFit="1" customWidth="1"/>
    <col min="13588" max="13588" width="10.42578125" style="1" bestFit="1" customWidth="1"/>
    <col min="13589" max="13788" width="9.140625" style="1"/>
    <col min="13789" max="13789" width="28" style="1" bestFit="1" customWidth="1"/>
    <col min="13790" max="13790" width="15.7109375" style="1" customWidth="1"/>
    <col min="13791" max="13791" width="9.85546875" style="1" customWidth="1"/>
    <col min="13792" max="13792" width="12.85546875" style="1" customWidth="1"/>
    <col min="13793" max="13793" width="9.85546875" style="1" customWidth="1"/>
    <col min="13794" max="13795" width="12.85546875" style="1" customWidth="1"/>
    <col min="13796" max="13796" width="9.140625" style="1" customWidth="1"/>
    <col min="13797" max="13801" width="12.28515625" style="1" customWidth="1"/>
    <col min="13802" max="13802" width="11.28515625" style="1" customWidth="1"/>
    <col min="13803" max="13808" width="12.28515625" style="1" customWidth="1"/>
    <col min="13809" max="13809" width="11.140625" style="1" customWidth="1"/>
    <col min="13810" max="13811" width="10.42578125" style="1" customWidth="1"/>
    <col min="13812" max="13813" width="9.140625" style="1" customWidth="1"/>
    <col min="13814" max="13825" width="9.85546875" style="1" customWidth="1"/>
    <col min="13826" max="13826" width="13" style="1" customWidth="1"/>
    <col min="13827" max="13828" width="9.28515625" style="1" customWidth="1"/>
    <col min="13829" max="13829" width="9.140625" style="1" customWidth="1"/>
    <col min="13830" max="13830" width="9.28515625" style="1" customWidth="1"/>
    <col min="13831" max="13831" width="10.28515625" style="1" bestFit="1" customWidth="1"/>
    <col min="13832" max="13842" width="9.140625" style="1"/>
    <col min="13843" max="13843" width="9.85546875" style="1" bestFit="1" customWidth="1"/>
    <col min="13844" max="13844" width="10.42578125" style="1" bestFit="1" customWidth="1"/>
    <col min="13845" max="14044" width="9.140625" style="1"/>
    <col min="14045" max="14045" width="28" style="1" bestFit="1" customWidth="1"/>
    <col min="14046" max="14046" width="15.7109375" style="1" customWidth="1"/>
    <col min="14047" max="14047" width="9.85546875" style="1" customWidth="1"/>
    <col min="14048" max="14048" width="12.85546875" style="1" customWidth="1"/>
    <col min="14049" max="14049" width="9.85546875" style="1" customWidth="1"/>
    <col min="14050" max="14051" width="12.85546875" style="1" customWidth="1"/>
    <col min="14052" max="14052" width="9.140625" style="1" customWidth="1"/>
    <col min="14053" max="14057" width="12.28515625" style="1" customWidth="1"/>
    <col min="14058" max="14058" width="11.28515625" style="1" customWidth="1"/>
    <col min="14059" max="14064" width="12.28515625" style="1" customWidth="1"/>
    <col min="14065" max="14065" width="11.140625" style="1" customWidth="1"/>
    <col min="14066" max="14067" width="10.42578125" style="1" customWidth="1"/>
    <col min="14068" max="14069" width="9.140625" style="1" customWidth="1"/>
    <col min="14070" max="14081" width="9.85546875" style="1" customWidth="1"/>
    <col min="14082" max="14082" width="13" style="1" customWidth="1"/>
    <col min="14083" max="14084" width="9.28515625" style="1" customWidth="1"/>
    <col min="14085" max="14085" width="9.140625" style="1" customWidth="1"/>
    <col min="14086" max="14086" width="9.28515625" style="1" customWidth="1"/>
    <col min="14087" max="14087" width="10.28515625" style="1" bestFit="1" customWidth="1"/>
    <col min="14088" max="14098" width="9.140625" style="1"/>
    <col min="14099" max="14099" width="9.85546875" style="1" bestFit="1" customWidth="1"/>
    <col min="14100" max="14100" width="10.42578125" style="1" bestFit="1" customWidth="1"/>
    <col min="14101" max="14300" width="9.140625" style="1"/>
    <col min="14301" max="14301" width="28" style="1" bestFit="1" customWidth="1"/>
    <col min="14302" max="14302" width="15.7109375" style="1" customWidth="1"/>
    <col min="14303" max="14303" width="9.85546875" style="1" customWidth="1"/>
    <col min="14304" max="14304" width="12.85546875" style="1" customWidth="1"/>
    <col min="14305" max="14305" width="9.85546875" style="1" customWidth="1"/>
    <col min="14306" max="14307" width="12.85546875" style="1" customWidth="1"/>
    <col min="14308" max="14308" width="9.140625" style="1" customWidth="1"/>
    <col min="14309" max="14313" width="12.28515625" style="1" customWidth="1"/>
    <col min="14314" max="14314" width="11.28515625" style="1" customWidth="1"/>
    <col min="14315" max="14320" width="12.28515625" style="1" customWidth="1"/>
    <col min="14321" max="14321" width="11.140625" style="1" customWidth="1"/>
    <col min="14322" max="14323" width="10.42578125" style="1" customWidth="1"/>
    <col min="14324" max="14325" width="9.140625" style="1" customWidth="1"/>
    <col min="14326" max="14337" width="9.85546875" style="1" customWidth="1"/>
    <col min="14338" max="14338" width="13" style="1" customWidth="1"/>
    <col min="14339" max="14340" width="9.28515625" style="1" customWidth="1"/>
    <col min="14341" max="14341" width="9.140625" style="1" customWidth="1"/>
    <col min="14342" max="14342" width="9.28515625" style="1" customWidth="1"/>
    <col min="14343" max="14343" width="10.28515625" style="1" bestFit="1" customWidth="1"/>
    <col min="14344" max="14354" width="9.140625" style="1"/>
    <col min="14355" max="14355" width="9.85546875" style="1" bestFit="1" customWidth="1"/>
    <col min="14356" max="14356" width="10.42578125" style="1" bestFit="1" customWidth="1"/>
    <col min="14357" max="14556" width="9.140625" style="1"/>
    <col min="14557" max="14557" width="28" style="1" bestFit="1" customWidth="1"/>
    <col min="14558" max="14558" width="15.7109375" style="1" customWidth="1"/>
    <col min="14559" max="14559" width="9.85546875" style="1" customWidth="1"/>
    <col min="14560" max="14560" width="12.85546875" style="1" customWidth="1"/>
    <col min="14561" max="14561" width="9.85546875" style="1" customWidth="1"/>
    <col min="14562" max="14563" width="12.85546875" style="1" customWidth="1"/>
    <col min="14564" max="14564" width="9.140625" style="1" customWidth="1"/>
    <col min="14565" max="14569" width="12.28515625" style="1" customWidth="1"/>
    <col min="14570" max="14570" width="11.28515625" style="1" customWidth="1"/>
    <col min="14571" max="14576" width="12.28515625" style="1" customWidth="1"/>
    <col min="14577" max="14577" width="11.140625" style="1" customWidth="1"/>
    <col min="14578" max="14579" width="10.42578125" style="1" customWidth="1"/>
    <col min="14580" max="14581" width="9.140625" style="1" customWidth="1"/>
    <col min="14582" max="14593" width="9.85546875" style="1" customWidth="1"/>
    <col min="14594" max="14594" width="13" style="1" customWidth="1"/>
    <col min="14595" max="14596" width="9.28515625" style="1" customWidth="1"/>
    <col min="14597" max="14597" width="9.140625" style="1" customWidth="1"/>
    <col min="14598" max="14598" width="9.28515625" style="1" customWidth="1"/>
    <col min="14599" max="14599" width="10.28515625" style="1" bestFit="1" customWidth="1"/>
    <col min="14600" max="14610" width="9.140625" style="1"/>
    <col min="14611" max="14611" width="9.85546875" style="1" bestFit="1" customWidth="1"/>
    <col min="14612" max="14612" width="10.42578125" style="1" bestFit="1" customWidth="1"/>
    <col min="14613" max="14812" width="9.140625" style="1"/>
    <col min="14813" max="14813" width="28" style="1" bestFit="1" customWidth="1"/>
    <col min="14814" max="14814" width="15.7109375" style="1" customWidth="1"/>
    <col min="14815" max="14815" width="9.85546875" style="1" customWidth="1"/>
    <col min="14816" max="14816" width="12.85546875" style="1" customWidth="1"/>
    <col min="14817" max="14817" width="9.85546875" style="1" customWidth="1"/>
    <col min="14818" max="14819" width="12.85546875" style="1" customWidth="1"/>
    <col min="14820" max="14820" width="9.140625" style="1" customWidth="1"/>
    <col min="14821" max="14825" width="12.28515625" style="1" customWidth="1"/>
    <col min="14826" max="14826" width="11.28515625" style="1" customWidth="1"/>
    <col min="14827" max="14832" width="12.28515625" style="1" customWidth="1"/>
    <col min="14833" max="14833" width="11.140625" style="1" customWidth="1"/>
    <col min="14834" max="14835" width="10.42578125" style="1" customWidth="1"/>
    <col min="14836" max="14837" width="9.140625" style="1" customWidth="1"/>
    <col min="14838" max="14849" width="9.85546875" style="1" customWidth="1"/>
    <col min="14850" max="14850" width="13" style="1" customWidth="1"/>
    <col min="14851" max="14852" width="9.28515625" style="1" customWidth="1"/>
    <col min="14853" max="14853" width="9.140625" style="1" customWidth="1"/>
    <col min="14854" max="14854" width="9.28515625" style="1" customWidth="1"/>
    <col min="14855" max="14855" width="10.28515625" style="1" bestFit="1" customWidth="1"/>
    <col min="14856" max="14866" width="9.140625" style="1"/>
    <col min="14867" max="14867" width="9.85546875" style="1" bestFit="1" customWidth="1"/>
    <col min="14868" max="14868" width="10.42578125" style="1" bestFit="1" customWidth="1"/>
    <col min="14869" max="15068" width="9.140625" style="1"/>
    <col min="15069" max="15069" width="28" style="1" bestFit="1" customWidth="1"/>
    <col min="15070" max="15070" width="15.7109375" style="1" customWidth="1"/>
    <col min="15071" max="15071" width="9.85546875" style="1" customWidth="1"/>
    <col min="15072" max="15072" width="12.85546875" style="1" customWidth="1"/>
    <col min="15073" max="15073" width="9.85546875" style="1" customWidth="1"/>
    <col min="15074" max="15075" width="12.85546875" style="1" customWidth="1"/>
    <col min="15076" max="15076" width="9.140625" style="1" customWidth="1"/>
    <col min="15077" max="15081" width="12.28515625" style="1" customWidth="1"/>
    <col min="15082" max="15082" width="11.28515625" style="1" customWidth="1"/>
    <col min="15083" max="15088" width="12.28515625" style="1" customWidth="1"/>
    <col min="15089" max="15089" width="11.140625" style="1" customWidth="1"/>
    <col min="15090" max="15091" width="10.42578125" style="1" customWidth="1"/>
    <col min="15092" max="15093" width="9.140625" style="1" customWidth="1"/>
    <col min="15094" max="15105" width="9.85546875" style="1" customWidth="1"/>
    <col min="15106" max="15106" width="13" style="1" customWidth="1"/>
    <col min="15107" max="15108" width="9.28515625" style="1" customWidth="1"/>
    <col min="15109" max="15109" width="9.140625" style="1" customWidth="1"/>
    <col min="15110" max="15110" width="9.28515625" style="1" customWidth="1"/>
    <col min="15111" max="15111" width="10.28515625" style="1" bestFit="1" customWidth="1"/>
    <col min="15112" max="15122" width="9.140625" style="1"/>
    <col min="15123" max="15123" width="9.85546875" style="1" bestFit="1" customWidth="1"/>
    <col min="15124" max="15124" width="10.42578125" style="1" bestFit="1" customWidth="1"/>
    <col min="15125" max="15324" width="9.140625" style="1"/>
    <col min="15325" max="15325" width="28" style="1" bestFit="1" customWidth="1"/>
    <col min="15326" max="15326" width="15.7109375" style="1" customWidth="1"/>
    <col min="15327" max="15327" width="9.85546875" style="1" customWidth="1"/>
    <col min="15328" max="15328" width="12.85546875" style="1" customWidth="1"/>
    <col min="15329" max="15329" width="9.85546875" style="1" customWidth="1"/>
    <col min="15330" max="15331" width="12.85546875" style="1" customWidth="1"/>
    <col min="15332" max="15332" width="9.140625" style="1" customWidth="1"/>
    <col min="15333" max="15337" width="12.28515625" style="1" customWidth="1"/>
    <col min="15338" max="15338" width="11.28515625" style="1" customWidth="1"/>
    <col min="15339" max="15344" width="12.28515625" style="1" customWidth="1"/>
    <col min="15345" max="15345" width="11.140625" style="1" customWidth="1"/>
    <col min="15346" max="15347" width="10.42578125" style="1" customWidth="1"/>
    <col min="15348" max="15349" width="9.140625" style="1" customWidth="1"/>
    <col min="15350" max="15361" width="9.85546875" style="1" customWidth="1"/>
    <col min="15362" max="15362" width="13" style="1" customWidth="1"/>
    <col min="15363" max="15364" width="9.28515625" style="1" customWidth="1"/>
    <col min="15365" max="15365" width="9.140625" style="1" customWidth="1"/>
    <col min="15366" max="15366" width="9.28515625" style="1" customWidth="1"/>
    <col min="15367" max="15367" width="10.28515625" style="1" bestFit="1" customWidth="1"/>
    <col min="15368" max="15378" width="9.140625" style="1"/>
    <col min="15379" max="15379" width="9.85546875" style="1" bestFit="1" customWidth="1"/>
    <col min="15380" max="15380" width="10.42578125" style="1" bestFit="1" customWidth="1"/>
    <col min="15381" max="15580" width="9.140625" style="1"/>
    <col min="15581" max="15581" width="28" style="1" bestFit="1" customWidth="1"/>
    <col min="15582" max="15582" width="15.7109375" style="1" customWidth="1"/>
    <col min="15583" max="15583" width="9.85546875" style="1" customWidth="1"/>
    <col min="15584" max="15584" width="12.85546875" style="1" customWidth="1"/>
    <col min="15585" max="15585" width="9.85546875" style="1" customWidth="1"/>
    <col min="15586" max="15587" width="12.85546875" style="1" customWidth="1"/>
    <col min="15588" max="15588" width="9.140625" style="1" customWidth="1"/>
    <col min="15589" max="15593" width="12.28515625" style="1" customWidth="1"/>
    <col min="15594" max="15594" width="11.28515625" style="1" customWidth="1"/>
    <col min="15595" max="15600" width="12.28515625" style="1" customWidth="1"/>
    <col min="15601" max="15601" width="11.140625" style="1" customWidth="1"/>
    <col min="15602" max="15603" width="10.42578125" style="1" customWidth="1"/>
    <col min="15604" max="15605" width="9.140625" style="1" customWidth="1"/>
    <col min="15606" max="15617" width="9.85546875" style="1" customWidth="1"/>
    <col min="15618" max="15618" width="13" style="1" customWidth="1"/>
    <col min="15619" max="15620" width="9.28515625" style="1" customWidth="1"/>
    <col min="15621" max="15621" width="9.140625" style="1" customWidth="1"/>
    <col min="15622" max="15622" width="9.28515625" style="1" customWidth="1"/>
    <col min="15623" max="15623" width="10.28515625" style="1" bestFit="1" customWidth="1"/>
    <col min="15624" max="15634" width="9.140625" style="1"/>
    <col min="15635" max="15635" width="9.85546875" style="1" bestFit="1" customWidth="1"/>
    <col min="15636" max="15636" width="10.42578125" style="1" bestFit="1" customWidth="1"/>
    <col min="15637" max="15836" width="9.140625" style="1"/>
    <col min="15837" max="15837" width="28" style="1" bestFit="1" customWidth="1"/>
    <col min="15838" max="15838" width="15.7109375" style="1" customWidth="1"/>
    <col min="15839" max="15839" width="9.85546875" style="1" customWidth="1"/>
    <col min="15840" max="15840" width="12.85546875" style="1" customWidth="1"/>
    <col min="15841" max="15841" width="9.85546875" style="1" customWidth="1"/>
    <col min="15842" max="15843" width="12.85546875" style="1" customWidth="1"/>
    <col min="15844" max="15844" width="9.140625" style="1" customWidth="1"/>
    <col min="15845" max="15849" width="12.28515625" style="1" customWidth="1"/>
    <col min="15850" max="15850" width="11.28515625" style="1" customWidth="1"/>
    <col min="15851" max="15856" width="12.28515625" style="1" customWidth="1"/>
    <col min="15857" max="15857" width="11.140625" style="1" customWidth="1"/>
    <col min="15858" max="15859" width="10.42578125" style="1" customWidth="1"/>
    <col min="15860" max="15861" width="9.140625" style="1" customWidth="1"/>
    <col min="15862" max="15873" width="9.85546875" style="1" customWidth="1"/>
    <col min="15874" max="15874" width="13" style="1" customWidth="1"/>
    <col min="15875" max="15876" width="9.28515625" style="1" customWidth="1"/>
    <col min="15877" max="15877" width="9.140625" style="1" customWidth="1"/>
    <col min="15878" max="15878" width="9.28515625" style="1" customWidth="1"/>
    <col min="15879" max="15879" width="10.28515625" style="1" bestFit="1" customWidth="1"/>
    <col min="15880" max="15890" width="9.140625" style="1"/>
    <col min="15891" max="15891" width="9.85546875" style="1" bestFit="1" customWidth="1"/>
    <col min="15892" max="15892" width="10.42578125" style="1" bestFit="1" customWidth="1"/>
    <col min="15893" max="16092" width="9.140625" style="1"/>
    <col min="16093" max="16093" width="28" style="1" bestFit="1" customWidth="1"/>
    <col min="16094" max="16094" width="15.7109375" style="1" customWidth="1"/>
    <col min="16095" max="16095" width="9.85546875" style="1" customWidth="1"/>
    <col min="16096" max="16096" width="12.85546875" style="1" customWidth="1"/>
    <col min="16097" max="16097" width="9.85546875" style="1" customWidth="1"/>
    <col min="16098" max="16099" width="12.85546875" style="1" customWidth="1"/>
    <col min="16100" max="16100" width="9.140625" style="1" customWidth="1"/>
    <col min="16101" max="16105" width="12.28515625" style="1" customWidth="1"/>
    <col min="16106" max="16106" width="11.28515625" style="1" customWidth="1"/>
    <col min="16107" max="16112" width="12.28515625" style="1" customWidth="1"/>
    <col min="16113" max="16113" width="11.140625" style="1" customWidth="1"/>
    <col min="16114" max="16115" width="10.42578125" style="1" customWidth="1"/>
    <col min="16116" max="16117" width="9.140625" style="1" customWidth="1"/>
    <col min="16118" max="16129" width="9.85546875" style="1" customWidth="1"/>
    <col min="16130" max="16130" width="13" style="1" customWidth="1"/>
    <col min="16131" max="16132" width="9.28515625" style="1" customWidth="1"/>
    <col min="16133" max="16133" width="9.140625" style="1" customWidth="1"/>
    <col min="16134" max="16134" width="9.28515625" style="1" customWidth="1"/>
    <col min="16135" max="16135" width="10.28515625" style="1" bestFit="1" customWidth="1"/>
    <col min="16136" max="16146" width="9.140625" style="1"/>
    <col min="16147" max="16147" width="9.85546875" style="1" bestFit="1" customWidth="1"/>
    <col min="16148" max="16148" width="10.42578125" style="1" bestFit="1" customWidth="1"/>
    <col min="16149" max="16384" width="9.140625" style="1"/>
  </cols>
  <sheetData>
    <row r="1" spans="1:20" x14ac:dyDescent="0.2">
      <c r="F1" s="177" t="s">
        <v>49</v>
      </c>
      <c r="G1" s="177" t="s">
        <v>48</v>
      </c>
      <c r="H1" s="177" t="s">
        <v>47</v>
      </c>
      <c r="I1" s="177" t="s">
        <v>46</v>
      </c>
      <c r="J1" s="177" t="s">
        <v>45</v>
      </c>
      <c r="K1" s="177" t="s">
        <v>44</v>
      </c>
      <c r="L1" s="177" t="s">
        <v>43</v>
      </c>
      <c r="M1" s="177" t="s">
        <v>42</v>
      </c>
      <c r="N1" s="177" t="s">
        <v>41</v>
      </c>
      <c r="O1" s="177" t="s">
        <v>40</v>
      </c>
      <c r="P1" s="177" t="s">
        <v>39</v>
      </c>
      <c r="Q1" s="177" t="s">
        <v>38</v>
      </c>
      <c r="R1" s="177" t="s">
        <v>37</v>
      </c>
    </row>
    <row r="2" spans="1:20" x14ac:dyDescent="0.2">
      <c r="B2" s="139" t="s">
        <v>306</v>
      </c>
      <c r="C2" s="189">
        <f>STATS!D59</f>
        <v>200</v>
      </c>
      <c r="F2" s="131">
        <f>'MO STATS'!E55</f>
        <v>11</v>
      </c>
      <c r="G2" s="131">
        <f>'MO STATS'!F55</f>
        <v>28</v>
      </c>
      <c r="H2" s="131">
        <f>'MO STATS'!G55</f>
        <v>22</v>
      </c>
      <c r="I2" s="131">
        <f>'MO STATS'!H55</f>
        <v>18</v>
      </c>
      <c r="J2" s="131">
        <f>'MO STATS'!I55</f>
        <v>19</v>
      </c>
      <c r="K2" s="131">
        <f>'MO STATS'!J55</f>
        <v>11</v>
      </c>
      <c r="L2" s="131">
        <f>'MO STATS'!K55</f>
        <v>18</v>
      </c>
      <c r="M2" s="131">
        <f>'MO STATS'!L55</f>
        <v>15</v>
      </c>
      <c r="N2" s="131">
        <f>'MO STATS'!M55</f>
        <v>17</v>
      </c>
      <c r="O2" s="131">
        <f>'MO STATS'!N55</f>
        <v>8</v>
      </c>
      <c r="P2" s="131">
        <f>'MO STATS'!O55</f>
        <v>24</v>
      </c>
      <c r="Q2" s="131">
        <f>'MO STATS'!P55</f>
        <v>9</v>
      </c>
      <c r="R2" s="96">
        <f>SUM(F2:Q2)</f>
        <v>200</v>
      </c>
      <c r="S2" s="3">
        <f>C2-R2</f>
        <v>0</v>
      </c>
    </row>
    <row r="3" spans="1:20" x14ac:dyDescent="0.2">
      <c r="B3" s="139" t="s">
        <v>308</v>
      </c>
      <c r="C3" s="189">
        <f>STATS!D60</f>
        <v>2200</v>
      </c>
      <c r="F3" s="131">
        <f>'MO STATS'!E56</f>
        <v>166</v>
      </c>
      <c r="G3" s="131">
        <f>'MO STATS'!F56</f>
        <v>181</v>
      </c>
      <c r="H3" s="131">
        <f>'MO STATS'!G56</f>
        <v>155</v>
      </c>
      <c r="I3" s="131">
        <f>'MO STATS'!H56</f>
        <v>179</v>
      </c>
      <c r="J3" s="131">
        <f>'MO STATS'!I56</f>
        <v>186</v>
      </c>
      <c r="K3" s="131">
        <f>'MO STATS'!J56</f>
        <v>199</v>
      </c>
      <c r="L3" s="131">
        <f>'MO STATS'!K56</f>
        <v>207</v>
      </c>
      <c r="M3" s="131">
        <f>'MO STATS'!L56</f>
        <v>198</v>
      </c>
      <c r="N3" s="131">
        <f>'MO STATS'!M56</f>
        <v>166</v>
      </c>
      <c r="O3" s="131">
        <f>'MO STATS'!N56</f>
        <v>184</v>
      </c>
      <c r="P3" s="131">
        <f>'MO STATS'!O56</f>
        <v>216</v>
      </c>
      <c r="Q3" s="131">
        <f>'MO STATS'!P56</f>
        <v>163</v>
      </c>
      <c r="R3" s="96">
        <f>SUM(F3:Q3)</f>
        <v>2200</v>
      </c>
      <c r="S3" s="3">
        <f>C3-R3</f>
        <v>0</v>
      </c>
    </row>
    <row r="4" spans="1:20" x14ac:dyDescent="0.2">
      <c r="B4" s="139" t="s">
        <v>310</v>
      </c>
      <c r="C4" s="189">
        <f>C2+C3</f>
        <v>2400</v>
      </c>
      <c r="F4" s="131">
        <f>'MO STATS'!E57</f>
        <v>177</v>
      </c>
      <c r="G4" s="131">
        <f>'MO STATS'!F57</f>
        <v>209</v>
      </c>
      <c r="H4" s="131">
        <f>'MO STATS'!G57</f>
        <v>177</v>
      </c>
      <c r="I4" s="131">
        <f>'MO STATS'!H57</f>
        <v>197</v>
      </c>
      <c r="J4" s="131">
        <f>'MO STATS'!I57</f>
        <v>205</v>
      </c>
      <c r="K4" s="131">
        <f>'MO STATS'!J57</f>
        <v>210</v>
      </c>
      <c r="L4" s="131">
        <f>'MO STATS'!K57</f>
        <v>225</v>
      </c>
      <c r="M4" s="131">
        <f>'MO STATS'!L57</f>
        <v>213</v>
      </c>
      <c r="N4" s="131">
        <f>'MO STATS'!M57</f>
        <v>183</v>
      </c>
      <c r="O4" s="131">
        <f>'MO STATS'!N57</f>
        <v>192</v>
      </c>
      <c r="P4" s="131">
        <f>'MO STATS'!O57</f>
        <v>240</v>
      </c>
      <c r="Q4" s="131">
        <f>'MO STATS'!P57</f>
        <v>172</v>
      </c>
      <c r="R4" s="96">
        <f>SUM(R2:R3)</f>
        <v>2400</v>
      </c>
      <c r="S4" s="3">
        <f>C4-R4</f>
        <v>0</v>
      </c>
    </row>
    <row r="5" spans="1:20" x14ac:dyDescent="0.2">
      <c r="B5" s="139"/>
      <c r="H5" s="4"/>
      <c r="I5" s="4"/>
      <c r="J5" s="4"/>
      <c r="K5" s="4"/>
      <c r="L5" s="4"/>
      <c r="M5" s="4"/>
      <c r="N5" s="4"/>
      <c r="O5" s="4"/>
      <c r="P5" s="4"/>
      <c r="Q5" s="4"/>
    </row>
    <row r="6" spans="1:20" x14ac:dyDescent="0.2">
      <c r="A6" s="716" t="s">
        <v>35</v>
      </c>
      <c r="B6" s="716"/>
      <c r="C6" s="716"/>
      <c r="D6" s="716"/>
      <c r="E6" s="37"/>
    </row>
    <row r="7" spans="1:20" x14ac:dyDescent="0.2">
      <c r="A7" s="31"/>
      <c r="B7" s="77" t="s">
        <v>507</v>
      </c>
      <c r="C7" s="78"/>
      <c r="D7" s="102" t="s">
        <v>508</v>
      </c>
      <c r="E7" s="103"/>
    </row>
    <row r="8" spans="1:20" x14ac:dyDescent="0.2">
      <c r="A8" s="16"/>
      <c r="B8" s="29" t="s">
        <v>352</v>
      </c>
      <c r="C8" s="28">
        <f>D8*C$2</f>
        <v>128022.36842105263</v>
      </c>
      <c r="D8" s="13">
        <f>[5]CT!$J$11</f>
        <v>640.11184210526312</v>
      </c>
      <c r="E8" s="7"/>
      <c r="F8" s="375">
        <f>$D8*F$2</f>
        <v>7041.2302631578941</v>
      </c>
      <c r="G8" s="375">
        <f t="shared" ref="G8:Q14" si="0">$D8*G$2</f>
        <v>17923.131578947367</v>
      </c>
      <c r="H8" s="375">
        <f t="shared" si="0"/>
        <v>14082.460526315788</v>
      </c>
      <c r="I8" s="375">
        <f t="shared" si="0"/>
        <v>11522.013157894737</v>
      </c>
      <c r="J8" s="375">
        <f t="shared" si="0"/>
        <v>12162.125</v>
      </c>
      <c r="K8" s="375">
        <f t="shared" si="0"/>
        <v>7041.2302631578941</v>
      </c>
      <c r="L8" s="375">
        <f t="shared" si="0"/>
        <v>11522.013157894737</v>
      </c>
      <c r="M8" s="375">
        <f t="shared" si="0"/>
        <v>9601.6776315789466</v>
      </c>
      <c r="N8" s="375">
        <f t="shared" si="0"/>
        <v>10881.901315789473</v>
      </c>
      <c r="O8" s="375">
        <f t="shared" si="0"/>
        <v>5120.894736842105</v>
      </c>
      <c r="P8" s="375">
        <f t="shared" si="0"/>
        <v>15362.684210526315</v>
      </c>
      <c r="Q8" s="375">
        <f t="shared" si="0"/>
        <v>5761.0065789473683</v>
      </c>
      <c r="R8" s="109">
        <f>SUM(F8:Q8)</f>
        <v>128022.36842105263</v>
      </c>
      <c r="S8" s="3">
        <f>C8-R8</f>
        <v>0</v>
      </c>
      <c r="T8" s="3"/>
    </row>
    <row r="9" spans="1:20" x14ac:dyDescent="0.2">
      <c r="A9" s="16"/>
      <c r="B9" s="29" t="s">
        <v>353</v>
      </c>
      <c r="C9" s="28">
        <f t="shared" ref="C9:C22" si="1">D9*C$2</f>
        <v>0</v>
      </c>
      <c r="D9" s="13">
        <v>0</v>
      </c>
      <c r="E9" s="7"/>
      <c r="F9" s="375">
        <f t="shared" ref="F9:F14" si="2">$D9*F$2</f>
        <v>0</v>
      </c>
      <c r="G9" s="375">
        <f t="shared" si="0"/>
        <v>0</v>
      </c>
      <c r="H9" s="375">
        <f t="shared" si="0"/>
        <v>0</v>
      </c>
      <c r="I9" s="375">
        <f t="shared" si="0"/>
        <v>0</v>
      </c>
      <c r="J9" s="375">
        <f t="shared" si="0"/>
        <v>0</v>
      </c>
      <c r="K9" s="375">
        <f t="shared" si="0"/>
        <v>0</v>
      </c>
      <c r="L9" s="375">
        <f t="shared" si="0"/>
        <v>0</v>
      </c>
      <c r="M9" s="375">
        <f t="shared" si="0"/>
        <v>0</v>
      </c>
      <c r="N9" s="375">
        <f t="shared" si="0"/>
        <v>0</v>
      </c>
      <c r="O9" s="375">
        <f t="shared" si="0"/>
        <v>0</v>
      </c>
      <c r="P9" s="375">
        <f t="shared" si="0"/>
        <v>0</v>
      </c>
      <c r="Q9" s="375">
        <f t="shared" si="0"/>
        <v>0</v>
      </c>
      <c r="R9" s="109">
        <f t="shared" ref="R9:R32" si="3">SUM(F9:Q9)</f>
        <v>0</v>
      </c>
      <c r="S9" s="3">
        <f t="shared" ref="S9:S32" si="4">C9-R9</f>
        <v>0</v>
      </c>
      <c r="T9" s="3"/>
    </row>
    <row r="10" spans="1:20" x14ac:dyDescent="0.2">
      <c r="A10" s="16"/>
      <c r="B10" s="29" t="s">
        <v>355</v>
      </c>
      <c r="C10" s="28">
        <f t="shared" si="1"/>
        <v>12913.157894736842</v>
      </c>
      <c r="D10" s="13">
        <f>[5]CT!$J$13</f>
        <v>64.565789473684205</v>
      </c>
      <c r="E10" s="7"/>
      <c r="F10" s="375">
        <f t="shared" si="2"/>
        <v>710.22368421052624</v>
      </c>
      <c r="G10" s="375">
        <f t="shared" si="0"/>
        <v>1807.8421052631577</v>
      </c>
      <c r="H10" s="375">
        <f t="shared" si="0"/>
        <v>1420.4473684210525</v>
      </c>
      <c r="I10" s="375">
        <f t="shared" si="0"/>
        <v>1162.1842105263156</v>
      </c>
      <c r="J10" s="375">
        <f t="shared" si="0"/>
        <v>1226.75</v>
      </c>
      <c r="K10" s="375">
        <f t="shared" si="0"/>
        <v>710.22368421052624</v>
      </c>
      <c r="L10" s="375">
        <f t="shared" si="0"/>
        <v>1162.1842105263156</v>
      </c>
      <c r="M10" s="375">
        <f t="shared" si="0"/>
        <v>968.48684210526312</v>
      </c>
      <c r="N10" s="375">
        <f t="shared" si="0"/>
        <v>1097.6184210526314</v>
      </c>
      <c r="O10" s="375">
        <f t="shared" si="0"/>
        <v>516.52631578947364</v>
      </c>
      <c r="P10" s="375">
        <f t="shared" si="0"/>
        <v>1549.5789473684208</v>
      </c>
      <c r="Q10" s="375">
        <f t="shared" si="0"/>
        <v>581.0921052631578</v>
      </c>
      <c r="R10" s="109">
        <f t="shared" si="3"/>
        <v>12913.157894736842</v>
      </c>
      <c r="S10" s="3">
        <f t="shared" si="4"/>
        <v>0</v>
      </c>
      <c r="T10" s="3"/>
    </row>
    <row r="11" spans="1:20" x14ac:dyDescent="0.2">
      <c r="A11" s="16"/>
      <c r="B11" s="29" t="s">
        <v>370</v>
      </c>
      <c r="C11" s="28">
        <f t="shared" si="1"/>
        <v>0</v>
      </c>
      <c r="D11" s="13"/>
      <c r="E11" s="7"/>
      <c r="F11" s="375">
        <f t="shared" si="2"/>
        <v>0</v>
      </c>
      <c r="G11" s="375">
        <f t="shared" si="0"/>
        <v>0</v>
      </c>
      <c r="H11" s="375">
        <f t="shared" si="0"/>
        <v>0</v>
      </c>
      <c r="I11" s="375">
        <f t="shared" si="0"/>
        <v>0</v>
      </c>
      <c r="J11" s="375">
        <f t="shared" si="0"/>
        <v>0</v>
      </c>
      <c r="K11" s="375">
        <f t="shared" si="0"/>
        <v>0</v>
      </c>
      <c r="L11" s="375">
        <f t="shared" si="0"/>
        <v>0</v>
      </c>
      <c r="M11" s="375">
        <f t="shared" si="0"/>
        <v>0</v>
      </c>
      <c r="N11" s="375">
        <f t="shared" si="0"/>
        <v>0</v>
      </c>
      <c r="O11" s="375">
        <f t="shared" si="0"/>
        <v>0</v>
      </c>
      <c r="P11" s="375">
        <f t="shared" si="0"/>
        <v>0</v>
      </c>
      <c r="Q11" s="375">
        <f t="shared" si="0"/>
        <v>0</v>
      </c>
      <c r="R11" s="109">
        <f t="shared" si="3"/>
        <v>0</v>
      </c>
      <c r="S11" s="3">
        <f t="shared" si="4"/>
        <v>0</v>
      </c>
      <c r="T11" s="3"/>
    </row>
    <row r="12" spans="1:20" x14ac:dyDescent="0.2">
      <c r="A12" s="16"/>
      <c r="B12" s="29" t="s">
        <v>356</v>
      </c>
      <c r="C12" s="28">
        <f t="shared" si="1"/>
        <v>11940.789473684212</v>
      </c>
      <c r="D12" s="13">
        <f>[5]CT!$J$15</f>
        <v>59.703947368421055</v>
      </c>
      <c r="E12" s="7"/>
      <c r="F12" s="375">
        <f t="shared" si="2"/>
        <v>656.74342105263156</v>
      </c>
      <c r="G12" s="375">
        <f t="shared" si="0"/>
        <v>1671.7105263157896</v>
      </c>
      <c r="H12" s="375">
        <f t="shared" si="0"/>
        <v>1313.4868421052631</v>
      </c>
      <c r="I12" s="375">
        <f t="shared" si="0"/>
        <v>1074.671052631579</v>
      </c>
      <c r="J12" s="375">
        <f t="shared" si="0"/>
        <v>1134.375</v>
      </c>
      <c r="K12" s="375">
        <f t="shared" si="0"/>
        <v>656.74342105263156</v>
      </c>
      <c r="L12" s="375">
        <f t="shared" si="0"/>
        <v>1074.671052631579</v>
      </c>
      <c r="M12" s="375">
        <f t="shared" si="0"/>
        <v>895.55921052631584</v>
      </c>
      <c r="N12" s="375">
        <f t="shared" si="0"/>
        <v>1014.9671052631579</v>
      </c>
      <c r="O12" s="375">
        <f t="shared" si="0"/>
        <v>477.63157894736844</v>
      </c>
      <c r="P12" s="375">
        <f t="shared" si="0"/>
        <v>1432.8947368421054</v>
      </c>
      <c r="Q12" s="375">
        <f t="shared" si="0"/>
        <v>537.33552631578948</v>
      </c>
      <c r="R12" s="109">
        <f t="shared" si="3"/>
        <v>11940.789473684212</v>
      </c>
      <c r="S12" s="3">
        <f t="shared" si="4"/>
        <v>0</v>
      </c>
      <c r="T12" s="3"/>
    </row>
    <row r="13" spans="1:20" x14ac:dyDescent="0.2">
      <c r="A13" s="16"/>
      <c r="B13" s="29" t="s">
        <v>354</v>
      </c>
      <c r="C13" s="28">
        <f t="shared" si="1"/>
        <v>48347.368421052633</v>
      </c>
      <c r="D13" s="13">
        <f>[5]CT!$J$16</f>
        <v>241.73684210526315</v>
      </c>
      <c r="E13" s="7"/>
      <c r="F13" s="375">
        <f t="shared" si="2"/>
        <v>2659.1052631578946</v>
      </c>
      <c r="G13" s="375">
        <f t="shared" si="0"/>
        <v>6768.6315789473683</v>
      </c>
      <c r="H13" s="375">
        <f t="shared" si="0"/>
        <v>5318.2105263157891</v>
      </c>
      <c r="I13" s="375">
        <f t="shared" si="0"/>
        <v>4351.2631578947367</v>
      </c>
      <c r="J13" s="375">
        <f t="shared" si="0"/>
        <v>4593</v>
      </c>
      <c r="K13" s="375">
        <f t="shared" si="0"/>
        <v>2659.1052631578946</v>
      </c>
      <c r="L13" s="375">
        <f t="shared" si="0"/>
        <v>4351.2631578947367</v>
      </c>
      <c r="M13" s="375">
        <f t="shared" si="0"/>
        <v>3626.0526315789471</v>
      </c>
      <c r="N13" s="375">
        <f t="shared" si="0"/>
        <v>4109.5263157894733</v>
      </c>
      <c r="O13" s="375">
        <f t="shared" si="0"/>
        <v>1933.8947368421052</v>
      </c>
      <c r="P13" s="375">
        <f t="shared" si="0"/>
        <v>5801.6842105263158</v>
      </c>
      <c r="Q13" s="375">
        <f t="shared" si="0"/>
        <v>2175.6315789473683</v>
      </c>
      <c r="R13" s="109">
        <f t="shared" si="3"/>
        <v>48347.368421052626</v>
      </c>
      <c r="S13" s="3">
        <f t="shared" si="4"/>
        <v>0</v>
      </c>
      <c r="T13" s="3"/>
    </row>
    <row r="14" spans="1:20" x14ac:dyDescent="0.2">
      <c r="A14" s="16"/>
      <c r="B14" s="29" t="s">
        <v>357</v>
      </c>
      <c r="C14" s="28">
        <f t="shared" si="1"/>
        <v>3980.2631578947371</v>
      </c>
      <c r="D14" s="13">
        <f>[5]CT!$J$17</f>
        <v>19.901315789473685</v>
      </c>
      <c r="E14" s="7"/>
      <c r="F14" s="375">
        <f t="shared" si="2"/>
        <v>218.91447368421052</v>
      </c>
      <c r="G14" s="375">
        <f t="shared" si="0"/>
        <v>557.23684210526312</v>
      </c>
      <c r="H14" s="375">
        <f t="shared" si="0"/>
        <v>437.82894736842104</v>
      </c>
      <c r="I14" s="375">
        <f t="shared" si="0"/>
        <v>358.22368421052636</v>
      </c>
      <c r="J14" s="375">
        <f t="shared" si="0"/>
        <v>378.125</v>
      </c>
      <c r="K14" s="375">
        <f t="shared" si="0"/>
        <v>218.91447368421052</v>
      </c>
      <c r="L14" s="375">
        <f t="shared" si="0"/>
        <v>358.22368421052636</v>
      </c>
      <c r="M14" s="375">
        <f t="shared" si="0"/>
        <v>298.51973684210526</v>
      </c>
      <c r="N14" s="375">
        <f t="shared" si="0"/>
        <v>338.32236842105266</v>
      </c>
      <c r="O14" s="375">
        <f t="shared" si="0"/>
        <v>159.21052631578948</v>
      </c>
      <c r="P14" s="375">
        <f t="shared" si="0"/>
        <v>477.63157894736844</v>
      </c>
      <c r="Q14" s="375">
        <f t="shared" si="0"/>
        <v>179.11184210526318</v>
      </c>
      <c r="R14" s="109">
        <f t="shared" si="3"/>
        <v>3980.2631578947367</v>
      </c>
      <c r="S14" s="3">
        <f t="shared" si="4"/>
        <v>0</v>
      </c>
      <c r="T14" s="3"/>
    </row>
    <row r="15" spans="1:20" x14ac:dyDescent="0.2">
      <c r="A15" s="87">
        <v>31110.062999999998</v>
      </c>
      <c r="B15" s="161" t="s">
        <v>509</v>
      </c>
      <c r="C15" s="293">
        <f>SUM(C8:C14)</f>
        <v>205203.94736842107</v>
      </c>
      <c r="D15" s="292"/>
      <c r="E15" s="292"/>
      <c r="F15" s="369">
        <f>SUM(F8:F14)</f>
        <v>11286.217105263157</v>
      </c>
      <c r="G15" s="369">
        <f t="shared" ref="G15:Q15" si="5">SUM(G8:G14)</f>
        <v>28728.552631578943</v>
      </c>
      <c r="H15" s="369">
        <f t="shared" si="5"/>
        <v>22572.434210526313</v>
      </c>
      <c r="I15" s="369">
        <f t="shared" si="5"/>
        <v>18468.355263157893</v>
      </c>
      <c r="J15" s="369">
        <f t="shared" si="5"/>
        <v>19494.375</v>
      </c>
      <c r="K15" s="369">
        <f t="shared" si="5"/>
        <v>11286.217105263157</v>
      </c>
      <c r="L15" s="369">
        <f t="shared" si="5"/>
        <v>18468.355263157893</v>
      </c>
      <c r="M15" s="369">
        <f t="shared" si="5"/>
        <v>15390.296052631578</v>
      </c>
      <c r="N15" s="369">
        <f t="shared" si="5"/>
        <v>17442.33552631579</v>
      </c>
      <c r="O15" s="369">
        <f t="shared" si="5"/>
        <v>8208.1578947368416</v>
      </c>
      <c r="P15" s="369">
        <f t="shared" si="5"/>
        <v>24624.47368421053</v>
      </c>
      <c r="Q15" s="369">
        <f t="shared" si="5"/>
        <v>9234.1776315789466</v>
      </c>
      <c r="R15" s="369">
        <f t="shared" si="3"/>
        <v>205203.94736842107</v>
      </c>
      <c r="S15" s="291">
        <f t="shared" si="4"/>
        <v>0</v>
      </c>
      <c r="T15" s="3"/>
    </row>
    <row r="16" spans="1:20" x14ac:dyDescent="0.2">
      <c r="A16" s="16"/>
      <c r="B16" s="29" t="s">
        <v>424</v>
      </c>
      <c r="C16" s="28">
        <f t="shared" si="1"/>
        <v>55552.631578947367</v>
      </c>
      <c r="D16" s="13">
        <f>[5]CT!$J$21</f>
        <v>277.76315789473682</v>
      </c>
      <c r="E16" s="7"/>
      <c r="F16" s="375">
        <f>$D16*F$2</f>
        <v>3055.394736842105</v>
      </c>
      <c r="G16" s="375">
        <f t="shared" ref="G16:Q22" si="6">$D16*G$2</f>
        <v>7777.3684210526308</v>
      </c>
      <c r="H16" s="375">
        <f t="shared" si="6"/>
        <v>6110.78947368421</v>
      </c>
      <c r="I16" s="375">
        <f t="shared" si="6"/>
        <v>4999.7368421052624</v>
      </c>
      <c r="J16" s="375">
        <f t="shared" si="6"/>
        <v>5277.5</v>
      </c>
      <c r="K16" s="375">
        <f t="shared" si="6"/>
        <v>3055.394736842105</v>
      </c>
      <c r="L16" s="375">
        <f t="shared" si="6"/>
        <v>4999.7368421052624</v>
      </c>
      <c r="M16" s="375">
        <f t="shared" si="6"/>
        <v>4166.4473684210525</v>
      </c>
      <c r="N16" s="375">
        <f t="shared" si="6"/>
        <v>4721.9736842105258</v>
      </c>
      <c r="O16" s="375">
        <f t="shared" si="6"/>
        <v>2222.1052631578946</v>
      </c>
      <c r="P16" s="375">
        <f t="shared" si="6"/>
        <v>6666.3157894736833</v>
      </c>
      <c r="Q16" s="375">
        <f t="shared" si="6"/>
        <v>2499.8684210526312</v>
      </c>
      <c r="R16" s="109">
        <f t="shared" si="3"/>
        <v>55552.631578947367</v>
      </c>
      <c r="S16" s="3">
        <f t="shared" si="4"/>
        <v>0</v>
      </c>
      <c r="T16" s="3"/>
    </row>
    <row r="17" spans="1:20" x14ac:dyDescent="0.2">
      <c r="A17" s="16"/>
      <c r="B17" s="29" t="s">
        <v>425</v>
      </c>
      <c r="C17" s="28">
        <f t="shared" si="1"/>
        <v>0</v>
      </c>
      <c r="D17" s="13"/>
      <c r="E17" s="7"/>
      <c r="F17" s="375">
        <f t="shared" ref="F17:F22" si="7">$D17*F$2</f>
        <v>0</v>
      </c>
      <c r="G17" s="375">
        <f t="shared" si="6"/>
        <v>0</v>
      </c>
      <c r="H17" s="375">
        <f t="shared" si="6"/>
        <v>0</v>
      </c>
      <c r="I17" s="375">
        <f t="shared" si="6"/>
        <v>0</v>
      </c>
      <c r="J17" s="375">
        <f t="shared" si="6"/>
        <v>0</v>
      </c>
      <c r="K17" s="375">
        <f t="shared" si="6"/>
        <v>0</v>
      </c>
      <c r="L17" s="375">
        <f t="shared" si="6"/>
        <v>0</v>
      </c>
      <c r="M17" s="375">
        <f t="shared" si="6"/>
        <v>0</v>
      </c>
      <c r="N17" s="375">
        <f t="shared" si="6"/>
        <v>0</v>
      </c>
      <c r="O17" s="375">
        <f t="shared" si="6"/>
        <v>0</v>
      </c>
      <c r="P17" s="375">
        <f t="shared" si="6"/>
        <v>0</v>
      </c>
      <c r="Q17" s="375">
        <f t="shared" si="6"/>
        <v>0</v>
      </c>
      <c r="R17" s="376">
        <f t="shared" si="3"/>
        <v>0</v>
      </c>
      <c r="S17" s="3">
        <f t="shared" si="4"/>
        <v>0</v>
      </c>
      <c r="T17" s="3"/>
    </row>
    <row r="18" spans="1:20" x14ac:dyDescent="0.2">
      <c r="A18" s="16"/>
      <c r="B18" s="29" t="s">
        <v>426</v>
      </c>
      <c r="C18" s="28">
        <f t="shared" si="1"/>
        <v>0</v>
      </c>
      <c r="D18" s="13"/>
      <c r="E18" s="7"/>
      <c r="F18" s="375">
        <f t="shared" si="7"/>
        <v>0</v>
      </c>
      <c r="G18" s="375">
        <f t="shared" si="6"/>
        <v>0</v>
      </c>
      <c r="H18" s="375">
        <f t="shared" si="6"/>
        <v>0</v>
      </c>
      <c r="I18" s="375">
        <f t="shared" si="6"/>
        <v>0</v>
      </c>
      <c r="J18" s="375">
        <f t="shared" si="6"/>
        <v>0</v>
      </c>
      <c r="K18" s="375">
        <f t="shared" si="6"/>
        <v>0</v>
      </c>
      <c r="L18" s="375">
        <f t="shared" si="6"/>
        <v>0</v>
      </c>
      <c r="M18" s="375">
        <f t="shared" si="6"/>
        <v>0</v>
      </c>
      <c r="N18" s="375">
        <f t="shared" si="6"/>
        <v>0</v>
      </c>
      <c r="O18" s="375">
        <f t="shared" si="6"/>
        <v>0</v>
      </c>
      <c r="P18" s="375">
        <f t="shared" si="6"/>
        <v>0</v>
      </c>
      <c r="Q18" s="375">
        <f t="shared" si="6"/>
        <v>0</v>
      </c>
      <c r="R18" s="109">
        <f t="shared" si="3"/>
        <v>0</v>
      </c>
      <c r="S18" s="3">
        <f t="shared" si="4"/>
        <v>0</v>
      </c>
      <c r="T18" s="3"/>
    </row>
    <row r="19" spans="1:20" x14ac:dyDescent="0.2">
      <c r="A19" s="16"/>
      <c r="B19" s="29" t="s">
        <v>427</v>
      </c>
      <c r="C19" s="28">
        <f t="shared" si="1"/>
        <v>0</v>
      </c>
      <c r="D19" s="13"/>
      <c r="E19" s="7"/>
      <c r="F19" s="375">
        <f t="shared" si="7"/>
        <v>0</v>
      </c>
      <c r="G19" s="375">
        <f t="shared" si="6"/>
        <v>0</v>
      </c>
      <c r="H19" s="375">
        <f t="shared" si="6"/>
        <v>0</v>
      </c>
      <c r="I19" s="375">
        <f t="shared" si="6"/>
        <v>0</v>
      </c>
      <c r="J19" s="375">
        <f t="shared" si="6"/>
        <v>0</v>
      </c>
      <c r="K19" s="375">
        <f t="shared" si="6"/>
        <v>0</v>
      </c>
      <c r="L19" s="375">
        <f t="shared" si="6"/>
        <v>0</v>
      </c>
      <c r="M19" s="375">
        <f t="shared" si="6"/>
        <v>0</v>
      </c>
      <c r="N19" s="375">
        <f t="shared" si="6"/>
        <v>0</v>
      </c>
      <c r="O19" s="375">
        <f t="shared" si="6"/>
        <v>0</v>
      </c>
      <c r="P19" s="375">
        <f t="shared" si="6"/>
        <v>0</v>
      </c>
      <c r="Q19" s="375">
        <f t="shared" si="6"/>
        <v>0</v>
      </c>
      <c r="R19" s="109">
        <f t="shared" si="3"/>
        <v>0</v>
      </c>
      <c r="S19" s="3">
        <f t="shared" si="4"/>
        <v>0</v>
      </c>
      <c r="T19" s="3"/>
    </row>
    <row r="20" spans="1:20" x14ac:dyDescent="0.2">
      <c r="A20" s="16"/>
      <c r="B20" s="29" t="s">
        <v>428</v>
      </c>
      <c r="C20" s="28">
        <f t="shared" si="1"/>
        <v>0</v>
      </c>
      <c r="D20" s="13"/>
      <c r="E20" s="7"/>
      <c r="F20" s="375">
        <f t="shared" si="7"/>
        <v>0</v>
      </c>
      <c r="G20" s="375">
        <f t="shared" si="6"/>
        <v>0</v>
      </c>
      <c r="H20" s="375">
        <f t="shared" si="6"/>
        <v>0</v>
      </c>
      <c r="I20" s="375">
        <f t="shared" si="6"/>
        <v>0</v>
      </c>
      <c r="J20" s="375">
        <f t="shared" si="6"/>
        <v>0</v>
      </c>
      <c r="K20" s="375">
        <f t="shared" si="6"/>
        <v>0</v>
      </c>
      <c r="L20" s="375">
        <f t="shared" si="6"/>
        <v>0</v>
      </c>
      <c r="M20" s="375">
        <f t="shared" si="6"/>
        <v>0</v>
      </c>
      <c r="N20" s="375">
        <f t="shared" si="6"/>
        <v>0</v>
      </c>
      <c r="O20" s="375">
        <f t="shared" si="6"/>
        <v>0</v>
      </c>
      <c r="P20" s="375">
        <f t="shared" si="6"/>
        <v>0</v>
      </c>
      <c r="Q20" s="375">
        <f t="shared" si="6"/>
        <v>0</v>
      </c>
      <c r="R20" s="109">
        <f t="shared" si="3"/>
        <v>0</v>
      </c>
      <c r="S20" s="3">
        <f t="shared" si="4"/>
        <v>0</v>
      </c>
      <c r="T20" s="3"/>
    </row>
    <row r="21" spans="1:20" x14ac:dyDescent="0.2">
      <c r="A21" s="16"/>
      <c r="B21" s="29" t="s">
        <v>429</v>
      </c>
      <c r="C21" s="28">
        <f t="shared" si="1"/>
        <v>0</v>
      </c>
      <c r="D21" s="13"/>
      <c r="E21" s="7"/>
      <c r="F21" s="375">
        <f t="shared" si="7"/>
        <v>0</v>
      </c>
      <c r="G21" s="375">
        <f t="shared" si="6"/>
        <v>0</v>
      </c>
      <c r="H21" s="375">
        <f t="shared" si="6"/>
        <v>0</v>
      </c>
      <c r="I21" s="375">
        <f t="shared" si="6"/>
        <v>0</v>
      </c>
      <c r="J21" s="375">
        <f t="shared" si="6"/>
        <v>0</v>
      </c>
      <c r="K21" s="375">
        <f t="shared" si="6"/>
        <v>0</v>
      </c>
      <c r="L21" s="375">
        <f t="shared" si="6"/>
        <v>0</v>
      </c>
      <c r="M21" s="375">
        <f t="shared" si="6"/>
        <v>0</v>
      </c>
      <c r="N21" s="375">
        <f t="shared" si="6"/>
        <v>0</v>
      </c>
      <c r="O21" s="375">
        <f t="shared" si="6"/>
        <v>0</v>
      </c>
      <c r="P21" s="375">
        <f t="shared" si="6"/>
        <v>0</v>
      </c>
      <c r="Q21" s="375">
        <f t="shared" si="6"/>
        <v>0</v>
      </c>
      <c r="R21" s="109">
        <f t="shared" si="3"/>
        <v>0</v>
      </c>
      <c r="S21" s="3">
        <f t="shared" si="4"/>
        <v>0</v>
      </c>
      <c r="T21" s="3"/>
    </row>
    <row r="22" spans="1:20" x14ac:dyDescent="0.2">
      <c r="A22" s="16"/>
      <c r="B22" s="29" t="s">
        <v>430</v>
      </c>
      <c r="C22" s="28">
        <f t="shared" si="1"/>
        <v>0</v>
      </c>
      <c r="D22" s="13"/>
      <c r="E22" s="7"/>
      <c r="F22" s="375">
        <f t="shared" si="7"/>
        <v>0</v>
      </c>
      <c r="G22" s="375">
        <f t="shared" si="6"/>
        <v>0</v>
      </c>
      <c r="H22" s="375">
        <f t="shared" si="6"/>
        <v>0</v>
      </c>
      <c r="I22" s="375">
        <f t="shared" si="6"/>
        <v>0</v>
      </c>
      <c r="J22" s="375">
        <f t="shared" si="6"/>
        <v>0</v>
      </c>
      <c r="K22" s="375">
        <f t="shared" si="6"/>
        <v>0</v>
      </c>
      <c r="L22" s="375">
        <f t="shared" si="6"/>
        <v>0</v>
      </c>
      <c r="M22" s="375">
        <f t="shared" si="6"/>
        <v>0</v>
      </c>
      <c r="N22" s="375">
        <f t="shared" si="6"/>
        <v>0</v>
      </c>
      <c r="O22" s="375">
        <f t="shared" si="6"/>
        <v>0</v>
      </c>
      <c r="P22" s="375">
        <f t="shared" si="6"/>
        <v>0</v>
      </c>
      <c r="Q22" s="375">
        <f t="shared" si="6"/>
        <v>0</v>
      </c>
      <c r="R22" s="109">
        <f t="shared" si="3"/>
        <v>0</v>
      </c>
      <c r="S22" s="3">
        <f t="shared" si="4"/>
        <v>0</v>
      </c>
      <c r="T22" s="3"/>
    </row>
    <row r="23" spans="1:20" x14ac:dyDescent="0.2">
      <c r="A23" s="87">
        <v>31111.062999999998</v>
      </c>
      <c r="B23" s="161" t="s">
        <v>510</v>
      </c>
      <c r="C23" s="293">
        <f>SUM(C16:C22)</f>
        <v>55552.631578947367</v>
      </c>
      <c r="D23" s="292"/>
      <c r="E23" s="292"/>
      <c r="F23" s="369">
        <f>SUM(F16:F22)</f>
        <v>3055.394736842105</v>
      </c>
      <c r="G23" s="369">
        <f t="shared" ref="G23:Q23" si="8">SUM(G16:G22)</f>
        <v>7777.3684210526308</v>
      </c>
      <c r="H23" s="369">
        <f t="shared" si="8"/>
        <v>6110.78947368421</v>
      </c>
      <c r="I23" s="369">
        <f t="shared" si="8"/>
        <v>4999.7368421052624</v>
      </c>
      <c r="J23" s="369">
        <f t="shared" si="8"/>
        <v>5277.5</v>
      </c>
      <c r="K23" s="369">
        <f t="shared" si="8"/>
        <v>3055.394736842105</v>
      </c>
      <c r="L23" s="369">
        <f t="shared" si="8"/>
        <v>4999.7368421052624</v>
      </c>
      <c r="M23" s="369">
        <f t="shared" si="8"/>
        <v>4166.4473684210525</v>
      </c>
      <c r="N23" s="369">
        <f t="shared" si="8"/>
        <v>4721.9736842105258</v>
      </c>
      <c r="O23" s="369">
        <f t="shared" si="8"/>
        <v>2222.1052631578946</v>
      </c>
      <c r="P23" s="369">
        <f t="shared" si="8"/>
        <v>6666.3157894736833</v>
      </c>
      <c r="Q23" s="369">
        <f t="shared" si="8"/>
        <v>2499.8684210526312</v>
      </c>
      <c r="R23" s="369">
        <f t="shared" si="3"/>
        <v>55552.631578947367</v>
      </c>
      <c r="S23" s="291">
        <f t="shared" si="4"/>
        <v>0</v>
      </c>
      <c r="T23" s="3"/>
    </row>
    <row r="24" spans="1:20" x14ac:dyDescent="0.2">
      <c r="A24" s="16"/>
      <c r="B24" s="29" t="s">
        <v>358</v>
      </c>
      <c r="C24" s="28">
        <f t="shared" ref="C24:C30" si="9">D24*C$3</f>
        <v>1493269.1508857666</v>
      </c>
      <c r="D24" s="13">
        <f>[5]CT!$J$31</f>
        <v>678.75870494807577</v>
      </c>
      <c r="E24" s="7"/>
      <c r="F24" s="375">
        <f>$D24*F$3</f>
        <v>112673.94502138058</v>
      </c>
      <c r="G24" s="375">
        <f t="shared" ref="G24:Q30" si="10">$D24*G$3</f>
        <v>122855.32559560171</v>
      </c>
      <c r="H24" s="375">
        <f t="shared" si="10"/>
        <v>105207.59926695174</v>
      </c>
      <c r="I24" s="375">
        <f t="shared" si="10"/>
        <v>121497.80818570557</v>
      </c>
      <c r="J24" s="375">
        <f t="shared" si="10"/>
        <v>126249.11912034209</v>
      </c>
      <c r="K24" s="375">
        <f t="shared" si="10"/>
        <v>135072.98228466709</v>
      </c>
      <c r="L24" s="375">
        <f t="shared" si="10"/>
        <v>140503.05192425169</v>
      </c>
      <c r="M24" s="375">
        <f t="shared" si="10"/>
        <v>134394.22357971899</v>
      </c>
      <c r="N24" s="375">
        <f t="shared" si="10"/>
        <v>112673.94502138058</v>
      </c>
      <c r="O24" s="375">
        <f t="shared" si="10"/>
        <v>124891.60171044595</v>
      </c>
      <c r="P24" s="375">
        <f t="shared" si="10"/>
        <v>146611.88026878436</v>
      </c>
      <c r="Q24" s="375">
        <f t="shared" si="10"/>
        <v>110637.66890653635</v>
      </c>
      <c r="R24" s="109">
        <f t="shared" si="3"/>
        <v>1493269.1508857668</v>
      </c>
      <c r="S24" s="3">
        <f t="shared" si="4"/>
        <v>0</v>
      </c>
      <c r="T24" s="3"/>
    </row>
    <row r="25" spans="1:20" x14ac:dyDescent="0.2">
      <c r="A25" s="16"/>
      <c r="B25" s="29" t="s">
        <v>359</v>
      </c>
      <c r="C25" s="28">
        <f t="shared" si="9"/>
        <v>125491.38668295663</v>
      </c>
      <c r="D25" s="13">
        <f>[5]CT!$J$32</f>
        <v>57.041539401343918</v>
      </c>
      <c r="E25" s="7"/>
      <c r="F25" s="375">
        <f t="shared" ref="F25:F30" si="11">$D25*F$3</f>
        <v>9468.8955406230907</v>
      </c>
      <c r="G25" s="375">
        <f t="shared" si="10"/>
        <v>10324.51863164325</v>
      </c>
      <c r="H25" s="375">
        <f t="shared" si="10"/>
        <v>8841.4386072083071</v>
      </c>
      <c r="I25" s="375">
        <f t="shared" si="10"/>
        <v>10210.435552840561</v>
      </c>
      <c r="J25" s="375">
        <f t="shared" si="10"/>
        <v>10609.726328649969</v>
      </c>
      <c r="K25" s="375">
        <f t="shared" si="10"/>
        <v>11351.26634086744</v>
      </c>
      <c r="L25" s="375">
        <f t="shared" si="10"/>
        <v>11807.598656078191</v>
      </c>
      <c r="M25" s="375">
        <f t="shared" si="10"/>
        <v>11294.224801466096</v>
      </c>
      <c r="N25" s="375">
        <f t="shared" si="10"/>
        <v>9468.8955406230907</v>
      </c>
      <c r="O25" s="375">
        <f t="shared" si="10"/>
        <v>10495.64324984728</v>
      </c>
      <c r="P25" s="375">
        <f t="shared" si="10"/>
        <v>12320.972510690286</v>
      </c>
      <c r="Q25" s="375">
        <f t="shared" si="10"/>
        <v>9297.7709224190585</v>
      </c>
      <c r="R25" s="109">
        <f t="shared" si="3"/>
        <v>125491.38668295664</v>
      </c>
      <c r="S25" s="3">
        <f t="shared" si="4"/>
        <v>0</v>
      </c>
      <c r="T25" s="3"/>
    </row>
    <row r="26" spans="1:20" x14ac:dyDescent="0.2">
      <c r="A26" s="16"/>
      <c r="B26" s="29" t="s">
        <v>372</v>
      </c>
      <c r="C26" s="28">
        <f t="shared" si="9"/>
        <v>456354.18448381184</v>
      </c>
      <c r="D26" s="13">
        <f>[5]CT!$J$33</f>
        <v>207.43372021991448</v>
      </c>
      <c r="E26" s="7"/>
      <c r="F26" s="375">
        <f t="shared" si="11"/>
        <v>34433.997556505805</v>
      </c>
      <c r="G26" s="375">
        <f t="shared" si="10"/>
        <v>37545.503359804519</v>
      </c>
      <c r="H26" s="375">
        <f t="shared" si="10"/>
        <v>32152.226634086743</v>
      </c>
      <c r="I26" s="375">
        <f t="shared" si="10"/>
        <v>37130.635919364693</v>
      </c>
      <c r="J26" s="375">
        <f t="shared" si="10"/>
        <v>38582.671960904096</v>
      </c>
      <c r="K26" s="375">
        <f t="shared" si="10"/>
        <v>41279.310323762984</v>
      </c>
      <c r="L26" s="375">
        <f t="shared" si="10"/>
        <v>42938.780085522296</v>
      </c>
      <c r="M26" s="375">
        <f t="shared" si="10"/>
        <v>41071.876603543067</v>
      </c>
      <c r="N26" s="375">
        <f t="shared" si="10"/>
        <v>34433.997556505805</v>
      </c>
      <c r="O26" s="375">
        <f t="shared" si="10"/>
        <v>38167.804520464262</v>
      </c>
      <c r="P26" s="375">
        <f t="shared" si="10"/>
        <v>44805.683567501525</v>
      </c>
      <c r="Q26" s="375">
        <f t="shared" si="10"/>
        <v>33811.696395846062</v>
      </c>
      <c r="R26" s="109">
        <f t="shared" si="3"/>
        <v>456354.18448381184</v>
      </c>
      <c r="S26" s="3">
        <f t="shared" si="4"/>
        <v>0</v>
      </c>
      <c r="T26" s="3"/>
    </row>
    <row r="27" spans="1:20" x14ac:dyDescent="0.2">
      <c r="A27" s="16"/>
      <c r="B27" s="29" t="s">
        <v>373</v>
      </c>
      <c r="C27" s="28">
        <f t="shared" si="9"/>
        <v>0</v>
      </c>
      <c r="D27" s="13">
        <v>0</v>
      </c>
      <c r="E27" s="7"/>
      <c r="F27" s="375">
        <f t="shared" si="11"/>
        <v>0</v>
      </c>
      <c r="G27" s="375">
        <f t="shared" si="10"/>
        <v>0</v>
      </c>
      <c r="H27" s="375">
        <f t="shared" si="10"/>
        <v>0</v>
      </c>
      <c r="I27" s="375">
        <f t="shared" si="10"/>
        <v>0</v>
      </c>
      <c r="J27" s="375">
        <f t="shared" si="10"/>
        <v>0</v>
      </c>
      <c r="K27" s="375">
        <f t="shared" si="10"/>
        <v>0</v>
      </c>
      <c r="L27" s="375">
        <f t="shared" si="10"/>
        <v>0</v>
      </c>
      <c r="M27" s="375">
        <f t="shared" si="10"/>
        <v>0</v>
      </c>
      <c r="N27" s="375">
        <f t="shared" si="10"/>
        <v>0</v>
      </c>
      <c r="O27" s="375">
        <f t="shared" si="10"/>
        <v>0</v>
      </c>
      <c r="P27" s="375">
        <f t="shared" si="10"/>
        <v>0</v>
      </c>
      <c r="Q27" s="375">
        <f t="shared" si="10"/>
        <v>0</v>
      </c>
      <c r="R27" s="109">
        <f t="shared" si="3"/>
        <v>0</v>
      </c>
      <c r="S27" s="3">
        <f t="shared" si="4"/>
        <v>0</v>
      </c>
      <c r="T27" s="3"/>
    </row>
    <row r="28" spans="1:20" x14ac:dyDescent="0.2">
      <c r="A28" s="16"/>
      <c r="B28" s="29" t="s">
        <v>361</v>
      </c>
      <c r="C28" s="28">
        <f t="shared" si="9"/>
        <v>562858.6438607208</v>
      </c>
      <c r="D28" s="13">
        <f>[5]CT!$J$34+[5]CT!$J$35</f>
        <v>255.84483811850947</v>
      </c>
      <c r="E28" s="7"/>
      <c r="F28" s="375">
        <f t="shared" si="11"/>
        <v>42470.243127672569</v>
      </c>
      <c r="G28" s="375">
        <f t="shared" si="10"/>
        <v>46307.915699450212</v>
      </c>
      <c r="H28" s="375">
        <f t="shared" si="10"/>
        <v>39655.949908368966</v>
      </c>
      <c r="I28" s="375">
        <f t="shared" si="10"/>
        <v>45796.226023213196</v>
      </c>
      <c r="J28" s="375">
        <f t="shared" si="10"/>
        <v>47587.139890042759</v>
      </c>
      <c r="K28" s="375">
        <f t="shared" si="10"/>
        <v>50913.122785583386</v>
      </c>
      <c r="L28" s="375">
        <f t="shared" si="10"/>
        <v>52959.881490531458</v>
      </c>
      <c r="M28" s="375">
        <f t="shared" si="10"/>
        <v>50657.277947464878</v>
      </c>
      <c r="N28" s="375">
        <f t="shared" si="10"/>
        <v>42470.243127672569</v>
      </c>
      <c r="O28" s="375">
        <f t="shared" si="10"/>
        <v>47075.450213805743</v>
      </c>
      <c r="P28" s="375">
        <f t="shared" si="10"/>
        <v>55262.485033598045</v>
      </c>
      <c r="Q28" s="375">
        <f t="shared" si="10"/>
        <v>41702.708613317045</v>
      </c>
      <c r="R28" s="109">
        <f t="shared" si="3"/>
        <v>562858.6438607208</v>
      </c>
      <c r="S28" s="3">
        <f t="shared" si="4"/>
        <v>0</v>
      </c>
      <c r="T28" s="3"/>
    </row>
    <row r="29" spans="1:20" x14ac:dyDescent="0.2">
      <c r="A29" s="16"/>
      <c r="B29" s="29" t="s">
        <v>360</v>
      </c>
      <c r="C29" s="28">
        <f t="shared" si="9"/>
        <v>862260.23213194869</v>
      </c>
      <c r="D29" s="13">
        <f>[5]CT!$J$36</f>
        <v>391.93646915088578</v>
      </c>
      <c r="E29" s="7"/>
      <c r="F29" s="375">
        <f t="shared" si="11"/>
        <v>65061.45387904704</v>
      </c>
      <c r="G29" s="375">
        <f t="shared" si="10"/>
        <v>70940.500916310324</v>
      </c>
      <c r="H29" s="375">
        <f t="shared" si="10"/>
        <v>60750.152718387297</v>
      </c>
      <c r="I29" s="375">
        <f t="shared" si="10"/>
        <v>70156.627978008561</v>
      </c>
      <c r="J29" s="375">
        <f t="shared" si="10"/>
        <v>72900.183262064762</v>
      </c>
      <c r="K29" s="375">
        <f t="shared" si="10"/>
        <v>77995.357361026268</v>
      </c>
      <c r="L29" s="375">
        <f t="shared" si="10"/>
        <v>81130.849114233351</v>
      </c>
      <c r="M29" s="375">
        <f t="shared" si="10"/>
        <v>77603.420891875387</v>
      </c>
      <c r="N29" s="375">
        <f t="shared" si="10"/>
        <v>65061.45387904704</v>
      </c>
      <c r="O29" s="375">
        <f t="shared" si="10"/>
        <v>72116.310323762984</v>
      </c>
      <c r="P29" s="375">
        <f t="shared" si="10"/>
        <v>84658.277336591331</v>
      </c>
      <c r="Q29" s="375">
        <f t="shared" si="10"/>
        <v>63885.64447159438</v>
      </c>
      <c r="R29" s="109">
        <f t="shared" si="3"/>
        <v>862260.23213194869</v>
      </c>
      <c r="S29" s="3">
        <f t="shared" si="4"/>
        <v>0</v>
      </c>
      <c r="T29" s="3"/>
    </row>
    <row r="30" spans="1:20" x14ac:dyDescent="0.2">
      <c r="A30" s="16"/>
      <c r="B30" s="29" t="s">
        <v>362</v>
      </c>
      <c r="C30" s="28">
        <f t="shared" si="9"/>
        <v>475705.31459987781</v>
      </c>
      <c r="D30" s="13">
        <f>[5]CT!$J$37</f>
        <v>216.22968845448992</v>
      </c>
      <c r="E30" s="7"/>
      <c r="F30" s="375">
        <f t="shared" si="11"/>
        <v>35894.128283445323</v>
      </c>
      <c r="G30" s="375">
        <f t="shared" si="10"/>
        <v>39137.573610262676</v>
      </c>
      <c r="H30" s="375">
        <f t="shared" si="10"/>
        <v>33515.601710445939</v>
      </c>
      <c r="I30" s="375">
        <f t="shared" si="10"/>
        <v>38705.114233353692</v>
      </c>
      <c r="J30" s="375">
        <f t="shared" si="10"/>
        <v>40218.722052535122</v>
      </c>
      <c r="K30" s="375">
        <f t="shared" si="10"/>
        <v>43029.708002443491</v>
      </c>
      <c r="L30" s="375">
        <f t="shared" si="10"/>
        <v>44759.545510079413</v>
      </c>
      <c r="M30" s="375">
        <f t="shared" si="10"/>
        <v>42813.478313989006</v>
      </c>
      <c r="N30" s="375">
        <f t="shared" si="10"/>
        <v>35894.128283445323</v>
      </c>
      <c r="O30" s="375">
        <f t="shared" si="10"/>
        <v>39786.262675626145</v>
      </c>
      <c r="P30" s="375">
        <f t="shared" si="10"/>
        <v>46705.612706169821</v>
      </c>
      <c r="Q30" s="375">
        <f t="shared" si="10"/>
        <v>35245.439218081854</v>
      </c>
      <c r="R30" s="109">
        <f t="shared" si="3"/>
        <v>475705.31459987781</v>
      </c>
      <c r="S30" s="3">
        <f t="shared" si="4"/>
        <v>0</v>
      </c>
      <c r="T30" s="3"/>
    </row>
    <row r="31" spans="1:20" x14ac:dyDescent="0.2">
      <c r="A31" s="90">
        <v>31200.062999999998</v>
      </c>
      <c r="B31" s="161" t="s">
        <v>511</v>
      </c>
      <c r="C31" s="293">
        <f>SUM(C24:C30)</f>
        <v>3975938.9126450825</v>
      </c>
      <c r="D31" s="292"/>
      <c r="E31" s="292"/>
      <c r="F31" s="369">
        <f>SUM(F24:F30)</f>
        <v>300002.66340867436</v>
      </c>
      <c r="G31" s="369">
        <f t="shared" ref="G31:Q31" si="12">SUM(G24:G30)</f>
        <v>327111.33781307266</v>
      </c>
      <c r="H31" s="369">
        <f t="shared" si="12"/>
        <v>280122.96884544898</v>
      </c>
      <c r="I31" s="369">
        <f t="shared" si="12"/>
        <v>323496.84789248632</v>
      </c>
      <c r="J31" s="369">
        <f t="shared" si="12"/>
        <v>336147.56261453877</v>
      </c>
      <c r="K31" s="369">
        <f t="shared" si="12"/>
        <v>359641.74709835066</v>
      </c>
      <c r="L31" s="369">
        <f t="shared" si="12"/>
        <v>374099.7067806964</v>
      </c>
      <c r="M31" s="369">
        <f t="shared" si="12"/>
        <v>357834.50213805743</v>
      </c>
      <c r="N31" s="369">
        <f t="shared" si="12"/>
        <v>300002.66340867436</v>
      </c>
      <c r="O31" s="369">
        <f t="shared" si="12"/>
        <v>332533.07269395236</v>
      </c>
      <c r="P31" s="369">
        <f t="shared" si="12"/>
        <v>390364.91142333538</v>
      </c>
      <c r="Q31" s="369">
        <f t="shared" si="12"/>
        <v>294580.92852779478</v>
      </c>
      <c r="R31" s="369">
        <f t="shared" si="3"/>
        <v>3975938.912645082</v>
      </c>
      <c r="S31" s="291">
        <f t="shared" si="4"/>
        <v>0</v>
      </c>
      <c r="T31" s="3"/>
    </row>
    <row r="32" spans="1:20" s="5" customFormat="1" x14ac:dyDescent="0.2">
      <c r="A32" s="132"/>
      <c r="B32" s="77" t="s">
        <v>0</v>
      </c>
      <c r="C32" s="293">
        <f>C15+C23+C31</f>
        <v>4236695.491592451</v>
      </c>
      <c r="D32" s="292">
        <f>(C32/C$4)</f>
        <v>1765.2897881635213</v>
      </c>
      <c r="E32" s="292"/>
      <c r="F32" s="369">
        <f>F15+F23+F31</f>
        <v>314344.27525077964</v>
      </c>
      <c r="G32" s="369">
        <f t="shared" ref="G32:Q32" si="13">G15+G23+G31</f>
        <v>363617.25886570424</v>
      </c>
      <c r="H32" s="369">
        <f t="shared" si="13"/>
        <v>308806.19252965949</v>
      </c>
      <c r="I32" s="369">
        <f t="shared" si="13"/>
        <v>346964.93999774946</v>
      </c>
      <c r="J32" s="369">
        <f t="shared" si="13"/>
        <v>360919.43761453877</v>
      </c>
      <c r="K32" s="369">
        <f t="shared" si="13"/>
        <v>373983.35894045595</v>
      </c>
      <c r="L32" s="369">
        <f t="shared" si="13"/>
        <v>397567.79888595955</v>
      </c>
      <c r="M32" s="369">
        <f t="shared" si="13"/>
        <v>377391.24555911007</v>
      </c>
      <c r="N32" s="369">
        <f t="shared" si="13"/>
        <v>322166.97261920065</v>
      </c>
      <c r="O32" s="369">
        <f t="shared" si="13"/>
        <v>342963.33585184708</v>
      </c>
      <c r="P32" s="369">
        <f t="shared" si="13"/>
        <v>421655.70089701959</v>
      </c>
      <c r="Q32" s="369">
        <f t="shared" si="13"/>
        <v>306314.97458042635</v>
      </c>
      <c r="R32" s="369">
        <f t="shared" si="3"/>
        <v>4236695.4915924519</v>
      </c>
      <c r="S32" s="291">
        <f t="shared" si="4"/>
        <v>0</v>
      </c>
      <c r="T32" s="3"/>
    </row>
    <row r="33" spans="1:20" x14ac:dyDescent="0.2">
      <c r="D33" s="111"/>
      <c r="E33" s="111"/>
      <c r="F33" s="414"/>
      <c r="G33" s="414"/>
      <c r="H33" s="414"/>
      <c r="I33" s="414"/>
      <c r="J33" s="414"/>
      <c r="K33" s="414"/>
      <c r="L33" s="414"/>
      <c r="M33" s="414"/>
      <c r="N33" s="414"/>
      <c r="O33" s="414"/>
      <c r="P33" s="414"/>
      <c r="Q33" s="414"/>
      <c r="R33" s="160"/>
    </row>
    <row r="34" spans="1:20" s="12" customFormat="1" x14ac:dyDescent="0.2">
      <c r="A34" s="716" t="s">
        <v>25</v>
      </c>
      <c r="B34" s="716"/>
      <c r="C34" s="716"/>
      <c r="D34" s="716"/>
      <c r="E34" s="37"/>
      <c r="F34" s="414"/>
      <c r="G34" s="414"/>
      <c r="H34" s="414"/>
      <c r="I34" s="414"/>
      <c r="J34" s="414"/>
      <c r="K34" s="414"/>
      <c r="L34" s="414"/>
      <c r="M34" s="414"/>
      <c r="N34" s="414"/>
      <c r="O34" s="414"/>
      <c r="P34" s="414"/>
      <c r="Q34" s="414"/>
      <c r="R34" s="414"/>
      <c r="S34" s="4"/>
      <c r="T34" s="4"/>
    </row>
    <row r="35" spans="1:20" s="92" customFormat="1" x14ac:dyDescent="0.2">
      <c r="A35" s="31"/>
      <c r="B35" s="77" t="s">
        <v>507</v>
      </c>
      <c r="C35" s="78"/>
      <c r="D35" s="182" t="s">
        <v>512</v>
      </c>
      <c r="E35" s="181"/>
      <c r="F35" s="373"/>
      <c r="G35" s="373"/>
      <c r="H35" s="373"/>
      <c r="I35" s="373"/>
      <c r="J35" s="373"/>
      <c r="K35" s="373"/>
      <c r="L35" s="373"/>
      <c r="M35" s="373"/>
      <c r="N35" s="373"/>
      <c r="O35" s="373"/>
      <c r="P35" s="373"/>
      <c r="Q35" s="373"/>
      <c r="R35" s="373"/>
      <c r="S35" s="153"/>
      <c r="T35" s="153"/>
    </row>
    <row r="36" spans="1:20" s="92" customFormat="1" x14ac:dyDescent="0.2">
      <c r="A36" s="87">
        <v>41237.063000000002</v>
      </c>
      <c r="B36" s="15" t="s">
        <v>456</v>
      </c>
      <c r="C36" s="14"/>
      <c r="D36" s="329">
        <f>$C36/C$4</f>
        <v>0</v>
      </c>
      <c r="E36" s="181"/>
      <c r="F36" s="373">
        <f>$D36*F$4</f>
        <v>0</v>
      </c>
      <c r="G36" s="373">
        <f t="shared" ref="G36:Q36" si="14">$D36*G$4</f>
        <v>0</v>
      </c>
      <c r="H36" s="373">
        <f t="shared" si="14"/>
        <v>0</v>
      </c>
      <c r="I36" s="373">
        <f t="shared" si="14"/>
        <v>0</v>
      </c>
      <c r="J36" s="373">
        <f t="shared" si="14"/>
        <v>0</v>
      </c>
      <c r="K36" s="373">
        <f t="shared" si="14"/>
        <v>0</v>
      </c>
      <c r="L36" s="373">
        <f t="shared" si="14"/>
        <v>0</v>
      </c>
      <c r="M36" s="373">
        <f t="shared" si="14"/>
        <v>0</v>
      </c>
      <c r="N36" s="373">
        <f t="shared" si="14"/>
        <v>0</v>
      </c>
      <c r="O36" s="373">
        <f t="shared" si="14"/>
        <v>0</v>
      </c>
      <c r="P36" s="373">
        <f t="shared" si="14"/>
        <v>0</v>
      </c>
      <c r="Q36" s="373">
        <f t="shared" si="14"/>
        <v>0</v>
      </c>
      <c r="R36" s="109">
        <f>SUM(F36:Q36)</f>
        <v>0</v>
      </c>
      <c r="S36" s="3">
        <f>C36-R36</f>
        <v>0</v>
      </c>
      <c r="T36" s="153"/>
    </row>
    <row r="37" spans="1:20" s="92" customFormat="1" x14ac:dyDescent="0.2">
      <c r="A37" s="87">
        <v>41365.063000000002</v>
      </c>
      <c r="B37" s="15" t="s">
        <v>10</v>
      </c>
      <c r="C37" s="14">
        <f>'[6]CT Scan'!$I$15</f>
        <v>10850</v>
      </c>
      <c r="D37" s="329">
        <f>$C37/C$4</f>
        <v>4.520833333333333</v>
      </c>
      <c r="E37" s="120"/>
      <c r="F37" s="373">
        <f>$D37*F$4</f>
        <v>800.1875</v>
      </c>
      <c r="G37" s="373">
        <f t="shared" ref="G37:Q42" si="15">$D37*G$4</f>
        <v>944.85416666666663</v>
      </c>
      <c r="H37" s="373">
        <f t="shared" si="15"/>
        <v>800.1875</v>
      </c>
      <c r="I37" s="373">
        <f t="shared" si="15"/>
        <v>890.60416666666663</v>
      </c>
      <c r="J37" s="373">
        <f t="shared" si="15"/>
        <v>926.77083333333326</v>
      </c>
      <c r="K37" s="373">
        <f t="shared" si="15"/>
        <v>949.37499999999989</v>
      </c>
      <c r="L37" s="373">
        <f t="shared" si="15"/>
        <v>1017.1874999999999</v>
      </c>
      <c r="M37" s="373">
        <f t="shared" si="15"/>
        <v>962.93749999999989</v>
      </c>
      <c r="N37" s="373">
        <f t="shared" si="15"/>
        <v>827.3125</v>
      </c>
      <c r="O37" s="373">
        <f t="shared" si="15"/>
        <v>868</v>
      </c>
      <c r="P37" s="373">
        <f t="shared" si="15"/>
        <v>1085</v>
      </c>
      <c r="Q37" s="373">
        <f t="shared" si="15"/>
        <v>777.58333333333326</v>
      </c>
      <c r="R37" s="109">
        <f>SUM(F37:Q37)</f>
        <v>10850</v>
      </c>
      <c r="S37" s="3">
        <f>C37-R37</f>
        <v>0</v>
      </c>
      <c r="T37" s="3"/>
    </row>
    <row r="38" spans="1:20" s="92" customFormat="1" x14ac:dyDescent="0.2">
      <c r="A38" s="87">
        <v>41423.063000000002</v>
      </c>
      <c r="B38" s="15" t="s">
        <v>1079</v>
      </c>
      <c r="C38" s="14">
        <f>'[6]CT Scan'!$I$16</f>
        <v>200</v>
      </c>
      <c r="D38" s="329">
        <f t="shared" ref="D38:D40" si="16">$C38/C$4</f>
        <v>8.3333333333333329E-2</v>
      </c>
      <c r="E38" s="120"/>
      <c r="F38" s="373">
        <f>$D38*F$4</f>
        <v>14.75</v>
      </c>
      <c r="G38" s="373">
        <f t="shared" si="15"/>
        <v>17.416666666666664</v>
      </c>
      <c r="H38" s="373">
        <f t="shared" si="15"/>
        <v>14.75</v>
      </c>
      <c r="I38" s="373">
        <f t="shared" si="15"/>
        <v>16.416666666666664</v>
      </c>
      <c r="J38" s="373">
        <f t="shared" si="15"/>
        <v>17.083333333333332</v>
      </c>
      <c r="K38" s="373">
        <f t="shared" si="15"/>
        <v>17.5</v>
      </c>
      <c r="L38" s="373">
        <f t="shared" si="15"/>
        <v>18.75</v>
      </c>
      <c r="M38" s="373">
        <f t="shared" si="15"/>
        <v>17.75</v>
      </c>
      <c r="N38" s="373">
        <f t="shared" si="15"/>
        <v>15.25</v>
      </c>
      <c r="O38" s="373">
        <f t="shared" si="15"/>
        <v>16</v>
      </c>
      <c r="P38" s="373">
        <f t="shared" si="15"/>
        <v>20</v>
      </c>
      <c r="Q38" s="373">
        <f t="shared" si="15"/>
        <v>14.333333333333332</v>
      </c>
      <c r="R38" s="109">
        <f>SUM(F38:Q38)</f>
        <v>200</v>
      </c>
      <c r="S38" s="3">
        <f>C38-R38</f>
        <v>0</v>
      </c>
      <c r="T38" s="3"/>
    </row>
    <row r="39" spans="1:20" s="92" customFormat="1" x14ac:dyDescent="0.2">
      <c r="A39" s="87">
        <v>41509.063000000002</v>
      </c>
      <c r="B39" s="15" t="s">
        <v>3</v>
      </c>
      <c r="C39" s="14">
        <v>0</v>
      </c>
      <c r="D39" s="329">
        <f t="shared" si="16"/>
        <v>0</v>
      </c>
      <c r="E39" s="120"/>
      <c r="F39" s="373">
        <f t="shared" ref="F39:Q42" si="17">$D39*F$4</f>
        <v>0</v>
      </c>
      <c r="G39" s="373">
        <f t="shared" si="15"/>
        <v>0</v>
      </c>
      <c r="H39" s="373">
        <f t="shared" si="15"/>
        <v>0</v>
      </c>
      <c r="I39" s="373">
        <f t="shared" si="15"/>
        <v>0</v>
      </c>
      <c r="J39" s="373">
        <f t="shared" si="15"/>
        <v>0</v>
      </c>
      <c r="K39" s="373">
        <f t="shared" si="15"/>
        <v>0</v>
      </c>
      <c r="L39" s="373">
        <f t="shared" si="15"/>
        <v>0</v>
      </c>
      <c r="M39" s="373">
        <f t="shared" si="15"/>
        <v>0</v>
      </c>
      <c r="N39" s="373">
        <f t="shared" si="15"/>
        <v>0</v>
      </c>
      <c r="O39" s="373">
        <f t="shared" si="15"/>
        <v>0</v>
      </c>
      <c r="P39" s="373">
        <f t="shared" si="15"/>
        <v>0</v>
      </c>
      <c r="Q39" s="373">
        <f t="shared" si="15"/>
        <v>0</v>
      </c>
      <c r="R39" s="109">
        <f t="shared" ref="R39:R42" si="18">SUM(F39:Q39)</f>
        <v>0</v>
      </c>
      <c r="S39" s="3">
        <f t="shared" ref="S39:S43" si="19">C39-R39</f>
        <v>0</v>
      </c>
      <c r="T39" s="3"/>
    </row>
    <row r="40" spans="1:20" s="92" customFormat="1" x14ac:dyDescent="0.2">
      <c r="A40" s="87">
        <v>41560.063000000002</v>
      </c>
      <c r="B40" s="15" t="s">
        <v>1080</v>
      </c>
      <c r="C40" s="14">
        <f>'[6]CT Scan'!$I$17</f>
        <v>150</v>
      </c>
      <c r="D40" s="329">
        <f t="shared" si="16"/>
        <v>6.25E-2</v>
      </c>
      <c r="E40" s="120"/>
      <c r="F40" s="373">
        <f t="shared" si="17"/>
        <v>11.0625</v>
      </c>
      <c r="G40" s="373">
        <f t="shared" si="17"/>
        <v>13.0625</v>
      </c>
      <c r="H40" s="373">
        <f t="shared" si="17"/>
        <v>11.0625</v>
      </c>
      <c r="I40" s="373">
        <f t="shared" si="17"/>
        <v>12.3125</v>
      </c>
      <c r="J40" s="373">
        <f t="shared" si="17"/>
        <v>12.8125</v>
      </c>
      <c r="K40" s="373">
        <f t="shared" si="17"/>
        <v>13.125</v>
      </c>
      <c r="L40" s="373">
        <f t="shared" si="17"/>
        <v>14.0625</v>
      </c>
      <c r="M40" s="373">
        <f t="shared" si="17"/>
        <v>13.3125</v>
      </c>
      <c r="N40" s="373">
        <f t="shared" si="17"/>
        <v>11.4375</v>
      </c>
      <c r="O40" s="373">
        <f t="shared" si="17"/>
        <v>12</v>
      </c>
      <c r="P40" s="373">
        <f t="shared" si="17"/>
        <v>15</v>
      </c>
      <c r="Q40" s="373">
        <f t="shared" si="17"/>
        <v>10.75</v>
      </c>
      <c r="R40" s="109">
        <f t="shared" si="18"/>
        <v>150</v>
      </c>
      <c r="S40" s="3">
        <f t="shared" si="19"/>
        <v>0</v>
      </c>
      <c r="T40" s="3"/>
    </row>
    <row r="41" spans="1:20" s="92" customFormat="1" x14ac:dyDescent="0.2">
      <c r="A41" s="87">
        <v>41570.063000000002</v>
      </c>
      <c r="B41" s="15" t="s">
        <v>2</v>
      </c>
      <c r="C41" s="14">
        <f>'[6]CT Scan'!$I$18</f>
        <v>650</v>
      </c>
      <c r="D41" s="329">
        <f t="shared" ref="D41:D42" si="20">$C41/C$4</f>
        <v>0.27083333333333331</v>
      </c>
      <c r="E41" s="120"/>
      <c r="F41" s="373">
        <f t="shared" si="17"/>
        <v>47.9375</v>
      </c>
      <c r="G41" s="373">
        <f t="shared" si="17"/>
        <v>56.604166666666664</v>
      </c>
      <c r="H41" s="373">
        <f t="shared" si="17"/>
        <v>47.9375</v>
      </c>
      <c r="I41" s="373">
        <f t="shared" si="17"/>
        <v>53.354166666666664</v>
      </c>
      <c r="J41" s="373">
        <f t="shared" si="17"/>
        <v>55.520833333333329</v>
      </c>
      <c r="K41" s="373">
        <f t="shared" si="17"/>
        <v>56.874999999999993</v>
      </c>
      <c r="L41" s="373">
        <f t="shared" si="17"/>
        <v>60.937499999999993</v>
      </c>
      <c r="M41" s="373">
        <f t="shared" si="17"/>
        <v>57.687499999999993</v>
      </c>
      <c r="N41" s="373">
        <f t="shared" si="17"/>
        <v>49.5625</v>
      </c>
      <c r="O41" s="373">
        <f t="shared" si="17"/>
        <v>52</v>
      </c>
      <c r="P41" s="373">
        <f t="shared" si="17"/>
        <v>65</v>
      </c>
      <c r="Q41" s="373">
        <f t="shared" si="17"/>
        <v>46.583333333333329</v>
      </c>
      <c r="R41" s="109">
        <f t="shared" ref="R41" si="21">SUM(F41:Q41)</f>
        <v>650</v>
      </c>
      <c r="S41" s="3">
        <f t="shared" ref="S41" si="22">C41-R41</f>
        <v>0</v>
      </c>
      <c r="T41" s="3"/>
    </row>
    <row r="42" spans="1:20" s="92" customFormat="1" x14ac:dyDescent="0.2">
      <c r="A42" s="87">
        <v>41571.063000000002</v>
      </c>
      <c r="B42" s="15" t="s">
        <v>1</v>
      </c>
      <c r="C42" s="14">
        <f>'[6]CT Scan'!$I$19</f>
        <v>57000</v>
      </c>
      <c r="D42" s="329">
        <f t="shared" si="20"/>
        <v>23.75</v>
      </c>
      <c r="E42" s="120"/>
      <c r="F42" s="373">
        <f t="shared" si="17"/>
        <v>4203.75</v>
      </c>
      <c r="G42" s="373">
        <f t="shared" si="15"/>
        <v>4963.75</v>
      </c>
      <c r="H42" s="373">
        <f t="shared" si="15"/>
        <v>4203.75</v>
      </c>
      <c r="I42" s="373">
        <f t="shared" si="15"/>
        <v>4678.75</v>
      </c>
      <c r="J42" s="373">
        <f t="shared" si="15"/>
        <v>4868.75</v>
      </c>
      <c r="K42" s="373">
        <f t="shared" si="15"/>
        <v>4987.5</v>
      </c>
      <c r="L42" s="373">
        <f t="shared" si="15"/>
        <v>5343.75</v>
      </c>
      <c r="M42" s="373">
        <f t="shared" si="15"/>
        <v>5058.75</v>
      </c>
      <c r="N42" s="373">
        <f t="shared" si="15"/>
        <v>4346.25</v>
      </c>
      <c r="O42" s="373">
        <f t="shared" si="15"/>
        <v>4560</v>
      </c>
      <c r="P42" s="373">
        <f t="shared" si="15"/>
        <v>5700</v>
      </c>
      <c r="Q42" s="373">
        <f t="shared" si="15"/>
        <v>4085</v>
      </c>
      <c r="R42" s="109">
        <f t="shared" si="18"/>
        <v>57000</v>
      </c>
      <c r="S42" s="3">
        <f t="shared" si="19"/>
        <v>0</v>
      </c>
      <c r="T42" s="3"/>
    </row>
    <row r="43" spans="1:20" s="170" customFormat="1" x14ac:dyDescent="0.2">
      <c r="A43" s="132"/>
      <c r="B43" s="77" t="s">
        <v>0</v>
      </c>
      <c r="C43" s="88">
        <f>SUM(C36:C42)</f>
        <v>68850</v>
      </c>
      <c r="D43" s="128">
        <f>SUM(D36:D42)</f>
        <v>28.6875</v>
      </c>
      <c r="E43" s="128"/>
      <c r="F43" s="374">
        <f>SUM(F36:F42)</f>
        <v>5077.6875</v>
      </c>
      <c r="G43" s="374">
        <f t="shared" ref="G43:Q43" si="23">SUM(G36:G42)</f>
        <v>5995.6875</v>
      </c>
      <c r="H43" s="374">
        <f t="shared" si="23"/>
        <v>5077.6875</v>
      </c>
      <c r="I43" s="374">
        <f t="shared" si="23"/>
        <v>5651.4375</v>
      </c>
      <c r="J43" s="374">
        <f t="shared" si="23"/>
        <v>5880.9375</v>
      </c>
      <c r="K43" s="374">
        <f t="shared" si="23"/>
        <v>6024.375</v>
      </c>
      <c r="L43" s="374">
        <f t="shared" si="23"/>
        <v>6454.6875</v>
      </c>
      <c r="M43" s="374">
        <f t="shared" si="23"/>
        <v>6110.4375</v>
      </c>
      <c r="N43" s="374">
        <f t="shared" si="23"/>
        <v>5249.8125</v>
      </c>
      <c r="O43" s="374">
        <f t="shared" si="23"/>
        <v>5508</v>
      </c>
      <c r="P43" s="374">
        <f t="shared" si="23"/>
        <v>6885</v>
      </c>
      <c r="Q43" s="374">
        <f t="shared" si="23"/>
        <v>4934.25</v>
      </c>
      <c r="R43" s="109">
        <f>SUM(F43:Q43)</f>
        <v>68850</v>
      </c>
      <c r="S43" s="3">
        <f t="shared" si="19"/>
        <v>0</v>
      </c>
      <c r="T43" s="3"/>
    </row>
    <row r="44" spans="1:20" x14ac:dyDescent="0.2">
      <c r="C44" s="7">
        <f>C32-C43</f>
        <v>4167845.491592451</v>
      </c>
      <c r="F44" s="375"/>
      <c r="G44" s="375"/>
      <c r="H44" s="376"/>
      <c r="I44" s="376"/>
      <c r="J44" s="376"/>
      <c r="K44" s="376"/>
      <c r="L44" s="376"/>
      <c r="M44" s="376"/>
      <c r="N44" s="376"/>
      <c r="O44" s="376"/>
      <c r="P44" s="376"/>
      <c r="Q44" s="376"/>
      <c r="R44" s="376"/>
      <c r="S44" s="3"/>
      <c r="T44" s="3"/>
    </row>
    <row r="45" spans="1:20" x14ac:dyDescent="0.2">
      <c r="C45" s="7"/>
      <c r="F45" s="7"/>
      <c r="G45" s="7"/>
      <c r="H45" s="7"/>
      <c r="I45" s="7"/>
      <c r="J45" s="7"/>
      <c r="K45" s="7"/>
      <c r="L45" s="7"/>
      <c r="M45" s="7"/>
      <c r="N45" s="7"/>
      <c r="O45" s="7"/>
      <c r="P45" s="7"/>
      <c r="Q45" s="7"/>
      <c r="R45" s="7"/>
      <c r="S45" s="3"/>
      <c r="T45" s="4"/>
    </row>
    <row r="46" spans="1:20" ht="14.25" x14ac:dyDescent="0.2">
      <c r="B46" s="677"/>
      <c r="C46" s="7"/>
      <c r="D46" s="677"/>
      <c r="E46" s="677"/>
      <c r="F46" s="498"/>
      <c r="G46" s="498"/>
      <c r="H46" s="498"/>
      <c r="I46" s="498"/>
      <c r="J46" s="7"/>
      <c r="K46" s="7"/>
      <c r="L46" s="7"/>
      <c r="M46" s="7"/>
      <c r="N46" s="7"/>
      <c r="O46" s="7"/>
      <c r="P46" s="7"/>
      <c r="Q46" s="7"/>
      <c r="R46" s="7"/>
      <c r="T46" s="4"/>
    </row>
    <row r="47" spans="1:20" x14ac:dyDescent="0.2">
      <c r="C47" s="104"/>
      <c r="F47" s="104"/>
      <c r="G47" s="104"/>
      <c r="H47" s="104"/>
      <c r="I47" s="104"/>
      <c r="J47" s="104"/>
      <c r="K47" s="104"/>
      <c r="L47" s="104"/>
      <c r="M47" s="104"/>
      <c r="N47" s="104"/>
      <c r="O47" s="104"/>
      <c r="P47" s="104"/>
      <c r="Q47" s="104"/>
      <c r="R47" s="104"/>
      <c r="T47" s="4"/>
    </row>
    <row r="48" spans="1:20" x14ac:dyDescent="0.2">
      <c r="C48" s="104"/>
      <c r="F48" s="104"/>
      <c r="G48" s="104"/>
      <c r="H48" s="104"/>
      <c r="I48" s="104"/>
      <c r="J48" s="104"/>
      <c r="K48" s="104"/>
      <c r="L48" s="104"/>
      <c r="M48" s="104"/>
      <c r="N48" s="104"/>
      <c r="O48" s="104"/>
      <c r="P48" s="104"/>
      <c r="Q48" s="104"/>
      <c r="R48" s="104"/>
      <c r="T48" s="4"/>
    </row>
    <row r="49" spans="1:20" x14ac:dyDescent="0.2">
      <c r="C49" s="7"/>
      <c r="F49" s="7"/>
      <c r="G49" s="7"/>
      <c r="H49" s="7"/>
      <c r="I49" s="7"/>
      <c r="J49" s="7"/>
      <c r="K49" s="7"/>
      <c r="L49" s="7"/>
      <c r="M49" s="7"/>
      <c r="N49" s="7"/>
      <c r="O49" s="7"/>
      <c r="P49" s="7"/>
      <c r="Q49" s="7"/>
      <c r="R49" s="3"/>
      <c r="T49" s="4"/>
    </row>
    <row r="51" spans="1:20" ht="15" x14ac:dyDescent="0.25">
      <c r="A51" s="676"/>
      <c r="B51" s="676"/>
    </row>
    <row r="52" spans="1:20" s="2" customFormat="1" ht="15" x14ac:dyDescent="0.25">
      <c r="A52" s="676"/>
      <c r="B52" s="676"/>
      <c r="C52" s="28"/>
      <c r="D52" s="4"/>
      <c r="E52" s="4"/>
      <c r="F52" s="153"/>
      <c r="G52" s="153"/>
      <c r="H52" s="153"/>
      <c r="I52" s="153"/>
      <c r="J52" s="153"/>
      <c r="K52" s="153"/>
      <c r="L52" s="153"/>
      <c r="M52" s="153"/>
      <c r="N52" s="153"/>
      <c r="O52" s="153"/>
      <c r="P52" s="153"/>
      <c r="Q52" s="153"/>
      <c r="R52" s="96"/>
    </row>
    <row r="53" spans="1:20" s="2" customFormat="1" ht="11.25" x14ac:dyDescent="0.2">
      <c r="A53" s="4"/>
      <c r="B53" s="4"/>
      <c r="C53" s="28"/>
      <c r="D53" s="4"/>
      <c r="E53" s="4"/>
      <c r="F53" s="153"/>
      <c r="G53" s="153"/>
      <c r="H53" s="153"/>
      <c r="I53" s="153"/>
      <c r="J53" s="153"/>
      <c r="K53" s="153"/>
      <c r="L53" s="153"/>
      <c r="M53" s="153"/>
      <c r="N53" s="153"/>
      <c r="O53" s="153"/>
      <c r="P53" s="153"/>
      <c r="Q53" s="153"/>
      <c r="R53" s="96"/>
    </row>
    <row r="54" spans="1:20" s="2" customFormat="1" ht="11.25" x14ac:dyDescent="0.2">
      <c r="A54" s="4"/>
      <c r="B54" s="4"/>
      <c r="C54" s="7"/>
      <c r="D54" s="4"/>
      <c r="E54" s="4"/>
      <c r="F54" s="7"/>
      <c r="G54" s="7"/>
      <c r="H54" s="7"/>
      <c r="I54" s="7"/>
      <c r="J54" s="7"/>
      <c r="K54" s="7"/>
      <c r="L54" s="7"/>
      <c r="M54" s="7"/>
      <c r="N54" s="7"/>
      <c r="O54" s="7"/>
      <c r="P54" s="7"/>
      <c r="Q54" s="7"/>
      <c r="R54" s="3"/>
    </row>
  </sheetData>
  <mergeCells count="2">
    <mergeCell ref="A6:D6"/>
    <mergeCell ref="A34:D34"/>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123"/>
  <sheetViews>
    <sheetView zoomScale="80" zoomScaleNormal="80" workbookViewId="0">
      <pane xSplit="2" ySplit="4" topLeftCell="C29" activePane="bottomRight" state="frozen"/>
      <selection pane="topRight" activeCell="C1" sqref="C1"/>
      <selection pane="bottomLeft" activeCell="A5" sqref="A5"/>
      <selection pane="bottomRight" activeCell="K28" sqref="K28"/>
    </sheetView>
  </sheetViews>
  <sheetFormatPr defaultRowHeight="12.75" x14ac:dyDescent="0.2"/>
  <cols>
    <col min="1" max="1" width="10.28515625" style="4" bestFit="1" customWidth="1"/>
    <col min="2" max="2" width="23.85546875" style="4" customWidth="1"/>
    <col min="3" max="3" width="14.42578125" style="4" customWidth="1"/>
    <col min="4" max="4" width="9.85546875" style="4" customWidth="1"/>
    <col min="5" max="5" width="3.85546875" style="4" customWidth="1"/>
    <col min="6" max="7" width="12.28515625" style="4" customWidth="1"/>
    <col min="8" max="10" width="12.28515625" style="2" customWidth="1"/>
    <col min="11" max="11" width="11.28515625" style="2" customWidth="1"/>
    <col min="12" max="17" width="12.28515625" style="2" customWidth="1"/>
    <col min="18" max="18" width="12.85546875" style="2" bestFit="1" customWidth="1"/>
    <col min="19" max="20" width="10.42578125" style="2" customWidth="1"/>
    <col min="21" max="220" width="9.140625" style="1"/>
    <col min="221" max="221" width="28" style="1" bestFit="1" customWidth="1"/>
    <col min="222" max="222" width="15.7109375" style="1" customWidth="1"/>
    <col min="223" max="223" width="9.85546875" style="1" customWidth="1"/>
    <col min="224" max="224" width="12.85546875" style="1" customWidth="1"/>
    <col min="225" max="225" width="9.85546875" style="1" customWidth="1"/>
    <col min="226" max="227" width="12.85546875" style="1" customWidth="1"/>
    <col min="228" max="228" width="9.140625" style="1" customWidth="1"/>
    <col min="229" max="233" width="12.28515625" style="1" customWidth="1"/>
    <col min="234" max="234" width="11.28515625" style="1" customWidth="1"/>
    <col min="235" max="240" width="12.28515625" style="1" customWidth="1"/>
    <col min="241" max="241" width="11.140625" style="1" customWidth="1"/>
    <col min="242" max="243" width="10.42578125" style="1" customWidth="1"/>
    <col min="244" max="245" width="9.140625" style="1" customWidth="1"/>
    <col min="246" max="257" width="9.85546875" style="1" customWidth="1"/>
    <col min="258" max="258" width="13" style="1" customWidth="1"/>
    <col min="259" max="260" width="9.28515625" style="1" customWidth="1"/>
    <col min="261" max="261" width="9.140625" style="1" customWidth="1"/>
    <col min="262" max="262" width="9.28515625" style="1" customWidth="1"/>
    <col min="263" max="263" width="10.28515625" style="1" bestFit="1" customWidth="1"/>
    <col min="264" max="274" width="9.140625" style="1"/>
    <col min="275" max="275" width="9.85546875" style="1" bestFit="1" customWidth="1"/>
    <col min="276" max="276" width="10.42578125" style="1" bestFit="1" customWidth="1"/>
    <col min="277" max="476" width="9.140625" style="1"/>
    <col min="477" max="477" width="28" style="1" bestFit="1" customWidth="1"/>
    <col min="478" max="478" width="15.7109375" style="1" customWidth="1"/>
    <col min="479" max="479" width="9.85546875" style="1" customWidth="1"/>
    <col min="480" max="480" width="12.85546875" style="1" customWidth="1"/>
    <col min="481" max="481" width="9.85546875" style="1" customWidth="1"/>
    <col min="482" max="483" width="12.85546875" style="1" customWidth="1"/>
    <col min="484" max="484" width="9.140625" style="1" customWidth="1"/>
    <col min="485" max="489" width="12.28515625" style="1" customWidth="1"/>
    <col min="490" max="490" width="11.28515625" style="1" customWidth="1"/>
    <col min="491" max="496" width="12.28515625" style="1" customWidth="1"/>
    <col min="497" max="497" width="11.140625" style="1" customWidth="1"/>
    <col min="498" max="499" width="10.42578125" style="1" customWidth="1"/>
    <col min="500" max="501" width="9.140625" style="1" customWidth="1"/>
    <col min="502" max="513" width="9.85546875" style="1" customWidth="1"/>
    <col min="514" max="514" width="13" style="1" customWidth="1"/>
    <col min="515" max="516" width="9.28515625" style="1" customWidth="1"/>
    <col min="517" max="517" width="9.140625" style="1" customWidth="1"/>
    <col min="518" max="518" width="9.28515625" style="1" customWidth="1"/>
    <col min="519" max="519" width="10.28515625" style="1" bestFit="1" customWidth="1"/>
    <col min="520" max="530" width="9.140625" style="1"/>
    <col min="531" max="531" width="9.85546875" style="1" bestFit="1" customWidth="1"/>
    <col min="532" max="532" width="10.42578125" style="1" bestFit="1" customWidth="1"/>
    <col min="533" max="732" width="9.140625" style="1"/>
    <col min="733" max="733" width="28" style="1" bestFit="1" customWidth="1"/>
    <col min="734" max="734" width="15.7109375" style="1" customWidth="1"/>
    <col min="735" max="735" width="9.85546875" style="1" customWidth="1"/>
    <col min="736" max="736" width="12.85546875" style="1" customWidth="1"/>
    <col min="737" max="737" width="9.85546875" style="1" customWidth="1"/>
    <col min="738" max="739" width="12.85546875" style="1" customWidth="1"/>
    <col min="740" max="740" width="9.140625" style="1" customWidth="1"/>
    <col min="741" max="745" width="12.28515625" style="1" customWidth="1"/>
    <col min="746" max="746" width="11.28515625" style="1" customWidth="1"/>
    <col min="747" max="752" width="12.28515625" style="1" customWidth="1"/>
    <col min="753" max="753" width="11.140625" style="1" customWidth="1"/>
    <col min="754" max="755" width="10.42578125" style="1" customWidth="1"/>
    <col min="756" max="757" width="9.140625" style="1" customWidth="1"/>
    <col min="758" max="769" width="9.85546875" style="1" customWidth="1"/>
    <col min="770" max="770" width="13" style="1" customWidth="1"/>
    <col min="771" max="772" width="9.28515625" style="1" customWidth="1"/>
    <col min="773" max="773" width="9.140625" style="1" customWidth="1"/>
    <col min="774" max="774" width="9.28515625" style="1" customWidth="1"/>
    <col min="775" max="775" width="10.28515625" style="1" bestFit="1" customWidth="1"/>
    <col min="776" max="786" width="9.140625" style="1"/>
    <col min="787" max="787" width="9.85546875" style="1" bestFit="1" customWidth="1"/>
    <col min="788" max="788" width="10.42578125" style="1" bestFit="1" customWidth="1"/>
    <col min="789" max="988" width="9.140625" style="1"/>
    <col min="989" max="989" width="28" style="1" bestFit="1" customWidth="1"/>
    <col min="990" max="990" width="15.7109375" style="1" customWidth="1"/>
    <col min="991" max="991" width="9.85546875" style="1" customWidth="1"/>
    <col min="992" max="992" width="12.85546875" style="1" customWidth="1"/>
    <col min="993" max="993" width="9.85546875" style="1" customWidth="1"/>
    <col min="994" max="995" width="12.85546875" style="1" customWidth="1"/>
    <col min="996" max="996" width="9.140625" style="1" customWidth="1"/>
    <col min="997" max="1001" width="12.28515625" style="1" customWidth="1"/>
    <col min="1002" max="1002" width="11.28515625" style="1" customWidth="1"/>
    <col min="1003" max="1008" width="12.28515625" style="1" customWidth="1"/>
    <col min="1009" max="1009" width="11.140625" style="1" customWidth="1"/>
    <col min="1010" max="1011" width="10.42578125" style="1" customWidth="1"/>
    <col min="1012" max="1013" width="9.140625" style="1" customWidth="1"/>
    <col min="1014" max="1025" width="9.85546875" style="1" customWidth="1"/>
    <col min="1026" max="1026" width="13" style="1" customWidth="1"/>
    <col min="1027" max="1028" width="9.28515625" style="1" customWidth="1"/>
    <col min="1029" max="1029" width="9.140625" style="1" customWidth="1"/>
    <col min="1030" max="1030" width="9.28515625" style="1" customWidth="1"/>
    <col min="1031" max="1031" width="10.28515625" style="1" bestFit="1" customWidth="1"/>
    <col min="1032" max="1042" width="9.140625" style="1"/>
    <col min="1043" max="1043" width="9.85546875" style="1" bestFit="1" customWidth="1"/>
    <col min="1044" max="1044" width="10.42578125" style="1" bestFit="1" customWidth="1"/>
    <col min="1045" max="1244" width="9.140625" style="1"/>
    <col min="1245" max="1245" width="28" style="1" bestFit="1" customWidth="1"/>
    <col min="1246" max="1246" width="15.7109375" style="1" customWidth="1"/>
    <col min="1247" max="1247" width="9.85546875" style="1" customWidth="1"/>
    <col min="1248" max="1248" width="12.85546875" style="1" customWidth="1"/>
    <col min="1249" max="1249" width="9.85546875" style="1" customWidth="1"/>
    <col min="1250" max="1251" width="12.85546875" style="1" customWidth="1"/>
    <col min="1252" max="1252" width="9.140625" style="1" customWidth="1"/>
    <col min="1253" max="1257" width="12.28515625" style="1" customWidth="1"/>
    <col min="1258" max="1258" width="11.28515625" style="1" customWidth="1"/>
    <col min="1259" max="1264" width="12.28515625" style="1" customWidth="1"/>
    <col min="1265" max="1265" width="11.140625" style="1" customWidth="1"/>
    <col min="1266" max="1267" width="10.42578125" style="1" customWidth="1"/>
    <col min="1268" max="1269" width="9.140625" style="1" customWidth="1"/>
    <col min="1270" max="1281" width="9.85546875" style="1" customWidth="1"/>
    <col min="1282" max="1282" width="13" style="1" customWidth="1"/>
    <col min="1283" max="1284" width="9.28515625" style="1" customWidth="1"/>
    <col min="1285" max="1285" width="9.140625" style="1" customWidth="1"/>
    <col min="1286" max="1286" width="9.28515625" style="1" customWidth="1"/>
    <col min="1287" max="1287" width="10.28515625" style="1" bestFit="1" customWidth="1"/>
    <col min="1288" max="1298" width="9.140625" style="1"/>
    <col min="1299" max="1299" width="9.85546875" style="1" bestFit="1" customWidth="1"/>
    <col min="1300" max="1300" width="10.42578125" style="1" bestFit="1" customWidth="1"/>
    <col min="1301" max="1500" width="9.140625" style="1"/>
    <col min="1501" max="1501" width="28" style="1" bestFit="1" customWidth="1"/>
    <col min="1502" max="1502" width="15.7109375" style="1" customWidth="1"/>
    <col min="1503" max="1503" width="9.85546875" style="1" customWidth="1"/>
    <col min="1504" max="1504" width="12.85546875" style="1" customWidth="1"/>
    <col min="1505" max="1505" width="9.85546875" style="1" customWidth="1"/>
    <col min="1506" max="1507" width="12.85546875" style="1" customWidth="1"/>
    <col min="1508" max="1508" width="9.140625" style="1" customWidth="1"/>
    <col min="1509" max="1513" width="12.28515625" style="1" customWidth="1"/>
    <col min="1514" max="1514" width="11.28515625" style="1" customWidth="1"/>
    <col min="1515" max="1520" width="12.28515625" style="1" customWidth="1"/>
    <col min="1521" max="1521" width="11.140625" style="1" customWidth="1"/>
    <col min="1522" max="1523" width="10.42578125" style="1" customWidth="1"/>
    <col min="1524" max="1525" width="9.140625" style="1" customWidth="1"/>
    <col min="1526" max="1537" width="9.85546875" style="1" customWidth="1"/>
    <col min="1538" max="1538" width="13" style="1" customWidth="1"/>
    <col min="1539" max="1540" width="9.28515625" style="1" customWidth="1"/>
    <col min="1541" max="1541" width="9.140625" style="1" customWidth="1"/>
    <col min="1542" max="1542" width="9.28515625" style="1" customWidth="1"/>
    <col min="1543" max="1543" width="10.28515625" style="1" bestFit="1" customWidth="1"/>
    <col min="1544" max="1554" width="9.140625" style="1"/>
    <col min="1555" max="1555" width="9.85546875" style="1" bestFit="1" customWidth="1"/>
    <col min="1556" max="1556" width="10.42578125" style="1" bestFit="1" customWidth="1"/>
    <col min="1557" max="1756" width="9.140625" style="1"/>
    <col min="1757" max="1757" width="28" style="1" bestFit="1" customWidth="1"/>
    <col min="1758" max="1758" width="15.7109375" style="1" customWidth="1"/>
    <col min="1759" max="1759" width="9.85546875" style="1" customWidth="1"/>
    <col min="1760" max="1760" width="12.85546875" style="1" customWidth="1"/>
    <col min="1761" max="1761" width="9.85546875" style="1" customWidth="1"/>
    <col min="1762" max="1763" width="12.85546875" style="1" customWidth="1"/>
    <col min="1764" max="1764" width="9.140625" style="1" customWidth="1"/>
    <col min="1765" max="1769" width="12.28515625" style="1" customWidth="1"/>
    <col min="1770" max="1770" width="11.28515625" style="1" customWidth="1"/>
    <col min="1771" max="1776" width="12.28515625" style="1" customWidth="1"/>
    <col min="1777" max="1777" width="11.140625" style="1" customWidth="1"/>
    <col min="1778" max="1779" width="10.42578125" style="1" customWidth="1"/>
    <col min="1780" max="1781" width="9.140625" style="1" customWidth="1"/>
    <col min="1782" max="1793" width="9.85546875" style="1" customWidth="1"/>
    <col min="1794" max="1794" width="13" style="1" customWidth="1"/>
    <col min="1795" max="1796" width="9.28515625" style="1" customWidth="1"/>
    <col min="1797" max="1797" width="9.140625" style="1" customWidth="1"/>
    <col min="1798" max="1798" width="9.28515625" style="1" customWidth="1"/>
    <col min="1799" max="1799" width="10.28515625" style="1" bestFit="1" customWidth="1"/>
    <col min="1800" max="1810" width="9.140625" style="1"/>
    <col min="1811" max="1811" width="9.85546875" style="1" bestFit="1" customWidth="1"/>
    <col min="1812" max="1812" width="10.42578125" style="1" bestFit="1" customWidth="1"/>
    <col min="1813" max="2012" width="9.140625" style="1"/>
    <col min="2013" max="2013" width="28" style="1" bestFit="1" customWidth="1"/>
    <col min="2014" max="2014" width="15.7109375" style="1" customWidth="1"/>
    <col min="2015" max="2015" width="9.85546875" style="1" customWidth="1"/>
    <col min="2016" max="2016" width="12.85546875" style="1" customWidth="1"/>
    <col min="2017" max="2017" width="9.85546875" style="1" customWidth="1"/>
    <col min="2018" max="2019" width="12.85546875" style="1" customWidth="1"/>
    <col min="2020" max="2020" width="9.140625" style="1" customWidth="1"/>
    <col min="2021" max="2025" width="12.28515625" style="1" customWidth="1"/>
    <col min="2026" max="2026" width="11.28515625" style="1" customWidth="1"/>
    <col min="2027" max="2032" width="12.28515625" style="1" customWidth="1"/>
    <col min="2033" max="2033" width="11.140625" style="1" customWidth="1"/>
    <col min="2034" max="2035" width="10.42578125" style="1" customWidth="1"/>
    <col min="2036" max="2037" width="9.140625" style="1" customWidth="1"/>
    <col min="2038" max="2049" width="9.85546875" style="1" customWidth="1"/>
    <col min="2050" max="2050" width="13" style="1" customWidth="1"/>
    <col min="2051" max="2052" width="9.28515625" style="1" customWidth="1"/>
    <col min="2053" max="2053" width="9.140625" style="1" customWidth="1"/>
    <col min="2054" max="2054" width="9.28515625" style="1" customWidth="1"/>
    <col min="2055" max="2055" width="10.28515625" style="1" bestFit="1" customWidth="1"/>
    <col min="2056" max="2066" width="9.140625" style="1"/>
    <col min="2067" max="2067" width="9.85546875" style="1" bestFit="1" customWidth="1"/>
    <col min="2068" max="2068" width="10.42578125" style="1" bestFit="1" customWidth="1"/>
    <col min="2069" max="2268" width="9.140625" style="1"/>
    <col min="2269" max="2269" width="28" style="1" bestFit="1" customWidth="1"/>
    <col min="2270" max="2270" width="15.7109375" style="1" customWidth="1"/>
    <col min="2271" max="2271" width="9.85546875" style="1" customWidth="1"/>
    <col min="2272" max="2272" width="12.85546875" style="1" customWidth="1"/>
    <col min="2273" max="2273" width="9.85546875" style="1" customWidth="1"/>
    <col min="2274" max="2275" width="12.85546875" style="1" customWidth="1"/>
    <col min="2276" max="2276" width="9.140625" style="1" customWidth="1"/>
    <col min="2277" max="2281" width="12.28515625" style="1" customWidth="1"/>
    <col min="2282" max="2282" width="11.28515625" style="1" customWidth="1"/>
    <col min="2283" max="2288" width="12.28515625" style="1" customWidth="1"/>
    <col min="2289" max="2289" width="11.140625" style="1" customWidth="1"/>
    <col min="2290" max="2291" width="10.42578125" style="1" customWidth="1"/>
    <col min="2292" max="2293" width="9.140625" style="1" customWidth="1"/>
    <col min="2294" max="2305" width="9.85546875" style="1" customWidth="1"/>
    <col min="2306" max="2306" width="13" style="1" customWidth="1"/>
    <col min="2307" max="2308" width="9.28515625" style="1" customWidth="1"/>
    <col min="2309" max="2309" width="9.140625" style="1" customWidth="1"/>
    <col min="2310" max="2310" width="9.28515625" style="1" customWidth="1"/>
    <col min="2311" max="2311" width="10.28515625" style="1" bestFit="1" customWidth="1"/>
    <col min="2312" max="2322" width="9.140625" style="1"/>
    <col min="2323" max="2323" width="9.85546875" style="1" bestFit="1" customWidth="1"/>
    <col min="2324" max="2324" width="10.42578125" style="1" bestFit="1" customWidth="1"/>
    <col min="2325" max="2524" width="9.140625" style="1"/>
    <col min="2525" max="2525" width="28" style="1" bestFit="1" customWidth="1"/>
    <col min="2526" max="2526" width="15.7109375" style="1" customWidth="1"/>
    <col min="2527" max="2527" width="9.85546875" style="1" customWidth="1"/>
    <col min="2528" max="2528" width="12.85546875" style="1" customWidth="1"/>
    <col min="2529" max="2529" width="9.85546875" style="1" customWidth="1"/>
    <col min="2530" max="2531" width="12.85546875" style="1" customWidth="1"/>
    <col min="2532" max="2532" width="9.140625" style="1" customWidth="1"/>
    <col min="2533" max="2537" width="12.28515625" style="1" customWidth="1"/>
    <col min="2538" max="2538" width="11.28515625" style="1" customWidth="1"/>
    <col min="2539" max="2544" width="12.28515625" style="1" customWidth="1"/>
    <col min="2545" max="2545" width="11.140625" style="1" customWidth="1"/>
    <col min="2546" max="2547" width="10.42578125" style="1" customWidth="1"/>
    <col min="2548" max="2549" width="9.140625" style="1" customWidth="1"/>
    <col min="2550" max="2561" width="9.85546875" style="1" customWidth="1"/>
    <col min="2562" max="2562" width="13" style="1" customWidth="1"/>
    <col min="2563" max="2564" width="9.28515625" style="1" customWidth="1"/>
    <col min="2565" max="2565" width="9.140625" style="1" customWidth="1"/>
    <col min="2566" max="2566" width="9.28515625" style="1" customWidth="1"/>
    <col min="2567" max="2567" width="10.28515625" style="1" bestFit="1" customWidth="1"/>
    <col min="2568" max="2578" width="9.140625" style="1"/>
    <col min="2579" max="2579" width="9.85546875" style="1" bestFit="1" customWidth="1"/>
    <col min="2580" max="2580" width="10.42578125" style="1" bestFit="1" customWidth="1"/>
    <col min="2581" max="2780" width="9.140625" style="1"/>
    <col min="2781" max="2781" width="28" style="1" bestFit="1" customWidth="1"/>
    <col min="2782" max="2782" width="15.7109375" style="1" customWidth="1"/>
    <col min="2783" max="2783" width="9.85546875" style="1" customWidth="1"/>
    <col min="2784" max="2784" width="12.85546875" style="1" customWidth="1"/>
    <col min="2785" max="2785" width="9.85546875" style="1" customWidth="1"/>
    <col min="2786" max="2787" width="12.85546875" style="1" customWidth="1"/>
    <col min="2788" max="2788" width="9.140625" style="1" customWidth="1"/>
    <col min="2789" max="2793" width="12.28515625" style="1" customWidth="1"/>
    <col min="2794" max="2794" width="11.28515625" style="1" customWidth="1"/>
    <col min="2795" max="2800" width="12.28515625" style="1" customWidth="1"/>
    <col min="2801" max="2801" width="11.140625" style="1" customWidth="1"/>
    <col min="2802" max="2803" width="10.42578125" style="1" customWidth="1"/>
    <col min="2804" max="2805" width="9.140625" style="1" customWidth="1"/>
    <col min="2806" max="2817" width="9.85546875" style="1" customWidth="1"/>
    <col min="2818" max="2818" width="13" style="1" customWidth="1"/>
    <col min="2819" max="2820" width="9.28515625" style="1" customWidth="1"/>
    <col min="2821" max="2821" width="9.140625" style="1" customWidth="1"/>
    <col min="2822" max="2822" width="9.28515625" style="1" customWidth="1"/>
    <col min="2823" max="2823" width="10.28515625" style="1" bestFit="1" customWidth="1"/>
    <col min="2824" max="2834" width="9.140625" style="1"/>
    <col min="2835" max="2835" width="9.85546875" style="1" bestFit="1" customWidth="1"/>
    <col min="2836" max="2836" width="10.42578125" style="1" bestFit="1" customWidth="1"/>
    <col min="2837" max="3036" width="9.140625" style="1"/>
    <col min="3037" max="3037" width="28" style="1" bestFit="1" customWidth="1"/>
    <col min="3038" max="3038" width="15.7109375" style="1" customWidth="1"/>
    <col min="3039" max="3039" width="9.85546875" style="1" customWidth="1"/>
    <col min="3040" max="3040" width="12.85546875" style="1" customWidth="1"/>
    <col min="3041" max="3041" width="9.85546875" style="1" customWidth="1"/>
    <col min="3042" max="3043" width="12.85546875" style="1" customWidth="1"/>
    <col min="3044" max="3044" width="9.140625" style="1" customWidth="1"/>
    <col min="3045" max="3049" width="12.28515625" style="1" customWidth="1"/>
    <col min="3050" max="3050" width="11.28515625" style="1" customWidth="1"/>
    <col min="3051" max="3056" width="12.28515625" style="1" customWidth="1"/>
    <col min="3057" max="3057" width="11.140625" style="1" customWidth="1"/>
    <col min="3058" max="3059" width="10.42578125" style="1" customWidth="1"/>
    <col min="3060" max="3061" width="9.140625" style="1" customWidth="1"/>
    <col min="3062" max="3073" width="9.85546875" style="1" customWidth="1"/>
    <col min="3074" max="3074" width="13" style="1" customWidth="1"/>
    <col min="3075" max="3076" width="9.28515625" style="1" customWidth="1"/>
    <col min="3077" max="3077" width="9.140625" style="1" customWidth="1"/>
    <col min="3078" max="3078" width="9.28515625" style="1" customWidth="1"/>
    <col min="3079" max="3079" width="10.28515625" style="1" bestFit="1" customWidth="1"/>
    <col min="3080" max="3090" width="9.140625" style="1"/>
    <col min="3091" max="3091" width="9.85546875" style="1" bestFit="1" customWidth="1"/>
    <col min="3092" max="3092" width="10.42578125" style="1" bestFit="1" customWidth="1"/>
    <col min="3093" max="3292" width="9.140625" style="1"/>
    <col min="3293" max="3293" width="28" style="1" bestFit="1" customWidth="1"/>
    <col min="3294" max="3294" width="15.7109375" style="1" customWidth="1"/>
    <col min="3295" max="3295" width="9.85546875" style="1" customWidth="1"/>
    <col min="3296" max="3296" width="12.85546875" style="1" customWidth="1"/>
    <col min="3297" max="3297" width="9.85546875" style="1" customWidth="1"/>
    <col min="3298" max="3299" width="12.85546875" style="1" customWidth="1"/>
    <col min="3300" max="3300" width="9.140625" style="1" customWidth="1"/>
    <col min="3301" max="3305" width="12.28515625" style="1" customWidth="1"/>
    <col min="3306" max="3306" width="11.28515625" style="1" customWidth="1"/>
    <col min="3307" max="3312" width="12.28515625" style="1" customWidth="1"/>
    <col min="3313" max="3313" width="11.140625" style="1" customWidth="1"/>
    <col min="3314" max="3315" width="10.42578125" style="1" customWidth="1"/>
    <col min="3316" max="3317" width="9.140625" style="1" customWidth="1"/>
    <col min="3318" max="3329" width="9.85546875" style="1" customWidth="1"/>
    <col min="3330" max="3330" width="13" style="1" customWidth="1"/>
    <col min="3331" max="3332" width="9.28515625" style="1" customWidth="1"/>
    <col min="3333" max="3333" width="9.140625" style="1" customWidth="1"/>
    <col min="3334" max="3334" width="9.28515625" style="1" customWidth="1"/>
    <col min="3335" max="3335" width="10.28515625" style="1" bestFit="1" customWidth="1"/>
    <col min="3336" max="3346" width="9.140625" style="1"/>
    <col min="3347" max="3347" width="9.85546875" style="1" bestFit="1" customWidth="1"/>
    <col min="3348" max="3348" width="10.42578125" style="1" bestFit="1" customWidth="1"/>
    <col min="3349" max="3548" width="9.140625" style="1"/>
    <col min="3549" max="3549" width="28" style="1" bestFit="1" customWidth="1"/>
    <col min="3550" max="3550" width="15.7109375" style="1" customWidth="1"/>
    <col min="3551" max="3551" width="9.85546875" style="1" customWidth="1"/>
    <col min="3552" max="3552" width="12.85546875" style="1" customWidth="1"/>
    <col min="3553" max="3553" width="9.85546875" style="1" customWidth="1"/>
    <col min="3554" max="3555" width="12.85546875" style="1" customWidth="1"/>
    <col min="3556" max="3556" width="9.140625" style="1" customWidth="1"/>
    <col min="3557" max="3561" width="12.28515625" style="1" customWidth="1"/>
    <col min="3562" max="3562" width="11.28515625" style="1" customWidth="1"/>
    <col min="3563" max="3568" width="12.28515625" style="1" customWidth="1"/>
    <col min="3569" max="3569" width="11.140625" style="1" customWidth="1"/>
    <col min="3570" max="3571" width="10.42578125" style="1" customWidth="1"/>
    <col min="3572" max="3573" width="9.140625" style="1" customWidth="1"/>
    <col min="3574" max="3585" width="9.85546875" style="1" customWidth="1"/>
    <col min="3586" max="3586" width="13" style="1" customWidth="1"/>
    <col min="3587" max="3588" width="9.28515625" style="1" customWidth="1"/>
    <col min="3589" max="3589" width="9.140625" style="1" customWidth="1"/>
    <col min="3590" max="3590" width="9.28515625" style="1" customWidth="1"/>
    <col min="3591" max="3591" width="10.28515625" style="1" bestFit="1" customWidth="1"/>
    <col min="3592" max="3602" width="9.140625" style="1"/>
    <col min="3603" max="3603" width="9.85546875" style="1" bestFit="1" customWidth="1"/>
    <col min="3604" max="3604" width="10.42578125" style="1" bestFit="1" customWidth="1"/>
    <col min="3605" max="3804" width="9.140625" style="1"/>
    <col min="3805" max="3805" width="28" style="1" bestFit="1" customWidth="1"/>
    <col min="3806" max="3806" width="15.7109375" style="1" customWidth="1"/>
    <col min="3807" max="3807" width="9.85546875" style="1" customWidth="1"/>
    <col min="3808" max="3808" width="12.85546875" style="1" customWidth="1"/>
    <col min="3809" max="3809" width="9.85546875" style="1" customWidth="1"/>
    <col min="3810" max="3811" width="12.85546875" style="1" customWidth="1"/>
    <col min="3812" max="3812" width="9.140625" style="1" customWidth="1"/>
    <col min="3813" max="3817" width="12.28515625" style="1" customWidth="1"/>
    <col min="3818" max="3818" width="11.28515625" style="1" customWidth="1"/>
    <col min="3819" max="3824" width="12.28515625" style="1" customWidth="1"/>
    <col min="3825" max="3825" width="11.140625" style="1" customWidth="1"/>
    <col min="3826" max="3827" width="10.42578125" style="1" customWidth="1"/>
    <col min="3828" max="3829" width="9.140625" style="1" customWidth="1"/>
    <col min="3830" max="3841" width="9.85546875" style="1" customWidth="1"/>
    <col min="3842" max="3842" width="13" style="1" customWidth="1"/>
    <col min="3843" max="3844" width="9.28515625" style="1" customWidth="1"/>
    <col min="3845" max="3845" width="9.140625" style="1" customWidth="1"/>
    <col min="3846" max="3846" width="9.28515625" style="1" customWidth="1"/>
    <col min="3847" max="3847" width="10.28515625" style="1" bestFit="1" customWidth="1"/>
    <col min="3848" max="3858" width="9.140625" style="1"/>
    <col min="3859" max="3859" width="9.85546875" style="1" bestFit="1" customWidth="1"/>
    <col min="3860" max="3860" width="10.42578125" style="1" bestFit="1" customWidth="1"/>
    <col min="3861" max="4060" width="9.140625" style="1"/>
    <col min="4061" max="4061" width="28" style="1" bestFit="1" customWidth="1"/>
    <col min="4062" max="4062" width="15.7109375" style="1" customWidth="1"/>
    <col min="4063" max="4063" width="9.85546875" style="1" customWidth="1"/>
    <col min="4064" max="4064" width="12.85546875" style="1" customWidth="1"/>
    <col min="4065" max="4065" width="9.85546875" style="1" customWidth="1"/>
    <col min="4066" max="4067" width="12.85546875" style="1" customWidth="1"/>
    <col min="4068" max="4068" width="9.140625" style="1" customWidth="1"/>
    <col min="4069" max="4073" width="12.28515625" style="1" customWidth="1"/>
    <col min="4074" max="4074" width="11.28515625" style="1" customWidth="1"/>
    <col min="4075" max="4080" width="12.28515625" style="1" customWidth="1"/>
    <col min="4081" max="4081" width="11.140625" style="1" customWidth="1"/>
    <col min="4082" max="4083" width="10.42578125" style="1" customWidth="1"/>
    <col min="4084" max="4085" width="9.140625" style="1" customWidth="1"/>
    <col min="4086" max="4097" width="9.85546875" style="1" customWidth="1"/>
    <col min="4098" max="4098" width="13" style="1" customWidth="1"/>
    <col min="4099" max="4100" width="9.28515625" style="1" customWidth="1"/>
    <col min="4101" max="4101" width="9.140625" style="1" customWidth="1"/>
    <col min="4102" max="4102" width="9.28515625" style="1" customWidth="1"/>
    <col min="4103" max="4103" width="10.28515625" style="1" bestFit="1" customWidth="1"/>
    <col min="4104" max="4114" width="9.140625" style="1"/>
    <col min="4115" max="4115" width="9.85546875" style="1" bestFit="1" customWidth="1"/>
    <col min="4116" max="4116" width="10.42578125" style="1" bestFit="1" customWidth="1"/>
    <col min="4117" max="4316" width="9.140625" style="1"/>
    <col min="4317" max="4317" width="28" style="1" bestFit="1" customWidth="1"/>
    <col min="4318" max="4318" width="15.7109375" style="1" customWidth="1"/>
    <col min="4319" max="4319" width="9.85546875" style="1" customWidth="1"/>
    <col min="4320" max="4320" width="12.85546875" style="1" customWidth="1"/>
    <col min="4321" max="4321" width="9.85546875" style="1" customWidth="1"/>
    <col min="4322" max="4323" width="12.85546875" style="1" customWidth="1"/>
    <col min="4324" max="4324" width="9.140625" style="1" customWidth="1"/>
    <col min="4325" max="4329" width="12.28515625" style="1" customWidth="1"/>
    <col min="4330" max="4330" width="11.28515625" style="1" customWidth="1"/>
    <col min="4331" max="4336" width="12.28515625" style="1" customWidth="1"/>
    <col min="4337" max="4337" width="11.140625" style="1" customWidth="1"/>
    <col min="4338" max="4339" width="10.42578125" style="1" customWidth="1"/>
    <col min="4340" max="4341" width="9.140625" style="1" customWidth="1"/>
    <col min="4342" max="4353" width="9.85546875" style="1" customWidth="1"/>
    <col min="4354" max="4354" width="13" style="1" customWidth="1"/>
    <col min="4355" max="4356" width="9.28515625" style="1" customWidth="1"/>
    <col min="4357" max="4357" width="9.140625" style="1" customWidth="1"/>
    <col min="4358" max="4358" width="9.28515625" style="1" customWidth="1"/>
    <col min="4359" max="4359" width="10.28515625" style="1" bestFit="1" customWidth="1"/>
    <col min="4360" max="4370" width="9.140625" style="1"/>
    <col min="4371" max="4371" width="9.85546875" style="1" bestFit="1" customWidth="1"/>
    <col min="4372" max="4372" width="10.42578125" style="1" bestFit="1" customWidth="1"/>
    <col min="4373" max="4572" width="9.140625" style="1"/>
    <col min="4573" max="4573" width="28" style="1" bestFit="1" customWidth="1"/>
    <col min="4574" max="4574" width="15.7109375" style="1" customWidth="1"/>
    <col min="4575" max="4575" width="9.85546875" style="1" customWidth="1"/>
    <col min="4576" max="4576" width="12.85546875" style="1" customWidth="1"/>
    <col min="4577" max="4577" width="9.85546875" style="1" customWidth="1"/>
    <col min="4578" max="4579" width="12.85546875" style="1" customWidth="1"/>
    <col min="4580" max="4580" width="9.140625" style="1" customWidth="1"/>
    <col min="4581" max="4585" width="12.28515625" style="1" customWidth="1"/>
    <col min="4586" max="4586" width="11.28515625" style="1" customWidth="1"/>
    <col min="4587" max="4592" width="12.28515625" style="1" customWidth="1"/>
    <col min="4593" max="4593" width="11.140625" style="1" customWidth="1"/>
    <col min="4594" max="4595" width="10.42578125" style="1" customWidth="1"/>
    <col min="4596" max="4597" width="9.140625" style="1" customWidth="1"/>
    <col min="4598" max="4609" width="9.85546875" style="1" customWidth="1"/>
    <col min="4610" max="4610" width="13" style="1" customWidth="1"/>
    <col min="4611" max="4612" width="9.28515625" style="1" customWidth="1"/>
    <col min="4613" max="4613" width="9.140625" style="1" customWidth="1"/>
    <col min="4614" max="4614" width="9.28515625" style="1" customWidth="1"/>
    <col min="4615" max="4615" width="10.28515625" style="1" bestFit="1" customWidth="1"/>
    <col min="4616" max="4626" width="9.140625" style="1"/>
    <col min="4627" max="4627" width="9.85546875" style="1" bestFit="1" customWidth="1"/>
    <col min="4628" max="4628" width="10.42578125" style="1" bestFit="1" customWidth="1"/>
    <col min="4629" max="4828" width="9.140625" style="1"/>
    <col min="4829" max="4829" width="28" style="1" bestFit="1" customWidth="1"/>
    <col min="4830" max="4830" width="15.7109375" style="1" customWidth="1"/>
    <col min="4831" max="4831" width="9.85546875" style="1" customWidth="1"/>
    <col min="4832" max="4832" width="12.85546875" style="1" customWidth="1"/>
    <col min="4833" max="4833" width="9.85546875" style="1" customWidth="1"/>
    <col min="4834" max="4835" width="12.85546875" style="1" customWidth="1"/>
    <col min="4836" max="4836" width="9.140625" style="1" customWidth="1"/>
    <col min="4837" max="4841" width="12.28515625" style="1" customWidth="1"/>
    <col min="4842" max="4842" width="11.28515625" style="1" customWidth="1"/>
    <col min="4843" max="4848" width="12.28515625" style="1" customWidth="1"/>
    <col min="4849" max="4849" width="11.140625" style="1" customWidth="1"/>
    <col min="4850" max="4851" width="10.42578125" style="1" customWidth="1"/>
    <col min="4852" max="4853" width="9.140625" style="1" customWidth="1"/>
    <col min="4854" max="4865" width="9.85546875" style="1" customWidth="1"/>
    <col min="4866" max="4866" width="13" style="1" customWidth="1"/>
    <col min="4867" max="4868" width="9.28515625" style="1" customWidth="1"/>
    <col min="4869" max="4869" width="9.140625" style="1" customWidth="1"/>
    <col min="4870" max="4870" width="9.28515625" style="1" customWidth="1"/>
    <col min="4871" max="4871" width="10.28515625" style="1" bestFit="1" customWidth="1"/>
    <col min="4872" max="4882" width="9.140625" style="1"/>
    <col min="4883" max="4883" width="9.85546875" style="1" bestFit="1" customWidth="1"/>
    <col min="4884" max="4884" width="10.42578125" style="1" bestFit="1" customWidth="1"/>
    <col min="4885" max="5084" width="9.140625" style="1"/>
    <col min="5085" max="5085" width="28" style="1" bestFit="1" customWidth="1"/>
    <col min="5086" max="5086" width="15.7109375" style="1" customWidth="1"/>
    <col min="5087" max="5087" width="9.85546875" style="1" customWidth="1"/>
    <col min="5088" max="5088" width="12.85546875" style="1" customWidth="1"/>
    <col min="5089" max="5089" width="9.85546875" style="1" customWidth="1"/>
    <col min="5090" max="5091" width="12.85546875" style="1" customWidth="1"/>
    <col min="5092" max="5092" width="9.140625" style="1" customWidth="1"/>
    <col min="5093" max="5097" width="12.28515625" style="1" customWidth="1"/>
    <col min="5098" max="5098" width="11.28515625" style="1" customWidth="1"/>
    <col min="5099" max="5104" width="12.28515625" style="1" customWidth="1"/>
    <col min="5105" max="5105" width="11.140625" style="1" customWidth="1"/>
    <col min="5106" max="5107" width="10.42578125" style="1" customWidth="1"/>
    <col min="5108" max="5109" width="9.140625" style="1" customWidth="1"/>
    <col min="5110" max="5121" width="9.85546875" style="1" customWidth="1"/>
    <col min="5122" max="5122" width="13" style="1" customWidth="1"/>
    <col min="5123" max="5124" width="9.28515625" style="1" customWidth="1"/>
    <col min="5125" max="5125" width="9.140625" style="1" customWidth="1"/>
    <col min="5126" max="5126" width="9.28515625" style="1" customWidth="1"/>
    <col min="5127" max="5127" width="10.28515625" style="1" bestFit="1" customWidth="1"/>
    <col min="5128" max="5138" width="9.140625" style="1"/>
    <col min="5139" max="5139" width="9.85546875" style="1" bestFit="1" customWidth="1"/>
    <col min="5140" max="5140" width="10.42578125" style="1" bestFit="1" customWidth="1"/>
    <col min="5141" max="5340" width="9.140625" style="1"/>
    <col min="5341" max="5341" width="28" style="1" bestFit="1" customWidth="1"/>
    <col min="5342" max="5342" width="15.7109375" style="1" customWidth="1"/>
    <col min="5343" max="5343" width="9.85546875" style="1" customWidth="1"/>
    <col min="5344" max="5344" width="12.85546875" style="1" customWidth="1"/>
    <col min="5345" max="5345" width="9.85546875" style="1" customWidth="1"/>
    <col min="5346" max="5347" width="12.85546875" style="1" customWidth="1"/>
    <col min="5348" max="5348" width="9.140625" style="1" customWidth="1"/>
    <col min="5349" max="5353" width="12.28515625" style="1" customWidth="1"/>
    <col min="5354" max="5354" width="11.28515625" style="1" customWidth="1"/>
    <col min="5355" max="5360" width="12.28515625" style="1" customWidth="1"/>
    <col min="5361" max="5361" width="11.140625" style="1" customWidth="1"/>
    <col min="5362" max="5363" width="10.42578125" style="1" customWidth="1"/>
    <col min="5364" max="5365" width="9.140625" style="1" customWidth="1"/>
    <col min="5366" max="5377" width="9.85546875" style="1" customWidth="1"/>
    <col min="5378" max="5378" width="13" style="1" customWidth="1"/>
    <col min="5379" max="5380" width="9.28515625" style="1" customWidth="1"/>
    <col min="5381" max="5381" width="9.140625" style="1" customWidth="1"/>
    <col min="5382" max="5382" width="9.28515625" style="1" customWidth="1"/>
    <col min="5383" max="5383" width="10.28515625" style="1" bestFit="1" customWidth="1"/>
    <col min="5384" max="5394" width="9.140625" style="1"/>
    <col min="5395" max="5395" width="9.85546875" style="1" bestFit="1" customWidth="1"/>
    <col min="5396" max="5396" width="10.42578125" style="1" bestFit="1" customWidth="1"/>
    <col min="5397" max="5596" width="9.140625" style="1"/>
    <col min="5597" max="5597" width="28" style="1" bestFit="1" customWidth="1"/>
    <col min="5598" max="5598" width="15.7109375" style="1" customWidth="1"/>
    <col min="5599" max="5599" width="9.85546875" style="1" customWidth="1"/>
    <col min="5600" max="5600" width="12.85546875" style="1" customWidth="1"/>
    <col min="5601" max="5601" width="9.85546875" style="1" customWidth="1"/>
    <col min="5602" max="5603" width="12.85546875" style="1" customWidth="1"/>
    <col min="5604" max="5604" width="9.140625" style="1" customWidth="1"/>
    <col min="5605" max="5609" width="12.28515625" style="1" customWidth="1"/>
    <col min="5610" max="5610" width="11.28515625" style="1" customWidth="1"/>
    <col min="5611" max="5616" width="12.28515625" style="1" customWidth="1"/>
    <col min="5617" max="5617" width="11.140625" style="1" customWidth="1"/>
    <col min="5618" max="5619" width="10.42578125" style="1" customWidth="1"/>
    <col min="5620" max="5621" width="9.140625" style="1" customWidth="1"/>
    <col min="5622" max="5633" width="9.85546875" style="1" customWidth="1"/>
    <col min="5634" max="5634" width="13" style="1" customWidth="1"/>
    <col min="5635" max="5636" width="9.28515625" style="1" customWidth="1"/>
    <col min="5637" max="5637" width="9.140625" style="1" customWidth="1"/>
    <col min="5638" max="5638" width="9.28515625" style="1" customWidth="1"/>
    <col min="5639" max="5639" width="10.28515625" style="1" bestFit="1" customWidth="1"/>
    <col min="5640" max="5650" width="9.140625" style="1"/>
    <col min="5651" max="5651" width="9.85546875" style="1" bestFit="1" customWidth="1"/>
    <col min="5652" max="5652" width="10.42578125" style="1" bestFit="1" customWidth="1"/>
    <col min="5653" max="5852" width="9.140625" style="1"/>
    <col min="5853" max="5853" width="28" style="1" bestFit="1" customWidth="1"/>
    <col min="5854" max="5854" width="15.7109375" style="1" customWidth="1"/>
    <col min="5855" max="5855" width="9.85546875" style="1" customWidth="1"/>
    <col min="5856" max="5856" width="12.85546875" style="1" customWidth="1"/>
    <col min="5857" max="5857" width="9.85546875" style="1" customWidth="1"/>
    <col min="5858" max="5859" width="12.85546875" style="1" customWidth="1"/>
    <col min="5860" max="5860" width="9.140625" style="1" customWidth="1"/>
    <col min="5861" max="5865" width="12.28515625" style="1" customWidth="1"/>
    <col min="5866" max="5866" width="11.28515625" style="1" customWidth="1"/>
    <col min="5867" max="5872" width="12.28515625" style="1" customWidth="1"/>
    <col min="5873" max="5873" width="11.140625" style="1" customWidth="1"/>
    <col min="5874" max="5875" width="10.42578125" style="1" customWidth="1"/>
    <col min="5876" max="5877" width="9.140625" style="1" customWidth="1"/>
    <col min="5878" max="5889" width="9.85546875" style="1" customWidth="1"/>
    <col min="5890" max="5890" width="13" style="1" customWidth="1"/>
    <col min="5891" max="5892" width="9.28515625" style="1" customWidth="1"/>
    <col min="5893" max="5893" width="9.140625" style="1" customWidth="1"/>
    <col min="5894" max="5894" width="9.28515625" style="1" customWidth="1"/>
    <col min="5895" max="5895" width="10.28515625" style="1" bestFit="1" customWidth="1"/>
    <col min="5896" max="5906" width="9.140625" style="1"/>
    <col min="5907" max="5907" width="9.85546875" style="1" bestFit="1" customWidth="1"/>
    <col min="5908" max="5908" width="10.42578125" style="1" bestFit="1" customWidth="1"/>
    <col min="5909" max="6108" width="9.140625" style="1"/>
    <col min="6109" max="6109" width="28" style="1" bestFit="1" customWidth="1"/>
    <col min="6110" max="6110" width="15.7109375" style="1" customWidth="1"/>
    <col min="6111" max="6111" width="9.85546875" style="1" customWidth="1"/>
    <col min="6112" max="6112" width="12.85546875" style="1" customWidth="1"/>
    <col min="6113" max="6113" width="9.85546875" style="1" customWidth="1"/>
    <col min="6114" max="6115" width="12.85546875" style="1" customWidth="1"/>
    <col min="6116" max="6116" width="9.140625" style="1" customWidth="1"/>
    <col min="6117" max="6121" width="12.28515625" style="1" customWidth="1"/>
    <col min="6122" max="6122" width="11.28515625" style="1" customWidth="1"/>
    <col min="6123" max="6128" width="12.28515625" style="1" customWidth="1"/>
    <col min="6129" max="6129" width="11.140625" style="1" customWidth="1"/>
    <col min="6130" max="6131" width="10.42578125" style="1" customWidth="1"/>
    <col min="6132" max="6133" width="9.140625" style="1" customWidth="1"/>
    <col min="6134" max="6145" width="9.85546875" style="1" customWidth="1"/>
    <col min="6146" max="6146" width="13" style="1" customWidth="1"/>
    <col min="6147" max="6148" width="9.28515625" style="1" customWidth="1"/>
    <col min="6149" max="6149" width="9.140625" style="1" customWidth="1"/>
    <col min="6150" max="6150" width="9.28515625" style="1" customWidth="1"/>
    <col min="6151" max="6151" width="10.28515625" style="1" bestFit="1" customWidth="1"/>
    <col min="6152" max="6162" width="9.140625" style="1"/>
    <col min="6163" max="6163" width="9.85546875" style="1" bestFit="1" customWidth="1"/>
    <col min="6164" max="6164" width="10.42578125" style="1" bestFit="1" customWidth="1"/>
    <col min="6165" max="6364" width="9.140625" style="1"/>
    <col min="6365" max="6365" width="28" style="1" bestFit="1" customWidth="1"/>
    <col min="6366" max="6366" width="15.7109375" style="1" customWidth="1"/>
    <col min="6367" max="6367" width="9.85546875" style="1" customWidth="1"/>
    <col min="6368" max="6368" width="12.85546875" style="1" customWidth="1"/>
    <col min="6369" max="6369" width="9.85546875" style="1" customWidth="1"/>
    <col min="6370" max="6371" width="12.85546875" style="1" customWidth="1"/>
    <col min="6372" max="6372" width="9.140625" style="1" customWidth="1"/>
    <col min="6373" max="6377" width="12.28515625" style="1" customWidth="1"/>
    <col min="6378" max="6378" width="11.28515625" style="1" customWidth="1"/>
    <col min="6379" max="6384" width="12.28515625" style="1" customWidth="1"/>
    <col min="6385" max="6385" width="11.140625" style="1" customWidth="1"/>
    <col min="6386" max="6387" width="10.42578125" style="1" customWidth="1"/>
    <col min="6388" max="6389" width="9.140625" style="1" customWidth="1"/>
    <col min="6390" max="6401" width="9.85546875" style="1" customWidth="1"/>
    <col min="6402" max="6402" width="13" style="1" customWidth="1"/>
    <col min="6403" max="6404" width="9.28515625" style="1" customWidth="1"/>
    <col min="6405" max="6405" width="9.140625" style="1" customWidth="1"/>
    <col min="6406" max="6406" width="9.28515625" style="1" customWidth="1"/>
    <col min="6407" max="6407" width="10.28515625" style="1" bestFit="1" customWidth="1"/>
    <col min="6408" max="6418" width="9.140625" style="1"/>
    <col min="6419" max="6419" width="9.85546875" style="1" bestFit="1" customWidth="1"/>
    <col min="6420" max="6420" width="10.42578125" style="1" bestFit="1" customWidth="1"/>
    <col min="6421" max="6620" width="9.140625" style="1"/>
    <col min="6621" max="6621" width="28" style="1" bestFit="1" customWidth="1"/>
    <col min="6622" max="6622" width="15.7109375" style="1" customWidth="1"/>
    <col min="6623" max="6623" width="9.85546875" style="1" customWidth="1"/>
    <col min="6624" max="6624" width="12.85546875" style="1" customWidth="1"/>
    <col min="6625" max="6625" width="9.85546875" style="1" customWidth="1"/>
    <col min="6626" max="6627" width="12.85546875" style="1" customWidth="1"/>
    <col min="6628" max="6628" width="9.140625" style="1" customWidth="1"/>
    <col min="6629" max="6633" width="12.28515625" style="1" customWidth="1"/>
    <col min="6634" max="6634" width="11.28515625" style="1" customWidth="1"/>
    <col min="6635" max="6640" width="12.28515625" style="1" customWidth="1"/>
    <col min="6641" max="6641" width="11.140625" style="1" customWidth="1"/>
    <col min="6642" max="6643" width="10.42578125" style="1" customWidth="1"/>
    <col min="6644" max="6645" width="9.140625" style="1" customWidth="1"/>
    <col min="6646" max="6657" width="9.85546875" style="1" customWidth="1"/>
    <col min="6658" max="6658" width="13" style="1" customWidth="1"/>
    <col min="6659" max="6660" width="9.28515625" style="1" customWidth="1"/>
    <col min="6661" max="6661" width="9.140625" style="1" customWidth="1"/>
    <col min="6662" max="6662" width="9.28515625" style="1" customWidth="1"/>
    <col min="6663" max="6663" width="10.28515625" style="1" bestFit="1" customWidth="1"/>
    <col min="6664" max="6674" width="9.140625" style="1"/>
    <col min="6675" max="6675" width="9.85546875" style="1" bestFit="1" customWidth="1"/>
    <col min="6676" max="6676" width="10.42578125" style="1" bestFit="1" customWidth="1"/>
    <col min="6677" max="6876" width="9.140625" style="1"/>
    <col min="6877" max="6877" width="28" style="1" bestFit="1" customWidth="1"/>
    <col min="6878" max="6878" width="15.7109375" style="1" customWidth="1"/>
    <col min="6879" max="6879" width="9.85546875" style="1" customWidth="1"/>
    <col min="6880" max="6880" width="12.85546875" style="1" customWidth="1"/>
    <col min="6881" max="6881" width="9.85546875" style="1" customWidth="1"/>
    <col min="6882" max="6883" width="12.85546875" style="1" customWidth="1"/>
    <col min="6884" max="6884" width="9.140625" style="1" customWidth="1"/>
    <col min="6885" max="6889" width="12.28515625" style="1" customWidth="1"/>
    <col min="6890" max="6890" width="11.28515625" style="1" customWidth="1"/>
    <col min="6891" max="6896" width="12.28515625" style="1" customWidth="1"/>
    <col min="6897" max="6897" width="11.140625" style="1" customWidth="1"/>
    <col min="6898" max="6899" width="10.42578125" style="1" customWidth="1"/>
    <col min="6900" max="6901" width="9.140625" style="1" customWidth="1"/>
    <col min="6902" max="6913" width="9.85546875" style="1" customWidth="1"/>
    <col min="6914" max="6914" width="13" style="1" customWidth="1"/>
    <col min="6915" max="6916" width="9.28515625" style="1" customWidth="1"/>
    <col min="6917" max="6917" width="9.140625" style="1" customWidth="1"/>
    <col min="6918" max="6918" width="9.28515625" style="1" customWidth="1"/>
    <col min="6919" max="6919" width="10.28515625" style="1" bestFit="1" customWidth="1"/>
    <col min="6920" max="6930" width="9.140625" style="1"/>
    <col min="6931" max="6931" width="9.85546875" style="1" bestFit="1" customWidth="1"/>
    <col min="6932" max="6932" width="10.42578125" style="1" bestFit="1" customWidth="1"/>
    <col min="6933" max="7132" width="9.140625" style="1"/>
    <col min="7133" max="7133" width="28" style="1" bestFit="1" customWidth="1"/>
    <col min="7134" max="7134" width="15.7109375" style="1" customWidth="1"/>
    <col min="7135" max="7135" width="9.85546875" style="1" customWidth="1"/>
    <col min="7136" max="7136" width="12.85546875" style="1" customWidth="1"/>
    <col min="7137" max="7137" width="9.85546875" style="1" customWidth="1"/>
    <col min="7138" max="7139" width="12.85546875" style="1" customWidth="1"/>
    <col min="7140" max="7140" width="9.140625" style="1" customWidth="1"/>
    <col min="7141" max="7145" width="12.28515625" style="1" customWidth="1"/>
    <col min="7146" max="7146" width="11.28515625" style="1" customWidth="1"/>
    <col min="7147" max="7152" width="12.28515625" style="1" customWidth="1"/>
    <col min="7153" max="7153" width="11.140625" style="1" customWidth="1"/>
    <col min="7154" max="7155" width="10.42578125" style="1" customWidth="1"/>
    <col min="7156" max="7157" width="9.140625" style="1" customWidth="1"/>
    <col min="7158" max="7169" width="9.85546875" style="1" customWidth="1"/>
    <col min="7170" max="7170" width="13" style="1" customWidth="1"/>
    <col min="7171" max="7172" width="9.28515625" style="1" customWidth="1"/>
    <col min="7173" max="7173" width="9.140625" style="1" customWidth="1"/>
    <col min="7174" max="7174" width="9.28515625" style="1" customWidth="1"/>
    <col min="7175" max="7175" width="10.28515625" style="1" bestFit="1" customWidth="1"/>
    <col min="7176" max="7186" width="9.140625" style="1"/>
    <col min="7187" max="7187" width="9.85546875" style="1" bestFit="1" customWidth="1"/>
    <col min="7188" max="7188" width="10.42578125" style="1" bestFit="1" customWidth="1"/>
    <col min="7189" max="7388" width="9.140625" style="1"/>
    <col min="7389" max="7389" width="28" style="1" bestFit="1" customWidth="1"/>
    <col min="7390" max="7390" width="15.7109375" style="1" customWidth="1"/>
    <col min="7391" max="7391" width="9.85546875" style="1" customWidth="1"/>
    <col min="7392" max="7392" width="12.85546875" style="1" customWidth="1"/>
    <col min="7393" max="7393" width="9.85546875" style="1" customWidth="1"/>
    <col min="7394" max="7395" width="12.85546875" style="1" customWidth="1"/>
    <col min="7396" max="7396" width="9.140625" style="1" customWidth="1"/>
    <col min="7397" max="7401" width="12.28515625" style="1" customWidth="1"/>
    <col min="7402" max="7402" width="11.28515625" style="1" customWidth="1"/>
    <col min="7403" max="7408" width="12.28515625" style="1" customWidth="1"/>
    <col min="7409" max="7409" width="11.140625" style="1" customWidth="1"/>
    <col min="7410" max="7411" width="10.42578125" style="1" customWidth="1"/>
    <col min="7412" max="7413" width="9.140625" style="1" customWidth="1"/>
    <col min="7414" max="7425" width="9.85546875" style="1" customWidth="1"/>
    <col min="7426" max="7426" width="13" style="1" customWidth="1"/>
    <col min="7427" max="7428" width="9.28515625" style="1" customWidth="1"/>
    <col min="7429" max="7429" width="9.140625" style="1" customWidth="1"/>
    <col min="7430" max="7430" width="9.28515625" style="1" customWidth="1"/>
    <col min="7431" max="7431" width="10.28515625" style="1" bestFit="1" customWidth="1"/>
    <col min="7432" max="7442" width="9.140625" style="1"/>
    <col min="7443" max="7443" width="9.85546875" style="1" bestFit="1" customWidth="1"/>
    <col min="7444" max="7444" width="10.42578125" style="1" bestFit="1" customWidth="1"/>
    <col min="7445" max="7644" width="9.140625" style="1"/>
    <col min="7645" max="7645" width="28" style="1" bestFit="1" customWidth="1"/>
    <col min="7646" max="7646" width="15.7109375" style="1" customWidth="1"/>
    <col min="7647" max="7647" width="9.85546875" style="1" customWidth="1"/>
    <col min="7648" max="7648" width="12.85546875" style="1" customWidth="1"/>
    <col min="7649" max="7649" width="9.85546875" style="1" customWidth="1"/>
    <col min="7650" max="7651" width="12.85546875" style="1" customWidth="1"/>
    <col min="7652" max="7652" width="9.140625" style="1" customWidth="1"/>
    <col min="7653" max="7657" width="12.28515625" style="1" customWidth="1"/>
    <col min="7658" max="7658" width="11.28515625" style="1" customWidth="1"/>
    <col min="7659" max="7664" width="12.28515625" style="1" customWidth="1"/>
    <col min="7665" max="7665" width="11.140625" style="1" customWidth="1"/>
    <col min="7666" max="7667" width="10.42578125" style="1" customWidth="1"/>
    <col min="7668" max="7669" width="9.140625" style="1" customWidth="1"/>
    <col min="7670" max="7681" width="9.85546875" style="1" customWidth="1"/>
    <col min="7682" max="7682" width="13" style="1" customWidth="1"/>
    <col min="7683" max="7684" width="9.28515625" style="1" customWidth="1"/>
    <col min="7685" max="7685" width="9.140625" style="1" customWidth="1"/>
    <col min="7686" max="7686" width="9.28515625" style="1" customWidth="1"/>
    <col min="7687" max="7687" width="10.28515625" style="1" bestFit="1" customWidth="1"/>
    <col min="7688" max="7698" width="9.140625" style="1"/>
    <col min="7699" max="7699" width="9.85546875" style="1" bestFit="1" customWidth="1"/>
    <col min="7700" max="7700" width="10.42578125" style="1" bestFit="1" customWidth="1"/>
    <col min="7701" max="7900" width="9.140625" style="1"/>
    <col min="7901" max="7901" width="28" style="1" bestFit="1" customWidth="1"/>
    <col min="7902" max="7902" width="15.7109375" style="1" customWidth="1"/>
    <col min="7903" max="7903" width="9.85546875" style="1" customWidth="1"/>
    <col min="7904" max="7904" width="12.85546875" style="1" customWidth="1"/>
    <col min="7905" max="7905" width="9.85546875" style="1" customWidth="1"/>
    <col min="7906" max="7907" width="12.85546875" style="1" customWidth="1"/>
    <col min="7908" max="7908" width="9.140625" style="1" customWidth="1"/>
    <col min="7909" max="7913" width="12.28515625" style="1" customWidth="1"/>
    <col min="7914" max="7914" width="11.28515625" style="1" customWidth="1"/>
    <col min="7915" max="7920" width="12.28515625" style="1" customWidth="1"/>
    <col min="7921" max="7921" width="11.140625" style="1" customWidth="1"/>
    <col min="7922" max="7923" width="10.42578125" style="1" customWidth="1"/>
    <col min="7924" max="7925" width="9.140625" style="1" customWidth="1"/>
    <col min="7926" max="7937" width="9.85546875" style="1" customWidth="1"/>
    <col min="7938" max="7938" width="13" style="1" customWidth="1"/>
    <col min="7939" max="7940" width="9.28515625" style="1" customWidth="1"/>
    <col min="7941" max="7941" width="9.140625" style="1" customWidth="1"/>
    <col min="7942" max="7942" width="9.28515625" style="1" customWidth="1"/>
    <col min="7943" max="7943" width="10.28515625" style="1" bestFit="1" customWidth="1"/>
    <col min="7944" max="7954" width="9.140625" style="1"/>
    <col min="7955" max="7955" width="9.85546875" style="1" bestFit="1" customWidth="1"/>
    <col min="7956" max="7956" width="10.42578125" style="1" bestFit="1" customWidth="1"/>
    <col min="7957" max="8156" width="9.140625" style="1"/>
    <col min="8157" max="8157" width="28" style="1" bestFit="1" customWidth="1"/>
    <col min="8158" max="8158" width="15.7109375" style="1" customWidth="1"/>
    <col min="8159" max="8159" width="9.85546875" style="1" customWidth="1"/>
    <col min="8160" max="8160" width="12.85546875" style="1" customWidth="1"/>
    <col min="8161" max="8161" width="9.85546875" style="1" customWidth="1"/>
    <col min="8162" max="8163" width="12.85546875" style="1" customWidth="1"/>
    <col min="8164" max="8164" width="9.140625" style="1" customWidth="1"/>
    <col min="8165" max="8169" width="12.28515625" style="1" customWidth="1"/>
    <col min="8170" max="8170" width="11.28515625" style="1" customWidth="1"/>
    <col min="8171" max="8176" width="12.28515625" style="1" customWidth="1"/>
    <col min="8177" max="8177" width="11.140625" style="1" customWidth="1"/>
    <col min="8178" max="8179" width="10.42578125" style="1" customWidth="1"/>
    <col min="8180" max="8181" width="9.140625" style="1" customWidth="1"/>
    <col min="8182" max="8193" width="9.85546875" style="1" customWidth="1"/>
    <col min="8194" max="8194" width="13" style="1" customWidth="1"/>
    <col min="8195" max="8196" width="9.28515625" style="1" customWidth="1"/>
    <col min="8197" max="8197" width="9.140625" style="1" customWidth="1"/>
    <col min="8198" max="8198" width="9.28515625" style="1" customWidth="1"/>
    <col min="8199" max="8199" width="10.28515625" style="1" bestFit="1" customWidth="1"/>
    <col min="8200" max="8210" width="9.140625" style="1"/>
    <col min="8211" max="8211" width="9.85546875" style="1" bestFit="1" customWidth="1"/>
    <col min="8212" max="8212" width="10.42578125" style="1" bestFit="1" customWidth="1"/>
    <col min="8213" max="8412" width="9.140625" style="1"/>
    <col min="8413" max="8413" width="28" style="1" bestFit="1" customWidth="1"/>
    <col min="8414" max="8414" width="15.7109375" style="1" customWidth="1"/>
    <col min="8415" max="8415" width="9.85546875" style="1" customWidth="1"/>
    <col min="8416" max="8416" width="12.85546875" style="1" customWidth="1"/>
    <col min="8417" max="8417" width="9.85546875" style="1" customWidth="1"/>
    <col min="8418" max="8419" width="12.85546875" style="1" customWidth="1"/>
    <col min="8420" max="8420" width="9.140625" style="1" customWidth="1"/>
    <col min="8421" max="8425" width="12.28515625" style="1" customWidth="1"/>
    <col min="8426" max="8426" width="11.28515625" style="1" customWidth="1"/>
    <col min="8427" max="8432" width="12.28515625" style="1" customWidth="1"/>
    <col min="8433" max="8433" width="11.140625" style="1" customWidth="1"/>
    <col min="8434" max="8435" width="10.42578125" style="1" customWidth="1"/>
    <col min="8436" max="8437" width="9.140625" style="1" customWidth="1"/>
    <col min="8438" max="8449" width="9.85546875" style="1" customWidth="1"/>
    <col min="8450" max="8450" width="13" style="1" customWidth="1"/>
    <col min="8451" max="8452" width="9.28515625" style="1" customWidth="1"/>
    <col min="8453" max="8453" width="9.140625" style="1" customWidth="1"/>
    <col min="8454" max="8454" width="9.28515625" style="1" customWidth="1"/>
    <col min="8455" max="8455" width="10.28515625" style="1" bestFit="1" customWidth="1"/>
    <col min="8456" max="8466" width="9.140625" style="1"/>
    <col min="8467" max="8467" width="9.85546875" style="1" bestFit="1" customWidth="1"/>
    <col min="8468" max="8468" width="10.42578125" style="1" bestFit="1" customWidth="1"/>
    <col min="8469" max="8668" width="9.140625" style="1"/>
    <col min="8669" max="8669" width="28" style="1" bestFit="1" customWidth="1"/>
    <col min="8670" max="8670" width="15.7109375" style="1" customWidth="1"/>
    <col min="8671" max="8671" width="9.85546875" style="1" customWidth="1"/>
    <col min="8672" max="8672" width="12.85546875" style="1" customWidth="1"/>
    <col min="8673" max="8673" width="9.85546875" style="1" customWidth="1"/>
    <col min="8674" max="8675" width="12.85546875" style="1" customWidth="1"/>
    <col min="8676" max="8676" width="9.140625" style="1" customWidth="1"/>
    <col min="8677" max="8681" width="12.28515625" style="1" customWidth="1"/>
    <col min="8682" max="8682" width="11.28515625" style="1" customWidth="1"/>
    <col min="8683" max="8688" width="12.28515625" style="1" customWidth="1"/>
    <col min="8689" max="8689" width="11.140625" style="1" customWidth="1"/>
    <col min="8690" max="8691" width="10.42578125" style="1" customWidth="1"/>
    <col min="8692" max="8693" width="9.140625" style="1" customWidth="1"/>
    <col min="8694" max="8705" width="9.85546875" style="1" customWidth="1"/>
    <col min="8706" max="8706" width="13" style="1" customWidth="1"/>
    <col min="8707" max="8708" width="9.28515625" style="1" customWidth="1"/>
    <col min="8709" max="8709" width="9.140625" style="1" customWidth="1"/>
    <col min="8710" max="8710" width="9.28515625" style="1" customWidth="1"/>
    <col min="8711" max="8711" width="10.28515625" style="1" bestFit="1" customWidth="1"/>
    <col min="8712" max="8722" width="9.140625" style="1"/>
    <col min="8723" max="8723" width="9.85546875" style="1" bestFit="1" customWidth="1"/>
    <col min="8724" max="8724" width="10.42578125" style="1" bestFit="1" customWidth="1"/>
    <col min="8725" max="8924" width="9.140625" style="1"/>
    <col min="8925" max="8925" width="28" style="1" bestFit="1" customWidth="1"/>
    <col min="8926" max="8926" width="15.7109375" style="1" customWidth="1"/>
    <col min="8927" max="8927" width="9.85546875" style="1" customWidth="1"/>
    <col min="8928" max="8928" width="12.85546875" style="1" customWidth="1"/>
    <col min="8929" max="8929" width="9.85546875" style="1" customWidth="1"/>
    <col min="8930" max="8931" width="12.85546875" style="1" customWidth="1"/>
    <col min="8932" max="8932" width="9.140625" style="1" customWidth="1"/>
    <col min="8933" max="8937" width="12.28515625" style="1" customWidth="1"/>
    <col min="8938" max="8938" width="11.28515625" style="1" customWidth="1"/>
    <col min="8939" max="8944" width="12.28515625" style="1" customWidth="1"/>
    <col min="8945" max="8945" width="11.140625" style="1" customWidth="1"/>
    <col min="8946" max="8947" width="10.42578125" style="1" customWidth="1"/>
    <col min="8948" max="8949" width="9.140625" style="1" customWidth="1"/>
    <col min="8950" max="8961" width="9.85546875" style="1" customWidth="1"/>
    <col min="8962" max="8962" width="13" style="1" customWidth="1"/>
    <col min="8963" max="8964" width="9.28515625" style="1" customWidth="1"/>
    <col min="8965" max="8965" width="9.140625" style="1" customWidth="1"/>
    <col min="8966" max="8966" width="9.28515625" style="1" customWidth="1"/>
    <col min="8967" max="8967" width="10.28515625" style="1" bestFit="1" customWidth="1"/>
    <col min="8968" max="8978" width="9.140625" style="1"/>
    <col min="8979" max="8979" width="9.85546875" style="1" bestFit="1" customWidth="1"/>
    <col min="8980" max="8980" width="10.42578125" style="1" bestFit="1" customWidth="1"/>
    <col min="8981" max="9180" width="9.140625" style="1"/>
    <col min="9181" max="9181" width="28" style="1" bestFit="1" customWidth="1"/>
    <col min="9182" max="9182" width="15.7109375" style="1" customWidth="1"/>
    <col min="9183" max="9183" width="9.85546875" style="1" customWidth="1"/>
    <col min="9184" max="9184" width="12.85546875" style="1" customWidth="1"/>
    <col min="9185" max="9185" width="9.85546875" style="1" customWidth="1"/>
    <col min="9186" max="9187" width="12.85546875" style="1" customWidth="1"/>
    <col min="9188" max="9188" width="9.140625" style="1" customWidth="1"/>
    <col min="9189" max="9193" width="12.28515625" style="1" customWidth="1"/>
    <col min="9194" max="9194" width="11.28515625" style="1" customWidth="1"/>
    <col min="9195" max="9200" width="12.28515625" style="1" customWidth="1"/>
    <col min="9201" max="9201" width="11.140625" style="1" customWidth="1"/>
    <col min="9202" max="9203" width="10.42578125" style="1" customWidth="1"/>
    <col min="9204" max="9205" width="9.140625" style="1" customWidth="1"/>
    <col min="9206" max="9217" width="9.85546875" style="1" customWidth="1"/>
    <col min="9218" max="9218" width="13" style="1" customWidth="1"/>
    <col min="9219" max="9220" width="9.28515625" style="1" customWidth="1"/>
    <col min="9221" max="9221" width="9.140625" style="1" customWidth="1"/>
    <col min="9222" max="9222" width="9.28515625" style="1" customWidth="1"/>
    <col min="9223" max="9223" width="10.28515625" style="1" bestFit="1" customWidth="1"/>
    <col min="9224" max="9234" width="9.140625" style="1"/>
    <col min="9235" max="9235" width="9.85546875" style="1" bestFit="1" customWidth="1"/>
    <col min="9236" max="9236" width="10.42578125" style="1" bestFit="1" customWidth="1"/>
    <col min="9237" max="9436" width="9.140625" style="1"/>
    <col min="9437" max="9437" width="28" style="1" bestFit="1" customWidth="1"/>
    <col min="9438" max="9438" width="15.7109375" style="1" customWidth="1"/>
    <col min="9439" max="9439" width="9.85546875" style="1" customWidth="1"/>
    <col min="9440" max="9440" width="12.85546875" style="1" customWidth="1"/>
    <col min="9441" max="9441" width="9.85546875" style="1" customWidth="1"/>
    <col min="9442" max="9443" width="12.85546875" style="1" customWidth="1"/>
    <col min="9444" max="9444" width="9.140625" style="1" customWidth="1"/>
    <col min="9445" max="9449" width="12.28515625" style="1" customWidth="1"/>
    <col min="9450" max="9450" width="11.28515625" style="1" customWidth="1"/>
    <col min="9451" max="9456" width="12.28515625" style="1" customWidth="1"/>
    <col min="9457" max="9457" width="11.140625" style="1" customWidth="1"/>
    <col min="9458" max="9459" width="10.42578125" style="1" customWidth="1"/>
    <col min="9460" max="9461" width="9.140625" style="1" customWidth="1"/>
    <col min="9462" max="9473" width="9.85546875" style="1" customWidth="1"/>
    <col min="9474" max="9474" width="13" style="1" customWidth="1"/>
    <col min="9475" max="9476" width="9.28515625" style="1" customWidth="1"/>
    <col min="9477" max="9477" width="9.140625" style="1" customWidth="1"/>
    <col min="9478" max="9478" width="9.28515625" style="1" customWidth="1"/>
    <col min="9479" max="9479" width="10.28515625" style="1" bestFit="1" customWidth="1"/>
    <col min="9480" max="9490" width="9.140625" style="1"/>
    <col min="9491" max="9491" width="9.85546875" style="1" bestFit="1" customWidth="1"/>
    <col min="9492" max="9492" width="10.42578125" style="1" bestFit="1" customWidth="1"/>
    <col min="9493" max="9692" width="9.140625" style="1"/>
    <col min="9693" max="9693" width="28" style="1" bestFit="1" customWidth="1"/>
    <col min="9694" max="9694" width="15.7109375" style="1" customWidth="1"/>
    <col min="9695" max="9695" width="9.85546875" style="1" customWidth="1"/>
    <col min="9696" max="9696" width="12.85546875" style="1" customWidth="1"/>
    <col min="9697" max="9697" width="9.85546875" style="1" customWidth="1"/>
    <col min="9698" max="9699" width="12.85546875" style="1" customWidth="1"/>
    <col min="9700" max="9700" width="9.140625" style="1" customWidth="1"/>
    <col min="9701" max="9705" width="12.28515625" style="1" customWidth="1"/>
    <col min="9706" max="9706" width="11.28515625" style="1" customWidth="1"/>
    <col min="9707" max="9712" width="12.28515625" style="1" customWidth="1"/>
    <col min="9713" max="9713" width="11.140625" style="1" customWidth="1"/>
    <col min="9714" max="9715" width="10.42578125" style="1" customWidth="1"/>
    <col min="9716" max="9717" width="9.140625" style="1" customWidth="1"/>
    <col min="9718" max="9729" width="9.85546875" style="1" customWidth="1"/>
    <col min="9730" max="9730" width="13" style="1" customWidth="1"/>
    <col min="9731" max="9732" width="9.28515625" style="1" customWidth="1"/>
    <col min="9733" max="9733" width="9.140625" style="1" customWidth="1"/>
    <col min="9734" max="9734" width="9.28515625" style="1" customWidth="1"/>
    <col min="9735" max="9735" width="10.28515625" style="1" bestFit="1" customWidth="1"/>
    <col min="9736" max="9746" width="9.140625" style="1"/>
    <col min="9747" max="9747" width="9.85546875" style="1" bestFit="1" customWidth="1"/>
    <col min="9748" max="9748" width="10.42578125" style="1" bestFit="1" customWidth="1"/>
    <col min="9749" max="9948" width="9.140625" style="1"/>
    <col min="9949" max="9949" width="28" style="1" bestFit="1" customWidth="1"/>
    <col min="9950" max="9950" width="15.7109375" style="1" customWidth="1"/>
    <col min="9951" max="9951" width="9.85546875" style="1" customWidth="1"/>
    <col min="9952" max="9952" width="12.85546875" style="1" customWidth="1"/>
    <col min="9953" max="9953" width="9.85546875" style="1" customWidth="1"/>
    <col min="9954" max="9955" width="12.85546875" style="1" customWidth="1"/>
    <col min="9956" max="9956" width="9.140625" style="1" customWidth="1"/>
    <col min="9957" max="9961" width="12.28515625" style="1" customWidth="1"/>
    <col min="9962" max="9962" width="11.28515625" style="1" customWidth="1"/>
    <col min="9963" max="9968" width="12.28515625" style="1" customWidth="1"/>
    <col min="9969" max="9969" width="11.140625" style="1" customWidth="1"/>
    <col min="9970" max="9971" width="10.42578125" style="1" customWidth="1"/>
    <col min="9972" max="9973" width="9.140625" style="1" customWidth="1"/>
    <col min="9974" max="9985" width="9.85546875" style="1" customWidth="1"/>
    <col min="9986" max="9986" width="13" style="1" customWidth="1"/>
    <col min="9987" max="9988" width="9.28515625" style="1" customWidth="1"/>
    <col min="9989" max="9989" width="9.140625" style="1" customWidth="1"/>
    <col min="9990" max="9990" width="9.28515625" style="1" customWidth="1"/>
    <col min="9991" max="9991" width="10.28515625" style="1" bestFit="1" customWidth="1"/>
    <col min="9992" max="10002" width="9.140625" style="1"/>
    <col min="10003" max="10003" width="9.85546875" style="1" bestFit="1" customWidth="1"/>
    <col min="10004" max="10004" width="10.42578125" style="1" bestFit="1" customWidth="1"/>
    <col min="10005" max="10204" width="9.140625" style="1"/>
    <col min="10205" max="10205" width="28" style="1" bestFit="1" customWidth="1"/>
    <col min="10206" max="10206" width="15.7109375" style="1" customWidth="1"/>
    <col min="10207" max="10207" width="9.85546875" style="1" customWidth="1"/>
    <col min="10208" max="10208" width="12.85546875" style="1" customWidth="1"/>
    <col min="10209" max="10209" width="9.85546875" style="1" customWidth="1"/>
    <col min="10210" max="10211" width="12.85546875" style="1" customWidth="1"/>
    <col min="10212" max="10212" width="9.140625" style="1" customWidth="1"/>
    <col min="10213" max="10217" width="12.28515625" style="1" customWidth="1"/>
    <col min="10218" max="10218" width="11.28515625" style="1" customWidth="1"/>
    <col min="10219" max="10224" width="12.28515625" style="1" customWidth="1"/>
    <col min="10225" max="10225" width="11.140625" style="1" customWidth="1"/>
    <col min="10226" max="10227" width="10.42578125" style="1" customWidth="1"/>
    <col min="10228" max="10229" width="9.140625" style="1" customWidth="1"/>
    <col min="10230" max="10241" width="9.85546875" style="1" customWidth="1"/>
    <col min="10242" max="10242" width="13" style="1" customWidth="1"/>
    <col min="10243" max="10244" width="9.28515625" style="1" customWidth="1"/>
    <col min="10245" max="10245" width="9.140625" style="1" customWidth="1"/>
    <col min="10246" max="10246" width="9.28515625" style="1" customWidth="1"/>
    <col min="10247" max="10247" width="10.28515625" style="1" bestFit="1" customWidth="1"/>
    <col min="10248" max="10258" width="9.140625" style="1"/>
    <col min="10259" max="10259" width="9.85546875" style="1" bestFit="1" customWidth="1"/>
    <col min="10260" max="10260" width="10.42578125" style="1" bestFit="1" customWidth="1"/>
    <col min="10261" max="10460" width="9.140625" style="1"/>
    <col min="10461" max="10461" width="28" style="1" bestFit="1" customWidth="1"/>
    <col min="10462" max="10462" width="15.7109375" style="1" customWidth="1"/>
    <col min="10463" max="10463" width="9.85546875" style="1" customWidth="1"/>
    <col min="10464" max="10464" width="12.85546875" style="1" customWidth="1"/>
    <col min="10465" max="10465" width="9.85546875" style="1" customWidth="1"/>
    <col min="10466" max="10467" width="12.85546875" style="1" customWidth="1"/>
    <col min="10468" max="10468" width="9.140625" style="1" customWidth="1"/>
    <col min="10469" max="10473" width="12.28515625" style="1" customWidth="1"/>
    <col min="10474" max="10474" width="11.28515625" style="1" customWidth="1"/>
    <col min="10475" max="10480" width="12.28515625" style="1" customWidth="1"/>
    <col min="10481" max="10481" width="11.140625" style="1" customWidth="1"/>
    <col min="10482" max="10483" width="10.42578125" style="1" customWidth="1"/>
    <col min="10484" max="10485" width="9.140625" style="1" customWidth="1"/>
    <col min="10486" max="10497" width="9.85546875" style="1" customWidth="1"/>
    <col min="10498" max="10498" width="13" style="1" customWidth="1"/>
    <col min="10499" max="10500" width="9.28515625" style="1" customWidth="1"/>
    <col min="10501" max="10501" width="9.140625" style="1" customWidth="1"/>
    <col min="10502" max="10502" width="9.28515625" style="1" customWidth="1"/>
    <col min="10503" max="10503" width="10.28515625" style="1" bestFit="1" customWidth="1"/>
    <col min="10504" max="10514" width="9.140625" style="1"/>
    <col min="10515" max="10515" width="9.85546875" style="1" bestFit="1" customWidth="1"/>
    <col min="10516" max="10516" width="10.42578125" style="1" bestFit="1" customWidth="1"/>
    <col min="10517" max="10716" width="9.140625" style="1"/>
    <col min="10717" max="10717" width="28" style="1" bestFit="1" customWidth="1"/>
    <col min="10718" max="10718" width="15.7109375" style="1" customWidth="1"/>
    <col min="10719" max="10719" width="9.85546875" style="1" customWidth="1"/>
    <col min="10720" max="10720" width="12.85546875" style="1" customWidth="1"/>
    <col min="10721" max="10721" width="9.85546875" style="1" customWidth="1"/>
    <col min="10722" max="10723" width="12.85546875" style="1" customWidth="1"/>
    <col min="10724" max="10724" width="9.140625" style="1" customWidth="1"/>
    <col min="10725" max="10729" width="12.28515625" style="1" customWidth="1"/>
    <col min="10730" max="10730" width="11.28515625" style="1" customWidth="1"/>
    <col min="10731" max="10736" width="12.28515625" style="1" customWidth="1"/>
    <col min="10737" max="10737" width="11.140625" style="1" customWidth="1"/>
    <col min="10738" max="10739" width="10.42578125" style="1" customWidth="1"/>
    <col min="10740" max="10741" width="9.140625" style="1" customWidth="1"/>
    <col min="10742" max="10753" width="9.85546875" style="1" customWidth="1"/>
    <col min="10754" max="10754" width="13" style="1" customWidth="1"/>
    <col min="10755" max="10756" width="9.28515625" style="1" customWidth="1"/>
    <col min="10757" max="10757" width="9.140625" style="1" customWidth="1"/>
    <col min="10758" max="10758" width="9.28515625" style="1" customWidth="1"/>
    <col min="10759" max="10759" width="10.28515625" style="1" bestFit="1" customWidth="1"/>
    <col min="10760" max="10770" width="9.140625" style="1"/>
    <col min="10771" max="10771" width="9.85546875" style="1" bestFit="1" customWidth="1"/>
    <col min="10772" max="10772" width="10.42578125" style="1" bestFit="1" customWidth="1"/>
    <col min="10773" max="10972" width="9.140625" style="1"/>
    <col min="10973" max="10973" width="28" style="1" bestFit="1" customWidth="1"/>
    <col min="10974" max="10974" width="15.7109375" style="1" customWidth="1"/>
    <col min="10975" max="10975" width="9.85546875" style="1" customWidth="1"/>
    <col min="10976" max="10976" width="12.85546875" style="1" customWidth="1"/>
    <col min="10977" max="10977" width="9.85546875" style="1" customWidth="1"/>
    <col min="10978" max="10979" width="12.85546875" style="1" customWidth="1"/>
    <col min="10980" max="10980" width="9.140625" style="1" customWidth="1"/>
    <col min="10981" max="10985" width="12.28515625" style="1" customWidth="1"/>
    <col min="10986" max="10986" width="11.28515625" style="1" customWidth="1"/>
    <col min="10987" max="10992" width="12.28515625" style="1" customWidth="1"/>
    <col min="10993" max="10993" width="11.140625" style="1" customWidth="1"/>
    <col min="10994" max="10995" width="10.42578125" style="1" customWidth="1"/>
    <col min="10996" max="10997" width="9.140625" style="1" customWidth="1"/>
    <col min="10998" max="11009" width="9.85546875" style="1" customWidth="1"/>
    <col min="11010" max="11010" width="13" style="1" customWidth="1"/>
    <col min="11011" max="11012" width="9.28515625" style="1" customWidth="1"/>
    <col min="11013" max="11013" width="9.140625" style="1" customWidth="1"/>
    <col min="11014" max="11014" width="9.28515625" style="1" customWidth="1"/>
    <col min="11015" max="11015" width="10.28515625" style="1" bestFit="1" customWidth="1"/>
    <col min="11016" max="11026" width="9.140625" style="1"/>
    <col min="11027" max="11027" width="9.85546875" style="1" bestFit="1" customWidth="1"/>
    <col min="11028" max="11028" width="10.42578125" style="1" bestFit="1" customWidth="1"/>
    <col min="11029" max="11228" width="9.140625" style="1"/>
    <col min="11229" max="11229" width="28" style="1" bestFit="1" customWidth="1"/>
    <col min="11230" max="11230" width="15.7109375" style="1" customWidth="1"/>
    <col min="11231" max="11231" width="9.85546875" style="1" customWidth="1"/>
    <col min="11232" max="11232" width="12.85546875" style="1" customWidth="1"/>
    <col min="11233" max="11233" width="9.85546875" style="1" customWidth="1"/>
    <col min="11234" max="11235" width="12.85546875" style="1" customWidth="1"/>
    <col min="11236" max="11236" width="9.140625" style="1" customWidth="1"/>
    <col min="11237" max="11241" width="12.28515625" style="1" customWidth="1"/>
    <col min="11242" max="11242" width="11.28515625" style="1" customWidth="1"/>
    <col min="11243" max="11248" width="12.28515625" style="1" customWidth="1"/>
    <col min="11249" max="11249" width="11.140625" style="1" customWidth="1"/>
    <col min="11250" max="11251" width="10.42578125" style="1" customWidth="1"/>
    <col min="11252" max="11253" width="9.140625" style="1" customWidth="1"/>
    <col min="11254" max="11265" width="9.85546875" style="1" customWidth="1"/>
    <col min="11266" max="11266" width="13" style="1" customWidth="1"/>
    <col min="11267" max="11268" width="9.28515625" style="1" customWidth="1"/>
    <col min="11269" max="11269" width="9.140625" style="1" customWidth="1"/>
    <col min="11270" max="11270" width="9.28515625" style="1" customWidth="1"/>
    <col min="11271" max="11271" width="10.28515625" style="1" bestFit="1" customWidth="1"/>
    <col min="11272" max="11282" width="9.140625" style="1"/>
    <col min="11283" max="11283" width="9.85546875" style="1" bestFit="1" customWidth="1"/>
    <col min="11284" max="11284" width="10.42578125" style="1" bestFit="1" customWidth="1"/>
    <col min="11285" max="11484" width="9.140625" style="1"/>
    <col min="11485" max="11485" width="28" style="1" bestFit="1" customWidth="1"/>
    <col min="11486" max="11486" width="15.7109375" style="1" customWidth="1"/>
    <col min="11487" max="11487" width="9.85546875" style="1" customWidth="1"/>
    <col min="11488" max="11488" width="12.85546875" style="1" customWidth="1"/>
    <col min="11489" max="11489" width="9.85546875" style="1" customWidth="1"/>
    <col min="11490" max="11491" width="12.85546875" style="1" customWidth="1"/>
    <col min="11492" max="11492" width="9.140625" style="1" customWidth="1"/>
    <col min="11493" max="11497" width="12.28515625" style="1" customWidth="1"/>
    <col min="11498" max="11498" width="11.28515625" style="1" customWidth="1"/>
    <col min="11499" max="11504" width="12.28515625" style="1" customWidth="1"/>
    <col min="11505" max="11505" width="11.140625" style="1" customWidth="1"/>
    <col min="11506" max="11507" width="10.42578125" style="1" customWidth="1"/>
    <col min="11508" max="11509" width="9.140625" style="1" customWidth="1"/>
    <col min="11510" max="11521" width="9.85546875" style="1" customWidth="1"/>
    <col min="11522" max="11522" width="13" style="1" customWidth="1"/>
    <col min="11523" max="11524" width="9.28515625" style="1" customWidth="1"/>
    <col min="11525" max="11525" width="9.140625" style="1" customWidth="1"/>
    <col min="11526" max="11526" width="9.28515625" style="1" customWidth="1"/>
    <col min="11527" max="11527" width="10.28515625" style="1" bestFit="1" customWidth="1"/>
    <col min="11528" max="11538" width="9.140625" style="1"/>
    <col min="11539" max="11539" width="9.85546875" style="1" bestFit="1" customWidth="1"/>
    <col min="11540" max="11540" width="10.42578125" style="1" bestFit="1" customWidth="1"/>
    <col min="11541" max="11740" width="9.140625" style="1"/>
    <col min="11741" max="11741" width="28" style="1" bestFit="1" customWidth="1"/>
    <col min="11742" max="11742" width="15.7109375" style="1" customWidth="1"/>
    <col min="11743" max="11743" width="9.85546875" style="1" customWidth="1"/>
    <col min="11744" max="11744" width="12.85546875" style="1" customWidth="1"/>
    <col min="11745" max="11745" width="9.85546875" style="1" customWidth="1"/>
    <col min="11746" max="11747" width="12.85546875" style="1" customWidth="1"/>
    <col min="11748" max="11748" width="9.140625" style="1" customWidth="1"/>
    <col min="11749" max="11753" width="12.28515625" style="1" customWidth="1"/>
    <col min="11754" max="11754" width="11.28515625" style="1" customWidth="1"/>
    <col min="11755" max="11760" width="12.28515625" style="1" customWidth="1"/>
    <col min="11761" max="11761" width="11.140625" style="1" customWidth="1"/>
    <col min="11762" max="11763" width="10.42578125" style="1" customWidth="1"/>
    <col min="11764" max="11765" width="9.140625" style="1" customWidth="1"/>
    <col min="11766" max="11777" width="9.85546875" style="1" customWidth="1"/>
    <col min="11778" max="11778" width="13" style="1" customWidth="1"/>
    <col min="11779" max="11780" width="9.28515625" style="1" customWidth="1"/>
    <col min="11781" max="11781" width="9.140625" style="1" customWidth="1"/>
    <col min="11782" max="11782" width="9.28515625" style="1" customWidth="1"/>
    <col min="11783" max="11783" width="10.28515625" style="1" bestFit="1" customWidth="1"/>
    <col min="11784" max="11794" width="9.140625" style="1"/>
    <col min="11795" max="11795" width="9.85546875" style="1" bestFit="1" customWidth="1"/>
    <col min="11796" max="11796" width="10.42578125" style="1" bestFit="1" customWidth="1"/>
    <col min="11797" max="11996" width="9.140625" style="1"/>
    <col min="11997" max="11997" width="28" style="1" bestFit="1" customWidth="1"/>
    <col min="11998" max="11998" width="15.7109375" style="1" customWidth="1"/>
    <col min="11999" max="11999" width="9.85546875" style="1" customWidth="1"/>
    <col min="12000" max="12000" width="12.85546875" style="1" customWidth="1"/>
    <col min="12001" max="12001" width="9.85546875" style="1" customWidth="1"/>
    <col min="12002" max="12003" width="12.85546875" style="1" customWidth="1"/>
    <col min="12004" max="12004" width="9.140625" style="1" customWidth="1"/>
    <col min="12005" max="12009" width="12.28515625" style="1" customWidth="1"/>
    <col min="12010" max="12010" width="11.28515625" style="1" customWidth="1"/>
    <col min="12011" max="12016" width="12.28515625" style="1" customWidth="1"/>
    <col min="12017" max="12017" width="11.140625" style="1" customWidth="1"/>
    <col min="12018" max="12019" width="10.42578125" style="1" customWidth="1"/>
    <col min="12020" max="12021" width="9.140625" style="1" customWidth="1"/>
    <col min="12022" max="12033" width="9.85546875" style="1" customWidth="1"/>
    <col min="12034" max="12034" width="13" style="1" customWidth="1"/>
    <col min="12035" max="12036" width="9.28515625" style="1" customWidth="1"/>
    <col min="12037" max="12037" width="9.140625" style="1" customWidth="1"/>
    <col min="12038" max="12038" width="9.28515625" style="1" customWidth="1"/>
    <col min="12039" max="12039" width="10.28515625" style="1" bestFit="1" customWidth="1"/>
    <col min="12040" max="12050" width="9.140625" style="1"/>
    <col min="12051" max="12051" width="9.85546875" style="1" bestFit="1" customWidth="1"/>
    <col min="12052" max="12052" width="10.42578125" style="1" bestFit="1" customWidth="1"/>
    <col min="12053" max="12252" width="9.140625" style="1"/>
    <col min="12253" max="12253" width="28" style="1" bestFit="1" customWidth="1"/>
    <col min="12254" max="12254" width="15.7109375" style="1" customWidth="1"/>
    <col min="12255" max="12255" width="9.85546875" style="1" customWidth="1"/>
    <col min="12256" max="12256" width="12.85546875" style="1" customWidth="1"/>
    <col min="12257" max="12257" width="9.85546875" style="1" customWidth="1"/>
    <col min="12258" max="12259" width="12.85546875" style="1" customWidth="1"/>
    <col min="12260" max="12260" width="9.140625" style="1" customWidth="1"/>
    <col min="12261" max="12265" width="12.28515625" style="1" customWidth="1"/>
    <col min="12266" max="12266" width="11.28515625" style="1" customWidth="1"/>
    <col min="12267" max="12272" width="12.28515625" style="1" customWidth="1"/>
    <col min="12273" max="12273" width="11.140625" style="1" customWidth="1"/>
    <col min="12274" max="12275" width="10.42578125" style="1" customWidth="1"/>
    <col min="12276" max="12277" width="9.140625" style="1" customWidth="1"/>
    <col min="12278" max="12289" width="9.85546875" style="1" customWidth="1"/>
    <col min="12290" max="12290" width="13" style="1" customWidth="1"/>
    <col min="12291" max="12292" width="9.28515625" style="1" customWidth="1"/>
    <col min="12293" max="12293" width="9.140625" style="1" customWidth="1"/>
    <col min="12294" max="12294" width="9.28515625" style="1" customWidth="1"/>
    <col min="12295" max="12295" width="10.28515625" style="1" bestFit="1" customWidth="1"/>
    <col min="12296" max="12306" width="9.140625" style="1"/>
    <col min="12307" max="12307" width="9.85546875" style="1" bestFit="1" customWidth="1"/>
    <col min="12308" max="12308" width="10.42578125" style="1" bestFit="1" customWidth="1"/>
    <col min="12309" max="12508" width="9.140625" style="1"/>
    <col min="12509" max="12509" width="28" style="1" bestFit="1" customWidth="1"/>
    <col min="12510" max="12510" width="15.7109375" style="1" customWidth="1"/>
    <col min="12511" max="12511" width="9.85546875" style="1" customWidth="1"/>
    <col min="12512" max="12512" width="12.85546875" style="1" customWidth="1"/>
    <col min="12513" max="12513" width="9.85546875" style="1" customWidth="1"/>
    <col min="12514" max="12515" width="12.85546875" style="1" customWidth="1"/>
    <col min="12516" max="12516" width="9.140625" style="1" customWidth="1"/>
    <col min="12517" max="12521" width="12.28515625" style="1" customWidth="1"/>
    <col min="12522" max="12522" width="11.28515625" style="1" customWidth="1"/>
    <col min="12523" max="12528" width="12.28515625" style="1" customWidth="1"/>
    <col min="12529" max="12529" width="11.140625" style="1" customWidth="1"/>
    <col min="12530" max="12531" width="10.42578125" style="1" customWidth="1"/>
    <col min="12532" max="12533" width="9.140625" style="1" customWidth="1"/>
    <col min="12534" max="12545" width="9.85546875" style="1" customWidth="1"/>
    <col min="12546" max="12546" width="13" style="1" customWidth="1"/>
    <col min="12547" max="12548" width="9.28515625" style="1" customWidth="1"/>
    <col min="12549" max="12549" width="9.140625" style="1" customWidth="1"/>
    <col min="12550" max="12550" width="9.28515625" style="1" customWidth="1"/>
    <col min="12551" max="12551" width="10.28515625" style="1" bestFit="1" customWidth="1"/>
    <col min="12552" max="12562" width="9.140625" style="1"/>
    <col min="12563" max="12563" width="9.85546875" style="1" bestFit="1" customWidth="1"/>
    <col min="12564" max="12564" width="10.42578125" style="1" bestFit="1" customWidth="1"/>
    <col min="12565" max="12764" width="9.140625" style="1"/>
    <col min="12765" max="12765" width="28" style="1" bestFit="1" customWidth="1"/>
    <col min="12766" max="12766" width="15.7109375" style="1" customWidth="1"/>
    <col min="12767" max="12767" width="9.85546875" style="1" customWidth="1"/>
    <col min="12768" max="12768" width="12.85546875" style="1" customWidth="1"/>
    <col min="12769" max="12769" width="9.85546875" style="1" customWidth="1"/>
    <col min="12770" max="12771" width="12.85546875" style="1" customWidth="1"/>
    <col min="12772" max="12772" width="9.140625" style="1" customWidth="1"/>
    <col min="12773" max="12777" width="12.28515625" style="1" customWidth="1"/>
    <col min="12778" max="12778" width="11.28515625" style="1" customWidth="1"/>
    <col min="12779" max="12784" width="12.28515625" style="1" customWidth="1"/>
    <col min="12785" max="12785" width="11.140625" style="1" customWidth="1"/>
    <col min="12786" max="12787" width="10.42578125" style="1" customWidth="1"/>
    <col min="12788" max="12789" width="9.140625" style="1" customWidth="1"/>
    <col min="12790" max="12801" width="9.85546875" style="1" customWidth="1"/>
    <col min="12802" max="12802" width="13" style="1" customWidth="1"/>
    <col min="12803" max="12804" width="9.28515625" style="1" customWidth="1"/>
    <col min="12805" max="12805" width="9.140625" style="1" customWidth="1"/>
    <col min="12806" max="12806" width="9.28515625" style="1" customWidth="1"/>
    <col min="12807" max="12807" width="10.28515625" style="1" bestFit="1" customWidth="1"/>
    <col min="12808" max="12818" width="9.140625" style="1"/>
    <col min="12819" max="12819" width="9.85546875" style="1" bestFit="1" customWidth="1"/>
    <col min="12820" max="12820" width="10.42578125" style="1" bestFit="1" customWidth="1"/>
    <col min="12821" max="13020" width="9.140625" style="1"/>
    <col min="13021" max="13021" width="28" style="1" bestFit="1" customWidth="1"/>
    <col min="13022" max="13022" width="15.7109375" style="1" customWidth="1"/>
    <col min="13023" max="13023" width="9.85546875" style="1" customWidth="1"/>
    <col min="13024" max="13024" width="12.85546875" style="1" customWidth="1"/>
    <col min="13025" max="13025" width="9.85546875" style="1" customWidth="1"/>
    <col min="13026" max="13027" width="12.85546875" style="1" customWidth="1"/>
    <col min="13028" max="13028" width="9.140625" style="1" customWidth="1"/>
    <col min="13029" max="13033" width="12.28515625" style="1" customWidth="1"/>
    <col min="13034" max="13034" width="11.28515625" style="1" customWidth="1"/>
    <col min="13035" max="13040" width="12.28515625" style="1" customWidth="1"/>
    <col min="13041" max="13041" width="11.140625" style="1" customWidth="1"/>
    <col min="13042" max="13043" width="10.42578125" style="1" customWidth="1"/>
    <col min="13044" max="13045" width="9.140625" style="1" customWidth="1"/>
    <col min="13046" max="13057" width="9.85546875" style="1" customWidth="1"/>
    <col min="13058" max="13058" width="13" style="1" customWidth="1"/>
    <col min="13059" max="13060" width="9.28515625" style="1" customWidth="1"/>
    <col min="13061" max="13061" width="9.140625" style="1" customWidth="1"/>
    <col min="13062" max="13062" width="9.28515625" style="1" customWidth="1"/>
    <col min="13063" max="13063" width="10.28515625" style="1" bestFit="1" customWidth="1"/>
    <col min="13064" max="13074" width="9.140625" style="1"/>
    <col min="13075" max="13075" width="9.85546875" style="1" bestFit="1" customWidth="1"/>
    <col min="13076" max="13076" width="10.42578125" style="1" bestFit="1" customWidth="1"/>
    <col min="13077" max="13276" width="9.140625" style="1"/>
    <col min="13277" max="13277" width="28" style="1" bestFit="1" customWidth="1"/>
    <col min="13278" max="13278" width="15.7109375" style="1" customWidth="1"/>
    <col min="13279" max="13279" width="9.85546875" style="1" customWidth="1"/>
    <col min="13280" max="13280" width="12.85546875" style="1" customWidth="1"/>
    <col min="13281" max="13281" width="9.85546875" style="1" customWidth="1"/>
    <col min="13282" max="13283" width="12.85546875" style="1" customWidth="1"/>
    <col min="13284" max="13284" width="9.140625" style="1" customWidth="1"/>
    <col min="13285" max="13289" width="12.28515625" style="1" customWidth="1"/>
    <col min="13290" max="13290" width="11.28515625" style="1" customWidth="1"/>
    <col min="13291" max="13296" width="12.28515625" style="1" customWidth="1"/>
    <col min="13297" max="13297" width="11.140625" style="1" customWidth="1"/>
    <col min="13298" max="13299" width="10.42578125" style="1" customWidth="1"/>
    <col min="13300" max="13301" width="9.140625" style="1" customWidth="1"/>
    <col min="13302" max="13313" width="9.85546875" style="1" customWidth="1"/>
    <col min="13314" max="13314" width="13" style="1" customWidth="1"/>
    <col min="13315" max="13316" width="9.28515625" style="1" customWidth="1"/>
    <col min="13317" max="13317" width="9.140625" style="1" customWidth="1"/>
    <col min="13318" max="13318" width="9.28515625" style="1" customWidth="1"/>
    <col min="13319" max="13319" width="10.28515625" style="1" bestFit="1" customWidth="1"/>
    <col min="13320" max="13330" width="9.140625" style="1"/>
    <col min="13331" max="13331" width="9.85546875" style="1" bestFit="1" customWidth="1"/>
    <col min="13332" max="13332" width="10.42578125" style="1" bestFit="1" customWidth="1"/>
    <col min="13333" max="13532" width="9.140625" style="1"/>
    <col min="13533" max="13533" width="28" style="1" bestFit="1" customWidth="1"/>
    <col min="13534" max="13534" width="15.7109375" style="1" customWidth="1"/>
    <col min="13535" max="13535" width="9.85546875" style="1" customWidth="1"/>
    <col min="13536" max="13536" width="12.85546875" style="1" customWidth="1"/>
    <col min="13537" max="13537" width="9.85546875" style="1" customWidth="1"/>
    <col min="13538" max="13539" width="12.85546875" style="1" customWidth="1"/>
    <col min="13540" max="13540" width="9.140625" style="1" customWidth="1"/>
    <col min="13541" max="13545" width="12.28515625" style="1" customWidth="1"/>
    <col min="13546" max="13546" width="11.28515625" style="1" customWidth="1"/>
    <col min="13547" max="13552" width="12.28515625" style="1" customWidth="1"/>
    <col min="13553" max="13553" width="11.140625" style="1" customWidth="1"/>
    <col min="13554" max="13555" width="10.42578125" style="1" customWidth="1"/>
    <col min="13556" max="13557" width="9.140625" style="1" customWidth="1"/>
    <col min="13558" max="13569" width="9.85546875" style="1" customWidth="1"/>
    <col min="13570" max="13570" width="13" style="1" customWidth="1"/>
    <col min="13571" max="13572" width="9.28515625" style="1" customWidth="1"/>
    <col min="13573" max="13573" width="9.140625" style="1" customWidth="1"/>
    <col min="13574" max="13574" width="9.28515625" style="1" customWidth="1"/>
    <col min="13575" max="13575" width="10.28515625" style="1" bestFit="1" customWidth="1"/>
    <col min="13576" max="13586" width="9.140625" style="1"/>
    <col min="13587" max="13587" width="9.85546875" style="1" bestFit="1" customWidth="1"/>
    <col min="13588" max="13588" width="10.42578125" style="1" bestFit="1" customWidth="1"/>
    <col min="13589" max="13788" width="9.140625" style="1"/>
    <col min="13789" max="13789" width="28" style="1" bestFit="1" customWidth="1"/>
    <col min="13790" max="13790" width="15.7109375" style="1" customWidth="1"/>
    <col min="13791" max="13791" width="9.85546875" style="1" customWidth="1"/>
    <col min="13792" max="13792" width="12.85546875" style="1" customWidth="1"/>
    <col min="13793" max="13793" width="9.85546875" style="1" customWidth="1"/>
    <col min="13794" max="13795" width="12.85546875" style="1" customWidth="1"/>
    <col min="13796" max="13796" width="9.140625" style="1" customWidth="1"/>
    <col min="13797" max="13801" width="12.28515625" style="1" customWidth="1"/>
    <col min="13802" max="13802" width="11.28515625" style="1" customWidth="1"/>
    <col min="13803" max="13808" width="12.28515625" style="1" customWidth="1"/>
    <col min="13809" max="13809" width="11.140625" style="1" customWidth="1"/>
    <col min="13810" max="13811" width="10.42578125" style="1" customWidth="1"/>
    <col min="13812" max="13813" width="9.140625" style="1" customWidth="1"/>
    <col min="13814" max="13825" width="9.85546875" style="1" customWidth="1"/>
    <col min="13826" max="13826" width="13" style="1" customWidth="1"/>
    <col min="13827" max="13828" width="9.28515625" style="1" customWidth="1"/>
    <col min="13829" max="13829" width="9.140625" style="1" customWidth="1"/>
    <col min="13830" max="13830" width="9.28515625" style="1" customWidth="1"/>
    <col min="13831" max="13831" width="10.28515625" style="1" bestFit="1" customWidth="1"/>
    <col min="13832" max="13842" width="9.140625" style="1"/>
    <col min="13843" max="13843" width="9.85546875" style="1" bestFit="1" customWidth="1"/>
    <col min="13844" max="13844" width="10.42578125" style="1" bestFit="1" customWidth="1"/>
    <col min="13845" max="14044" width="9.140625" style="1"/>
    <col min="14045" max="14045" width="28" style="1" bestFit="1" customWidth="1"/>
    <col min="14046" max="14046" width="15.7109375" style="1" customWidth="1"/>
    <col min="14047" max="14047" width="9.85546875" style="1" customWidth="1"/>
    <col min="14048" max="14048" width="12.85546875" style="1" customWidth="1"/>
    <col min="14049" max="14049" width="9.85546875" style="1" customWidth="1"/>
    <col min="14050" max="14051" width="12.85546875" style="1" customWidth="1"/>
    <col min="14052" max="14052" width="9.140625" style="1" customWidth="1"/>
    <col min="14053" max="14057" width="12.28515625" style="1" customWidth="1"/>
    <col min="14058" max="14058" width="11.28515625" style="1" customWidth="1"/>
    <col min="14059" max="14064" width="12.28515625" style="1" customWidth="1"/>
    <col min="14065" max="14065" width="11.140625" style="1" customWidth="1"/>
    <col min="14066" max="14067" width="10.42578125" style="1" customWidth="1"/>
    <col min="14068" max="14069" width="9.140625" style="1" customWidth="1"/>
    <col min="14070" max="14081" width="9.85546875" style="1" customWidth="1"/>
    <col min="14082" max="14082" width="13" style="1" customWidth="1"/>
    <col min="14083" max="14084" width="9.28515625" style="1" customWidth="1"/>
    <col min="14085" max="14085" width="9.140625" style="1" customWidth="1"/>
    <col min="14086" max="14086" width="9.28515625" style="1" customWidth="1"/>
    <col min="14087" max="14087" width="10.28515625" style="1" bestFit="1" customWidth="1"/>
    <col min="14088" max="14098" width="9.140625" style="1"/>
    <col min="14099" max="14099" width="9.85546875" style="1" bestFit="1" customWidth="1"/>
    <col min="14100" max="14100" width="10.42578125" style="1" bestFit="1" customWidth="1"/>
    <col min="14101" max="14300" width="9.140625" style="1"/>
    <col min="14301" max="14301" width="28" style="1" bestFit="1" customWidth="1"/>
    <col min="14302" max="14302" width="15.7109375" style="1" customWidth="1"/>
    <col min="14303" max="14303" width="9.85546875" style="1" customWidth="1"/>
    <col min="14304" max="14304" width="12.85546875" style="1" customWidth="1"/>
    <col min="14305" max="14305" width="9.85546875" style="1" customWidth="1"/>
    <col min="14306" max="14307" width="12.85546875" style="1" customWidth="1"/>
    <col min="14308" max="14308" width="9.140625" style="1" customWidth="1"/>
    <col min="14309" max="14313" width="12.28515625" style="1" customWidth="1"/>
    <col min="14314" max="14314" width="11.28515625" style="1" customWidth="1"/>
    <col min="14315" max="14320" width="12.28515625" style="1" customWidth="1"/>
    <col min="14321" max="14321" width="11.140625" style="1" customWidth="1"/>
    <col min="14322" max="14323" width="10.42578125" style="1" customWidth="1"/>
    <col min="14324" max="14325" width="9.140625" style="1" customWidth="1"/>
    <col min="14326" max="14337" width="9.85546875" style="1" customWidth="1"/>
    <col min="14338" max="14338" width="13" style="1" customWidth="1"/>
    <col min="14339" max="14340" width="9.28515625" style="1" customWidth="1"/>
    <col min="14341" max="14341" width="9.140625" style="1" customWidth="1"/>
    <col min="14342" max="14342" width="9.28515625" style="1" customWidth="1"/>
    <col min="14343" max="14343" width="10.28515625" style="1" bestFit="1" customWidth="1"/>
    <col min="14344" max="14354" width="9.140625" style="1"/>
    <col min="14355" max="14355" width="9.85546875" style="1" bestFit="1" customWidth="1"/>
    <col min="14356" max="14356" width="10.42578125" style="1" bestFit="1" customWidth="1"/>
    <col min="14357" max="14556" width="9.140625" style="1"/>
    <col min="14557" max="14557" width="28" style="1" bestFit="1" customWidth="1"/>
    <col min="14558" max="14558" width="15.7109375" style="1" customWidth="1"/>
    <col min="14559" max="14559" width="9.85546875" style="1" customWidth="1"/>
    <col min="14560" max="14560" width="12.85546875" style="1" customWidth="1"/>
    <col min="14561" max="14561" width="9.85546875" style="1" customWidth="1"/>
    <col min="14562" max="14563" width="12.85546875" style="1" customWidth="1"/>
    <col min="14564" max="14564" width="9.140625" style="1" customWidth="1"/>
    <col min="14565" max="14569" width="12.28515625" style="1" customWidth="1"/>
    <col min="14570" max="14570" width="11.28515625" style="1" customWidth="1"/>
    <col min="14571" max="14576" width="12.28515625" style="1" customWidth="1"/>
    <col min="14577" max="14577" width="11.140625" style="1" customWidth="1"/>
    <col min="14578" max="14579" width="10.42578125" style="1" customWidth="1"/>
    <col min="14580" max="14581" width="9.140625" style="1" customWidth="1"/>
    <col min="14582" max="14593" width="9.85546875" style="1" customWidth="1"/>
    <col min="14594" max="14594" width="13" style="1" customWidth="1"/>
    <col min="14595" max="14596" width="9.28515625" style="1" customWidth="1"/>
    <col min="14597" max="14597" width="9.140625" style="1" customWidth="1"/>
    <col min="14598" max="14598" width="9.28515625" style="1" customWidth="1"/>
    <col min="14599" max="14599" width="10.28515625" style="1" bestFit="1" customWidth="1"/>
    <col min="14600" max="14610" width="9.140625" style="1"/>
    <col min="14611" max="14611" width="9.85546875" style="1" bestFit="1" customWidth="1"/>
    <col min="14612" max="14612" width="10.42578125" style="1" bestFit="1" customWidth="1"/>
    <col min="14613" max="14812" width="9.140625" style="1"/>
    <col min="14813" max="14813" width="28" style="1" bestFit="1" customWidth="1"/>
    <col min="14814" max="14814" width="15.7109375" style="1" customWidth="1"/>
    <col min="14815" max="14815" width="9.85546875" style="1" customWidth="1"/>
    <col min="14816" max="14816" width="12.85546875" style="1" customWidth="1"/>
    <col min="14817" max="14817" width="9.85546875" style="1" customWidth="1"/>
    <col min="14818" max="14819" width="12.85546875" style="1" customWidth="1"/>
    <col min="14820" max="14820" width="9.140625" style="1" customWidth="1"/>
    <col min="14821" max="14825" width="12.28515625" style="1" customWidth="1"/>
    <col min="14826" max="14826" width="11.28515625" style="1" customWidth="1"/>
    <col min="14827" max="14832" width="12.28515625" style="1" customWidth="1"/>
    <col min="14833" max="14833" width="11.140625" style="1" customWidth="1"/>
    <col min="14834" max="14835" width="10.42578125" style="1" customWidth="1"/>
    <col min="14836" max="14837" width="9.140625" style="1" customWidth="1"/>
    <col min="14838" max="14849" width="9.85546875" style="1" customWidth="1"/>
    <col min="14850" max="14850" width="13" style="1" customWidth="1"/>
    <col min="14851" max="14852" width="9.28515625" style="1" customWidth="1"/>
    <col min="14853" max="14853" width="9.140625" style="1" customWidth="1"/>
    <col min="14854" max="14854" width="9.28515625" style="1" customWidth="1"/>
    <col min="14855" max="14855" width="10.28515625" style="1" bestFit="1" customWidth="1"/>
    <col min="14856" max="14866" width="9.140625" style="1"/>
    <col min="14867" max="14867" width="9.85546875" style="1" bestFit="1" customWidth="1"/>
    <col min="14868" max="14868" width="10.42578125" style="1" bestFit="1" customWidth="1"/>
    <col min="14869" max="15068" width="9.140625" style="1"/>
    <col min="15069" max="15069" width="28" style="1" bestFit="1" customWidth="1"/>
    <col min="15070" max="15070" width="15.7109375" style="1" customWidth="1"/>
    <col min="15071" max="15071" width="9.85546875" style="1" customWidth="1"/>
    <col min="15072" max="15072" width="12.85546875" style="1" customWidth="1"/>
    <col min="15073" max="15073" width="9.85546875" style="1" customWidth="1"/>
    <col min="15074" max="15075" width="12.85546875" style="1" customWidth="1"/>
    <col min="15076" max="15076" width="9.140625" style="1" customWidth="1"/>
    <col min="15077" max="15081" width="12.28515625" style="1" customWidth="1"/>
    <col min="15082" max="15082" width="11.28515625" style="1" customWidth="1"/>
    <col min="15083" max="15088" width="12.28515625" style="1" customWidth="1"/>
    <col min="15089" max="15089" width="11.140625" style="1" customWidth="1"/>
    <col min="15090" max="15091" width="10.42578125" style="1" customWidth="1"/>
    <col min="15092" max="15093" width="9.140625" style="1" customWidth="1"/>
    <col min="15094" max="15105" width="9.85546875" style="1" customWidth="1"/>
    <col min="15106" max="15106" width="13" style="1" customWidth="1"/>
    <col min="15107" max="15108" width="9.28515625" style="1" customWidth="1"/>
    <col min="15109" max="15109" width="9.140625" style="1" customWidth="1"/>
    <col min="15110" max="15110" width="9.28515625" style="1" customWidth="1"/>
    <col min="15111" max="15111" width="10.28515625" style="1" bestFit="1" customWidth="1"/>
    <col min="15112" max="15122" width="9.140625" style="1"/>
    <col min="15123" max="15123" width="9.85546875" style="1" bestFit="1" customWidth="1"/>
    <col min="15124" max="15124" width="10.42578125" style="1" bestFit="1" customWidth="1"/>
    <col min="15125" max="15324" width="9.140625" style="1"/>
    <col min="15325" max="15325" width="28" style="1" bestFit="1" customWidth="1"/>
    <col min="15326" max="15326" width="15.7109375" style="1" customWidth="1"/>
    <col min="15327" max="15327" width="9.85546875" style="1" customWidth="1"/>
    <col min="15328" max="15328" width="12.85546875" style="1" customWidth="1"/>
    <col min="15329" max="15329" width="9.85546875" style="1" customWidth="1"/>
    <col min="15330" max="15331" width="12.85546875" style="1" customWidth="1"/>
    <col min="15332" max="15332" width="9.140625" style="1" customWidth="1"/>
    <col min="15333" max="15337" width="12.28515625" style="1" customWidth="1"/>
    <col min="15338" max="15338" width="11.28515625" style="1" customWidth="1"/>
    <col min="15339" max="15344" width="12.28515625" style="1" customWidth="1"/>
    <col min="15345" max="15345" width="11.140625" style="1" customWidth="1"/>
    <col min="15346" max="15347" width="10.42578125" style="1" customWidth="1"/>
    <col min="15348" max="15349" width="9.140625" style="1" customWidth="1"/>
    <col min="15350" max="15361" width="9.85546875" style="1" customWidth="1"/>
    <col min="15362" max="15362" width="13" style="1" customWidth="1"/>
    <col min="15363" max="15364" width="9.28515625" style="1" customWidth="1"/>
    <col min="15365" max="15365" width="9.140625" style="1" customWidth="1"/>
    <col min="15366" max="15366" width="9.28515625" style="1" customWidth="1"/>
    <col min="15367" max="15367" width="10.28515625" style="1" bestFit="1" customWidth="1"/>
    <col min="15368" max="15378" width="9.140625" style="1"/>
    <col min="15379" max="15379" width="9.85546875" style="1" bestFit="1" customWidth="1"/>
    <col min="15380" max="15380" width="10.42578125" style="1" bestFit="1" customWidth="1"/>
    <col min="15381" max="15580" width="9.140625" style="1"/>
    <col min="15581" max="15581" width="28" style="1" bestFit="1" customWidth="1"/>
    <col min="15582" max="15582" width="15.7109375" style="1" customWidth="1"/>
    <col min="15583" max="15583" width="9.85546875" style="1" customWidth="1"/>
    <col min="15584" max="15584" width="12.85546875" style="1" customWidth="1"/>
    <col min="15585" max="15585" width="9.85546875" style="1" customWidth="1"/>
    <col min="15586" max="15587" width="12.85546875" style="1" customWidth="1"/>
    <col min="15588" max="15588" width="9.140625" style="1" customWidth="1"/>
    <col min="15589" max="15593" width="12.28515625" style="1" customWidth="1"/>
    <col min="15594" max="15594" width="11.28515625" style="1" customWidth="1"/>
    <col min="15595" max="15600" width="12.28515625" style="1" customWidth="1"/>
    <col min="15601" max="15601" width="11.140625" style="1" customWidth="1"/>
    <col min="15602" max="15603" width="10.42578125" style="1" customWidth="1"/>
    <col min="15604" max="15605" width="9.140625" style="1" customWidth="1"/>
    <col min="15606" max="15617" width="9.85546875" style="1" customWidth="1"/>
    <col min="15618" max="15618" width="13" style="1" customWidth="1"/>
    <col min="15619" max="15620" width="9.28515625" style="1" customWidth="1"/>
    <col min="15621" max="15621" width="9.140625" style="1" customWidth="1"/>
    <col min="15622" max="15622" width="9.28515625" style="1" customWidth="1"/>
    <col min="15623" max="15623" width="10.28515625" style="1" bestFit="1" customWidth="1"/>
    <col min="15624" max="15634" width="9.140625" style="1"/>
    <col min="15635" max="15635" width="9.85546875" style="1" bestFit="1" customWidth="1"/>
    <col min="15636" max="15636" width="10.42578125" style="1" bestFit="1" customWidth="1"/>
    <col min="15637" max="15836" width="9.140625" style="1"/>
    <col min="15837" max="15837" width="28" style="1" bestFit="1" customWidth="1"/>
    <col min="15838" max="15838" width="15.7109375" style="1" customWidth="1"/>
    <col min="15839" max="15839" width="9.85546875" style="1" customWidth="1"/>
    <col min="15840" max="15840" width="12.85546875" style="1" customWidth="1"/>
    <col min="15841" max="15841" width="9.85546875" style="1" customWidth="1"/>
    <col min="15842" max="15843" width="12.85546875" style="1" customWidth="1"/>
    <col min="15844" max="15844" width="9.140625" style="1" customWidth="1"/>
    <col min="15845" max="15849" width="12.28515625" style="1" customWidth="1"/>
    <col min="15850" max="15850" width="11.28515625" style="1" customWidth="1"/>
    <col min="15851" max="15856" width="12.28515625" style="1" customWidth="1"/>
    <col min="15857" max="15857" width="11.140625" style="1" customWidth="1"/>
    <col min="15858" max="15859" width="10.42578125" style="1" customWidth="1"/>
    <col min="15860" max="15861" width="9.140625" style="1" customWidth="1"/>
    <col min="15862" max="15873" width="9.85546875" style="1" customWidth="1"/>
    <col min="15874" max="15874" width="13" style="1" customWidth="1"/>
    <col min="15875" max="15876" width="9.28515625" style="1" customWidth="1"/>
    <col min="15877" max="15877" width="9.140625" style="1" customWidth="1"/>
    <col min="15878" max="15878" width="9.28515625" style="1" customWidth="1"/>
    <col min="15879" max="15879" width="10.28515625" style="1" bestFit="1" customWidth="1"/>
    <col min="15880" max="15890" width="9.140625" style="1"/>
    <col min="15891" max="15891" width="9.85546875" style="1" bestFit="1" customWidth="1"/>
    <col min="15892" max="15892" width="10.42578125" style="1" bestFit="1" customWidth="1"/>
    <col min="15893" max="16092" width="9.140625" style="1"/>
    <col min="16093" max="16093" width="28" style="1" bestFit="1" customWidth="1"/>
    <col min="16094" max="16094" width="15.7109375" style="1" customWidth="1"/>
    <col min="16095" max="16095" width="9.85546875" style="1" customWidth="1"/>
    <col min="16096" max="16096" width="12.85546875" style="1" customWidth="1"/>
    <col min="16097" max="16097" width="9.85546875" style="1" customWidth="1"/>
    <col min="16098" max="16099" width="12.85546875" style="1" customWidth="1"/>
    <col min="16100" max="16100" width="9.140625" style="1" customWidth="1"/>
    <col min="16101" max="16105" width="12.28515625" style="1" customWidth="1"/>
    <col min="16106" max="16106" width="11.28515625" style="1" customWidth="1"/>
    <col min="16107" max="16112" width="12.28515625" style="1" customWidth="1"/>
    <col min="16113" max="16113" width="11.140625" style="1" customWidth="1"/>
    <col min="16114" max="16115" width="10.42578125" style="1" customWidth="1"/>
    <col min="16116" max="16117" width="9.140625" style="1" customWidth="1"/>
    <col min="16118" max="16129" width="9.85546875" style="1" customWidth="1"/>
    <col min="16130" max="16130" width="13" style="1" customWidth="1"/>
    <col min="16131" max="16132" width="9.28515625" style="1" customWidth="1"/>
    <col min="16133" max="16133" width="9.140625" style="1" customWidth="1"/>
    <col min="16134" max="16134" width="9.28515625" style="1" customWidth="1"/>
    <col min="16135" max="16135" width="10.28515625" style="1" bestFit="1" customWidth="1"/>
    <col min="16136" max="16146" width="9.140625" style="1"/>
    <col min="16147" max="16147" width="9.85546875" style="1" bestFit="1" customWidth="1"/>
    <col min="16148" max="16148" width="10.42578125" style="1" bestFit="1" customWidth="1"/>
    <col min="16149" max="16384" width="9.140625" style="1"/>
  </cols>
  <sheetData>
    <row r="1" spans="1:20"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20" x14ac:dyDescent="0.2">
      <c r="B2" s="139" t="s">
        <v>311</v>
      </c>
      <c r="C2" s="189">
        <f>STATS!D62</f>
        <v>0</v>
      </c>
      <c r="F2" s="131">
        <f>'MO STATS'!E58</f>
        <v>0</v>
      </c>
      <c r="G2" s="131">
        <f>'MO STATS'!F58</f>
        <v>0</v>
      </c>
      <c r="H2" s="131">
        <f>'MO STATS'!G58</f>
        <v>0</v>
      </c>
      <c r="I2" s="131">
        <f>'MO STATS'!H58</f>
        <v>0</v>
      </c>
      <c r="J2" s="131">
        <f>'MO STATS'!I58</f>
        <v>0</v>
      </c>
      <c r="K2" s="131">
        <f>'MO STATS'!J58</f>
        <v>0</v>
      </c>
      <c r="L2" s="131">
        <f>'MO STATS'!K58</f>
        <v>0</v>
      </c>
      <c r="M2" s="131">
        <f>'MO STATS'!L58</f>
        <v>0</v>
      </c>
      <c r="N2" s="131">
        <f>'MO STATS'!M58</f>
        <v>0</v>
      </c>
      <c r="O2" s="131">
        <f>'MO STATS'!N58</f>
        <v>0</v>
      </c>
      <c r="P2" s="131">
        <f>'MO STATS'!O58</f>
        <v>0</v>
      </c>
      <c r="Q2" s="131">
        <f>'MO STATS'!P58</f>
        <v>0</v>
      </c>
      <c r="R2" s="96">
        <f>SUM(F2:Q2)</f>
        <v>0</v>
      </c>
      <c r="S2" s="3">
        <f>C2-R2</f>
        <v>0</v>
      </c>
    </row>
    <row r="3" spans="1:20" x14ac:dyDescent="0.2">
      <c r="B3" s="139" t="s">
        <v>313</v>
      </c>
      <c r="C3" s="673">
        <f>STATS!D63</f>
        <v>360</v>
      </c>
      <c r="F3" s="131">
        <f>'MO STATS'!E59</f>
        <v>30</v>
      </c>
      <c r="G3" s="131">
        <f>'MO STATS'!F59</f>
        <v>30</v>
      </c>
      <c r="H3" s="131">
        <f>'MO STATS'!G59</f>
        <v>30</v>
      </c>
      <c r="I3" s="131">
        <f>'MO STATS'!H59</f>
        <v>30</v>
      </c>
      <c r="J3" s="131">
        <f>'MO STATS'!I59</f>
        <v>30</v>
      </c>
      <c r="K3" s="131">
        <f>'MO STATS'!J59</f>
        <v>30</v>
      </c>
      <c r="L3" s="131">
        <f>'MO STATS'!K59</f>
        <v>30</v>
      </c>
      <c r="M3" s="131">
        <f>'MO STATS'!L59</f>
        <v>30</v>
      </c>
      <c r="N3" s="131">
        <f>'MO STATS'!M59</f>
        <v>30</v>
      </c>
      <c r="O3" s="131">
        <f>'MO STATS'!N59</f>
        <v>30</v>
      </c>
      <c r="P3" s="131">
        <f>'MO STATS'!O59</f>
        <v>30</v>
      </c>
      <c r="Q3" s="131">
        <f>'MO STATS'!P59</f>
        <v>30</v>
      </c>
      <c r="R3" s="96">
        <f>SUM(F3:Q3)</f>
        <v>360</v>
      </c>
      <c r="S3" s="3">
        <f>C3-R3</f>
        <v>0</v>
      </c>
    </row>
    <row r="4" spans="1:20" x14ac:dyDescent="0.2">
      <c r="B4" s="139" t="s">
        <v>315</v>
      </c>
      <c r="C4" s="673">
        <f>C2+C3</f>
        <v>360</v>
      </c>
      <c r="F4" s="131">
        <f>'MO STATS'!E60</f>
        <v>30</v>
      </c>
      <c r="G4" s="131">
        <f>'MO STATS'!F60</f>
        <v>30</v>
      </c>
      <c r="H4" s="131">
        <f>'MO STATS'!G60</f>
        <v>30</v>
      </c>
      <c r="I4" s="131">
        <f>'MO STATS'!H60</f>
        <v>30</v>
      </c>
      <c r="J4" s="131">
        <f>'MO STATS'!I60</f>
        <v>30</v>
      </c>
      <c r="K4" s="131">
        <f>'MO STATS'!J60</f>
        <v>30</v>
      </c>
      <c r="L4" s="131">
        <f>'MO STATS'!K60</f>
        <v>30</v>
      </c>
      <c r="M4" s="131">
        <f>'MO STATS'!L60</f>
        <v>30</v>
      </c>
      <c r="N4" s="131">
        <f>'MO STATS'!M60</f>
        <v>30</v>
      </c>
      <c r="O4" s="131">
        <f>'MO STATS'!N60</f>
        <v>30</v>
      </c>
      <c r="P4" s="131">
        <f>'MO STATS'!O60</f>
        <v>30</v>
      </c>
      <c r="Q4" s="131">
        <f>'MO STATS'!P60</f>
        <v>30</v>
      </c>
      <c r="R4" s="96">
        <f>SUM(R2:R3)</f>
        <v>360</v>
      </c>
      <c r="S4" s="3">
        <f>C4-R4</f>
        <v>0</v>
      </c>
    </row>
    <row r="5" spans="1:20" x14ac:dyDescent="0.2">
      <c r="B5" s="139"/>
      <c r="C5" s="189"/>
      <c r="F5" s="131"/>
      <c r="G5" s="131"/>
      <c r="H5" s="131"/>
      <c r="I5" s="131"/>
      <c r="J5" s="131"/>
      <c r="K5" s="131"/>
      <c r="L5" s="131"/>
      <c r="M5" s="131"/>
      <c r="N5" s="131"/>
      <c r="O5" s="131"/>
      <c r="P5" s="131"/>
      <c r="Q5" s="131"/>
      <c r="R5" s="96"/>
      <c r="S5" s="3"/>
    </row>
    <row r="6" spans="1:20" x14ac:dyDescent="0.2">
      <c r="B6" s="139" t="s">
        <v>997</v>
      </c>
      <c r="C6" s="189">
        <v>0</v>
      </c>
      <c r="F6" s="131"/>
      <c r="G6" s="131"/>
      <c r="H6" s="131"/>
      <c r="I6" s="131"/>
      <c r="J6" s="131"/>
      <c r="K6" s="131"/>
      <c r="L6" s="131"/>
      <c r="M6" s="131"/>
      <c r="N6" s="131"/>
      <c r="O6" s="131"/>
      <c r="P6" s="131"/>
      <c r="Q6" s="131"/>
      <c r="R6" s="96"/>
      <c r="S6" s="3"/>
    </row>
    <row r="7" spans="1:20" x14ac:dyDescent="0.2">
      <c r="B7" s="139" t="s">
        <v>998</v>
      </c>
      <c r="C7" s="189">
        <f>C6*2080</f>
        <v>0</v>
      </c>
      <c r="F7" s="426">
        <f>($C7/$R8)*F8</f>
        <v>0</v>
      </c>
      <c r="G7" s="426">
        <f t="shared" ref="G7:Q7" si="0">($C7/$R8)*G8</f>
        <v>0</v>
      </c>
      <c r="H7" s="426">
        <f t="shared" si="0"/>
        <v>0</v>
      </c>
      <c r="I7" s="426">
        <f t="shared" si="0"/>
        <v>0</v>
      </c>
      <c r="J7" s="426">
        <f t="shared" si="0"/>
        <v>0</v>
      </c>
      <c r="K7" s="426">
        <f t="shared" si="0"/>
        <v>0</v>
      </c>
      <c r="L7" s="426">
        <f t="shared" si="0"/>
        <v>0</v>
      </c>
      <c r="M7" s="426">
        <f t="shared" si="0"/>
        <v>0</v>
      </c>
      <c r="N7" s="426">
        <f t="shared" si="0"/>
        <v>0</v>
      </c>
      <c r="O7" s="426">
        <f t="shared" si="0"/>
        <v>0</v>
      </c>
      <c r="P7" s="426">
        <f t="shared" si="0"/>
        <v>0</v>
      </c>
      <c r="Q7" s="426">
        <f t="shared" si="0"/>
        <v>0</v>
      </c>
      <c r="R7" s="96">
        <f>SUM(F7:Q7)</f>
        <v>0</v>
      </c>
      <c r="S7" s="3"/>
    </row>
    <row r="8" spans="1:20" x14ac:dyDescent="0.2">
      <c r="B8" s="139"/>
      <c r="F8" s="2">
        <v>31</v>
      </c>
      <c r="G8" s="2">
        <v>30</v>
      </c>
      <c r="H8" s="2">
        <v>31</v>
      </c>
      <c r="I8" s="2">
        <v>31</v>
      </c>
      <c r="J8" s="2">
        <v>28</v>
      </c>
      <c r="K8" s="2">
        <v>31</v>
      </c>
      <c r="L8" s="2">
        <v>30</v>
      </c>
      <c r="M8" s="2">
        <v>31</v>
      </c>
      <c r="N8" s="2">
        <v>30</v>
      </c>
      <c r="O8" s="2">
        <v>31</v>
      </c>
      <c r="P8" s="2">
        <v>31</v>
      </c>
      <c r="Q8" s="2">
        <v>30</v>
      </c>
      <c r="R8" s="6">
        <f t="shared" ref="R8" si="1">SUM(F8:Q8)</f>
        <v>365</v>
      </c>
    </row>
    <row r="9" spans="1:20" x14ac:dyDescent="0.2">
      <c r="A9" s="716" t="s">
        <v>35</v>
      </c>
      <c r="B9" s="716"/>
      <c r="C9" s="716"/>
      <c r="D9" s="716"/>
      <c r="E9" s="195"/>
    </row>
    <row r="10" spans="1:20" x14ac:dyDescent="0.2">
      <c r="A10" s="31"/>
      <c r="B10" s="200" t="s">
        <v>513</v>
      </c>
      <c r="C10" s="78"/>
      <c r="D10" s="102" t="s">
        <v>517</v>
      </c>
      <c r="E10" s="103"/>
    </row>
    <row r="11" spans="1:20" x14ac:dyDescent="0.2">
      <c r="A11" s="16"/>
      <c r="B11" s="29" t="s">
        <v>352</v>
      </c>
      <c r="C11" s="28">
        <f>D11*C$2</f>
        <v>0</v>
      </c>
      <c r="D11" s="13">
        <v>0</v>
      </c>
      <c r="E11" s="7"/>
      <c r="F11" s="375">
        <f>$D11*F$2</f>
        <v>0</v>
      </c>
      <c r="G11" s="375">
        <f t="shared" ref="G11:Q17" si="2">$D11*G$2</f>
        <v>0</v>
      </c>
      <c r="H11" s="375">
        <f t="shared" si="2"/>
        <v>0</v>
      </c>
      <c r="I11" s="375">
        <f t="shared" si="2"/>
        <v>0</v>
      </c>
      <c r="J11" s="375">
        <f t="shared" si="2"/>
        <v>0</v>
      </c>
      <c r="K11" s="375">
        <f t="shared" si="2"/>
        <v>0</v>
      </c>
      <c r="L11" s="375">
        <f t="shared" si="2"/>
        <v>0</v>
      </c>
      <c r="M11" s="375">
        <f t="shared" si="2"/>
        <v>0</v>
      </c>
      <c r="N11" s="375">
        <f t="shared" si="2"/>
        <v>0</v>
      </c>
      <c r="O11" s="375">
        <f t="shared" si="2"/>
        <v>0</v>
      </c>
      <c r="P11" s="375">
        <f t="shared" si="2"/>
        <v>0</v>
      </c>
      <c r="Q11" s="375">
        <f t="shared" si="2"/>
        <v>0</v>
      </c>
      <c r="R11" s="109">
        <f>SUM(F11:Q11)</f>
        <v>0</v>
      </c>
      <c r="S11" s="3">
        <f>C11-R11</f>
        <v>0</v>
      </c>
      <c r="T11" s="3"/>
    </row>
    <row r="12" spans="1:20" x14ac:dyDescent="0.2">
      <c r="A12" s="16"/>
      <c r="B12" s="29" t="s">
        <v>353</v>
      </c>
      <c r="C12" s="28">
        <f t="shared" ref="C12:C25" si="3">D12*C$2</f>
        <v>0</v>
      </c>
      <c r="D12" s="13">
        <v>0</v>
      </c>
      <c r="E12" s="7"/>
      <c r="F12" s="375">
        <f t="shared" ref="F12:F17" si="4">$D12*F$2</f>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109">
        <f t="shared" ref="R12:R35" si="5">SUM(F12:Q12)</f>
        <v>0</v>
      </c>
      <c r="S12" s="3">
        <f t="shared" ref="S12:S35" si="6">C12-R12</f>
        <v>0</v>
      </c>
      <c r="T12" s="3"/>
    </row>
    <row r="13" spans="1:20" x14ac:dyDescent="0.2">
      <c r="A13" s="16"/>
      <c r="B13" s="29" t="s">
        <v>355</v>
      </c>
      <c r="C13" s="28">
        <f t="shared" si="3"/>
        <v>0</v>
      </c>
      <c r="D13" s="13">
        <v>0</v>
      </c>
      <c r="E13" s="7"/>
      <c r="F13" s="375">
        <f t="shared" si="4"/>
        <v>0</v>
      </c>
      <c r="G13" s="375">
        <f t="shared" si="2"/>
        <v>0</v>
      </c>
      <c r="H13" s="375">
        <f t="shared" si="2"/>
        <v>0</v>
      </c>
      <c r="I13" s="375">
        <f t="shared" si="2"/>
        <v>0</v>
      </c>
      <c r="J13" s="375">
        <f t="shared" si="2"/>
        <v>0</v>
      </c>
      <c r="K13" s="375">
        <f t="shared" si="2"/>
        <v>0</v>
      </c>
      <c r="L13" s="375">
        <f t="shared" si="2"/>
        <v>0</v>
      </c>
      <c r="M13" s="375">
        <f t="shared" si="2"/>
        <v>0</v>
      </c>
      <c r="N13" s="375">
        <f t="shared" si="2"/>
        <v>0</v>
      </c>
      <c r="O13" s="375">
        <f t="shared" si="2"/>
        <v>0</v>
      </c>
      <c r="P13" s="375">
        <f t="shared" si="2"/>
        <v>0</v>
      </c>
      <c r="Q13" s="375">
        <f t="shared" si="2"/>
        <v>0</v>
      </c>
      <c r="R13" s="109">
        <f t="shared" si="5"/>
        <v>0</v>
      </c>
      <c r="S13" s="3">
        <f t="shared" si="6"/>
        <v>0</v>
      </c>
      <c r="T13" s="3"/>
    </row>
    <row r="14" spans="1:20" x14ac:dyDescent="0.2">
      <c r="A14" s="16"/>
      <c r="B14" s="29" t="s">
        <v>370</v>
      </c>
      <c r="C14" s="28">
        <f t="shared" si="3"/>
        <v>0</v>
      </c>
      <c r="D14" s="13">
        <v>0</v>
      </c>
      <c r="E14" s="7"/>
      <c r="F14" s="375">
        <f t="shared" si="4"/>
        <v>0</v>
      </c>
      <c r="G14" s="375">
        <f t="shared" si="2"/>
        <v>0</v>
      </c>
      <c r="H14" s="375">
        <f t="shared" si="2"/>
        <v>0</v>
      </c>
      <c r="I14" s="375">
        <f t="shared" si="2"/>
        <v>0</v>
      </c>
      <c r="J14" s="375">
        <f t="shared" si="2"/>
        <v>0</v>
      </c>
      <c r="K14" s="375">
        <f t="shared" si="2"/>
        <v>0</v>
      </c>
      <c r="L14" s="375">
        <f t="shared" si="2"/>
        <v>0</v>
      </c>
      <c r="M14" s="375">
        <f t="shared" si="2"/>
        <v>0</v>
      </c>
      <c r="N14" s="375">
        <f t="shared" si="2"/>
        <v>0</v>
      </c>
      <c r="O14" s="375">
        <f t="shared" si="2"/>
        <v>0</v>
      </c>
      <c r="P14" s="375">
        <f t="shared" si="2"/>
        <v>0</v>
      </c>
      <c r="Q14" s="375">
        <f t="shared" si="2"/>
        <v>0</v>
      </c>
      <c r="R14" s="109">
        <f t="shared" si="5"/>
        <v>0</v>
      </c>
      <c r="S14" s="3">
        <f t="shared" si="6"/>
        <v>0</v>
      </c>
      <c r="T14" s="3"/>
    </row>
    <row r="15" spans="1:20" x14ac:dyDescent="0.2">
      <c r="A15" s="16"/>
      <c r="B15" s="29" t="s">
        <v>356</v>
      </c>
      <c r="C15" s="28">
        <f t="shared" si="3"/>
        <v>0</v>
      </c>
      <c r="D15" s="13">
        <v>0</v>
      </c>
      <c r="E15" s="7"/>
      <c r="F15" s="375">
        <f t="shared" si="4"/>
        <v>0</v>
      </c>
      <c r="G15" s="375">
        <f t="shared" si="2"/>
        <v>0</v>
      </c>
      <c r="H15" s="375">
        <f t="shared" si="2"/>
        <v>0</v>
      </c>
      <c r="I15" s="375">
        <f t="shared" si="2"/>
        <v>0</v>
      </c>
      <c r="J15" s="375">
        <f t="shared" si="2"/>
        <v>0</v>
      </c>
      <c r="K15" s="375">
        <f t="shared" si="2"/>
        <v>0</v>
      </c>
      <c r="L15" s="375">
        <f t="shared" si="2"/>
        <v>0</v>
      </c>
      <c r="M15" s="375">
        <f t="shared" si="2"/>
        <v>0</v>
      </c>
      <c r="N15" s="375">
        <f t="shared" si="2"/>
        <v>0</v>
      </c>
      <c r="O15" s="375">
        <f t="shared" si="2"/>
        <v>0</v>
      </c>
      <c r="P15" s="375">
        <f t="shared" si="2"/>
        <v>0</v>
      </c>
      <c r="Q15" s="375">
        <f t="shared" si="2"/>
        <v>0</v>
      </c>
      <c r="R15" s="109">
        <f t="shared" si="5"/>
        <v>0</v>
      </c>
      <c r="S15" s="3">
        <f t="shared" si="6"/>
        <v>0</v>
      </c>
      <c r="T15" s="3"/>
    </row>
    <row r="16" spans="1:20" x14ac:dyDescent="0.2">
      <c r="A16" s="16"/>
      <c r="B16" s="29" t="s">
        <v>354</v>
      </c>
      <c r="C16" s="28">
        <f t="shared" si="3"/>
        <v>0</v>
      </c>
      <c r="D16" s="13">
        <v>0</v>
      </c>
      <c r="E16" s="7"/>
      <c r="F16" s="375">
        <f t="shared" si="4"/>
        <v>0</v>
      </c>
      <c r="G16" s="375">
        <f t="shared" si="2"/>
        <v>0</v>
      </c>
      <c r="H16" s="375">
        <f t="shared" si="2"/>
        <v>0</v>
      </c>
      <c r="I16" s="375">
        <f t="shared" si="2"/>
        <v>0</v>
      </c>
      <c r="J16" s="375">
        <f t="shared" si="2"/>
        <v>0</v>
      </c>
      <c r="K16" s="375">
        <f t="shared" si="2"/>
        <v>0</v>
      </c>
      <c r="L16" s="375">
        <f t="shared" si="2"/>
        <v>0</v>
      </c>
      <c r="M16" s="375">
        <f t="shared" si="2"/>
        <v>0</v>
      </c>
      <c r="N16" s="375">
        <f t="shared" si="2"/>
        <v>0</v>
      </c>
      <c r="O16" s="375">
        <f t="shared" si="2"/>
        <v>0</v>
      </c>
      <c r="P16" s="375">
        <f t="shared" si="2"/>
        <v>0</v>
      </c>
      <c r="Q16" s="375">
        <f t="shared" si="2"/>
        <v>0</v>
      </c>
      <c r="R16" s="109">
        <f t="shared" si="5"/>
        <v>0</v>
      </c>
      <c r="S16" s="3">
        <f t="shared" si="6"/>
        <v>0</v>
      </c>
      <c r="T16" s="3"/>
    </row>
    <row r="17" spans="1:20" x14ac:dyDescent="0.2">
      <c r="A17" s="16"/>
      <c r="B17" s="29" t="s">
        <v>357</v>
      </c>
      <c r="C17" s="28">
        <f t="shared" si="3"/>
        <v>0</v>
      </c>
      <c r="D17" s="13">
        <v>0</v>
      </c>
      <c r="E17" s="7"/>
      <c r="F17" s="375">
        <f t="shared" si="4"/>
        <v>0</v>
      </c>
      <c r="G17" s="375">
        <f t="shared" si="2"/>
        <v>0</v>
      </c>
      <c r="H17" s="375">
        <f t="shared" si="2"/>
        <v>0</v>
      </c>
      <c r="I17" s="375">
        <f t="shared" si="2"/>
        <v>0</v>
      </c>
      <c r="J17" s="375">
        <f t="shared" si="2"/>
        <v>0</v>
      </c>
      <c r="K17" s="375">
        <f t="shared" si="2"/>
        <v>0</v>
      </c>
      <c r="L17" s="375">
        <f t="shared" si="2"/>
        <v>0</v>
      </c>
      <c r="M17" s="375">
        <f t="shared" si="2"/>
        <v>0</v>
      </c>
      <c r="N17" s="375">
        <f t="shared" si="2"/>
        <v>0</v>
      </c>
      <c r="O17" s="375">
        <f t="shared" si="2"/>
        <v>0</v>
      </c>
      <c r="P17" s="375">
        <f t="shared" si="2"/>
        <v>0</v>
      </c>
      <c r="Q17" s="375">
        <f t="shared" si="2"/>
        <v>0</v>
      </c>
      <c r="R17" s="109">
        <f t="shared" si="5"/>
        <v>0</v>
      </c>
      <c r="S17" s="3">
        <f t="shared" si="6"/>
        <v>0</v>
      </c>
      <c r="T17" s="3"/>
    </row>
    <row r="18" spans="1:20" x14ac:dyDescent="0.2">
      <c r="A18" s="87">
        <v>31110.063999999998</v>
      </c>
      <c r="B18" s="161" t="s">
        <v>514</v>
      </c>
      <c r="C18" s="290">
        <f>SUM(C11:C17)</f>
        <v>0</v>
      </c>
      <c r="D18" s="291"/>
      <c r="E18" s="291"/>
      <c r="F18" s="372">
        <f>SUM(F11:F17)</f>
        <v>0</v>
      </c>
      <c r="G18" s="372">
        <f t="shared" ref="G18:Q18" si="7">SUM(G11:G17)</f>
        <v>0</v>
      </c>
      <c r="H18" s="372">
        <f t="shared" si="7"/>
        <v>0</v>
      </c>
      <c r="I18" s="372">
        <f t="shared" si="7"/>
        <v>0</v>
      </c>
      <c r="J18" s="372">
        <f t="shared" si="7"/>
        <v>0</v>
      </c>
      <c r="K18" s="372">
        <f t="shared" si="7"/>
        <v>0</v>
      </c>
      <c r="L18" s="372">
        <f t="shared" si="7"/>
        <v>0</v>
      </c>
      <c r="M18" s="372">
        <f t="shared" si="7"/>
        <v>0</v>
      </c>
      <c r="N18" s="372">
        <f t="shared" si="7"/>
        <v>0</v>
      </c>
      <c r="O18" s="372">
        <f t="shared" si="7"/>
        <v>0</v>
      </c>
      <c r="P18" s="372">
        <f t="shared" si="7"/>
        <v>0</v>
      </c>
      <c r="Q18" s="372">
        <f t="shared" si="7"/>
        <v>0</v>
      </c>
      <c r="R18" s="369">
        <f t="shared" si="5"/>
        <v>0</v>
      </c>
      <c r="S18" s="291">
        <f t="shared" si="6"/>
        <v>0</v>
      </c>
      <c r="T18" s="3"/>
    </row>
    <row r="19" spans="1:20" x14ac:dyDescent="0.2">
      <c r="A19" s="16"/>
      <c r="B19" s="29" t="s">
        <v>424</v>
      </c>
      <c r="C19" s="28">
        <f t="shared" si="3"/>
        <v>0</v>
      </c>
      <c r="D19" s="13">
        <v>0</v>
      </c>
      <c r="E19" s="7"/>
      <c r="F19" s="375">
        <f>$D19*F$2</f>
        <v>0</v>
      </c>
      <c r="G19" s="375">
        <f t="shared" ref="G19:Q25" si="8">$D19*G$2</f>
        <v>0</v>
      </c>
      <c r="H19" s="375">
        <f t="shared" si="8"/>
        <v>0</v>
      </c>
      <c r="I19" s="375">
        <f t="shared" si="8"/>
        <v>0</v>
      </c>
      <c r="J19" s="375">
        <f t="shared" si="8"/>
        <v>0</v>
      </c>
      <c r="K19" s="375">
        <f t="shared" si="8"/>
        <v>0</v>
      </c>
      <c r="L19" s="375">
        <f t="shared" si="8"/>
        <v>0</v>
      </c>
      <c r="M19" s="375">
        <f t="shared" si="8"/>
        <v>0</v>
      </c>
      <c r="N19" s="375">
        <f t="shared" si="8"/>
        <v>0</v>
      </c>
      <c r="O19" s="375">
        <f t="shared" si="8"/>
        <v>0</v>
      </c>
      <c r="P19" s="375">
        <f t="shared" si="8"/>
        <v>0</v>
      </c>
      <c r="Q19" s="375">
        <f t="shared" si="8"/>
        <v>0</v>
      </c>
      <c r="R19" s="109">
        <f t="shared" si="5"/>
        <v>0</v>
      </c>
      <c r="S19" s="3">
        <f t="shared" si="6"/>
        <v>0</v>
      </c>
      <c r="T19" s="3"/>
    </row>
    <row r="20" spans="1:20" x14ac:dyDescent="0.2">
      <c r="A20" s="16"/>
      <c r="B20" s="29" t="s">
        <v>425</v>
      </c>
      <c r="C20" s="28">
        <f t="shared" si="3"/>
        <v>0</v>
      </c>
      <c r="D20" s="13">
        <v>0</v>
      </c>
      <c r="E20" s="7"/>
      <c r="F20" s="375">
        <f t="shared" ref="F20:F25" si="9">$D20*F$2</f>
        <v>0</v>
      </c>
      <c r="G20" s="375">
        <f t="shared" si="8"/>
        <v>0</v>
      </c>
      <c r="H20" s="375">
        <f t="shared" si="8"/>
        <v>0</v>
      </c>
      <c r="I20" s="375">
        <f t="shared" si="8"/>
        <v>0</v>
      </c>
      <c r="J20" s="375">
        <f t="shared" si="8"/>
        <v>0</v>
      </c>
      <c r="K20" s="375">
        <f t="shared" si="8"/>
        <v>0</v>
      </c>
      <c r="L20" s="375">
        <f t="shared" si="8"/>
        <v>0</v>
      </c>
      <c r="M20" s="375">
        <f t="shared" si="8"/>
        <v>0</v>
      </c>
      <c r="N20" s="375">
        <f t="shared" si="8"/>
        <v>0</v>
      </c>
      <c r="O20" s="375">
        <f t="shared" si="8"/>
        <v>0</v>
      </c>
      <c r="P20" s="375">
        <f t="shared" si="8"/>
        <v>0</v>
      </c>
      <c r="Q20" s="375">
        <f t="shared" si="8"/>
        <v>0</v>
      </c>
      <c r="R20" s="376">
        <f t="shared" si="5"/>
        <v>0</v>
      </c>
      <c r="S20" s="3">
        <f t="shared" si="6"/>
        <v>0</v>
      </c>
      <c r="T20" s="3"/>
    </row>
    <row r="21" spans="1:20" x14ac:dyDescent="0.2">
      <c r="A21" s="16"/>
      <c r="B21" s="29" t="s">
        <v>426</v>
      </c>
      <c r="C21" s="28">
        <f t="shared" si="3"/>
        <v>0</v>
      </c>
      <c r="D21" s="13">
        <v>0</v>
      </c>
      <c r="E21" s="7"/>
      <c r="F21" s="375">
        <f t="shared" si="9"/>
        <v>0</v>
      </c>
      <c r="G21" s="375">
        <f t="shared" si="8"/>
        <v>0</v>
      </c>
      <c r="H21" s="375">
        <f t="shared" si="8"/>
        <v>0</v>
      </c>
      <c r="I21" s="375">
        <f t="shared" si="8"/>
        <v>0</v>
      </c>
      <c r="J21" s="375">
        <f t="shared" si="8"/>
        <v>0</v>
      </c>
      <c r="K21" s="375">
        <f t="shared" si="8"/>
        <v>0</v>
      </c>
      <c r="L21" s="375">
        <f t="shared" si="8"/>
        <v>0</v>
      </c>
      <c r="M21" s="375">
        <f t="shared" si="8"/>
        <v>0</v>
      </c>
      <c r="N21" s="375">
        <f t="shared" si="8"/>
        <v>0</v>
      </c>
      <c r="O21" s="375">
        <f t="shared" si="8"/>
        <v>0</v>
      </c>
      <c r="P21" s="375">
        <f t="shared" si="8"/>
        <v>0</v>
      </c>
      <c r="Q21" s="375">
        <f t="shared" si="8"/>
        <v>0</v>
      </c>
      <c r="R21" s="109">
        <f t="shared" si="5"/>
        <v>0</v>
      </c>
      <c r="S21" s="3">
        <f t="shared" si="6"/>
        <v>0</v>
      </c>
      <c r="T21" s="3"/>
    </row>
    <row r="22" spans="1:20" x14ac:dyDescent="0.2">
      <c r="A22" s="16"/>
      <c r="B22" s="29" t="s">
        <v>427</v>
      </c>
      <c r="C22" s="28">
        <f t="shared" si="3"/>
        <v>0</v>
      </c>
      <c r="D22" s="13">
        <v>0</v>
      </c>
      <c r="E22" s="7"/>
      <c r="F22" s="375">
        <f t="shared" si="9"/>
        <v>0</v>
      </c>
      <c r="G22" s="375">
        <f t="shared" si="8"/>
        <v>0</v>
      </c>
      <c r="H22" s="375">
        <f t="shared" si="8"/>
        <v>0</v>
      </c>
      <c r="I22" s="375">
        <f t="shared" si="8"/>
        <v>0</v>
      </c>
      <c r="J22" s="375">
        <f t="shared" si="8"/>
        <v>0</v>
      </c>
      <c r="K22" s="375">
        <f t="shared" si="8"/>
        <v>0</v>
      </c>
      <c r="L22" s="375">
        <f t="shared" si="8"/>
        <v>0</v>
      </c>
      <c r="M22" s="375">
        <f t="shared" si="8"/>
        <v>0</v>
      </c>
      <c r="N22" s="375">
        <f t="shared" si="8"/>
        <v>0</v>
      </c>
      <c r="O22" s="375">
        <f t="shared" si="8"/>
        <v>0</v>
      </c>
      <c r="P22" s="375">
        <f t="shared" si="8"/>
        <v>0</v>
      </c>
      <c r="Q22" s="375">
        <f t="shared" si="8"/>
        <v>0</v>
      </c>
      <c r="R22" s="109">
        <f t="shared" si="5"/>
        <v>0</v>
      </c>
      <c r="S22" s="3">
        <f t="shared" si="6"/>
        <v>0</v>
      </c>
      <c r="T22" s="3"/>
    </row>
    <row r="23" spans="1:20" x14ac:dyDescent="0.2">
      <c r="A23" s="16"/>
      <c r="B23" s="29" t="s">
        <v>428</v>
      </c>
      <c r="C23" s="28">
        <f t="shared" si="3"/>
        <v>0</v>
      </c>
      <c r="D23" s="13">
        <v>0</v>
      </c>
      <c r="E23" s="7"/>
      <c r="F23" s="375">
        <f t="shared" si="9"/>
        <v>0</v>
      </c>
      <c r="G23" s="375">
        <f t="shared" si="8"/>
        <v>0</v>
      </c>
      <c r="H23" s="375">
        <f t="shared" si="8"/>
        <v>0</v>
      </c>
      <c r="I23" s="375">
        <f t="shared" si="8"/>
        <v>0</v>
      </c>
      <c r="J23" s="375">
        <f t="shared" si="8"/>
        <v>0</v>
      </c>
      <c r="K23" s="375">
        <f t="shared" si="8"/>
        <v>0</v>
      </c>
      <c r="L23" s="375">
        <f t="shared" si="8"/>
        <v>0</v>
      </c>
      <c r="M23" s="375">
        <f t="shared" si="8"/>
        <v>0</v>
      </c>
      <c r="N23" s="375">
        <f t="shared" si="8"/>
        <v>0</v>
      </c>
      <c r="O23" s="375">
        <f t="shared" si="8"/>
        <v>0</v>
      </c>
      <c r="P23" s="375">
        <f t="shared" si="8"/>
        <v>0</v>
      </c>
      <c r="Q23" s="375">
        <f t="shared" si="8"/>
        <v>0</v>
      </c>
      <c r="R23" s="109">
        <f t="shared" si="5"/>
        <v>0</v>
      </c>
      <c r="S23" s="3">
        <f t="shared" si="6"/>
        <v>0</v>
      </c>
      <c r="T23" s="3"/>
    </row>
    <row r="24" spans="1:20" x14ac:dyDescent="0.2">
      <c r="A24" s="16"/>
      <c r="B24" s="29" t="s">
        <v>429</v>
      </c>
      <c r="C24" s="28">
        <f t="shared" si="3"/>
        <v>0</v>
      </c>
      <c r="D24" s="13">
        <v>0</v>
      </c>
      <c r="E24" s="7"/>
      <c r="F24" s="375">
        <f t="shared" si="9"/>
        <v>0</v>
      </c>
      <c r="G24" s="375">
        <f t="shared" si="8"/>
        <v>0</v>
      </c>
      <c r="H24" s="375">
        <f t="shared" si="8"/>
        <v>0</v>
      </c>
      <c r="I24" s="375">
        <f t="shared" si="8"/>
        <v>0</v>
      </c>
      <c r="J24" s="375">
        <f t="shared" si="8"/>
        <v>0</v>
      </c>
      <c r="K24" s="375">
        <f t="shared" si="8"/>
        <v>0</v>
      </c>
      <c r="L24" s="375">
        <f t="shared" si="8"/>
        <v>0</v>
      </c>
      <c r="M24" s="375">
        <f t="shared" si="8"/>
        <v>0</v>
      </c>
      <c r="N24" s="375">
        <f t="shared" si="8"/>
        <v>0</v>
      </c>
      <c r="O24" s="375">
        <f t="shared" si="8"/>
        <v>0</v>
      </c>
      <c r="P24" s="375">
        <f t="shared" si="8"/>
        <v>0</v>
      </c>
      <c r="Q24" s="375">
        <f t="shared" si="8"/>
        <v>0</v>
      </c>
      <c r="R24" s="109">
        <f t="shared" si="5"/>
        <v>0</v>
      </c>
      <c r="S24" s="3">
        <f t="shared" si="6"/>
        <v>0</v>
      </c>
      <c r="T24" s="3"/>
    </row>
    <row r="25" spans="1:20" x14ac:dyDescent="0.2">
      <c r="A25" s="16"/>
      <c r="B25" s="29" t="s">
        <v>430</v>
      </c>
      <c r="C25" s="28">
        <f t="shared" si="3"/>
        <v>0</v>
      </c>
      <c r="D25" s="13">
        <v>0</v>
      </c>
      <c r="E25" s="7"/>
      <c r="F25" s="375">
        <f t="shared" si="9"/>
        <v>0</v>
      </c>
      <c r="G25" s="375">
        <f t="shared" si="8"/>
        <v>0</v>
      </c>
      <c r="H25" s="375">
        <f t="shared" si="8"/>
        <v>0</v>
      </c>
      <c r="I25" s="375">
        <f t="shared" si="8"/>
        <v>0</v>
      </c>
      <c r="J25" s="375">
        <f t="shared" si="8"/>
        <v>0</v>
      </c>
      <c r="K25" s="375">
        <f t="shared" si="8"/>
        <v>0</v>
      </c>
      <c r="L25" s="375">
        <f t="shared" si="8"/>
        <v>0</v>
      </c>
      <c r="M25" s="375">
        <f t="shared" si="8"/>
        <v>0</v>
      </c>
      <c r="N25" s="375">
        <f t="shared" si="8"/>
        <v>0</v>
      </c>
      <c r="O25" s="375">
        <f t="shared" si="8"/>
        <v>0</v>
      </c>
      <c r="P25" s="375">
        <f t="shared" si="8"/>
        <v>0</v>
      </c>
      <c r="Q25" s="375">
        <f t="shared" si="8"/>
        <v>0</v>
      </c>
      <c r="R25" s="109">
        <f t="shared" si="5"/>
        <v>0</v>
      </c>
      <c r="S25" s="3">
        <f t="shared" si="6"/>
        <v>0</v>
      </c>
      <c r="T25" s="3"/>
    </row>
    <row r="26" spans="1:20" x14ac:dyDescent="0.2">
      <c r="A26" s="87">
        <v>31111.063999999998</v>
      </c>
      <c r="B26" s="161" t="s">
        <v>515</v>
      </c>
      <c r="C26" s="290">
        <f>SUM(C19:C25)</f>
        <v>0</v>
      </c>
      <c r="D26" s="291"/>
      <c r="E26" s="291"/>
      <c r="F26" s="372">
        <f>SUM(F19:F25)</f>
        <v>0</v>
      </c>
      <c r="G26" s="372">
        <f t="shared" ref="G26:Q26" si="10">SUM(G19:G25)</f>
        <v>0</v>
      </c>
      <c r="H26" s="372">
        <f t="shared" si="10"/>
        <v>0</v>
      </c>
      <c r="I26" s="372">
        <f t="shared" si="10"/>
        <v>0</v>
      </c>
      <c r="J26" s="372">
        <f t="shared" si="10"/>
        <v>0</v>
      </c>
      <c r="K26" s="372">
        <f t="shared" si="10"/>
        <v>0</v>
      </c>
      <c r="L26" s="372">
        <f t="shared" si="10"/>
        <v>0</v>
      </c>
      <c r="M26" s="372">
        <f t="shared" si="10"/>
        <v>0</v>
      </c>
      <c r="N26" s="372">
        <f t="shared" si="10"/>
        <v>0</v>
      </c>
      <c r="O26" s="372">
        <f t="shared" si="10"/>
        <v>0</v>
      </c>
      <c r="P26" s="372">
        <f t="shared" si="10"/>
        <v>0</v>
      </c>
      <c r="Q26" s="372">
        <f t="shared" si="10"/>
        <v>0</v>
      </c>
      <c r="R26" s="369">
        <f t="shared" si="5"/>
        <v>0</v>
      </c>
      <c r="S26" s="291">
        <f t="shared" si="6"/>
        <v>0</v>
      </c>
      <c r="T26" s="3"/>
    </row>
    <row r="27" spans="1:20" x14ac:dyDescent="0.2">
      <c r="A27" s="16"/>
      <c r="B27" s="29" t="s">
        <v>358</v>
      </c>
      <c r="C27" s="28">
        <f t="shared" ref="C27:C33" si="11">D27*C$3</f>
        <v>298668.38709677418</v>
      </c>
      <c r="D27" s="13">
        <f>[5]MRI!$J$28</f>
        <v>829.63440860215053</v>
      </c>
      <c r="E27" s="7"/>
      <c r="F27" s="375">
        <f>$D27*F$3</f>
        <v>24889.032258064515</v>
      </c>
      <c r="G27" s="375">
        <f t="shared" ref="G27:Q33" si="12">$D27*G$3</f>
        <v>24889.032258064515</v>
      </c>
      <c r="H27" s="375">
        <f t="shared" si="12"/>
        <v>24889.032258064515</v>
      </c>
      <c r="I27" s="375">
        <f t="shared" si="12"/>
        <v>24889.032258064515</v>
      </c>
      <c r="J27" s="375">
        <f t="shared" si="12"/>
        <v>24889.032258064515</v>
      </c>
      <c r="K27" s="375">
        <f t="shared" si="12"/>
        <v>24889.032258064515</v>
      </c>
      <c r="L27" s="375">
        <f t="shared" si="12"/>
        <v>24889.032258064515</v>
      </c>
      <c r="M27" s="375">
        <f t="shared" si="12"/>
        <v>24889.032258064515</v>
      </c>
      <c r="N27" s="375">
        <f t="shared" si="12"/>
        <v>24889.032258064515</v>
      </c>
      <c r="O27" s="375">
        <f t="shared" si="12"/>
        <v>24889.032258064515</v>
      </c>
      <c r="P27" s="375">
        <f t="shared" si="12"/>
        <v>24889.032258064515</v>
      </c>
      <c r="Q27" s="375">
        <f t="shared" si="12"/>
        <v>24889.032258064515</v>
      </c>
      <c r="R27" s="109">
        <f t="shared" si="5"/>
        <v>298668.38709677418</v>
      </c>
      <c r="S27" s="3">
        <f t="shared" si="6"/>
        <v>0</v>
      </c>
      <c r="T27" s="3"/>
    </row>
    <row r="28" spans="1:20" x14ac:dyDescent="0.2">
      <c r="A28" s="16"/>
      <c r="B28" s="29" t="s">
        <v>359</v>
      </c>
      <c r="C28" s="28">
        <f t="shared" si="11"/>
        <v>12209.032258064517</v>
      </c>
      <c r="D28" s="13">
        <f>[5]MRI!$J$29</f>
        <v>33.913978494623656</v>
      </c>
      <c r="E28" s="7"/>
      <c r="F28" s="375">
        <f t="shared" ref="F28:F33" si="13">$D28*F$3</f>
        <v>1017.4193548387096</v>
      </c>
      <c r="G28" s="375">
        <f t="shared" si="12"/>
        <v>1017.4193548387096</v>
      </c>
      <c r="H28" s="375">
        <f t="shared" si="12"/>
        <v>1017.4193548387096</v>
      </c>
      <c r="I28" s="375">
        <f t="shared" si="12"/>
        <v>1017.4193548387096</v>
      </c>
      <c r="J28" s="375">
        <f t="shared" si="12"/>
        <v>1017.4193548387096</v>
      </c>
      <c r="K28" s="375">
        <f t="shared" si="12"/>
        <v>1017.4193548387096</v>
      </c>
      <c r="L28" s="375">
        <f t="shared" si="12"/>
        <v>1017.4193548387096</v>
      </c>
      <c r="M28" s="375">
        <f t="shared" si="12"/>
        <v>1017.4193548387096</v>
      </c>
      <c r="N28" s="375">
        <f t="shared" si="12"/>
        <v>1017.4193548387096</v>
      </c>
      <c r="O28" s="375">
        <f t="shared" si="12"/>
        <v>1017.4193548387096</v>
      </c>
      <c r="P28" s="375">
        <f t="shared" si="12"/>
        <v>1017.4193548387096</v>
      </c>
      <c r="Q28" s="375">
        <f t="shared" si="12"/>
        <v>1017.4193548387096</v>
      </c>
      <c r="R28" s="109">
        <f t="shared" si="5"/>
        <v>12209.032258064517</v>
      </c>
      <c r="S28" s="3">
        <f t="shared" si="6"/>
        <v>0</v>
      </c>
      <c r="T28" s="3"/>
    </row>
    <row r="29" spans="1:20" x14ac:dyDescent="0.2">
      <c r="A29" s="16"/>
      <c r="B29" s="29" t="s">
        <v>372</v>
      </c>
      <c r="C29" s="28">
        <f t="shared" si="11"/>
        <v>57766.451612903227</v>
      </c>
      <c r="D29" s="13">
        <f>[5]MRI!$J$30</f>
        <v>160.46236559139786</v>
      </c>
      <c r="E29" s="7"/>
      <c r="F29" s="375">
        <f t="shared" si="13"/>
        <v>4813.8709677419356</v>
      </c>
      <c r="G29" s="375">
        <f t="shared" si="12"/>
        <v>4813.8709677419356</v>
      </c>
      <c r="H29" s="375">
        <f t="shared" si="12"/>
        <v>4813.8709677419356</v>
      </c>
      <c r="I29" s="375">
        <f t="shared" si="12"/>
        <v>4813.8709677419356</v>
      </c>
      <c r="J29" s="375">
        <f t="shared" si="12"/>
        <v>4813.8709677419356</v>
      </c>
      <c r="K29" s="375">
        <f t="shared" si="12"/>
        <v>4813.8709677419356</v>
      </c>
      <c r="L29" s="375">
        <f t="shared" si="12"/>
        <v>4813.8709677419356</v>
      </c>
      <c r="M29" s="375">
        <f t="shared" si="12"/>
        <v>4813.8709677419356</v>
      </c>
      <c r="N29" s="375">
        <f t="shared" si="12"/>
        <v>4813.8709677419356</v>
      </c>
      <c r="O29" s="375">
        <f t="shared" si="12"/>
        <v>4813.8709677419356</v>
      </c>
      <c r="P29" s="375">
        <f t="shared" si="12"/>
        <v>4813.8709677419356</v>
      </c>
      <c r="Q29" s="375">
        <f t="shared" si="12"/>
        <v>4813.8709677419356</v>
      </c>
      <c r="R29" s="109">
        <f t="shared" si="5"/>
        <v>57766.451612903242</v>
      </c>
      <c r="S29" s="3">
        <f t="shared" si="6"/>
        <v>0</v>
      </c>
      <c r="T29" s="3"/>
    </row>
    <row r="30" spans="1:20" x14ac:dyDescent="0.2">
      <c r="A30" s="16"/>
      <c r="B30" s="29" t="s">
        <v>373</v>
      </c>
      <c r="C30" s="28">
        <f t="shared" si="11"/>
        <v>0</v>
      </c>
      <c r="D30" s="13"/>
      <c r="E30" s="7"/>
      <c r="F30" s="375">
        <f t="shared" si="13"/>
        <v>0</v>
      </c>
      <c r="G30" s="375">
        <f t="shared" si="12"/>
        <v>0</v>
      </c>
      <c r="H30" s="375">
        <f t="shared" si="12"/>
        <v>0</v>
      </c>
      <c r="I30" s="375">
        <f t="shared" si="12"/>
        <v>0</v>
      </c>
      <c r="J30" s="375">
        <f t="shared" si="12"/>
        <v>0</v>
      </c>
      <c r="K30" s="375">
        <f t="shared" si="12"/>
        <v>0</v>
      </c>
      <c r="L30" s="375">
        <f t="shared" si="12"/>
        <v>0</v>
      </c>
      <c r="M30" s="375">
        <f t="shared" si="12"/>
        <v>0</v>
      </c>
      <c r="N30" s="375">
        <f t="shared" si="12"/>
        <v>0</v>
      </c>
      <c r="O30" s="375">
        <f t="shared" si="12"/>
        <v>0</v>
      </c>
      <c r="P30" s="375">
        <f t="shared" si="12"/>
        <v>0</v>
      </c>
      <c r="Q30" s="375">
        <f t="shared" si="12"/>
        <v>0</v>
      </c>
      <c r="R30" s="109">
        <f t="shared" si="5"/>
        <v>0</v>
      </c>
      <c r="S30" s="3">
        <f t="shared" si="6"/>
        <v>0</v>
      </c>
      <c r="T30" s="3"/>
    </row>
    <row r="31" spans="1:20" x14ac:dyDescent="0.2">
      <c r="A31" s="16"/>
      <c r="B31" s="29" t="s">
        <v>361</v>
      </c>
      <c r="C31" s="28">
        <f t="shared" si="11"/>
        <v>48836.129032258068</v>
      </c>
      <c r="D31" s="13">
        <f>[5]MRI!$J$31+[5]MRI!$J$32</f>
        <v>135.65591397849462</v>
      </c>
      <c r="E31" s="7"/>
      <c r="F31" s="375">
        <f t="shared" si="13"/>
        <v>4069.6774193548385</v>
      </c>
      <c r="G31" s="375">
        <f t="shared" si="12"/>
        <v>4069.6774193548385</v>
      </c>
      <c r="H31" s="375">
        <f t="shared" si="12"/>
        <v>4069.6774193548385</v>
      </c>
      <c r="I31" s="375">
        <f t="shared" si="12"/>
        <v>4069.6774193548385</v>
      </c>
      <c r="J31" s="375">
        <f t="shared" si="12"/>
        <v>4069.6774193548385</v>
      </c>
      <c r="K31" s="375">
        <f t="shared" si="12"/>
        <v>4069.6774193548385</v>
      </c>
      <c r="L31" s="375">
        <f t="shared" si="12"/>
        <v>4069.6774193548385</v>
      </c>
      <c r="M31" s="375">
        <f t="shared" si="12"/>
        <v>4069.6774193548385</v>
      </c>
      <c r="N31" s="375">
        <f t="shared" si="12"/>
        <v>4069.6774193548385</v>
      </c>
      <c r="O31" s="375">
        <f t="shared" si="12"/>
        <v>4069.6774193548385</v>
      </c>
      <c r="P31" s="375">
        <f t="shared" si="12"/>
        <v>4069.6774193548385</v>
      </c>
      <c r="Q31" s="375">
        <f t="shared" si="12"/>
        <v>4069.6774193548385</v>
      </c>
      <c r="R31" s="109">
        <f t="shared" si="5"/>
        <v>48836.129032258068</v>
      </c>
      <c r="S31" s="3">
        <f t="shared" si="6"/>
        <v>0</v>
      </c>
      <c r="T31" s="3"/>
    </row>
    <row r="32" spans="1:20" x14ac:dyDescent="0.2">
      <c r="A32" s="16"/>
      <c r="B32" s="29" t="s">
        <v>360</v>
      </c>
      <c r="C32" s="28">
        <f t="shared" si="11"/>
        <v>133846.45161290324</v>
      </c>
      <c r="D32" s="13">
        <f>[5]MRI!$J$33</f>
        <v>371.7956989247312</v>
      </c>
      <c r="E32" s="7"/>
      <c r="F32" s="375">
        <f t="shared" si="13"/>
        <v>11153.870967741936</v>
      </c>
      <c r="G32" s="375">
        <f t="shared" si="12"/>
        <v>11153.870967741936</v>
      </c>
      <c r="H32" s="375">
        <f t="shared" si="12"/>
        <v>11153.870967741936</v>
      </c>
      <c r="I32" s="375">
        <f t="shared" si="12"/>
        <v>11153.870967741936</v>
      </c>
      <c r="J32" s="375">
        <f t="shared" si="12"/>
        <v>11153.870967741936</v>
      </c>
      <c r="K32" s="375">
        <f t="shared" si="12"/>
        <v>11153.870967741936</v>
      </c>
      <c r="L32" s="375">
        <f t="shared" si="12"/>
        <v>11153.870967741936</v>
      </c>
      <c r="M32" s="375">
        <f t="shared" si="12"/>
        <v>11153.870967741936</v>
      </c>
      <c r="N32" s="375">
        <f t="shared" si="12"/>
        <v>11153.870967741936</v>
      </c>
      <c r="O32" s="375">
        <f t="shared" si="12"/>
        <v>11153.870967741936</v>
      </c>
      <c r="P32" s="375">
        <f t="shared" si="12"/>
        <v>11153.870967741936</v>
      </c>
      <c r="Q32" s="375">
        <f t="shared" si="12"/>
        <v>11153.870967741936</v>
      </c>
      <c r="R32" s="109">
        <f t="shared" si="5"/>
        <v>133846.45161290324</v>
      </c>
      <c r="S32" s="3">
        <f t="shared" si="6"/>
        <v>0</v>
      </c>
      <c r="T32" s="3"/>
    </row>
    <row r="33" spans="1:20" x14ac:dyDescent="0.2">
      <c r="A33" s="16"/>
      <c r="B33" s="29" t="s">
        <v>362</v>
      </c>
      <c r="C33" s="28">
        <f t="shared" si="11"/>
        <v>31641.290322580644</v>
      </c>
      <c r="D33" s="13">
        <f>[5]MRI!$J$34</f>
        <v>87.892473118279568</v>
      </c>
      <c r="E33" s="7"/>
      <c r="F33" s="375">
        <f t="shared" si="13"/>
        <v>2636.7741935483868</v>
      </c>
      <c r="G33" s="375">
        <f t="shared" si="12"/>
        <v>2636.7741935483868</v>
      </c>
      <c r="H33" s="375">
        <f t="shared" si="12"/>
        <v>2636.7741935483868</v>
      </c>
      <c r="I33" s="375">
        <f t="shared" si="12"/>
        <v>2636.7741935483868</v>
      </c>
      <c r="J33" s="375">
        <f t="shared" si="12"/>
        <v>2636.7741935483868</v>
      </c>
      <c r="K33" s="375">
        <f t="shared" si="12"/>
        <v>2636.7741935483868</v>
      </c>
      <c r="L33" s="375">
        <f t="shared" si="12"/>
        <v>2636.7741935483868</v>
      </c>
      <c r="M33" s="375">
        <f t="shared" si="12"/>
        <v>2636.7741935483868</v>
      </c>
      <c r="N33" s="375">
        <f t="shared" si="12"/>
        <v>2636.7741935483868</v>
      </c>
      <c r="O33" s="375">
        <f t="shared" si="12"/>
        <v>2636.7741935483868</v>
      </c>
      <c r="P33" s="375">
        <f t="shared" si="12"/>
        <v>2636.7741935483868</v>
      </c>
      <c r="Q33" s="375">
        <f t="shared" si="12"/>
        <v>2636.7741935483868</v>
      </c>
      <c r="R33" s="109">
        <f t="shared" si="5"/>
        <v>31641.29032258064</v>
      </c>
      <c r="S33" s="3">
        <f t="shared" si="6"/>
        <v>0</v>
      </c>
      <c r="T33" s="3"/>
    </row>
    <row r="34" spans="1:20" x14ac:dyDescent="0.2">
      <c r="A34" s="90">
        <v>31200.063999999998</v>
      </c>
      <c r="B34" s="161" t="s">
        <v>516</v>
      </c>
      <c r="C34" s="293">
        <f>SUM(C27:C33)</f>
        <v>582967.74193548388</v>
      </c>
      <c r="D34" s="292"/>
      <c r="E34" s="292"/>
      <c r="F34" s="369">
        <f>SUM(F27:F33)</f>
        <v>48580.645161290326</v>
      </c>
      <c r="G34" s="369">
        <f t="shared" ref="G34:Q34" si="14">SUM(G27:G33)</f>
        <v>48580.645161290326</v>
      </c>
      <c r="H34" s="369">
        <f t="shared" si="14"/>
        <v>48580.645161290326</v>
      </c>
      <c r="I34" s="369">
        <f t="shared" si="14"/>
        <v>48580.645161290326</v>
      </c>
      <c r="J34" s="369">
        <f t="shared" si="14"/>
        <v>48580.645161290326</v>
      </c>
      <c r="K34" s="369">
        <f t="shared" si="14"/>
        <v>48580.645161290326</v>
      </c>
      <c r="L34" s="369">
        <f t="shared" si="14"/>
        <v>48580.645161290326</v>
      </c>
      <c r="M34" s="369">
        <f t="shared" si="14"/>
        <v>48580.645161290326</v>
      </c>
      <c r="N34" s="369">
        <f t="shared" si="14"/>
        <v>48580.645161290326</v>
      </c>
      <c r="O34" s="369">
        <f t="shared" si="14"/>
        <v>48580.645161290326</v>
      </c>
      <c r="P34" s="369">
        <f t="shared" si="14"/>
        <v>48580.645161290326</v>
      </c>
      <c r="Q34" s="369">
        <f t="shared" si="14"/>
        <v>48580.645161290326</v>
      </c>
      <c r="R34" s="369">
        <f t="shared" si="5"/>
        <v>582967.74193548376</v>
      </c>
      <c r="S34" s="291">
        <f t="shared" si="6"/>
        <v>0</v>
      </c>
      <c r="T34" s="3"/>
    </row>
    <row r="35" spans="1:20" s="5" customFormat="1" x14ac:dyDescent="0.2">
      <c r="A35" s="132"/>
      <c r="B35" s="77" t="s">
        <v>0</v>
      </c>
      <c r="C35" s="293">
        <f>C18+C26+C34</f>
        <v>582967.74193548388</v>
      </c>
      <c r="D35" s="292">
        <f>(C35/C$4)</f>
        <v>1619.3548387096776</v>
      </c>
      <c r="E35" s="292"/>
      <c r="F35" s="369">
        <f>F18+F26+F34</f>
        <v>48580.645161290326</v>
      </c>
      <c r="G35" s="369">
        <f t="shared" ref="G35:Q35" si="15">G18+G26+G34</f>
        <v>48580.645161290326</v>
      </c>
      <c r="H35" s="369">
        <f t="shared" si="15"/>
        <v>48580.645161290326</v>
      </c>
      <c r="I35" s="369">
        <f t="shared" si="15"/>
        <v>48580.645161290326</v>
      </c>
      <c r="J35" s="369">
        <f t="shared" si="15"/>
        <v>48580.645161290326</v>
      </c>
      <c r="K35" s="369">
        <f t="shared" si="15"/>
        <v>48580.645161290326</v>
      </c>
      <c r="L35" s="369">
        <f t="shared" si="15"/>
        <v>48580.645161290326</v>
      </c>
      <c r="M35" s="369">
        <f t="shared" si="15"/>
        <v>48580.645161290326</v>
      </c>
      <c r="N35" s="369">
        <f t="shared" si="15"/>
        <v>48580.645161290326</v>
      </c>
      <c r="O35" s="369">
        <f t="shared" si="15"/>
        <v>48580.645161290326</v>
      </c>
      <c r="P35" s="369">
        <f t="shared" si="15"/>
        <v>48580.645161290326</v>
      </c>
      <c r="Q35" s="369">
        <f t="shared" si="15"/>
        <v>48580.645161290326</v>
      </c>
      <c r="R35" s="369">
        <f t="shared" si="5"/>
        <v>582967.74193548376</v>
      </c>
      <c r="S35" s="291">
        <f t="shared" si="6"/>
        <v>0</v>
      </c>
      <c r="T35" s="3"/>
    </row>
    <row r="36" spans="1:20" x14ac:dyDescent="0.2">
      <c r="D36" s="111"/>
      <c r="E36" s="111"/>
      <c r="F36" s="414"/>
      <c r="G36" s="414"/>
      <c r="H36" s="414"/>
      <c r="I36" s="414"/>
      <c r="J36" s="414"/>
      <c r="K36" s="414"/>
      <c r="L36" s="414"/>
      <c r="M36" s="414"/>
      <c r="N36" s="414"/>
      <c r="O36" s="414"/>
      <c r="P36" s="414"/>
      <c r="Q36" s="414"/>
      <c r="R36" s="160"/>
    </row>
    <row r="37" spans="1:20" s="12" customFormat="1" x14ac:dyDescent="0.2">
      <c r="A37" s="716" t="s">
        <v>25</v>
      </c>
      <c r="B37" s="716"/>
      <c r="C37" s="716"/>
      <c r="D37" s="716"/>
      <c r="E37" s="195"/>
      <c r="F37" s="414"/>
      <c r="G37" s="414"/>
      <c r="H37" s="414"/>
      <c r="I37" s="414"/>
      <c r="J37" s="414"/>
      <c r="K37" s="414"/>
      <c r="L37" s="414"/>
      <c r="M37" s="414"/>
      <c r="N37" s="414"/>
      <c r="O37" s="414"/>
      <c r="P37" s="414"/>
      <c r="Q37" s="414"/>
      <c r="R37" s="414"/>
      <c r="S37" s="4"/>
      <c r="T37" s="4"/>
    </row>
    <row r="38" spans="1:20" s="92" customFormat="1" x14ac:dyDescent="0.2">
      <c r="A38" s="31"/>
      <c r="B38" s="77" t="s">
        <v>513</v>
      </c>
      <c r="C38" s="78"/>
      <c r="D38" s="182" t="s">
        <v>518</v>
      </c>
      <c r="E38" s="181"/>
      <c r="F38" s="373"/>
      <c r="G38" s="373"/>
      <c r="H38" s="373"/>
      <c r="I38" s="373"/>
      <c r="J38" s="373"/>
      <c r="K38" s="373"/>
      <c r="L38" s="373"/>
      <c r="M38" s="373"/>
      <c r="N38" s="373"/>
      <c r="O38" s="373"/>
      <c r="P38" s="373"/>
      <c r="Q38" s="373"/>
      <c r="R38" s="373"/>
      <c r="S38" s="153"/>
      <c r="T38" s="153"/>
    </row>
    <row r="39" spans="1:20" s="92" customFormat="1" x14ac:dyDescent="0.2">
      <c r="A39" s="87">
        <v>41101.063999999998</v>
      </c>
      <c r="B39" s="15" t="s">
        <v>992</v>
      </c>
      <c r="C39" s="430">
        <v>0</v>
      </c>
      <c r="D39" s="433"/>
      <c r="E39" s="181"/>
      <c r="F39" s="373">
        <f>$D39*F$7</f>
        <v>0</v>
      </c>
      <c r="G39" s="373">
        <f t="shared" ref="G39:Q42" si="16">$D39*G$7</f>
        <v>0</v>
      </c>
      <c r="H39" s="373">
        <f t="shared" si="16"/>
        <v>0</v>
      </c>
      <c r="I39" s="373">
        <f t="shared" si="16"/>
        <v>0</v>
      </c>
      <c r="J39" s="373">
        <f t="shared" si="16"/>
        <v>0</v>
      </c>
      <c r="K39" s="373">
        <f t="shared" si="16"/>
        <v>0</v>
      </c>
      <c r="L39" s="373">
        <f t="shared" si="16"/>
        <v>0</v>
      </c>
      <c r="M39" s="373">
        <f t="shared" si="16"/>
        <v>0</v>
      </c>
      <c r="N39" s="373">
        <f t="shared" si="16"/>
        <v>0</v>
      </c>
      <c r="O39" s="373">
        <f t="shared" si="16"/>
        <v>0</v>
      </c>
      <c r="P39" s="373">
        <f t="shared" si="16"/>
        <v>0</v>
      </c>
      <c r="Q39" s="373">
        <f t="shared" si="16"/>
        <v>0</v>
      </c>
      <c r="R39" s="109">
        <f t="shared" ref="R39:R47" si="17">SUM(F39:Q39)</f>
        <v>0</v>
      </c>
      <c r="S39" s="3">
        <f t="shared" ref="S39:S48" si="18">C39-R39</f>
        <v>0</v>
      </c>
      <c r="T39" s="153"/>
    </row>
    <row r="40" spans="1:20" s="92" customFormat="1" x14ac:dyDescent="0.2">
      <c r="A40" s="87">
        <v>41110.063999999998</v>
      </c>
      <c r="B40" s="15" t="s">
        <v>996</v>
      </c>
      <c r="C40" s="430">
        <v>0</v>
      </c>
      <c r="D40" s="433"/>
      <c r="E40" s="181"/>
      <c r="F40" s="373">
        <f t="shared" ref="F40:F42" si="19">$D40*F$7</f>
        <v>0</v>
      </c>
      <c r="G40" s="373">
        <f t="shared" si="16"/>
        <v>0</v>
      </c>
      <c r="H40" s="373">
        <f t="shared" si="16"/>
        <v>0</v>
      </c>
      <c r="I40" s="373">
        <f t="shared" si="16"/>
        <v>0</v>
      </c>
      <c r="J40" s="373">
        <f t="shared" si="16"/>
        <v>0</v>
      </c>
      <c r="K40" s="373">
        <f t="shared" si="16"/>
        <v>0</v>
      </c>
      <c r="L40" s="373">
        <f t="shared" si="16"/>
        <v>0</v>
      </c>
      <c r="M40" s="373">
        <f t="shared" si="16"/>
        <v>0</v>
      </c>
      <c r="N40" s="373">
        <f t="shared" si="16"/>
        <v>0</v>
      </c>
      <c r="O40" s="373">
        <f t="shared" si="16"/>
        <v>0</v>
      </c>
      <c r="P40" s="373">
        <f t="shared" si="16"/>
        <v>0</v>
      </c>
      <c r="Q40" s="373">
        <f t="shared" si="16"/>
        <v>0</v>
      </c>
      <c r="R40" s="109">
        <f t="shared" si="17"/>
        <v>0</v>
      </c>
      <c r="S40" s="3">
        <f t="shared" si="18"/>
        <v>0</v>
      </c>
      <c r="T40" s="153"/>
    </row>
    <row r="41" spans="1:20" s="92" customFormat="1" x14ac:dyDescent="0.2">
      <c r="A41" s="87">
        <v>41115.063999999998</v>
      </c>
      <c r="B41" s="15" t="s">
        <v>995</v>
      </c>
      <c r="C41" s="430">
        <v>0</v>
      </c>
      <c r="D41" s="433"/>
      <c r="E41" s="181"/>
      <c r="F41" s="373">
        <f t="shared" si="19"/>
        <v>0</v>
      </c>
      <c r="G41" s="373">
        <f t="shared" si="16"/>
        <v>0</v>
      </c>
      <c r="H41" s="373">
        <f t="shared" si="16"/>
        <v>0</v>
      </c>
      <c r="I41" s="373">
        <f t="shared" si="16"/>
        <v>0</v>
      </c>
      <c r="J41" s="373">
        <f t="shared" si="16"/>
        <v>0</v>
      </c>
      <c r="K41" s="373">
        <f t="shared" si="16"/>
        <v>0</v>
      </c>
      <c r="L41" s="373">
        <f t="shared" si="16"/>
        <v>0</v>
      </c>
      <c r="M41" s="373">
        <f t="shared" si="16"/>
        <v>0</v>
      </c>
      <c r="N41" s="373">
        <f t="shared" si="16"/>
        <v>0</v>
      </c>
      <c r="O41" s="373">
        <f t="shared" si="16"/>
        <v>0</v>
      </c>
      <c r="P41" s="373">
        <f t="shared" si="16"/>
        <v>0</v>
      </c>
      <c r="Q41" s="373">
        <f t="shared" si="16"/>
        <v>0</v>
      </c>
      <c r="R41" s="109">
        <f t="shared" si="17"/>
        <v>0</v>
      </c>
      <c r="S41" s="3">
        <f t="shared" si="18"/>
        <v>0</v>
      </c>
      <c r="T41" s="153"/>
    </row>
    <row r="42" spans="1:20" s="92" customFormat="1" x14ac:dyDescent="0.2">
      <c r="A42" s="87">
        <v>41151.063999999998</v>
      </c>
      <c r="B42" s="15" t="s">
        <v>994</v>
      </c>
      <c r="C42" s="430">
        <v>0</v>
      </c>
      <c r="D42" s="433"/>
      <c r="E42" s="181"/>
      <c r="F42" s="373">
        <f t="shared" si="19"/>
        <v>0</v>
      </c>
      <c r="G42" s="373">
        <f t="shared" si="16"/>
        <v>0</v>
      </c>
      <c r="H42" s="373">
        <f t="shared" si="16"/>
        <v>0</v>
      </c>
      <c r="I42" s="373">
        <f t="shared" si="16"/>
        <v>0</v>
      </c>
      <c r="J42" s="373">
        <f t="shared" si="16"/>
        <v>0</v>
      </c>
      <c r="K42" s="373">
        <f t="shared" si="16"/>
        <v>0</v>
      </c>
      <c r="L42" s="373">
        <f t="shared" si="16"/>
        <v>0</v>
      </c>
      <c r="M42" s="373">
        <f t="shared" si="16"/>
        <v>0</v>
      </c>
      <c r="N42" s="373">
        <f t="shared" si="16"/>
        <v>0</v>
      </c>
      <c r="O42" s="373">
        <f t="shared" si="16"/>
        <v>0</v>
      </c>
      <c r="P42" s="373">
        <f t="shared" si="16"/>
        <v>0</v>
      </c>
      <c r="Q42" s="373">
        <f t="shared" si="16"/>
        <v>0</v>
      </c>
      <c r="R42" s="109">
        <f t="shared" si="17"/>
        <v>0</v>
      </c>
      <c r="S42" s="3">
        <f t="shared" si="18"/>
        <v>0</v>
      </c>
      <c r="T42" s="153"/>
    </row>
    <row r="43" spans="1:20" s="92" customFormat="1" x14ac:dyDescent="0.2">
      <c r="A43" s="87">
        <v>41237.063999999998</v>
      </c>
      <c r="B43" s="15" t="s">
        <v>993</v>
      </c>
      <c r="C43" s="18">
        <f>[6]MRI!$I$15</f>
        <v>840</v>
      </c>
      <c r="D43" s="329">
        <f t="shared" ref="D43:D44" si="20">$C43/C$4</f>
        <v>2.3333333333333335</v>
      </c>
      <c r="E43" s="181"/>
      <c r="F43" s="373">
        <f t="shared" ref="F43:Q46" si="21">$D43*F$4</f>
        <v>70</v>
      </c>
      <c r="G43" s="373">
        <f t="shared" si="21"/>
        <v>70</v>
      </c>
      <c r="H43" s="373">
        <f t="shared" si="21"/>
        <v>70</v>
      </c>
      <c r="I43" s="373">
        <f t="shared" si="21"/>
        <v>70</v>
      </c>
      <c r="J43" s="373">
        <f t="shared" si="21"/>
        <v>70</v>
      </c>
      <c r="K43" s="373">
        <f t="shared" si="21"/>
        <v>70</v>
      </c>
      <c r="L43" s="373">
        <f t="shared" si="21"/>
        <v>70</v>
      </c>
      <c r="M43" s="373">
        <f t="shared" si="21"/>
        <v>70</v>
      </c>
      <c r="N43" s="373">
        <f t="shared" si="21"/>
        <v>70</v>
      </c>
      <c r="O43" s="373">
        <f t="shared" si="21"/>
        <v>70</v>
      </c>
      <c r="P43" s="373">
        <f t="shared" si="21"/>
        <v>70</v>
      </c>
      <c r="Q43" s="373">
        <f t="shared" si="21"/>
        <v>70</v>
      </c>
      <c r="R43" s="109">
        <f t="shared" si="17"/>
        <v>840</v>
      </c>
      <c r="S43" s="3">
        <f t="shared" si="18"/>
        <v>0</v>
      </c>
      <c r="T43" s="153"/>
    </row>
    <row r="44" spans="1:20" s="92" customFormat="1" x14ac:dyDescent="0.2">
      <c r="A44" s="493">
        <v>41219.063999999998</v>
      </c>
      <c r="B44" s="494" t="s">
        <v>1002</v>
      </c>
      <c r="C44" s="501">
        <v>0</v>
      </c>
      <c r="D44" s="497">
        <f t="shared" si="20"/>
        <v>0</v>
      </c>
      <c r="E44" s="502"/>
      <c r="F44" s="496">
        <f t="shared" si="21"/>
        <v>0</v>
      </c>
      <c r="G44" s="496">
        <f t="shared" si="21"/>
        <v>0</v>
      </c>
      <c r="H44" s="496">
        <f t="shared" si="21"/>
        <v>0</v>
      </c>
      <c r="I44" s="496">
        <f t="shared" si="21"/>
        <v>0</v>
      </c>
      <c r="J44" s="496">
        <f t="shared" si="21"/>
        <v>0</v>
      </c>
      <c r="K44" s="496">
        <f t="shared" si="21"/>
        <v>0</v>
      </c>
      <c r="L44" s="496">
        <f t="shared" si="21"/>
        <v>0</v>
      </c>
      <c r="M44" s="496">
        <f t="shared" si="21"/>
        <v>0</v>
      </c>
      <c r="N44" s="496">
        <f t="shared" si="21"/>
        <v>0</v>
      </c>
      <c r="O44" s="496">
        <f t="shared" si="21"/>
        <v>0</v>
      </c>
      <c r="P44" s="496">
        <f t="shared" si="21"/>
        <v>0</v>
      </c>
      <c r="Q44" s="496">
        <f t="shared" si="21"/>
        <v>0</v>
      </c>
      <c r="R44" s="495">
        <f t="shared" si="17"/>
        <v>0</v>
      </c>
      <c r="S44" s="489">
        <f t="shared" si="18"/>
        <v>0</v>
      </c>
      <c r="T44" s="153"/>
    </row>
    <row r="45" spans="1:20" s="92" customFormat="1" x14ac:dyDescent="0.2">
      <c r="A45" s="87">
        <v>41365.063999999998</v>
      </c>
      <c r="B45" s="15" t="s">
        <v>10</v>
      </c>
      <c r="C45" s="14">
        <v>0</v>
      </c>
      <c r="D45" s="329">
        <f>$C45/C$4</f>
        <v>0</v>
      </c>
      <c r="E45" s="181"/>
      <c r="F45" s="373">
        <f t="shared" si="21"/>
        <v>0</v>
      </c>
      <c r="G45" s="373"/>
      <c r="H45" s="373"/>
      <c r="I45" s="373"/>
      <c r="J45" s="373"/>
      <c r="K45" s="373"/>
      <c r="L45" s="373"/>
      <c r="M45" s="373"/>
      <c r="N45" s="373"/>
      <c r="O45" s="373"/>
      <c r="P45" s="373"/>
      <c r="Q45" s="373"/>
      <c r="R45" s="379">
        <f t="shared" si="17"/>
        <v>0</v>
      </c>
      <c r="S45" s="7"/>
      <c r="T45" s="641"/>
    </row>
    <row r="46" spans="1:20" s="92" customFormat="1" x14ac:dyDescent="0.2">
      <c r="A46" s="87">
        <v>41570.063999999998</v>
      </c>
      <c r="B46" s="15" t="s">
        <v>820</v>
      </c>
      <c r="C46" s="14">
        <f>[6]MRI!$I$17</f>
        <v>10000</v>
      </c>
      <c r="D46" s="329">
        <f>$C46/C$4</f>
        <v>27.777777777777779</v>
      </c>
      <c r="E46" s="181"/>
      <c r="F46" s="373">
        <f t="shared" si="21"/>
        <v>833.33333333333337</v>
      </c>
      <c r="G46" s="373">
        <f t="shared" si="21"/>
        <v>833.33333333333337</v>
      </c>
      <c r="H46" s="373">
        <f t="shared" si="21"/>
        <v>833.33333333333337</v>
      </c>
      <c r="I46" s="373">
        <f t="shared" si="21"/>
        <v>833.33333333333337</v>
      </c>
      <c r="J46" s="373">
        <f t="shared" si="21"/>
        <v>833.33333333333337</v>
      </c>
      <c r="K46" s="373">
        <f t="shared" si="21"/>
        <v>833.33333333333337</v>
      </c>
      <c r="L46" s="373">
        <f t="shared" si="21"/>
        <v>833.33333333333337</v>
      </c>
      <c r="M46" s="373">
        <f t="shared" si="21"/>
        <v>833.33333333333337</v>
      </c>
      <c r="N46" s="373">
        <f t="shared" si="21"/>
        <v>833.33333333333337</v>
      </c>
      <c r="O46" s="373">
        <f t="shared" si="21"/>
        <v>833.33333333333337</v>
      </c>
      <c r="P46" s="373">
        <f t="shared" si="21"/>
        <v>833.33333333333337</v>
      </c>
      <c r="Q46" s="373">
        <f t="shared" si="21"/>
        <v>833.33333333333337</v>
      </c>
      <c r="R46" s="379">
        <f t="shared" si="17"/>
        <v>10000</v>
      </c>
      <c r="S46" s="7"/>
      <c r="T46" s="641"/>
    </row>
    <row r="47" spans="1:20" s="92" customFormat="1" x14ac:dyDescent="0.2">
      <c r="A47" s="87">
        <v>41571.063999999998</v>
      </c>
      <c r="B47" s="15" t="s">
        <v>1102</v>
      </c>
      <c r="C47" s="14">
        <f>[6]MRI!$I$16</f>
        <v>72000</v>
      </c>
      <c r="D47" s="329">
        <f>$C47/C$4</f>
        <v>200</v>
      </c>
      <c r="E47" s="120"/>
      <c r="F47" s="373">
        <v>0</v>
      </c>
      <c r="G47" s="373">
        <v>0</v>
      </c>
      <c r="H47" s="373">
        <v>0</v>
      </c>
      <c r="I47" s="373">
        <f>$C$47/9</f>
        <v>8000</v>
      </c>
      <c r="J47" s="373">
        <f t="shared" ref="J47:Q47" si="22">$C$47/9</f>
        <v>8000</v>
      </c>
      <c r="K47" s="373">
        <f t="shared" si="22"/>
        <v>8000</v>
      </c>
      <c r="L47" s="373">
        <f t="shared" si="22"/>
        <v>8000</v>
      </c>
      <c r="M47" s="373">
        <f t="shared" si="22"/>
        <v>8000</v>
      </c>
      <c r="N47" s="373">
        <f t="shared" si="22"/>
        <v>8000</v>
      </c>
      <c r="O47" s="373">
        <f t="shared" si="22"/>
        <v>8000</v>
      </c>
      <c r="P47" s="373">
        <f t="shared" si="22"/>
        <v>8000</v>
      </c>
      <c r="Q47" s="373">
        <f t="shared" si="22"/>
        <v>8000</v>
      </c>
      <c r="R47" s="109">
        <f t="shared" si="17"/>
        <v>72000</v>
      </c>
      <c r="S47" s="3">
        <f t="shared" si="18"/>
        <v>0</v>
      </c>
      <c r="T47" s="3"/>
    </row>
    <row r="48" spans="1:20" s="170" customFormat="1" x14ac:dyDescent="0.2">
      <c r="A48" s="132"/>
      <c r="B48" s="77" t="s">
        <v>0</v>
      </c>
      <c r="C48" s="88">
        <f>SUM(C39:C47)</f>
        <v>82840</v>
      </c>
      <c r="D48" s="128">
        <f>SUM(D47:D47)</f>
        <v>200</v>
      </c>
      <c r="E48" s="128"/>
      <c r="F48" s="88">
        <f t="shared" ref="F48:R48" si="23">SUM(F39:F47)</f>
        <v>903.33333333333337</v>
      </c>
      <c r="G48" s="88">
        <f t="shared" si="23"/>
        <v>903.33333333333337</v>
      </c>
      <c r="H48" s="88">
        <f t="shared" si="23"/>
        <v>903.33333333333337</v>
      </c>
      <c r="I48" s="88">
        <f t="shared" si="23"/>
        <v>8903.3333333333339</v>
      </c>
      <c r="J48" s="88">
        <f t="shared" si="23"/>
        <v>8903.3333333333339</v>
      </c>
      <c r="K48" s="88">
        <f t="shared" si="23"/>
        <v>8903.3333333333339</v>
      </c>
      <c r="L48" s="88">
        <f t="shared" si="23"/>
        <v>8903.3333333333339</v>
      </c>
      <c r="M48" s="88">
        <f t="shared" si="23"/>
        <v>8903.3333333333339</v>
      </c>
      <c r="N48" s="88">
        <f t="shared" si="23"/>
        <v>8903.3333333333339</v>
      </c>
      <c r="O48" s="88">
        <f t="shared" si="23"/>
        <v>8903.3333333333339</v>
      </c>
      <c r="P48" s="88">
        <f t="shared" si="23"/>
        <v>8903.3333333333339</v>
      </c>
      <c r="Q48" s="88">
        <f t="shared" si="23"/>
        <v>8903.3333333333339</v>
      </c>
      <c r="R48" s="88">
        <f t="shared" si="23"/>
        <v>82840</v>
      </c>
      <c r="S48" s="3">
        <f t="shared" si="18"/>
        <v>0</v>
      </c>
      <c r="T48" s="3"/>
    </row>
    <row r="49" spans="1:20" x14ac:dyDescent="0.2">
      <c r="C49" s="7">
        <f>C48-C35</f>
        <v>-500127.74193548388</v>
      </c>
      <c r="F49" s="375"/>
      <c r="G49" s="375"/>
      <c r="H49" s="376"/>
      <c r="I49" s="376"/>
      <c r="J49" s="376"/>
      <c r="K49" s="376"/>
      <c r="L49" s="376"/>
      <c r="M49" s="376"/>
      <c r="N49" s="376"/>
      <c r="O49" s="376"/>
      <c r="P49" s="376"/>
      <c r="Q49" s="376"/>
      <c r="R49" s="376"/>
      <c r="S49" s="3"/>
      <c r="T49" s="3"/>
    </row>
    <row r="50" spans="1:20" x14ac:dyDescent="0.2">
      <c r="C50" s="7"/>
      <c r="F50" s="7"/>
      <c r="G50" s="7"/>
      <c r="H50" s="7"/>
      <c r="I50" s="7"/>
      <c r="J50" s="7"/>
      <c r="K50" s="7"/>
      <c r="L50" s="7"/>
      <c r="M50" s="7"/>
      <c r="N50" s="7"/>
      <c r="O50" s="7"/>
      <c r="P50" s="7"/>
      <c r="Q50" s="7"/>
      <c r="R50" s="7"/>
      <c r="S50" s="3"/>
      <c r="T50" s="4"/>
    </row>
    <row r="51" spans="1:20" x14ac:dyDescent="0.2">
      <c r="B51" s="4" t="s">
        <v>999</v>
      </c>
      <c r="C51" s="7"/>
      <c r="F51" s="7"/>
      <c r="G51" s="7"/>
      <c r="H51" s="7"/>
      <c r="I51" s="7"/>
      <c r="J51" s="7"/>
      <c r="K51" s="7"/>
      <c r="L51" s="7"/>
      <c r="M51" s="7"/>
      <c r="N51" s="7"/>
      <c r="O51" s="7"/>
      <c r="P51" s="7"/>
      <c r="Q51" s="7"/>
      <c r="R51" s="7"/>
      <c r="T51" s="4"/>
    </row>
    <row r="52" spans="1:20" ht="15.75" x14ac:dyDescent="0.25">
      <c r="B52" s="4" t="s">
        <v>1000</v>
      </c>
      <c r="C52" s="500"/>
      <c r="D52" s="499"/>
      <c r="E52" s="499"/>
      <c r="F52" s="104"/>
      <c r="G52" s="104"/>
      <c r="H52" s="104"/>
      <c r="I52" s="104"/>
      <c r="J52" s="104"/>
      <c r="K52" s="104"/>
      <c r="L52" s="104"/>
      <c r="M52" s="104"/>
      <c r="N52" s="104"/>
      <c r="O52" s="104"/>
      <c r="P52" s="104"/>
      <c r="Q52" s="104"/>
      <c r="R52" s="104"/>
      <c r="T52" s="4"/>
    </row>
    <row r="53" spans="1:20" x14ac:dyDescent="0.2">
      <c r="B53" s="4" t="s">
        <v>1001</v>
      </c>
      <c r="C53" s="104"/>
      <c r="F53" s="104"/>
      <c r="G53" s="104"/>
      <c r="H53" s="104"/>
      <c r="I53" s="104"/>
      <c r="J53" s="104"/>
      <c r="K53" s="104"/>
      <c r="L53" s="104"/>
      <c r="M53" s="104"/>
      <c r="N53" s="104"/>
      <c r="O53" s="104"/>
      <c r="P53" s="104"/>
      <c r="Q53" s="104"/>
      <c r="R53" s="104"/>
      <c r="T53" s="4"/>
    </row>
    <row r="54" spans="1:20" x14ac:dyDescent="0.2">
      <c r="C54" s="7"/>
      <c r="F54" s="7"/>
      <c r="G54" s="7"/>
      <c r="H54" s="7"/>
      <c r="I54" s="7"/>
      <c r="J54" s="7"/>
      <c r="K54" s="7"/>
      <c r="L54" s="7"/>
      <c r="M54" s="7"/>
      <c r="N54" s="7"/>
      <c r="O54" s="7"/>
      <c r="P54" s="7"/>
      <c r="Q54" s="7"/>
      <c r="R54" s="3"/>
      <c r="T54" s="4"/>
    </row>
    <row r="55" spans="1:20" x14ac:dyDescent="0.2">
      <c r="B55" s="678" t="s">
        <v>1081</v>
      </c>
      <c r="C55" s="678"/>
      <c r="D55" s="678"/>
      <c r="E55" s="678"/>
      <c r="F55" s="678"/>
      <c r="G55" s="678"/>
      <c r="H55" s="679"/>
    </row>
    <row r="56" spans="1:20" x14ac:dyDescent="0.2">
      <c r="B56" s="678" t="s">
        <v>1082</v>
      </c>
      <c r="C56" s="678"/>
      <c r="D56" s="678"/>
      <c r="E56" s="678"/>
      <c r="F56" s="678"/>
      <c r="G56" s="678"/>
      <c r="H56" s="679"/>
    </row>
    <row r="57" spans="1:20" s="2" customFormat="1" ht="11.25" x14ac:dyDescent="0.2">
      <c r="A57" s="4"/>
      <c r="B57" s="196"/>
      <c r="C57" s="28"/>
      <c r="D57" s="4"/>
      <c r="E57" s="4"/>
      <c r="F57" s="153"/>
      <c r="G57" s="153"/>
      <c r="H57" s="153"/>
      <c r="I57" s="153"/>
      <c r="J57" s="153"/>
      <c r="K57" s="153"/>
      <c r="L57" s="153"/>
      <c r="M57" s="153"/>
      <c r="N57" s="153"/>
      <c r="O57" s="153"/>
      <c r="P57" s="153"/>
      <c r="Q57" s="153"/>
      <c r="R57" s="96"/>
    </row>
    <row r="58" spans="1:20" s="2" customFormat="1" ht="11.25" x14ac:dyDescent="0.2">
      <c r="A58" s="4"/>
      <c r="B58" s="682" t="s">
        <v>1101</v>
      </c>
      <c r="C58" s="28"/>
      <c r="D58" s="4"/>
      <c r="E58" s="4"/>
      <c r="F58" s="153"/>
      <c r="G58" s="153"/>
      <c r="H58" s="153"/>
      <c r="I58" s="153"/>
      <c r="J58" s="153"/>
      <c r="K58" s="153"/>
      <c r="L58" s="153"/>
      <c r="M58" s="153"/>
      <c r="N58" s="153"/>
      <c r="O58" s="153"/>
      <c r="P58" s="153"/>
      <c r="Q58" s="153"/>
      <c r="R58" s="96"/>
    </row>
    <row r="59" spans="1:20" s="2" customFormat="1" ht="11.25" x14ac:dyDescent="0.2">
      <c r="A59" s="4"/>
      <c r="B59" s="4" t="s">
        <v>1103</v>
      </c>
      <c r="C59" s="7"/>
      <c r="D59" s="4"/>
      <c r="E59" s="4"/>
      <c r="F59" s="7"/>
      <c r="G59" s="7"/>
      <c r="H59" s="7"/>
      <c r="I59" s="7"/>
      <c r="J59" s="7"/>
      <c r="K59" s="7"/>
      <c r="L59" s="7"/>
      <c r="M59" s="7"/>
      <c r="N59" s="7"/>
      <c r="O59" s="7"/>
      <c r="P59" s="7"/>
      <c r="Q59" s="7"/>
      <c r="R59" s="3"/>
    </row>
    <row r="72" spans="1:19" x14ac:dyDescent="0.2">
      <c r="F72" s="437" t="s">
        <v>49</v>
      </c>
      <c r="G72" s="437" t="s">
        <v>48</v>
      </c>
      <c r="H72" s="437" t="s">
        <v>47</v>
      </c>
      <c r="I72" s="437" t="s">
        <v>46</v>
      </c>
      <c r="J72" s="437" t="s">
        <v>45</v>
      </c>
      <c r="K72" s="437" t="s">
        <v>44</v>
      </c>
      <c r="L72" s="437" t="s">
        <v>43</v>
      </c>
      <c r="M72" s="437" t="s">
        <v>42</v>
      </c>
      <c r="N72" s="437" t="s">
        <v>41</v>
      </c>
      <c r="O72" s="437" t="s">
        <v>40</v>
      </c>
      <c r="P72" s="437" t="s">
        <v>39</v>
      </c>
      <c r="Q72" s="437" t="s">
        <v>38</v>
      </c>
      <c r="R72" s="437" t="s">
        <v>37</v>
      </c>
    </row>
    <row r="73" spans="1:19" x14ac:dyDescent="0.2">
      <c r="B73" s="139" t="s">
        <v>311</v>
      </c>
      <c r="C73" s="189">
        <f>STATS!D122</f>
        <v>0</v>
      </c>
      <c r="F73" s="131">
        <f>'MO STATS'!E119</f>
        <v>0</v>
      </c>
      <c r="G73" s="131">
        <f>'MO STATS'!F119</f>
        <v>0</v>
      </c>
      <c r="H73" s="131">
        <f>'MO STATS'!G119</f>
        <v>0</v>
      </c>
      <c r="I73" s="131">
        <f>'MO STATS'!H119</f>
        <v>0</v>
      </c>
      <c r="J73" s="131">
        <f>'MO STATS'!I119</f>
        <v>0</v>
      </c>
      <c r="K73" s="131">
        <f>'MO STATS'!J119</f>
        <v>0</v>
      </c>
      <c r="L73" s="131">
        <f>'MO STATS'!K119</f>
        <v>0</v>
      </c>
      <c r="M73" s="131">
        <f>'MO STATS'!L119</f>
        <v>0</v>
      </c>
      <c r="N73" s="131">
        <f>'MO STATS'!M119</f>
        <v>0</v>
      </c>
      <c r="O73" s="131">
        <f>'MO STATS'!N119</f>
        <v>0</v>
      </c>
      <c r="P73" s="131">
        <f>'MO STATS'!O119</f>
        <v>0</v>
      </c>
      <c r="Q73" s="131">
        <f>'MO STATS'!P119</f>
        <v>0</v>
      </c>
      <c r="R73" s="96">
        <f>SUM(F73:Q73)</f>
        <v>0</v>
      </c>
      <c r="S73" s="3">
        <f>C73-R73</f>
        <v>0</v>
      </c>
    </row>
    <row r="74" spans="1:19" x14ac:dyDescent="0.2">
      <c r="B74" s="139" t="s">
        <v>313</v>
      </c>
      <c r="C74" s="189">
        <v>760</v>
      </c>
      <c r="F74" s="131">
        <f>'MO STATS'!E120</f>
        <v>0</v>
      </c>
      <c r="G74" s="131">
        <f>'MO STATS'!F120</f>
        <v>0</v>
      </c>
      <c r="H74" s="131">
        <f>'MO STATS'!G120</f>
        <v>0</v>
      </c>
      <c r="I74" s="131">
        <f>'MO STATS'!H120</f>
        <v>0</v>
      </c>
      <c r="J74" s="131">
        <f>'MO STATS'!I120</f>
        <v>0</v>
      </c>
      <c r="K74" s="131">
        <f>'MO STATS'!J120</f>
        <v>0</v>
      </c>
      <c r="L74" s="131">
        <f>'MO STATS'!K120</f>
        <v>0</v>
      </c>
      <c r="M74" s="131">
        <f>'MO STATS'!L120</f>
        <v>0</v>
      </c>
      <c r="N74" s="131">
        <f>'MO STATS'!M120</f>
        <v>0</v>
      </c>
      <c r="O74" s="131">
        <f>'MO STATS'!N120</f>
        <v>0</v>
      </c>
      <c r="P74" s="131">
        <f>'MO STATS'!O120</f>
        <v>0</v>
      </c>
      <c r="Q74" s="131">
        <f>'MO STATS'!P120+4</f>
        <v>4</v>
      </c>
      <c r="R74" s="96">
        <f>SUM(F74:Q74)</f>
        <v>4</v>
      </c>
      <c r="S74" s="3">
        <f>C74-R74</f>
        <v>756</v>
      </c>
    </row>
    <row r="75" spans="1:19" x14ac:dyDescent="0.2">
      <c r="B75" s="139" t="s">
        <v>315</v>
      </c>
      <c r="C75" s="189">
        <f>C73+C74</f>
        <v>760</v>
      </c>
      <c r="F75" s="131">
        <f>'MO STATS'!E121</f>
        <v>0</v>
      </c>
      <c r="G75" s="131">
        <f>'MO STATS'!F121</f>
        <v>0</v>
      </c>
      <c r="H75" s="131">
        <f>'MO STATS'!G121</f>
        <v>0</v>
      </c>
      <c r="I75" s="131">
        <f>'MO STATS'!H121</f>
        <v>0</v>
      </c>
      <c r="J75" s="131">
        <f>'MO STATS'!I121</f>
        <v>0</v>
      </c>
      <c r="K75" s="131">
        <f>'MO STATS'!J121</f>
        <v>0</v>
      </c>
      <c r="L75" s="131">
        <f>'MO STATS'!K121</f>
        <v>0</v>
      </c>
      <c r="M75" s="131">
        <f>'MO STATS'!L121</f>
        <v>0</v>
      </c>
      <c r="N75" s="131">
        <f>'MO STATS'!M121</f>
        <v>0</v>
      </c>
      <c r="O75" s="131">
        <f>'MO STATS'!N121</f>
        <v>0</v>
      </c>
      <c r="P75" s="131">
        <f>'MO STATS'!O121</f>
        <v>0</v>
      </c>
      <c r="Q75" s="131">
        <f>'MO STATS'!P121+4</f>
        <v>4</v>
      </c>
      <c r="R75" s="96">
        <f>SUM(R73:R74)</f>
        <v>4</v>
      </c>
      <c r="S75" s="3">
        <f>C75-R75</f>
        <v>756</v>
      </c>
    </row>
    <row r="76" spans="1:19" x14ac:dyDescent="0.2">
      <c r="B76" s="139"/>
      <c r="H76" s="4"/>
      <c r="I76" s="4"/>
      <c r="J76" s="4"/>
      <c r="K76" s="4"/>
      <c r="L76" s="4"/>
      <c r="M76" s="4"/>
      <c r="N76" s="4"/>
      <c r="O76" s="4"/>
      <c r="P76" s="4"/>
      <c r="Q76" s="4"/>
    </row>
    <row r="77" spans="1:19" x14ac:dyDescent="0.2">
      <c r="A77" s="716" t="s">
        <v>35</v>
      </c>
      <c r="B77" s="716"/>
      <c r="C77" s="716"/>
      <c r="D77" s="716"/>
      <c r="E77" s="438"/>
    </row>
    <row r="78" spans="1:19" x14ac:dyDescent="0.2">
      <c r="A78" s="31"/>
      <c r="B78" s="200" t="s">
        <v>513</v>
      </c>
      <c r="C78" s="78"/>
      <c r="D78" s="102" t="s">
        <v>517</v>
      </c>
      <c r="E78" s="103"/>
    </row>
    <row r="79" spans="1:19" x14ac:dyDescent="0.2">
      <c r="A79" s="16"/>
      <c r="B79" s="29" t="s">
        <v>352</v>
      </c>
      <c r="C79" s="28">
        <f>D79*C$2</f>
        <v>0</v>
      </c>
      <c r="D79" s="13">
        <v>0</v>
      </c>
      <c r="E79" s="7"/>
      <c r="F79" s="375">
        <f>$D79*F$2</f>
        <v>0</v>
      </c>
      <c r="G79" s="375">
        <f t="shared" ref="G79:Q85" si="24">$D79*G$2</f>
        <v>0</v>
      </c>
      <c r="H79" s="375">
        <f t="shared" si="24"/>
        <v>0</v>
      </c>
      <c r="I79" s="375">
        <f t="shared" si="24"/>
        <v>0</v>
      </c>
      <c r="J79" s="375">
        <f t="shared" si="24"/>
        <v>0</v>
      </c>
      <c r="K79" s="375">
        <f t="shared" si="24"/>
        <v>0</v>
      </c>
      <c r="L79" s="375">
        <f t="shared" si="24"/>
        <v>0</v>
      </c>
      <c r="M79" s="375">
        <f t="shared" si="24"/>
        <v>0</v>
      </c>
      <c r="N79" s="375">
        <f t="shared" si="24"/>
        <v>0</v>
      </c>
      <c r="O79" s="375">
        <f t="shared" si="24"/>
        <v>0</v>
      </c>
      <c r="P79" s="375">
        <f t="shared" si="24"/>
        <v>0</v>
      </c>
      <c r="Q79" s="375">
        <f t="shared" si="24"/>
        <v>0</v>
      </c>
      <c r="R79" s="109">
        <f>SUM(F79:Q79)</f>
        <v>0</v>
      </c>
      <c r="S79" s="3">
        <f>C79-R79</f>
        <v>0</v>
      </c>
    </row>
    <row r="80" spans="1:19" x14ac:dyDescent="0.2">
      <c r="A80" s="16"/>
      <c r="B80" s="29" t="s">
        <v>353</v>
      </c>
      <c r="C80" s="28">
        <f t="shared" ref="C80:C85" si="25">D80*C$2</f>
        <v>0</v>
      </c>
      <c r="D80" s="13">
        <v>0</v>
      </c>
      <c r="E80" s="7"/>
      <c r="F80" s="375">
        <f t="shared" ref="F80:F85" si="26">$D80*F$2</f>
        <v>0</v>
      </c>
      <c r="G80" s="375">
        <f t="shared" si="24"/>
        <v>0</v>
      </c>
      <c r="H80" s="375">
        <f t="shared" si="24"/>
        <v>0</v>
      </c>
      <c r="I80" s="375">
        <f t="shared" si="24"/>
        <v>0</v>
      </c>
      <c r="J80" s="375">
        <f t="shared" si="24"/>
        <v>0</v>
      </c>
      <c r="K80" s="375">
        <f t="shared" si="24"/>
        <v>0</v>
      </c>
      <c r="L80" s="375">
        <f t="shared" si="24"/>
        <v>0</v>
      </c>
      <c r="M80" s="375">
        <f t="shared" si="24"/>
        <v>0</v>
      </c>
      <c r="N80" s="375">
        <f t="shared" si="24"/>
        <v>0</v>
      </c>
      <c r="O80" s="375">
        <f t="shared" si="24"/>
        <v>0</v>
      </c>
      <c r="P80" s="375">
        <f t="shared" si="24"/>
        <v>0</v>
      </c>
      <c r="Q80" s="375">
        <f t="shared" si="24"/>
        <v>0</v>
      </c>
      <c r="R80" s="109">
        <f t="shared" ref="R80:R103" si="27">SUM(F80:Q80)</f>
        <v>0</v>
      </c>
      <c r="S80" s="3">
        <f t="shared" ref="S80:S103" si="28">C80-R80</f>
        <v>0</v>
      </c>
    </row>
    <row r="81" spans="1:19" x14ac:dyDescent="0.2">
      <c r="A81" s="16"/>
      <c r="B81" s="29" t="s">
        <v>355</v>
      </c>
      <c r="C81" s="28">
        <f t="shared" si="25"/>
        <v>0</v>
      </c>
      <c r="D81" s="13">
        <v>0</v>
      </c>
      <c r="E81" s="7"/>
      <c r="F81" s="375">
        <f t="shared" si="26"/>
        <v>0</v>
      </c>
      <c r="G81" s="375">
        <f t="shared" si="24"/>
        <v>0</v>
      </c>
      <c r="H81" s="375">
        <f t="shared" si="24"/>
        <v>0</v>
      </c>
      <c r="I81" s="375">
        <f t="shared" si="24"/>
        <v>0</v>
      </c>
      <c r="J81" s="375">
        <f t="shared" si="24"/>
        <v>0</v>
      </c>
      <c r="K81" s="375">
        <f t="shared" si="24"/>
        <v>0</v>
      </c>
      <c r="L81" s="375">
        <f t="shared" si="24"/>
        <v>0</v>
      </c>
      <c r="M81" s="375">
        <f t="shared" si="24"/>
        <v>0</v>
      </c>
      <c r="N81" s="375">
        <f t="shared" si="24"/>
        <v>0</v>
      </c>
      <c r="O81" s="375">
        <f t="shared" si="24"/>
        <v>0</v>
      </c>
      <c r="P81" s="375">
        <f t="shared" si="24"/>
        <v>0</v>
      </c>
      <c r="Q81" s="375">
        <f t="shared" si="24"/>
        <v>0</v>
      </c>
      <c r="R81" s="109">
        <f t="shared" si="27"/>
        <v>0</v>
      </c>
      <c r="S81" s="3">
        <f t="shared" si="28"/>
        <v>0</v>
      </c>
    </row>
    <row r="82" spans="1:19" x14ac:dyDescent="0.2">
      <c r="A82" s="16"/>
      <c r="B82" s="29" t="s">
        <v>370</v>
      </c>
      <c r="C82" s="28">
        <f t="shared" si="25"/>
        <v>0</v>
      </c>
      <c r="D82" s="13">
        <v>0</v>
      </c>
      <c r="E82" s="7"/>
      <c r="F82" s="375">
        <f t="shared" si="26"/>
        <v>0</v>
      </c>
      <c r="G82" s="375">
        <f t="shared" si="24"/>
        <v>0</v>
      </c>
      <c r="H82" s="375">
        <f t="shared" si="24"/>
        <v>0</v>
      </c>
      <c r="I82" s="375">
        <f t="shared" si="24"/>
        <v>0</v>
      </c>
      <c r="J82" s="375">
        <f t="shared" si="24"/>
        <v>0</v>
      </c>
      <c r="K82" s="375">
        <f t="shared" si="24"/>
        <v>0</v>
      </c>
      <c r="L82" s="375">
        <f t="shared" si="24"/>
        <v>0</v>
      </c>
      <c r="M82" s="375">
        <f t="shared" si="24"/>
        <v>0</v>
      </c>
      <c r="N82" s="375">
        <f t="shared" si="24"/>
        <v>0</v>
      </c>
      <c r="O82" s="375">
        <f t="shared" si="24"/>
        <v>0</v>
      </c>
      <c r="P82" s="375">
        <f t="shared" si="24"/>
        <v>0</v>
      </c>
      <c r="Q82" s="375">
        <f t="shared" si="24"/>
        <v>0</v>
      </c>
      <c r="R82" s="109">
        <f t="shared" si="27"/>
        <v>0</v>
      </c>
      <c r="S82" s="3">
        <f t="shared" si="28"/>
        <v>0</v>
      </c>
    </row>
    <row r="83" spans="1:19" x14ac:dyDescent="0.2">
      <c r="A83" s="16"/>
      <c r="B83" s="29" t="s">
        <v>356</v>
      </c>
      <c r="C83" s="28">
        <f t="shared" si="25"/>
        <v>0</v>
      </c>
      <c r="D83" s="13">
        <v>0</v>
      </c>
      <c r="E83" s="7"/>
      <c r="F83" s="375">
        <f t="shared" si="26"/>
        <v>0</v>
      </c>
      <c r="G83" s="375">
        <f t="shared" si="24"/>
        <v>0</v>
      </c>
      <c r="H83" s="375">
        <f t="shared" si="24"/>
        <v>0</v>
      </c>
      <c r="I83" s="375">
        <f t="shared" si="24"/>
        <v>0</v>
      </c>
      <c r="J83" s="375">
        <f t="shared" si="24"/>
        <v>0</v>
      </c>
      <c r="K83" s="375">
        <f t="shared" si="24"/>
        <v>0</v>
      </c>
      <c r="L83" s="375">
        <f t="shared" si="24"/>
        <v>0</v>
      </c>
      <c r="M83" s="375">
        <f t="shared" si="24"/>
        <v>0</v>
      </c>
      <c r="N83" s="375">
        <f t="shared" si="24"/>
        <v>0</v>
      </c>
      <c r="O83" s="375">
        <f t="shared" si="24"/>
        <v>0</v>
      </c>
      <c r="P83" s="375">
        <f t="shared" si="24"/>
        <v>0</v>
      </c>
      <c r="Q83" s="375">
        <f t="shared" si="24"/>
        <v>0</v>
      </c>
      <c r="R83" s="109">
        <f t="shared" si="27"/>
        <v>0</v>
      </c>
      <c r="S83" s="3">
        <f t="shared" si="28"/>
        <v>0</v>
      </c>
    </row>
    <row r="84" spans="1:19" x14ac:dyDescent="0.2">
      <c r="A84" s="16"/>
      <c r="B84" s="29" t="s">
        <v>354</v>
      </c>
      <c r="C84" s="28">
        <f t="shared" si="25"/>
        <v>0</v>
      </c>
      <c r="D84" s="13">
        <v>0</v>
      </c>
      <c r="E84" s="7"/>
      <c r="F84" s="375">
        <f t="shared" si="26"/>
        <v>0</v>
      </c>
      <c r="G84" s="375">
        <f t="shared" si="24"/>
        <v>0</v>
      </c>
      <c r="H84" s="375">
        <f t="shared" si="24"/>
        <v>0</v>
      </c>
      <c r="I84" s="375">
        <f t="shared" si="24"/>
        <v>0</v>
      </c>
      <c r="J84" s="375">
        <f t="shared" si="24"/>
        <v>0</v>
      </c>
      <c r="K84" s="375">
        <f t="shared" si="24"/>
        <v>0</v>
      </c>
      <c r="L84" s="375">
        <f t="shared" si="24"/>
        <v>0</v>
      </c>
      <c r="M84" s="375">
        <f t="shared" si="24"/>
        <v>0</v>
      </c>
      <c r="N84" s="375">
        <f t="shared" si="24"/>
        <v>0</v>
      </c>
      <c r="O84" s="375">
        <f t="shared" si="24"/>
        <v>0</v>
      </c>
      <c r="P84" s="375">
        <f t="shared" si="24"/>
        <v>0</v>
      </c>
      <c r="Q84" s="375">
        <f t="shared" si="24"/>
        <v>0</v>
      </c>
      <c r="R84" s="109">
        <f t="shared" si="27"/>
        <v>0</v>
      </c>
      <c r="S84" s="3">
        <f t="shared" si="28"/>
        <v>0</v>
      </c>
    </row>
    <row r="85" spans="1:19" x14ac:dyDescent="0.2">
      <c r="A85" s="16"/>
      <c r="B85" s="29" t="s">
        <v>357</v>
      </c>
      <c r="C85" s="28">
        <f t="shared" si="25"/>
        <v>0</v>
      </c>
      <c r="D85" s="13">
        <v>0</v>
      </c>
      <c r="E85" s="7"/>
      <c r="F85" s="375">
        <f t="shared" si="26"/>
        <v>0</v>
      </c>
      <c r="G85" s="375">
        <f t="shared" si="24"/>
        <v>0</v>
      </c>
      <c r="H85" s="375">
        <f t="shared" si="24"/>
        <v>0</v>
      </c>
      <c r="I85" s="375">
        <f t="shared" si="24"/>
        <v>0</v>
      </c>
      <c r="J85" s="375">
        <f t="shared" si="24"/>
        <v>0</v>
      </c>
      <c r="K85" s="375">
        <f t="shared" si="24"/>
        <v>0</v>
      </c>
      <c r="L85" s="375">
        <f t="shared" si="24"/>
        <v>0</v>
      </c>
      <c r="M85" s="375">
        <f t="shared" si="24"/>
        <v>0</v>
      </c>
      <c r="N85" s="375">
        <f t="shared" si="24"/>
        <v>0</v>
      </c>
      <c r="O85" s="375">
        <f t="shared" si="24"/>
        <v>0</v>
      </c>
      <c r="P85" s="375">
        <f t="shared" si="24"/>
        <v>0</v>
      </c>
      <c r="Q85" s="375">
        <f t="shared" si="24"/>
        <v>0</v>
      </c>
      <c r="R85" s="109">
        <f t="shared" si="27"/>
        <v>0</v>
      </c>
      <c r="S85" s="3">
        <f t="shared" si="28"/>
        <v>0</v>
      </c>
    </row>
    <row r="86" spans="1:19" x14ac:dyDescent="0.2">
      <c r="A86" s="87">
        <v>31110.063999999998</v>
      </c>
      <c r="B86" s="161" t="s">
        <v>514</v>
      </c>
      <c r="C86" s="290">
        <f>SUM(C79:C85)</f>
        <v>0</v>
      </c>
      <c r="D86" s="291"/>
      <c r="E86" s="291"/>
      <c r="F86" s="372">
        <f>SUM(F79:F85)</f>
        <v>0</v>
      </c>
      <c r="G86" s="372">
        <f t="shared" ref="G86:Q86" si="29">SUM(G79:G85)</f>
        <v>0</v>
      </c>
      <c r="H86" s="372">
        <f t="shared" si="29"/>
        <v>0</v>
      </c>
      <c r="I86" s="372">
        <f t="shared" si="29"/>
        <v>0</v>
      </c>
      <c r="J86" s="372">
        <f t="shared" si="29"/>
        <v>0</v>
      </c>
      <c r="K86" s="372">
        <f t="shared" si="29"/>
        <v>0</v>
      </c>
      <c r="L86" s="372">
        <f t="shared" si="29"/>
        <v>0</v>
      </c>
      <c r="M86" s="372">
        <f t="shared" si="29"/>
        <v>0</v>
      </c>
      <c r="N86" s="372">
        <f t="shared" si="29"/>
        <v>0</v>
      </c>
      <c r="O86" s="372">
        <f t="shared" si="29"/>
        <v>0</v>
      </c>
      <c r="P86" s="372">
        <f t="shared" si="29"/>
        <v>0</v>
      </c>
      <c r="Q86" s="372">
        <f t="shared" si="29"/>
        <v>0</v>
      </c>
      <c r="R86" s="369">
        <f t="shared" si="27"/>
        <v>0</v>
      </c>
      <c r="S86" s="291">
        <f t="shared" si="28"/>
        <v>0</v>
      </c>
    </row>
    <row r="87" spans="1:19" x14ac:dyDescent="0.2">
      <c r="A87" s="16"/>
      <c r="B87" s="29" t="s">
        <v>424</v>
      </c>
      <c r="C87" s="28">
        <f t="shared" ref="C87:C93" si="30">D87*C$2</f>
        <v>0</v>
      </c>
      <c r="D87" s="13">
        <v>0</v>
      </c>
      <c r="E87" s="7"/>
      <c r="F87" s="375">
        <f>$D87*F$2</f>
        <v>0</v>
      </c>
      <c r="G87" s="375">
        <f t="shared" ref="G87:Q93" si="31">$D87*G$2</f>
        <v>0</v>
      </c>
      <c r="H87" s="375">
        <f t="shared" si="31"/>
        <v>0</v>
      </c>
      <c r="I87" s="375">
        <f t="shared" si="31"/>
        <v>0</v>
      </c>
      <c r="J87" s="375">
        <f t="shared" si="31"/>
        <v>0</v>
      </c>
      <c r="K87" s="375">
        <f t="shared" si="31"/>
        <v>0</v>
      </c>
      <c r="L87" s="375">
        <f t="shared" si="31"/>
        <v>0</v>
      </c>
      <c r="M87" s="375">
        <f t="shared" si="31"/>
        <v>0</v>
      </c>
      <c r="N87" s="375">
        <f t="shared" si="31"/>
        <v>0</v>
      </c>
      <c r="O87" s="375">
        <f t="shared" si="31"/>
        <v>0</v>
      </c>
      <c r="P87" s="375">
        <f t="shared" si="31"/>
        <v>0</v>
      </c>
      <c r="Q87" s="375">
        <f t="shared" si="31"/>
        <v>0</v>
      </c>
      <c r="R87" s="109">
        <f t="shared" si="27"/>
        <v>0</v>
      </c>
      <c r="S87" s="3">
        <f t="shared" si="28"/>
        <v>0</v>
      </c>
    </row>
    <row r="88" spans="1:19" x14ac:dyDescent="0.2">
      <c r="A88" s="16"/>
      <c r="B88" s="29" t="s">
        <v>425</v>
      </c>
      <c r="C88" s="28">
        <f t="shared" si="30"/>
        <v>0</v>
      </c>
      <c r="D88" s="13">
        <v>0</v>
      </c>
      <c r="E88" s="7"/>
      <c r="F88" s="375">
        <f t="shared" ref="F88:F93" si="32">$D88*F$2</f>
        <v>0</v>
      </c>
      <c r="G88" s="375">
        <f t="shared" si="31"/>
        <v>0</v>
      </c>
      <c r="H88" s="375">
        <f t="shared" si="31"/>
        <v>0</v>
      </c>
      <c r="I88" s="375">
        <f t="shared" si="31"/>
        <v>0</v>
      </c>
      <c r="J88" s="375">
        <f t="shared" si="31"/>
        <v>0</v>
      </c>
      <c r="K88" s="375">
        <f t="shared" si="31"/>
        <v>0</v>
      </c>
      <c r="L88" s="375">
        <f t="shared" si="31"/>
        <v>0</v>
      </c>
      <c r="M88" s="375">
        <f t="shared" si="31"/>
        <v>0</v>
      </c>
      <c r="N88" s="375">
        <f t="shared" si="31"/>
        <v>0</v>
      </c>
      <c r="O88" s="375">
        <f t="shared" si="31"/>
        <v>0</v>
      </c>
      <c r="P88" s="375">
        <f t="shared" si="31"/>
        <v>0</v>
      </c>
      <c r="Q88" s="375">
        <f t="shared" si="31"/>
        <v>0</v>
      </c>
      <c r="R88" s="376">
        <f t="shared" si="27"/>
        <v>0</v>
      </c>
      <c r="S88" s="3">
        <f t="shared" si="28"/>
        <v>0</v>
      </c>
    </row>
    <row r="89" spans="1:19" x14ac:dyDescent="0.2">
      <c r="A89" s="16"/>
      <c r="B89" s="29" t="s">
        <v>426</v>
      </c>
      <c r="C89" s="28">
        <f t="shared" si="30"/>
        <v>0</v>
      </c>
      <c r="D89" s="13">
        <v>0</v>
      </c>
      <c r="E89" s="7"/>
      <c r="F89" s="375">
        <f t="shared" si="32"/>
        <v>0</v>
      </c>
      <c r="G89" s="375">
        <f t="shared" si="31"/>
        <v>0</v>
      </c>
      <c r="H89" s="375">
        <f t="shared" si="31"/>
        <v>0</v>
      </c>
      <c r="I89" s="375">
        <f t="shared" si="31"/>
        <v>0</v>
      </c>
      <c r="J89" s="375">
        <f t="shared" si="31"/>
        <v>0</v>
      </c>
      <c r="K89" s="375">
        <f t="shared" si="31"/>
        <v>0</v>
      </c>
      <c r="L89" s="375">
        <f t="shared" si="31"/>
        <v>0</v>
      </c>
      <c r="M89" s="375">
        <f t="shared" si="31"/>
        <v>0</v>
      </c>
      <c r="N89" s="375">
        <f t="shared" si="31"/>
        <v>0</v>
      </c>
      <c r="O89" s="375">
        <f t="shared" si="31"/>
        <v>0</v>
      </c>
      <c r="P89" s="375">
        <f t="shared" si="31"/>
        <v>0</v>
      </c>
      <c r="Q89" s="375">
        <f t="shared" si="31"/>
        <v>0</v>
      </c>
      <c r="R89" s="109">
        <f t="shared" si="27"/>
        <v>0</v>
      </c>
      <c r="S89" s="3">
        <f t="shared" si="28"/>
        <v>0</v>
      </c>
    </row>
    <row r="90" spans="1:19" x14ac:dyDescent="0.2">
      <c r="A90" s="16"/>
      <c r="B90" s="29" t="s">
        <v>427</v>
      </c>
      <c r="C90" s="28">
        <f t="shared" si="30"/>
        <v>0</v>
      </c>
      <c r="D90" s="13">
        <v>0</v>
      </c>
      <c r="E90" s="7"/>
      <c r="F90" s="375">
        <f t="shared" si="32"/>
        <v>0</v>
      </c>
      <c r="G90" s="375">
        <f t="shared" si="31"/>
        <v>0</v>
      </c>
      <c r="H90" s="375">
        <f t="shared" si="31"/>
        <v>0</v>
      </c>
      <c r="I90" s="375">
        <f t="shared" si="31"/>
        <v>0</v>
      </c>
      <c r="J90" s="375">
        <f t="shared" si="31"/>
        <v>0</v>
      </c>
      <c r="K90" s="375">
        <f t="shared" si="31"/>
        <v>0</v>
      </c>
      <c r="L90" s="375">
        <f t="shared" si="31"/>
        <v>0</v>
      </c>
      <c r="M90" s="375">
        <f t="shared" si="31"/>
        <v>0</v>
      </c>
      <c r="N90" s="375">
        <f t="shared" si="31"/>
        <v>0</v>
      </c>
      <c r="O90" s="375">
        <f t="shared" si="31"/>
        <v>0</v>
      </c>
      <c r="P90" s="375">
        <f t="shared" si="31"/>
        <v>0</v>
      </c>
      <c r="Q90" s="375">
        <f t="shared" si="31"/>
        <v>0</v>
      </c>
      <c r="R90" s="109">
        <f t="shared" si="27"/>
        <v>0</v>
      </c>
      <c r="S90" s="3">
        <f t="shared" si="28"/>
        <v>0</v>
      </c>
    </row>
    <row r="91" spans="1:19" x14ac:dyDescent="0.2">
      <c r="A91" s="16"/>
      <c r="B91" s="29" t="s">
        <v>428</v>
      </c>
      <c r="C91" s="28">
        <f t="shared" si="30"/>
        <v>0</v>
      </c>
      <c r="D91" s="13">
        <v>0</v>
      </c>
      <c r="E91" s="7"/>
      <c r="F91" s="375">
        <f t="shared" si="32"/>
        <v>0</v>
      </c>
      <c r="G91" s="375">
        <f t="shared" si="31"/>
        <v>0</v>
      </c>
      <c r="H91" s="375">
        <f t="shared" si="31"/>
        <v>0</v>
      </c>
      <c r="I91" s="375">
        <f t="shared" si="31"/>
        <v>0</v>
      </c>
      <c r="J91" s="375">
        <f t="shared" si="31"/>
        <v>0</v>
      </c>
      <c r="K91" s="375">
        <f t="shared" si="31"/>
        <v>0</v>
      </c>
      <c r="L91" s="375">
        <f t="shared" si="31"/>
        <v>0</v>
      </c>
      <c r="M91" s="375">
        <f t="shared" si="31"/>
        <v>0</v>
      </c>
      <c r="N91" s="375">
        <f t="shared" si="31"/>
        <v>0</v>
      </c>
      <c r="O91" s="375">
        <f t="shared" si="31"/>
        <v>0</v>
      </c>
      <c r="P91" s="375">
        <f t="shared" si="31"/>
        <v>0</v>
      </c>
      <c r="Q91" s="375">
        <f t="shared" si="31"/>
        <v>0</v>
      </c>
      <c r="R91" s="109">
        <f t="shared" si="27"/>
        <v>0</v>
      </c>
      <c r="S91" s="3">
        <f t="shared" si="28"/>
        <v>0</v>
      </c>
    </row>
    <row r="92" spans="1:19" x14ac:dyDescent="0.2">
      <c r="A92" s="16"/>
      <c r="B92" s="29" t="s">
        <v>429</v>
      </c>
      <c r="C92" s="28">
        <f t="shared" si="30"/>
        <v>0</v>
      </c>
      <c r="D92" s="13">
        <v>0</v>
      </c>
      <c r="E92" s="7"/>
      <c r="F92" s="375">
        <f t="shared" si="32"/>
        <v>0</v>
      </c>
      <c r="G92" s="375">
        <f t="shared" si="31"/>
        <v>0</v>
      </c>
      <c r="H92" s="375">
        <f t="shared" si="31"/>
        <v>0</v>
      </c>
      <c r="I92" s="375">
        <f t="shared" si="31"/>
        <v>0</v>
      </c>
      <c r="J92" s="375">
        <f t="shared" si="31"/>
        <v>0</v>
      </c>
      <c r="K92" s="375">
        <f t="shared" si="31"/>
        <v>0</v>
      </c>
      <c r="L92" s="375">
        <f t="shared" si="31"/>
        <v>0</v>
      </c>
      <c r="M92" s="375">
        <f t="shared" si="31"/>
        <v>0</v>
      </c>
      <c r="N92" s="375">
        <f t="shared" si="31"/>
        <v>0</v>
      </c>
      <c r="O92" s="375">
        <f t="shared" si="31"/>
        <v>0</v>
      </c>
      <c r="P92" s="375">
        <f t="shared" si="31"/>
        <v>0</v>
      </c>
      <c r="Q92" s="375">
        <f t="shared" si="31"/>
        <v>0</v>
      </c>
      <c r="R92" s="109">
        <f t="shared" si="27"/>
        <v>0</v>
      </c>
      <c r="S92" s="3">
        <f t="shared" si="28"/>
        <v>0</v>
      </c>
    </row>
    <row r="93" spans="1:19" x14ac:dyDescent="0.2">
      <c r="A93" s="16"/>
      <c r="B93" s="29" t="s">
        <v>430</v>
      </c>
      <c r="C93" s="28">
        <f t="shared" si="30"/>
        <v>0</v>
      </c>
      <c r="D93" s="13">
        <v>0</v>
      </c>
      <c r="E93" s="7"/>
      <c r="F93" s="375">
        <f t="shared" si="32"/>
        <v>0</v>
      </c>
      <c r="G93" s="375">
        <f t="shared" si="31"/>
        <v>0</v>
      </c>
      <c r="H93" s="375">
        <f t="shared" si="31"/>
        <v>0</v>
      </c>
      <c r="I93" s="375">
        <f t="shared" si="31"/>
        <v>0</v>
      </c>
      <c r="J93" s="375">
        <f t="shared" si="31"/>
        <v>0</v>
      </c>
      <c r="K93" s="375">
        <f t="shared" si="31"/>
        <v>0</v>
      </c>
      <c r="L93" s="375">
        <f t="shared" si="31"/>
        <v>0</v>
      </c>
      <c r="M93" s="375">
        <f t="shared" si="31"/>
        <v>0</v>
      </c>
      <c r="N93" s="375">
        <f t="shared" si="31"/>
        <v>0</v>
      </c>
      <c r="O93" s="375">
        <f t="shared" si="31"/>
        <v>0</v>
      </c>
      <c r="P93" s="375">
        <f t="shared" si="31"/>
        <v>0</v>
      </c>
      <c r="Q93" s="375">
        <f t="shared" si="31"/>
        <v>0</v>
      </c>
      <c r="R93" s="109">
        <f t="shared" si="27"/>
        <v>0</v>
      </c>
      <c r="S93" s="3">
        <f t="shared" si="28"/>
        <v>0</v>
      </c>
    </row>
    <row r="94" spans="1:19" x14ac:dyDescent="0.2">
      <c r="A94" s="87">
        <v>31111.063999999998</v>
      </c>
      <c r="B94" s="161" t="s">
        <v>515</v>
      </c>
      <c r="C94" s="290">
        <f>SUM(C87:C93)</f>
        <v>0</v>
      </c>
      <c r="D94" s="291"/>
      <c r="E94" s="291"/>
      <c r="F94" s="372">
        <f>SUM(F87:F93)</f>
        <v>0</v>
      </c>
      <c r="G94" s="372">
        <f t="shared" ref="G94:Q94" si="33">SUM(G87:G93)</f>
        <v>0</v>
      </c>
      <c r="H94" s="372">
        <f t="shared" si="33"/>
        <v>0</v>
      </c>
      <c r="I94" s="372">
        <f t="shared" si="33"/>
        <v>0</v>
      </c>
      <c r="J94" s="372">
        <f t="shared" si="33"/>
        <v>0</v>
      </c>
      <c r="K94" s="372">
        <f t="shared" si="33"/>
        <v>0</v>
      </c>
      <c r="L94" s="372">
        <f t="shared" si="33"/>
        <v>0</v>
      </c>
      <c r="M94" s="372">
        <f t="shared" si="33"/>
        <v>0</v>
      </c>
      <c r="N94" s="372">
        <f t="shared" si="33"/>
        <v>0</v>
      </c>
      <c r="O94" s="372">
        <f t="shared" si="33"/>
        <v>0</v>
      </c>
      <c r="P94" s="372">
        <f t="shared" si="33"/>
        <v>0</v>
      </c>
      <c r="Q94" s="372">
        <f t="shared" si="33"/>
        <v>0</v>
      </c>
      <c r="R94" s="369">
        <f t="shared" si="27"/>
        <v>0</v>
      </c>
      <c r="S94" s="291">
        <f t="shared" si="28"/>
        <v>0</v>
      </c>
    </row>
    <row r="95" spans="1:19" x14ac:dyDescent="0.2">
      <c r="A95" s="16"/>
      <c r="B95" s="29" t="s">
        <v>358</v>
      </c>
      <c r="C95" s="28">
        <f t="shared" ref="C95:C101" si="34">D95*C$3</f>
        <v>0</v>
      </c>
      <c r="D95" s="13">
        <v>0</v>
      </c>
      <c r="E95" s="7"/>
      <c r="F95" s="375">
        <f>$D95*F$3</f>
        <v>0</v>
      </c>
      <c r="G95" s="375">
        <f t="shared" ref="G95:Q101" si="35">$D95*G$3</f>
        <v>0</v>
      </c>
      <c r="H95" s="375">
        <f t="shared" si="35"/>
        <v>0</v>
      </c>
      <c r="I95" s="375">
        <f t="shared" si="35"/>
        <v>0</v>
      </c>
      <c r="J95" s="375">
        <f t="shared" si="35"/>
        <v>0</v>
      </c>
      <c r="K95" s="375">
        <f t="shared" si="35"/>
        <v>0</v>
      </c>
      <c r="L95" s="375">
        <f t="shared" si="35"/>
        <v>0</v>
      </c>
      <c r="M95" s="375">
        <f t="shared" si="35"/>
        <v>0</v>
      </c>
      <c r="N95" s="375">
        <f t="shared" si="35"/>
        <v>0</v>
      </c>
      <c r="O95" s="375">
        <f t="shared" si="35"/>
        <v>0</v>
      </c>
      <c r="P95" s="375">
        <f t="shared" si="35"/>
        <v>0</v>
      </c>
      <c r="Q95" s="375">
        <f t="shared" si="35"/>
        <v>0</v>
      </c>
      <c r="R95" s="109">
        <f t="shared" si="27"/>
        <v>0</v>
      </c>
      <c r="S95" s="3">
        <f t="shared" si="28"/>
        <v>0</v>
      </c>
    </row>
    <row r="96" spans="1:19" x14ac:dyDescent="0.2">
      <c r="A96" s="16"/>
      <c r="B96" s="29" t="s">
        <v>359</v>
      </c>
      <c r="C96" s="28">
        <f t="shared" si="34"/>
        <v>0</v>
      </c>
      <c r="D96" s="13">
        <v>0</v>
      </c>
      <c r="E96" s="7"/>
      <c r="F96" s="375">
        <f t="shared" ref="F96:F101" si="36">$D96*F$3</f>
        <v>0</v>
      </c>
      <c r="G96" s="375">
        <f t="shared" si="35"/>
        <v>0</v>
      </c>
      <c r="H96" s="375">
        <f t="shared" si="35"/>
        <v>0</v>
      </c>
      <c r="I96" s="375">
        <f t="shared" si="35"/>
        <v>0</v>
      </c>
      <c r="J96" s="375">
        <f t="shared" si="35"/>
        <v>0</v>
      </c>
      <c r="K96" s="375">
        <f t="shared" si="35"/>
        <v>0</v>
      </c>
      <c r="L96" s="375">
        <f t="shared" si="35"/>
        <v>0</v>
      </c>
      <c r="M96" s="375">
        <f t="shared" si="35"/>
        <v>0</v>
      </c>
      <c r="N96" s="375">
        <f t="shared" si="35"/>
        <v>0</v>
      </c>
      <c r="O96" s="375">
        <f t="shared" si="35"/>
        <v>0</v>
      </c>
      <c r="P96" s="375">
        <f t="shared" si="35"/>
        <v>0</v>
      </c>
      <c r="Q96" s="375">
        <f t="shared" si="35"/>
        <v>0</v>
      </c>
      <c r="R96" s="109">
        <f t="shared" si="27"/>
        <v>0</v>
      </c>
      <c r="S96" s="3">
        <f t="shared" si="28"/>
        <v>0</v>
      </c>
    </row>
    <row r="97" spans="1:19" x14ac:dyDescent="0.2">
      <c r="A97" s="16"/>
      <c r="B97" s="29" t="s">
        <v>372</v>
      </c>
      <c r="C97" s="28">
        <f t="shared" si="34"/>
        <v>0</v>
      </c>
      <c r="D97" s="13">
        <v>0</v>
      </c>
      <c r="E97" s="7"/>
      <c r="F97" s="375">
        <f t="shared" si="36"/>
        <v>0</v>
      </c>
      <c r="G97" s="375">
        <f t="shared" si="35"/>
        <v>0</v>
      </c>
      <c r="H97" s="375">
        <f t="shared" si="35"/>
        <v>0</v>
      </c>
      <c r="I97" s="375">
        <f t="shared" si="35"/>
        <v>0</v>
      </c>
      <c r="J97" s="375">
        <f t="shared" si="35"/>
        <v>0</v>
      </c>
      <c r="K97" s="375">
        <f t="shared" si="35"/>
        <v>0</v>
      </c>
      <c r="L97" s="375">
        <f t="shared" si="35"/>
        <v>0</v>
      </c>
      <c r="M97" s="375">
        <f t="shared" si="35"/>
        <v>0</v>
      </c>
      <c r="N97" s="375">
        <f t="shared" si="35"/>
        <v>0</v>
      </c>
      <c r="O97" s="375">
        <f t="shared" si="35"/>
        <v>0</v>
      </c>
      <c r="P97" s="375">
        <f t="shared" si="35"/>
        <v>0</v>
      </c>
      <c r="Q97" s="375">
        <f t="shared" si="35"/>
        <v>0</v>
      </c>
      <c r="R97" s="109">
        <f t="shared" si="27"/>
        <v>0</v>
      </c>
      <c r="S97" s="3">
        <f t="shared" si="28"/>
        <v>0</v>
      </c>
    </row>
    <row r="98" spans="1:19" x14ac:dyDescent="0.2">
      <c r="A98" s="16"/>
      <c r="B98" s="29" t="s">
        <v>373</v>
      </c>
      <c r="C98" s="28">
        <f t="shared" si="34"/>
        <v>0</v>
      </c>
      <c r="D98" s="13">
        <v>0</v>
      </c>
      <c r="E98" s="7"/>
      <c r="F98" s="375">
        <f t="shared" si="36"/>
        <v>0</v>
      </c>
      <c r="G98" s="375">
        <f t="shared" si="35"/>
        <v>0</v>
      </c>
      <c r="H98" s="375">
        <f t="shared" si="35"/>
        <v>0</v>
      </c>
      <c r="I98" s="375">
        <f t="shared" si="35"/>
        <v>0</v>
      </c>
      <c r="J98" s="375">
        <f t="shared" si="35"/>
        <v>0</v>
      </c>
      <c r="K98" s="375">
        <f t="shared" si="35"/>
        <v>0</v>
      </c>
      <c r="L98" s="375">
        <f t="shared" si="35"/>
        <v>0</v>
      </c>
      <c r="M98" s="375">
        <f t="shared" si="35"/>
        <v>0</v>
      </c>
      <c r="N98" s="375">
        <f t="shared" si="35"/>
        <v>0</v>
      </c>
      <c r="O98" s="375">
        <f t="shared" si="35"/>
        <v>0</v>
      </c>
      <c r="P98" s="375">
        <f t="shared" si="35"/>
        <v>0</v>
      </c>
      <c r="Q98" s="375">
        <f t="shared" si="35"/>
        <v>0</v>
      </c>
      <c r="R98" s="109">
        <f t="shared" si="27"/>
        <v>0</v>
      </c>
      <c r="S98" s="3">
        <f t="shared" si="28"/>
        <v>0</v>
      </c>
    </row>
    <row r="99" spans="1:19" x14ac:dyDescent="0.2">
      <c r="A99" s="16"/>
      <c r="B99" s="29" t="s">
        <v>361</v>
      </c>
      <c r="C99" s="28">
        <f t="shared" si="34"/>
        <v>0</v>
      </c>
      <c r="D99" s="13">
        <v>0</v>
      </c>
      <c r="E99" s="7"/>
      <c r="F99" s="375">
        <f t="shared" si="36"/>
        <v>0</v>
      </c>
      <c r="G99" s="375">
        <f t="shared" si="35"/>
        <v>0</v>
      </c>
      <c r="H99" s="375">
        <f t="shared" si="35"/>
        <v>0</v>
      </c>
      <c r="I99" s="375">
        <f t="shared" si="35"/>
        <v>0</v>
      </c>
      <c r="J99" s="375">
        <f t="shared" si="35"/>
        <v>0</v>
      </c>
      <c r="K99" s="375">
        <f t="shared" si="35"/>
        <v>0</v>
      </c>
      <c r="L99" s="375">
        <f t="shared" si="35"/>
        <v>0</v>
      </c>
      <c r="M99" s="375">
        <f t="shared" si="35"/>
        <v>0</v>
      </c>
      <c r="N99" s="375">
        <f t="shared" si="35"/>
        <v>0</v>
      </c>
      <c r="O99" s="375">
        <f t="shared" si="35"/>
        <v>0</v>
      </c>
      <c r="P99" s="375">
        <f t="shared" si="35"/>
        <v>0</v>
      </c>
      <c r="Q99" s="375">
        <f t="shared" si="35"/>
        <v>0</v>
      </c>
      <c r="R99" s="109">
        <f t="shared" si="27"/>
        <v>0</v>
      </c>
      <c r="S99" s="3">
        <f t="shared" si="28"/>
        <v>0</v>
      </c>
    </row>
    <row r="100" spans="1:19" x14ac:dyDescent="0.2">
      <c r="A100" s="16"/>
      <c r="B100" s="29" t="s">
        <v>360</v>
      </c>
      <c r="C100" s="28">
        <f t="shared" si="34"/>
        <v>0</v>
      </c>
      <c r="D100" s="13">
        <v>0</v>
      </c>
      <c r="E100" s="7"/>
      <c r="F100" s="375">
        <f t="shared" si="36"/>
        <v>0</v>
      </c>
      <c r="G100" s="375">
        <f t="shared" si="35"/>
        <v>0</v>
      </c>
      <c r="H100" s="375">
        <f t="shared" si="35"/>
        <v>0</v>
      </c>
      <c r="I100" s="375">
        <f t="shared" si="35"/>
        <v>0</v>
      </c>
      <c r="J100" s="375">
        <f t="shared" si="35"/>
        <v>0</v>
      </c>
      <c r="K100" s="375">
        <f t="shared" si="35"/>
        <v>0</v>
      </c>
      <c r="L100" s="375">
        <f t="shared" si="35"/>
        <v>0</v>
      </c>
      <c r="M100" s="375">
        <f t="shared" si="35"/>
        <v>0</v>
      </c>
      <c r="N100" s="375">
        <f t="shared" si="35"/>
        <v>0</v>
      </c>
      <c r="O100" s="375">
        <f t="shared" si="35"/>
        <v>0</v>
      </c>
      <c r="P100" s="375">
        <f t="shared" si="35"/>
        <v>0</v>
      </c>
      <c r="Q100" s="375">
        <f t="shared" si="35"/>
        <v>0</v>
      </c>
      <c r="R100" s="109">
        <f t="shared" si="27"/>
        <v>0</v>
      </c>
      <c r="S100" s="3">
        <f t="shared" si="28"/>
        <v>0</v>
      </c>
    </row>
    <row r="101" spans="1:19" x14ac:dyDescent="0.2">
      <c r="A101" s="16"/>
      <c r="B101" s="29" t="s">
        <v>362</v>
      </c>
      <c r="C101" s="28">
        <f t="shared" si="34"/>
        <v>0</v>
      </c>
      <c r="D101" s="13">
        <v>0</v>
      </c>
      <c r="E101" s="7"/>
      <c r="F101" s="375">
        <f t="shared" si="36"/>
        <v>0</v>
      </c>
      <c r="G101" s="375">
        <f t="shared" si="35"/>
        <v>0</v>
      </c>
      <c r="H101" s="375">
        <f t="shared" si="35"/>
        <v>0</v>
      </c>
      <c r="I101" s="375">
        <f t="shared" si="35"/>
        <v>0</v>
      </c>
      <c r="J101" s="375">
        <f t="shared" si="35"/>
        <v>0</v>
      </c>
      <c r="K101" s="375">
        <f t="shared" si="35"/>
        <v>0</v>
      </c>
      <c r="L101" s="375">
        <f t="shared" si="35"/>
        <v>0</v>
      </c>
      <c r="M101" s="375">
        <f t="shared" si="35"/>
        <v>0</v>
      </c>
      <c r="N101" s="375">
        <f t="shared" si="35"/>
        <v>0</v>
      </c>
      <c r="O101" s="375">
        <f t="shared" si="35"/>
        <v>0</v>
      </c>
      <c r="P101" s="375">
        <f t="shared" si="35"/>
        <v>0</v>
      </c>
      <c r="Q101" s="375">
        <f t="shared" si="35"/>
        <v>0</v>
      </c>
      <c r="R101" s="109">
        <f t="shared" si="27"/>
        <v>0</v>
      </c>
      <c r="S101" s="3">
        <f t="shared" si="28"/>
        <v>0</v>
      </c>
    </row>
    <row r="102" spans="1:19" x14ac:dyDescent="0.2">
      <c r="A102" s="90">
        <v>31200.063999999998</v>
      </c>
      <c r="B102" s="161" t="s">
        <v>516</v>
      </c>
      <c r="C102" s="293">
        <f>SUM(C95:C101)</f>
        <v>0</v>
      </c>
      <c r="D102" s="292"/>
      <c r="E102" s="292"/>
      <c r="F102" s="369">
        <f>SUM(F95:F101)</f>
        <v>0</v>
      </c>
      <c r="G102" s="369">
        <f t="shared" ref="G102:Q102" si="37">SUM(G95:G101)</f>
        <v>0</v>
      </c>
      <c r="H102" s="369">
        <f t="shared" si="37"/>
        <v>0</v>
      </c>
      <c r="I102" s="369">
        <f t="shared" si="37"/>
        <v>0</v>
      </c>
      <c r="J102" s="369">
        <f t="shared" si="37"/>
        <v>0</v>
      </c>
      <c r="K102" s="369">
        <f t="shared" si="37"/>
        <v>0</v>
      </c>
      <c r="L102" s="369">
        <f t="shared" si="37"/>
        <v>0</v>
      </c>
      <c r="M102" s="369">
        <f t="shared" si="37"/>
        <v>0</v>
      </c>
      <c r="N102" s="369">
        <f t="shared" si="37"/>
        <v>0</v>
      </c>
      <c r="O102" s="369">
        <f t="shared" si="37"/>
        <v>0</v>
      </c>
      <c r="P102" s="369">
        <f t="shared" si="37"/>
        <v>0</v>
      </c>
      <c r="Q102" s="369">
        <f t="shared" si="37"/>
        <v>0</v>
      </c>
      <c r="R102" s="369">
        <f t="shared" si="27"/>
        <v>0</v>
      </c>
      <c r="S102" s="291">
        <f t="shared" si="28"/>
        <v>0</v>
      </c>
    </row>
    <row r="103" spans="1:19" x14ac:dyDescent="0.2">
      <c r="A103" s="132"/>
      <c r="B103" s="77" t="s">
        <v>0</v>
      </c>
      <c r="C103" s="293">
        <f>C86+C94+C102</f>
        <v>0</v>
      </c>
      <c r="D103" s="292">
        <f>(C103/C$4)</f>
        <v>0</v>
      </c>
      <c r="E103" s="292"/>
      <c r="F103" s="369">
        <f>F86+F94+F102</f>
        <v>0</v>
      </c>
      <c r="G103" s="369">
        <f t="shared" ref="G103:Q103" si="38">G86+G94+G102</f>
        <v>0</v>
      </c>
      <c r="H103" s="369">
        <f t="shared" si="38"/>
        <v>0</v>
      </c>
      <c r="I103" s="369">
        <f t="shared" si="38"/>
        <v>0</v>
      </c>
      <c r="J103" s="369">
        <f t="shared" si="38"/>
        <v>0</v>
      </c>
      <c r="K103" s="369">
        <f t="shared" si="38"/>
        <v>0</v>
      </c>
      <c r="L103" s="369">
        <f t="shared" si="38"/>
        <v>0</v>
      </c>
      <c r="M103" s="369">
        <f t="shared" si="38"/>
        <v>0</v>
      </c>
      <c r="N103" s="369">
        <f t="shared" si="38"/>
        <v>0</v>
      </c>
      <c r="O103" s="369">
        <f t="shared" si="38"/>
        <v>0</v>
      </c>
      <c r="P103" s="369">
        <f t="shared" si="38"/>
        <v>0</v>
      </c>
      <c r="Q103" s="369">
        <f t="shared" si="38"/>
        <v>0</v>
      </c>
      <c r="R103" s="369">
        <f t="shared" si="27"/>
        <v>0</v>
      </c>
      <c r="S103" s="291">
        <f t="shared" si="28"/>
        <v>0</v>
      </c>
    </row>
    <row r="104" spans="1:19" x14ac:dyDescent="0.2">
      <c r="D104" s="111"/>
      <c r="E104" s="111"/>
      <c r="F104" s="414"/>
      <c r="G104" s="414"/>
      <c r="H104" s="414"/>
      <c r="I104" s="414"/>
      <c r="J104" s="414"/>
      <c r="K104" s="414"/>
      <c r="L104" s="414"/>
      <c r="M104" s="414"/>
      <c r="N104" s="414"/>
      <c r="O104" s="414"/>
      <c r="P104" s="414"/>
      <c r="Q104" s="414"/>
      <c r="R104" s="160"/>
    </row>
    <row r="105" spans="1:19" x14ac:dyDescent="0.2">
      <c r="A105" s="716" t="s">
        <v>25</v>
      </c>
      <c r="B105" s="716"/>
      <c r="C105" s="716"/>
      <c r="D105" s="716"/>
      <c r="E105" s="438"/>
      <c r="F105" s="414"/>
      <c r="G105" s="414"/>
      <c r="H105" s="414"/>
      <c r="I105" s="414"/>
      <c r="J105" s="414"/>
      <c r="K105" s="414"/>
      <c r="L105" s="414"/>
      <c r="M105" s="414"/>
      <c r="N105" s="414"/>
      <c r="O105" s="414"/>
      <c r="P105" s="414"/>
      <c r="Q105" s="414"/>
      <c r="R105" s="414"/>
      <c r="S105" s="4"/>
    </row>
    <row r="106" spans="1:19" x14ac:dyDescent="0.2">
      <c r="A106" s="31"/>
      <c r="B106" s="77" t="s">
        <v>513</v>
      </c>
      <c r="C106" s="78"/>
      <c r="D106" s="182" t="s">
        <v>518</v>
      </c>
      <c r="E106" s="181"/>
      <c r="F106" s="373"/>
      <c r="G106" s="373"/>
      <c r="H106" s="373"/>
      <c r="I106" s="373"/>
      <c r="J106" s="373"/>
      <c r="K106" s="373"/>
      <c r="L106" s="373"/>
      <c r="M106" s="373"/>
      <c r="N106" s="373"/>
      <c r="O106" s="373"/>
      <c r="P106" s="373"/>
      <c r="Q106" s="373"/>
      <c r="R106" s="373"/>
      <c r="S106" s="153"/>
    </row>
    <row r="107" spans="1:19" x14ac:dyDescent="0.2">
      <c r="A107" s="87">
        <v>41365.063999999998</v>
      </c>
      <c r="B107" s="15" t="s">
        <v>10</v>
      </c>
      <c r="C107" s="14">
        <v>0</v>
      </c>
      <c r="D107" s="329">
        <f>$C107/C$4</f>
        <v>0</v>
      </c>
      <c r="E107" s="120"/>
      <c r="F107" s="373">
        <f>$D107*F$4</f>
        <v>0</v>
      </c>
      <c r="G107" s="373">
        <f t="shared" ref="G107:Q107" si="39">$D107*G$4</f>
        <v>0</v>
      </c>
      <c r="H107" s="373">
        <f t="shared" si="39"/>
        <v>0</v>
      </c>
      <c r="I107" s="373">
        <f t="shared" si="39"/>
        <v>0</v>
      </c>
      <c r="J107" s="373">
        <f t="shared" si="39"/>
        <v>0</v>
      </c>
      <c r="K107" s="373">
        <f t="shared" si="39"/>
        <v>0</v>
      </c>
      <c r="L107" s="373">
        <f t="shared" si="39"/>
        <v>0</v>
      </c>
      <c r="M107" s="373">
        <f t="shared" si="39"/>
        <v>0</v>
      </c>
      <c r="N107" s="373">
        <f t="shared" si="39"/>
        <v>0</v>
      </c>
      <c r="O107" s="373">
        <f t="shared" si="39"/>
        <v>0</v>
      </c>
      <c r="P107" s="373">
        <f t="shared" si="39"/>
        <v>0</v>
      </c>
      <c r="Q107" s="373">
        <f t="shared" si="39"/>
        <v>0</v>
      </c>
      <c r="R107" s="109">
        <f>SUM(F107:Q107)</f>
        <v>0</v>
      </c>
      <c r="S107" s="3">
        <f>C107-R107</f>
        <v>0</v>
      </c>
    </row>
    <row r="108" spans="1:19" x14ac:dyDescent="0.2">
      <c r="A108" s="132"/>
      <c r="B108" s="77" t="s">
        <v>0</v>
      </c>
      <c r="C108" s="88">
        <f>SUM(C107:C107)</f>
        <v>0</v>
      </c>
      <c r="D108" s="128">
        <f>SUM(D107:D107)</f>
        <v>0</v>
      </c>
      <c r="E108" s="128"/>
      <c r="F108" s="374">
        <f t="shared" ref="F108:Q108" si="40">SUM(F107:F107)</f>
        <v>0</v>
      </c>
      <c r="G108" s="374">
        <f t="shared" si="40"/>
        <v>0</v>
      </c>
      <c r="H108" s="374">
        <f t="shared" si="40"/>
        <v>0</v>
      </c>
      <c r="I108" s="374">
        <f t="shared" si="40"/>
        <v>0</v>
      </c>
      <c r="J108" s="374">
        <f t="shared" si="40"/>
        <v>0</v>
      </c>
      <c r="K108" s="374">
        <f t="shared" si="40"/>
        <v>0</v>
      </c>
      <c r="L108" s="374">
        <f t="shared" si="40"/>
        <v>0</v>
      </c>
      <c r="M108" s="374">
        <f t="shared" si="40"/>
        <v>0</v>
      </c>
      <c r="N108" s="374">
        <f t="shared" si="40"/>
        <v>0</v>
      </c>
      <c r="O108" s="374">
        <f t="shared" si="40"/>
        <v>0</v>
      </c>
      <c r="P108" s="374">
        <f t="shared" si="40"/>
        <v>0</v>
      </c>
      <c r="Q108" s="374">
        <f t="shared" si="40"/>
        <v>0</v>
      </c>
      <c r="R108" s="109">
        <f>SUM(F108:Q108)</f>
        <v>0</v>
      </c>
      <c r="S108" s="3">
        <f>SUM(S107:S107)</f>
        <v>0</v>
      </c>
    </row>
    <row r="109" spans="1:19" x14ac:dyDescent="0.2">
      <c r="F109" s="375"/>
      <c r="G109" s="375"/>
      <c r="H109" s="376"/>
      <c r="I109" s="376"/>
      <c r="J109" s="376"/>
      <c r="K109" s="376"/>
      <c r="L109" s="376"/>
      <c r="M109" s="376"/>
      <c r="N109" s="376"/>
      <c r="O109" s="376"/>
      <c r="P109" s="376"/>
      <c r="Q109" s="376"/>
      <c r="R109" s="376"/>
      <c r="S109" s="3"/>
    </row>
    <row r="110" spans="1:19" x14ac:dyDescent="0.2">
      <c r="C110" s="7"/>
      <c r="F110" s="7"/>
      <c r="G110" s="7"/>
      <c r="H110" s="7"/>
      <c r="I110" s="7"/>
      <c r="J110" s="7"/>
      <c r="K110" s="7"/>
      <c r="L110" s="7"/>
      <c r="M110" s="7"/>
      <c r="N110" s="7"/>
      <c r="O110" s="7"/>
      <c r="P110" s="7"/>
      <c r="Q110" s="7"/>
      <c r="R110" s="7"/>
      <c r="S110" s="3"/>
    </row>
    <row r="111" spans="1:19" x14ac:dyDescent="0.2">
      <c r="C111" s="7"/>
      <c r="F111" s="7"/>
      <c r="G111" s="7"/>
      <c r="H111" s="7"/>
      <c r="I111" s="7"/>
      <c r="J111" s="7"/>
      <c r="K111" s="7"/>
      <c r="L111" s="7"/>
      <c r="M111" s="7"/>
      <c r="N111" s="7"/>
      <c r="O111" s="7"/>
      <c r="P111" s="7"/>
      <c r="Q111" s="7"/>
      <c r="R111" s="7"/>
    </row>
    <row r="112" spans="1:19" x14ac:dyDescent="0.2">
      <c r="B112" s="4" t="s">
        <v>954</v>
      </c>
      <c r="C112" s="104"/>
      <c r="F112" s="104">
        <v>15000</v>
      </c>
      <c r="G112" s="104"/>
      <c r="H112" s="104"/>
      <c r="I112" s="104"/>
      <c r="J112" s="104"/>
      <c r="K112" s="104"/>
      <c r="L112" s="104"/>
      <c r="M112" s="104"/>
      <c r="N112" s="104"/>
      <c r="O112" s="104"/>
      <c r="P112" s="104"/>
      <c r="Q112" s="104"/>
      <c r="R112" s="104"/>
    </row>
    <row r="113" spans="2:18" x14ac:dyDescent="0.2">
      <c r="C113" s="104"/>
      <c r="F113" s="104"/>
      <c r="G113" s="104"/>
      <c r="H113" s="104"/>
      <c r="I113" s="104"/>
      <c r="J113" s="104"/>
      <c r="K113" s="104"/>
      <c r="L113" s="104"/>
      <c r="M113" s="104"/>
      <c r="N113" s="104"/>
      <c r="O113" s="104"/>
      <c r="P113" s="104"/>
      <c r="Q113" s="104"/>
      <c r="R113" s="104"/>
    </row>
    <row r="114" spans="2:18" x14ac:dyDescent="0.2">
      <c r="C114" s="7">
        <f>760*1639.5</f>
        <v>1246020</v>
      </c>
    </row>
    <row r="116" spans="2:18" x14ac:dyDescent="0.2">
      <c r="B116" s="4" t="s">
        <v>957</v>
      </c>
      <c r="C116" s="7">
        <f>12*19800</f>
        <v>237600</v>
      </c>
      <c r="D116" s="7">
        <f>C116/C74</f>
        <v>312.63157894736844</v>
      </c>
    </row>
    <row r="119" spans="2:18" x14ac:dyDescent="0.2">
      <c r="C119" s="7">
        <f>C114*0.63</f>
        <v>784992.6</v>
      </c>
      <c r="D119" s="7">
        <f>C119/C74</f>
        <v>1032.885</v>
      </c>
      <c r="E119" s="4">
        <f>C119/D119</f>
        <v>760</v>
      </c>
    </row>
    <row r="121" spans="2:18" x14ac:dyDescent="0.2">
      <c r="C121" s="7">
        <f>C114-C119</f>
        <v>461027.4</v>
      </c>
    </row>
    <row r="122" spans="2:18" x14ac:dyDescent="0.2">
      <c r="C122" s="7">
        <f>C116</f>
        <v>237600</v>
      </c>
      <c r="E122" s="4">
        <f>C122/D119</f>
        <v>230.03528950463991</v>
      </c>
    </row>
    <row r="123" spans="2:18" x14ac:dyDescent="0.2">
      <c r="C123" s="7">
        <f>C121-C122</f>
        <v>223427.40000000002</v>
      </c>
    </row>
  </sheetData>
  <mergeCells count="4">
    <mergeCell ref="A9:D9"/>
    <mergeCell ref="A37:D37"/>
    <mergeCell ref="A77:D77"/>
    <mergeCell ref="A105:D105"/>
  </mergeCells>
  <printOptions gridLines="1"/>
  <pageMargins left="0.25" right="0.25" top="0.75" bottom="0.75" header="0.3" footer="0.3"/>
  <pageSetup scale="62" orientation="landscape" r:id="rId1"/>
  <headerFooter alignWithMargins="0">
    <oddHeader xml:space="preserve">&amp;C&amp;"Arial,Bold"&amp;14DOCTORS MEMORIAL HOSPITAL
FY 2017 BUDGET
</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49"/>
  <sheetViews>
    <sheetView zoomScale="80" zoomScaleNormal="80" workbookViewId="0">
      <pane xSplit="2" ySplit="4" topLeftCell="C5" activePane="bottomRight" state="frozen"/>
      <selection pane="topRight" activeCell="C1" sqref="C1"/>
      <selection pane="bottomLeft" activeCell="A5" sqref="A5"/>
      <selection pane="bottomRight" activeCell="J44" sqref="J44"/>
    </sheetView>
  </sheetViews>
  <sheetFormatPr defaultRowHeight="12.75" x14ac:dyDescent="0.2"/>
  <cols>
    <col min="1" max="1" width="10.28515625" style="4" bestFit="1" customWidth="1"/>
    <col min="2" max="2" width="24.42578125" style="4" customWidth="1"/>
    <col min="3" max="3" width="13" style="4" customWidth="1"/>
    <col min="4" max="4" width="9.85546875" style="4" customWidth="1"/>
    <col min="5" max="5" width="3.85546875" style="4" customWidth="1"/>
    <col min="6" max="7" width="12.28515625" style="4" customWidth="1"/>
    <col min="8" max="10" width="12.28515625" style="2" customWidth="1"/>
    <col min="11" max="11" width="11.28515625" style="2" customWidth="1"/>
    <col min="12" max="17" width="12.28515625" style="2" customWidth="1"/>
    <col min="18" max="18" width="12.28515625" style="2" bestFit="1" customWidth="1"/>
    <col min="19" max="20" width="10.42578125" style="2" customWidth="1"/>
    <col min="21" max="220" width="9.140625" style="1"/>
    <col min="221" max="221" width="28" style="1" bestFit="1" customWidth="1"/>
    <col min="222" max="222" width="15.7109375" style="1" customWidth="1"/>
    <col min="223" max="223" width="9.85546875" style="1" customWidth="1"/>
    <col min="224" max="224" width="12.85546875" style="1" customWidth="1"/>
    <col min="225" max="225" width="9.85546875" style="1" customWidth="1"/>
    <col min="226" max="227" width="12.85546875" style="1" customWidth="1"/>
    <col min="228" max="228" width="9.140625" style="1" customWidth="1"/>
    <col min="229" max="233" width="12.28515625" style="1" customWidth="1"/>
    <col min="234" max="234" width="11.28515625" style="1" customWidth="1"/>
    <col min="235" max="240" width="12.28515625" style="1" customWidth="1"/>
    <col min="241" max="241" width="11.140625" style="1" customWidth="1"/>
    <col min="242" max="243" width="10.42578125" style="1" customWidth="1"/>
    <col min="244" max="245" width="9.140625" style="1" customWidth="1"/>
    <col min="246" max="257" width="9.85546875" style="1" customWidth="1"/>
    <col min="258" max="258" width="13" style="1" customWidth="1"/>
    <col min="259" max="260" width="9.28515625" style="1" customWidth="1"/>
    <col min="261" max="261" width="9.140625" style="1" customWidth="1"/>
    <col min="262" max="262" width="9.28515625" style="1" customWidth="1"/>
    <col min="263" max="263" width="10.28515625" style="1" bestFit="1" customWidth="1"/>
    <col min="264" max="274" width="9.140625" style="1"/>
    <col min="275" max="275" width="9.85546875" style="1" bestFit="1" customWidth="1"/>
    <col min="276" max="276" width="10.42578125" style="1" bestFit="1" customWidth="1"/>
    <col min="277" max="476" width="9.140625" style="1"/>
    <col min="477" max="477" width="28" style="1" bestFit="1" customWidth="1"/>
    <col min="478" max="478" width="15.7109375" style="1" customWidth="1"/>
    <col min="479" max="479" width="9.85546875" style="1" customWidth="1"/>
    <col min="480" max="480" width="12.85546875" style="1" customWidth="1"/>
    <col min="481" max="481" width="9.85546875" style="1" customWidth="1"/>
    <col min="482" max="483" width="12.85546875" style="1" customWidth="1"/>
    <col min="484" max="484" width="9.140625" style="1" customWidth="1"/>
    <col min="485" max="489" width="12.28515625" style="1" customWidth="1"/>
    <col min="490" max="490" width="11.28515625" style="1" customWidth="1"/>
    <col min="491" max="496" width="12.28515625" style="1" customWidth="1"/>
    <col min="497" max="497" width="11.140625" style="1" customWidth="1"/>
    <col min="498" max="499" width="10.42578125" style="1" customWidth="1"/>
    <col min="500" max="501" width="9.140625" style="1" customWidth="1"/>
    <col min="502" max="513" width="9.85546875" style="1" customWidth="1"/>
    <col min="514" max="514" width="13" style="1" customWidth="1"/>
    <col min="515" max="516" width="9.28515625" style="1" customWidth="1"/>
    <col min="517" max="517" width="9.140625" style="1" customWidth="1"/>
    <col min="518" max="518" width="9.28515625" style="1" customWidth="1"/>
    <col min="519" max="519" width="10.28515625" style="1" bestFit="1" customWidth="1"/>
    <col min="520" max="530" width="9.140625" style="1"/>
    <col min="531" max="531" width="9.85546875" style="1" bestFit="1" customWidth="1"/>
    <col min="532" max="532" width="10.42578125" style="1" bestFit="1" customWidth="1"/>
    <col min="533" max="732" width="9.140625" style="1"/>
    <col min="733" max="733" width="28" style="1" bestFit="1" customWidth="1"/>
    <col min="734" max="734" width="15.7109375" style="1" customWidth="1"/>
    <col min="735" max="735" width="9.85546875" style="1" customWidth="1"/>
    <col min="736" max="736" width="12.85546875" style="1" customWidth="1"/>
    <col min="737" max="737" width="9.85546875" style="1" customWidth="1"/>
    <col min="738" max="739" width="12.85546875" style="1" customWidth="1"/>
    <col min="740" max="740" width="9.140625" style="1" customWidth="1"/>
    <col min="741" max="745" width="12.28515625" style="1" customWidth="1"/>
    <col min="746" max="746" width="11.28515625" style="1" customWidth="1"/>
    <col min="747" max="752" width="12.28515625" style="1" customWidth="1"/>
    <col min="753" max="753" width="11.140625" style="1" customWidth="1"/>
    <col min="754" max="755" width="10.42578125" style="1" customWidth="1"/>
    <col min="756" max="757" width="9.140625" style="1" customWidth="1"/>
    <col min="758" max="769" width="9.85546875" style="1" customWidth="1"/>
    <col min="770" max="770" width="13" style="1" customWidth="1"/>
    <col min="771" max="772" width="9.28515625" style="1" customWidth="1"/>
    <col min="773" max="773" width="9.140625" style="1" customWidth="1"/>
    <col min="774" max="774" width="9.28515625" style="1" customWidth="1"/>
    <col min="775" max="775" width="10.28515625" style="1" bestFit="1" customWidth="1"/>
    <col min="776" max="786" width="9.140625" style="1"/>
    <col min="787" max="787" width="9.85546875" style="1" bestFit="1" customWidth="1"/>
    <col min="788" max="788" width="10.42578125" style="1" bestFit="1" customWidth="1"/>
    <col min="789" max="988" width="9.140625" style="1"/>
    <col min="989" max="989" width="28" style="1" bestFit="1" customWidth="1"/>
    <col min="990" max="990" width="15.7109375" style="1" customWidth="1"/>
    <col min="991" max="991" width="9.85546875" style="1" customWidth="1"/>
    <col min="992" max="992" width="12.85546875" style="1" customWidth="1"/>
    <col min="993" max="993" width="9.85546875" style="1" customWidth="1"/>
    <col min="994" max="995" width="12.85546875" style="1" customWidth="1"/>
    <col min="996" max="996" width="9.140625" style="1" customWidth="1"/>
    <col min="997" max="1001" width="12.28515625" style="1" customWidth="1"/>
    <col min="1002" max="1002" width="11.28515625" style="1" customWidth="1"/>
    <col min="1003" max="1008" width="12.28515625" style="1" customWidth="1"/>
    <col min="1009" max="1009" width="11.140625" style="1" customWidth="1"/>
    <col min="1010" max="1011" width="10.42578125" style="1" customWidth="1"/>
    <col min="1012" max="1013" width="9.140625" style="1" customWidth="1"/>
    <col min="1014" max="1025" width="9.85546875" style="1" customWidth="1"/>
    <col min="1026" max="1026" width="13" style="1" customWidth="1"/>
    <col min="1027" max="1028" width="9.28515625" style="1" customWidth="1"/>
    <col min="1029" max="1029" width="9.140625" style="1" customWidth="1"/>
    <col min="1030" max="1030" width="9.28515625" style="1" customWidth="1"/>
    <col min="1031" max="1031" width="10.28515625" style="1" bestFit="1" customWidth="1"/>
    <col min="1032" max="1042" width="9.140625" style="1"/>
    <col min="1043" max="1043" width="9.85546875" style="1" bestFit="1" customWidth="1"/>
    <col min="1044" max="1044" width="10.42578125" style="1" bestFit="1" customWidth="1"/>
    <col min="1045" max="1244" width="9.140625" style="1"/>
    <col min="1245" max="1245" width="28" style="1" bestFit="1" customWidth="1"/>
    <col min="1246" max="1246" width="15.7109375" style="1" customWidth="1"/>
    <col min="1247" max="1247" width="9.85546875" style="1" customWidth="1"/>
    <col min="1248" max="1248" width="12.85546875" style="1" customWidth="1"/>
    <col min="1249" max="1249" width="9.85546875" style="1" customWidth="1"/>
    <col min="1250" max="1251" width="12.85546875" style="1" customWidth="1"/>
    <col min="1252" max="1252" width="9.140625" style="1" customWidth="1"/>
    <col min="1253" max="1257" width="12.28515625" style="1" customWidth="1"/>
    <col min="1258" max="1258" width="11.28515625" style="1" customWidth="1"/>
    <col min="1259" max="1264" width="12.28515625" style="1" customWidth="1"/>
    <col min="1265" max="1265" width="11.140625" style="1" customWidth="1"/>
    <col min="1266" max="1267" width="10.42578125" style="1" customWidth="1"/>
    <col min="1268" max="1269" width="9.140625" style="1" customWidth="1"/>
    <col min="1270" max="1281" width="9.85546875" style="1" customWidth="1"/>
    <col min="1282" max="1282" width="13" style="1" customWidth="1"/>
    <col min="1283" max="1284" width="9.28515625" style="1" customWidth="1"/>
    <col min="1285" max="1285" width="9.140625" style="1" customWidth="1"/>
    <col min="1286" max="1286" width="9.28515625" style="1" customWidth="1"/>
    <col min="1287" max="1287" width="10.28515625" style="1" bestFit="1" customWidth="1"/>
    <col min="1288" max="1298" width="9.140625" style="1"/>
    <col min="1299" max="1299" width="9.85546875" style="1" bestFit="1" customWidth="1"/>
    <col min="1300" max="1300" width="10.42578125" style="1" bestFit="1" customWidth="1"/>
    <col min="1301" max="1500" width="9.140625" style="1"/>
    <col min="1501" max="1501" width="28" style="1" bestFit="1" customWidth="1"/>
    <col min="1502" max="1502" width="15.7109375" style="1" customWidth="1"/>
    <col min="1503" max="1503" width="9.85546875" style="1" customWidth="1"/>
    <col min="1504" max="1504" width="12.85546875" style="1" customWidth="1"/>
    <col min="1505" max="1505" width="9.85546875" style="1" customWidth="1"/>
    <col min="1506" max="1507" width="12.85546875" style="1" customWidth="1"/>
    <col min="1508" max="1508" width="9.140625" style="1" customWidth="1"/>
    <col min="1509" max="1513" width="12.28515625" style="1" customWidth="1"/>
    <col min="1514" max="1514" width="11.28515625" style="1" customWidth="1"/>
    <col min="1515" max="1520" width="12.28515625" style="1" customWidth="1"/>
    <col min="1521" max="1521" width="11.140625" style="1" customWidth="1"/>
    <col min="1522" max="1523" width="10.42578125" style="1" customWidth="1"/>
    <col min="1524" max="1525" width="9.140625" style="1" customWidth="1"/>
    <col min="1526" max="1537" width="9.85546875" style="1" customWidth="1"/>
    <col min="1538" max="1538" width="13" style="1" customWidth="1"/>
    <col min="1539" max="1540" width="9.28515625" style="1" customWidth="1"/>
    <col min="1541" max="1541" width="9.140625" style="1" customWidth="1"/>
    <col min="1542" max="1542" width="9.28515625" style="1" customWidth="1"/>
    <col min="1543" max="1543" width="10.28515625" style="1" bestFit="1" customWidth="1"/>
    <col min="1544" max="1554" width="9.140625" style="1"/>
    <col min="1555" max="1555" width="9.85546875" style="1" bestFit="1" customWidth="1"/>
    <col min="1556" max="1556" width="10.42578125" style="1" bestFit="1" customWidth="1"/>
    <col min="1557" max="1756" width="9.140625" style="1"/>
    <col min="1757" max="1757" width="28" style="1" bestFit="1" customWidth="1"/>
    <col min="1758" max="1758" width="15.7109375" style="1" customWidth="1"/>
    <col min="1759" max="1759" width="9.85546875" style="1" customWidth="1"/>
    <col min="1760" max="1760" width="12.85546875" style="1" customWidth="1"/>
    <col min="1761" max="1761" width="9.85546875" style="1" customWidth="1"/>
    <col min="1762" max="1763" width="12.85546875" style="1" customWidth="1"/>
    <col min="1764" max="1764" width="9.140625" style="1" customWidth="1"/>
    <col min="1765" max="1769" width="12.28515625" style="1" customWidth="1"/>
    <col min="1770" max="1770" width="11.28515625" style="1" customWidth="1"/>
    <col min="1771" max="1776" width="12.28515625" style="1" customWidth="1"/>
    <col min="1777" max="1777" width="11.140625" style="1" customWidth="1"/>
    <col min="1778" max="1779" width="10.42578125" style="1" customWidth="1"/>
    <col min="1780" max="1781" width="9.140625" style="1" customWidth="1"/>
    <col min="1782" max="1793" width="9.85546875" style="1" customWidth="1"/>
    <col min="1794" max="1794" width="13" style="1" customWidth="1"/>
    <col min="1795" max="1796" width="9.28515625" style="1" customWidth="1"/>
    <col min="1797" max="1797" width="9.140625" style="1" customWidth="1"/>
    <col min="1798" max="1798" width="9.28515625" style="1" customWidth="1"/>
    <col min="1799" max="1799" width="10.28515625" style="1" bestFit="1" customWidth="1"/>
    <col min="1800" max="1810" width="9.140625" style="1"/>
    <col min="1811" max="1811" width="9.85546875" style="1" bestFit="1" customWidth="1"/>
    <col min="1812" max="1812" width="10.42578125" style="1" bestFit="1" customWidth="1"/>
    <col min="1813" max="2012" width="9.140625" style="1"/>
    <col min="2013" max="2013" width="28" style="1" bestFit="1" customWidth="1"/>
    <col min="2014" max="2014" width="15.7109375" style="1" customWidth="1"/>
    <col min="2015" max="2015" width="9.85546875" style="1" customWidth="1"/>
    <col min="2016" max="2016" width="12.85546875" style="1" customWidth="1"/>
    <col min="2017" max="2017" width="9.85546875" style="1" customWidth="1"/>
    <col min="2018" max="2019" width="12.85546875" style="1" customWidth="1"/>
    <col min="2020" max="2020" width="9.140625" style="1" customWidth="1"/>
    <col min="2021" max="2025" width="12.28515625" style="1" customWidth="1"/>
    <col min="2026" max="2026" width="11.28515625" style="1" customWidth="1"/>
    <col min="2027" max="2032" width="12.28515625" style="1" customWidth="1"/>
    <col min="2033" max="2033" width="11.140625" style="1" customWidth="1"/>
    <col min="2034" max="2035" width="10.42578125" style="1" customWidth="1"/>
    <col min="2036" max="2037" width="9.140625" style="1" customWidth="1"/>
    <col min="2038" max="2049" width="9.85546875" style="1" customWidth="1"/>
    <col min="2050" max="2050" width="13" style="1" customWidth="1"/>
    <col min="2051" max="2052" width="9.28515625" style="1" customWidth="1"/>
    <col min="2053" max="2053" width="9.140625" style="1" customWidth="1"/>
    <col min="2054" max="2054" width="9.28515625" style="1" customWidth="1"/>
    <col min="2055" max="2055" width="10.28515625" style="1" bestFit="1" customWidth="1"/>
    <col min="2056" max="2066" width="9.140625" style="1"/>
    <col min="2067" max="2067" width="9.85546875" style="1" bestFit="1" customWidth="1"/>
    <col min="2068" max="2068" width="10.42578125" style="1" bestFit="1" customWidth="1"/>
    <col min="2069" max="2268" width="9.140625" style="1"/>
    <col min="2269" max="2269" width="28" style="1" bestFit="1" customWidth="1"/>
    <col min="2270" max="2270" width="15.7109375" style="1" customWidth="1"/>
    <col min="2271" max="2271" width="9.85546875" style="1" customWidth="1"/>
    <col min="2272" max="2272" width="12.85546875" style="1" customWidth="1"/>
    <col min="2273" max="2273" width="9.85546875" style="1" customWidth="1"/>
    <col min="2274" max="2275" width="12.85546875" style="1" customWidth="1"/>
    <col min="2276" max="2276" width="9.140625" style="1" customWidth="1"/>
    <col min="2277" max="2281" width="12.28515625" style="1" customWidth="1"/>
    <col min="2282" max="2282" width="11.28515625" style="1" customWidth="1"/>
    <col min="2283" max="2288" width="12.28515625" style="1" customWidth="1"/>
    <col min="2289" max="2289" width="11.140625" style="1" customWidth="1"/>
    <col min="2290" max="2291" width="10.42578125" style="1" customWidth="1"/>
    <col min="2292" max="2293" width="9.140625" style="1" customWidth="1"/>
    <col min="2294" max="2305" width="9.85546875" style="1" customWidth="1"/>
    <col min="2306" max="2306" width="13" style="1" customWidth="1"/>
    <col min="2307" max="2308" width="9.28515625" style="1" customWidth="1"/>
    <col min="2309" max="2309" width="9.140625" style="1" customWidth="1"/>
    <col min="2310" max="2310" width="9.28515625" style="1" customWidth="1"/>
    <col min="2311" max="2311" width="10.28515625" style="1" bestFit="1" customWidth="1"/>
    <col min="2312" max="2322" width="9.140625" style="1"/>
    <col min="2323" max="2323" width="9.85546875" style="1" bestFit="1" customWidth="1"/>
    <col min="2324" max="2324" width="10.42578125" style="1" bestFit="1" customWidth="1"/>
    <col min="2325" max="2524" width="9.140625" style="1"/>
    <col min="2525" max="2525" width="28" style="1" bestFit="1" customWidth="1"/>
    <col min="2526" max="2526" width="15.7109375" style="1" customWidth="1"/>
    <col min="2527" max="2527" width="9.85546875" style="1" customWidth="1"/>
    <col min="2528" max="2528" width="12.85546875" style="1" customWidth="1"/>
    <col min="2529" max="2529" width="9.85546875" style="1" customWidth="1"/>
    <col min="2530" max="2531" width="12.85546875" style="1" customWidth="1"/>
    <col min="2532" max="2532" width="9.140625" style="1" customWidth="1"/>
    <col min="2533" max="2537" width="12.28515625" style="1" customWidth="1"/>
    <col min="2538" max="2538" width="11.28515625" style="1" customWidth="1"/>
    <col min="2539" max="2544" width="12.28515625" style="1" customWidth="1"/>
    <col min="2545" max="2545" width="11.140625" style="1" customWidth="1"/>
    <col min="2546" max="2547" width="10.42578125" style="1" customWidth="1"/>
    <col min="2548" max="2549" width="9.140625" style="1" customWidth="1"/>
    <col min="2550" max="2561" width="9.85546875" style="1" customWidth="1"/>
    <col min="2562" max="2562" width="13" style="1" customWidth="1"/>
    <col min="2563" max="2564" width="9.28515625" style="1" customWidth="1"/>
    <col min="2565" max="2565" width="9.140625" style="1" customWidth="1"/>
    <col min="2566" max="2566" width="9.28515625" style="1" customWidth="1"/>
    <col min="2567" max="2567" width="10.28515625" style="1" bestFit="1" customWidth="1"/>
    <col min="2568" max="2578" width="9.140625" style="1"/>
    <col min="2579" max="2579" width="9.85546875" style="1" bestFit="1" customWidth="1"/>
    <col min="2580" max="2580" width="10.42578125" style="1" bestFit="1" customWidth="1"/>
    <col min="2581" max="2780" width="9.140625" style="1"/>
    <col min="2781" max="2781" width="28" style="1" bestFit="1" customWidth="1"/>
    <col min="2782" max="2782" width="15.7109375" style="1" customWidth="1"/>
    <col min="2783" max="2783" width="9.85546875" style="1" customWidth="1"/>
    <col min="2784" max="2784" width="12.85546875" style="1" customWidth="1"/>
    <col min="2785" max="2785" width="9.85546875" style="1" customWidth="1"/>
    <col min="2786" max="2787" width="12.85546875" style="1" customWidth="1"/>
    <col min="2788" max="2788" width="9.140625" style="1" customWidth="1"/>
    <col min="2789" max="2793" width="12.28515625" style="1" customWidth="1"/>
    <col min="2794" max="2794" width="11.28515625" style="1" customWidth="1"/>
    <col min="2795" max="2800" width="12.28515625" style="1" customWidth="1"/>
    <col min="2801" max="2801" width="11.140625" style="1" customWidth="1"/>
    <col min="2802" max="2803" width="10.42578125" style="1" customWidth="1"/>
    <col min="2804" max="2805" width="9.140625" style="1" customWidth="1"/>
    <col min="2806" max="2817" width="9.85546875" style="1" customWidth="1"/>
    <col min="2818" max="2818" width="13" style="1" customWidth="1"/>
    <col min="2819" max="2820" width="9.28515625" style="1" customWidth="1"/>
    <col min="2821" max="2821" width="9.140625" style="1" customWidth="1"/>
    <col min="2822" max="2822" width="9.28515625" style="1" customWidth="1"/>
    <col min="2823" max="2823" width="10.28515625" style="1" bestFit="1" customWidth="1"/>
    <col min="2824" max="2834" width="9.140625" style="1"/>
    <col min="2835" max="2835" width="9.85546875" style="1" bestFit="1" customWidth="1"/>
    <col min="2836" max="2836" width="10.42578125" style="1" bestFit="1" customWidth="1"/>
    <col min="2837" max="3036" width="9.140625" style="1"/>
    <col min="3037" max="3037" width="28" style="1" bestFit="1" customWidth="1"/>
    <col min="3038" max="3038" width="15.7109375" style="1" customWidth="1"/>
    <col min="3039" max="3039" width="9.85546875" style="1" customWidth="1"/>
    <col min="3040" max="3040" width="12.85546875" style="1" customWidth="1"/>
    <col min="3041" max="3041" width="9.85546875" style="1" customWidth="1"/>
    <col min="3042" max="3043" width="12.85546875" style="1" customWidth="1"/>
    <col min="3044" max="3044" width="9.140625" style="1" customWidth="1"/>
    <col min="3045" max="3049" width="12.28515625" style="1" customWidth="1"/>
    <col min="3050" max="3050" width="11.28515625" style="1" customWidth="1"/>
    <col min="3051" max="3056" width="12.28515625" style="1" customWidth="1"/>
    <col min="3057" max="3057" width="11.140625" style="1" customWidth="1"/>
    <col min="3058" max="3059" width="10.42578125" style="1" customWidth="1"/>
    <col min="3060" max="3061" width="9.140625" style="1" customWidth="1"/>
    <col min="3062" max="3073" width="9.85546875" style="1" customWidth="1"/>
    <col min="3074" max="3074" width="13" style="1" customWidth="1"/>
    <col min="3075" max="3076" width="9.28515625" style="1" customWidth="1"/>
    <col min="3077" max="3077" width="9.140625" style="1" customWidth="1"/>
    <col min="3078" max="3078" width="9.28515625" style="1" customWidth="1"/>
    <col min="3079" max="3079" width="10.28515625" style="1" bestFit="1" customWidth="1"/>
    <col min="3080" max="3090" width="9.140625" style="1"/>
    <col min="3091" max="3091" width="9.85546875" style="1" bestFit="1" customWidth="1"/>
    <col min="3092" max="3092" width="10.42578125" style="1" bestFit="1" customWidth="1"/>
    <col min="3093" max="3292" width="9.140625" style="1"/>
    <col min="3293" max="3293" width="28" style="1" bestFit="1" customWidth="1"/>
    <col min="3294" max="3294" width="15.7109375" style="1" customWidth="1"/>
    <col min="3295" max="3295" width="9.85546875" style="1" customWidth="1"/>
    <col min="3296" max="3296" width="12.85546875" style="1" customWidth="1"/>
    <col min="3297" max="3297" width="9.85546875" style="1" customWidth="1"/>
    <col min="3298" max="3299" width="12.85546875" style="1" customWidth="1"/>
    <col min="3300" max="3300" width="9.140625" style="1" customWidth="1"/>
    <col min="3301" max="3305" width="12.28515625" style="1" customWidth="1"/>
    <col min="3306" max="3306" width="11.28515625" style="1" customWidth="1"/>
    <col min="3307" max="3312" width="12.28515625" style="1" customWidth="1"/>
    <col min="3313" max="3313" width="11.140625" style="1" customWidth="1"/>
    <col min="3314" max="3315" width="10.42578125" style="1" customWidth="1"/>
    <col min="3316" max="3317" width="9.140625" style="1" customWidth="1"/>
    <col min="3318" max="3329" width="9.85546875" style="1" customWidth="1"/>
    <col min="3330" max="3330" width="13" style="1" customWidth="1"/>
    <col min="3331" max="3332" width="9.28515625" style="1" customWidth="1"/>
    <col min="3333" max="3333" width="9.140625" style="1" customWidth="1"/>
    <col min="3334" max="3334" width="9.28515625" style="1" customWidth="1"/>
    <col min="3335" max="3335" width="10.28515625" style="1" bestFit="1" customWidth="1"/>
    <col min="3336" max="3346" width="9.140625" style="1"/>
    <col min="3347" max="3347" width="9.85546875" style="1" bestFit="1" customWidth="1"/>
    <col min="3348" max="3348" width="10.42578125" style="1" bestFit="1" customWidth="1"/>
    <col min="3349" max="3548" width="9.140625" style="1"/>
    <col min="3549" max="3549" width="28" style="1" bestFit="1" customWidth="1"/>
    <col min="3550" max="3550" width="15.7109375" style="1" customWidth="1"/>
    <col min="3551" max="3551" width="9.85546875" style="1" customWidth="1"/>
    <col min="3552" max="3552" width="12.85546875" style="1" customWidth="1"/>
    <col min="3553" max="3553" width="9.85546875" style="1" customWidth="1"/>
    <col min="3554" max="3555" width="12.85546875" style="1" customWidth="1"/>
    <col min="3556" max="3556" width="9.140625" style="1" customWidth="1"/>
    <col min="3557" max="3561" width="12.28515625" style="1" customWidth="1"/>
    <col min="3562" max="3562" width="11.28515625" style="1" customWidth="1"/>
    <col min="3563" max="3568" width="12.28515625" style="1" customWidth="1"/>
    <col min="3569" max="3569" width="11.140625" style="1" customWidth="1"/>
    <col min="3570" max="3571" width="10.42578125" style="1" customWidth="1"/>
    <col min="3572" max="3573" width="9.140625" style="1" customWidth="1"/>
    <col min="3574" max="3585" width="9.85546875" style="1" customWidth="1"/>
    <col min="3586" max="3586" width="13" style="1" customWidth="1"/>
    <col min="3587" max="3588" width="9.28515625" style="1" customWidth="1"/>
    <col min="3589" max="3589" width="9.140625" style="1" customWidth="1"/>
    <col min="3590" max="3590" width="9.28515625" style="1" customWidth="1"/>
    <col min="3591" max="3591" width="10.28515625" style="1" bestFit="1" customWidth="1"/>
    <col min="3592" max="3602" width="9.140625" style="1"/>
    <col min="3603" max="3603" width="9.85546875" style="1" bestFit="1" customWidth="1"/>
    <col min="3604" max="3604" width="10.42578125" style="1" bestFit="1" customWidth="1"/>
    <col min="3605" max="3804" width="9.140625" style="1"/>
    <col min="3805" max="3805" width="28" style="1" bestFit="1" customWidth="1"/>
    <col min="3806" max="3806" width="15.7109375" style="1" customWidth="1"/>
    <col min="3807" max="3807" width="9.85546875" style="1" customWidth="1"/>
    <col min="3808" max="3808" width="12.85546875" style="1" customWidth="1"/>
    <col min="3809" max="3809" width="9.85546875" style="1" customWidth="1"/>
    <col min="3810" max="3811" width="12.85546875" style="1" customWidth="1"/>
    <col min="3812" max="3812" width="9.140625" style="1" customWidth="1"/>
    <col min="3813" max="3817" width="12.28515625" style="1" customWidth="1"/>
    <col min="3818" max="3818" width="11.28515625" style="1" customWidth="1"/>
    <col min="3819" max="3824" width="12.28515625" style="1" customWidth="1"/>
    <col min="3825" max="3825" width="11.140625" style="1" customWidth="1"/>
    <col min="3826" max="3827" width="10.42578125" style="1" customWidth="1"/>
    <col min="3828" max="3829" width="9.140625" style="1" customWidth="1"/>
    <col min="3830" max="3841" width="9.85546875" style="1" customWidth="1"/>
    <col min="3842" max="3842" width="13" style="1" customWidth="1"/>
    <col min="3843" max="3844" width="9.28515625" style="1" customWidth="1"/>
    <col min="3845" max="3845" width="9.140625" style="1" customWidth="1"/>
    <col min="3846" max="3846" width="9.28515625" style="1" customWidth="1"/>
    <col min="3847" max="3847" width="10.28515625" style="1" bestFit="1" customWidth="1"/>
    <col min="3848" max="3858" width="9.140625" style="1"/>
    <col min="3859" max="3859" width="9.85546875" style="1" bestFit="1" customWidth="1"/>
    <col min="3860" max="3860" width="10.42578125" style="1" bestFit="1" customWidth="1"/>
    <col min="3861" max="4060" width="9.140625" style="1"/>
    <col min="4061" max="4061" width="28" style="1" bestFit="1" customWidth="1"/>
    <col min="4062" max="4062" width="15.7109375" style="1" customWidth="1"/>
    <col min="4063" max="4063" width="9.85546875" style="1" customWidth="1"/>
    <col min="4064" max="4064" width="12.85546875" style="1" customWidth="1"/>
    <col min="4065" max="4065" width="9.85546875" style="1" customWidth="1"/>
    <col min="4066" max="4067" width="12.85546875" style="1" customWidth="1"/>
    <col min="4068" max="4068" width="9.140625" style="1" customWidth="1"/>
    <col min="4069" max="4073" width="12.28515625" style="1" customWidth="1"/>
    <col min="4074" max="4074" width="11.28515625" style="1" customWidth="1"/>
    <col min="4075" max="4080" width="12.28515625" style="1" customWidth="1"/>
    <col min="4081" max="4081" width="11.140625" style="1" customWidth="1"/>
    <col min="4082" max="4083" width="10.42578125" style="1" customWidth="1"/>
    <col min="4084" max="4085" width="9.140625" style="1" customWidth="1"/>
    <col min="4086" max="4097" width="9.85546875" style="1" customWidth="1"/>
    <col min="4098" max="4098" width="13" style="1" customWidth="1"/>
    <col min="4099" max="4100" width="9.28515625" style="1" customWidth="1"/>
    <col min="4101" max="4101" width="9.140625" style="1" customWidth="1"/>
    <col min="4102" max="4102" width="9.28515625" style="1" customWidth="1"/>
    <col min="4103" max="4103" width="10.28515625" style="1" bestFit="1" customWidth="1"/>
    <col min="4104" max="4114" width="9.140625" style="1"/>
    <col min="4115" max="4115" width="9.85546875" style="1" bestFit="1" customWidth="1"/>
    <col min="4116" max="4116" width="10.42578125" style="1" bestFit="1" customWidth="1"/>
    <col min="4117" max="4316" width="9.140625" style="1"/>
    <col min="4317" max="4317" width="28" style="1" bestFit="1" customWidth="1"/>
    <col min="4318" max="4318" width="15.7109375" style="1" customWidth="1"/>
    <col min="4319" max="4319" width="9.85546875" style="1" customWidth="1"/>
    <col min="4320" max="4320" width="12.85546875" style="1" customWidth="1"/>
    <col min="4321" max="4321" width="9.85546875" style="1" customWidth="1"/>
    <col min="4322" max="4323" width="12.85546875" style="1" customWidth="1"/>
    <col min="4324" max="4324" width="9.140625" style="1" customWidth="1"/>
    <col min="4325" max="4329" width="12.28515625" style="1" customWidth="1"/>
    <col min="4330" max="4330" width="11.28515625" style="1" customWidth="1"/>
    <col min="4331" max="4336" width="12.28515625" style="1" customWidth="1"/>
    <col min="4337" max="4337" width="11.140625" style="1" customWidth="1"/>
    <col min="4338" max="4339" width="10.42578125" style="1" customWidth="1"/>
    <col min="4340" max="4341" width="9.140625" style="1" customWidth="1"/>
    <col min="4342" max="4353" width="9.85546875" style="1" customWidth="1"/>
    <col min="4354" max="4354" width="13" style="1" customWidth="1"/>
    <col min="4355" max="4356" width="9.28515625" style="1" customWidth="1"/>
    <col min="4357" max="4357" width="9.140625" style="1" customWidth="1"/>
    <col min="4358" max="4358" width="9.28515625" style="1" customWidth="1"/>
    <col min="4359" max="4359" width="10.28515625" style="1" bestFit="1" customWidth="1"/>
    <col min="4360" max="4370" width="9.140625" style="1"/>
    <col min="4371" max="4371" width="9.85546875" style="1" bestFit="1" customWidth="1"/>
    <col min="4372" max="4372" width="10.42578125" style="1" bestFit="1" customWidth="1"/>
    <col min="4373" max="4572" width="9.140625" style="1"/>
    <col min="4573" max="4573" width="28" style="1" bestFit="1" customWidth="1"/>
    <col min="4574" max="4574" width="15.7109375" style="1" customWidth="1"/>
    <col min="4575" max="4575" width="9.85546875" style="1" customWidth="1"/>
    <col min="4576" max="4576" width="12.85546875" style="1" customWidth="1"/>
    <col min="4577" max="4577" width="9.85546875" style="1" customWidth="1"/>
    <col min="4578" max="4579" width="12.85546875" style="1" customWidth="1"/>
    <col min="4580" max="4580" width="9.140625" style="1" customWidth="1"/>
    <col min="4581" max="4585" width="12.28515625" style="1" customWidth="1"/>
    <col min="4586" max="4586" width="11.28515625" style="1" customWidth="1"/>
    <col min="4587" max="4592" width="12.28515625" style="1" customWidth="1"/>
    <col min="4593" max="4593" width="11.140625" style="1" customWidth="1"/>
    <col min="4594" max="4595" width="10.42578125" style="1" customWidth="1"/>
    <col min="4596" max="4597" width="9.140625" style="1" customWidth="1"/>
    <col min="4598" max="4609" width="9.85546875" style="1" customWidth="1"/>
    <col min="4610" max="4610" width="13" style="1" customWidth="1"/>
    <col min="4611" max="4612" width="9.28515625" style="1" customWidth="1"/>
    <col min="4613" max="4613" width="9.140625" style="1" customWidth="1"/>
    <col min="4614" max="4614" width="9.28515625" style="1" customWidth="1"/>
    <col min="4615" max="4615" width="10.28515625" style="1" bestFit="1" customWidth="1"/>
    <col min="4616" max="4626" width="9.140625" style="1"/>
    <col min="4627" max="4627" width="9.85546875" style="1" bestFit="1" customWidth="1"/>
    <col min="4628" max="4628" width="10.42578125" style="1" bestFit="1" customWidth="1"/>
    <col min="4629" max="4828" width="9.140625" style="1"/>
    <col min="4829" max="4829" width="28" style="1" bestFit="1" customWidth="1"/>
    <col min="4830" max="4830" width="15.7109375" style="1" customWidth="1"/>
    <col min="4831" max="4831" width="9.85546875" style="1" customWidth="1"/>
    <col min="4832" max="4832" width="12.85546875" style="1" customWidth="1"/>
    <col min="4833" max="4833" width="9.85546875" style="1" customWidth="1"/>
    <col min="4834" max="4835" width="12.85546875" style="1" customWidth="1"/>
    <col min="4836" max="4836" width="9.140625" style="1" customWidth="1"/>
    <col min="4837" max="4841" width="12.28515625" style="1" customWidth="1"/>
    <col min="4842" max="4842" width="11.28515625" style="1" customWidth="1"/>
    <col min="4843" max="4848" width="12.28515625" style="1" customWidth="1"/>
    <col min="4849" max="4849" width="11.140625" style="1" customWidth="1"/>
    <col min="4850" max="4851" width="10.42578125" style="1" customWidth="1"/>
    <col min="4852" max="4853" width="9.140625" style="1" customWidth="1"/>
    <col min="4854" max="4865" width="9.85546875" style="1" customWidth="1"/>
    <col min="4866" max="4866" width="13" style="1" customWidth="1"/>
    <col min="4867" max="4868" width="9.28515625" style="1" customWidth="1"/>
    <col min="4869" max="4869" width="9.140625" style="1" customWidth="1"/>
    <col min="4870" max="4870" width="9.28515625" style="1" customWidth="1"/>
    <col min="4871" max="4871" width="10.28515625" style="1" bestFit="1" customWidth="1"/>
    <col min="4872" max="4882" width="9.140625" style="1"/>
    <col min="4883" max="4883" width="9.85546875" style="1" bestFit="1" customWidth="1"/>
    <col min="4884" max="4884" width="10.42578125" style="1" bestFit="1" customWidth="1"/>
    <col min="4885" max="5084" width="9.140625" style="1"/>
    <col min="5085" max="5085" width="28" style="1" bestFit="1" customWidth="1"/>
    <col min="5086" max="5086" width="15.7109375" style="1" customWidth="1"/>
    <col min="5087" max="5087" width="9.85546875" style="1" customWidth="1"/>
    <col min="5088" max="5088" width="12.85546875" style="1" customWidth="1"/>
    <col min="5089" max="5089" width="9.85546875" style="1" customWidth="1"/>
    <col min="5090" max="5091" width="12.85546875" style="1" customWidth="1"/>
    <col min="5092" max="5092" width="9.140625" style="1" customWidth="1"/>
    <col min="5093" max="5097" width="12.28515625" style="1" customWidth="1"/>
    <col min="5098" max="5098" width="11.28515625" style="1" customWidth="1"/>
    <col min="5099" max="5104" width="12.28515625" style="1" customWidth="1"/>
    <col min="5105" max="5105" width="11.140625" style="1" customWidth="1"/>
    <col min="5106" max="5107" width="10.42578125" style="1" customWidth="1"/>
    <col min="5108" max="5109" width="9.140625" style="1" customWidth="1"/>
    <col min="5110" max="5121" width="9.85546875" style="1" customWidth="1"/>
    <col min="5122" max="5122" width="13" style="1" customWidth="1"/>
    <col min="5123" max="5124" width="9.28515625" style="1" customWidth="1"/>
    <col min="5125" max="5125" width="9.140625" style="1" customWidth="1"/>
    <col min="5126" max="5126" width="9.28515625" style="1" customWidth="1"/>
    <col min="5127" max="5127" width="10.28515625" style="1" bestFit="1" customWidth="1"/>
    <col min="5128" max="5138" width="9.140625" style="1"/>
    <col min="5139" max="5139" width="9.85546875" style="1" bestFit="1" customWidth="1"/>
    <col min="5140" max="5140" width="10.42578125" style="1" bestFit="1" customWidth="1"/>
    <col min="5141" max="5340" width="9.140625" style="1"/>
    <col min="5341" max="5341" width="28" style="1" bestFit="1" customWidth="1"/>
    <col min="5342" max="5342" width="15.7109375" style="1" customWidth="1"/>
    <col min="5343" max="5343" width="9.85546875" style="1" customWidth="1"/>
    <col min="5344" max="5344" width="12.85546875" style="1" customWidth="1"/>
    <col min="5345" max="5345" width="9.85546875" style="1" customWidth="1"/>
    <col min="5346" max="5347" width="12.85546875" style="1" customWidth="1"/>
    <col min="5348" max="5348" width="9.140625" style="1" customWidth="1"/>
    <col min="5349" max="5353" width="12.28515625" style="1" customWidth="1"/>
    <col min="5354" max="5354" width="11.28515625" style="1" customWidth="1"/>
    <col min="5355" max="5360" width="12.28515625" style="1" customWidth="1"/>
    <col min="5361" max="5361" width="11.140625" style="1" customWidth="1"/>
    <col min="5362" max="5363" width="10.42578125" style="1" customWidth="1"/>
    <col min="5364" max="5365" width="9.140625" style="1" customWidth="1"/>
    <col min="5366" max="5377" width="9.85546875" style="1" customWidth="1"/>
    <col min="5378" max="5378" width="13" style="1" customWidth="1"/>
    <col min="5379" max="5380" width="9.28515625" style="1" customWidth="1"/>
    <col min="5381" max="5381" width="9.140625" style="1" customWidth="1"/>
    <col min="5382" max="5382" width="9.28515625" style="1" customWidth="1"/>
    <col min="5383" max="5383" width="10.28515625" style="1" bestFit="1" customWidth="1"/>
    <col min="5384" max="5394" width="9.140625" style="1"/>
    <col min="5395" max="5395" width="9.85546875" style="1" bestFit="1" customWidth="1"/>
    <col min="5396" max="5396" width="10.42578125" style="1" bestFit="1" customWidth="1"/>
    <col min="5397" max="5596" width="9.140625" style="1"/>
    <col min="5597" max="5597" width="28" style="1" bestFit="1" customWidth="1"/>
    <col min="5598" max="5598" width="15.7109375" style="1" customWidth="1"/>
    <col min="5599" max="5599" width="9.85546875" style="1" customWidth="1"/>
    <col min="5600" max="5600" width="12.85546875" style="1" customWidth="1"/>
    <col min="5601" max="5601" width="9.85546875" style="1" customWidth="1"/>
    <col min="5602" max="5603" width="12.85546875" style="1" customWidth="1"/>
    <col min="5604" max="5604" width="9.140625" style="1" customWidth="1"/>
    <col min="5605" max="5609" width="12.28515625" style="1" customWidth="1"/>
    <col min="5610" max="5610" width="11.28515625" style="1" customWidth="1"/>
    <col min="5611" max="5616" width="12.28515625" style="1" customWidth="1"/>
    <col min="5617" max="5617" width="11.140625" style="1" customWidth="1"/>
    <col min="5618" max="5619" width="10.42578125" style="1" customWidth="1"/>
    <col min="5620" max="5621" width="9.140625" style="1" customWidth="1"/>
    <col min="5622" max="5633" width="9.85546875" style="1" customWidth="1"/>
    <col min="5634" max="5634" width="13" style="1" customWidth="1"/>
    <col min="5635" max="5636" width="9.28515625" style="1" customWidth="1"/>
    <col min="5637" max="5637" width="9.140625" style="1" customWidth="1"/>
    <col min="5638" max="5638" width="9.28515625" style="1" customWidth="1"/>
    <col min="5639" max="5639" width="10.28515625" style="1" bestFit="1" customWidth="1"/>
    <col min="5640" max="5650" width="9.140625" style="1"/>
    <col min="5651" max="5651" width="9.85546875" style="1" bestFit="1" customWidth="1"/>
    <col min="5652" max="5652" width="10.42578125" style="1" bestFit="1" customWidth="1"/>
    <col min="5653" max="5852" width="9.140625" style="1"/>
    <col min="5853" max="5853" width="28" style="1" bestFit="1" customWidth="1"/>
    <col min="5854" max="5854" width="15.7109375" style="1" customWidth="1"/>
    <col min="5855" max="5855" width="9.85546875" style="1" customWidth="1"/>
    <col min="5856" max="5856" width="12.85546875" style="1" customWidth="1"/>
    <col min="5857" max="5857" width="9.85546875" style="1" customWidth="1"/>
    <col min="5858" max="5859" width="12.85546875" style="1" customWidth="1"/>
    <col min="5860" max="5860" width="9.140625" style="1" customWidth="1"/>
    <col min="5861" max="5865" width="12.28515625" style="1" customWidth="1"/>
    <col min="5866" max="5866" width="11.28515625" style="1" customWidth="1"/>
    <col min="5867" max="5872" width="12.28515625" style="1" customWidth="1"/>
    <col min="5873" max="5873" width="11.140625" style="1" customWidth="1"/>
    <col min="5874" max="5875" width="10.42578125" style="1" customWidth="1"/>
    <col min="5876" max="5877" width="9.140625" style="1" customWidth="1"/>
    <col min="5878" max="5889" width="9.85546875" style="1" customWidth="1"/>
    <col min="5890" max="5890" width="13" style="1" customWidth="1"/>
    <col min="5891" max="5892" width="9.28515625" style="1" customWidth="1"/>
    <col min="5893" max="5893" width="9.140625" style="1" customWidth="1"/>
    <col min="5894" max="5894" width="9.28515625" style="1" customWidth="1"/>
    <col min="5895" max="5895" width="10.28515625" style="1" bestFit="1" customWidth="1"/>
    <col min="5896" max="5906" width="9.140625" style="1"/>
    <col min="5907" max="5907" width="9.85546875" style="1" bestFit="1" customWidth="1"/>
    <col min="5908" max="5908" width="10.42578125" style="1" bestFit="1" customWidth="1"/>
    <col min="5909" max="6108" width="9.140625" style="1"/>
    <col min="6109" max="6109" width="28" style="1" bestFit="1" customWidth="1"/>
    <col min="6110" max="6110" width="15.7109375" style="1" customWidth="1"/>
    <col min="6111" max="6111" width="9.85546875" style="1" customWidth="1"/>
    <col min="6112" max="6112" width="12.85546875" style="1" customWidth="1"/>
    <col min="6113" max="6113" width="9.85546875" style="1" customWidth="1"/>
    <col min="6114" max="6115" width="12.85546875" style="1" customWidth="1"/>
    <col min="6116" max="6116" width="9.140625" style="1" customWidth="1"/>
    <col min="6117" max="6121" width="12.28515625" style="1" customWidth="1"/>
    <col min="6122" max="6122" width="11.28515625" style="1" customWidth="1"/>
    <col min="6123" max="6128" width="12.28515625" style="1" customWidth="1"/>
    <col min="6129" max="6129" width="11.140625" style="1" customWidth="1"/>
    <col min="6130" max="6131" width="10.42578125" style="1" customWidth="1"/>
    <col min="6132" max="6133" width="9.140625" style="1" customWidth="1"/>
    <col min="6134" max="6145" width="9.85546875" style="1" customWidth="1"/>
    <col min="6146" max="6146" width="13" style="1" customWidth="1"/>
    <col min="6147" max="6148" width="9.28515625" style="1" customWidth="1"/>
    <col min="6149" max="6149" width="9.140625" style="1" customWidth="1"/>
    <col min="6150" max="6150" width="9.28515625" style="1" customWidth="1"/>
    <col min="6151" max="6151" width="10.28515625" style="1" bestFit="1" customWidth="1"/>
    <col min="6152" max="6162" width="9.140625" style="1"/>
    <col min="6163" max="6163" width="9.85546875" style="1" bestFit="1" customWidth="1"/>
    <col min="6164" max="6164" width="10.42578125" style="1" bestFit="1" customWidth="1"/>
    <col min="6165" max="6364" width="9.140625" style="1"/>
    <col min="6365" max="6365" width="28" style="1" bestFit="1" customWidth="1"/>
    <col min="6366" max="6366" width="15.7109375" style="1" customWidth="1"/>
    <col min="6367" max="6367" width="9.85546875" style="1" customWidth="1"/>
    <col min="6368" max="6368" width="12.85546875" style="1" customWidth="1"/>
    <col min="6369" max="6369" width="9.85546875" style="1" customWidth="1"/>
    <col min="6370" max="6371" width="12.85546875" style="1" customWidth="1"/>
    <col min="6372" max="6372" width="9.140625" style="1" customWidth="1"/>
    <col min="6373" max="6377" width="12.28515625" style="1" customWidth="1"/>
    <col min="6378" max="6378" width="11.28515625" style="1" customWidth="1"/>
    <col min="6379" max="6384" width="12.28515625" style="1" customWidth="1"/>
    <col min="6385" max="6385" width="11.140625" style="1" customWidth="1"/>
    <col min="6386" max="6387" width="10.42578125" style="1" customWidth="1"/>
    <col min="6388" max="6389" width="9.140625" style="1" customWidth="1"/>
    <col min="6390" max="6401" width="9.85546875" style="1" customWidth="1"/>
    <col min="6402" max="6402" width="13" style="1" customWidth="1"/>
    <col min="6403" max="6404" width="9.28515625" style="1" customWidth="1"/>
    <col min="6405" max="6405" width="9.140625" style="1" customWidth="1"/>
    <col min="6406" max="6406" width="9.28515625" style="1" customWidth="1"/>
    <col min="6407" max="6407" width="10.28515625" style="1" bestFit="1" customWidth="1"/>
    <col min="6408" max="6418" width="9.140625" style="1"/>
    <col min="6419" max="6419" width="9.85546875" style="1" bestFit="1" customWidth="1"/>
    <col min="6420" max="6420" width="10.42578125" style="1" bestFit="1" customWidth="1"/>
    <col min="6421" max="6620" width="9.140625" style="1"/>
    <col min="6621" max="6621" width="28" style="1" bestFit="1" customWidth="1"/>
    <col min="6622" max="6622" width="15.7109375" style="1" customWidth="1"/>
    <col min="6623" max="6623" width="9.85546875" style="1" customWidth="1"/>
    <col min="6624" max="6624" width="12.85546875" style="1" customWidth="1"/>
    <col min="6625" max="6625" width="9.85546875" style="1" customWidth="1"/>
    <col min="6626" max="6627" width="12.85546875" style="1" customWidth="1"/>
    <col min="6628" max="6628" width="9.140625" style="1" customWidth="1"/>
    <col min="6629" max="6633" width="12.28515625" style="1" customWidth="1"/>
    <col min="6634" max="6634" width="11.28515625" style="1" customWidth="1"/>
    <col min="6635" max="6640" width="12.28515625" style="1" customWidth="1"/>
    <col min="6641" max="6641" width="11.140625" style="1" customWidth="1"/>
    <col min="6642" max="6643" width="10.42578125" style="1" customWidth="1"/>
    <col min="6644" max="6645" width="9.140625" style="1" customWidth="1"/>
    <col min="6646" max="6657" width="9.85546875" style="1" customWidth="1"/>
    <col min="6658" max="6658" width="13" style="1" customWidth="1"/>
    <col min="6659" max="6660" width="9.28515625" style="1" customWidth="1"/>
    <col min="6661" max="6661" width="9.140625" style="1" customWidth="1"/>
    <col min="6662" max="6662" width="9.28515625" style="1" customWidth="1"/>
    <col min="6663" max="6663" width="10.28515625" style="1" bestFit="1" customWidth="1"/>
    <col min="6664" max="6674" width="9.140625" style="1"/>
    <col min="6675" max="6675" width="9.85546875" style="1" bestFit="1" customWidth="1"/>
    <col min="6676" max="6676" width="10.42578125" style="1" bestFit="1" customWidth="1"/>
    <col min="6677" max="6876" width="9.140625" style="1"/>
    <col min="6877" max="6877" width="28" style="1" bestFit="1" customWidth="1"/>
    <col min="6878" max="6878" width="15.7109375" style="1" customWidth="1"/>
    <col min="6879" max="6879" width="9.85546875" style="1" customWidth="1"/>
    <col min="6880" max="6880" width="12.85546875" style="1" customWidth="1"/>
    <col min="6881" max="6881" width="9.85546875" style="1" customWidth="1"/>
    <col min="6882" max="6883" width="12.85546875" style="1" customWidth="1"/>
    <col min="6884" max="6884" width="9.140625" style="1" customWidth="1"/>
    <col min="6885" max="6889" width="12.28515625" style="1" customWidth="1"/>
    <col min="6890" max="6890" width="11.28515625" style="1" customWidth="1"/>
    <col min="6891" max="6896" width="12.28515625" style="1" customWidth="1"/>
    <col min="6897" max="6897" width="11.140625" style="1" customWidth="1"/>
    <col min="6898" max="6899" width="10.42578125" style="1" customWidth="1"/>
    <col min="6900" max="6901" width="9.140625" style="1" customWidth="1"/>
    <col min="6902" max="6913" width="9.85546875" style="1" customWidth="1"/>
    <col min="6914" max="6914" width="13" style="1" customWidth="1"/>
    <col min="6915" max="6916" width="9.28515625" style="1" customWidth="1"/>
    <col min="6917" max="6917" width="9.140625" style="1" customWidth="1"/>
    <col min="6918" max="6918" width="9.28515625" style="1" customWidth="1"/>
    <col min="6919" max="6919" width="10.28515625" style="1" bestFit="1" customWidth="1"/>
    <col min="6920" max="6930" width="9.140625" style="1"/>
    <col min="6931" max="6931" width="9.85546875" style="1" bestFit="1" customWidth="1"/>
    <col min="6932" max="6932" width="10.42578125" style="1" bestFit="1" customWidth="1"/>
    <col min="6933" max="7132" width="9.140625" style="1"/>
    <col min="7133" max="7133" width="28" style="1" bestFit="1" customWidth="1"/>
    <col min="7134" max="7134" width="15.7109375" style="1" customWidth="1"/>
    <col min="7135" max="7135" width="9.85546875" style="1" customWidth="1"/>
    <col min="7136" max="7136" width="12.85546875" style="1" customWidth="1"/>
    <col min="7137" max="7137" width="9.85546875" style="1" customWidth="1"/>
    <col min="7138" max="7139" width="12.85546875" style="1" customWidth="1"/>
    <col min="7140" max="7140" width="9.140625" style="1" customWidth="1"/>
    <col min="7141" max="7145" width="12.28515625" style="1" customWidth="1"/>
    <col min="7146" max="7146" width="11.28515625" style="1" customWidth="1"/>
    <col min="7147" max="7152" width="12.28515625" style="1" customWidth="1"/>
    <col min="7153" max="7153" width="11.140625" style="1" customWidth="1"/>
    <col min="7154" max="7155" width="10.42578125" style="1" customWidth="1"/>
    <col min="7156" max="7157" width="9.140625" style="1" customWidth="1"/>
    <col min="7158" max="7169" width="9.85546875" style="1" customWidth="1"/>
    <col min="7170" max="7170" width="13" style="1" customWidth="1"/>
    <col min="7171" max="7172" width="9.28515625" style="1" customWidth="1"/>
    <col min="7173" max="7173" width="9.140625" style="1" customWidth="1"/>
    <col min="7174" max="7174" width="9.28515625" style="1" customWidth="1"/>
    <col min="7175" max="7175" width="10.28515625" style="1" bestFit="1" customWidth="1"/>
    <col min="7176" max="7186" width="9.140625" style="1"/>
    <col min="7187" max="7187" width="9.85546875" style="1" bestFit="1" customWidth="1"/>
    <col min="7188" max="7188" width="10.42578125" style="1" bestFit="1" customWidth="1"/>
    <col min="7189" max="7388" width="9.140625" style="1"/>
    <col min="7389" max="7389" width="28" style="1" bestFit="1" customWidth="1"/>
    <col min="7390" max="7390" width="15.7109375" style="1" customWidth="1"/>
    <col min="7391" max="7391" width="9.85546875" style="1" customWidth="1"/>
    <col min="7392" max="7392" width="12.85546875" style="1" customWidth="1"/>
    <col min="7393" max="7393" width="9.85546875" style="1" customWidth="1"/>
    <col min="7394" max="7395" width="12.85546875" style="1" customWidth="1"/>
    <col min="7396" max="7396" width="9.140625" style="1" customWidth="1"/>
    <col min="7397" max="7401" width="12.28515625" style="1" customWidth="1"/>
    <col min="7402" max="7402" width="11.28515625" style="1" customWidth="1"/>
    <col min="7403" max="7408" width="12.28515625" style="1" customWidth="1"/>
    <col min="7409" max="7409" width="11.140625" style="1" customWidth="1"/>
    <col min="7410" max="7411" width="10.42578125" style="1" customWidth="1"/>
    <col min="7412" max="7413" width="9.140625" style="1" customWidth="1"/>
    <col min="7414" max="7425" width="9.85546875" style="1" customWidth="1"/>
    <col min="7426" max="7426" width="13" style="1" customWidth="1"/>
    <col min="7427" max="7428" width="9.28515625" style="1" customWidth="1"/>
    <col min="7429" max="7429" width="9.140625" style="1" customWidth="1"/>
    <col min="7430" max="7430" width="9.28515625" style="1" customWidth="1"/>
    <col min="7431" max="7431" width="10.28515625" style="1" bestFit="1" customWidth="1"/>
    <col min="7432" max="7442" width="9.140625" style="1"/>
    <col min="7443" max="7443" width="9.85546875" style="1" bestFit="1" customWidth="1"/>
    <col min="7444" max="7444" width="10.42578125" style="1" bestFit="1" customWidth="1"/>
    <col min="7445" max="7644" width="9.140625" style="1"/>
    <col min="7645" max="7645" width="28" style="1" bestFit="1" customWidth="1"/>
    <col min="7646" max="7646" width="15.7109375" style="1" customWidth="1"/>
    <col min="7647" max="7647" width="9.85546875" style="1" customWidth="1"/>
    <col min="7648" max="7648" width="12.85546875" style="1" customWidth="1"/>
    <col min="7649" max="7649" width="9.85546875" style="1" customWidth="1"/>
    <col min="7650" max="7651" width="12.85546875" style="1" customWidth="1"/>
    <col min="7652" max="7652" width="9.140625" style="1" customWidth="1"/>
    <col min="7653" max="7657" width="12.28515625" style="1" customWidth="1"/>
    <col min="7658" max="7658" width="11.28515625" style="1" customWidth="1"/>
    <col min="7659" max="7664" width="12.28515625" style="1" customWidth="1"/>
    <col min="7665" max="7665" width="11.140625" style="1" customWidth="1"/>
    <col min="7666" max="7667" width="10.42578125" style="1" customWidth="1"/>
    <col min="7668" max="7669" width="9.140625" style="1" customWidth="1"/>
    <col min="7670" max="7681" width="9.85546875" style="1" customWidth="1"/>
    <col min="7682" max="7682" width="13" style="1" customWidth="1"/>
    <col min="7683" max="7684" width="9.28515625" style="1" customWidth="1"/>
    <col min="7685" max="7685" width="9.140625" style="1" customWidth="1"/>
    <col min="7686" max="7686" width="9.28515625" style="1" customWidth="1"/>
    <col min="7687" max="7687" width="10.28515625" style="1" bestFit="1" customWidth="1"/>
    <col min="7688" max="7698" width="9.140625" style="1"/>
    <col min="7699" max="7699" width="9.85546875" style="1" bestFit="1" customWidth="1"/>
    <col min="7700" max="7700" width="10.42578125" style="1" bestFit="1" customWidth="1"/>
    <col min="7701" max="7900" width="9.140625" style="1"/>
    <col min="7901" max="7901" width="28" style="1" bestFit="1" customWidth="1"/>
    <col min="7902" max="7902" width="15.7109375" style="1" customWidth="1"/>
    <col min="7903" max="7903" width="9.85546875" style="1" customWidth="1"/>
    <col min="7904" max="7904" width="12.85546875" style="1" customWidth="1"/>
    <col min="7905" max="7905" width="9.85546875" style="1" customWidth="1"/>
    <col min="7906" max="7907" width="12.85546875" style="1" customWidth="1"/>
    <col min="7908" max="7908" width="9.140625" style="1" customWidth="1"/>
    <col min="7909" max="7913" width="12.28515625" style="1" customWidth="1"/>
    <col min="7914" max="7914" width="11.28515625" style="1" customWidth="1"/>
    <col min="7915" max="7920" width="12.28515625" style="1" customWidth="1"/>
    <col min="7921" max="7921" width="11.140625" style="1" customWidth="1"/>
    <col min="7922" max="7923" width="10.42578125" style="1" customWidth="1"/>
    <col min="7924" max="7925" width="9.140625" style="1" customWidth="1"/>
    <col min="7926" max="7937" width="9.85546875" style="1" customWidth="1"/>
    <col min="7938" max="7938" width="13" style="1" customWidth="1"/>
    <col min="7939" max="7940" width="9.28515625" style="1" customWidth="1"/>
    <col min="7941" max="7941" width="9.140625" style="1" customWidth="1"/>
    <col min="7942" max="7942" width="9.28515625" style="1" customWidth="1"/>
    <col min="7943" max="7943" width="10.28515625" style="1" bestFit="1" customWidth="1"/>
    <col min="7944" max="7954" width="9.140625" style="1"/>
    <col min="7955" max="7955" width="9.85546875" style="1" bestFit="1" customWidth="1"/>
    <col min="7956" max="7956" width="10.42578125" style="1" bestFit="1" customWidth="1"/>
    <col min="7957" max="8156" width="9.140625" style="1"/>
    <col min="8157" max="8157" width="28" style="1" bestFit="1" customWidth="1"/>
    <col min="8158" max="8158" width="15.7109375" style="1" customWidth="1"/>
    <col min="8159" max="8159" width="9.85546875" style="1" customWidth="1"/>
    <col min="8160" max="8160" width="12.85546875" style="1" customWidth="1"/>
    <col min="8161" max="8161" width="9.85546875" style="1" customWidth="1"/>
    <col min="8162" max="8163" width="12.85546875" style="1" customWidth="1"/>
    <col min="8164" max="8164" width="9.140625" style="1" customWidth="1"/>
    <col min="8165" max="8169" width="12.28515625" style="1" customWidth="1"/>
    <col min="8170" max="8170" width="11.28515625" style="1" customWidth="1"/>
    <col min="8171" max="8176" width="12.28515625" style="1" customWidth="1"/>
    <col min="8177" max="8177" width="11.140625" style="1" customWidth="1"/>
    <col min="8178" max="8179" width="10.42578125" style="1" customWidth="1"/>
    <col min="8180" max="8181" width="9.140625" style="1" customWidth="1"/>
    <col min="8182" max="8193" width="9.85546875" style="1" customWidth="1"/>
    <col min="8194" max="8194" width="13" style="1" customWidth="1"/>
    <col min="8195" max="8196" width="9.28515625" style="1" customWidth="1"/>
    <col min="8197" max="8197" width="9.140625" style="1" customWidth="1"/>
    <col min="8198" max="8198" width="9.28515625" style="1" customWidth="1"/>
    <col min="8199" max="8199" width="10.28515625" style="1" bestFit="1" customWidth="1"/>
    <col min="8200" max="8210" width="9.140625" style="1"/>
    <col min="8211" max="8211" width="9.85546875" style="1" bestFit="1" customWidth="1"/>
    <col min="8212" max="8212" width="10.42578125" style="1" bestFit="1" customWidth="1"/>
    <col min="8213" max="8412" width="9.140625" style="1"/>
    <col min="8413" max="8413" width="28" style="1" bestFit="1" customWidth="1"/>
    <col min="8414" max="8414" width="15.7109375" style="1" customWidth="1"/>
    <col min="8415" max="8415" width="9.85546875" style="1" customWidth="1"/>
    <col min="8416" max="8416" width="12.85546875" style="1" customWidth="1"/>
    <col min="8417" max="8417" width="9.85546875" style="1" customWidth="1"/>
    <col min="8418" max="8419" width="12.85546875" style="1" customWidth="1"/>
    <col min="8420" max="8420" width="9.140625" style="1" customWidth="1"/>
    <col min="8421" max="8425" width="12.28515625" style="1" customWidth="1"/>
    <col min="8426" max="8426" width="11.28515625" style="1" customWidth="1"/>
    <col min="8427" max="8432" width="12.28515625" style="1" customWidth="1"/>
    <col min="8433" max="8433" width="11.140625" style="1" customWidth="1"/>
    <col min="8434" max="8435" width="10.42578125" style="1" customWidth="1"/>
    <col min="8436" max="8437" width="9.140625" style="1" customWidth="1"/>
    <col min="8438" max="8449" width="9.85546875" style="1" customWidth="1"/>
    <col min="8450" max="8450" width="13" style="1" customWidth="1"/>
    <col min="8451" max="8452" width="9.28515625" style="1" customWidth="1"/>
    <col min="8453" max="8453" width="9.140625" style="1" customWidth="1"/>
    <col min="8454" max="8454" width="9.28515625" style="1" customWidth="1"/>
    <col min="8455" max="8455" width="10.28515625" style="1" bestFit="1" customWidth="1"/>
    <col min="8456" max="8466" width="9.140625" style="1"/>
    <col min="8467" max="8467" width="9.85546875" style="1" bestFit="1" customWidth="1"/>
    <col min="8468" max="8468" width="10.42578125" style="1" bestFit="1" customWidth="1"/>
    <col min="8469" max="8668" width="9.140625" style="1"/>
    <col min="8669" max="8669" width="28" style="1" bestFit="1" customWidth="1"/>
    <col min="8670" max="8670" width="15.7109375" style="1" customWidth="1"/>
    <col min="8671" max="8671" width="9.85546875" style="1" customWidth="1"/>
    <col min="8672" max="8672" width="12.85546875" style="1" customWidth="1"/>
    <col min="8673" max="8673" width="9.85546875" style="1" customWidth="1"/>
    <col min="8674" max="8675" width="12.85546875" style="1" customWidth="1"/>
    <col min="8676" max="8676" width="9.140625" style="1" customWidth="1"/>
    <col min="8677" max="8681" width="12.28515625" style="1" customWidth="1"/>
    <col min="8682" max="8682" width="11.28515625" style="1" customWidth="1"/>
    <col min="8683" max="8688" width="12.28515625" style="1" customWidth="1"/>
    <col min="8689" max="8689" width="11.140625" style="1" customWidth="1"/>
    <col min="8690" max="8691" width="10.42578125" style="1" customWidth="1"/>
    <col min="8692" max="8693" width="9.140625" style="1" customWidth="1"/>
    <col min="8694" max="8705" width="9.85546875" style="1" customWidth="1"/>
    <col min="8706" max="8706" width="13" style="1" customWidth="1"/>
    <col min="8707" max="8708" width="9.28515625" style="1" customWidth="1"/>
    <col min="8709" max="8709" width="9.140625" style="1" customWidth="1"/>
    <col min="8710" max="8710" width="9.28515625" style="1" customWidth="1"/>
    <col min="8711" max="8711" width="10.28515625" style="1" bestFit="1" customWidth="1"/>
    <col min="8712" max="8722" width="9.140625" style="1"/>
    <col min="8723" max="8723" width="9.85546875" style="1" bestFit="1" customWidth="1"/>
    <col min="8724" max="8724" width="10.42578125" style="1" bestFit="1" customWidth="1"/>
    <col min="8725" max="8924" width="9.140625" style="1"/>
    <col min="8925" max="8925" width="28" style="1" bestFit="1" customWidth="1"/>
    <col min="8926" max="8926" width="15.7109375" style="1" customWidth="1"/>
    <col min="8927" max="8927" width="9.85546875" style="1" customWidth="1"/>
    <col min="8928" max="8928" width="12.85546875" style="1" customWidth="1"/>
    <col min="8929" max="8929" width="9.85546875" style="1" customWidth="1"/>
    <col min="8930" max="8931" width="12.85546875" style="1" customWidth="1"/>
    <col min="8932" max="8932" width="9.140625" style="1" customWidth="1"/>
    <col min="8933" max="8937" width="12.28515625" style="1" customWidth="1"/>
    <col min="8938" max="8938" width="11.28515625" style="1" customWidth="1"/>
    <col min="8939" max="8944" width="12.28515625" style="1" customWidth="1"/>
    <col min="8945" max="8945" width="11.140625" style="1" customWidth="1"/>
    <col min="8946" max="8947" width="10.42578125" style="1" customWidth="1"/>
    <col min="8948" max="8949" width="9.140625" style="1" customWidth="1"/>
    <col min="8950" max="8961" width="9.85546875" style="1" customWidth="1"/>
    <col min="8962" max="8962" width="13" style="1" customWidth="1"/>
    <col min="8963" max="8964" width="9.28515625" style="1" customWidth="1"/>
    <col min="8965" max="8965" width="9.140625" style="1" customWidth="1"/>
    <col min="8966" max="8966" width="9.28515625" style="1" customWidth="1"/>
    <col min="8967" max="8967" width="10.28515625" style="1" bestFit="1" customWidth="1"/>
    <col min="8968" max="8978" width="9.140625" style="1"/>
    <col min="8979" max="8979" width="9.85546875" style="1" bestFit="1" customWidth="1"/>
    <col min="8980" max="8980" width="10.42578125" style="1" bestFit="1" customWidth="1"/>
    <col min="8981" max="9180" width="9.140625" style="1"/>
    <col min="9181" max="9181" width="28" style="1" bestFit="1" customWidth="1"/>
    <col min="9182" max="9182" width="15.7109375" style="1" customWidth="1"/>
    <col min="9183" max="9183" width="9.85546875" style="1" customWidth="1"/>
    <col min="9184" max="9184" width="12.85546875" style="1" customWidth="1"/>
    <col min="9185" max="9185" width="9.85546875" style="1" customWidth="1"/>
    <col min="9186" max="9187" width="12.85546875" style="1" customWidth="1"/>
    <col min="9188" max="9188" width="9.140625" style="1" customWidth="1"/>
    <col min="9189" max="9193" width="12.28515625" style="1" customWidth="1"/>
    <col min="9194" max="9194" width="11.28515625" style="1" customWidth="1"/>
    <col min="9195" max="9200" width="12.28515625" style="1" customWidth="1"/>
    <col min="9201" max="9201" width="11.140625" style="1" customWidth="1"/>
    <col min="9202" max="9203" width="10.42578125" style="1" customWidth="1"/>
    <col min="9204" max="9205" width="9.140625" style="1" customWidth="1"/>
    <col min="9206" max="9217" width="9.85546875" style="1" customWidth="1"/>
    <col min="9218" max="9218" width="13" style="1" customWidth="1"/>
    <col min="9219" max="9220" width="9.28515625" style="1" customWidth="1"/>
    <col min="9221" max="9221" width="9.140625" style="1" customWidth="1"/>
    <col min="9222" max="9222" width="9.28515625" style="1" customWidth="1"/>
    <col min="9223" max="9223" width="10.28515625" style="1" bestFit="1" customWidth="1"/>
    <col min="9224" max="9234" width="9.140625" style="1"/>
    <col min="9235" max="9235" width="9.85546875" style="1" bestFit="1" customWidth="1"/>
    <col min="9236" max="9236" width="10.42578125" style="1" bestFit="1" customWidth="1"/>
    <col min="9237" max="9436" width="9.140625" style="1"/>
    <col min="9437" max="9437" width="28" style="1" bestFit="1" customWidth="1"/>
    <col min="9438" max="9438" width="15.7109375" style="1" customWidth="1"/>
    <col min="9439" max="9439" width="9.85546875" style="1" customWidth="1"/>
    <col min="9440" max="9440" width="12.85546875" style="1" customWidth="1"/>
    <col min="9441" max="9441" width="9.85546875" style="1" customWidth="1"/>
    <col min="9442" max="9443" width="12.85546875" style="1" customWidth="1"/>
    <col min="9444" max="9444" width="9.140625" style="1" customWidth="1"/>
    <col min="9445" max="9449" width="12.28515625" style="1" customWidth="1"/>
    <col min="9450" max="9450" width="11.28515625" style="1" customWidth="1"/>
    <col min="9451" max="9456" width="12.28515625" style="1" customWidth="1"/>
    <col min="9457" max="9457" width="11.140625" style="1" customWidth="1"/>
    <col min="9458" max="9459" width="10.42578125" style="1" customWidth="1"/>
    <col min="9460" max="9461" width="9.140625" style="1" customWidth="1"/>
    <col min="9462" max="9473" width="9.85546875" style="1" customWidth="1"/>
    <col min="9474" max="9474" width="13" style="1" customWidth="1"/>
    <col min="9475" max="9476" width="9.28515625" style="1" customWidth="1"/>
    <col min="9477" max="9477" width="9.140625" style="1" customWidth="1"/>
    <col min="9478" max="9478" width="9.28515625" style="1" customWidth="1"/>
    <col min="9479" max="9479" width="10.28515625" style="1" bestFit="1" customWidth="1"/>
    <col min="9480" max="9490" width="9.140625" style="1"/>
    <col min="9491" max="9491" width="9.85546875" style="1" bestFit="1" customWidth="1"/>
    <col min="9492" max="9492" width="10.42578125" style="1" bestFit="1" customWidth="1"/>
    <col min="9493" max="9692" width="9.140625" style="1"/>
    <col min="9693" max="9693" width="28" style="1" bestFit="1" customWidth="1"/>
    <col min="9694" max="9694" width="15.7109375" style="1" customWidth="1"/>
    <col min="9695" max="9695" width="9.85546875" style="1" customWidth="1"/>
    <col min="9696" max="9696" width="12.85546875" style="1" customWidth="1"/>
    <col min="9697" max="9697" width="9.85546875" style="1" customWidth="1"/>
    <col min="9698" max="9699" width="12.85546875" style="1" customWidth="1"/>
    <col min="9700" max="9700" width="9.140625" style="1" customWidth="1"/>
    <col min="9701" max="9705" width="12.28515625" style="1" customWidth="1"/>
    <col min="9706" max="9706" width="11.28515625" style="1" customWidth="1"/>
    <col min="9707" max="9712" width="12.28515625" style="1" customWidth="1"/>
    <col min="9713" max="9713" width="11.140625" style="1" customWidth="1"/>
    <col min="9714" max="9715" width="10.42578125" style="1" customWidth="1"/>
    <col min="9716" max="9717" width="9.140625" style="1" customWidth="1"/>
    <col min="9718" max="9729" width="9.85546875" style="1" customWidth="1"/>
    <col min="9730" max="9730" width="13" style="1" customWidth="1"/>
    <col min="9731" max="9732" width="9.28515625" style="1" customWidth="1"/>
    <col min="9733" max="9733" width="9.140625" style="1" customWidth="1"/>
    <col min="9734" max="9734" width="9.28515625" style="1" customWidth="1"/>
    <col min="9735" max="9735" width="10.28515625" style="1" bestFit="1" customWidth="1"/>
    <col min="9736" max="9746" width="9.140625" style="1"/>
    <col min="9747" max="9747" width="9.85546875" style="1" bestFit="1" customWidth="1"/>
    <col min="9748" max="9748" width="10.42578125" style="1" bestFit="1" customWidth="1"/>
    <col min="9749" max="9948" width="9.140625" style="1"/>
    <col min="9949" max="9949" width="28" style="1" bestFit="1" customWidth="1"/>
    <col min="9950" max="9950" width="15.7109375" style="1" customWidth="1"/>
    <col min="9951" max="9951" width="9.85546875" style="1" customWidth="1"/>
    <col min="9952" max="9952" width="12.85546875" style="1" customWidth="1"/>
    <col min="9953" max="9953" width="9.85546875" style="1" customWidth="1"/>
    <col min="9954" max="9955" width="12.85546875" style="1" customWidth="1"/>
    <col min="9956" max="9956" width="9.140625" style="1" customWidth="1"/>
    <col min="9957" max="9961" width="12.28515625" style="1" customWidth="1"/>
    <col min="9962" max="9962" width="11.28515625" style="1" customWidth="1"/>
    <col min="9963" max="9968" width="12.28515625" style="1" customWidth="1"/>
    <col min="9969" max="9969" width="11.140625" style="1" customWidth="1"/>
    <col min="9970" max="9971" width="10.42578125" style="1" customWidth="1"/>
    <col min="9972" max="9973" width="9.140625" style="1" customWidth="1"/>
    <col min="9974" max="9985" width="9.85546875" style="1" customWidth="1"/>
    <col min="9986" max="9986" width="13" style="1" customWidth="1"/>
    <col min="9987" max="9988" width="9.28515625" style="1" customWidth="1"/>
    <col min="9989" max="9989" width="9.140625" style="1" customWidth="1"/>
    <col min="9990" max="9990" width="9.28515625" style="1" customWidth="1"/>
    <col min="9991" max="9991" width="10.28515625" style="1" bestFit="1" customWidth="1"/>
    <col min="9992" max="10002" width="9.140625" style="1"/>
    <col min="10003" max="10003" width="9.85546875" style="1" bestFit="1" customWidth="1"/>
    <col min="10004" max="10004" width="10.42578125" style="1" bestFit="1" customWidth="1"/>
    <col min="10005" max="10204" width="9.140625" style="1"/>
    <col min="10205" max="10205" width="28" style="1" bestFit="1" customWidth="1"/>
    <col min="10206" max="10206" width="15.7109375" style="1" customWidth="1"/>
    <col min="10207" max="10207" width="9.85546875" style="1" customWidth="1"/>
    <col min="10208" max="10208" width="12.85546875" style="1" customWidth="1"/>
    <col min="10209" max="10209" width="9.85546875" style="1" customWidth="1"/>
    <col min="10210" max="10211" width="12.85546875" style="1" customWidth="1"/>
    <col min="10212" max="10212" width="9.140625" style="1" customWidth="1"/>
    <col min="10213" max="10217" width="12.28515625" style="1" customWidth="1"/>
    <col min="10218" max="10218" width="11.28515625" style="1" customWidth="1"/>
    <col min="10219" max="10224" width="12.28515625" style="1" customWidth="1"/>
    <col min="10225" max="10225" width="11.140625" style="1" customWidth="1"/>
    <col min="10226" max="10227" width="10.42578125" style="1" customWidth="1"/>
    <col min="10228" max="10229" width="9.140625" style="1" customWidth="1"/>
    <col min="10230" max="10241" width="9.85546875" style="1" customWidth="1"/>
    <col min="10242" max="10242" width="13" style="1" customWidth="1"/>
    <col min="10243" max="10244" width="9.28515625" style="1" customWidth="1"/>
    <col min="10245" max="10245" width="9.140625" style="1" customWidth="1"/>
    <col min="10246" max="10246" width="9.28515625" style="1" customWidth="1"/>
    <col min="10247" max="10247" width="10.28515625" style="1" bestFit="1" customWidth="1"/>
    <col min="10248" max="10258" width="9.140625" style="1"/>
    <col min="10259" max="10259" width="9.85546875" style="1" bestFit="1" customWidth="1"/>
    <col min="10260" max="10260" width="10.42578125" style="1" bestFit="1" customWidth="1"/>
    <col min="10261" max="10460" width="9.140625" style="1"/>
    <col min="10461" max="10461" width="28" style="1" bestFit="1" customWidth="1"/>
    <col min="10462" max="10462" width="15.7109375" style="1" customWidth="1"/>
    <col min="10463" max="10463" width="9.85546875" style="1" customWidth="1"/>
    <col min="10464" max="10464" width="12.85546875" style="1" customWidth="1"/>
    <col min="10465" max="10465" width="9.85546875" style="1" customWidth="1"/>
    <col min="10466" max="10467" width="12.85546875" style="1" customWidth="1"/>
    <col min="10468" max="10468" width="9.140625" style="1" customWidth="1"/>
    <col min="10469" max="10473" width="12.28515625" style="1" customWidth="1"/>
    <col min="10474" max="10474" width="11.28515625" style="1" customWidth="1"/>
    <col min="10475" max="10480" width="12.28515625" style="1" customWidth="1"/>
    <col min="10481" max="10481" width="11.140625" style="1" customWidth="1"/>
    <col min="10482" max="10483" width="10.42578125" style="1" customWidth="1"/>
    <col min="10484" max="10485" width="9.140625" style="1" customWidth="1"/>
    <col min="10486" max="10497" width="9.85546875" style="1" customWidth="1"/>
    <col min="10498" max="10498" width="13" style="1" customWidth="1"/>
    <col min="10499" max="10500" width="9.28515625" style="1" customWidth="1"/>
    <col min="10501" max="10501" width="9.140625" style="1" customWidth="1"/>
    <col min="10502" max="10502" width="9.28515625" style="1" customWidth="1"/>
    <col min="10503" max="10503" width="10.28515625" style="1" bestFit="1" customWidth="1"/>
    <col min="10504" max="10514" width="9.140625" style="1"/>
    <col min="10515" max="10515" width="9.85546875" style="1" bestFit="1" customWidth="1"/>
    <col min="10516" max="10516" width="10.42578125" style="1" bestFit="1" customWidth="1"/>
    <col min="10517" max="10716" width="9.140625" style="1"/>
    <col min="10717" max="10717" width="28" style="1" bestFit="1" customWidth="1"/>
    <col min="10718" max="10718" width="15.7109375" style="1" customWidth="1"/>
    <col min="10719" max="10719" width="9.85546875" style="1" customWidth="1"/>
    <col min="10720" max="10720" width="12.85546875" style="1" customWidth="1"/>
    <col min="10721" max="10721" width="9.85546875" style="1" customWidth="1"/>
    <col min="10722" max="10723" width="12.85546875" style="1" customWidth="1"/>
    <col min="10724" max="10724" width="9.140625" style="1" customWidth="1"/>
    <col min="10725" max="10729" width="12.28515625" style="1" customWidth="1"/>
    <col min="10730" max="10730" width="11.28515625" style="1" customWidth="1"/>
    <col min="10731" max="10736" width="12.28515625" style="1" customWidth="1"/>
    <col min="10737" max="10737" width="11.140625" style="1" customWidth="1"/>
    <col min="10738" max="10739" width="10.42578125" style="1" customWidth="1"/>
    <col min="10740" max="10741" width="9.140625" style="1" customWidth="1"/>
    <col min="10742" max="10753" width="9.85546875" style="1" customWidth="1"/>
    <col min="10754" max="10754" width="13" style="1" customWidth="1"/>
    <col min="10755" max="10756" width="9.28515625" style="1" customWidth="1"/>
    <col min="10757" max="10757" width="9.140625" style="1" customWidth="1"/>
    <col min="10758" max="10758" width="9.28515625" style="1" customWidth="1"/>
    <col min="10759" max="10759" width="10.28515625" style="1" bestFit="1" customWidth="1"/>
    <col min="10760" max="10770" width="9.140625" style="1"/>
    <col min="10771" max="10771" width="9.85546875" style="1" bestFit="1" customWidth="1"/>
    <col min="10772" max="10772" width="10.42578125" style="1" bestFit="1" customWidth="1"/>
    <col min="10773" max="10972" width="9.140625" style="1"/>
    <col min="10973" max="10973" width="28" style="1" bestFit="1" customWidth="1"/>
    <col min="10974" max="10974" width="15.7109375" style="1" customWidth="1"/>
    <col min="10975" max="10975" width="9.85546875" style="1" customWidth="1"/>
    <col min="10976" max="10976" width="12.85546875" style="1" customWidth="1"/>
    <col min="10977" max="10977" width="9.85546875" style="1" customWidth="1"/>
    <col min="10978" max="10979" width="12.85546875" style="1" customWidth="1"/>
    <col min="10980" max="10980" width="9.140625" style="1" customWidth="1"/>
    <col min="10981" max="10985" width="12.28515625" style="1" customWidth="1"/>
    <col min="10986" max="10986" width="11.28515625" style="1" customWidth="1"/>
    <col min="10987" max="10992" width="12.28515625" style="1" customWidth="1"/>
    <col min="10993" max="10993" width="11.140625" style="1" customWidth="1"/>
    <col min="10994" max="10995" width="10.42578125" style="1" customWidth="1"/>
    <col min="10996" max="10997" width="9.140625" style="1" customWidth="1"/>
    <col min="10998" max="11009" width="9.85546875" style="1" customWidth="1"/>
    <col min="11010" max="11010" width="13" style="1" customWidth="1"/>
    <col min="11011" max="11012" width="9.28515625" style="1" customWidth="1"/>
    <col min="11013" max="11013" width="9.140625" style="1" customWidth="1"/>
    <col min="11014" max="11014" width="9.28515625" style="1" customWidth="1"/>
    <col min="11015" max="11015" width="10.28515625" style="1" bestFit="1" customWidth="1"/>
    <col min="11016" max="11026" width="9.140625" style="1"/>
    <col min="11027" max="11027" width="9.85546875" style="1" bestFit="1" customWidth="1"/>
    <col min="11028" max="11028" width="10.42578125" style="1" bestFit="1" customWidth="1"/>
    <col min="11029" max="11228" width="9.140625" style="1"/>
    <col min="11229" max="11229" width="28" style="1" bestFit="1" customWidth="1"/>
    <col min="11230" max="11230" width="15.7109375" style="1" customWidth="1"/>
    <col min="11231" max="11231" width="9.85546875" style="1" customWidth="1"/>
    <col min="11232" max="11232" width="12.85546875" style="1" customWidth="1"/>
    <col min="11233" max="11233" width="9.85546875" style="1" customWidth="1"/>
    <col min="11234" max="11235" width="12.85546875" style="1" customWidth="1"/>
    <col min="11236" max="11236" width="9.140625" style="1" customWidth="1"/>
    <col min="11237" max="11241" width="12.28515625" style="1" customWidth="1"/>
    <col min="11242" max="11242" width="11.28515625" style="1" customWidth="1"/>
    <col min="11243" max="11248" width="12.28515625" style="1" customWidth="1"/>
    <col min="11249" max="11249" width="11.140625" style="1" customWidth="1"/>
    <col min="11250" max="11251" width="10.42578125" style="1" customWidth="1"/>
    <col min="11252" max="11253" width="9.140625" style="1" customWidth="1"/>
    <col min="11254" max="11265" width="9.85546875" style="1" customWidth="1"/>
    <col min="11266" max="11266" width="13" style="1" customWidth="1"/>
    <col min="11267" max="11268" width="9.28515625" style="1" customWidth="1"/>
    <col min="11269" max="11269" width="9.140625" style="1" customWidth="1"/>
    <col min="11270" max="11270" width="9.28515625" style="1" customWidth="1"/>
    <col min="11271" max="11271" width="10.28515625" style="1" bestFit="1" customWidth="1"/>
    <col min="11272" max="11282" width="9.140625" style="1"/>
    <col min="11283" max="11283" width="9.85546875" style="1" bestFit="1" customWidth="1"/>
    <col min="11284" max="11284" width="10.42578125" style="1" bestFit="1" customWidth="1"/>
    <col min="11285" max="11484" width="9.140625" style="1"/>
    <col min="11485" max="11485" width="28" style="1" bestFit="1" customWidth="1"/>
    <col min="11486" max="11486" width="15.7109375" style="1" customWidth="1"/>
    <col min="11487" max="11487" width="9.85546875" style="1" customWidth="1"/>
    <col min="11488" max="11488" width="12.85546875" style="1" customWidth="1"/>
    <col min="11489" max="11489" width="9.85546875" style="1" customWidth="1"/>
    <col min="11490" max="11491" width="12.85546875" style="1" customWidth="1"/>
    <col min="11492" max="11492" width="9.140625" style="1" customWidth="1"/>
    <col min="11493" max="11497" width="12.28515625" style="1" customWidth="1"/>
    <col min="11498" max="11498" width="11.28515625" style="1" customWidth="1"/>
    <col min="11499" max="11504" width="12.28515625" style="1" customWidth="1"/>
    <col min="11505" max="11505" width="11.140625" style="1" customWidth="1"/>
    <col min="11506" max="11507" width="10.42578125" style="1" customWidth="1"/>
    <col min="11508" max="11509" width="9.140625" style="1" customWidth="1"/>
    <col min="11510" max="11521" width="9.85546875" style="1" customWidth="1"/>
    <col min="11522" max="11522" width="13" style="1" customWidth="1"/>
    <col min="11523" max="11524" width="9.28515625" style="1" customWidth="1"/>
    <col min="11525" max="11525" width="9.140625" style="1" customWidth="1"/>
    <col min="11526" max="11526" width="9.28515625" style="1" customWidth="1"/>
    <col min="11527" max="11527" width="10.28515625" style="1" bestFit="1" customWidth="1"/>
    <col min="11528" max="11538" width="9.140625" style="1"/>
    <col min="11539" max="11539" width="9.85546875" style="1" bestFit="1" customWidth="1"/>
    <col min="11540" max="11540" width="10.42578125" style="1" bestFit="1" customWidth="1"/>
    <col min="11541" max="11740" width="9.140625" style="1"/>
    <col min="11741" max="11741" width="28" style="1" bestFit="1" customWidth="1"/>
    <col min="11742" max="11742" width="15.7109375" style="1" customWidth="1"/>
    <col min="11743" max="11743" width="9.85546875" style="1" customWidth="1"/>
    <col min="11744" max="11744" width="12.85546875" style="1" customWidth="1"/>
    <col min="11745" max="11745" width="9.85546875" style="1" customWidth="1"/>
    <col min="11746" max="11747" width="12.85546875" style="1" customWidth="1"/>
    <col min="11748" max="11748" width="9.140625" style="1" customWidth="1"/>
    <col min="11749" max="11753" width="12.28515625" style="1" customWidth="1"/>
    <col min="11754" max="11754" width="11.28515625" style="1" customWidth="1"/>
    <col min="11755" max="11760" width="12.28515625" style="1" customWidth="1"/>
    <col min="11761" max="11761" width="11.140625" style="1" customWidth="1"/>
    <col min="11762" max="11763" width="10.42578125" style="1" customWidth="1"/>
    <col min="11764" max="11765" width="9.140625" style="1" customWidth="1"/>
    <col min="11766" max="11777" width="9.85546875" style="1" customWidth="1"/>
    <col min="11778" max="11778" width="13" style="1" customWidth="1"/>
    <col min="11779" max="11780" width="9.28515625" style="1" customWidth="1"/>
    <col min="11781" max="11781" width="9.140625" style="1" customWidth="1"/>
    <col min="11782" max="11782" width="9.28515625" style="1" customWidth="1"/>
    <col min="11783" max="11783" width="10.28515625" style="1" bestFit="1" customWidth="1"/>
    <col min="11784" max="11794" width="9.140625" style="1"/>
    <col min="11795" max="11795" width="9.85546875" style="1" bestFit="1" customWidth="1"/>
    <col min="11796" max="11796" width="10.42578125" style="1" bestFit="1" customWidth="1"/>
    <col min="11797" max="11996" width="9.140625" style="1"/>
    <col min="11997" max="11997" width="28" style="1" bestFit="1" customWidth="1"/>
    <col min="11998" max="11998" width="15.7109375" style="1" customWidth="1"/>
    <col min="11999" max="11999" width="9.85546875" style="1" customWidth="1"/>
    <col min="12000" max="12000" width="12.85546875" style="1" customWidth="1"/>
    <col min="12001" max="12001" width="9.85546875" style="1" customWidth="1"/>
    <col min="12002" max="12003" width="12.85546875" style="1" customWidth="1"/>
    <col min="12004" max="12004" width="9.140625" style="1" customWidth="1"/>
    <col min="12005" max="12009" width="12.28515625" style="1" customWidth="1"/>
    <col min="12010" max="12010" width="11.28515625" style="1" customWidth="1"/>
    <col min="12011" max="12016" width="12.28515625" style="1" customWidth="1"/>
    <col min="12017" max="12017" width="11.140625" style="1" customWidth="1"/>
    <col min="12018" max="12019" width="10.42578125" style="1" customWidth="1"/>
    <col min="12020" max="12021" width="9.140625" style="1" customWidth="1"/>
    <col min="12022" max="12033" width="9.85546875" style="1" customWidth="1"/>
    <col min="12034" max="12034" width="13" style="1" customWidth="1"/>
    <col min="12035" max="12036" width="9.28515625" style="1" customWidth="1"/>
    <col min="12037" max="12037" width="9.140625" style="1" customWidth="1"/>
    <col min="12038" max="12038" width="9.28515625" style="1" customWidth="1"/>
    <col min="12039" max="12039" width="10.28515625" style="1" bestFit="1" customWidth="1"/>
    <col min="12040" max="12050" width="9.140625" style="1"/>
    <col min="12051" max="12051" width="9.85546875" style="1" bestFit="1" customWidth="1"/>
    <col min="12052" max="12052" width="10.42578125" style="1" bestFit="1" customWidth="1"/>
    <col min="12053" max="12252" width="9.140625" style="1"/>
    <col min="12253" max="12253" width="28" style="1" bestFit="1" customWidth="1"/>
    <col min="12254" max="12254" width="15.7109375" style="1" customWidth="1"/>
    <col min="12255" max="12255" width="9.85546875" style="1" customWidth="1"/>
    <col min="12256" max="12256" width="12.85546875" style="1" customWidth="1"/>
    <col min="12257" max="12257" width="9.85546875" style="1" customWidth="1"/>
    <col min="12258" max="12259" width="12.85546875" style="1" customWidth="1"/>
    <col min="12260" max="12260" width="9.140625" style="1" customWidth="1"/>
    <col min="12261" max="12265" width="12.28515625" style="1" customWidth="1"/>
    <col min="12266" max="12266" width="11.28515625" style="1" customWidth="1"/>
    <col min="12267" max="12272" width="12.28515625" style="1" customWidth="1"/>
    <col min="12273" max="12273" width="11.140625" style="1" customWidth="1"/>
    <col min="12274" max="12275" width="10.42578125" style="1" customWidth="1"/>
    <col min="12276" max="12277" width="9.140625" style="1" customWidth="1"/>
    <col min="12278" max="12289" width="9.85546875" style="1" customWidth="1"/>
    <col min="12290" max="12290" width="13" style="1" customWidth="1"/>
    <col min="12291" max="12292" width="9.28515625" style="1" customWidth="1"/>
    <col min="12293" max="12293" width="9.140625" style="1" customWidth="1"/>
    <col min="12294" max="12294" width="9.28515625" style="1" customWidth="1"/>
    <col min="12295" max="12295" width="10.28515625" style="1" bestFit="1" customWidth="1"/>
    <col min="12296" max="12306" width="9.140625" style="1"/>
    <col min="12307" max="12307" width="9.85546875" style="1" bestFit="1" customWidth="1"/>
    <col min="12308" max="12308" width="10.42578125" style="1" bestFit="1" customWidth="1"/>
    <col min="12309" max="12508" width="9.140625" style="1"/>
    <col min="12509" max="12509" width="28" style="1" bestFit="1" customWidth="1"/>
    <col min="12510" max="12510" width="15.7109375" style="1" customWidth="1"/>
    <col min="12511" max="12511" width="9.85546875" style="1" customWidth="1"/>
    <col min="12512" max="12512" width="12.85546875" style="1" customWidth="1"/>
    <col min="12513" max="12513" width="9.85546875" style="1" customWidth="1"/>
    <col min="12514" max="12515" width="12.85546875" style="1" customWidth="1"/>
    <col min="12516" max="12516" width="9.140625" style="1" customWidth="1"/>
    <col min="12517" max="12521" width="12.28515625" style="1" customWidth="1"/>
    <col min="12522" max="12522" width="11.28515625" style="1" customWidth="1"/>
    <col min="12523" max="12528" width="12.28515625" style="1" customWidth="1"/>
    <col min="12529" max="12529" width="11.140625" style="1" customWidth="1"/>
    <col min="12530" max="12531" width="10.42578125" style="1" customWidth="1"/>
    <col min="12532" max="12533" width="9.140625" style="1" customWidth="1"/>
    <col min="12534" max="12545" width="9.85546875" style="1" customWidth="1"/>
    <col min="12546" max="12546" width="13" style="1" customWidth="1"/>
    <col min="12547" max="12548" width="9.28515625" style="1" customWidth="1"/>
    <col min="12549" max="12549" width="9.140625" style="1" customWidth="1"/>
    <col min="12550" max="12550" width="9.28515625" style="1" customWidth="1"/>
    <col min="12551" max="12551" width="10.28515625" style="1" bestFit="1" customWidth="1"/>
    <col min="12552" max="12562" width="9.140625" style="1"/>
    <col min="12563" max="12563" width="9.85546875" style="1" bestFit="1" customWidth="1"/>
    <col min="12564" max="12564" width="10.42578125" style="1" bestFit="1" customWidth="1"/>
    <col min="12565" max="12764" width="9.140625" style="1"/>
    <col min="12765" max="12765" width="28" style="1" bestFit="1" customWidth="1"/>
    <col min="12766" max="12766" width="15.7109375" style="1" customWidth="1"/>
    <col min="12767" max="12767" width="9.85546875" style="1" customWidth="1"/>
    <col min="12768" max="12768" width="12.85546875" style="1" customWidth="1"/>
    <col min="12769" max="12769" width="9.85546875" style="1" customWidth="1"/>
    <col min="12770" max="12771" width="12.85546875" style="1" customWidth="1"/>
    <col min="12772" max="12772" width="9.140625" style="1" customWidth="1"/>
    <col min="12773" max="12777" width="12.28515625" style="1" customWidth="1"/>
    <col min="12778" max="12778" width="11.28515625" style="1" customWidth="1"/>
    <col min="12779" max="12784" width="12.28515625" style="1" customWidth="1"/>
    <col min="12785" max="12785" width="11.140625" style="1" customWidth="1"/>
    <col min="12786" max="12787" width="10.42578125" style="1" customWidth="1"/>
    <col min="12788" max="12789" width="9.140625" style="1" customWidth="1"/>
    <col min="12790" max="12801" width="9.85546875" style="1" customWidth="1"/>
    <col min="12802" max="12802" width="13" style="1" customWidth="1"/>
    <col min="12803" max="12804" width="9.28515625" style="1" customWidth="1"/>
    <col min="12805" max="12805" width="9.140625" style="1" customWidth="1"/>
    <col min="12806" max="12806" width="9.28515625" style="1" customWidth="1"/>
    <col min="12807" max="12807" width="10.28515625" style="1" bestFit="1" customWidth="1"/>
    <col min="12808" max="12818" width="9.140625" style="1"/>
    <col min="12819" max="12819" width="9.85546875" style="1" bestFit="1" customWidth="1"/>
    <col min="12820" max="12820" width="10.42578125" style="1" bestFit="1" customWidth="1"/>
    <col min="12821" max="13020" width="9.140625" style="1"/>
    <col min="13021" max="13021" width="28" style="1" bestFit="1" customWidth="1"/>
    <col min="13022" max="13022" width="15.7109375" style="1" customWidth="1"/>
    <col min="13023" max="13023" width="9.85546875" style="1" customWidth="1"/>
    <col min="13024" max="13024" width="12.85546875" style="1" customWidth="1"/>
    <col min="13025" max="13025" width="9.85546875" style="1" customWidth="1"/>
    <col min="13026" max="13027" width="12.85546875" style="1" customWidth="1"/>
    <col min="13028" max="13028" width="9.140625" style="1" customWidth="1"/>
    <col min="13029" max="13033" width="12.28515625" style="1" customWidth="1"/>
    <col min="13034" max="13034" width="11.28515625" style="1" customWidth="1"/>
    <col min="13035" max="13040" width="12.28515625" style="1" customWidth="1"/>
    <col min="13041" max="13041" width="11.140625" style="1" customWidth="1"/>
    <col min="13042" max="13043" width="10.42578125" style="1" customWidth="1"/>
    <col min="13044" max="13045" width="9.140625" style="1" customWidth="1"/>
    <col min="13046" max="13057" width="9.85546875" style="1" customWidth="1"/>
    <col min="13058" max="13058" width="13" style="1" customWidth="1"/>
    <col min="13059" max="13060" width="9.28515625" style="1" customWidth="1"/>
    <col min="13061" max="13061" width="9.140625" style="1" customWidth="1"/>
    <col min="13062" max="13062" width="9.28515625" style="1" customWidth="1"/>
    <col min="13063" max="13063" width="10.28515625" style="1" bestFit="1" customWidth="1"/>
    <col min="13064" max="13074" width="9.140625" style="1"/>
    <col min="13075" max="13075" width="9.85546875" style="1" bestFit="1" customWidth="1"/>
    <col min="13076" max="13076" width="10.42578125" style="1" bestFit="1" customWidth="1"/>
    <col min="13077" max="13276" width="9.140625" style="1"/>
    <col min="13277" max="13277" width="28" style="1" bestFit="1" customWidth="1"/>
    <col min="13278" max="13278" width="15.7109375" style="1" customWidth="1"/>
    <col min="13279" max="13279" width="9.85546875" style="1" customWidth="1"/>
    <col min="13280" max="13280" width="12.85546875" style="1" customWidth="1"/>
    <col min="13281" max="13281" width="9.85546875" style="1" customWidth="1"/>
    <col min="13282" max="13283" width="12.85546875" style="1" customWidth="1"/>
    <col min="13284" max="13284" width="9.140625" style="1" customWidth="1"/>
    <col min="13285" max="13289" width="12.28515625" style="1" customWidth="1"/>
    <col min="13290" max="13290" width="11.28515625" style="1" customWidth="1"/>
    <col min="13291" max="13296" width="12.28515625" style="1" customWidth="1"/>
    <col min="13297" max="13297" width="11.140625" style="1" customWidth="1"/>
    <col min="13298" max="13299" width="10.42578125" style="1" customWidth="1"/>
    <col min="13300" max="13301" width="9.140625" style="1" customWidth="1"/>
    <col min="13302" max="13313" width="9.85546875" style="1" customWidth="1"/>
    <col min="13314" max="13314" width="13" style="1" customWidth="1"/>
    <col min="13315" max="13316" width="9.28515625" style="1" customWidth="1"/>
    <col min="13317" max="13317" width="9.140625" style="1" customWidth="1"/>
    <col min="13318" max="13318" width="9.28515625" style="1" customWidth="1"/>
    <col min="13319" max="13319" width="10.28515625" style="1" bestFit="1" customWidth="1"/>
    <col min="13320" max="13330" width="9.140625" style="1"/>
    <col min="13331" max="13331" width="9.85546875" style="1" bestFit="1" customWidth="1"/>
    <col min="13332" max="13332" width="10.42578125" style="1" bestFit="1" customWidth="1"/>
    <col min="13333" max="13532" width="9.140625" style="1"/>
    <col min="13533" max="13533" width="28" style="1" bestFit="1" customWidth="1"/>
    <col min="13534" max="13534" width="15.7109375" style="1" customWidth="1"/>
    <col min="13535" max="13535" width="9.85546875" style="1" customWidth="1"/>
    <col min="13536" max="13536" width="12.85546875" style="1" customWidth="1"/>
    <col min="13537" max="13537" width="9.85546875" style="1" customWidth="1"/>
    <col min="13538" max="13539" width="12.85546875" style="1" customWidth="1"/>
    <col min="13540" max="13540" width="9.140625" style="1" customWidth="1"/>
    <col min="13541" max="13545" width="12.28515625" style="1" customWidth="1"/>
    <col min="13546" max="13546" width="11.28515625" style="1" customWidth="1"/>
    <col min="13547" max="13552" width="12.28515625" style="1" customWidth="1"/>
    <col min="13553" max="13553" width="11.140625" style="1" customWidth="1"/>
    <col min="13554" max="13555" width="10.42578125" style="1" customWidth="1"/>
    <col min="13556" max="13557" width="9.140625" style="1" customWidth="1"/>
    <col min="13558" max="13569" width="9.85546875" style="1" customWidth="1"/>
    <col min="13570" max="13570" width="13" style="1" customWidth="1"/>
    <col min="13571" max="13572" width="9.28515625" style="1" customWidth="1"/>
    <col min="13573" max="13573" width="9.140625" style="1" customWidth="1"/>
    <col min="13574" max="13574" width="9.28515625" style="1" customWidth="1"/>
    <col min="13575" max="13575" width="10.28515625" style="1" bestFit="1" customWidth="1"/>
    <col min="13576" max="13586" width="9.140625" style="1"/>
    <col min="13587" max="13587" width="9.85546875" style="1" bestFit="1" customWidth="1"/>
    <col min="13588" max="13588" width="10.42578125" style="1" bestFit="1" customWidth="1"/>
    <col min="13589" max="13788" width="9.140625" style="1"/>
    <col min="13789" max="13789" width="28" style="1" bestFit="1" customWidth="1"/>
    <col min="13790" max="13790" width="15.7109375" style="1" customWidth="1"/>
    <col min="13791" max="13791" width="9.85546875" style="1" customWidth="1"/>
    <col min="13792" max="13792" width="12.85546875" style="1" customWidth="1"/>
    <col min="13793" max="13793" width="9.85546875" style="1" customWidth="1"/>
    <col min="13794" max="13795" width="12.85546875" style="1" customWidth="1"/>
    <col min="13796" max="13796" width="9.140625" style="1" customWidth="1"/>
    <col min="13797" max="13801" width="12.28515625" style="1" customWidth="1"/>
    <col min="13802" max="13802" width="11.28515625" style="1" customWidth="1"/>
    <col min="13803" max="13808" width="12.28515625" style="1" customWidth="1"/>
    <col min="13809" max="13809" width="11.140625" style="1" customWidth="1"/>
    <col min="13810" max="13811" width="10.42578125" style="1" customWidth="1"/>
    <col min="13812" max="13813" width="9.140625" style="1" customWidth="1"/>
    <col min="13814" max="13825" width="9.85546875" style="1" customWidth="1"/>
    <col min="13826" max="13826" width="13" style="1" customWidth="1"/>
    <col min="13827" max="13828" width="9.28515625" style="1" customWidth="1"/>
    <col min="13829" max="13829" width="9.140625" style="1" customWidth="1"/>
    <col min="13830" max="13830" width="9.28515625" style="1" customWidth="1"/>
    <col min="13831" max="13831" width="10.28515625" style="1" bestFit="1" customWidth="1"/>
    <col min="13832" max="13842" width="9.140625" style="1"/>
    <col min="13843" max="13843" width="9.85546875" style="1" bestFit="1" customWidth="1"/>
    <col min="13844" max="13844" width="10.42578125" style="1" bestFit="1" customWidth="1"/>
    <col min="13845" max="14044" width="9.140625" style="1"/>
    <col min="14045" max="14045" width="28" style="1" bestFit="1" customWidth="1"/>
    <col min="14046" max="14046" width="15.7109375" style="1" customWidth="1"/>
    <col min="14047" max="14047" width="9.85546875" style="1" customWidth="1"/>
    <col min="14048" max="14048" width="12.85546875" style="1" customWidth="1"/>
    <col min="14049" max="14049" width="9.85546875" style="1" customWidth="1"/>
    <col min="14050" max="14051" width="12.85546875" style="1" customWidth="1"/>
    <col min="14052" max="14052" width="9.140625" style="1" customWidth="1"/>
    <col min="14053" max="14057" width="12.28515625" style="1" customWidth="1"/>
    <col min="14058" max="14058" width="11.28515625" style="1" customWidth="1"/>
    <col min="14059" max="14064" width="12.28515625" style="1" customWidth="1"/>
    <col min="14065" max="14065" width="11.140625" style="1" customWidth="1"/>
    <col min="14066" max="14067" width="10.42578125" style="1" customWidth="1"/>
    <col min="14068" max="14069" width="9.140625" style="1" customWidth="1"/>
    <col min="14070" max="14081" width="9.85546875" style="1" customWidth="1"/>
    <col min="14082" max="14082" width="13" style="1" customWidth="1"/>
    <col min="14083" max="14084" width="9.28515625" style="1" customWidth="1"/>
    <col min="14085" max="14085" width="9.140625" style="1" customWidth="1"/>
    <col min="14086" max="14086" width="9.28515625" style="1" customWidth="1"/>
    <col min="14087" max="14087" width="10.28515625" style="1" bestFit="1" customWidth="1"/>
    <col min="14088" max="14098" width="9.140625" style="1"/>
    <col min="14099" max="14099" width="9.85546875" style="1" bestFit="1" customWidth="1"/>
    <col min="14100" max="14100" width="10.42578125" style="1" bestFit="1" customWidth="1"/>
    <col min="14101" max="14300" width="9.140625" style="1"/>
    <col min="14301" max="14301" width="28" style="1" bestFit="1" customWidth="1"/>
    <col min="14302" max="14302" width="15.7109375" style="1" customWidth="1"/>
    <col min="14303" max="14303" width="9.85546875" style="1" customWidth="1"/>
    <col min="14304" max="14304" width="12.85546875" style="1" customWidth="1"/>
    <col min="14305" max="14305" width="9.85546875" style="1" customWidth="1"/>
    <col min="14306" max="14307" width="12.85546875" style="1" customWidth="1"/>
    <col min="14308" max="14308" width="9.140625" style="1" customWidth="1"/>
    <col min="14309" max="14313" width="12.28515625" style="1" customWidth="1"/>
    <col min="14314" max="14314" width="11.28515625" style="1" customWidth="1"/>
    <col min="14315" max="14320" width="12.28515625" style="1" customWidth="1"/>
    <col min="14321" max="14321" width="11.140625" style="1" customWidth="1"/>
    <col min="14322" max="14323" width="10.42578125" style="1" customWidth="1"/>
    <col min="14324" max="14325" width="9.140625" style="1" customWidth="1"/>
    <col min="14326" max="14337" width="9.85546875" style="1" customWidth="1"/>
    <col min="14338" max="14338" width="13" style="1" customWidth="1"/>
    <col min="14339" max="14340" width="9.28515625" style="1" customWidth="1"/>
    <col min="14341" max="14341" width="9.140625" style="1" customWidth="1"/>
    <col min="14342" max="14342" width="9.28515625" style="1" customWidth="1"/>
    <col min="14343" max="14343" width="10.28515625" style="1" bestFit="1" customWidth="1"/>
    <col min="14344" max="14354" width="9.140625" style="1"/>
    <col min="14355" max="14355" width="9.85546875" style="1" bestFit="1" customWidth="1"/>
    <col min="14356" max="14356" width="10.42578125" style="1" bestFit="1" customWidth="1"/>
    <col min="14357" max="14556" width="9.140625" style="1"/>
    <col min="14557" max="14557" width="28" style="1" bestFit="1" customWidth="1"/>
    <col min="14558" max="14558" width="15.7109375" style="1" customWidth="1"/>
    <col min="14559" max="14559" width="9.85546875" style="1" customWidth="1"/>
    <col min="14560" max="14560" width="12.85546875" style="1" customWidth="1"/>
    <col min="14561" max="14561" width="9.85546875" style="1" customWidth="1"/>
    <col min="14562" max="14563" width="12.85546875" style="1" customWidth="1"/>
    <col min="14564" max="14564" width="9.140625" style="1" customWidth="1"/>
    <col min="14565" max="14569" width="12.28515625" style="1" customWidth="1"/>
    <col min="14570" max="14570" width="11.28515625" style="1" customWidth="1"/>
    <col min="14571" max="14576" width="12.28515625" style="1" customWidth="1"/>
    <col min="14577" max="14577" width="11.140625" style="1" customWidth="1"/>
    <col min="14578" max="14579" width="10.42578125" style="1" customWidth="1"/>
    <col min="14580" max="14581" width="9.140625" style="1" customWidth="1"/>
    <col min="14582" max="14593" width="9.85546875" style="1" customWidth="1"/>
    <col min="14594" max="14594" width="13" style="1" customWidth="1"/>
    <col min="14595" max="14596" width="9.28515625" style="1" customWidth="1"/>
    <col min="14597" max="14597" width="9.140625" style="1" customWidth="1"/>
    <col min="14598" max="14598" width="9.28515625" style="1" customWidth="1"/>
    <col min="14599" max="14599" width="10.28515625" style="1" bestFit="1" customWidth="1"/>
    <col min="14600" max="14610" width="9.140625" style="1"/>
    <col min="14611" max="14611" width="9.85546875" style="1" bestFit="1" customWidth="1"/>
    <col min="14612" max="14612" width="10.42578125" style="1" bestFit="1" customWidth="1"/>
    <col min="14613" max="14812" width="9.140625" style="1"/>
    <col min="14813" max="14813" width="28" style="1" bestFit="1" customWidth="1"/>
    <col min="14814" max="14814" width="15.7109375" style="1" customWidth="1"/>
    <col min="14815" max="14815" width="9.85546875" style="1" customWidth="1"/>
    <col min="14816" max="14816" width="12.85546875" style="1" customWidth="1"/>
    <col min="14817" max="14817" width="9.85546875" style="1" customWidth="1"/>
    <col min="14818" max="14819" width="12.85546875" style="1" customWidth="1"/>
    <col min="14820" max="14820" width="9.140625" style="1" customWidth="1"/>
    <col min="14821" max="14825" width="12.28515625" style="1" customWidth="1"/>
    <col min="14826" max="14826" width="11.28515625" style="1" customWidth="1"/>
    <col min="14827" max="14832" width="12.28515625" style="1" customWidth="1"/>
    <col min="14833" max="14833" width="11.140625" style="1" customWidth="1"/>
    <col min="14834" max="14835" width="10.42578125" style="1" customWidth="1"/>
    <col min="14836" max="14837" width="9.140625" style="1" customWidth="1"/>
    <col min="14838" max="14849" width="9.85546875" style="1" customWidth="1"/>
    <col min="14850" max="14850" width="13" style="1" customWidth="1"/>
    <col min="14851" max="14852" width="9.28515625" style="1" customWidth="1"/>
    <col min="14853" max="14853" width="9.140625" style="1" customWidth="1"/>
    <col min="14854" max="14854" width="9.28515625" style="1" customWidth="1"/>
    <col min="14855" max="14855" width="10.28515625" style="1" bestFit="1" customWidth="1"/>
    <col min="14856" max="14866" width="9.140625" style="1"/>
    <col min="14867" max="14867" width="9.85546875" style="1" bestFit="1" customWidth="1"/>
    <col min="14868" max="14868" width="10.42578125" style="1" bestFit="1" customWidth="1"/>
    <col min="14869" max="15068" width="9.140625" style="1"/>
    <col min="15069" max="15069" width="28" style="1" bestFit="1" customWidth="1"/>
    <col min="15070" max="15070" width="15.7109375" style="1" customWidth="1"/>
    <col min="15071" max="15071" width="9.85546875" style="1" customWidth="1"/>
    <col min="15072" max="15072" width="12.85546875" style="1" customWidth="1"/>
    <col min="15073" max="15073" width="9.85546875" style="1" customWidth="1"/>
    <col min="15074" max="15075" width="12.85546875" style="1" customWidth="1"/>
    <col min="15076" max="15076" width="9.140625" style="1" customWidth="1"/>
    <col min="15077" max="15081" width="12.28515625" style="1" customWidth="1"/>
    <col min="15082" max="15082" width="11.28515625" style="1" customWidth="1"/>
    <col min="15083" max="15088" width="12.28515625" style="1" customWidth="1"/>
    <col min="15089" max="15089" width="11.140625" style="1" customWidth="1"/>
    <col min="15090" max="15091" width="10.42578125" style="1" customWidth="1"/>
    <col min="15092" max="15093" width="9.140625" style="1" customWidth="1"/>
    <col min="15094" max="15105" width="9.85546875" style="1" customWidth="1"/>
    <col min="15106" max="15106" width="13" style="1" customWidth="1"/>
    <col min="15107" max="15108" width="9.28515625" style="1" customWidth="1"/>
    <col min="15109" max="15109" width="9.140625" style="1" customWidth="1"/>
    <col min="15110" max="15110" width="9.28515625" style="1" customWidth="1"/>
    <col min="15111" max="15111" width="10.28515625" style="1" bestFit="1" customWidth="1"/>
    <col min="15112" max="15122" width="9.140625" style="1"/>
    <col min="15123" max="15123" width="9.85546875" style="1" bestFit="1" customWidth="1"/>
    <col min="15124" max="15124" width="10.42578125" style="1" bestFit="1" customWidth="1"/>
    <col min="15125" max="15324" width="9.140625" style="1"/>
    <col min="15325" max="15325" width="28" style="1" bestFit="1" customWidth="1"/>
    <col min="15326" max="15326" width="15.7109375" style="1" customWidth="1"/>
    <col min="15327" max="15327" width="9.85546875" style="1" customWidth="1"/>
    <col min="15328" max="15328" width="12.85546875" style="1" customWidth="1"/>
    <col min="15329" max="15329" width="9.85546875" style="1" customWidth="1"/>
    <col min="15330" max="15331" width="12.85546875" style="1" customWidth="1"/>
    <col min="15332" max="15332" width="9.140625" style="1" customWidth="1"/>
    <col min="15333" max="15337" width="12.28515625" style="1" customWidth="1"/>
    <col min="15338" max="15338" width="11.28515625" style="1" customWidth="1"/>
    <col min="15339" max="15344" width="12.28515625" style="1" customWidth="1"/>
    <col min="15345" max="15345" width="11.140625" style="1" customWidth="1"/>
    <col min="15346" max="15347" width="10.42578125" style="1" customWidth="1"/>
    <col min="15348" max="15349" width="9.140625" style="1" customWidth="1"/>
    <col min="15350" max="15361" width="9.85546875" style="1" customWidth="1"/>
    <col min="15362" max="15362" width="13" style="1" customWidth="1"/>
    <col min="15363" max="15364" width="9.28515625" style="1" customWidth="1"/>
    <col min="15365" max="15365" width="9.140625" style="1" customWidth="1"/>
    <col min="15366" max="15366" width="9.28515625" style="1" customWidth="1"/>
    <col min="15367" max="15367" width="10.28515625" style="1" bestFit="1" customWidth="1"/>
    <col min="15368" max="15378" width="9.140625" style="1"/>
    <col min="15379" max="15379" width="9.85546875" style="1" bestFit="1" customWidth="1"/>
    <col min="15380" max="15380" width="10.42578125" style="1" bestFit="1" customWidth="1"/>
    <col min="15381" max="15580" width="9.140625" style="1"/>
    <col min="15581" max="15581" width="28" style="1" bestFit="1" customWidth="1"/>
    <col min="15582" max="15582" width="15.7109375" style="1" customWidth="1"/>
    <col min="15583" max="15583" width="9.85546875" style="1" customWidth="1"/>
    <col min="15584" max="15584" width="12.85546875" style="1" customWidth="1"/>
    <col min="15585" max="15585" width="9.85546875" style="1" customWidth="1"/>
    <col min="15586" max="15587" width="12.85546875" style="1" customWidth="1"/>
    <col min="15588" max="15588" width="9.140625" style="1" customWidth="1"/>
    <col min="15589" max="15593" width="12.28515625" style="1" customWidth="1"/>
    <col min="15594" max="15594" width="11.28515625" style="1" customWidth="1"/>
    <col min="15595" max="15600" width="12.28515625" style="1" customWidth="1"/>
    <col min="15601" max="15601" width="11.140625" style="1" customWidth="1"/>
    <col min="15602" max="15603" width="10.42578125" style="1" customWidth="1"/>
    <col min="15604" max="15605" width="9.140625" style="1" customWidth="1"/>
    <col min="15606" max="15617" width="9.85546875" style="1" customWidth="1"/>
    <col min="15618" max="15618" width="13" style="1" customWidth="1"/>
    <col min="15619" max="15620" width="9.28515625" style="1" customWidth="1"/>
    <col min="15621" max="15621" width="9.140625" style="1" customWidth="1"/>
    <col min="15622" max="15622" width="9.28515625" style="1" customWidth="1"/>
    <col min="15623" max="15623" width="10.28515625" style="1" bestFit="1" customWidth="1"/>
    <col min="15624" max="15634" width="9.140625" style="1"/>
    <col min="15635" max="15635" width="9.85546875" style="1" bestFit="1" customWidth="1"/>
    <col min="15636" max="15636" width="10.42578125" style="1" bestFit="1" customWidth="1"/>
    <col min="15637" max="15836" width="9.140625" style="1"/>
    <col min="15837" max="15837" width="28" style="1" bestFit="1" customWidth="1"/>
    <col min="15838" max="15838" width="15.7109375" style="1" customWidth="1"/>
    <col min="15839" max="15839" width="9.85546875" style="1" customWidth="1"/>
    <col min="15840" max="15840" width="12.85546875" style="1" customWidth="1"/>
    <col min="15841" max="15841" width="9.85546875" style="1" customWidth="1"/>
    <col min="15842" max="15843" width="12.85546875" style="1" customWidth="1"/>
    <col min="15844" max="15844" width="9.140625" style="1" customWidth="1"/>
    <col min="15845" max="15849" width="12.28515625" style="1" customWidth="1"/>
    <col min="15850" max="15850" width="11.28515625" style="1" customWidth="1"/>
    <col min="15851" max="15856" width="12.28515625" style="1" customWidth="1"/>
    <col min="15857" max="15857" width="11.140625" style="1" customWidth="1"/>
    <col min="15858" max="15859" width="10.42578125" style="1" customWidth="1"/>
    <col min="15860" max="15861" width="9.140625" style="1" customWidth="1"/>
    <col min="15862" max="15873" width="9.85546875" style="1" customWidth="1"/>
    <col min="15874" max="15874" width="13" style="1" customWidth="1"/>
    <col min="15875" max="15876" width="9.28515625" style="1" customWidth="1"/>
    <col min="15877" max="15877" width="9.140625" style="1" customWidth="1"/>
    <col min="15878" max="15878" width="9.28515625" style="1" customWidth="1"/>
    <col min="15879" max="15879" width="10.28515625" style="1" bestFit="1" customWidth="1"/>
    <col min="15880" max="15890" width="9.140625" style="1"/>
    <col min="15891" max="15891" width="9.85546875" style="1" bestFit="1" customWidth="1"/>
    <col min="15892" max="15892" width="10.42578125" style="1" bestFit="1" customWidth="1"/>
    <col min="15893" max="16092" width="9.140625" style="1"/>
    <col min="16093" max="16093" width="28" style="1" bestFit="1" customWidth="1"/>
    <col min="16094" max="16094" width="15.7109375" style="1" customWidth="1"/>
    <col min="16095" max="16095" width="9.85546875" style="1" customWidth="1"/>
    <col min="16096" max="16096" width="12.85546875" style="1" customWidth="1"/>
    <col min="16097" max="16097" width="9.85546875" style="1" customWidth="1"/>
    <col min="16098" max="16099" width="12.85546875" style="1" customWidth="1"/>
    <col min="16100" max="16100" width="9.140625" style="1" customWidth="1"/>
    <col min="16101" max="16105" width="12.28515625" style="1" customWidth="1"/>
    <col min="16106" max="16106" width="11.28515625" style="1" customWidth="1"/>
    <col min="16107" max="16112" width="12.28515625" style="1" customWidth="1"/>
    <col min="16113" max="16113" width="11.140625" style="1" customWidth="1"/>
    <col min="16114" max="16115" width="10.42578125" style="1" customWidth="1"/>
    <col min="16116" max="16117" width="9.140625" style="1" customWidth="1"/>
    <col min="16118" max="16129" width="9.85546875" style="1" customWidth="1"/>
    <col min="16130" max="16130" width="13" style="1" customWidth="1"/>
    <col min="16131" max="16132" width="9.28515625" style="1" customWidth="1"/>
    <col min="16133" max="16133" width="9.140625" style="1" customWidth="1"/>
    <col min="16134" max="16134" width="9.28515625" style="1" customWidth="1"/>
    <col min="16135" max="16135" width="10.28515625" style="1" bestFit="1" customWidth="1"/>
    <col min="16136" max="16146" width="9.140625" style="1"/>
    <col min="16147" max="16147" width="9.85546875" style="1" bestFit="1" customWidth="1"/>
    <col min="16148" max="16148" width="10.42578125" style="1" bestFit="1" customWidth="1"/>
    <col min="16149" max="16384" width="9.140625" style="1"/>
  </cols>
  <sheetData>
    <row r="1" spans="1:20"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20" x14ac:dyDescent="0.2">
      <c r="B2" s="139" t="s">
        <v>519</v>
      </c>
      <c r="C2" s="189">
        <f>STATS!D65</f>
        <v>391</v>
      </c>
      <c r="F2" s="131">
        <f>'MO STATS'!E61</f>
        <v>34</v>
      </c>
      <c r="G2" s="131">
        <f>'MO STATS'!F61</f>
        <v>26</v>
      </c>
      <c r="H2" s="131">
        <f>'MO STATS'!G61</f>
        <v>12</v>
      </c>
      <c r="I2" s="131">
        <f>'MO STATS'!H61</f>
        <v>38</v>
      </c>
      <c r="J2" s="131">
        <f>'MO STATS'!I61</f>
        <v>44</v>
      </c>
      <c r="K2" s="131">
        <f>'MO STATS'!J61</f>
        <v>44</v>
      </c>
      <c r="L2" s="131">
        <f>'MO STATS'!K61</f>
        <v>13</v>
      </c>
      <c r="M2" s="131">
        <f>'MO STATS'!L61</f>
        <v>19</v>
      </c>
      <c r="N2" s="131">
        <f>'MO STATS'!M61</f>
        <v>38</v>
      </c>
      <c r="O2" s="131">
        <f>'MO STATS'!N61</f>
        <v>68</v>
      </c>
      <c r="P2" s="131">
        <f>'MO STATS'!O61</f>
        <v>26</v>
      </c>
      <c r="Q2" s="131">
        <f>'MO STATS'!P61</f>
        <v>29</v>
      </c>
      <c r="R2" s="96">
        <f>SUM(F2:Q2)</f>
        <v>391</v>
      </c>
      <c r="S2" s="3">
        <f>C2-R2</f>
        <v>0</v>
      </c>
    </row>
    <row r="3" spans="1:20" x14ac:dyDescent="0.2">
      <c r="B3" s="139"/>
      <c r="C3" s="189"/>
      <c r="H3" s="4"/>
      <c r="I3" s="4"/>
      <c r="J3" s="4"/>
      <c r="K3" s="4"/>
      <c r="L3" s="4"/>
      <c r="M3" s="4"/>
      <c r="N3" s="4"/>
      <c r="O3" s="4"/>
      <c r="P3" s="4"/>
      <c r="Q3" s="4"/>
      <c r="R3" s="6"/>
    </row>
    <row r="4" spans="1:20" x14ac:dyDescent="0.2">
      <c r="B4" s="139"/>
      <c r="C4" s="189"/>
      <c r="F4" s="111"/>
      <c r="G4" s="111"/>
      <c r="H4" s="111"/>
      <c r="I4" s="111"/>
      <c r="J4" s="111"/>
      <c r="K4" s="111"/>
      <c r="L4" s="111"/>
      <c r="M4" s="111"/>
      <c r="N4" s="111"/>
      <c r="O4" s="111"/>
      <c r="P4" s="111"/>
      <c r="Q4" s="111"/>
      <c r="R4" s="6"/>
    </row>
    <row r="5" spans="1:20" x14ac:dyDescent="0.2">
      <c r="B5" s="139"/>
      <c r="H5" s="4"/>
      <c r="I5" s="4"/>
      <c r="J5" s="4"/>
      <c r="K5" s="4"/>
      <c r="L5" s="4"/>
      <c r="M5" s="4"/>
      <c r="N5" s="4"/>
      <c r="O5" s="4"/>
      <c r="P5" s="4"/>
      <c r="Q5" s="4"/>
    </row>
    <row r="6" spans="1:20" x14ac:dyDescent="0.2">
      <c r="A6" s="716" t="s">
        <v>35</v>
      </c>
      <c r="B6" s="716"/>
      <c r="C6" s="716"/>
      <c r="D6" s="716"/>
      <c r="E6" s="195"/>
    </row>
    <row r="7" spans="1:20" x14ac:dyDescent="0.2">
      <c r="A7" s="31"/>
      <c r="B7" s="77" t="s">
        <v>520</v>
      </c>
      <c r="C7" s="78"/>
      <c r="D7" s="102" t="s">
        <v>525</v>
      </c>
      <c r="E7" s="103"/>
    </row>
    <row r="8" spans="1:20" x14ac:dyDescent="0.2">
      <c r="A8" s="16"/>
      <c r="B8" s="29" t="s">
        <v>352</v>
      </c>
      <c r="C8" s="28">
        <f>D8*C$2</f>
        <v>0</v>
      </c>
      <c r="D8" s="13">
        <v>0</v>
      </c>
      <c r="E8" s="7"/>
      <c r="F8" s="375">
        <f>$D8*F$2</f>
        <v>0</v>
      </c>
      <c r="G8" s="375">
        <f t="shared" ref="G8:Q14" si="0">$D8*G$2</f>
        <v>0</v>
      </c>
      <c r="H8" s="375">
        <f t="shared" si="0"/>
        <v>0</v>
      </c>
      <c r="I8" s="375">
        <f t="shared" si="0"/>
        <v>0</v>
      </c>
      <c r="J8" s="375">
        <f t="shared" si="0"/>
        <v>0</v>
      </c>
      <c r="K8" s="375">
        <f t="shared" si="0"/>
        <v>0</v>
      </c>
      <c r="L8" s="375">
        <f t="shared" si="0"/>
        <v>0</v>
      </c>
      <c r="M8" s="375">
        <f t="shared" si="0"/>
        <v>0</v>
      </c>
      <c r="N8" s="375">
        <f t="shared" si="0"/>
        <v>0</v>
      </c>
      <c r="O8" s="375">
        <f t="shared" si="0"/>
        <v>0</v>
      </c>
      <c r="P8" s="375">
        <f t="shared" si="0"/>
        <v>0</v>
      </c>
      <c r="Q8" s="375">
        <f t="shared" si="0"/>
        <v>0</v>
      </c>
      <c r="R8" s="109">
        <f>SUM(F8:Q8)</f>
        <v>0</v>
      </c>
      <c r="S8" s="3">
        <f>C8-R8</f>
        <v>0</v>
      </c>
      <c r="T8" s="3"/>
    </row>
    <row r="9" spans="1:20" x14ac:dyDescent="0.2">
      <c r="A9" s="16"/>
      <c r="B9" s="29" t="s">
        <v>353</v>
      </c>
      <c r="C9" s="28">
        <f t="shared" ref="C9:C22" si="1">D9*C$2</f>
        <v>0</v>
      </c>
      <c r="D9" s="13">
        <v>0</v>
      </c>
      <c r="E9" s="7"/>
      <c r="F9" s="375">
        <f t="shared" ref="F9:F14" si="2">$D9*F$2</f>
        <v>0</v>
      </c>
      <c r="G9" s="375">
        <f t="shared" si="0"/>
        <v>0</v>
      </c>
      <c r="H9" s="375">
        <f t="shared" si="0"/>
        <v>0</v>
      </c>
      <c r="I9" s="375">
        <f t="shared" si="0"/>
        <v>0</v>
      </c>
      <c r="J9" s="375">
        <f t="shared" si="0"/>
        <v>0</v>
      </c>
      <c r="K9" s="375">
        <f t="shared" si="0"/>
        <v>0</v>
      </c>
      <c r="L9" s="375">
        <f t="shared" si="0"/>
        <v>0</v>
      </c>
      <c r="M9" s="375">
        <f t="shared" si="0"/>
        <v>0</v>
      </c>
      <c r="N9" s="375">
        <f t="shared" si="0"/>
        <v>0</v>
      </c>
      <c r="O9" s="375">
        <f t="shared" si="0"/>
        <v>0</v>
      </c>
      <c r="P9" s="375">
        <f t="shared" si="0"/>
        <v>0</v>
      </c>
      <c r="Q9" s="375">
        <f t="shared" si="0"/>
        <v>0</v>
      </c>
      <c r="R9" s="109">
        <f t="shared" ref="R9:R32" si="3">SUM(F9:Q9)</f>
        <v>0</v>
      </c>
      <c r="S9" s="3">
        <f t="shared" ref="S9:S32" si="4">C9-R9</f>
        <v>0</v>
      </c>
      <c r="T9" s="3"/>
    </row>
    <row r="10" spans="1:20" x14ac:dyDescent="0.2">
      <c r="A10" s="16"/>
      <c r="B10" s="29" t="s">
        <v>355</v>
      </c>
      <c r="C10" s="28">
        <f t="shared" si="1"/>
        <v>0</v>
      </c>
      <c r="D10" s="13">
        <v>0</v>
      </c>
      <c r="E10" s="7"/>
      <c r="F10" s="375">
        <f t="shared" si="2"/>
        <v>0</v>
      </c>
      <c r="G10" s="375">
        <f t="shared" si="0"/>
        <v>0</v>
      </c>
      <c r="H10" s="375">
        <f t="shared" si="0"/>
        <v>0</v>
      </c>
      <c r="I10" s="375">
        <f t="shared" si="0"/>
        <v>0</v>
      </c>
      <c r="J10" s="375">
        <f t="shared" si="0"/>
        <v>0</v>
      </c>
      <c r="K10" s="375">
        <f t="shared" si="0"/>
        <v>0</v>
      </c>
      <c r="L10" s="375">
        <f t="shared" si="0"/>
        <v>0</v>
      </c>
      <c r="M10" s="375">
        <f t="shared" si="0"/>
        <v>0</v>
      </c>
      <c r="N10" s="375">
        <f t="shared" si="0"/>
        <v>0</v>
      </c>
      <c r="O10" s="375">
        <f t="shared" si="0"/>
        <v>0</v>
      </c>
      <c r="P10" s="375">
        <f t="shared" si="0"/>
        <v>0</v>
      </c>
      <c r="Q10" s="375">
        <f t="shared" si="0"/>
        <v>0</v>
      </c>
      <c r="R10" s="109">
        <f t="shared" si="3"/>
        <v>0</v>
      </c>
      <c r="S10" s="3">
        <f t="shared" si="4"/>
        <v>0</v>
      </c>
      <c r="T10" s="3"/>
    </row>
    <row r="11" spans="1:20" x14ac:dyDescent="0.2">
      <c r="A11" s="16"/>
      <c r="B11" s="29" t="s">
        <v>370</v>
      </c>
      <c r="C11" s="28">
        <f t="shared" si="1"/>
        <v>0</v>
      </c>
      <c r="D11" s="13">
        <v>0</v>
      </c>
      <c r="E11" s="7"/>
      <c r="F11" s="375">
        <f t="shared" si="2"/>
        <v>0</v>
      </c>
      <c r="G11" s="375">
        <f t="shared" si="0"/>
        <v>0</v>
      </c>
      <c r="H11" s="375">
        <f t="shared" si="0"/>
        <v>0</v>
      </c>
      <c r="I11" s="375">
        <f t="shared" si="0"/>
        <v>0</v>
      </c>
      <c r="J11" s="375">
        <f t="shared" si="0"/>
        <v>0</v>
      </c>
      <c r="K11" s="375">
        <f t="shared" si="0"/>
        <v>0</v>
      </c>
      <c r="L11" s="375">
        <f t="shared" si="0"/>
        <v>0</v>
      </c>
      <c r="M11" s="375">
        <f t="shared" si="0"/>
        <v>0</v>
      </c>
      <c r="N11" s="375">
        <f t="shared" si="0"/>
        <v>0</v>
      </c>
      <c r="O11" s="375">
        <f t="shared" si="0"/>
        <v>0</v>
      </c>
      <c r="P11" s="375">
        <f t="shared" si="0"/>
        <v>0</v>
      </c>
      <c r="Q11" s="375">
        <f t="shared" si="0"/>
        <v>0</v>
      </c>
      <c r="R11" s="109">
        <f t="shared" si="3"/>
        <v>0</v>
      </c>
      <c r="S11" s="3">
        <f t="shared" si="4"/>
        <v>0</v>
      </c>
      <c r="T11" s="3"/>
    </row>
    <row r="12" spans="1:20" x14ac:dyDescent="0.2">
      <c r="A12" s="16"/>
      <c r="B12" s="29" t="s">
        <v>356</v>
      </c>
      <c r="C12" s="28">
        <f t="shared" si="1"/>
        <v>0</v>
      </c>
      <c r="D12" s="13">
        <v>0</v>
      </c>
      <c r="E12" s="7"/>
      <c r="F12" s="375">
        <f t="shared" si="2"/>
        <v>0</v>
      </c>
      <c r="G12" s="375">
        <f t="shared" si="0"/>
        <v>0</v>
      </c>
      <c r="H12" s="375">
        <f t="shared" si="0"/>
        <v>0</v>
      </c>
      <c r="I12" s="375">
        <f t="shared" si="0"/>
        <v>0</v>
      </c>
      <c r="J12" s="375">
        <f t="shared" si="0"/>
        <v>0</v>
      </c>
      <c r="K12" s="375">
        <f t="shared" si="0"/>
        <v>0</v>
      </c>
      <c r="L12" s="375">
        <f t="shared" si="0"/>
        <v>0</v>
      </c>
      <c r="M12" s="375">
        <f t="shared" si="0"/>
        <v>0</v>
      </c>
      <c r="N12" s="375">
        <f t="shared" si="0"/>
        <v>0</v>
      </c>
      <c r="O12" s="375">
        <f t="shared" si="0"/>
        <v>0</v>
      </c>
      <c r="P12" s="375">
        <f t="shared" si="0"/>
        <v>0</v>
      </c>
      <c r="Q12" s="375">
        <f t="shared" si="0"/>
        <v>0</v>
      </c>
      <c r="R12" s="109">
        <f t="shared" si="3"/>
        <v>0</v>
      </c>
      <c r="S12" s="3">
        <f t="shared" si="4"/>
        <v>0</v>
      </c>
      <c r="T12" s="3"/>
    </row>
    <row r="13" spans="1:20" x14ac:dyDescent="0.2">
      <c r="A13" s="16"/>
      <c r="B13" s="29" t="s">
        <v>354</v>
      </c>
      <c r="C13" s="28">
        <f t="shared" si="1"/>
        <v>0</v>
      </c>
      <c r="D13" s="13">
        <v>0</v>
      </c>
      <c r="E13" s="7"/>
      <c r="F13" s="375">
        <f t="shared" si="2"/>
        <v>0</v>
      </c>
      <c r="G13" s="375">
        <f t="shared" si="0"/>
        <v>0</v>
      </c>
      <c r="H13" s="375">
        <f t="shared" si="0"/>
        <v>0</v>
      </c>
      <c r="I13" s="375">
        <f t="shared" si="0"/>
        <v>0</v>
      </c>
      <c r="J13" s="375">
        <f t="shared" si="0"/>
        <v>0</v>
      </c>
      <c r="K13" s="375">
        <f t="shared" si="0"/>
        <v>0</v>
      </c>
      <c r="L13" s="375">
        <f t="shared" si="0"/>
        <v>0</v>
      </c>
      <c r="M13" s="375">
        <f t="shared" si="0"/>
        <v>0</v>
      </c>
      <c r="N13" s="375">
        <f t="shared" si="0"/>
        <v>0</v>
      </c>
      <c r="O13" s="375">
        <f t="shared" si="0"/>
        <v>0</v>
      </c>
      <c r="P13" s="375">
        <f t="shared" si="0"/>
        <v>0</v>
      </c>
      <c r="Q13" s="375">
        <f t="shared" si="0"/>
        <v>0</v>
      </c>
      <c r="R13" s="109">
        <f t="shared" si="3"/>
        <v>0</v>
      </c>
      <c r="S13" s="3">
        <f t="shared" si="4"/>
        <v>0</v>
      </c>
      <c r="T13" s="3"/>
    </row>
    <row r="14" spans="1:20" x14ac:dyDescent="0.2">
      <c r="A14" s="16"/>
      <c r="B14" s="29" t="s">
        <v>357</v>
      </c>
      <c r="C14" s="28">
        <f t="shared" si="1"/>
        <v>0</v>
      </c>
      <c r="D14" s="13">
        <v>0</v>
      </c>
      <c r="E14" s="7"/>
      <c r="F14" s="375">
        <f t="shared" si="2"/>
        <v>0</v>
      </c>
      <c r="G14" s="375">
        <f t="shared" si="0"/>
        <v>0</v>
      </c>
      <c r="H14" s="375">
        <f t="shared" si="0"/>
        <v>0</v>
      </c>
      <c r="I14" s="375">
        <f t="shared" si="0"/>
        <v>0</v>
      </c>
      <c r="J14" s="375">
        <f t="shared" si="0"/>
        <v>0</v>
      </c>
      <c r="K14" s="375">
        <f t="shared" si="0"/>
        <v>0</v>
      </c>
      <c r="L14" s="375">
        <f t="shared" si="0"/>
        <v>0</v>
      </c>
      <c r="M14" s="375">
        <f t="shared" si="0"/>
        <v>0</v>
      </c>
      <c r="N14" s="375">
        <f t="shared" si="0"/>
        <v>0</v>
      </c>
      <c r="O14" s="375">
        <f t="shared" si="0"/>
        <v>0</v>
      </c>
      <c r="P14" s="375">
        <f t="shared" si="0"/>
        <v>0</v>
      </c>
      <c r="Q14" s="375">
        <f t="shared" si="0"/>
        <v>0</v>
      </c>
      <c r="R14" s="109">
        <f t="shared" si="3"/>
        <v>0</v>
      </c>
      <c r="S14" s="3">
        <f t="shared" si="4"/>
        <v>0</v>
      </c>
      <c r="T14" s="3"/>
    </row>
    <row r="15" spans="1:20" x14ac:dyDescent="0.2">
      <c r="A15" s="87">
        <v>31110.064999999999</v>
      </c>
      <c r="B15" s="161" t="s">
        <v>521</v>
      </c>
      <c r="C15" s="290">
        <f>SUM(C8:C14)</f>
        <v>0</v>
      </c>
      <c r="D15" s="291"/>
      <c r="E15" s="291"/>
      <c r="F15" s="372">
        <f>SUM(F8:F14)</f>
        <v>0</v>
      </c>
      <c r="G15" s="372">
        <f t="shared" ref="G15:Q15" si="5">SUM(G8:G14)</f>
        <v>0</v>
      </c>
      <c r="H15" s="372">
        <f t="shared" si="5"/>
        <v>0</v>
      </c>
      <c r="I15" s="372">
        <f t="shared" si="5"/>
        <v>0</v>
      </c>
      <c r="J15" s="372">
        <f t="shared" si="5"/>
        <v>0</v>
      </c>
      <c r="K15" s="372">
        <f t="shared" si="5"/>
        <v>0</v>
      </c>
      <c r="L15" s="372">
        <f t="shared" si="5"/>
        <v>0</v>
      </c>
      <c r="M15" s="372">
        <f t="shared" si="5"/>
        <v>0</v>
      </c>
      <c r="N15" s="372">
        <f t="shared" si="5"/>
        <v>0</v>
      </c>
      <c r="O15" s="372">
        <f t="shared" si="5"/>
        <v>0</v>
      </c>
      <c r="P15" s="372">
        <f t="shared" si="5"/>
        <v>0</v>
      </c>
      <c r="Q15" s="372">
        <f t="shared" si="5"/>
        <v>0</v>
      </c>
      <c r="R15" s="369">
        <f t="shared" si="3"/>
        <v>0</v>
      </c>
      <c r="S15" s="291">
        <f t="shared" si="4"/>
        <v>0</v>
      </c>
      <c r="T15" s="3"/>
    </row>
    <row r="16" spans="1:20" x14ac:dyDescent="0.2">
      <c r="A16" s="16"/>
      <c r="B16" s="29" t="s">
        <v>424</v>
      </c>
      <c r="C16" s="28">
        <f t="shared" si="1"/>
        <v>0</v>
      </c>
      <c r="D16" s="13">
        <v>0</v>
      </c>
      <c r="E16" s="7"/>
      <c r="F16" s="375">
        <f>$D16*F$2</f>
        <v>0</v>
      </c>
      <c r="G16" s="375">
        <f t="shared" ref="G16:Q22" si="6">$D16*G$2</f>
        <v>0</v>
      </c>
      <c r="H16" s="375">
        <f t="shared" si="6"/>
        <v>0</v>
      </c>
      <c r="I16" s="375">
        <f t="shared" si="6"/>
        <v>0</v>
      </c>
      <c r="J16" s="375">
        <f t="shared" si="6"/>
        <v>0</v>
      </c>
      <c r="K16" s="375">
        <f t="shared" si="6"/>
        <v>0</v>
      </c>
      <c r="L16" s="375">
        <f t="shared" si="6"/>
        <v>0</v>
      </c>
      <c r="M16" s="375">
        <f t="shared" si="6"/>
        <v>0</v>
      </c>
      <c r="N16" s="375">
        <f t="shared" si="6"/>
        <v>0</v>
      </c>
      <c r="O16" s="375">
        <f t="shared" si="6"/>
        <v>0</v>
      </c>
      <c r="P16" s="375">
        <f t="shared" si="6"/>
        <v>0</v>
      </c>
      <c r="Q16" s="375">
        <f t="shared" si="6"/>
        <v>0</v>
      </c>
      <c r="R16" s="109">
        <f t="shared" si="3"/>
        <v>0</v>
      </c>
      <c r="S16" s="3">
        <f t="shared" si="4"/>
        <v>0</v>
      </c>
      <c r="T16" s="3"/>
    </row>
    <row r="17" spans="1:20" x14ac:dyDescent="0.2">
      <c r="A17" s="16"/>
      <c r="B17" s="29" t="s">
        <v>425</v>
      </c>
      <c r="C17" s="28">
        <f t="shared" si="1"/>
        <v>0</v>
      </c>
      <c r="D17" s="13">
        <v>0</v>
      </c>
      <c r="E17" s="7"/>
      <c r="F17" s="375">
        <f t="shared" ref="F17:F22" si="7">$D17*F$2</f>
        <v>0</v>
      </c>
      <c r="G17" s="375">
        <f t="shared" si="6"/>
        <v>0</v>
      </c>
      <c r="H17" s="375">
        <f t="shared" si="6"/>
        <v>0</v>
      </c>
      <c r="I17" s="375">
        <f t="shared" si="6"/>
        <v>0</v>
      </c>
      <c r="J17" s="375">
        <f t="shared" si="6"/>
        <v>0</v>
      </c>
      <c r="K17" s="375">
        <f t="shared" si="6"/>
        <v>0</v>
      </c>
      <c r="L17" s="375">
        <f t="shared" si="6"/>
        <v>0</v>
      </c>
      <c r="M17" s="375">
        <f t="shared" si="6"/>
        <v>0</v>
      </c>
      <c r="N17" s="375">
        <f t="shared" si="6"/>
        <v>0</v>
      </c>
      <c r="O17" s="375">
        <f t="shared" si="6"/>
        <v>0</v>
      </c>
      <c r="P17" s="375">
        <f t="shared" si="6"/>
        <v>0</v>
      </c>
      <c r="Q17" s="375">
        <f t="shared" si="6"/>
        <v>0</v>
      </c>
      <c r="R17" s="376">
        <f t="shared" si="3"/>
        <v>0</v>
      </c>
      <c r="S17" s="3">
        <f t="shared" si="4"/>
        <v>0</v>
      </c>
      <c r="T17" s="3"/>
    </row>
    <row r="18" spans="1:20" x14ac:dyDescent="0.2">
      <c r="A18" s="16"/>
      <c r="B18" s="29" t="s">
        <v>426</v>
      </c>
      <c r="C18" s="28">
        <f t="shared" si="1"/>
        <v>0</v>
      </c>
      <c r="D18" s="13">
        <v>0</v>
      </c>
      <c r="E18" s="7"/>
      <c r="F18" s="375">
        <f t="shared" si="7"/>
        <v>0</v>
      </c>
      <c r="G18" s="375">
        <f t="shared" si="6"/>
        <v>0</v>
      </c>
      <c r="H18" s="375">
        <f t="shared" si="6"/>
        <v>0</v>
      </c>
      <c r="I18" s="375">
        <f t="shared" si="6"/>
        <v>0</v>
      </c>
      <c r="J18" s="375">
        <f t="shared" si="6"/>
        <v>0</v>
      </c>
      <c r="K18" s="375">
        <f t="shared" si="6"/>
        <v>0</v>
      </c>
      <c r="L18" s="375">
        <f t="shared" si="6"/>
        <v>0</v>
      </c>
      <c r="M18" s="375">
        <f t="shared" si="6"/>
        <v>0</v>
      </c>
      <c r="N18" s="375">
        <f t="shared" si="6"/>
        <v>0</v>
      </c>
      <c r="O18" s="375">
        <f t="shared" si="6"/>
        <v>0</v>
      </c>
      <c r="P18" s="375">
        <f t="shared" si="6"/>
        <v>0</v>
      </c>
      <c r="Q18" s="375">
        <f t="shared" si="6"/>
        <v>0</v>
      </c>
      <c r="R18" s="109">
        <f t="shared" si="3"/>
        <v>0</v>
      </c>
      <c r="S18" s="3">
        <f t="shared" si="4"/>
        <v>0</v>
      </c>
      <c r="T18" s="3"/>
    </row>
    <row r="19" spans="1:20" x14ac:dyDescent="0.2">
      <c r="A19" s="16"/>
      <c r="B19" s="29" t="s">
        <v>427</v>
      </c>
      <c r="C19" s="28">
        <f t="shared" si="1"/>
        <v>0</v>
      </c>
      <c r="D19" s="13">
        <v>0</v>
      </c>
      <c r="E19" s="7"/>
      <c r="F19" s="375">
        <f t="shared" si="7"/>
        <v>0</v>
      </c>
      <c r="G19" s="375">
        <f t="shared" si="6"/>
        <v>0</v>
      </c>
      <c r="H19" s="375">
        <f t="shared" si="6"/>
        <v>0</v>
      </c>
      <c r="I19" s="375">
        <f t="shared" si="6"/>
        <v>0</v>
      </c>
      <c r="J19" s="375">
        <f t="shared" si="6"/>
        <v>0</v>
      </c>
      <c r="K19" s="375">
        <f t="shared" si="6"/>
        <v>0</v>
      </c>
      <c r="L19" s="375">
        <f t="shared" si="6"/>
        <v>0</v>
      </c>
      <c r="M19" s="375">
        <f t="shared" si="6"/>
        <v>0</v>
      </c>
      <c r="N19" s="375">
        <f t="shared" si="6"/>
        <v>0</v>
      </c>
      <c r="O19" s="375">
        <f t="shared" si="6"/>
        <v>0</v>
      </c>
      <c r="P19" s="375">
        <f t="shared" si="6"/>
        <v>0</v>
      </c>
      <c r="Q19" s="375">
        <f t="shared" si="6"/>
        <v>0</v>
      </c>
      <c r="R19" s="109">
        <f t="shared" si="3"/>
        <v>0</v>
      </c>
      <c r="S19" s="3">
        <f t="shared" si="4"/>
        <v>0</v>
      </c>
      <c r="T19" s="3"/>
    </row>
    <row r="20" spans="1:20" x14ac:dyDescent="0.2">
      <c r="A20" s="16"/>
      <c r="B20" s="29" t="s">
        <v>428</v>
      </c>
      <c r="C20" s="28">
        <f t="shared" si="1"/>
        <v>0</v>
      </c>
      <c r="D20" s="13">
        <v>0</v>
      </c>
      <c r="E20" s="7"/>
      <c r="F20" s="375">
        <f t="shared" si="7"/>
        <v>0</v>
      </c>
      <c r="G20" s="375">
        <f t="shared" si="6"/>
        <v>0</v>
      </c>
      <c r="H20" s="375">
        <f t="shared" si="6"/>
        <v>0</v>
      </c>
      <c r="I20" s="375">
        <f t="shared" si="6"/>
        <v>0</v>
      </c>
      <c r="J20" s="375">
        <f t="shared" si="6"/>
        <v>0</v>
      </c>
      <c r="K20" s="375">
        <f t="shared" si="6"/>
        <v>0</v>
      </c>
      <c r="L20" s="375">
        <f t="shared" si="6"/>
        <v>0</v>
      </c>
      <c r="M20" s="375">
        <f t="shared" si="6"/>
        <v>0</v>
      </c>
      <c r="N20" s="375">
        <f t="shared" si="6"/>
        <v>0</v>
      </c>
      <c r="O20" s="375">
        <f t="shared" si="6"/>
        <v>0</v>
      </c>
      <c r="P20" s="375">
        <f t="shared" si="6"/>
        <v>0</v>
      </c>
      <c r="Q20" s="375">
        <f t="shared" si="6"/>
        <v>0</v>
      </c>
      <c r="R20" s="109">
        <f t="shared" si="3"/>
        <v>0</v>
      </c>
      <c r="S20" s="3">
        <f t="shared" si="4"/>
        <v>0</v>
      </c>
      <c r="T20" s="3"/>
    </row>
    <row r="21" spans="1:20" x14ac:dyDescent="0.2">
      <c r="A21" s="16"/>
      <c r="B21" s="29" t="s">
        <v>429</v>
      </c>
      <c r="C21" s="28">
        <f t="shared" si="1"/>
        <v>0</v>
      </c>
      <c r="D21" s="13">
        <v>0</v>
      </c>
      <c r="E21" s="7"/>
      <c r="F21" s="375">
        <f t="shared" si="7"/>
        <v>0</v>
      </c>
      <c r="G21" s="375">
        <f t="shared" si="6"/>
        <v>0</v>
      </c>
      <c r="H21" s="375">
        <f t="shared" si="6"/>
        <v>0</v>
      </c>
      <c r="I21" s="375">
        <f t="shared" si="6"/>
        <v>0</v>
      </c>
      <c r="J21" s="375">
        <f t="shared" si="6"/>
        <v>0</v>
      </c>
      <c r="K21" s="375">
        <f t="shared" si="6"/>
        <v>0</v>
      </c>
      <c r="L21" s="375">
        <f t="shared" si="6"/>
        <v>0</v>
      </c>
      <c r="M21" s="375">
        <f t="shared" si="6"/>
        <v>0</v>
      </c>
      <c r="N21" s="375">
        <f t="shared" si="6"/>
        <v>0</v>
      </c>
      <c r="O21" s="375">
        <f t="shared" si="6"/>
        <v>0</v>
      </c>
      <c r="P21" s="375">
        <f t="shared" si="6"/>
        <v>0</v>
      </c>
      <c r="Q21" s="375">
        <f t="shared" si="6"/>
        <v>0</v>
      </c>
      <c r="R21" s="109">
        <f t="shared" si="3"/>
        <v>0</v>
      </c>
      <c r="S21" s="3">
        <f t="shared" si="4"/>
        <v>0</v>
      </c>
      <c r="T21" s="3"/>
    </row>
    <row r="22" spans="1:20" x14ac:dyDescent="0.2">
      <c r="A22" s="16"/>
      <c r="B22" s="29" t="s">
        <v>430</v>
      </c>
      <c r="C22" s="28">
        <f t="shared" si="1"/>
        <v>0</v>
      </c>
      <c r="D22" s="13">
        <v>0</v>
      </c>
      <c r="E22" s="7"/>
      <c r="F22" s="375">
        <f t="shared" si="7"/>
        <v>0</v>
      </c>
      <c r="G22" s="375">
        <f t="shared" si="6"/>
        <v>0</v>
      </c>
      <c r="H22" s="375">
        <f t="shared" si="6"/>
        <v>0</v>
      </c>
      <c r="I22" s="375">
        <f t="shared" si="6"/>
        <v>0</v>
      </c>
      <c r="J22" s="375">
        <f t="shared" si="6"/>
        <v>0</v>
      </c>
      <c r="K22" s="375">
        <f t="shared" si="6"/>
        <v>0</v>
      </c>
      <c r="L22" s="375">
        <f t="shared" si="6"/>
        <v>0</v>
      </c>
      <c r="M22" s="375">
        <f t="shared" si="6"/>
        <v>0</v>
      </c>
      <c r="N22" s="375">
        <f t="shared" si="6"/>
        <v>0</v>
      </c>
      <c r="O22" s="375">
        <f t="shared" si="6"/>
        <v>0</v>
      </c>
      <c r="P22" s="375">
        <f t="shared" si="6"/>
        <v>0</v>
      </c>
      <c r="Q22" s="375">
        <f t="shared" si="6"/>
        <v>0</v>
      </c>
      <c r="R22" s="109">
        <f t="shared" si="3"/>
        <v>0</v>
      </c>
      <c r="S22" s="3">
        <f t="shared" si="4"/>
        <v>0</v>
      </c>
      <c r="T22" s="3"/>
    </row>
    <row r="23" spans="1:20" x14ac:dyDescent="0.2">
      <c r="A23" s="87">
        <v>31111.064999999999</v>
      </c>
      <c r="B23" s="161" t="s">
        <v>522</v>
      </c>
      <c r="C23" s="290">
        <f>SUM(C16:C22)</f>
        <v>0</v>
      </c>
      <c r="D23" s="291"/>
      <c r="E23" s="291"/>
      <c r="F23" s="372">
        <f>SUM(F16:F22)</f>
        <v>0</v>
      </c>
      <c r="G23" s="372">
        <f t="shared" ref="G23:Q23" si="8">SUM(G16:G22)</f>
        <v>0</v>
      </c>
      <c r="H23" s="372">
        <f t="shared" si="8"/>
        <v>0</v>
      </c>
      <c r="I23" s="372">
        <f t="shared" si="8"/>
        <v>0</v>
      </c>
      <c r="J23" s="372">
        <f t="shared" si="8"/>
        <v>0</v>
      </c>
      <c r="K23" s="372">
        <f t="shared" si="8"/>
        <v>0</v>
      </c>
      <c r="L23" s="372">
        <f t="shared" si="8"/>
        <v>0</v>
      </c>
      <c r="M23" s="372">
        <f t="shared" si="8"/>
        <v>0</v>
      </c>
      <c r="N23" s="372">
        <f t="shared" si="8"/>
        <v>0</v>
      </c>
      <c r="O23" s="372">
        <f t="shared" si="8"/>
        <v>0</v>
      </c>
      <c r="P23" s="372">
        <f t="shared" si="8"/>
        <v>0</v>
      </c>
      <c r="Q23" s="372">
        <f t="shared" si="8"/>
        <v>0</v>
      </c>
      <c r="R23" s="369">
        <f t="shared" si="3"/>
        <v>0</v>
      </c>
      <c r="S23" s="291">
        <f t="shared" si="4"/>
        <v>0</v>
      </c>
      <c r="T23" s="3"/>
    </row>
    <row r="24" spans="1:20" x14ac:dyDescent="0.2">
      <c r="A24" s="16"/>
      <c r="B24" s="29" t="s">
        <v>358</v>
      </c>
      <c r="C24" s="28">
        <f>D24*C$2</f>
        <v>85053.809917355378</v>
      </c>
      <c r="D24" s="13">
        <f>'[5]Nuclear Medicine'!$J$28</f>
        <v>217.52892561983472</v>
      </c>
      <c r="E24" s="7"/>
      <c r="F24" s="375">
        <f>$D24*F$2</f>
        <v>7395.9834710743808</v>
      </c>
      <c r="G24" s="375">
        <f t="shared" ref="G24:Q30" si="9">$D24*G$2</f>
        <v>5655.7520661157032</v>
      </c>
      <c r="H24" s="375">
        <f t="shared" si="9"/>
        <v>2610.3471074380168</v>
      </c>
      <c r="I24" s="375">
        <f t="shared" si="9"/>
        <v>8266.0991735537191</v>
      </c>
      <c r="J24" s="375">
        <f t="shared" si="9"/>
        <v>9571.2727272727279</v>
      </c>
      <c r="K24" s="375">
        <f t="shared" si="9"/>
        <v>9571.2727272727279</v>
      </c>
      <c r="L24" s="375">
        <f t="shared" si="9"/>
        <v>2827.8760330578516</v>
      </c>
      <c r="M24" s="375">
        <f t="shared" si="9"/>
        <v>4133.0495867768595</v>
      </c>
      <c r="N24" s="375">
        <f t="shared" si="9"/>
        <v>8266.0991735537191</v>
      </c>
      <c r="O24" s="375">
        <f t="shared" si="9"/>
        <v>14791.966942148762</v>
      </c>
      <c r="P24" s="375">
        <f t="shared" si="9"/>
        <v>5655.7520661157032</v>
      </c>
      <c r="Q24" s="375">
        <f t="shared" si="9"/>
        <v>6308.3388429752067</v>
      </c>
      <c r="R24" s="109">
        <f t="shared" si="3"/>
        <v>85053.809917355378</v>
      </c>
      <c r="S24" s="3">
        <f t="shared" si="4"/>
        <v>0</v>
      </c>
      <c r="T24" s="3"/>
    </row>
    <row r="25" spans="1:20" x14ac:dyDescent="0.2">
      <c r="A25" s="16"/>
      <c r="B25" s="29" t="s">
        <v>359</v>
      </c>
      <c r="C25" s="28">
        <f t="shared" ref="C25:C30" si="10">D25*C$2</f>
        <v>0</v>
      </c>
      <c r="D25" s="13">
        <v>0</v>
      </c>
      <c r="E25" s="7"/>
      <c r="F25" s="375">
        <f t="shared" ref="F25:F30" si="11">$D25*F$2</f>
        <v>0</v>
      </c>
      <c r="G25" s="375">
        <f t="shared" si="9"/>
        <v>0</v>
      </c>
      <c r="H25" s="375">
        <f t="shared" si="9"/>
        <v>0</v>
      </c>
      <c r="I25" s="375">
        <f t="shared" si="9"/>
        <v>0</v>
      </c>
      <c r="J25" s="375">
        <f t="shared" si="9"/>
        <v>0</v>
      </c>
      <c r="K25" s="375">
        <f t="shared" si="9"/>
        <v>0</v>
      </c>
      <c r="L25" s="375">
        <f t="shared" si="9"/>
        <v>0</v>
      </c>
      <c r="M25" s="375">
        <f t="shared" si="9"/>
        <v>0</v>
      </c>
      <c r="N25" s="375">
        <f t="shared" si="9"/>
        <v>0</v>
      </c>
      <c r="O25" s="375">
        <f t="shared" si="9"/>
        <v>0</v>
      </c>
      <c r="P25" s="375">
        <f t="shared" si="9"/>
        <v>0</v>
      </c>
      <c r="Q25" s="375">
        <f t="shared" si="9"/>
        <v>0</v>
      </c>
      <c r="R25" s="109">
        <f t="shared" si="3"/>
        <v>0</v>
      </c>
      <c r="S25" s="3">
        <f t="shared" si="4"/>
        <v>0</v>
      </c>
      <c r="T25" s="3"/>
    </row>
    <row r="26" spans="1:20" x14ac:dyDescent="0.2">
      <c r="A26" s="16"/>
      <c r="B26" s="29" t="s">
        <v>372</v>
      </c>
      <c r="C26" s="28">
        <f t="shared" si="10"/>
        <v>39280.958677685951</v>
      </c>
      <c r="D26" s="13">
        <f>'[5]Nuclear Medicine'!$J$30</f>
        <v>100.46280991735537</v>
      </c>
      <c r="E26" s="7"/>
      <c r="F26" s="375">
        <f t="shared" si="11"/>
        <v>3415.7355371900826</v>
      </c>
      <c r="G26" s="375">
        <f t="shared" si="9"/>
        <v>2612.0330578512398</v>
      </c>
      <c r="H26" s="375">
        <f t="shared" si="9"/>
        <v>1205.5537190082646</v>
      </c>
      <c r="I26" s="375">
        <f t="shared" si="9"/>
        <v>3817.586776859504</v>
      </c>
      <c r="J26" s="375">
        <f t="shared" si="9"/>
        <v>4420.363636363636</v>
      </c>
      <c r="K26" s="375">
        <f t="shared" si="9"/>
        <v>4420.363636363636</v>
      </c>
      <c r="L26" s="375">
        <f t="shared" si="9"/>
        <v>1306.0165289256199</v>
      </c>
      <c r="M26" s="375">
        <f t="shared" si="9"/>
        <v>1908.793388429752</v>
      </c>
      <c r="N26" s="375">
        <f t="shared" si="9"/>
        <v>3817.586776859504</v>
      </c>
      <c r="O26" s="375">
        <f t="shared" si="9"/>
        <v>6831.4710743801652</v>
      </c>
      <c r="P26" s="375">
        <f t="shared" si="9"/>
        <v>2612.0330578512398</v>
      </c>
      <c r="Q26" s="375">
        <f t="shared" si="9"/>
        <v>2913.4214876033056</v>
      </c>
      <c r="R26" s="109">
        <f t="shared" si="3"/>
        <v>39280.958677685943</v>
      </c>
      <c r="S26" s="3">
        <f t="shared" si="4"/>
        <v>0</v>
      </c>
      <c r="T26" s="3"/>
    </row>
    <row r="27" spans="1:20" x14ac:dyDescent="0.2">
      <c r="A27" s="16"/>
      <c r="B27" s="29" t="s">
        <v>373</v>
      </c>
      <c r="C27" s="28">
        <f t="shared" si="10"/>
        <v>0</v>
      </c>
      <c r="D27" s="13"/>
      <c r="E27" s="7"/>
      <c r="F27" s="375">
        <f t="shared" si="11"/>
        <v>0</v>
      </c>
      <c r="G27" s="375">
        <f t="shared" si="9"/>
        <v>0</v>
      </c>
      <c r="H27" s="375">
        <f t="shared" si="9"/>
        <v>0</v>
      </c>
      <c r="I27" s="375">
        <f t="shared" si="9"/>
        <v>0</v>
      </c>
      <c r="J27" s="375">
        <f t="shared" si="9"/>
        <v>0</v>
      </c>
      <c r="K27" s="375">
        <f t="shared" si="9"/>
        <v>0</v>
      </c>
      <c r="L27" s="375">
        <f t="shared" si="9"/>
        <v>0</v>
      </c>
      <c r="M27" s="375">
        <f t="shared" si="9"/>
        <v>0</v>
      </c>
      <c r="N27" s="375">
        <f t="shared" si="9"/>
        <v>0</v>
      </c>
      <c r="O27" s="375">
        <f t="shared" si="9"/>
        <v>0</v>
      </c>
      <c r="P27" s="375">
        <f t="shared" si="9"/>
        <v>0</v>
      </c>
      <c r="Q27" s="375">
        <f t="shared" si="9"/>
        <v>0</v>
      </c>
      <c r="R27" s="109">
        <f t="shared" si="3"/>
        <v>0</v>
      </c>
      <c r="S27" s="3">
        <f t="shared" si="4"/>
        <v>0</v>
      </c>
      <c r="T27" s="3"/>
    </row>
    <row r="28" spans="1:20" x14ac:dyDescent="0.2">
      <c r="A28" s="16"/>
      <c r="B28" s="29" t="s">
        <v>361</v>
      </c>
      <c r="C28" s="28">
        <f t="shared" si="10"/>
        <v>13130.814049586777</v>
      </c>
      <c r="D28" s="13">
        <f>'[5]Nuclear Medicine'!$J$32</f>
        <v>33.582644628099175</v>
      </c>
      <c r="E28" s="7"/>
      <c r="F28" s="375">
        <f t="shared" si="11"/>
        <v>1141.8099173553719</v>
      </c>
      <c r="G28" s="375">
        <f t="shared" si="9"/>
        <v>873.14876033057851</v>
      </c>
      <c r="H28" s="375">
        <f t="shared" si="9"/>
        <v>402.9917355371901</v>
      </c>
      <c r="I28" s="375">
        <f t="shared" si="9"/>
        <v>1276.1404958677685</v>
      </c>
      <c r="J28" s="375">
        <f t="shared" si="9"/>
        <v>1477.6363636363637</v>
      </c>
      <c r="K28" s="375">
        <f t="shared" si="9"/>
        <v>1477.6363636363637</v>
      </c>
      <c r="L28" s="375">
        <f t="shared" si="9"/>
        <v>436.57438016528926</v>
      </c>
      <c r="M28" s="375">
        <f t="shared" si="9"/>
        <v>638.07024793388427</v>
      </c>
      <c r="N28" s="375">
        <f t="shared" si="9"/>
        <v>1276.1404958677685</v>
      </c>
      <c r="O28" s="375">
        <f t="shared" si="9"/>
        <v>2283.6198347107438</v>
      </c>
      <c r="P28" s="375">
        <f t="shared" si="9"/>
        <v>873.14876033057851</v>
      </c>
      <c r="Q28" s="375">
        <f t="shared" si="9"/>
        <v>973.89669421487611</v>
      </c>
      <c r="R28" s="109">
        <f t="shared" si="3"/>
        <v>13130.814049586777</v>
      </c>
      <c r="S28" s="3">
        <f t="shared" si="4"/>
        <v>0</v>
      </c>
      <c r="T28" s="3"/>
    </row>
    <row r="29" spans="1:20" x14ac:dyDescent="0.2">
      <c r="A29" s="16"/>
      <c r="B29" s="29" t="s">
        <v>360</v>
      </c>
      <c r="C29" s="28">
        <f t="shared" si="10"/>
        <v>52545.876033057852</v>
      </c>
      <c r="D29" s="13">
        <f>'[5]Nuclear Medicine'!$J$33</f>
        <v>134.38842975206612</v>
      </c>
      <c r="E29" s="7"/>
      <c r="F29" s="375">
        <f t="shared" si="11"/>
        <v>4569.2066115702482</v>
      </c>
      <c r="G29" s="375">
        <f t="shared" si="9"/>
        <v>3494.0991735537191</v>
      </c>
      <c r="H29" s="375">
        <f t="shared" si="9"/>
        <v>1612.6611570247933</v>
      </c>
      <c r="I29" s="375">
        <f t="shared" si="9"/>
        <v>5106.7603305785124</v>
      </c>
      <c r="J29" s="375">
        <f t="shared" si="9"/>
        <v>5913.090909090909</v>
      </c>
      <c r="K29" s="375">
        <f t="shared" si="9"/>
        <v>5913.090909090909</v>
      </c>
      <c r="L29" s="375">
        <f t="shared" si="9"/>
        <v>1747.0495867768595</v>
      </c>
      <c r="M29" s="375">
        <f t="shared" si="9"/>
        <v>2553.3801652892562</v>
      </c>
      <c r="N29" s="375">
        <f t="shared" si="9"/>
        <v>5106.7603305785124</v>
      </c>
      <c r="O29" s="375">
        <f t="shared" si="9"/>
        <v>9138.4132231404965</v>
      </c>
      <c r="P29" s="375">
        <f t="shared" si="9"/>
        <v>3494.0991735537191</v>
      </c>
      <c r="Q29" s="375">
        <f t="shared" si="9"/>
        <v>3897.2644628099174</v>
      </c>
      <c r="R29" s="109">
        <f t="shared" si="3"/>
        <v>52545.876033057837</v>
      </c>
      <c r="S29" s="3">
        <f t="shared" si="4"/>
        <v>0</v>
      </c>
      <c r="T29" s="3"/>
    </row>
    <row r="30" spans="1:20" x14ac:dyDescent="0.2">
      <c r="A30" s="16"/>
      <c r="B30" s="29" t="s">
        <v>362</v>
      </c>
      <c r="C30" s="28">
        <f t="shared" si="10"/>
        <v>0</v>
      </c>
      <c r="D30" s="13">
        <v>0</v>
      </c>
      <c r="E30" s="7"/>
      <c r="F30" s="375">
        <f t="shared" si="11"/>
        <v>0</v>
      </c>
      <c r="G30" s="375">
        <f t="shared" si="9"/>
        <v>0</v>
      </c>
      <c r="H30" s="375">
        <f t="shared" si="9"/>
        <v>0</v>
      </c>
      <c r="I30" s="375">
        <f t="shared" si="9"/>
        <v>0</v>
      </c>
      <c r="J30" s="375">
        <f t="shared" si="9"/>
        <v>0</v>
      </c>
      <c r="K30" s="375">
        <f t="shared" si="9"/>
        <v>0</v>
      </c>
      <c r="L30" s="375">
        <f t="shared" si="9"/>
        <v>0</v>
      </c>
      <c r="M30" s="375">
        <f t="shared" si="9"/>
        <v>0</v>
      </c>
      <c r="N30" s="375">
        <f t="shared" si="9"/>
        <v>0</v>
      </c>
      <c r="O30" s="375">
        <f t="shared" si="9"/>
        <v>0</v>
      </c>
      <c r="P30" s="375">
        <f t="shared" si="9"/>
        <v>0</v>
      </c>
      <c r="Q30" s="375">
        <f t="shared" si="9"/>
        <v>0</v>
      </c>
      <c r="R30" s="109">
        <f t="shared" si="3"/>
        <v>0</v>
      </c>
      <c r="S30" s="3">
        <f t="shared" si="4"/>
        <v>0</v>
      </c>
      <c r="T30" s="3"/>
    </row>
    <row r="31" spans="1:20" x14ac:dyDescent="0.2">
      <c r="A31" s="90">
        <v>31200.064999999999</v>
      </c>
      <c r="B31" s="161" t="s">
        <v>523</v>
      </c>
      <c r="C31" s="293">
        <f>SUM(C24:C30)</f>
        <v>190011.45867768594</v>
      </c>
      <c r="D31" s="292"/>
      <c r="E31" s="292"/>
      <c r="F31" s="369">
        <f>SUM(F24:F30)</f>
        <v>16522.735537190081</v>
      </c>
      <c r="G31" s="369">
        <f t="shared" ref="G31:Q31" si="12">SUM(G24:G30)</f>
        <v>12635.03305785124</v>
      </c>
      <c r="H31" s="369">
        <f t="shared" si="12"/>
        <v>5831.553719008265</v>
      </c>
      <c r="I31" s="369">
        <f t="shared" si="12"/>
        <v>18466.586776859505</v>
      </c>
      <c r="J31" s="369">
        <f t="shared" si="12"/>
        <v>21382.363636363636</v>
      </c>
      <c r="K31" s="369">
        <f t="shared" si="12"/>
        <v>21382.363636363636</v>
      </c>
      <c r="L31" s="369">
        <f t="shared" si="12"/>
        <v>6317.5165289256202</v>
      </c>
      <c r="M31" s="369">
        <f t="shared" si="12"/>
        <v>9233.2933884297527</v>
      </c>
      <c r="N31" s="369">
        <f t="shared" si="12"/>
        <v>18466.586776859505</v>
      </c>
      <c r="O31" s="369">
        <f t="shared" si="12"/>
        <v>33045.471074380162</v>
      </c>
      <c r="P31" s="369">
        <f t="shared" si="12"/>
        <v>12635.03305785124</v>
      </c>
      <c r="Q31" s="369">
        <f t="shared" si="12"/>
        <v>14092.921487603306</v>
      </c>
      <c r="R31" s="369">
        <f t="shared" si="3"/>
        <v>190011.45867768597</v>
      </c>
      <c r="S31" s="291">
        <f t="shared" si="4"/>
        <v>0</v>
      </c>
      <c r="T31" s="3"/>
    </row>
    <row r="32" spans="1:20" s="5" customFormat="1" x14ac:dyDescent="0.2">
      <c r="A32" s="132"/>
      <c r="B32" s="77" t="s">
        <v>0</v>
      </c>
      <c r="C32" s="293">
        <f>C15+C23+C31</f>
        <v>190011.45867768594</v>
      </c>
      <c r="D32" s="292">
        <f>(C32/C$2)</f>
        <v>485.96280991735534</v>
      </c>
      <c r="E32" s="292"/>
      <c r="F32" s="369">
        <f>F15+F23+F31</f>
        <v>16522.735537190081</v>
      </c>
      <c r="G32" s="369">
        <f t="shared" ref="G32:Q32" si="13">G15+G23+G31</f>
        <v>12635.03305785124</v>
      </c>
      <c r="H32" s="369">
        <f t="shared" si="13"/>
        <v>5831.553719008265</v>
      </c>
      <c r="I32" s="369">
        <f t="shared" si="13"/>
        <v>18466.586776859505</v>
      </c>
      <c r="J32" s="369">
        <f t="shared" si="13"/>
        <v>21382.363636363636</v>
      </c>
      <c r="K32" s="369">
        <f t="shared" si="13"/>
        <v>21382.363636363636</v>
      </c>
      <c r="L32" s="369">
        <f t="shared" si="13"/>
        <v>6317.5165289256202</v>
      </c>
      <c r="M32" s="369">
        <f t="shared" si="13"/>
        <v>9233.2933884297527</v>
      </c>
      <c r="N32" s="369">
        <f t="shared" si="13"/>
        <v>18466.586776859505</v>
      </c>
      <c r="O32" s="369">
        <f t="shared" si="13"/>
        <v>33045.471074380162</v>
      </c>
      <c r="P32" s="369">
        <f t="shared" si="13"/>
        <v>12635.03305785124</v>
      </c>
      <c r="Q32" s="369">
        <f t="shared" si="13"/>
        <v>14092.921487603306</v>
      </c>
      <c r="R32" s="369">
        <f t="shared" si="3"/>
        <v>190011.45867768597</v>
      </c>
      <c r="S32" s="291">
        <f t="shared" si="4"/>
        <v>0</v>
      </c>
      <c r="T32" s="3"/>
    </row>
    <row r="33" spans="1:20" x14ac:dyDescent="0.2">
      <c r="D33" s="111"/>
      <c r="E33" s="111"/>
      <c r="F33" s="414"/>
      <c r="G33" s="414"/>
      <c r="H33" s="414"/>
      <c r="I33" s="414"/>
      <c r="J33" s="414"/>
      <c r="K33" s="414"/>
      <c r="L33" s="414"/>
      <c r="M33" s="414"/>
      <c r="N33" s="414"/>
      <c r="O33" s="414"/>
      <c r="P33" s="414"/>
      <c r="Q33" s="414"/>
      <c r="R33" s="160"/>
    </row>
    <row r="34" spans="1:20" s="12" customFormat="1" x14ac:dyDescent="0.2">
      <c r="A34" s="716" t="s">
        <v>25</v>
      </c>
      <c r="B34" s="716"/>
      <c r="C34" s="716"/>
      <c r="D34" s="716"/>
      <c r="E34" s="195"/>
      <c r="F34" s="414"/>
      <c r="G34" s="414"/>
      <c r="H34" s="414"/>
      <c r="I34" s="414"/>
      <c r="J34" s="414"/>
      <c r="K34" s="414"/>
      <c r="L34" s="414"/>
      <c r="M34" s="414"/>
      <c r="N34" s="414"/>
      <c r="O34" s="414"/>
      <c r="P34" s="414"/>
      <c r="Q34" s="414"/>
      <c r="R34" s="414"/>
      <c r="S34" s="4"/>
      <c r="T34" s="4"/>
    </row>
    <row r="35" spans="1:20" s="92" customFormat="1" x14ac:dyDescent="0.2">
      <c r="A35" s="31"/>
      <c r="B35" s="77" t="s">
        <v>520</v>
      </c>
      <c r="C35" s="78"/>
      <c r="D35" s="182" t="s">
        <v>524</v>
      </c>
      <c r="E35" s="181"/>
      <c r="F35" s="373"/>
      <c r="G35" s="373"/>
      <c r="H35" s="373"/>
      <c r="I35" s="373"/>
      <c r="J35" s="373"/>
      <c r="K35" s="373"/>
      <c r="L35" s="373"/>
      <c r="M35" s="373"/>
      <c r="N35" s="373"/>
      <c r="O35" s="373"/>
      <c r="P35" s="373"/>
      <c r="Q35" s="373"/>
      <c r="R35" s="373"/>
      <c r="S35" s="153"/>
      <c r="T35" s="153"/>
    </row>
    <row r="36" spans="1:20" s="92" customFormat="1" x14ac:dyDescent="0.2">
      <c r="A36" s="87">
        <v>41237.065000000002</v>
      </c>
      <c r="B36" s="15" t="s">
        <v>456</v>
      </c>
      <c r="C36" s="14">
        <f>'[6]Nuclear Medicine'!$I$15</f>
        <v>40</v>
      </c>
      <c r="D36" s="329">
        <f>$C36/C$2</f>
        <v>0.10230179028132992</v>
      </c>
      <c r="E36" s="120"/>
      <c r="F36" s="373">
        <f>$D36*F$2</f>
        <v>3.4782608695652173</v>
      </c>
      <c r="G36" s="373">
        <f t="shared" ref="G36:Q37" si="14">$D36*G$2</f>
        <v>2.659846547314578</v>
      </c>
      <c r="H36" s="373">
        <f t="shared" si="14"/>
        <v>1.2276214833759591</v>
      </c>
      <c r="I36" s="373">
        <f t="shared" si="14"/>
        <v>3.8874680306905369</v>
      </c>
      <c r="J36" s="373">
        <f t="shared" si="14"/>
        <v>4.5012787723785168</v>
      </c>
      <c r="K36" s="373">
        <f t="shared" si="14"/>
        <v>4.5012787723785168</v>
      </c>
      <c r="L36" s="373">
        <f t="shared" si="14"/>
        <v>1.329923273657289</v>
      </c>
      <c r="M36" s="373">
        <f t="shared" si="14"/>
        <v>1.9437340153452685</v>
      </c>
      <c r="N36" s="373">
        <f t="shared" si="14"/>
        <v>3.8874680306905369</v>
      </c>
      <c r="O36" s="373">
        <f t="shared" si="14"/>
        <v>6.9565217391304346</v>
      </c>
      <c r="P36" s="373">
        <f t="shared" si="14"/>
        <v>2.659846547314578</v>
      </c>
      <c r="Q36" s="373">
        <f t="shared" si="14"/>
        <v>2.9667519181585678</v>
      </c>
      <c r="R36" s="109">
        <f>SUM(F36:Q36)</f>
        <v>40</v>
      </c>
      <c r="S36" s="3">
        <f>C36-R36</f>
        <v>0</v>
      </c>
      <c r="T36" s="3"/>
    </row>
    <row r="37" spans="1:20" s="92" customFormat="1" x14ac:dyDescent="0.2">
      <c r="A37" s="87">
        <v>41365.065000000002</v>
      </c>
      <c r="B37" s="15" t="s">
        <v>10</v>
      </c>
      <c r="C37" s="14">
        <f>'[6]Nuclear Medicine'!$I$16</f>
        <v>30300</v>
      </c>
      <c r="D37" s="329">
        <f>$C37/C$2</f>
        <v>77.493606138107424</v>
      </c>
      <c r="E37" s="120"/>
      <c r="F37" s="373">
        <f>$D37*F$2</f>
        <v>2634.7826086956525</v>
      </c>
      <c r="G37" s="373">
        <f t="shared" si="14"/>
        <v>2014.8337595907931</v>
      </c>
      <c r="H37" s="373">
        <f t="shared" si="14"/>
        <v>929.92327365728909</v>
      </c>
      <c r="I37" s="373">
        <f t="shared" si="14"/>
        <v>2944.7570332480823</v>
      </c>
      <c r="J37" s="373">
        <f t="shared" si="14"/>
        <v>3409.7186700767265</v>
      </c>
      <c r="K37" s="373">
        <f t="shared" si="14"/>
        <v>3409.7186700767265</v>
      </c>
      <c r="L37" s="373">
        <f t="shared" si="14"/>
        <v>1007.4168797953965</v>
      </c>
      <c r="M37" s="373">
        <f t="shared" si="14"/>
        <v>1472.3785166240411</v>
      </c>
      <c r="N37" s="373">
        <f t="shared" si="14"/>
        <v>2944.7570332480823</v>
      </c>
      <c r="O37" s="373">
        <f t="shared" si="14"/>
        <v>5269.5652173913049</v>
      </c>
      <c r="P37" s="373">
        <f t="shared" si="14"/>
        <v>2014.8337595907931</v>
      </c>
      <c r="Q37" s="373">
        <f t="shared" si="14"/>
        <v>2247.3145780051154</v>
      </c>
      <c r="R37" s="109">
        <f t="shared" ref="R37" si="15">SUM(F37:Q37)</f>
        <v>30300.000000000007</v>
      </c>
      <c r="S37" s="3">
        <f t="shared" ref="S37" si="16">C37-R37</f>
        <v>0</v>
      </c>
      <c r="T37" s="3"/>
    </row>
    <row r="38" spans="1:20" s="170" customFormat="1" x14ac:dyDescent="0.2">
      <c r="A38" s="132"/>
      <c r="B38" s="77" t="s">
        <v>0</v>
      </c>
      <c r="C38" s="88">
        <f>SUM(C36:C37)</f>
        <v>30340</v>
      </c>
      <c r="D38" s="128">
        <f>SUM(D36:D37)</f>
        <v>77.595907928388755</v>
      </c>
      <c r="E38" s="128"/>
      <c r="F38" s="374">
        <f t="shared" ref="F38:Q38" si="17">SUM(F36:F37)</f>
        <v>2638.2608695652175</v>
      </c>
      <c r="G38" s="374">
        <f t="shared" si="17"/>
        <v>2017.4936061381077</v>
      </c>
      <c r="H38" s="374">
        <f t="shared" si="17"/>
        <v>931.15089514066506</v>
      </c>
      <c r="I38" s="374">
        <f t="shared" si="17"/>
        <v>2948.6445012787726</v>
      </c>
      <c r="J38" s="374">
        <f t="shared" si="17"/>
        <v>3414.2199488491051</v>
      </c>
      <c r="K38" s="374">
        <f t="shared" si="17"/>
        <v>3414.2199488491051</v>
      </c>
      <c r="L38" s="374">
        <f t="shared" si="17"/>
        <v>1008.7468030690538</v>
      </c>
      <c r="M38" s="374">
        <f t="shared" si="17"/>
        <v>1474.3222506393863</v>
      </c>
      <c r="N38" s="374">
        <f t="shared" si="17"/>
        <v>2948.6445012787726</v>
      </c>
      <c r="O38" s="374">
        <f t="shared" si="17"/>
        <v>5276.521739130435</v>
      </c>
      <c r="P38" s="374">
        <f t="shared" si="17"/>
        <v>2017.4936061381077</v>
      </c>
      <c r="Q38" s="374">
        <f t="shared" si="17"/>
        <v>2250.2813299232739</v>
      </c>
      <c r="R38" s="109">
        <f>SUM(F38:Q38)</f>
        <v>30340.000000000007</v>
      </c>
      <c r="S38" s="3">
        <f>SUM(S36:S37)</f>
        <v>0</v>
      </c>
      <c r="T38" s="3"/>
    </row>
    <row r="39" spans="1:20" x14ac:dyDescent="0.2">
      <c r="C39" s="7">
        <f>C38-C32</f>
        <v>-159671.45867768594</v>
      </c>
      <c r="F39" s="375"/>
      <c r="G39" s="375"/>
      <c r="H39" s="376"/>
      <c r="I39" s="376"/>
      <c r="J39" s="376"/>
      <c r="K39" s="376"/>
      <c r="L39" s="376"/>
      <c r="M39" s="376"/>
      <c r="N39" s="376"/>
      <c r="O39" s="376"/>
      <c r="P39" s="376"/>
      <c r="Q39" s="376"/>
      <c r="R39" s="376"/>
      <c r="S39" s="3"/>
      <c r="T39" s="3"/>
    </row>
    <row r="40" spans="1:20" x14ac:dyDescent="0.2">
      <c r="C40" s="7"/>
      <c r="F40" s="375"/>
      <c r="G40" s="375"/>
      <c r="H40" s="375"/>
      <c r="I40" s="375"/>
      <c r="J40" s="375"/>
      <c r="K40" s="375"/>
      <c r="L40" s="375"/>
      <c r="M40" s="375"/>
      <c r="N40" s="375"/>
      <c r="O40" s="375"/>
      <c r="P40" s="375"/>
      <c r="Q40" s="375"/>
      <c r="R40" s="375"/>
      <c r="S40" s="3"/>
      <c r="T40" s="4"/>
    </row>
    <row r="41" spans="1:20" x14ac:dyDescent="0.2">
      <c r="C41" s="7"/>
      <c r="F41" s="375"/>
      <c r="G41" s="375"/>
      <c r="H41" s="375"/>
      <c r="I41" s="375"/>
      <c r="J41" s="375"/>
      <c r="K41" s="375"/>
      <c r="L41" s="375"/>
      <c r="M41" s="375"/>
      <c r="N41" s="375"/>
      <c r="O41" s="375"/>
      <c r="P41" s="375"/>
      <c r="Q41" s="375"/>
      <c r="R41" s="375"/>
      <c r="T41" s="4"/>
    </row>
    <row r="42" spans="1:20" x14ac:dyDescent="0.2">
      <c r="C42" s="104"/>
      <c r="F42" s="104"/>
      <c r="G42" s="104"/>
      <c r="H42" s="104"/>
      <c r="I42" s="104"/>
      <c r="J42" s="104"/>
      <c r="K42" s="104"/>
      <c r="L42" s="104"/>
      <c r="M42" s="104"/>
      <c r="N42" s="104"/>
      <c r="O42" s="104"/>
      <c r="P42" s="104"/>
      <c r="Q42" s="104"/>
      <c r="R42" s="104"/>
      <c r="T42" s="4"/>
    </row>
    <row r="43" spans="1:20" x14ac:dyDescent="0.2">
      <c r="C43" s="104"/>
      <c r="F43" s="104"/>
      <c r="G43" s="104"/>
      <c r="H43" s="104"/>
      <c r="I43" s="104"/>
      <c r="J43" s="104"/>
      <c r="K43" s="104"/>
      <c r="L43" s="104"/>
      <c r="M43" s="104"/>
      <c r="N43" s="104"/>
      <c r="O43" s="104"/>
      <c r="P43" s="104"/>
      <c r="Q43" s="104"/>
      <c r="R43" s="104"/>
      <c r="T43" s="4"/>
    </row>
    <row r="44" spans="1:20" x14ac:dyDescent="0.2">
      <c r="C44" s="7"/>
      <c r="F44" s="7"/>
      <c r="G44" s="7"/>
      <c r="H44" s="7"/>
      <c r="I44" s="7"/>
      <c r="J44" s="7"/>
      <c r="K44" s="7"/>
      <c r="L44" s="7"/>
      <c r="M44" s="7"/>
      <c r="N44" s="7"/>
      <c r="O44" s="7"/>
      <c r="P44" s="7"/>
      <c r="Q44" s="7"/>
      <c r="R44" s="3"/>
      <c r="T44" s="4"/>
    </row>
    <row r="47" spans="1:20" s="2" customFormat="1" ht="11.25" x14ac:dyDescent="0.2">
      <c r="A47" s="4"/>
      <c r="B47" s="196"/>
      <c r="C47" s="28"/>
      <c r="D47" s="4"/>
      <c r="E47" s="4"/>
      <c r="F47" s="153"/>
      <c r="G47" s="153"/>
      <c r="H47" s="153"/>
      <c r="I47" s="153"/>
      <c r="J47" s="153"/>
      <c r="K47" s="153"/>
      <c r="L47" s="153"/>
      <c r="M47" s="153"/>
      <c r="N47" s="153"/>
      <c r="O47" s="153"/>
      <c r="P47" s="153"/>
      <c r="Q47" s="153"/>
      <c r="R47" s="96"/>
    </row>
    <row r="48" spans="1:20" s="2" customFormat="1" ht="11.25" x14ac:dyDescent="0.2">
      <c r="A48" s="4"/>
      <c r="B48" s="4"/>
      <c r="C48" s="28"/>
      <c r="D48" s="4"/>
      <c r="E48" s="4"/>
      <c r="F48" s="153"/>
      <c r="G48" s="153"/>
      <c r="H48" s="153"/>
      <c r="I48" s="153"/>
      <c r="J48" s="153"/>
      <c r="K48" s="153"/>
      <c r="L48" s="153"/>
      <c r="M48" s="153"/>
      <c r="N48" s="153"/>
      <c r="O48" s="153"/>
      <c r="P48" s="153"/>
      <c r="Q48" s="153"/>
      <c r="R48" s="96"/>
    </row>
    <row r="49" spans="1:18" s="2" customFormat="1" ht="11.25" x14ac:dyDescent="0.2">
      <c r="A49" s="4"/>
      <c r="B49" s="4"/>
      <c r="C49" s="7"/>
      <c r="D49" s="4"/>
      <c r="E49" s="4"/>
      <c r="F49" s="7"/>
      <c r="G49" s="7"/>
      <c r="H49" s="7"/>
      <c r="I49" s="7"/>
      <c r="J49" s="7"/>
      <c r="K49" s="7"/>
      <c r="L49" s="7"/>
      <c r="M49" s="7"/>
      <c r="N49" s="7"/>
      <c r="O49" s="7"/>
      <c r="P49" s="7"/>
      <c r="Q49" s="7"/>
      <c r="R49" s="3"/>
    </row>
  </sheetData>
  <mergeCells count="2">
    <mergeCell ref="A6:D6"/>
    <mergeCell ref="A34:D34"/>
  </mergeCells>
  <printOptions gridLines="1"/>
  <pageMargins left="0.25" right="0.25" top="0.75" bottom="0.75" header="0.3" footer="0.3"/>
  <pageSetup scale="62" orientation="landscape" r:id="rId1"/>
  <headerFooter alignWithMargins="0">
    <oddHeader xml:space="preserve">&amp;C&amp;"Arial,Bold"&amp;14DOCTORS MEMORIAL HOSPITAL
FY 2017 BUDGET
</oddHeader>
    <oddFooter>&amp;R&amp;A</oddFooter>
  </headerFooter>
  <ignoredErrors>
    <ignoredError sqref="G36:Q36" evalError="1"/>
    <ignoredError sqref="R3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O65"/>
  <sheetViews>
    <sheetView tabSelected="1" zoomScaleNormal="100" workbookViewId="0">
      <pane xSplit="10" ySplit="1" topLeftCell="K2" activePane="bottomRight" state="frozen"/>
      <selection pane="topRight" activeCell="K1" sqref="K1"/>
      <selection pane="bottomLeft" activeCell="A2" sqref="A2"/>
      <selection pane="bottomRight" activeCell="C15" sqref="C15"/>
    </sheetView>
  </sheetViews>
  <sheetFormatPr defaultRowHeight="12.75" x14ac:dyDescent="0.2"/>
  <cols>
    <col min="1" max="1" width="11.7109375" style="213" customWidth="1"/>
    <col min="2" max="2" width="21.140625" style="214" customWidth="1"/>
    <col min="3" max="3" width="12.42578125" style="218" customWidth="1"/>
    <col min="4" max="4" width="11.5703125" style="218" customWidth="1"/>
    <col min="5" max="5" width="1.5703125" style="275" customWidth="1"/>
    <col min="6" max="6" width="16" style="221" hidden="1" customWidth="1"/>
    <col min="7" max="7" width="9.140625" style="218" hidden="1" customWidth="1"/>
    <col min="8" max="8" width="2.28515625" style="218" hidden="1" customWidth="1"/>
    <col min="9" max="9" width="13.5703125" style="218" hidden="1" customWidth="1"/>
    <col min="10" max="10" width="9.140625" style="218" hidden="1" customWidth="1"/>
    <col min="11" max="11" width="11.140625" style="218" customWidth="1"/>
    <col min="12" max="22" width="11.140625" style="218" bestFit="1" customWidth="1"/>
    <col min="23" max="23" width="12" style="220" bestFit="1" customWidth="1"/>
    <col min="24" max="24" width="11.7109375" style="218" bestFit="1" customWidth="1"/>
    <col min="25" max="25" width="13" style="218" customWidth="1"/>
    <col min="26" max="26" width="1.85546875" style="218" customWidth="1"/>
    <col min="27" max="27" width="19.42578125" style="218" customWidth="1"/>
    <col min="28" max="28" width="1.85546875" style="276" customWidth="1"/>
    <col min="29" max="29" width="19.42578125" style="218" customWidth="1"/>
    <col min="30" max="31" width="19.42578125" style="644" customWidth="1"/>
    <col min="32" max="32" width="15.85546875" style="221" customWidth="1"/>
    <col min="33" max="33" width="15.85546875" style="218" customWidth="1"/>
    <col min="34" max="35" width="11.85546875" style="218" customWidth="1"/>
    <col min="36" max="36" width="12" style="237" bestFit="1" customWidth="1"/>
    <col min="37" max="37" width="9.140625" style="218"/>
    <col min="38" max="39" width="12" style="218" bestFit="1" customWidth="1"/>
    <col min="40" max="41" width="9.140625" style="218"/>
    <col min="42" max="260" width="9.140625" style="151"/>
    <col min="261" max="261" width="3" style="151" customWidth="1"/>
    <col min="262" max="262" width="32.28515625" style="151" customWidth="1"/>
    <col min="263" max="263" width="19.42578125" style="151" customWidth="1"/>
    <col min="264" max="264" width="9.140625" style="151" customWidth="1"/>
    <col min="265" max="265" width="1.5703125" style="151" customWidth="1"/>
    <col min="266" max="270" width="9.140625" style="151" customWidth="1"/>
    <col min="271" max="271" width="11.140625" style="151" customWidth="1"/>
    <col min="272" max="282" width="11.140625" style="151" bestFit="1" customWidth="1"/>
    <col min="283" max="283" width="12" style="151" bestFit="1" customWidth="1"/>
    <col min="284" max="284" width="1.28515625" style="151" customWidth="1"/>
    <col min="285" max="286" width="11.85546875" style="151" customWidth="1"/>
    <col min="287" max="287" width="12" style="151" bestFit="1" customWidth="1"/>
    <col min="288" max="288" width="9.140625" style="151"/>
    <col min="289" max="289" width="11.7109375" style="151" customWidth="1"/>
    <col min="290" max="516" width="9.140625" style="151"/>
    <col min="517" max="517" width="3" style="151" customWidth="1"/>
    <col min="518" max="518" width="32.28515625" style="151" customWidth="1"/>
    <col min="519" max="519" width="19.42578125" style="151" customWidth="1"/>
    <col min="520" max="520" width="9.140625" style="151" customWidth="1"/>
    <col min="521" max="521" width="1.5703125" style="151" customWidth="1"/>
    <col min="522" max="526" width="9.140625" style="151" customWidth="1"/>
    <col min="527" max="527" width="11.140625" style="151" customWidth="1"/>
    <col min="528" max="538" width="11.140625" style="151" bestFit="1" customWidth="1"/>
    <col min="539" max="539" width="12" style="151" bestFit="1" customWidth="1"/>
    <col min="540" max="540" width="1.28515625" style="151" customWidth="1"/>
    <col min="541" max="542" width="11.85546875" style="151" customWidth="1"/>
    <col min="543" max="543" width="12" style="151" bestFit="1" customWidth="1"/>
    <col min="544" max="544" width="9.140625" style="151"/>
    <col min="545" max="545" width="11.7109375" style="151" customWidth="1"/>
    <col min="546" max="772" width="9.140625" style="151"/>
    <col min="773" max="773" width="3" style="151" customWidth="1"/>
    <col min="774" max="774" width="32.28515625" style="151" customWidth="1"/>
    <col min="775" max="775" width="19.42578125" style="151" customWidth="1"/>
    <col min="776" max="776" width="9.140625" style="151" customWidth="1"/>
    <col min="777" max="777" width="1.5703125" style="151" customWidth="1"/>
    <col min="778" max="782" width="9.140625" style="151" customWidth="1"/>
    <col min="783" max="783" width="11.140625" style="151" customWidth="1"/>
    <col min="784" max="794" width="11.140625" style="151" bestFit="1" customWidth="1"/>
    <col min="795" max="795" width="12" style="151" bestFit="1" customWidth="1"/>
    <col min="796" max="796" width="1.28515625" style="151" customWidth="1"/>
    <col min="797" max="798" width="11.85546875" style="151" customWidth="1"/>
    <col min="799" max="799" width="12" style="151" bestFit="1" customWidth="1"/>
    <col min="800" max="800" width="9.140625" style="151"/>
    <col min="801" max="801" width="11.7109375" style="151" customWidth="1"/>
    <col min="802" max="1028" width="9.140625" style="151"/>
    <col min="1029" max="1029" width="3" style="151" customWidth="1"/>
    <col min="1030" max="1030" width="32.28515625" style="151" customWidth="1"/>
    <col min="1031" max="1031" width="19.42578125" style="151" customWidth="1"/>
    <col min="1032" max="1032" width="9.140625" style="151" customWidth="1"/>
    <col min="1033" max="1033" width="1.5703125" style="151" customWidth="1"/>
    <col min="1034" max="1038" width="9.140625" style="151" customWidth="1"/>
    <col min="1039" max="1039" width="11.140625" style="151" customWidth="1"/>
    <col min="1040" max="1050" width="11.140625" style="151" bestFit="1" customWidth="1"/>
    <col min="1051" max="1051" width="12" style="151" bestFit="1" customWidth="1"/>
    <col min="1052" max="1052" width="1.28515625" style="151" customWidth="1"/>
    <col min="1053" max="1054" width="11.85546875" style="151" customWidth="1"/>
    <col min="1055" max="1055" width="12" style="151" bestFit="1" customWidth="1"/>
    <col min="1056" max="1056" width="9.140625" style="151"/>
    <col min="1057" max="1057" width="11.7109375" style="151" customWidth="1"/>
    <col min="1058" max="1284" width="9.140625" style="151"/>
    <col min="1285" max="1285" width="3" style="151" customWidth="1"/>
    <col min="1286" max="1286" width="32.28515625" style="151" customWidth="1"/>
    <col min="1287" max="1287" width="19.42578125" style="151" customWidth="1"/>
    <col min="1288" max="1288" width="9.140625" style="151" customWidth="1"/>
    <col min="1289" max="1289" width="1.5703125" style="151" customWidth="1"/>
    <col min="1290" max="1294" width="9.140625" style="151" customWidth="1"/>
    <col min="1295" max="1295" width="11.140625" style="151" customWidth="1"/>
    <col min="1296" max="1306" width="11.140625" style="151" bestFit="1" customWidth="1"/>
    <col min="1307" max="1307" width="12" style="151" bestFit="1" customWidth="1"/>
    <col min="1308" max="1308" width="1.28515625" style="151" customWidth="1"/>
    <col min="1309" max="1310" width="11.85546875" style="151" customWidth="1"/>
    <col min="1311" max="1311" width="12" style="151" bestFit="1" customWidth="1"/>
    <col min="1312" max="1312" width="9.140625" style="151"/>
    <col min="1313" max="1313" width="11.7109375" style="151" customWidth="1"/>
    <col min="1314" max="1540" width="9.140625" style="151"/>
    <col min="1541" max="1541" width="3" style="151" customWidth="1"/>
    <col min="1542" max="1542" width="32.28515625" style="151" customWidth="1"/>
    <col min="1543" max="1543" width="19.42578125" style="151" customWidth="1"/>
    <col min="1544" max="1544" width="9.140625" style="151" customWidth="1"/>
    <col min="1545" max="1545" width="1.5703125" style="151" customWidth="1"/>
    <col min="1546" max="1550" width="9.140625" style="151" customWidth="1"/>
    <col min="1551" max="1551" width="11.140625" style="151" customWidth="1"/>
    <col min="1552" max="1562" width="11.140625" style="151" bestFit="1" customWidth="1"/>
    <col min="1563" max="1563" width="12" style="151" bestFit="1" customWidth="1"/>
    <col min="1564" max="1564" width="1.28515625" style="151" customWidth="1"/>
    <col min="1565" max="1566" width="11.85546875" style="151" customWidth="1"/>
    <col min="1567" max="1567" width="12" style="151" bestFit="1" customWidth="1"/>
    <col min="1568" max="1568" width="9.140625" style="151"/>
    <col min="1569" max="1569" width="11.7109375" style="151" customWidth="1"/>
    <col min="1570" max="1796" width="9.140625" style="151"/>
    <col min="1797" max="1797" width="3" style="151" customWidth="1"/>
    <col min="1798" max="1798" width="32.28515625" style="151" customWidth="1"/>
    <col min="1799" max="1799" width="19.42578125" style="151" customWidth="1"/>
    <col min="1800" max="1800" width="9.140625" style="151" customWidth="1"/>
    <col min="1801" max="1801" width="1.5703125" style="151" customWidth="1"/>
    <col min="1802" max="1806" width="9.140625" style="151" customWidth="1"/>
    <col min="1807" max="1807" width="11.140625" style="151" customWidth="1"/>
    <col min="1808" max="1818" width="11.140625" style="151" bestFit="1" customWidth="1"/>
    <col min="1819" max="1819" width="12" style="151" bestFit="1" customWidth="1"/>
    <col min="1820" max="1820" width="1.28515625" style="151" customWidth="1"/>
    <col min="1821" max="1822" width="11.85546875" style="151" customWidth="1"/>
    <col min="1823" max="1823" width="12" style="151" bestFit="1" customWidth="1"/>
    <col min="1824" max="1824" width="9.140625" style="151"/>
    <col min="1825" max="1825" width="11.7109375" style="151" customWidth="1"/>
    <col min="1826" max="2052" width="9.140625" style="151"/>
    <col min="2053" max="2053" width="3" style="151" customWidth="1"/>
    <col min="2054" max="2054" width="32.28515625" style="151" customWidth="1"/>
    <col min="2055" max="2055" width="19.42578125" style="151" customWidth="1"/>
    <col min="2056" max="2056" width="9.140625" style="151" customWidth="1"/>
    <col min="2057" max="2057" width="1.5703125" style="151" customWidth="1"/>
    <col min="2058" max="2062" width="9.140625" style="151" customWidth="1"/>
    <col min="2063" max="2063" width="11.140625" style="151" customWidth="1"/>
    <col min="2064" max="2074" width="11.140625" style="151" bestFit="1" customWidth="1"/>
    <col min="2075" max="2075" width="12" style="151" bestFit="1" customWidth="1"/>
    <col min="2076" max="2076" width="1.28515625" style="151" customWidth="1"/>
    <col min="2077" max="2078" width="11.85546875" style="151" customWidth="1"/>
    <col min="2079" max="2079" width="12" style="151" bestFit="1" customWidth="1"/>
    <col min="2080" max="2080" width="9.140625" style="151"/>
    <col min="2081" max="2081" width="11.7109375" style="151" customWidth="1"/>
    <col min="2082" max="2308" width="9.140625" style="151"/>
    <col min="2309" max="2309" width="3" style="151" customWidth="1"/>
    <col min="2310" max="2310" width="32.28515625" style="151" customWidth="1"/>
    <col min="2311" max="2311" width="19.42578125" style="151" customWidth="1"/>
    <col min="2312" max="2312" width="9.140625" style="151" customWidth="1"/>
    <col min="2313" max="2313" width="1.5703125" style="151" customWidth="1"/>
    <col min="2314" max="2318" width="9.140625" style="151" customWidth="1"/>
    <col min="2319" max="2319" width="11.140625" style="151" customWidth="1"/>
    <col min="2320" max="2330" width="11.140625" style="151" bestFit="1" customWidth="1"/>
    <col min="2331" max="2331" width="12" style="151" bestFit="1" customWidth="1"/>
    <col min="2332" max="2332" width="1.28515625" style="151" customWidth="1"/>
    <col min="2333" max="2334" width="11.85546875" style="151" customWidth="1"/>
    <col min="2335" max="2335" width="12" style="151" bestFit="1" customWidth="1"/>
    <col min="2336" max="2336" width="9.140625" style="151"/>
    <col min="2337" max="2337" width="11.7109375" style="151" customWidth="1"/>
    <col min="2338" max="2564" width="9.140625" style="151"/>
    <col min="2565" max="2565" width="3" style="151" customWidth="1"/>
    <col min="2566" max="2566" width="32.28515625" style="151" customWidth="1"/>
    <col min="2567" max="2567" width="19.42578125" style="151" customWidth="1"/>
    <col min="2568" max="2568" width="9.140625" style="151" customWidth="1"/>
    <col min="2569" max="2569" width="1.5703125" style="151" customWidth="1"/>
    <col min="2570" max="2574" width="9.140625" style="151" customWidth="1"/>
    <col min="2575" max="2575" width="11.140625" style="151" customWidth="1"/>
    <col min="2576" max="2586" width="11.140625" style="151" bestFit="1" customWidth="1"/>
    <col min="2587" max="2587" width="12" style="151" bestFit="1" customWidth="1"/>
    <col min="2588" max="2588" width="1.28515625" style="151" customWidth="1"/>
    <col min="2589" max="2590" width="11.85546875" style="151" customWidth="1"/>
    <col min="2591" max="2591" width="12" style="151" bestFit="1" customWidth="1"/>
    <col min="2592" max="2592" width="9.140625" style="151"/>
    <col min="2593" max="2593" width="11.7109375" style="151" customWidth="1"/>
    <col min="2594" max="2820" width="9.140625" style="151"/>
    <col min="2821" max="2821" width="3" style="151" customWidth="1"/>
    <col min="2822" max="2822" width="32.28515625" style="151" customWidth="1"/>
    <col min="2823" max="2823" width="19.42578125" style="151" customWidth="1"/>
    <col min="2824" max="2824" width="9.140625" style="151" customWidth="1"/>
    <col min="2825" max="2825" width="1.5703125" style="151" customWidth="1"/>
    <col min="2826" max="2830" width="9.140625" style="151" customWidth="1"/>
    <col min="2831" max="2831" width="11.140625" style="151" customWidth="1"/>
    <col min="2832" max="2842" width="11.140625" style="151" bestFit="1" customWidth="1"/>
    <col min="2843" max="2843" width="12" style="151" bestFit="1" customWidth="1"/>
    <col min="2844" max="2844" width="1.28515625" style="151" customWidth="1"/>
    <col min="2845" max="2846" width="11.85546875" style="151" customWidth="1"/>
    <col min="2847" max="2847" width="12" style="151" bestFit="1" customWidth="1"/>
    <col min="2848" max="2848" width="9.140625" style="151"/>
    <col min="2849" max="2849" width="11.7109375" style="151" customWidth="1"/>
    <col min="2850" max="3076" width="9.140625" style="151"/>
    <col min="3077" max="3077" width="3" style="151" customWidth="1"/>
    <col min="3078" max="3078" width="32.28515625" style="151" customWidth="1"/>
    <col min="3079" max="3079" width="19.42578125" style="151" customWidth="1"/>
    <col min="3080" max="3080" width="9.140625" style="151" customWidth="1"/>
    <col min="3081" max="3081" width="1.5703125" style="151" customWidth="1"/>
    <col min="3082" max="3086" width="9.140625" style="151" customWidth="1"/>
    <col min="3087" max="3087" width="11.140625" style="151" customWidth="1"/>
    <col min="3088" max="3098" width="11.140625" style="151" bestFit="1" customWidth="1"/>
    <col min="3099" max="3099" width="12" style="151" bestFit="1" customWidth="1"/>
    <col min="3100" max="3100" width="1.28515625" style="151" customWidth="1"/>
    <col min="3101" max="3102" width="11.85546875" style="151" customWidth="1"/>
    <col min="3103" max="3103" width="12" style="151" bestFit="1" customWidth="1"/>
    <col min="3104" max="3104" width="9.140625" style="151"/>
    <col min="3105" max="3105" width="11.7109375" style="151" customWidth="1"/>
    <col min="3106" max="3332" width="9.140625" style="151"/>
    <col min="3333" max="3333" width="3" style="151" customWidth="1"/>
    <col min="3334" max="3334" width="32.28515625" style="151" customWidth="1"/>
    <col min="3335" max="3335" width="19.42578125" style="151" customWidth="1"/>
    <col min="3336" max="3336" width="9.140625" style="151" customWidth="1"/>
    <col min="3337" max="3337" width="1.5703125" style="151" customWidth="1"/>
    <col min="3338" max="3342" width="9.140625" style="151" customWidth="1"/>
    <col min="3343" max="3343" width="11.140625" style="151" customWidth="1"/>
    <col min="3344" max="3354" width="11.140625" style="151" bestFit="1" customWidth="1"/>
    <col min="3355" max="3355" width="12" style="151" bestFit="1" customWidth="1"/>
    <col min="3356" max="3356" width="1.28515625" style="151" customWidth="1"/>
    <col min="3357" max="3358" width="11.85546875" style="151" customWidth="1"/>
    <col min="3359" max="3359" width="12" style="151" bestFit="1" customWidth="1"/>
    <col min="3360" max="3360" width="9.140625" style="151"/>
    <col min="3361" max="3361" width="11.7109375" style="151" customWidth="1"/>
    <col min="3362" max="3588" width="9.140625" style="151"/>
    <col min="3589" max="3589" width="3" style="151" customWidth="1"/>
    <col min="3590" max="3590" width="32.28515625" style="151" customWidth="1"/>
    <col min="3591" max="3591" width="19.42578125" style="151" customWidth="1"/>
    <col min="3592" max="3592" width="9.140625" style="151" customWidth="1"/>
    <col min="3593" max="3593" width="1.5703125" style="151" customWidth="1"/>
    <col min="3594" max="3598" width="9.140625" style="151" customWidth="1"/>
    <col min="3599" max="3599" width="11.140625" style="151" customWidth="1"/>
    <col min="3600" max="3610" width="11.140625" style="151" bestFit="1" customWidth="1"/>
    <col min="3611" max="3611" width="12" style="151" bestFit="1" customWidth="1"/>
    <col min="3612" max="3612" width="1.28515625" style="151" customWidth="1"/>
    <col min="3613" max="3614" width="11.85546875" style="151" customWidth="1"/>
    <col min="3615" max="3615" width="12" style="151" bestFit="1" customWidth="1"/>
    <col min="3616" max="3616" width="9.140625" style="151"/>
    <col min="3617" max="3617" width="11.7109375" style="151" customWidth="1"/>
    <col min="3618" max="3844" width="9.140625" style="151"/>
    <col min="3845" max="3845" width="3" style="151" customWidth="1"/>
    <col min="3846" max="3846" width="32.28515625" style="151" customWidth="1"/>
    <col min="3847" max="3847" width="19.42578125" style="151" customWidth="1"/>
    <col min="3848" max="3848" width="9.140625" style="151" customWidth="1"/>
    <col min="3849" max="3849" width="1.5703125" style="151" customWidth="1"/>
    <col min="3850" max="3854" width="9.140625" style="151" customWidth="1"/>
    <col min="3855" max="3855" width="11.140625" style="151" customWidth="1"/>
    <col min="3856" max="3866" width="11.140625" style="151" bestFit="1" customWidth="1"/>
    <col min="3867" max="3867" width="12" style="151" bestFit="1" customWidth="1"/>
    <col min="3868" max="3868" width="1.28515625" style="151" customWidth="1"/>
    <col min="3869" max="3870" width="11.85546875" style="151" customWidth="1"/>
    <col min="3871" max="3871" width="12" style="151" bestFit="1" customWidth="1"/>
    <col min="3872" max="3872" width="9.140625" style="151"/>
    <col min="3873" max="3873" width="11.7109375" style="151" customWidth="1"/>
    <col min="3874" max="4100" width="9.140625" style="151"/>
    <col min="4101" max="4101" width="3" style="151" customWidth="1"/>
    <col min="4102" max="4102" width="32.28515625" style="151" customWidth="1"/>
    <col min="4103" max="4103" width="19.42578125" style="151" customWidth="1"/>
    <col min="4104" max="4104" width="9.140625" style="151" customWidth="1"/>
    <col min="4105" max="4105" width="1.5703125" style="151" customWidth="1"/>
    <col min="4106" max="4110" width="9.140625" style="151" customWidth="1"/>
    <col min="4111" max="4111" width="11.140625" style="151" customWidth="1"/>
    <col min="4112" max="4122" width="11.140625" style="151" bestFit="1" customWidth="1"/>
    <col min="4123" max="4123" width="12" style="151" bestFit="1" customWidth="1"/>
    <col min="4124" max="4124" width="1.28515625" style="151" customWidth="1"/>
    <col min="4125" max="4126" width="11.85546875" style="151" customWidth="1"/>
    <col min="4127" max="4127" width="12" style="151" bestFit="1" customWidth="1"/>
    <col min="4128" max="4128" width="9.140625" style="151"/>
    <col min="4129" max="4129" width="11.7109375" style="151" customWidth="1"/>
    <col min="4130" max="4356" width="9.140625" style="151"/>
    <col min="4357" max="4357" width="3" style="151" customWidth="1"/>
    <col min="4358" max="4358" width="32.28515625" style="151" customWidth="1"/>
    <col min="4359" max="4359" width="19.42578125" style="151" customWidth="1"/>
    <col min="4360" max="4360" width="9.140625" style="151" customWidth="1"/>
    <col min="4361" max="4361" width="1.5703125" style="151" customWidth="1"/>
    <col min="4362" max="4366" width="9.140625" style="151" customWidth="1"/>
    <col min="4367" max="4367" width="11.140625" style="151" customWidth="1"/>
    <col min="4368" max="4378" width="11.140625" style="151" bestFit="1" customWidth="1"/>
    <col min="4379" max="4379" width="12" style="151" bestFit="1" customWidth="1"/>
    <col min="4380" max="4380" width="1.28515625" style="151" customWidth="1"/>
    <col min="4381" max="4382" width="11.85546875" style="151" customWidth="1"/>
    <col min="4383" max="4383" width="12" style="151" bestFit="1" customWidth="1"/>
    <col min="4384" max="4384" width="9.140625" style="151"/>
    <col min="4385" max="4385" width="11.7109375" style="151" customWidth="1"/>
    <col min="4386" max="4612" width="9.140625" style="151"/>
    <col min="4613" max="4613" width="3" style="151" customWidth="1"/>
    <col min="4614" max="4614" width="32.28515625" style="151" customWidth="1"/>
    <col min="4615" max="4615" width="19.42578125" style="151" customWidth="1"/>
    <col min="4616" max="4616" width="9.140625" style="151" customWidth="1"/>
    <col min="4617" max="4617" width="1.5703125" style="151" customWidth="1"/>
    <col min="4618" max="4622" width="9.140625" style="151" customWidth="1"/>
    <col min="4623" max="4623" width="11.140625" style="151" customWidth="1"/>
    <col min="4624" max="4634" width="11.140625" style="151" bestFit="1" customWidth="1"/>
    <col min="4635" max="4635" width="12" style="151" bestFit="1" customWidth="1"/>
    <col min="4636" max="4636" width="1.28515625" style="151" customWidth="1"/>
    <col min="4637" max="4638" width="11.85546875" style="151" customWidth="1"/>
    <col min="4639" max="4639" width="12" style="151" bestFit="1" customWidth="1"/>
    <col min="4640" max="4640" width="9.140625" style="151"/>
    <col min="4641" max="4641" width="11.7109375" style="151" customWidth="1"/>
    <col min="4642" max="4868" width="9.140625" style="151"/>
    <col min="4869" max="4869" width="3" style="151" customWidth="1"/>
    <col min="4870" max="4870" width="32.28515625" style="151" customWidth="1"/>
    <col min="4871" max="4871" width="19.42578125" style="151" customWidth="1"/>
    <col min="4872" max="4872" width="9.140625" style="151" customWidth="1"/>
    <col min="4873" max="4873" width="1.5703125" style="151" customWidth="1"/>
    <col min="4874" max="4878" width="9.140625" style="151" customWidth="1"/>
    <col min="4879" max="4879" width="11.140625" style="151" customWidth="1"/>
    <col min="4880" max="4890" width="11.140625" style="151" bestFit="1" customWidth="1"/>
    <col min="4891" max="4891" width="12" style="151" bestFit="1" customWidth="1"/>
    <col min="4892" max="4892" width="1.28515625" style="151" customWidth="1"/>
    <col min="4893" max="4894" width="11.85546875" style="151" customWidth="1"/>
    <col min="4895" max="4895" width="12" style="151" bestFit="1" customWidth="1"/>
    <col min="4896" max="4896" width="9.140625" style="151"/>
    <col min="4897" max="4897" width="11.7109375" style="151" customWidth="1"/>
    <col min="4898" max="5124" width="9.140625" style="151"/>
    <col min="5125" max="5125" width="3" style="151" customWidth="1"/>
    <col min="5126" max="5126" width="32.28515625" style="151" customWidth="1"/>
    <col min="5127" max="5127" width="19.42578125" style="151" customWidth="1"/>
    <col min="5128" max="5128" width="9.140625" style="151" customWidth="1"/>
    <col min="5129" max="5129" width="1.5703125" style="151" customWidth="1"/>
    <col min="5130" max="5134" width="9.140625" style="151" customWidth="1"/>
    <col min="5135" max="5135" width="11.140625" style="151" customWidth="1"/>
    <col min="5136" max="5146" width="11.140625" style="151" bestFit="1" customWidth="1"/>
    <col min="5147" max="5147" width="12" style="151" bestFit="1" customWidth="1"/>
    <col min="5148" max="5148" width="1.28515625" style="151" customWidth="1"/>
    <col min="5149" max="5150" width="11.85546875" style="151" customWidth="1"/>
    <col min="5151" max="5151" width="12" style="151" bestFit="1" customWidth="1"/>
    <col min="5152" max="5152" width="9.140625" style="151"/>
    <col min="5153" max="5153" width="11.7109375" style="151" customWidth="1"/>
    <col min="5154" max="5380" width="9.140625" style="151"/>
    <col min="5381" max="5381" width="3" style="151" customWidth="1"/>
    <col min="5382" max="5382" width="32.28515625" style="151" customWidth="1"/>
    <col min="5383" max="5383" width="19.42578125" style="151" customWidth="1"/>
    <col min="5384" max="5384" width="9.140625" style="151" customWidth="1"/>
    <col min="5385" max="5385" width="1.5703125" style="151" customWidth="1"/>
    <col min="5386" max="5390" width="9.140625" style="151" customWidth="1"/>
    <col min="5391" max="5391" width="11.140625" style="151" customWidth="1"/>
    <col min="5392" max="5402" width="11.140625" style="151" bestFit="1" customWidth="1"/>
    <col min="5403" max="5403" width="12" style="151" bestFit="1" customWidth="1"/>
    <col min="5404" max="5404" width="1.28515625" style="151" customWidth="1"/>
    <col min="5405" max="5406" width="11.85546875" style="151" customWidth="1"/>
    <col min="5407" max="5407" width="12" style="151" bestFit="1" customWidth="1"/>
    <col min="5408" max="5408" width="9.140625" style="151"/>
    <col min="5409" max="5409" width="11.7109375" style="151" customWidth="1"/>
    <col min="5410" max="5636" width="9.140625" style="151"/>
    <col min="5637" max="5637" width="3" style="151" customWidth="1"/>
    <col min="5638" max="5638" width="32.28515625" style="151" customWidth="1"/>
    <col min="5639" max="5639" width="19.42578125" style="151" customWidth="1"/>
    <col min="5640" max="5640" width="9.140625" style="151" customWidth="1"/>
    <col min="5641" max="5641" width="1.5703125" style="151" customWidth="1"/>
    <col min="5642" max="5646" width="9.140625" style="151" customWidth="1"/>
    <col min="5647" max="5647" width="11.140625" style="151" customWidth="1"/>
    <col min="5648" max="5658" width="11.140625" style="151" bestFit="1" customWidth="1"/>
    <col min="5659" max="5659" width="12" style="151" bestFit="1" customWidth="1"/>
    <col min="5660" max="5660" width="1.28515625" style="151" customWidth="1"/>
    <col min="5661" max="5662" width="11.85546875" style="151" customWidth="1"/>
    <col min="5663" max="5663" width="12" style="151" bestFit="1" customWidth="1"/>
    <col min="5664" max="5664" width="9.140625" style="151"/>
    <col min="5665" max="5665" width="11.7109375" style="151" customWidth="1"/>
    <col min="5666" max="5892" width="9.140625" style="151"/>
    <col min="5893" max="5893" width="3" style="151" customWidth="1"/>
    <col min="5894" max="5894" width="32.28515625" style="151" customWidth="1"/>
    <col min="5895" max="5895" width="19.42578125" style="151" customWidth="1"/>
    <col min="5896" max="5896" width="9.140625" style="151" customWidth="1"/>
    <col min="5897" max="5897" width="1.5703125" style="151" customWidth="1"/>
    <col min="5898" max="5902" width="9.140625" style="151" customWidth="1"/>
    <col min="5903" max="5903" width="11.140625" style="151" customWidth="1"/>
    <col min="5904" max="5914" width="11.140625" style="151" bestFit="1" customWidth="1"/>
    <col min="5915" max="5915" width="12" style="151" bestFit="1" customWidth="1"/>
    <col min="5916" max="5916" width="1.28515625" style="151" customWidth="1"/>
    <col min="5917" max="5918" width="11.85546875" style="151" customWidth="1"/>
    <col min="5919" max="5919" width="12" style="151" bestFit="1" customWidth="1"/>
    <col min="5920" max="5920" width="9.140625" style="151"/>
    <col min="5921" max="5921" width="11.7109375" style="151" customWidth="1"/>
    <col min="5922" max="6148" width="9.140625" style="151"/>
    <col min="6149" max="6149" width="3" style="151" customWidth="1"/>
    <col min="6150" max="6150" width="32.28515625" style="151" customWidth="1"/>
    <col min="6151" max="6151" width="19.42578125" style="151" customWidth="1"/>
    <col min="6152" max="6152" width="9.140625" style="151" customWidth="1"/>
    <col min="6153" max="6153" width="1.5703125" style="151" customWidth="1"/>
    <col min="6154" max="6158" width="9.140625" style="151" customWidth="1"/>
    <col min="6159" max="6159" width="11.140625" style="151" customWidth="1"/>
    <col min="6160" max="6170" width="11.140625" style="151" bestFit="1" customWidth="1"/>
    <col min="6171" max="6171" width="12" style="151" bestFit="1" customWidth="1"/>
    <col min="6172" max="6172" width="1.28515625" style="151" customWidth="1"/>
    <col min="6173" max="6174" width="11.85546875" style="151" customWidth="1"/>
    <col min="6175" max="6175" width="12" style="151" bestFit="1" customWidth="1"/>
    <col min="6176" max="6176" width="9.140625" style="151"/>
    <col min="6177" max="6177" width="11.7109375" style="151" customWidth="1"/>
    <col min="6178" max="6404" width="9.140625" style="151"/>
    <col min="6405" max="6405" width="3" style="151" customWidth="1"/>
    <col min="6406" max="6406" width="32.28515625" style="151" customWidth="1"/>
    <col min="6407" max="6407" width="19.42578125" style="151" customWidth="1"/>
    <col min="6408" max="6408" width="9.140625" style="151" customWidth="1"/>
    <col min="6409" max="6409" width="1.5703125" style="151" customWidth="1"/>
    <col min="6410" max="6414" width="9.140625" style="151" customWidth="1"/>
    <col min="6415" max="6415" width="11.140625" style="151" customWidth="1"/>
    <col min="6416" max="6426" width="11.140625" style="151" bestFit="1" customWidth="1"/>
    <col min="6427" max="6427" width="12" style="151" bestFit="1" customWidth="1"/>
    <col min="6428" max="6428" width="1.28515625" style="151" customWidth="1"/>
    <col min="6429" max="6430" width="11.85546875" style="151" customWidth="1"/>
    <col min="6431" max="6431" width="12" style="151" bestFit="1" customWidth="1"/>
    <col min="6432" max="6432" width="9.140625" style="151"/>
    <col min="6433" max="6433" width="11.7109375" style="151" customWidth="1"/>
    <col min="6434" max="6660" width="9.140625" style="151"/>
    <col min="6661" max="6661" width="3" style="151" customWidth="1"/>
    <col min="6662" max="6662" width="32.28515625" style="151" customWidth="1"/>
    <col min="6663" max="6663" width="19.42578125" style="151" customWidth="1"/>
    <col min="6664" max="6664" width="9.140625" style="151" customWidth="1"/>
    <col min="6665" max="6665" width="1.5703125" style="151" customWidth="1"/>
    <col min="6666" max="6670" width="9.140625" style="151" customWidth="1"/>
    <col min="6671" max="6671" width="11.140625" style="151" customWidth="1"/>
    <col min="6672" max="6682" width="11.140625" style="151" bestFit="1" customWidth="1"/>
    <col min="6683" max="6683" width="12" style="151" bestFit="1" customWidth="1"/>
    <col min="6684" max="6684" width="1.28515625" style="151" customWidth="1"/>
    <col min="6685" max="6686" width="11.85546875" style="151" customWidth="1"/>
    <col min="6687" max="6687" width="12" style="151" bestFit="1" customWidth="1"/>
    <col min="6688" max="6688" width="9.140625" style="151"/>
    <col min="6689" max="6689" width="11.7109375" style="151" customWidth="1"/>
    <col min="6690" max="6916" width="9.140625" style="151"/>
    <col min="6917" max="6917" width="3" style="151" customWidth="1"/>
    <col min="6918" max="6918" width="32.28515625" style="151" customWidth="1"/>
    <col min="6919" max="6919" width="19.42578125" style="151" customWidth="1"/>
    <col min="6920" max="6920" width="9.140625" style="151" customWidth="1"/>
    <col min="6921" max="6921" width="1.5703125" style="151" customWidth="1"/>
    <col min="6922" max="6926" width="9.140625" style="151" customWidth="1"/>
    <col min="6927" max="6927" width="11.140625" style="151" customWidth="1"/>
    <col min="6928" max="6938" width="11.140625" style="151" bestFit="1" customWidth="1"/>
    <col min="6939" max="6939" width="12" style="151" bestFit="1" customWidth="1"/>
    <col min="6940" max="6940" width="1.28515625" style="151" customWidth="1"/>
    <col min="6941" max="6942" width="11.85546875" style="151" customWidth="1"/>
    <col min="6943" max="6943" width="12" style="151" bestFit="1" customWidth="1"/>
    <col min="6944" max="6944" width="9.140625" style="151"/>
    <col min="6945" max="6945" width="11.7109375" style="151" customWidth="1"/>
    <col min="6946" max="7172" width="9.140625" style="151"/>
    <col min="7173" max="7173" width="3" style="151" customWidth="1"/>
    <col min="7174" max="7174" width="32.28515625" style="151" customWidth="1"/>
    <col min="7175" max="7175" width="19.42578125" style="151" customWidth="1"/>
    <col min="7176" max="7176" width="9.140625" style="151" customWidth="1"/>
    <col min="7177" max="7177" width="1.5703125" style="151" customWidth="1"/>
    <col min="7178" max="7182" width="9.140625" style="151" customWidth="1"/>
    <col min="7183" max="7183" width="11.140625" style="151" customWidth="1"/>
    <col min="7184" max="7194" width="11.140625" style="151" bestFit="1" customWidth="1"/>
    <col min="7195" max="7195" width="12" style="151" bestFit="1" customWidth="1"/>
    <col min="7196" max="7196" width="1.28515625" style="151" customWidth="1"/>
    <col min="7197" max="7198" width="11.85546875" style="151" customWidth="1"/>
    <col min="7199" max="7199" width="12" style="151" bestFit="1" customWidth="1"/>
    <col min="7200" max="7200" width="9.140625" style="151"/>
    <col min="7201" max="7201" width="11.7109375" style="151" customWidth="1"/>
    <col min="7202" max="7428" width="9.140625" style="151"/>
    <col min="7429" max="7429" width="3" style="151" customWidth="1"/>
    <col min="7430" max="7430" width="32.28515625" style="151" customWidth="1"/>
    <col min="7431" max="7431" width="19.42578125" style="151" customWidth="1"/>
    <col min="7432" max="7432" width="9.140625" style="151" customWidth="1"/>
    <col min="7433" max="7433" width="1.5703125" style="151" customWidth="1"/>
    <col min="7434" max="7438" width="9.140625" style="151" customWidth="1"/>
    <col min="7439" max="7439" width="11.140625" style="151" customWidth="1"/>
    <col min="7440" max="7450" width="11.140625" style="151" bestFit="1" customWidth="1"/>
    <col min="7451" max="7451" width="12" style="151" bestFit="1" customWidth="1"/>
    <col min="7452" max="7452" width="1.28515625" style="151" customWidth="1"/>
    <col min="7453" max="7454" width="11.85546875" style="151" customWidth="1"/>
    <col min="7455" max="7455" width="12" style="151" bestFit="1" customWidth="1"/>
    <col min="7456" max="7456" width="9.140625" style="151"/>
    <col min="7457" max="7457" width="11.7109375" style="151" customWidth="1"/>
    <col min="7458" max="7684" width="9.140625" style="151"/>
    <col min="7685" max="7685" width="3" style="151" customWidth="1"/>
    <col min="7686" max="7686" width="32.28515625" style="151" customWidth="1"/>
    <col min="7687" max="7687" width="19.42578125" style="151" customWidth="1"/>
    <col min="7688" max="7688" width="9.140625" style="151" customWidth="1"/>
    <col min="7689" max="7689" width="1.5703125" style="151" customWidth="1"/>
    <col min="7690" max="7694" width="9.140625" style="151" customWidth="1"/>
    <col min="7695" max="7695" width="11.140625" style="151" customWidth="1"/>
    <col min="7696" max="7706" width="11.140625" style="151" bestFit="1" customWidth="1"/>
    <col min="7707" max="7707" width="12" style="151" bestFit="1" customWidth="1"/>
    <col min="7708" max="7708" width="1.28515625" style="151" customWidth="1"/>
    <col min="7709" max="7710" width="11.85546875" style="151" customWidth="1"/>
    <col min="7711" max="7711" width="12" style="151" bestFit="1" customWidth="1"/>
    <col min="7712" max="7712" width="9.140625" style="151"/>
    <col min="7713" max="7713" width="11.7109375" style="151" customWidth="1"/>
    <col min="7714" max="7940" width="9.140625" style="151"/>
    <col min="7941" max="7941" width="3" style="151" customWidth="1"/>
    <col min="7942" max="7942" width="32.28515625" style="151" customWidth="1"/>
    <col min="7943" max="7943" width="19.42578125" style="151" customWidth="1"/>
    <col min="7944" max="7944" width="9.140625" style="151" customWidth="1"/>
    <col min="7945" max="7945" width="1.5703125" style="151" customWidth="1"/>
    <col min="7946" max="7950" width="9.140625" style="151" customWidth="1"/>
    <col min="7951" max="7951" width="11.140625" style="151" customWidth="1"/>
    <col min="7952" max="7962" width="11.140625" style="151" bestFit="1" customWidth="1"/>
    <col min="7963" max="7963" width="12" style="151" bestFit="1" customWidth="1"/>
    <col min="7964" max="7964" width="1.28515625" style="151" customWidth="1"/>
    <col min="7965" max="7966" width="11.85546875" style="151" customWidth="1"/>
    <col min="7967" max="7967" width="12" style="151" bestFit="1" customWidth="1"/>
    <col min="7968" max="7968" width="9.140625" style="151"/>
    <col min="7969" max="7969" width="11.7109375" style="151" customWidth="1"/>
    <col min="7970" max="8196" width="9.140625" style="151"/>
    <col min="8197" max="8197" width="3" style="151" customWidth="1"/>
    <col min="8198" max="8198" width="32.28515625" style="151" customWidth="1"/>
    <col min="8199" max="8199" width="19.42578125" style="151" customWidth="1"/>
    <col min="8200" max="8200" width="9.140625" style="151" customWidth="1"/>
    <col min="8201" max="8201" width="1.5703125" style="151" customWidth="1"/>
    <col min="8202" max="8206" width="9.140625" style="151" customWidth="1"/>
    <col min="8207" max="8207" width="11.140625" style="151" customWidth="1"/>
    <col min="8208" max="8218" width="11.140625" style="151" bestFit="1" customWidth="1"/>
    <col min="8219" max="8219" width="12" style="151" bestFit="1" customWidth="1"/>
    <col min="8220" max="8220" width="1.28515625" style="151" customWidth="1"/>
    <col min="8221" max="8222" width="11.85546875" style="151" customWidth="1"/>
    <col min="8223" max="8223" width="12" style="151" bestFit="1" customWidth="1"/>
    <col min="8224" max="8224" width="9.140625" style="151"/>
    <col min="8225" max="8225" width="11.7109375" style="151" customWidth="1"/>
    <col min="8226" max="8452" width="9.140625" style="151"/>
    <col min="8453" max="8453" width="3" style="151" customWidth="1"/>
    <col min="8454" max="8454" width="32.28515625" style="151" customWidth="1"/>
    <col min="8455" max="8455" width="19.42578125" style="151" customWidth="1"/>
    <col min="8456" max="8456" width="9.140625" style="151" customWidth="1"/>
    <col min="8457" max="8457" width="1.5703125" style="151" customWidth="1"/>
    <col min="8458" max="8462" width="9.140625" style="151" customWidth="1"/>
    <col min="8463" max="8463" width="11.140625" style="151" customWidth="1"/>
    <col min="8464" max="8474" width="11.140625" style="151" bestFit="1" customWidth="1"/>
    <col min="8475" max="8475" width="12" style="151" bestFit="1" customWidth="1"/>
    <col min="8476" max="8476" width="1.28515625" style="151" customWidth="1"/>
    <col min="8477" max="8478" width="11.85546875" style="151" customWidth="1"/>
    <col min="8479" max="8479" width="12" style="151" bestFit="1" customWidth="1"/>
    <col min="8480" max="8480" width="9.140625" style="151"/>
    <col min="8481" max="8481" width="11.7109375" style="151" customWidth="1"/>
    <col min="8482" max="8708" width="9.140625" style="151"/>
    <col min="8709" max="8709" width="3" style="151" customWidth="1"/>
    <col min="8710" max="8710" width="32.28515625" style="151" customWidth="1"/>
    <col min="8711" max="8711" width="19.42578125" style="151" customWidth="1"/>
    <col min="8712" max="8712" width="9.140625" style="151" customWidth="1"/>
    <col min="8713" max="8713" width="1.5703125" style="151" customWidth="1"/>
    <col min="8714" max="8718" width="9.140625" style="151" customWidth="1"/>
    <col min="8719" max="8719" width="11.140625" style="151" customWidth="1"/>
    <col min="8720" max="8730" width="11.140625" style="151" bestFit="1" customWidth="1"/>
    <col min="8731" max="8731" width="12" style="151" bestFit="1" customWidth="1"/>
    <col min="8732" max="8732" width="1.28515625" style="151" customWidth="1"/>
    <col min="8733" max="8734" width="11.85546875" style="151" customWidth="1"/>
    <col min="8735" max="8735" width="12" style="151" bestFit="1" customWidth="1"/>
    <col min="8736" max="8736" width="9.140625" style="151"/>
    <col min="8737" max="8737" width="11.7109375" style="151" customWidth="1"/>
    <col min="8738" max="8964" width="9.140625" style="151"/>
    <col min="8965" max="8965" width="3" style="151" customWidth="1"/>
    <col min="8966" max="8966" width="32.28515625" style="151" customWidth="1"/>
    <col min="8967" max="8967" width="19.42578125" style="151" customWidth="1"/>
    <col min="8968" max="8968" width="9.140625" style="151" customWidth="1"/>
    <col min="8969" max="8969" width="1.5703125" style="151" customWidth="1"/>
    <col min="8970" max="8974" width="9.140625" style="151" customWidth="1"/>
    <col min="8975" max="8975" width="11.140625" style="151" customWidth="1"/>
    <col min="8976" max="8986" width="11.140625" style="151" bestFit="1" customWidth="1"/>
    <col min="8987" max="8987" width="12" style="151" bestFit="1" customWidth="1"/>
    <col min="8988" max="8988" width="1.28515625" style="151" customWidth="1"/>
    <col min="8989" max="8990" width="11.85546875" style="151" customWidth="1"/>
    <col min="8991" max="8991" width="12" style="151" bestFit="1" customWidth="1"/>
    <col min="8992" max="8992" width="9.140625" style="151"/>
    <col min="8993" max="8993" width="11.7109375" style="151" customWidth="1"/>
    <col min="8994" max="9220" width="9.140625" style="151"/>
    <col min="9221" max="9221" width="3" style="151" customWidth="1"/>
    <col min="9222" max="9222" width="32.28515625" style="151" customWidth="1"/>
    <col min="9223" max="9223" width="19.42578125" style="151" customWidth="1"/>
    <col min="9224" max="9224" width="9.140625" style="151" customWidth="1"/>
    <col min="9225" max="9225" width="1.5703125" style="151" customWidth="1"/>
    <col min="9226" max="9230" width="9.140625" style="151" customWidth="1"/>
    <col min="9231" max="9231" width="11.140625" style="151" customWidth="1"/>
    <col min="9232" max="9242" width="11.140625" style="151" bestFit="1" customWidth="1"/>
    <col min="9243" max="9243" width="12" style="151" bestFit="1" customWidth="1"/>
    <col min="9244" max="9244" width="1.28515625" style="151" customWidth="1"/>
    <col min="9245" max="9246" width="11.85546875" style="151" customWidth="1"/>
    <col min="9247" max="9247" width="12" style="151" bestFit="1" customWidth="1"/>
    <col min="9248" max="9248" width="9.140625" style="151"/>
    <col min="9249" max="9249" width="11.7109375" style="151" customWidth="1"/>
    <col min="9250" max="9476" width="9.140625" style="151"/>
    <col min="9477" max="9477" width="3" style="151" customWidth="1"/>
    <col min="9478" max="9478" width="32.28515625" style="151" customWidth="1"/>
    <col min="9479" max="9479" width="19.42578125" style="151" customWidth="1"/>
    <col min="9480" max="9480" width="9.140625" style="151" customWidth="1"/>
    <col min="9481" max="9481" width="1.5703125" style="151" customWidth="1"/>
    <col min="9482" max="9486" width="9.140625" style="151" customWidth="1"/>
    <col min="9487" max="9487" width="11.140625" style="151" customWidth="1"/>
    <col min="9488" max="9498" width="11.140625" style="151" bestFit="1" customWidth="1"/>
    <col min="9499" max="9499" width="12" style="151" bestFit="1" customWidth="1"/>
    <col min="9500" max="9500" width="1.28515625" style="151" customWidth="1"/>
    <col min="9501" max="9502" width="11.85546875" style="151" customWidth="1"/>
    <col min="9503" max="9503" width="12" style="151" bestFit="1" customWidth="1"/>
    <col min="9504" max="9504" width="9.140625" style="151"/>
    <col min="9505" max="9505" width="11.7109375" style="151" customWidth="1"/>
    <col min="9506" max="9732" width="9.140625" style="151"/>
    <col min="9733" max="9733" width="3" style="151" customWidth="1"/>
    <col min="9734" max="9734" width="32.28515625" style="151" customWidth="1"/>
    <col min="9735" max="9735" width="19.42578125" style="151" customWidth="1"/>
    <col min="9736" max="9736" width="9.140625" style="151" customWidth="1"/>
    <col min="9737" max="9737" width="1.5703125" style="151" customWidth="1"/>
    <col min="9738" max="9742" width="9.140625" style="151" customWidth="1"/>
    <col min="9743" max="9743" width="11.140625" style="151" customWidth="1"/>
    <col min="9744" max="9754" width="11.140625" style="151" bestFit="1" customWidth="1"/>
    <col min="9755" max="9755" width="12" style="151" bestFit="1" customWidth="1"/>
    <col min="9756" max="9756" width="1.28515625" style="151" customWidth="1"/>
    <col min="9757" max="9758" width="11.85546875" style="151" customWidth="1"/>
    <col min="9759" max="9759" width="12" style="151" bestFit="1" customWidth="1"/>
    <col min="9760" max="9760" width="9.140625" style="151"/>
    <col min="9761" max="9761" width="11.7109375" style="151" customWidth="1"/>
    <col min="9762" max="9988" width="9.140625" style="151"/>
    <col min="9989" max="9989" width="3" style="151" customWidth="1"/>
    <col min="9990" max="9990" width="32.28515625" style="151" customWidth="1"/>
    <col min="9991" max="9991" width="19.42578125" style="151" customWidth="1"/>
    <col min="9992" max="9992" width="9.140625" style="151" customWidth="1"/>
    <col min="9993" max="9993" width="1.5703125" style="151" customWidth="1"/>
    <col min="9994" max="9998" width="9.140625" style="151" customWidth="1"/>
    <col min="9999" max="9999" width="11.140625" style="151" customWidth="1"/>
    <col min="10000" max="10010" width="11.140625" style="151" bestFit="1" customWidth="1"/>
    <col min="10011" max="10011" width="12" style="151" bestFit="1" customWidth="1"/>
    <col min="10012" max="10012" width="1.28515625" style="151" customWidth="1"/>
    <col min="10013" max="10014" width="11.85546875" style="151" customWidth="1"/>
    <col min="10015" max="10015" width="12" style="151" bestFit="1" customWidth="1"/>
    <col min="10016" max="10016" width="9.140625" style="151"/>
    <col min="10017" max="10017" width="11.7109375" style="151" customWidth="1"/>
    <col min="10018" max="10244" width="9.140625" style="151"/>
    <col min="10245" max="10245" width="3" style="151" customWidth="1"/>
    <col min="10246" max="10246" width="32.28515625" style="151" customWidth="1"/>
    <col min="10247" max="10247" width="19.42578125" style="151" customWidth="1"/>
    <col min="10248" max="10248" width="9.140625" style="151" customWidth="1"/>
    <col min="10249" max="10249" width="1.5703125" style="151" customWidth="1"/>
    <col min="10250" max="10254" width="9.140625" style="151" customWidth="1"/>
    <col min="10255" max="10255" width="11.140625" style="151" customWidth="1"/>
    <col min="10256" max="10266" width="11.140625" style="151" bestFit="1" customWidth="1"/>
    <col min="10267" max="10267" width="12" style="151" bestFit="1" customWidth="1"/>
    <col min="10268" max="10268" width="1.28515625" style="151" customWidth="1"/>
    <col min="10269" max="10270" width="11.85546875" style="151" customWidth="1"/>
    <col min="10271" max="10271" width="12" style="151" bestFit="1" customWidth="1"/>
    <col min="10272" max="10272" width="9.140625" style="151"/>
    <col min="10273" max="10273" width="11.7109375" style="151" customWidth="1"/>
    <col min="10274" max="10500" width="9.140625" style="151"/>
    <col min="10501" max="10501" width="3" style="151" customWidth="1"/>
    <col min="10502" max="10502" width="32.28515625" style="151" customWidth="1"/>
    <col min="10503" max="10503" width="19.42578125" style="151" customWidth="1"/>
    <col min="10504" max="10504" width="9.140625" style="151" customWidth="1"/>
    <col min="10505" max="10505" width="1.5703125" style="151" customWidth="1"/>
    <col min="10506" max="10510" width="9.140625" style="151" customWidth="1"/>
    <col min="10511" max="10511" width="11.140625" style="151" customWidth="1"/>
    <col min="10512" max="10522" width="11.140625" style="151" bestFit="1" customWidth="1"/>
    <col min="10523" max="10523" width="12" style="151" bestFit="1" customWidth="1"/>
    <col min="10524" max="10524" width="1.28515625" style="151" customWidth="1"/>
    <col min="10525" max="10526" width="11.85546875" style="151" customWidth="1"/>
    <col min="10527" max="10527" width="12" style="151" bestFit="1" customWidth="1"/>
    <col min="10528" max="10528" width="9.140625" style="151"/>
    <col min="10529" max="10529" width="11.7109375" style="151" customWidth="1"/>
    <col min="10530" max="10756" width="9.140625" style="151"/>
    <col min="10757" max="10757" width="3" style="151" customWidth="1"/>
    <col min="10758" max="10758" width="32.28515625" style="151" customWidth="1"/>
    <col min="10759" max="10759" width="19.42578125" style="151" customWidth="1"/>
    <col min="10760" max="10760" width="9.140625" style="151" customWidth="1"/>
    <col min="10761" max="10761" width="1.5703125" style="151" customWidth="1"/>
    <col min="10762" max="10766" width="9.140625" style="151" customWidth="1"/>
    <col min="10767" max="10767" width="11.140625" style="151" customWidth="1"/>
    <col min="10768" max="10778" width="11.140625" style="151" bestFit="1" customWidth="1"/>
    <col min="10779" max="10779" width="12" style="151" bestFit="1" customWidth="1"/>
    <col min="10780" max="10780" width="1.28515625" style="151" customWidth="1"/>
    <col min="10781" max="10782" width="11.85546875" style="151" customWidth="1"/>
    <col min="10783" max="10783" width="12" style="151" bestFit="1" customWidth="1"/>
    <col min="10784" max="10784" width="9.140625" style="151"/>
    <col min="10785" max="10785" width="11.7109375" style="151" customWidth="1"/>
    <col min="10786" max="11012" width="9.140625" style="151"/>
    <col min="11013" max="11013" width="3" style="151" customWidth="1"/>
    <col min="11014" max="11014" width="32.28515625" style="151" customWidth="1"/>
    <col min="11015" max="11015" width="19.42578125" style="151" customWidth="1"/>
    <col min="11016" max="11016" width="9.140625" style="151" customWidth="1"/>
    <col min="11017" max="11017" width="1.5703125" style="151" customWidth="1"/>
    <col min="11018" max="11022" width="9.140625" style="151" customWidth="1"/>
    <col min="11023" max="11023" width="11.140625" style="151" customWidth="1"/>
    <col min="11024" max="11034" width="11.140625" style="151" bestFit="1" customWidth="1"/>
    <col min="11035" max="11035" width="12" style="151" bestFit="1" customWidth="1"/>
    <col min="11036" max="11036" width="1.28515625" style="151" customWidth="1"/>
    <col min="11037" max="11038" width="11.85546875" style="151" customWidth="1"/>
    <col min="11039" max="11039" width="12" style="151" bestFit="1" customWidth="1"/>
    <col min="11040" max="11040" width="9.140625" style="151"/>
    <col min="11041" max="11041" width="11.7109375" style="151" customWidth="1"/>
    <col min="11042" max="11268" width="9.140625" style="151"/>
    <col min="11269" max="11269" width="3" style="151" customWidth="1"/>
    <col min="11270" max="11270" width="32.28515625" style="151" customWidth="1"/>
    <col min="11271" max="11271" width="19.42578125" style="151" customWidth="1"/>
    <col min="11272" max="11272" width="9.140625" style="151" customWidth="1"/>
    <col min="11273" max="11273" width="1.5703125" style="151" customWidth="1"/>
    <col min="11274" max="11278" width="9.140625" style="151" customWidth="1"/>
    <col min="11279" max="11279" width="11.140625" style="151" customWidth="1"/>
    <col min="11280" max="11290" width="11.140625" style="151" bestFit="1" customWidth="1"/>
    <col min="11291" max="11291" width="12" style="151" bestFit="1" customWidth="1"/>
    <col min="11292" max="11292" width="1.28515625" style="151" customWidth="1"/>
    <col min="11293" max="11294" width="11.85546875" style="151" customWidth="1"/>
    <col min="11295" max="11295" width="12" style="151" bestFit="1" customWidth="1"/>
    <col min="11296" max="11296" width="9.140625" style="151"/>
    <col min="11297" max="11297" width="11.7109375" style="151" customWidth="1"/>
    <col min="11298" max="11524" width="9.140625" style="151"/>
    <col min="11525" max="11525" width="3" style="151" customWidth="1"/>
    <col min="11526" max="11526" width="32.28515625" style="151" customWidth="1"/>
    <col min="11527" max="11527" width="19.42578125" style="151" customWidth="1"/>
    <col min="11528" max="11528" width="9.140625" style="151" customWidth="1"/>
    <col min="11529" max="11529" width="1.5703125" style="151" customWidth="1"/>
    <col min="11530" max="11534" width="9.140625" style="151" customWidth="1"/>
    <col min="11535" max="11535" width="11.140625" style="151" customWidth="1"/>
    <col min="11536" max="11546" width="11.140625" style="151" bestFit="1" customWidth="1"/>
    <col min="11547" max="11547" width="12" style="151" bestFit="1" customWidth="1"/>
    <col min="11548" max="11548" width="1.28515625" style="151" customWidth="1"/>
    <col min="11549" max="11550" width="11.85546875" style="151" customWidth="1"/>
    <col min="11551" max="11551" width="12" style="151" bestFit="1" customWidth="1"/>
    <col min="11552" max="11552" width="9.140625" style="151"/>
    <col min="11553" max="11553" width="11.7109375" style="151" customWidth="1"/>
    <col min="11554" max="11780" width="9.140625" style="151"/>
    <col min="11781" max="11781" width="3" style="151" customWidth="1"/>
    <col min="11782" max="11782" width="32.28515625" style="151" customWidth="1"/>
    <col min="11783" max="11783" width="19.42578125" style="151" customWidth="1"/>
    <col min="11784" max="11784" width="9.140625" style="151" customWidth="1"/>
    <col min="11785" max="11785" width="1.5703125" style="151" customWidth="1"/>
    <col min="11786" max="11790" width="9.140625" style="151" customWidth="1"/>
    <col min="11791" max="11791" width="11.140625" style="151" customWidth="1"/>
    <col min="11792" max="11802" width="11.140625" style="151" bestFit="1" customWidth="1"/>
    <col min="11803" max="11803" width="12" style="151" bestFit="1" customWidth="1"/>
    <col min="11804" max="11804" width="1.28515625" style="151" customWidth="1"/>
    <col min="11805" max="11806" width="11.85546875" style="151" customWidth="1"/>
    <col min="11807" max="11807" width="12" style="151" bestFit="1" customWidth="1"/>
    <col min="11808" max="11808" width="9.140625" style="151"/>
    <col min="11809" max="11809" width="11.7109375" style="151" customWidth="1"/>
    <col min="11810" max="12036" width="9.140625" style="151"/>
    <col min="12037" max="12037" width="3" style="151" customWidth="1"/>
    <col min="12038" max="12038" width="32.28515625" style="151" customWidth="1"/>
    <col min="12039" max="12039" width="19.42578125" style="151" customWidth="1"/>
    <col min="12040" max="12040" width="9.140625" style="151" customWidth="1"/>
    <col min="12041" max="12041" width="1.5703125" style="151" customWidth="1"/>
    <col min="12042" max="12046" width="9.140625" style="151" customWidth="1"/>
    <col min="12047" max="12047" width="11.140625" style="151" customWidth="1"/>
    <col min="12048" max="12058" width="11.140625" style="151" bestFit="1" customWidth="1"/>
    <col min="12059" max="12059" width="12" style="151" bestFit="1" customWidth="1"/>
    <col min="12060" max="12060" width="1.28515625" style="151" customWidth="1"/>
    <col min="12061" max="12062" width="11.85546875" style="151" customWidth="1"/>
    <col min="12063" max="12063" width="12" style="151" bestFit="1" customWidth="1"/>
    <col min="12064" max="12064" width="9.140625" style="151"/>
    <col min="12065" max="12065" width="11.7109375" style="151" customWidth="1"/>
    <col min="12066" max="12292" width="9.140625" style="151"/>
    <col min="12293" max="12293" width="3" style="151" customWidth="1"/>
    <col min="12294" max="12294" width="32.28515625" style="151" customWidth="1"/>
    <col min="12295" max="12295" width="19.42578125" style="151" customWidth="1"/>
    <col min="12296" max="12296" width="9.140625" style="151" customWidth="1"/>
    <col min="12297" max="12297" width="1.5703125" style="151" customWidth="1"/>
    <col min="12298" max="12302" width="9.140625" style="151" customWidth="1"/>
    <col min="12303" max="12303" width="11.140625" style="151" customWidth="1"/>
    <col min="12304" max="12314" width="11.140625" style="151" bestFit="1" customWidth="1"/>
    <col min="12315" max="12315" width="12" style="151" bestFit="1" customWidth="1"/>
    <col min="12316" max="12316" width="1.28515625" style="151" customWidth="1"/>
    <col min="12317" max="12318" width="11.85546875" style="151" customWidth="1"/>
    <col min="12319" max="12319" width="12" style="151" bestFit="1" customWidth="1"/>
    <col min="12320" max="12320" width="9.140625" style="151"/>
    <col min="12321" max="12321" width="11.7109375" style="151" customWidth="1"/>
    <col min="12322" max="12548" width="9.140625" style="151"/>
    <col min="12549" max="12549" width="3" style="151" customWidth="1"/>
    <col min="12550" max="12550" width="32.28515625" style="151" customWidth="1"/>
    <col min="12551" max="12551" width="19.42578125" style="151" customWidth="1"/>
    <col min="12552" max="12552" width="9.140625" style="151" customWidth="1"/>
    <col min="12553" max="12553" width="1.5703125" style="151" customWidth="1"/>
    <col min="12554" max="12558" width="9.140625" style="151" customWidth="1"/>
    <col min="12559" max="12559" width="11.140625" style="151" customWidth="1"/>
    <col min="12560" max="12570" width="11.140625" style="151" bestFit="1" customWidth="1"/>
    <col min="12571" max="12571" width="12" style="151" bestFit="1" customWidth="1"/>
    <col min="12572" max="12572" width="1.28515625" style="151" customWidth="1"/>
    <col min="12573" max="12574" width="11.85546875" style="151" customWidth="1"/>
    <col min="12575" max="12575" width="12" style="151" bestFit="1" customWidth="1"/>
    <col min="12576" max="12576" width="9.140625" style="151"/>
    <col min="12577" max="12577" width="11.7109375" style="151" customWidth="1"/>
    <col min="12578" max="12804" width="9.140625" style="151"/>
    <col min="12805" max="12805" width="3" style="151" customWidth="1"/>
    <col min="12806" max="12806" width="32.28515625" style="151" customWidth="1"/>
    <col min="12807" max="12807" width="19.42578125" style="151" customWidth="1"/>
    <col min="12808" max="12808" width="9.140625" style="151" customWidth="1"/>
    <col min="12809" max="12809" width="1.5703125" style="151" customWidth="1"/>
    <col min="12810" max="12814" width="9.140625" style="151" customWidth="1"/>
    <col min="12815" max="12815" width="11.140625" style="151" customWidth="1"/>
    <col min="12816" max="12826" width="11.140625" style="151" bestFit="1" customWidth="1"/>
    <col min="12827" max="12827" width="12" style="151" bestFit="1" customWidth="1"/>
    <col min="12828" max="12828" width="1.28515625" style="151" customWidth="1"/>
    <col min="12829" max="12830" width="11.85546875" style="151" customWidth="1"/>
    <col min="12831" max="12831" width="12" style="151" bestFit="1" customWidth="1"/>
    <col min="12832" max="12832" width="9.140625" style="151"/>
    <col min="12833" max="12833" width="11.7109375" style="151" customWidth="1"/>
    <col min="12834" max="13060" width="9.140625" style="151"/>
    <col min="13061" max="13061" width="3" style="151" customWidth="1"/>
    <col min="13062" max="13062" width="32.28515625" style="151" customWidth="1"/>
    <col min="13063" max="13063" width="19.42578125" style="151" customWidth="1"/>
    <col min="13064" max="13064" width="9.140625" style="151" customWidth="1"/>
    <col min="13065" max="13065" width="1.5703125" style="151" customWidth="1"/>
    <col min="13066" max="13070" width="9.140625" style="151" customWidth="1"/>
    <col min="13071" max="13071" width="11.140625" style="151" customWidth="1"/>
    <col min="13072" max="13082" width="11.140625" style="151" bestFit="1" customWidth="1"/>
    <col min="13083" max="13083" width="12" style="151" bestFit="1" customWidth="1"/>
    <col min="13084" max="13084" width="1.28515625" style="151" customWidth="1"/>
    <col min="13085" max="13086" width="11.85546875" style="151" customWidth="1"/>
    <col min="13087" max="13087" width="12" style="151" bestFit="1" customWidth="1"/>
    <col min="13088" max="13088" width="9.140625" style="151"/>
    <col min="13089" max="13089" width="11.7109375" style="151" customWidth="1"/>
    <col min="13090" max="13316" width="9.140625" style="151"/>
    <col min="13317" max="13317" width="3" style="151" customWidth="1"/>
    <col min="13318" max="13318" width="32.28515625" style="151" customWidth="1"/>
    <col min="13319" max="13319" width="19.42578125" style="151" customWidth="1"/>
    <col min="13320" max="13320" width="9.140625" style="151" customWidth="1"/>
    <col min="13321" max="13321" width="1.5703125" style="151" customWidth="1"/>
    <col min="13322" max="13326" width="9.140625" style="151" customWidth="1"/>
    <col min="13327" max="13327" width="11.140625" style="151" customWidth="1"/>
    <col min="13328" max="13338" width="11.140625" style="151" bestFit="1" customWidth="1"/>
    <col min="13339" max="13339" width="12" style="151" bestFit="1" customWidth="1"/>
    <col min="13340" max="13340" width="1.28515625" style="151" customWidth="1"/>
    <col min="13341" max="13342" width="11.85546875" style="151" customWidth="1"/>
    <col min="13343" max="13343" width="12" style="151" bestFit="1" customWidth="1"/>
    <col min="13344" max="13344" width="9.140625" style="151"/>
    <col min="13345" max="13345" width="11.7109375" style="151" customWidth="1"/>
    <col min="13346" max="13572" width="9.140625" style="151"/>
    <col min="13573" max="13573" width="3" style="151" customWidth="1"/>
    <col min="13574" max="13574" width="32.28515625" style="151" customWidth="1"/>
    <col min="13575" max="13575" width="19.42578125" style="151" customWidth="1"/>
    <col min="13576" max="13576" width="9.140625" style="151" customWidth="1"/>
    <col min="13577" max="13577" width="1.5703125" style="151" customWidth="1"/>
    <col min="13578" max="13582" width="9.140625" style="151" customWidth="1"/>
    <col min="13583" max="13583" width="11.140625" style="151" customWidth="1"/>
    <col min="13584" max="13594" width="11.140625" style="151" bestFit="1" customWidth="1"/>
    <col min="13595" max="13595" width="12" style="151" bestFit="1" customWidth="1"/>
    <col min="13596" max="13596" width="1.28515625" style="151" customWidth="1"/>
    <col min="13597" max="13598" width="11.85546875" style="151" customWidth="1"/>
    <col min="13599" max="13599" width="12" style="151" bestFit="1" customWidth="1"/>
    <col min="13600" max="13600" width="9.140625" style="151"/>
    <col min="13601" max="13601" width="11.7109375" style="151" customWidth="1"/>
    <col min="13602" max="13828" width="9.140625" style="151"/>
    <col min="13829" max="13829" width="3" style="151" customWidth="1"/>
    <col min="13830" max="13830" width="32.28515625" style="151" customWidth="1"/>
    <col min="13831" max="13831" width="19.42578125" style="151" customWidth="1"/>
    <col min="13832" max="13832" width="9.140625" style="151" customWidth="1"/>
    <col min="13833" max="13833" width="1.5703125" style="151" customWidth="1"/>
    <col min="13834" max="13838" width="9.140625" style="151" customWidth="1"/>
    <col min="13839" max="13839" width="11.140625" style="151" customWidth="1"/>
    <col min="13840" max="13850" width="11.140625" style="151" bestFit="1" customWidth="1"/>
    <col min="13851" max="13851" width="12" style="151" bestFit="1" customWidth="1"/>
    <col min="13852" max="13852" width="1.28515625" style="151" customWidth="1"/>
    <col min="13853" max="13854" width="11.85546875" style="151" customWidth="1"/>
    <col min="13855" max="13855" width="12" style="151" bestFit="1" customWidth="1"/>
    <col min="13856" max="13856" width="9.140625" style="151"/>
    <col min="13857" max="13857" width="11.7109375" style="151" customWidth="1"/>
    <col min="13858" max="14084" width="9.140625" style="151"/>
    <col min="14085" max="14085" width="3" style="151" customWidth="1"/>
    <col min="14086" max="14086" width="32.28515625" style="151" customWidth="1"/>
    <col min="14087" max="14087" width="19.42578125" style="151" customWidth="1"/>
    <col min="14088" max="14088" width="9.140625" style="151" customWidth="1"/>
    <col min="14089" max="14089" width="1.5703125" style="151" customWidth="1"/>
    <col min="14090" max="14094" width="9.140625" style="151" customWidth="1"/>
    <col min="14095" max="14095" width="11.140625" style="151" customWidth="1"/>
    <col min="14096" max="14106" width="11.140625" style="151" bestFit="1" customWidth="1"/>
    <col min="14107" max="14107" width="12" style="151" bestFit="1" customWidth="1"/>
    <col min="14108" max="14108" width="1.28515625" style="151" customWidth="1"/>
    <col min="14109" max="14110" width="11.85546875" style="151" customWidth="1"/>
    <col min="14111" max="14111" width="12" style="151" bestFit="1" customWidth="1"/>
    <col min="14112" max="14112" width="9.140625" style="151"/>
    <col min="14113" max="14113" width="11.7109375" style="151" customWidth="1"/>
    <col min="14114" max="14340" width="9.140625" style="151"/>
    <col min="14341" max="14341" width="3" style="151" customWidth="1"/>
    <col min="14342" max="14342" width="32.28515625" style="151" customWidth="1"/>
    <col min="14343" max="14343" width="19.42578125" style="151" customWidth="1"/>
    <col min="14344" max="14344" width="9.140625" style="151" customWidth="1"/>
    <col min="14345" max="14345" width="1.5703125" style="151" customWidth="1"/>
    <col min="14346" max="14350" width="9.140625" style="151" customWidth="1"/>
    <col min="14351" max="14351" width="11.140625" style="151" customWidth="1"/>
    <col min="14352" max="14362" width="11.140625" style="151" bestFit="1" customWidth="1"/>
    <col min="14363" max="14363" width="12" style="151" bestFit="1" customWidth="1"/>
    <col min="14364" max="14364" width="1.28515625" style="151" customWidth="1"/>
    <col min="14365" max="14366" width="11.85546875" style="151" customWidth="1"/>
    <col min="14367" max="14367" width="12" style="151" bestFit="1" customWidth="1"/>
    <col min="14368" max="14368" width="9.140625" style="151"/>
    <col min="14369" max="14369" width="11.7109375" style="151" customWidth="1"/>
    <col min="14370" max="14596" width="9.140625" style="151"/>
    <col min="14597" max="14597" width="3" style="151" customWidth="1"/>
    <col min="14598" max="14598" width="32.28515625" style="151" customWidth="1"/>
    <col min="14599" max="14599" width="19.42578125" style="151" customWidth="1"/>
    <col min="14600" max="14600" width="9.140625" style="151" customWidth="1"/>
    <col min="14601" max="14601" width="1.5703125" style="151" customWidth="1"/>
    <col min="14602" max="14606" width="9.140625" style="151" customWidth="1"/>
    <col min="14607" max="14607" width="11.140625" style="151" customWidth="1"/>
    <col min="14608" max="14618" width="11.140625" style="151" bestFit="1" customWidth="1"/>
    <col min="14619" max="14619" width="12" style="151" bestFit="1" customWidth="1"/>
    <col min="14620" max="14620" width="1.28515625" style="151" customWidth="1"/>
    <col min="14621" max="14622" width="11.85546875" style="151" customWidth="1"/>
    <col min="14623" max="14623" width="12" style="151" bestFit="1" customWidth="1"/>
    <col min="14624" max="14624" width="9.140625" style="151"/>
    <col min="14625" max="14625" width="11.7109375" style="151" customWidth="1"/>
    <col min="14626" max="14852" width="9.140625" style="151"/>
    <col min="14853" max="14853" width="3" style="151" customWidth="1"/>
    <col min="14854" max="14854" width="32.28515625" style="151" customWidth="1"/>
    <col min="14855" max="14855" width="19.42578125" style="151" customWidth="1"/>
    <col min="14856" max="14856" width="9.140625" style="151" customWidth="1"/>
    <col min="14857" max="14857" width="1.5703125" style="151" customWidth="1"/>
    <col min="14858" max="14862" width="9.140625" style="151" customWidth="1"/>
    <col min="14863" max="14863" width="11.140625" style="151" customWidth="1"/>
    <col min="14864" max="14874" width="11.140625" style="151" bestFit="1" customWidth="1"/>
    <col min="14875" max="14875" width="12" style="151" bestFit="1" customWidth="1"/>
    <col min="14876" max="14876" width="1.28515625" style="151" customWidth="1"/>
    <col min="14877" max="14878" width="11.85546875" style="151" customWidth="1"/>
    <col min="14879" max="14879" width="12" style="151" bestFit="1" customWidth="1"/>
    <col min="14880" max="14880" width="9.140625" style="151"/>
    <col min="14881" max="14881" width="11.7109375" style="151" customWidth="1"/>
    <col min="14882" max="15108" width="9.140625" style="151"/>
    <col min="15109" max="15109" width="3" style="151" customWidth="1"/>
    <col min="15110" max="15110" width="32.28515625" style="151" customWidth="1"/>
    <col min="15111" max="15111" width="19.42578125" style="151" customWidth="1"/>
    <col min="15112" max="15112" width="9.140625" style="151" customWidth="1"/>
    <col min="15113" max="15113" width="1.5703125" style="151" customWidth="1"/>
    <col min="15114" max="15118" width="9.140625" style="151" customWidth="1"/>
    <col min="15119" max="15119" width="11.140625" style="151" customWidth="1"/>
    <col min="15120" max="15130" width="11.140625" style="151" bestFit="1" customWidth="1"/>
    <col min="15131" max="15131" width="12" style="151" bestFit="1" customWidth="1"/>
    <col min="15132" max="15132" width="1.28515625" style="151" customWidth="1"/>
    <col min="15133" max="15134" width="11.85546875" style="151" customWidth="1"/>
    <col min="15135" max="15135" width="12" style="151" bestFit="1" customWidth="1"/>
    <col min="15136" max="15136" width="9.140625" style="151"/>
    <col min="15137" max="15137" width="11.7109375" style="151" customWidth="1"/>
    <col min="15138" max="15364" width="9.140625" style="151"/>
    <col min="15365" max="15365" width="3" style="151" customWidth="1"/>
    <col min="15366" max="15366" width="32.28515625" style="151" customWidth="1"/>
    <col min="15367" max="15367" width="19.42578125" style="151" customWidth="1"/>
    <col min="15368" max="15368" width="9.140625" style="151" customWidth="1"/>
    <col min="15369" max="15369" width="1.5703125" style="151" customWidth="1"/>
    <col min="15370" max="15374" width="9.140625" style="151" customWidth="1"/>
    <col min="15375" max="15375" width="11.140625" style="151" customWidth="1"/>
    <col min="15376" max="15386" width="11.140625" style="151" bestFit="1" customWidth="1"/>
    <col min="15387" max="15387" width="12" style="151" bestFit="1" customWidth="1"/>
    <col min="15388" max="15388" width="1.28515625" style="151" customWidth="1"/>
    <col min="15389" max="15390" width="11.85546875" style="151" customWidth="1"/>
    <col min="15391" max="15391" width="12" style="151" bestFit="1" customWidth="1"/>
    <col min="15392" max="15392" width="9.140625" style="151"/>
    <col min="15393" max="15393" width="11.7109375" style="151" customWidth="1"/>
    <col min="15394" max="15620" width="9.140625" style="151"/>
    <col min="15621" max="15621" width="3" style="151" customWidth="1"/>
    <col min="15622" max="15622" width="32.28515625" style="151" customWidth="1"/>
    <col min="15623" max="15623" width="19.42578125" style="151" customWidth="1"/>
    <col min="15624" max="15624" width="9.140625" style="151" customWidth="1"/>
    <col min="15625" max="15625" width="1.5703125" style="151" customWidth="1"/>
    <col min="15626" max="15630" width="9.140625" style="151" customWidth="1"/>
    <col min="15631" max="15631" width="11.140625" style="151" customWidth="1"/>
    <col min="15632" max="15642" width="11.140625" style="151" bestFit="1" customWidth="1"/>
    <col min="15643" max="15643" width="12" style="151" bestFit="1" customWidth="1"/>
    <col min="15644" max="15644" width="1.28515625" style="151" customWidth="1"/>
    <col min="15645" max="15646" width="11.85546875" style="151" customWidth="1"/>
    <col min="15647" max="15647" width="12" style="151" bestFit="1" customWidth="1"/>
    <col min="15648" max="15648" width="9.140625" style="151"/>
    <col min="15649" max="15649" width="11.7109375" style="151" customWidth="1"/>
    <col min="15650" max="15876" width="9.140625" style="151"/>
    <col min="15877" max="15877" width="3" style="151" customWidth="1"/>
    <col min="15878" max="15878" width="32.28515625" style="151" customWidth="1"/>
    <col min="15879" max="15879" width="19.42578125" style="151" customWidth="1"/>
    <col min="15880" max="15880" width="9.140625" style="151" customWidth="1"/>
    <col min="15881" max="15881" width="1.5703125" style="151" customWidth="1"/>
    <col min="15882" max="15886" width="9.140625" style="151" customWidth="1"/>
    <col min="15887" max="15887" width="11.140625" style="151" customWidth="1"/>
    <col min="15888" max="15898" width="11.140625" style="151" bestFit="1" customWidth="1"/>
    <col min="15899" max="15899" width="12" style="151" bestFit="1" customWidth="1"/>
    <col min="15900" max="15900" width="1.28515625" style="151" customWidth="1"/>
    <col min="15901" max="15902" width="11.85546875" style="151" customWidth="1"/>
    <col min="15903" max="15903" width="12" style="151" bestFit="1" customWidth="1"/>
    <col min="15904" max="15904" width="9.140625" style="151"/>
    <col min="15905" max="15905" width="11.7109375" style="151" customWidth="1"/>
    <col min="15906" max="16132" width="9.140625" style="151"/>
    <col min="16133" max="16133" width="3" style="151" customWidth="1"/>
    <col min="16134" max="16134" width="32.28515625" style="151" customWidth="1"/>
    <col min="16135" max="16135" width="19.42578125" style="151" customWidth="1"/>
    <col min="16136" max="16136" width="9.140625" style="151" customWidth="1"/>
    <col min="16137" max="16137" width="1.5703125" style="151" customWidth="1"/>
    <col min="16138" max="16142" width="9.140625" style="151" customWidth="1"/>
    <col min="16143" max="16143" width="11.140625" style="151" customWidth="1"/>
    <col min="16144" max="16154" width="11.140625" style="151" bestFit="1" customWidth="1"/>
    <col min="16155" max="16155" width="12" style="151" bestFit="1" customWidth="1"/>
    <col min="16156" max="16156" width="1.28515625" style="151" customWidth="1"/>
    <col min="16157" max="16158" width="11.85546875" style="151" customWidth="1"/>
    <col min="16159" max="16159" width="12" style="151" bestFit="1" customWidth="1"/>
    <col min="16160" max="16160" width="9.140625" style="151"/>
    <col min="16161" max="16161" width="11.7109375" style="151" customWidth="1"/>
    <col min="16162" max="16384" width="9.140625" style="151"/>
  </cols>
  <sheetData>
    <row r="1" spans="1:41" x14ac:dyDescent="0.2">
      <c r="A1" s="213" t="s">
        <v>55</v>
      </c>
      <c r="B1" s="35"/>
      <c r="C1" s="707" t="s">
        <v>1066</v>
      </c>
      <c r="D1" s="708"/>
      <c r="E1" s="274"/>
      <c r="F1" s="709" t="s">
        <v>821</v>
      </c>
      <c r="G1" s="709"/>
      <c r="K1" s="254" t="s">
        <v>49</v>
      </c>
      <c r="L1" s="254" t="s">
        <v>48</v>
      </c>
      <c r="M1" s="254" t="s">
        <v>47</v>
      </c>
      <c r="N1" s="254" t="s">
        <v>46</v>
      </c>
      <c r="O1" s="254" t="s">
        <v>45</v>
      </c>
      <c r="P1" s="254" t="s">
        <v>44</v>
      </c>
      <c r="Q1" s="254" t="s">
        <v>43</v>
      </c>
      <c r="R1" s="254" t="s">
        <v>42</v>
      </c>
      <c r="S1" s="254" t="s">
        <v>41</v>
      </c>
      <c r="T1" s="254" t="s">
        <v>40</v>
      </c>
      <c r="U1" s="254" t="s">
        <v>39</v>
      </c>
      <c r="V1" s="254" t="s">
        <v>723</v>
      </c>
      <c r="W1" s="254" t="s">
        <v>37</v>
      </c>
      <c r="AA1" s="218" t="s">
        <v>970</v>
      </c>
      <c r="AC1" s="218" t="s">
        <v>1003</v>
      </c>
      <c r="AD1" s="644" t="s">
        <v>1055</v>
      </c>
      <c r="AF1" s="221" t="s">
        <v>979</v>
      </c>
      <c r="AG1" s="218" t="s">
        <v>978</v>
      </c>
      <c r="AH1" s="218" t="s">
        <v>872</v>
      </c>
      <c r="AI1" s="218" t="s">
        <v>873</v>
      </c>
      <c r="AJ1" s="237" t="s">
        <v>874</v>
      </c>
    </row>
    <row r="2" spans="1:41" s="248" customFormat="1" x14ac:dyDescent="0.2">
      <c r="A2" s="215"/>
      <c r="B2" s="287" t="s">
        <v>822</v>
      </c>
      <c r="C2" s="636">
        <f>'MED SURG'!C15+'SWING BED'!C15+ICU!C13</f>
        <v>2248077.0503101312</v>
      </c>
      <c r="D2" s="289">
        <f>C2/C$5</f>
        <v>6.9043732822535286E-2</v>
      </c>
      <c r="E2" s="288"/>
      <c r="F2" s="153">
        <v>3154447</v>
      </c>
      <c r="G2" s="237">
        <v>0.10319320369166027</v>
      </c>
      <c r="H2" s="237"/>
      <c r="I2" s="153">
        <f>SUM(C2-F2)</f>
        <v>-906369.94968986884</v>
      </c>
      <c r="J2" s="289">
        <f>SUM(I2/F2)</f>
        <v>-0.28733085377242629</v>
      </c>
      <c r="K2" s="153">
        <f>SUM('MED SURG'!F15+'SWING BED'!F15+ICU!F13)</f>
        <v>190915.95451412819</v>
      </c>
      <c r="L2" s="641">
        <f>SUM('MED SURG'!G15+'SWING BED'!G15+ICU!G13)</f>
        <v>187064.81736733287</v>
      </c>
      <c r="M2" s="641">
        <f>SUM('MED SURG'!H15+'SWING BED'!H15+ICU!H13)</f>
        <v>190915.95451412819</v>
      </c>
      <c r="N2" s="641">
        <f>SUM('MED SURG'!I15+'SWING BED'!I15+ICU!I13)</f>
        <v>189815.95451412819</v>
      </c>
      <c r="O2" s="641">
        <f>SUM('MED SURG'!J15+'SWING BED'!J15+ICU!J13)</f>
        <v>171109.51068228806</v>
      </c>
      <c r="P2" s="641">
        <f>SUM('MED SURG'!K15+'SWING BED'!K15+ICU!K13)</f>
        <v>190915.95451412819</v>
      </c>
      <c r="Q2" s="641">
        <f>SUM('MED SURG'!L15+'SWING BED'!L15+ICU!L13)</f>
        <v>185413.68022053759</v>
      </c>
      <c r="R2" s="641">
        <f>SUM('MED SURG'!M15+'SWING BED'!M15+ICU!M13)</f>
        <v>190915.95451412819</v>
      </c>
      <c r="S2" s="641">
        <f>SUM('MED SURG'!N15+'SWING BED'!N15+ICU!N13)</f>
        <v>184313.68022053759</v>
      </c>
      <c r="T2" s="641">
        <f>SUM('MED SURG'!O15+'SWING BED'!O15+ICU!O13)</f>
        <v>190915.95451412819</v>
      </c>
      <c r="U2" s="641">
        <f>SUM('MED SURG'!P15+'SWING BED'!P15+ICU!P13)</f>
        <v>191465.95451412819</v>
      </c>
      <c r="V2" s="641">
        <f>SUM('MED SURG'!Q15+'SWING BED'!Q15+ICU!Q13)</f>
        <v>184313.68022053759</v>
      </c>
      <c r="W2" s="154">
        <f>SUM(K2:V2)</f>
        <v>2248077.0503101312</v>
      </c>
      <c r="X2" s="153">
        <f>C2-W2</f>
        <v>0</v>
      </c>
      <c r="Y2" s="153"/>
      <c r="Z2" s="153"/>
      <c r="AA2" s="646">
        <v>2558388.4631811487</v>
      </c>
      <c r="AB2" s="289"/>
      <c r="AC2" s="440">
        <v>2027300.0000000002</v>
      </c>
      <c r="AD2" s="646"/>
      <c r="AE2" s="646"/>
      <c r="AF2" s="153">
        <v>1394995</v>
      </c>
      <c r="AG2" s="221">
        <v>2292100</v>
      </c>
      <c r="AH2" s="221">
        <v>2694087</v>
      </c>
      <c r="AI2" s="221">
        <v>3982708</v>
      </c>
      <c r="AJ2" s="153">
        <v>3154447</v>
      </c>
      <c r="AK2" s="237"/>
      <c r="AL2" s="237"/>
      <c r="AM2" s="237"/>
      <c r="AN2" s="237"/>
      <c r="AO2" s="237"/>
    </row>
    <row r="3" spans="1:41" s="248" customFormat="1" x14ac:dyDescent="0.2">
      <c r="A3" s="215"/>
      <c r="B3" s="287" t="s">
        <v>823</v>
      </c>
      <c r="C3" s="637">
        <f>OBS!C16+OR!C27+OR!C35+RECOVERY!C16+RECOVERY!C24+ANESTHESIA!C14+ANESTHESIA!C22+SURGIDAY!C15+SURGIDAY!C23+ENDOSCOPY!C15+ENDOSCOPY!C23+'STERILE SUPPLY'!C15+'STERILE SUPPLY'!C23+PHARMACY!C18+PHARMACY!C26+'IV THERAPY'!C15+'IV THERAPY'!C23+LAB!C17+LAB!C25+PATHOLOGY!C15+'BLOOD BANK'!C15+'BLOOD BANK'!C23+'CENTRAL SUPPLY'!C17+'CENTRAL SUPPLY'!C25+EKG!C18+EKG!C26+XRAY!C17+XRAY!C25+ULTRASOUND!C17+ULTRASOUND!C25+CT!C15+CT!C23+MRI!C18+MRI!C26+'NUCLEAR MEDICINE'!C15+'NUCLEAR MEDICINE'!C23+MAMMOGRAPHY!C17+MAMMOGRAPHY!C25+RESPIRATORY!C17+RESPIRATORY!C25+'PULMONARY LAB'!C15+'PULMONARY LAB'!C23+'PHYSICAL THERAPY'!C17+'PHYSICAL THERAPY'!C25+'OCCUPATIONAL THERAPY'!C15+'OCCUPATIONAL THERAPY'!C23+'SPEECH THERAPY'!C15+'SPEECH THERAPY'!C23+'WOUND CARE'!C15+'WOUND CARE'!C23+'EMERGENCY SERVICES'!C18+'EMERGENCY SERVICES'!C26+'IP PROFEE'!C15</f>
        <v>5779050.5965659339</v>
      </c>
      <c r="D3" s="289">
        <f>C3/C$5</f>
        <v>0.17748823391180782</v>
      </c>
      <c r="E3" s="288"/>
      <c r="F3" s="153">
        <v>11219109</v>
      </c>
      <c r="G3" s="237">
        <v>0.36701703984119527</v>
      </c>
      <c r="H3" s="237"/>
      <c r="I3" s="153">
        <f>SUM(C3-F3)</f>
        <v>-5440058.4034340661</v>
      </c>
      <c r="J3" s="289">
        <f>SUM(I3/F3)</f>
        <v>-0.48489219629063823</v>
      </c>
      <c r="K3" s="153">
        <f>SUM(OBS!F16+OR!F27+OR!F35+RECOVERY!F16+RECOVERY!F24+ANESTHESIA!F14+ANESTHESIA!F22+SURGIDAY!F15+SURGIDAY!F23+ENDOSCOPY!F15+ENDOSCOPY!F23+'STERILE SUPPLY'!F15+'STERILE SUPPLY'!F23+PHARMACY!F18+PHARMACY!F26+'IV THERAPY'!F15+'IV THERAPY'!F23+LAB!F17+LAB!F25+PATHOLOGY!F15+'BLOOD BANK'!F15+'BLOOD BANK'!F23+'CENTRAL SUPPLY'!F17+'CENTRAL SUPPLY'!F25+EKG!F18+EKG!F26+XRAY!F17+XRAY!F25+ULTRASOUND!F17+ULTRASOUND!F25+CT!F15+CT!F23+MRI!F18+MRI!F26+'NUCLEAR MEDICINE'!F15+'NUCLEAR MEDICINE'!F23+MAMMOGRAPHY!F17+MAMMOGRAPHY!F25+RESPIRATORY!F17+RESPIRATORY!F25+'PULMONARY LAB'!F15+'PULMONARY LAB'!F23+'PHYSICAL THERAPY'!F17+'PHYSICAL THERAPY'!F25+'OCCUPATIONAL THERAPY'!F15+'OCCUPATIONAL THERAPY'!F23+'SPEECH THERAPY'!F15+'SPEECH THERAPY'!F23+'WOUND CARE'!F15+'WOUND CARE'!F23+'EMERGENCY SERVICES'!F18+'EMERGENCY SERVICES'!F26+'IP PROFEE'!F15)</f>
        <v>394103.22037157882</v>
      </c>
      <c r="L3" s="641">
        <f>SUM(OBS!G16+OR!G27+OR!G35+RECOVERY!G16+RECOVERY!G24+ANESTHESIA!G14+ANESTHESIA!G22+SURGIDAY!G15+SURGIDAY!G23+ENDOSCOPY!G15+ENDOSCOPY!G23+'STERILE SUPPLY'!G15+'STERILE SUPPLY'!G23+PHARMACY!G18+PHARMACY!G26+'IV THERAPY'!G15+'IV THERAPY'!G23+LAB!G17+LAB!G25+PATHOLOGY!G15+'BLOOD BANK'!G15+'BLOOD BANK'!G23+'CENTRAL SUPPLY'!G17+'CENTRAL SUPPLY'!G25+EKG!G18+EKG!G26+XRAY!G17+XRAY!G25+ULTRASOUND!G17+ULTRASOUND!G25+CT!G15+CT!G23+MRI!G18+MRI!G26+'NUCLEAR MEDICINE'!G15+'NUCLEAR MEDICINE'!G23+MAMMOGRAPHY!G17+MAMMOGRAPHY!G25+RESPIRATORY!G17+RESPIRATORY!G25+'PULMONARY LAB'!G15+'PULMONARY LAB'!G23+'PHYSICAL THERAPY'!G17+'PHYSICAL THERAPY'!G25+'OCCUPATIONAL THERAPY'!G15+'OCCUPATIONAL THERAPY'!G23+'SPEECH THERAPY'!G15+'SPEECH THERAPY'!G23+'WOUND CARE'!G15+'WOUND CARE'!G23+'EMERGENCY SERVICES'!G18+'EMERGENCY SERVICES'!G26+'IP PROFEE'!G15)</f>
        <v>446302.25668998418</v>
      </c>
      <c r="M3" s="641">
        <f>SUM(OBS!H16+OR!H27+OR!H35+RECOVERY!H16+RECOVERY!H24+ANESTHESIA!H14+ANESTHESIA!H22+SURGIDAY!H15+SURGIDAY!H23+ENDOSCOPY!H15+ENDOSCOPY!H23+'STERILE SUPPLY'!H15+'STERILE SUPPLY'!H23+PHARMACY!H18+PHARMACY!H26+'IV THERAPY'!H15+'IV THERAPY'!H23+LAB!H17+LAB!H25+PATHOLOGY!H15+'BLOOD BANK'!H15+'BLOOD BANK'!H23+'CENTRAL SUPPLY'!H17+'CENTRAL SUPPLY'!H25+EKG!H18+EKG!H26+XRAY!H17+XRAY!H25+ULTRASOUND!H17+ULTRASOUND!H25+CT!H15+CT!H23+MRI!H18+MRI!H26+'NUCLEAR MEDICINE'!H15+'NUCLEAR MEDICINE'!H23+MAMMOGRAPHY!H17+MAMMOGRAPHY!H25+RESPIRATORY!H17+RESPIRATORY!H25+'PULMONARY LAB'!H15+'PULMONARY LAB'!H23+'PHYSICAL THERAPY'!H17+'PHYSICAL THERAPY'!H25+'OCCUPATIONAL THERAPY'!H15+'OCCUPATIONAL THERAPY'!H23+'SPEECH THERAPY'!H15+'SPEECH THERAPY'!H23+'WOUND CARE'!H15+'WOUND CARE'!H23+'EMERGENCY SERVICES'!H18+'EMERGENCY SERVICES'!H26+'IP PROFEE'!H15)</f>
        <v>391545.87892668805</v>
      </c>
      <c r="N3" s="641">
        <f>SUM(OBS!I16+OR!I27+OR!I35+RECOVERY!I16+RECOVERY!I24+ANESTHESIA!I14+ANESTHESIA!I22+SURGIDAY!I15+SURGIDAY!I23+ENDOSCOPY!I15+ENDOSCOPY!I23+'STERILE SUPPLY'!I15+'STERILE SUPPLY'!I23+PHARMACY!I18+PHARMACY!I26+'IV THERAPY'!I15+'IV THERAPY'!I23+LAB!I17+LAB!I25+PATHOLOGY!I15+'BLOOD BANK'!I15+'BLOOD BANK'!I23+'CENTRAL SUPPLY'!I17+'CENTRAL SUPPLY'!I25+EKG!I18+EKG!I26+XRAY!I17+XRAY!I25+ULTRASOUND!I17+ULTRASOUND!I25+CT!I15+CT!I23+MRI!I18+MRI!I26+'NUCLEAR MEDICINE'!I15+'NUCLEAR MEDICINE'!I23+MAMMOGRAPHY!I17+MAMMOGRAPHY!I25+RESPIRATORY!I17+RESPIRATORY!I25+'PULMONARY LAB'!I15+'PULMONARY LAB'!I23+'PHYSICAL THERAPY'!I17+'PHYSICAL THERAPY'!I25+'OCCUPATIONAL THERAPY'!I15+'OCCUPATIONAL THERAPY'!I23+'SPEECH THERAPY'!I15+'SPEECH THERAPY'!I23+'WOUND CARE'!I15+'WOUND CARE'!I23+'EMERGENCY SERVICES'!I18+'EMERGENCY SERVICES'!I26+'IP PROFEE'!I15)</f>
        <v>488465.34758308489</v>
      </c>
      <c r="O3" s="641">
        <f>SUM(OBS!J16+OR!J27+OR!J35+RECOVERY!J16+RECOVERY!J24+ANESTHESIA!J14+ANESTHESIA!J22+SURGIDAY!J15+SURGIDAY!J23+ENDOSCOPY!J15+ENDOSCOPY!J23+'STERILE SUPPLY'!J15+'STERILE SUPPLY'!J23+PHARMACY!J18+PHARMACY!J26+'IV THERAPY'!J15+'IV THERAPY'!J23+LAB!J17+LAB!J25+PATHOLOGY!J15+'BLOOD BANK'!J15+'BLOOD BANK'!J23+'CENTRAL SUPPLY'!J17+'CENTRAL SUPPLY'!J25+EKG!J18+EKG!J26+XRAY!J17+XRAY!J25+ULTRASOUND!J17+ULTRASOUND!J25+CT!J15+CT!J23+MRI!J18+MRI!J26+'NUCLEAR MEDICINE'!J15+'NUCLEAR MEDICINE'!J23+MAMMOGRAPHY!J17+MAMMOGRAPHY!J25+RESPIRATORY!J17+RESPIRATORY!J25+'PULMONARY LAB'!J15+'PULMONARY LAB'!J23+'PHYSICAL THERAPY'!J17+'PHYSICAL THERAPY'!J25+'OCCUPATIONAL THERAPY'!J15+'OCCUPATIONAL THERAPY'!J23+'SPEECH THERAPY'!J15+'SPEECH THERAPY'!J23+'WOUND CARE'!J15+'WOUND CARE'!J23+'EMERGENCY SERVICES'!J18+'EMERGENCY SERVICES'!J26+'IP PROFEE'!J15)</f>
        <v>483489.77506664163</v>
      </c>
      <c r="P3" s="641">
        <f>SUM(OBS!K16+OR!K27+OR!K35+RECOVERY!K16+RECOVERY!K24+ANESTHESIA!K14+ANESTHESIA!K22+SURGIDAY!K15+SURGIDAY!K23+ENDOSCOPY!K15+ENDOSCOPY!K23+'STERILE SUPPLY'!K15+'STERILE SUPPLY'!K23+PHARMACY!K18+PHARMACY!K26+'IV THERAPY'!K15+'IV THERAPY'!K23+LAB!K17+LAB!K25+PATHOLOGY!K15+'BLOOD BANK'!K15+'BLOOD BANK'!K23+'CENTRAL SUPPLY'!K17+'CENTRAL SUPPLY'!K25+EKG!K18+EKG!K26+XRAY!K17+XRAY!K25+ULTRASOUND!K17+ULTRASOUND!K25+CT!K15+CT!K23+MRI!K18+MRI!K26+'NUCLEAR MEDICINE'!K15+'NUCLEAR MEDICINE'!K23+MAMMOGRAPHY!K17+MAMMOGRAPHY!K25+RESPIRATORY!K17+RESPIRATORY!K25+'PULMONARY LAB'!K15+'PULMONARY LAB'!K23+'PHYSICAL THERAPY'!K17+'PHYSICAL THERAPY'!K25+'OCCUPATIONAL THERAPY'!K15+'OCCUPATIONAL THERAPY'!K23+'SPEECH THERAPY'!K15+'SPEECH THERAPY'!K23+'WOUND CARE'!K15+'WOUND CARE'!K23+'EMERGENCY SERVICES'!K18+'EMERGENCY SERVICES'!K26+'IP PROFEE'!K15)</f>
        <v>564929.70115173014</v>
      </c>
      <c r="Q3" s="641">
        <f>SUM(OBS!L16+OR!L27+OR!L35+RECOVERY!L16+RECOVERY!L24+ANESTHESIA!L14+ANESTHESIA!L22+SURGIDAY!L15+SURGIDAY!L23+ENDOSCOPY!L15+ENDOSCOPY!L23+'STERILE SUPPLY'!L15+'STERILE SUPPLY'!L23+PHARMACY!L18+PHARMACY!L26+'IV THERAPY'!L15+'IV THERAPY'!L23+LAB!L17+LAB!L25+PATHOLOGY!L15+'BLOOD BANK'!L15+'BLOOD BANK'!L23+'CENTRAL SUPPLY'!L17+'CENTRAL SUPPLY'!L25+EKG!L18+EKG!L26+XRAY!L17+XRAY!L25+ULTRASOUND!L17+ULTRASOUND!L25+CT!L15+CT!L23+MRI!L18+MRI!L26+'NUCLEAR MEDICINE'!L15+'NUCLEAR MEDICINE'!L23+MAMMOGRAPHY!L17+MAMMOGRAPHY!L25+RESPIRATORY!L17+RESPIRATORY!L25+'PULMONARY LAB'!L15+'PULMONARY LAB'!L23+'PHYSICAL THERAPY'!L17+'PHYSICAL THERAPY'!L25+'OCCUPATIONAL THERAPY'!L15+'OCCUPATIONAL THERAPY'!L23+'SPEECH THERAPY'!L15+'SPEECH THERAPY'!L23+'WOUND CARE'!L15+'WOUND CARE'!L23+'EMERGENCY SERVICES'!L18+'EMERGENCY SERVICES'!L26+'IP PROFEE'!L15)</f>
        <v>366271.83704562607</v>
      </c>
      <c r="R3" s="641">
        <f>SUM(OBS!M16+OR!M27+OR!M35+RECOVERY!M16+RECOVERY!M24+ANESTHESIA!M14+ANESTHESIA!M22+SURGIDAY!M15+SURGIDAY!M23+ENDOSCOPY!M15+ENDOSCOPY!M23+'STERILE SUPPLY'!M15+'STERILE SUPPLY'!M23+PHARMACY!M18+PHARMACY!M26+'IV THERAPY'!M15+'IV THERAPY'!M23+LAB!M17+LAB!M25+PATHOLOGY!M15+'BLOOD BANK'!M15+'BLOOD BANK'!M23+'CENTRAL SUPPLY'!M17+'CENTRAL SUPPLY'!M25+EKG!M18+EKG!M26+XRAY!M17+XRAY!M25+ULTRASOUND!M17+ULTRASOUND!M25+CT!M15+CT!M23+MRI!M18+MRI!M26+'NUCLEAR MEDICINE'!M15+'NUCLEAR MEDICINE'!M23+MAMMOGRAPHY!M17+MAMMOGRAPHY!M25+RESPIRATORY!M17+RESPIRATORY!M25+'PULMONARY LAB'!M15+'PULMONARY LAB'!M23+'PHYSICAL THERAPY'!M17+'PHYSICAL THERAPY'!M25+'OCCUPATIONAL THERAPY'!M15+'OCCUPATIONAL THERAPY'!M23+'SPEECH THERAPY'!M15+'SPEECH THERAPY'!M23+'WOUND CARE'!M15+'WOUND CARE'!M23+'EMERGENCY SERVICES'!M18+'EMERGENCY SERVICES'!M26+'IP PROFEE'!M15)</f>
        <v>372927.25341769028</v>
      </c>
      <c r="S3" s="641">
        <f>SUM(OBS!N16+OR!N27+OR!N35+RECOVERY!N16+RECOVERY!N24+ANESTHESIA!N14+ANESTHESIA!N22+SURGIDAY!N15+SURGIDAY!N23+ENDOSCOPY!N15+ENDOSCOPY!N23+'STERILE SUPPLY'!N15+'STERILE SUPPLY'!N23+PHARMACY!N18+PHARMACY!N26+'IV THERAPY'!N15+'IV THERAPY'!N23+LAB!N17+LAB!N25+PATHOLOGY!N15+'BLOOD BANK'!N15+'BLOOD BANK'!N23+'CENTRAL SUPPLY'!N17+'CENTRAL SUPPLY'!N25+EKG!N18+EKG!N26+XRAY!N17+XRAY!N25+ULTRASOUND!N17+ULTRASOUND!N25+CT!N15+CT!N23+MRI!N18+MRI!N26+'NUCLEAR MEDICINE'!N15+'NUCLEAR MEDICINE'!N23+MAMMOGRAPHY!N17+MAMMOGRAPHY!N25+RESPIRATORY!N17+RESPIRATORY!N25+'PULMONARY LAB'!N15+'PULMONARY LAB'!N23+'PHYSICAL THERAPY'!N17+'PHYSICAL THERAPY'!N25+'OCCUPATIONAL THERAPY'!N15+'OCCUPATIONAL THERAPY'!N23+'SPEECH THERAPY'!N15+'SPEECH THERAPY'!N23+'WOUND CARE'!N15+'WOUND CARE'!N23+'EMERGENCY SERVICES'!N18+'EMERGENCY SERVICES'!N26+'IP PROFEE'!N15)</f>
        <v>524657.15568665962</v>
      </c>
      <c r="T3" s="641">
        <f>SUM(OBS!O16+OR!O27+OR!O35+RECOVERY!O16+RECOVERY!O24+ANESTHESIA!O14+ANESTHESIA!O22+SURGIDAY!O15+SURGIDAY!O23+ENDOSCOPY!O15+ENDOSCOPY!O23+'STERILE SUPPLY'!O15+'STERILE SUPPLY'!O23+PHARMACY!O18+PHARMACY!O26+'IV THERAPY'!O15+'IV THERAPY'!O23+LAB!O17+LAB!O25+PATHOLOGY!O15+'BLOOD BANK'!O15+'BLOOD BANK'!O23+'CENTRAL SUPPLY'!O17+'CENTRAL SUPPLY'!O25+EKG!O18+EKG!O26+XRAY!O17+XRAY!O25+ULTRASOUND!O17+ULTRASOUND!O25+CT!O15+CT!O23+MRI!O18+MRI!O26+'NUCLEAR MEDICINE'!O15+'NUCLEAR MEDICINE'!O23+MAMMOGRAPHY!O17+MAMMOGRAPHY!O25+RESPIRATORY!O17+RESPIRATORY!O25+'PULMONARY LAB'!O15+'PULMONARY LAB'!O23+'PHYSICAL THERAPY'!O17+'PHYSICAL THERAPY'!O25+'OCCUPATIONAL THERAPY'!O15+'OCCUPATIONAL THERAPY'!O23+'SPEECH THERAPY'!O15+'SPEECH THERAPY'!O23+'WOUND CARE'!O15+'WOUND CARE'!O23+'EMERGENCY SERVICES'!O18+'EMERGENCY SERVICES'!O26+'IP PROFEE'!O15)</f>
        <v>535052.87856515194</v>
      </c>
      <c r="U3" s="641">
        <f>SUM(OBS!P16+OR!P27+OR!P35+RECOVERY!P16+RECOVERY!P24+ANESTHESIA!P14+ANESTHESIA!P22+SURGIDAY!P15+SURGIDAY!P23+ENDOSCOPY!P15+ENDOSCOPY!P23+'STERILE SUPPLY'!P15+'STERILE SUPPLY'!P23+PHARMACY!P18+PHARMACY!P26+'IV THERAPY'!P15+'IV THERAPY'!P23+LAB!P17+LAB!P25+PATHOLOGY!P15+'BLOOD BANK'!P15+'BLOOD BANK'!P23+'CENTRAL SUPPLY'!P17+'CENTRAL SUPPLY'!P25+EKG!P18+EKG!P26+XRAY!P17+XRAY!P25+ULTRASOUND!P17+ULTRASOUND!P25+CT!P15+CT!P23+MRI!P18+MRI!P26+'NUCLEAR MEDICINE'!P15+'NUCLEAR MEDICINE'!P23+MAMMOGRAPHY!P17+MAMMOGRAPHY!P25+RESPIRATORY!P17+RESPIRATORY!P25+'PULMONARY LAB'!P15+'PULMONARY LAB'!P23+'PHYSICAL THERAPY'!P17+'PHYSICAL THERAPY'!P25+'OCCUPATIONAL THERAPY'!P15+'OCCUPATIONAL THERAPY'!P23+'SPEECH THERAPY'!P15+'SPEECH THERAPY'!P23+'WOUND CARE'!P15+'WOUND CARE'!P23+'EMERGENCY SERVICES'!P18+'EMERGENCY SERVICES'!P26+'IP PROFEE'!P15)</f>
        <v>674411.87945587654</v>
      </c>
      <c r="V3" s="641">
        <f>SUM(OBS!Q16+OR!Q27+OR!Q35+RECOVERY!Q16+RECOVERY!Q24+ANESTHESIA!Q14+ANESTHESIA!Q22+SURGIDAY!Q15+SURGIDAY!Q23+ENDOSCOPY!Q15+ENDOSCOPY!Q23+'STERILE SUPPLY'!Q15+'STERILE SUPPLY'!Q23+PHARMACY!Q18+PHARMACY!Q26+'IV THERAPY'!Q15+'IV THERAPY'!Q23+LAB!Q17+LAB!Q25+PATHOLOGY!Q15+'BLOOD BANK'!Q15+'BLOOD BANK'!Q23+'CENTRAL SUPPLY'!Q17+'CENTRAL SUPPLY'!Q25+EKG!Q18+EKG!Q26+XRAY!Q17+XRAY!Q25+ULTRASOUND!Q17+ULTRASOUND!Q25+CT!Q15+CT!Q23+MRI!Q18+MRI!Q26+'NUCLEAR MEDICINE'!Q15+'NUCLEAR MEDICINE'!Q23+MAMMOGRAPHY!Q17+MAMMOGRAPHY!Q25+RESPIRATORY!Q17+RESPIRATORY!Q25+'PULMONARY LAB'!Q15+'PULMONARY LAB'!Q23+'PHYSICAL THERAPY'!Q17+'PHYSICAL THERAPY'!Q25+'OCCUPATIONAL THERAPY'!Q15+'OCCUPATIONAL THERAPY'!Q23+'SPEECH THERAPY'!Q15+'SPEECH THERAPY'!Q23+'WOUND CARE'!Q15+'WOUND CARE'!Q23+'EMERGENCY SERVICES'!Q18+'EMERGENCY SERVICES'!Q26+'IP PROFEE'!Q15)</f>
        <v>536893.41260522197</v>
      </c>
      <c r="W3" s="154">
        <f>SUM(K3:V3)</f>
        <v>5779050.5965659348</v>
      </c>
      <c r="X3" s="641">
        <f>C3-W3</f>
        <v>0</v>
      </c>
      <c r="Y3" s="153"/>
      <c r="Z3" s="153"/>
      <c r="AA3" s="641">
        <v>6120058.0089647956</v>
      </c>
      <c r="AB3" s="289"/>
      <c r="AC3" s="153">
        <v>6237563.4084921749</v>
      </c>
      <c r="AD3" s="641"/>
      <c r="AE3" s="641"/>
      <c r="AF3" s="153">
        <v>4647606</v>
      </c>
      <c r="AG3" s="221">
        <v>6488413</v>
      </c>
      <c r="AH3" s="221">
        <v>7895816</v>
      </c>
      <c r="AI3" s="221">
        <v>7192855</v>
      </c>
      <c r="AJ3" s="153">
        <v>11219109</v>
      </c>
      <c r="AK3" s="237"/>
      <c r="AL3" s="237"/>
      <c r="AM3" s="237"/>
      <c r="AN3" s="237"/>
      <c r="AO3" s="237"/>
    </row>
    <row r="4" spans="1:41" s="248" customFormat="1" x14ac:dyDescent="0.2">
      <c r="A4" s="215"/>
      <c r="B4" s="287" t="s">
        <v>824</v>
      </c>
      <c r="C4" s="637">
        <f>OBS!C24+OR!C43+RECOVERY!C32+ANESTHESIA!C30+SURGIDAY!C31+ENDOSCOPY!C31+'STERILE SUPPLY'!C31+PHARMACY!C34+'IV THERAPY'!C31+LAB!C33+PATHOLOGY!C23+'BLOOD BANK'!C31+'CENTRAL SUPPLY'!C33+EKG!C34+XRAY!C33+ULTRASOUND!C33+CT!C31+MRI!C34+'NUCLEAR MEDICINE'!C31+MAMMOGRAPHY!C33+RESPIRATORY!C33+'PULMONARY LAB'!C31+'PHYSICAL THERAPY'!C33+'OCCUPATIONAL THERAPY'!C31+'SPEECH THERAPY'!C31+'WOUND CARE'!C31+'EMERGENCY SERVICES'!C34+'ER PROFEE'!C34</f>
        <v>24533062.22710447</v>
      </c>
      <c r="D4" s="289">
        <f>C4/C$5</f>
        <v>0.75346803326565681</v>
      </c>
      <c r="E4" s="288"/>
      <c r="F4" s="153">
        <v>16194804</v>
      </c>
      <c r="G4" s="237">
        <v>0.52978975646714443</v>
      </c>
      <c r="H4" s="237"/>
      <c r="I4" s="153">
        <f>SUM(C4-F4)</f>
        <v>8338258.2271044701</v>
      </c>
      <c r="J4" s="289">
        <f>SUM(I4/F4)</f>
        <v>0.51487243853673503</v>
      </c>
      <c r="K4" s="153">
        <f>SUM(OBS!F24+OR!F43+RECOVERY!F32+ANESTHESIA!F30+SURGIDAY!F31+ENDOSCOPY!F31+'STERILE SUPPLY'!F31+PHARMACY!F34+'IV THERAPY'!F31+LAB!F33+PATHOLOGY!F23+'BLOOD BANK'!F31+'CENTRAL SUPPLY'!F33+EKG!F34+XRAY!F33+ULTRASOUND!F33+CT!F31+MRI!F34+'NUCLEAR MEDICINE'!F31+MAMMOGRAPHY!F33+RESPIRATORY!F33+'PULMONARY LAB'!F31+'PHYSICAL THERAPY'!F33+'OCCUPATIONAL THERAPY'!F31+'SPEECH THERAPY'!F31+'WOUND CARE'!F31+'EMERGENCY SERVICES'!F34+'ER PROFEE'!F34)</f>
        <v>2000952.6483405062</v>
      </c>
      <c r="L4" s="153">
        <f>SUM(OBS!G24+OR!G43+RECOVERY!G32+ANESTHESIA!G30+SURGIDAY!G31+ENDOSCOPY!G31+'STERILE SUPPLY'!G31+PHARMACY!G34+'IV THERAPY'!G31+LAB!G33+PATHOLOGY!G23+'BLOOD BANK'!G31+'CENTRAL SUPPLY'!G33+EKG!G34+XRAY!G33+ULTRASOUND!G33+CT!G31+MRI!G34+'NUCLEAR MEDICINE'!G31+MAMMOGRAPHY!G33+RESPIRATORY!G33+'PULMONARY LAB'!G31+'PHYSICAL THERAPY'!G33+'OCCUPATIONAL THERAPY'!G31+'SPEECH THERAPY'!G31+'WOUND CARE'!G31+'EMERGENCY SERVICES'!G34+'ER PROFEE'!G34)</f>
        <v>1939640.5498528972</v>
      </c>
      <c r="M4" s="153">
        <f>SUM(OBS!H24+OR!H43+RECOVERY!H32+ANESTHESIA!H30+SURGIDAY!H31+ENDOSCOPY!H31+'STERILE SUPPLY'!H31+PHARMACY!H34+'IV THERAPY'!H31+LAB!H33+PATHOLOGY!H23+'BLOOD BANK'!H31+'CENTRAL SUPPLY'!H33+EKG!H34+XRAY!H33+ULTRASOUND!H33+CT!H31+MRI!H34+'NUCLEAR MEDICINE'!H31+MAMMOGRAPHY!H33+RESPIRATORY!H33+'PULMONARY LAB'!H31+'PHYSICAL THERAPY'!H33+'OCCUPATIONAL THERAPY'!H31+'SPEECH THERAPY'!H31+'WOUND CARE'!H31+'EMERGENCY SERVICES'!H34+'ER PROFEE'!H34)</f>
        <v>1975225.7843591066</v>
      </c>
      <c r="N4" s="153">
        <f>SUM(OBS!I24+OR!I43+RECOVERY!I32+ANESTHESIA!I30+SURGIDAY!I31+ENDOSCOPY!I31+'STERILE SUPPLY'!I31+PHARMACY!I34+'IV THERAPY'!I31+LAB!I33+PATHOLOGY!I23+'BLOOD BANK'!I31+'CENTRAL SUPPLY'!I33+EKG!I34+XRAY!I33+ULTRASOUND!I33+CT!I31+MRI!I34+'NUCLEAR MEDICINE'!I31+MAMMOGRAPHY!I33+RESPIRATORY!I33+'PULMONARY LAB'!I31+'PHYSICAL THERAPY'!I33+'OCCUPATIONAL THERAPY'!I31+'SPEECH THERAPY'!I31+'WOUND CARE'!I31+'EMERGENCY SERVICES'!I34+'ER PROFEE'!I34)</f>
        <v>1980300.6173926911</v>
      </c>
      <c r="O4" s="153">
        <f>SUM(OBS!J24+OR!J43+RECOVERY!J32+ANESTHESIA!J30+SURGIDAY!J31+ENDOSCOPY!J31+'STERILE SUPPLY'!J31+PHARMACY!J34+'IV THERAPY'!J31+LAB!J33+PATHOLOGY!J23+'BLOOD BANK'!J31+'CENTRAL SUPPLY'!J33+EKG!J34+XRAY!J33+ULTRASOUND!J33+CT!J31+MRI!J34+'NUCLEAR MEDICINE'!J31+MAMMOGRAPHY!J33+RESPIRATORY!J33+'PULMONARY LAB'!J31+'PHYSICAL THERAPY'!J33+'OCCUPATIONAL THERAPY'!J31+'SPEECH THERAPY'!J31+'WOUND CARE'!J31+'EMERGENCY SERVICES'!J34+'ER PROFEE'!J34)</f>
        <v>2035360.2036058747</v>
      </c>
      <c r="P4" s="153">
        <f>SUM(OBS!K24+OR!K43+RECOVERY!K32+ANESTHESIA!K30+SURGIDAY!K31+ENDOSCOPY!K31+'STERILE SUPPLY'!K31+PHARMACY!K34+'IV THERAPY'!K31+LAB!K33+PATHOLOGY!K23+'BLOOD BANK'!K31+'CENTRAL SUPPLY'!K33+EKG!K34+XRAY!K33+ULTRASOUND!K33+CT!K31+MRI!K34+'NUCLEAR MEDICINE'!K31+MAMMOGRAPHY!K33+RESPIRATORY!K33+'PULMONARY LAB'!K31+'PHYSICAL THERAPY'!K33+'OCCUPATIONAL THERAPY'!K31+'SPEECH THERAPY'!K31+'WOUND CARE'!K31+'EMERGENCY SERVICES'!K34+'ER PROFEE'!K34)</f>
        <v>2124060.3505440592</v>
      </c>
      <c r="Q4" s="153">
        <f>SUM(OBS!L24+OR!L43+RECOVERY!L32+ANESTHESIA!L30+SURGIDAY!L31+ENDOSCOPY!L31+'STERILE SUPPLY'!L31+PHARMACY!L34+'IV THERAPY'!L31+LAB!L33+PATHOLOGY!L23+'BLOOD BANK'!L31+'CENTRAL SUPPLY'!L33+EKG!L34+XRAY!L33+ULTRASOUND!L33+CT!L31+MRI!L34+'NUCLEAR MEDICINE'!L31+MAMMOGRAPHY!L33+RESPIRATORY!L33+'PULMONARY LAB'!L31+'PHYSICAL THERAPY'!L33+'OCCUPATIONAL THERAPY'!L31+'SPEECH THERAPY'!L31+'WOUND CARE'!L31+'EMERGENCY SERVICES'!L34+'ER PROFEE'!L34)</f>
        <v>2036063.7016474251</v>
      </c>
      <c r="R4" s="153">
        <f>SUM(OBS!M24+OR!M43+RECOVERY!M32+ANESTHESIA!M30+SURGIDAY!M31+ENDOSCOPY!M31+'STERILE SUPPLY'!M31+PHARMACY!M34+'IV THERAPY'!M31+LAB!M33+PATHOLOGY!M23+'BLOOD BANK'!M31+'CENTRAL SUPPLY'!M33+EKG!M34+XRAY!M33+ULTRASOUND!M33+CT!M31+MRI!M34+'NUCLEAR MEDICINE'!M31+MAMMOGRAPHY!M33+RESPIRATORY!M33+'PULMONARY LAB'!M31+'PHYSICAL THERAPY'!M33+'OCCUPATIONAL THERAPY'!M31+'SPEECH THERAPY'!M31+'WOUND CARE'!M31+'EMERGENCY SERVICES'!M34+'ER PROFEE'!M34)</f>
        <v>2202676.7775185867</v>
      </c>
      <c r="S4" s="153">
        <f>SUM(OBS!N24+OR!N43+RECOVERY!N32+ANESTHESIA!N30+SURGIDAY!N31+ENDOSCOPY!N31+'STERILE SUPPLY'!N31+PHARMACY!N34+'IV THERAPY'!N31+LAB!N33+PATHOLOGY!N23+'BLOOD BANK'!N31+'CENTRAL SUPPLY'!N33+EKG!N34+XRAY!N33+ULTRASOUND!N33+CT!N31+MRI!N34+'NUCLEAR MEDICINE'!N31+MAMMOGRAPHY!N33+RESPIRATORY!N33+'PULMONARY LAB'!N31+'PHYSICAL THERAPY'!N33+'OCCUPATIONAL THERAPY'!N31+'SPEECH THERAPY'!N31+'WOUND CARE'!N31+'EMERGENCY SERVICES'!N34+'ER PROFEE'!N34)</f>
        <v>1984149.2919087156</v>
      </c>
      <c r="T4" s="153">
        <f>SUM(OBS!O24+OR!O43+RECOVERY!O32+ANESTHESIA!O30+SURGIDAY!O31+ENDOSCOPY!O31+'STERILE SUPPLY'!O31+PHARMACY!O34+'IV THERAPY'!O31+LAB!O33+PATHOLOGY!O23+'BLOOD BANK'!O31+'CENTRAL SUPPLY'!O33+EKG!O34+XRAY!O33+ULTRASOUND!O33+CT!O31+MRI!O34+'NUCLEAR MEDICINE'!O31+MAMMOGRAPHY!O33+RESPIRATORY!O33+'PULMONARY LAB'!O31+'PHYSICAL THERAPY'!O33+'OCCUPATIONAL THERAPY'!O31+'SPEECH THERAPY'!O31+'WOUND CARE'!O31+'EMERGENCY SERVICES'!O34+'ER PROFEE'!O34)</f>
        <v>1874408.4745041216</v>
      </c>
      <c r="U4" s="153">
        <f>SUM(OBS!P24+OR!P43+RECOVERY!P32+ANESTHESIA!P30+SURGIDAY!P31+ENDOSCOPY!P31+'STERILE SUPPLY'!P31+PHARMACY!P34+'IV THERAPY'!P31+LAB!P33+PATHOLOGY!P23+'BLOOD BANK'!P31+'CENTRAL SUPPLY'!P33+EKG!P34+XRAY!P33+ULTRASOUND!P33+CT!P31+MRI!P34+'NUCLEAR MEDICINE'!P31+MAMMOGRAPHY!P33+RESPIRATORY!P33+'PULMONARY LAB'!P31+'PHYSICAL THERAPY'!P33+'OCCUPATIONAL THERAPY'!P31+'SPEECH THERAPY'!P31+'WOUND CARE'!P31+'EMERGENCY SERVICES'!P34+'ER PROFEE'!P34)</f>
        <v>2159347.9629020253</v>
      </c>
      <c r="V4" s="153">
        <f>SUM(OBS!Q24+OR!Q43+RECOVERY!Q32+ANESTHESIA!Q30+SURGIDAY!Q31+ENDOSCOPY!Q31+'STERILE SUPPLY'!Q31+PHARMACY!Q34+'IV THERAPY'!Q31+LAB!Q33+PATHOLOGY!Q23+'BLOOD BANK'!Q31+'CENTRAL SUPPLY'!Q33+EKG!Q34+XRAY!Q33+ULTRASOUND!Q33+CT!Q31+MRI!Q34+'NUCLEAR MEDICINE'!Q31+MAMMOGRAPHY!Q33+RESPIRATORY!Q33+'PULMONARY LAB'!Q31+'PHYSICAL THERAPY'!Q33+'OCCUPATIONAL THERAPY'!Q31+'SPEECH THERAPY'!Q31+'WOUND CARE'!Q31+'EMERGENCY SERVICES'!Q34+'ER PROFEE'!Q34)</f>
        <v>2220875.8645284628</v>
      </c>
      <c r="W4" s="154">
        <f>SUM(K4:V4)</f>
        <v>24533062.22710447</v>
      </c>
      <c r="X4" s="153">
        <f>C4-W4</f>
        <v>0</v>
      </c>
      <c r="Y4" s="153"/>
      <c r="Z4" s="153"/>
      <c r="AA4" s="641">
        <v>22044667.456874222</v>
      </c>
      <c r="AB4" s="289"/>
      <c r="AC4" s="153">
        <v>17713601.645832602</v>
      </c>
      <c r="AD4" s="641"/>
      <c r="AE4" s="641"/>
      <c r="AF4" s="153">
        <v>18381853</v>
      </c>
      <c r="AG4" s="221">
        <v>17520460</v>
      </c>
      <c r="AH4" s="221">
        <v>15410598</v>
      </c>
      <c r="AI4" s="221">
        <v>14862550</v>
      </c>
      <c r="AJ4" s="153">
        <v>16194804</v>
      </c>
      <c r="AK4" s="237"/>
      <c r="AL4" s="237"/>
      <c r="AM4" s="237"/>
      <c r="AN4" s="237"/>
      <c r="AO4" s="237"/>
    </row>
    <row r="5" spans="1:41" s="159" customFormat="1" x14ac:dyDescent="0.2">
      <c r="A5" s="278"/>
      <c r="B5" s="35" t="s">
        <v>825</v>
      </c>
      <c r="C5" s="639">
        <f>SUM(C2:C4)</f>
        <v>32560189.873980537</v>
      </c>
      <c r="D5" s="289">
        <f>C5/C$5</f>
        <v>1</v>
      </c>
      <c r="E5" s="279"/>
      <c r="F5" s="221">
        <v>30568360</v>
      </c>
      <c r="G5" s="218"/>
      <c r="H5" s="220"/>
      <c r="I5" s="221">
        <f>SUM(C5-F5)</f>
        <v>1991829.8739805371</v>
      </c>
      <c r="J5" s="276">
        <f>SUM(I5/F5)</f>
        <v>6.5159853979099208E-2</v>
      </c>
      <c r="K5" s="157">
        <f>SUM(K2:K4)</f>
        <v>2585971.8232262135</v>
      </c>
      <c r="L5" s="157">
        <f t="shared" ref="L5:V5" si="0">SUM(L2:L4)</f>
        <v>2573007.6239102143</v>
      </c>
      <c r="M5" s="157">
        <f t="shared" si="0"/>
        <v>2557687.6177999228</v>
      </c>
      <c r="N5" s="157">
        <f t="shared" si="0"/>
        <v>2658581.9194899043</v>
      </c>
      <c r="O5" s="157">
        <f t="shared" si="0"/>
        <v>2689959.4893548042</v>
      </c>
      <c r="P5" s="157">
        <f t="shared" si="0"/>
        <v>2879906.0062099174</v>
      </c>
      <c r="Q5" s="157">
        <f t="shared" si="0"/>
        <v>2587749.2189135887</v>
      </c>
      <c r="R5" s="157">
        <f t="shared" si="0"/>
        <v>2766519.9854504052</v>
      </c>
      <c r="S5" s="157">
        <f t="shared" si="0"/>
        <v>2693120.1278159129</v>
      </c>
      <c r="T5" s="157">
        <f t="shared" si="0"/>
        <v>2600377.3075834019</v>
      </c>
      <c r="U5" s="157">
        <f t="shared" si="0"/>
        <v>3025225.79687203</v>
      </c>
      <c r="V5" s="157">
        <f t="shared" si="0"/>
        <v>2942082.9573542224</v>
      </c>
      <c r="W5" s="157">
        <f>SUM(K5:V5)</f>
        <v>32560189.873980541</v>
      </c>
      <c r="X5" s="221">
        <f>C5-W5</f>
        <v>0</v>
      </c>
      <c r="Y5" s="221">
        <v>32246610</v>
      </c>
      <c r="Z5" s="221"/>
      <c r="AA5" s="643">
        <v>30723113.929020166</v>
      </c>
      <c r="AB5" s="276"/>
      <c r="AC5" s="157">
        <v>25978465.054324776</v>
      </c>
      <c r="AD5" s="643"/>
      <c r="AE5" s="643"/>
      <c r="AF5" s="157">
        <f t="shared" ref="AF5" si="1">SUM(AF2:AF4)</f>
        <v>24424454</v>
      </c>
      <c r="AG5" s="157">
        <f t="shared" ref="AG5:AH5" si="2">SUM(AG2:AG4)</f>
        <v>26300973</v>
      </c>
      <c r="AH5" s="157">
        <f t="shared" si="2"/>
        <v>26000501</v>
      </c>
      <c r="AI5" s="157">
        <f>SUM(AI2:AI4)</f>
        <v>26038113</v>
      </c>
      <c r="AJ5" s="153">
        <v>30568360</v>
      </c>
      <c r="AK5" s="220"/>
      <c r="AL5" s="220"/>
      <c r="AM5" s="220"/>
      <c r="AN5" s="220"/>
      <c r="AO5" s="220"/>
    </row>
    <row r="6" spans="1:41" s="277" customFormat="1" x14ac:dyDescent="0.2">
      <c r="A6" s="213"/>
      <c r="B6" s="256"/>
      <c r="C6" s="637"/>
      <c r="D6" s="276"/>
      <c r="E6" s="275"/>
      <c r="F6" s="221"/>
      <c r="G6" s="218"/>
      <c r="H6" s="218"/>
      <c r="I6" s="218"/>
      <c r="J6" s="218"/>
      <c r="K6" s="218"/>
      <c r="L6" s="218"/>
      <c r="M6" s="218"/>
      <c r="N6" s="218"/>
      <c r="O6" s="218"/>
      <c r="P6" s="218"/>
      <c r="Q6" s="218"/>
      <c r="R6" s="218"/>
      <c r="S6" s="218"/>
      <c r="T6" s="218"/>
      <c r="U6" s="218"/>
      <c r="V6" s="218"/>
      <c r="W6" s="220"/>
      <c r="X6" s="218"/>
      <c r="Y6" s="218"/>
      <c r="Z6" s="218"/>
      <c r="AA6" s="645"/>
      <c r="AB6" s="276"/>
      <c r="AC6" s="221"/>
      <c r="AD6" s="645"/>
      <c r="AE6" s="645"/>
      <c r="AF6" s="221"/>
      <c r="AG6" s="218"/>
      <c r="AH6" s="218"/>
      <c r="AI6" s="218"/>
      <c r="AJ6" s="153"/>
      <c r="AK6" s="218"/>
      <c r="AL6" s="218"/>
      <c r="AM6" s="218"/>
      <c r="AN6" s="218"/>
      <c r="AO6" s="218"/>
    </row>
    <row r="7" spans="1:41" s="277" customFormat="1" x14ac:dyDescent="0.2">
      <c r="A7" s="213"/>
      <c r="B7" s="73" t="s">
        <v>672</v>
      </c>
      <c r="C7" s="637"/>
      <c r="D7" s="439" t="s">
        <v>956</v>
      </c>
      <c r="E7" s="275"/>
      <c r="F7" s="221"/>
      <c r="G7" s="218"/>
      <c r="H7" s="218"/>
      <c r="I7" s="218"/>
      <c r="J7" s="218"/>
      <c r="K7" s="218"/>
      <c r="L7" s="218"/>
      <c r="M7" s="218"/>
      <c r="N7" s="218"/>
      <c r="O7" s="218"/>
      <c r="P7" s="218"/>
      <c r="Q7" s="218"/>
      <c r="R7" s="218"/>
      <c r="S7" s="218"/>
      <c r="T7" s="218"/>
      <c r="U7" s="218"/>
      <c r="V7" s="218"/>
      <c r="W7" s="220"/>
      <c r="X7" s="218"/>
      <c r="Y7" s="645"/>
      <c r="Z7" s="218"/>
      <c r="AA7" s="645"/>
      <c r="AB7" s="276"/>
      <c r="AC7" s="221"/>
      <c r="AD7" s="645"/>
      <c r="AE7" s="645"/>
      <c r="AF7" s="221"/>
      <c r="AG7" s="218"/>
      <c r="AH7" s="218"/>
      <c r="AI7" s="218"/>
      <c r="AJ7" s="153"/>
      <c r="AK7" s="218"/>
      <c r="AL7" s="218"/>
      <c r="AM7" s="218"/>
      <c r="AN7" s="218"/>
      <c r="AO7" s="218"/>
    </row>
    <row r="8" spans="1:41" s="248" customFormat="1" x14ac:dyDescent="0.2">
      <c r="A8" s="215"/>
      <c r="B8" s="287" t="s">
        <v>826</v>
      </c>
      <c r="C8" s="637">
        <f>'DEDUCTIONS FROM REVENUE'!C16+'DEDUCTIONS FROM REVENUE'!C29+'DEDUCTIONS FROM REVENUE'!C35+'DEDUCTIONS FROM REVENUE'!C41+'DEDUCTIONS FROM REVENUE'!C48+'DEDUCTIONS FROM REVENUE'!C56+'DEDUCTIONS FROM REVENUE'!C62+'DEDUCTIONS FROM REVENUE'!C68+'OTHER DISCOUNTS'!C14</f>
        <v>17734382.285742719</v>
      </c>
      <c r="D8" s="289">
        <f t="shared" ref="D8:D13" si="3">C8/C$5</f>
        <v>0.54466458440141341</v>
      </c>
      <c r="E8" s="288"/>
      <c r="F8" s="153">
        <v>16759182.809999999</v>
      </c>
      <c r="G8" s="237">
        <v>0.5482525987655209</v>
      </c>
      <c r="H8" s="237"/>
      <c r="I8" s="153">
        <f>SUM(C8-F8)</f>
        <v>975199.47574272007</v>
      </c>
      <c r="J8" s="289">
        <f>SUM(I8/F8)</f>
        <v>5.8188963435665285E-2</v>
      </c>
      <c r="K8" s="153">
        <f>SUM('DEDUCTIONS FROM REVENUE'!E16+'DEDUCTIONS FROM REVENUE'!E29+'DEDUCTIONS FROM REVENUE'!E35+'DEDUCTIONS FROM REVENUE'!E41+'DEDUCTIONS FROM REVENUE'!E48+'DEDUCTIONS FROM REVENUE'!E56+'DEDUCTIONS FROM REVENUE'!E62+'DEDUCTIONS FROM REVENUE'!E68)+'OTHER DISCOUNTS'!F14</f>
        <v>1413490.3188588165</v>
      </c>
      <c r="L8" s="641">
        <f>SUM('DEDUCTIONS FROM REVENUE'!F16+'DEDUCTIONS FROM REVENUE'!F29+'DEDUCTIONS FROM REVENUE'!F35+'DEDUCTIONS FROM REVENUE'!F41+'DEDUCTIONS FROM REVENUE'!F48+'DEDUCTIONS FROM REVENUE'!F56+'DEDUCTIONS FROM REVENUE'!F62+'DEDUCTIONS FROM REVENUE'!F68)+'OTHER DISCOUNTS'!G14</f>
        <v>1330912.995714983</v>
      </c>
      <c r="M8" s="641">
        <f>SUM('DEDUCTIONS FROM REVENUE'!G16+'DEDUCTIONS FROM REVENUE'!G29+'DEDUCTIONS FROM REVENUE'!G35+'DEDUCTIONS FROM REVENUE'!G41+'DEDUCTIONS FROM REVENUE'!G48+'DEDUCTIONS FROM REVENUE'!G56+'DEDUCTIONS FROM REVENUE'!G62+'DEDUCTIONS FROM REVENUE'!G68)+'OTHER DISCOUNTS'!H14</f>
        <v>1293196.6083289529</v>
      </c>
      <c r="N8" s="641">
        <f>SUM('DEDUCTIONS FROM REVENUE'!H16+'DEDUCTIONS FROM REVENUE'!H29+'DEDUCTIONS FROM REVENUE'!H35+'DEDUCTIONS FROM REVENUE'!H41+'DEDUCTIONS FROM REVENUE'!H48+'DEDUCTIONS FROM REVENUE'!H56+'DEDUCTIONS FROM REVENUE'!H62+'DEDUCTIONS FROM REVENUE'!H68)+'OTHER DISCOUNTS'!I14</f>
        <v>1412615.48832417</v>
      </c>
      <c r="O8" s="641">
        <f>SUM('DEDUCTIONS FROM REVENUE'!I16+'DEDUCTIONS FROM REVENUE'!I29+'DEDUCTIONS FROM REVENUE'!I35+'DEDUCTIONS FROM REVENUE'!I41+'DEDUCTIONS FROM REVENUE'!I48+'DEDUCTIONS FROM REVENUE'!I56+'DEDUCTIONS FROM REVENUE'!I62+'DEDUCTIONS FROM REVENUE'!I68)+'OTHER DISCOUNTS'!J14</f>
        <v>1485273.2986129678</v>
      </c>
      <c r="P8" s="641">
        <f>SUM('DEDUCTIONS FROM REVENUE'!J16+'DEDUCTIONS FROM REVENUE'!J29+'DEDUCTIONS FROM REVENUE'!J35+'DEDUCTIONS FROM REVENUE'!J41+'DEDUCTIONS FROM REVENUE'!J48+'DEDUCTIONS FROM REVENUE'!J56+'DEDUCTIONS FROM REVENUE'!J62+'DEDUCTIONS FROM REVENUE'!J68)+'OTHER DISCOUNTS'!K14</f>
        <v>1679042.6886654992</v>
      </c>
      <c r="Q8" s="641">
        <f>SUM('DEDUCTIONS FROM REVENUE'!K16+'DEDUCTIONS FROM REVENUE'!K29+'DEDUCTIONS FROM REVENUE'!K35+'DEDUCTIONS FROM REVENUE'!K41+'DEDUCTIONS FROM REVENUE'!K48+'DEDUCTIONS FROM REVENUE'!K56+'DEDUCTIONS FROM REVENUE'!K62+'DEDUCTIONS FROM REVENUE'!K68)+'OTHER DISCOUNTS'!L14</f>
        <v>1439375.7859876319</v>
      </c>
      <c r="R8" s="641">
        <f>SUM('DEDUCTIONS FROM REVENUE'!L16+'DEDUCTIONS FROM REVENUE'!L29+'DEDUCTIONS FROM REVENUE'!L35+'DEDUCTIONS FROM REVENUE'!L41+'DEDUCTIONS FROM REVENUE'!L48+'DEDUCTIONS FROM REVENUE'!L56+'DEDUCTIONS FROM REVENUE'!L62+'DEDUCTIONS FROM REVENUE'!L68)+'OTHER DISCOUNTS'!M14</f>
        <v>1525703.1203967624</v>
      </c>
      <c r="S8" s="641">
        <f>SUM('DEDUCTIONS FROM REVENUE'!M16+'DEDUCTIONS FROM REVENUE'!M29+'DEDUCTIONS FROM REVENUE'!M35+'DEDUCTIONS FROM REVENUE'!M41+'DEDUCTIONS FROM REVENUE'!M48+'DEDUCTIONS FROM REVENUE'!M56+'DEDUCTIONS FROM REVENUE'!M62+'DEDUCTIONS FROM REVENUE'!M68)+'OTHER DISCOUNTS'!N14</f>
        <v>1469412.1293712975</v>
      </c>
      <c r="T8" s="641">
        <f>SUM('DEDUCTIONS FROM REVENUE'!N16+'DEDUCTIONS FROM REVENUE'!N29+'DEDUCTIONS FROM REVENUE'!N35+'DEDUCTIONS FROM REVENUE'!N41+'DEDUCTIONS FROM REVENUE'!N48+'DEDUCTIONS FROM REVENUE'!N56+'DEDUCTIONS FROM REVENUE'!N62+'DEDUCTIONS FROM REVENUE'!N68)+'OTHER DISCOUNTS'!O14</f>
        <v>1465078.7987440764</v>
      </c>
      <c r="U8" s="641">
        <f>SUM('DEDUCTIONS FROM REVENUE'!O16+'DEDUCTIONS FROM REVENUE'!O29+'DEDUCTIONS FROM REVENUE'!O35+'DEDUCTIONS FROM REVENUE'!O41+'DEDUCTIONS FROM REVENUE'!O48+'DEDUCTIONS FROM REVENUE'!O56+'DEDUCTIONS FROM REVENUE'!O62+'DEDUCTIONS FROM REVENUE'!O68)+'OTHER DISCOUNTS'!P14</f>
        <v>1616876.1401236188</v>
      </c>
      <c r="V8" s="641">
        <f>SUM('DEDUCTIONS FROM REVENUE'!P16+'DEDUCTIONS FROM REVENUE'!P29+'DEDUCTIONS FROM REVENUE'!P35+'DEDUCTIONS FROM REVENUE'!P41+'DEDUCTIONS FROM REVENUE'!P48+'DEDUCTIONS FROM REVENUE'!P56+'DEDUCTIONS FROM REVENUE'!P62+'DEDUCTIONS FROM REVENUE'!P68)+'OTHER DISCOUNTS'!Q14</f>
        <v>1603404.9126139421</v>
      </c>
      <c r="W8" s="154">
        <f t="shared" ref="W8:W13" si="4">SUM(K8:V8)</f>
        <v>17734382.285742722</v>
      </c>
      <c r="X8" s="153">
        <f>C8-W8</f>
        <v>0</v>
      </c>
      <c r="Y8" s="153"/>
      <c r="Z8" s="153"/>
      <c r="AA8" s="641">
        <v>14498052.719526034</v>
      </c>
      <c r="AB8" s="289"/>
      <c r="AC8" s="153">
        <v>11598985.801855678</v>
      </c>
      <c r="AD8" s="641"/>
      <c r="AE8" s="641"/>
      <c r="AF8" s="153">
        <f>11975922-651971</f>
        <v>11323951</v>
      </c>
      <c r="AG8" s="221">
        <f>13188278-410541</f>
        <v>12777737</v>
      </c>
      <c r="AH8" s="221">
        <f>12940376-538390</f>
        <v>12401986</v>
      </c>
      <c r="AI8" s="221">
        <f>13309156-23992-817466</f>
        <v>12467698</v>
      </c>
      <c r="AJ8" s="153">
        <v>16759182.809999999</v>
      </c>
      <c r="AK8" s="237"/>
      <c r="AL8" s="221"/>
      <c r="AM8" s="153"/>
      <c r="AN8" s="237"/>
      <c r="AO8" s="237"/>
    </row>
    <row r="9" spans="1:41" s="248" customFormat="1" x14ac:dyDescent="0.2">
      <c r="A9" s="215"/>
      <c r="B9" s="287" t="s">
        <v>704</v>
      </c>
      <c r="C9" s="637">
        <f>'PRIOR YR ADJS'!C11</f>
        <v>0</v>
      </c>
      <c r="D9" s="289">
        <f t="shared" si="3"/>
        <v>0</v>
      </c>
      <c r="E9" s="288"/>
      <c r="F9" s="153"/>
      <c r="G9" s="237"/>
      <c r="H9" s="237"/>
      <c r="I9" s="153"/>
      <c r="J9" s="289"/>
      <c r="K9" s="153">
        <f>'PRIOR YR ADJS'!F11</f>
        <v>0</v>
      </c>
      <c r="L9" s="153">
        <f>'PRIOR YR ADJS'!G11</f>
        <v>0</v>
      </c>
      <c r="M9" s="153">
        <f>'PRIOR YR ADJS'!H11</f>
        <v>0</v>
      </c>
      <c r="N9" s="153">
        <f>'PRIOR YR ADJS'!I11</f>
        <v>0</v>
      </c>
      <c r="O9" s="153">
        <f>'PRIOR YR ADJS'!J11</f>
        <v>0</v>
      </c>
      <c r="P9" s="153">
        <f>'PRIOR YR ADJS'!K11</f>
        <v>0</v>
      </c>
      <c r="Q9" s="153">
        <f>'PRIOR YR ADJS'!L11</f>
        <v>0</v>
      </c>
      <c r="R9" s="153">
        <f>'PRIOR YR ADJS'!M11</f>
        <v>0</v>
      </c>
      <c r="S9" s="153">
        <f>'PRIOR YR ADJS'!N11</f>
        <v>0</v>
      </c>
      <c r="T9" s="153">
        <f>'PRIOR YR ADJS'!O11</f>
        <v>0</v>
      </c>
      <c r="U9" s="153">
        <f>'PRIOR YR ADJS'!P11</f>
        <v>0</v>
      </c>
      <c r="V9" s="153">
        <f>'PRIOR YR ADJS'!Q11</f>
        <v>0</v>
      </c>
      <c r="W9" s="154">
        <f t="shared" si="4"/>
        <v>0</v>
      </c>
      <c r="X9" s="153">
        <f>C9-W9</f>
        <v>0</v>
      </c>
      <c r="Y9" s="153"/>
      <c r="Z9" s="153"/>
      <c r="AA9" s="641">
        <v>0</v>
      </c>
      <c r="AB9" s="289"/>
      <c r="AC9" s="153">
        <v>0</v>
      </c>
      <c r="AD9" s="641"/>
      <c r="AE9" s="641"/>
      <c r="AF9" s="153">
        <v>-50171</v>
      </c>
      <c r="AG9" s="221">
        <v>-269847</v>
      </c>
      <c r="AH9" s="221">
        <v>-525370</v>
      </c>
      <c r="AI9" s="221"/>
      <c r="AJ9" s="153"/>
      <c r="AK9" s="237"/>
      <c r="AL9" s="221"/>
      <c r="AM9" s="153"/>
      <c r="AN9" s="237"/>
      <c r="AO9" s="237"/>
    </row>
    <row r="10" spans="1:41" s="248" customFormat="1" x14ac:dyDescent="0.2">
      <c r="A10" s="215"/>
      <c r="B10" s="287" t="s">
        <v>690</v>
      </c>
      <c r="C10" s="637">
        <f>'OTHER DISCOUNTS'!C23</f>
        <v>613500</v>
      </c>
      <c r="D10" s="289">
        <f t="shared" si="3"/>
        <v>1.8842027714655912E-2</v>
      </c>
      <c r="E10" s="288"/>
      <c r="F10" s="153">
        <v>1226998</v>
      </c>
      <c r="G10" s="237">
        <v>4.0139477551298139E-2</v>
      </c>
      <c r="H10" s="237"/>
      <c r="I10" s="153">
        <f>SUM(C10-F10)</f>
        <v>-613498</v>
      </c>
      <c r="J10" s="289">
        <f>SUM(I10/F10)</f>
        <v>-0.49999918500274654</v>
      </c>
      <c r="K10" s="153">
        <f>'OTHER DISCOUNTS'!F23</f>
        <v>49898.668168127588</v>
      </c>
      <c r="L10" s="641">
        <f>'OTHER DISCOUNTS'!G23</f>
        <v>47243.777723725187</v>
      </c>
      <c r="M10" s="641">
        <f>'OTHER DISCOUNTS'!H23</f>
        <v>45383.705053016587</v>
      </c>
      <c r="N10" s="641">
        <f>'OTHER DISCOUNTS'!I23</f>
        <v>50509.256542615971</v>
      </c>
      <c r="O10" s="641">
        <f>'OTHER DISCOUNTS'!J23</f>
        <v>51754.742952893168</v>
      </c>
      <c r="P10" s="641">
        <f>'OTHER DISCOUNTS'!K23</f>
        <v>56699.279899342058</v>
      </c>
      <c r="Q10" s="641">
        <f>'OTHER DISCOUNTS'!L23</f>
        <v>51928.484851760761</v>
      </c>
      <c r="R10" s="641">
        <f>'OTHER DISCOUNTS'!M23</f>
        <v>55397.178394577924</v>
      </c>
      <c r="S10" s="641">
        <f>'OTHER DISCOUNTS'!N23</f>
        <v>50571.034800861235</v>
      </c>
      <c r="T10" s="641">
        <f>'OTHER DISCOUNTS'!O23</f>
        <v>46243.073790798444</v>
      </c>
      <c r="U10" s="641">
        <f>'OTHER DISCOUNTS'!P23</f>
        <v>53278.100303595398</v>
      </c>
      <c r="V10" s="641">
        <f>'OTHER DISCOUNTS'!Q23</f>
        <v>54592.69751868568</v>
      </c>
      <c r="W10" s="154">
        <f t="shared" si="4"/>
        <v>613500.00000000012</v>
      </c>
      <c r="X10" s="153">
        <f>C10-W10</f>
        <v>0</v>
      </c>
      <c r="Y10" s="153"/>
      <c r="Z10" s="153"/>
      <c r="AA10" s="641">
        <v>1355099.2261000001</v>
      </c>
      <c r="AB10" s="289"/>
      <c r="AC10" s="153">
        <v>762444.64</v>
      </c>
      <c r="AD10" s="641"/>
      <c r="AE10" s="641"/>
      <c r="AF10" s="153">
        <v>558686</v>
      </c>
      <c r="AG10" s="221">
        <v>179675</v>
      </c>
      <c r="AH10" s="221">
        <v>285190</v>
      </c>
      <c r="AI10" s="221">
        <v>202826</v>
      </c>
      <c r="AJ10" s="153">
        <v>331725</v>
      </c>
      <c r="AK10" s="237"/>
      <c r="AL10" s="221"/>
      <c r="AM10" s="153"/>
      <c r="AN10" s="237"/>
      <c r="AO10" s="237"/>
    </row>
    <row r="11" spans="1:41" s="248" customFormat="1" x14ac:dyDescent="0.2">
      <c r="A11" s="215"/>
      <c r="B11" s="237" t="s">
        <v>854</v>
      </c>
      <c r="C11" s="637">
        <f>'CREDIT &amp; COLLECTION'!C15+'CREDIT &amp; COLLECTION'!C16</f>
        <v>1077527.0101984134</v>
      </c>
      <c r="D11" s="289">
        <f t="shared" si="3"/>
        <v>3.3093388409859537E-2</v>
      </c>
      <c r="E11" s="288"/>
      <c r="F11" s="153"/>
      <c r="G11" s="237"/>
      <c r="H11" s="237"/>
      <c r="I11" s="153"/>
      <c r="J11" s="289"/>
      <c r="K11" s="153">
        <f>'CREDIT &amp; COLLECTION'!F15+'CREDIT &amp; COLLECTION'!F16</f>
        <v>87275.692811963891</v>
      </c>
      <c r="L11" s="153">
        <f>'CREDIT &amp; COLLECTION'!G15+'CREDIT &amp; COLLECTION'!G16</f>
        <v>83331.896833958483</v>
      </c>
      <c r="M11" s="153">
        <f>'CREDIT &amp; COLLECTION'!H15+'CREDIT &amp; COLLECTION'!H16</f>
        <v>80105.154670135889</v>
      </c>
      <c r="N11" s="153">
        <f>'CREDIT &amp; COLLECTION'!I15+'CREDIT &amp; COLLECTION'!I16</f>
        <v>89426.854254512305</v>
      </c>
      <c r="O11" s="153">
        <f>'CREDIT &amp; COLLECTION'!J15+'CREDIT &amp; COLLECTION'!J16</f>
        <v>90809.743753293427</v>
      </c>
      <c r="P11" s="153">
        <f>'CREDIT &amp; COLLECTION'!K15+'CREDIT &amp; COLLECTION'!K16</f>
        <v>99209.5170051491</v>
      </c>
      <c r="Q11" s="153">
        <f>'CREDIT &amp; COLLECTION'!L15+'CREDIT &amp; COLLECTION'!L16</f>
        <v>91680.451956229677</v>
      </c>
      <c r="R11" s="153">
        <f>'CREDIT &amp; COLLECTION'!M15+'CREDIT &amp; COLLECTION'!M16</f>
        <v>97212.00995135415</v>
      </c>
      <c r="S11" s="153">
        <f>'CREDIT &amp; COLLECTION'!N15+'CREDIT &amp; COLLECTION'!N16</f>
        <v>88914.672958667434</v>
      </c>
      <c r="T11" s="153">
        <f>'CREDIT &amp; COLLECTION'!O15+'CREDIT &amp; COLLECTION'!O16</f>
        <v>80361.245318058311</v>
      </c>
      <c r="U11" s="153">
        <f>'CREDIT &amp; COLLECTION'!P15+'CREDIT &amp; COLLECTION'!P16</f>
        <v>93677.959010024628</v>
      </c>
      <c r="V11" s="153">
        <f>'CREDIT &amp; COLLECTION'!Q15+'CREDIT &amp; COLLECTION'!Q16</f>
        <v>95521.811675066114</v>
      </c>
      <c r="W11" s="154">
        <f t="shared" si="4"/>
        <v>1077527.0101984132</v>
      </c>
      <c r="X11" s="153">
        <f t="shared" ref="X11:X12" si="5">C11-W11</f>
        <v>0</v>
      </c>
      <c r="Y11" s="153"/>
      <c r="Z11" s="153"/>
      <c r="AA11" s="641">
        <v>1307920.1151633197</v>
      </c>
      <c r="AB11" s="289"/>
      <c r="AC11" s="153">
        <v>969762.21</v>
      </c>
      <c r="AD11" s="641"/>
      <c r="AE11" s="641"/>
      <c r="AF11" s="153">
        <v>1102090</v>
      </c>
      <c r="AG11" s="221">
        <v>1369213</v>
      </c>
      <c r="AH11" s="221">
        <v>1134390</v>
      </c>
      <c r="AI11" s="221">
        <v>922991</v>
      </c>
      <c r="AJ11" s="153">
        <v>1571554</v>
      </c>
      <c r="AK11" s="237"/>
      <c r="AL11" s="221"/>
      <c r="AM11" s="153"/>
      <c r="AN11" s="237"/>
      <c r="AO11" s="237"/>
    </row>
    <row r="12" spans="1:41" s="248" customFormat="1" x14ac:dyDescent="0.2">
      <c r="A12" s="215"/>
      <c r="B12" s="287" t="s">
        <v>697</v>
      </c>
      <c r="C12" s="637">
        <f>'CHARITY WRITE-OFFS'!C11</f>
        <v>1121663.1898500002</v>
      </c>
      <c r="D12" s="289">
        <f t="shared" si="3"/>
        <v>3.4448914278179393E-2</v>
      </c>
      <c r="E12" s="288"/>
      <c r="F12" s="153">
        <v>331725</v>
      </c>
      <c r="G12" s="237">
        <v>1.0851907004497461E-2</v>
      </c>
      <c r="H12" s="237"/>
      <c r="I12" s="153">
        <f>SUM(C12-F12)</f>
        <v>789938.1898500002</v>
      </c>
      <c r="J12" s="289">
        <f>SUM(I12/F12)</f>
        <v>2.3813043631019677</v>
      </c>
      <c r="K12" s="153">
        <f>'CHARITY WRITE-OFFS'!F11</f>
        <v>89622.631854239065</v>
      </c>
      <c r="L12" s="153">
        <f>'CHARITY WRITE-OFFS'!G11</f>
        <v>84444.607287375155</v>
      </c>
      <c r="M12" s="153">
        <f>'CHARITY WRITE-OFFS'!H11</f>
        <v>81935.767533273771</v>
      </c>
      <c r="N12" s="153">
        <f>'CHARITY WRITE-OFFS'!I11</f>
        <v>89709.656432964213</v>
      </c>
      <c r="O12" s="153">
        <f>'CHARITY WRITE-OFFS'!J11</f>
        <v>94023.440518779564</v>
      </c>
      <c r="P12" s="153">
        <f>'CHARITY WRITE-OFFS'!K11</f>
        <v>105888.28964795513</v>
      </c>
      <c r="Q12" s="153">
        <f>'CHARITY WRITE-OFFS'!L11</f>
        <v>91511.811128303394</v>
      </c>
      <c r="R12" s="153">
        <f>'CHARITY WRITE-OFFS'!M11</f>
        <v>97078.973526288086</v>
      </c>
      <c r="S12" s="153">
        <f>'CHARITY WRITE-OFFS'!N11</f>
        <v>92879.19618332274</v>
      </c>
      <c r="T12" s="153">
        <f>'CHARITY WRITE-OFFS'!O11</f>
        <v>91677.028953101981</v>
      </c>
      <c r="U12" s="153">
        <f>'CHARITY WRITE-OFFS'!P11</f>
        <v>101674.1380896622</v>
      </c>
      <c r="V12" s="153">
        <f>'CHARITY WRITE-OFFS'!Q11</f>
        <v>101217.64869473486</v>
      </c>
      <c r="W12" s="154">
        <f t="shared" si="4"/>
        <v>1121663.18985</v>
      </c>
      <c r="X12" s="153">
        <f t="shared" si="5"/>
        <v>0</v>
      </c>
      <c r="Y12" s="153"/>
      <c r="Z12" s="153"/>
      <c r="AA12" s="641">
        <v>771239</v>
      </c>
      <c r="AB12" s="289"/>
      <c r="AC12" s="153">
        <v>736348.98</v>
      </c>
      <c r="AD12" s="641"/>
      <c r="AE12" s="641"/>
      <c r="AF12" s="153">
        <v>1034823</v>
      </c>
      <c r="AG12" s="221">
        <v>1098830</v>
      </c>
      <c r="AH12" s="221">
        <v>1443905</v>
      </c>
      <c r="AI12" s="221">
        <v>1633997</v>
      </c>
      <c r="AJ12" s="153">
        <v>1226998</v>
      </c>
      <c r="AK12" s="237"/>
      <c r="AL12" s="221"/>
      <c r="AM12" s="153"/>
      <c r="AN12" s="237"/>
      <c r="AO12" s="237"/>
    </row>
    <row r="13" spans="1:41" s="159" customFormat="1" x14ac:dyDescent="0.2">
      <c r="A13" s="278"/>
      <c r="B13" s="35" t="s">
        <v>828</v>
      </c>
      <c r="C13" s="639">
        <f>SUM(C8:C12)</f>
        <v>20547072.485791132</v>
      </c>
      <c r="D13" s="280">
        <f t="shared" si="3"/>
        <v>0.6310489148041083</v>
      </c>
      <c r="E13" s="279"/>
      <c r="F13" s="157">
        <v>17582915.809999999</v>
      </c>
      <c r="G13" s="220">
        <v>0.575199840946652</v>
      </c>
      <c r="H13" s="220"/>
      <c r="I13" s="157">
        <f>SUM(C13-F13)</f>
        <v>2964156.6757911332</v>
      </c>
      <c r="J13" s="280">
        <f>SUM(I13/F13)</f>
        <v>0.16858163388948932</v>
      </c>
      <c r="K13" s="157">
        <f>SUM(K8:K12)</f>
        <v>1640287.3116931471</v>
      </c>
      <c r="L13" s="157">
        <f t="shared" ref="L13:V13" si="6">SUM(L8:L12)</f>
        <v>1545933.277560042</v>
      </c>
      <c r="M13" s="157">
        <f t="shared" si="6"/>
        <v>1500621.2355853789</v>
      </c>
      <c r="N13" s="157">
        <f t="shared" si="6"/>
        <v>1642261.2555542625</v>
      </c>
      <c r="O13" s="157">
        <f t="shared" si="6"/>
        <v>1721861.2258379343</v>
      </c>
      <c r="P13" s="157">
        <f t="shared" si="6"/>
        <v>1940839.7752179455</v>
      </c>
      <c r="Q13" s="157">
        <f t="shared" si="6"/>
        <v>1674496.5339239258</v>
      </c>
      <c r="R13" s="157">
        <f t="shared" si="6"/>
        <v>1775391.2822689826</v>
      </c>
      <c r="S13" s="157">
        <f t="shared" si="6"/>
        <v>1701777.0333141489</v>
      </c>
      <c r="T13" s="157">
        <f t="shared" si="6"/>
        <v>1683360.1468060352</v>
      </c>
      <c r="U13" s="157">
        <f t="shared" si="6"/>
        <v>1865506.3375269009</v>
      </c>
      <c r="V13" s="157">
        <f t="shared" si="6"/>
        <v>1854737.0705024286</v>
      </c>
      <c r="W13" s="157">
        <f t="shared" si="4"/>
        <v>20547072.485791136</v>
      </c>
      <c r="X13" s="157">
        <f>C13-W13</f>
        <v>0</v>
      </c>
      <c r="Y13" s="157"/>
      <c r="Z13" s="157"/>
      <c r="AA13" s="642">
        <v>17932311.060789354</v>
      </c>
      <c r="AC13" s="154">
        <v>14067541.631855678</v>
      </c>
      <c r="AD13" s="642"/>
      <c r="AE13" s="280">
        <f>AF13/AF5</f>
        <v>0.57194232468819983</v>
      </c>
      <c r="AF13" s="157">
        <f>SUM(AF8:AF12)</f>
        <v>13969379</v>
      </c>
      <c r="AG13" s="157">
        <f>SUM(AG8:AG12)</f>
        <v>15155608</v>
      </c>
      <c r="AH13" s="157">
        <f>SUM(AH8:AH12)</f>
        <v>14740101</v>
      </c>
      <c r="AI13" s="157">
        <f>SUM(AI8:AI12)</f>
        <v>15227512</v>
      </c>
      <c r="AJ13" s="154">
        <v>17582915.809999999</v>
      </c>
      <c r="AK13" s="220"/>
      <c r="AL13" s="220"/>
      <c r="AM13" s="220"/>
      <c r="AN13" s="220"/>
      <c r="AO13" s="220"/>
    </row>
    <row r="14" spans="1:41" s="277" customFormat="1" x14ac:dyDescent="0.2">
      <c r="A14" s="213"/>
      <c r="B14" s="256"/>
      <c r="C14" s="637"/>
      <c r="D14" s="289"/>
      <c r="E14" s="275"/>
      <c r="F14" s="218"/>
      <c r="G14" s="218"/>
      <c r="H14" s="218"/>
      <c r="I14" s="218"/>
      <c r="J14" s="218"/>
      <c r="K14" s="218"/>
      <c r="L14" s="218"/>
      <c r="M14" s="218"/>
      <c r="N14" s="218"/>
      <c r="O14" s="218"/>
      <c r="P14" s="218"/>
      <c r="Q14" s="218"/>
      <c r="R14" s="218"/>
      <c r="S14" s="218"/>
      <c r="T14" s="218"/>
      <c r="U14" s="218"/>
      <c r="V14" s="218"/>
      <c r="W14" s="220"/>
      <c r="X14" s="218"/>
      <c r="Y14" s="218"/>
      <c r="Z14" s="218"/>
      <c r="AA14" s="645"/>
      <c r="AC14" s="221"/>
      <c r="AD14" s="645"/>
      <c r="AE14" s="276"/>
      <c r="AF14" s="221"/>
      <c r="AG14" s="221"/>
      <c r="AH14" s="221"/>
      <c r="AI14" s="218"/>
      <c r="AJ14" s="237"/>
      <c r="AK14" s="218"/>
      <c r="AL14" s="218"/>
      <c r="AM14" s="218"/>
      <c r="AN14" s="218"/>
      <c r="AO14" s="218"/>
    </row>
    <row r="15" spans="1:41" s="248" customFormat="1" x14ac:dyDescent="0.2">
      <c r="A15" s="215"/>
      <c r="B15" s="139" t="s">
        <v>829</v>
      </c>
      <c r="C15" s="637">
        <f>'OTHER REVENUE'!C23-BUDGET!C43</f>
        <v>46613</v>
      </c>
      <c r="D15" s="289">
        <f>C15/C$5</f>
        <v>1.4315948457428785E-3</v>
      </c>
      <c r="E15" s="288"/>
      <c r="F15" s="153">
        <v>61837</v>
      </c>
      <c r="G15" s="237">
        <v>2.0229086545696267E-3</v>
      </c>
      <c r="H15" s="237"/>
      <c r="I15" s="153">
        <f>SUM(C15-F15)</f>
        <v>-15224</v>
      </c>
      <c r="J15" s="289">
        <f>SUM(I15/F15)</f>
        <v>-0.24619564338502839</v>
      </c>
      <c r="K15" s="153">
        <f>'OTHER REVENUE'!F23-BUDGET!K43</f>
        <v>3775.4801787242177</v>
      </c>
      <c r="L15" s="153">
        <f>'OTHER REVENUE'!G23-BUDGET!L43</f>
        <v>3604.8745603194257</v>
      </c>
      <c r="M15" s="153">
        <f>'OTHER REVENUE'!H23-BUDGET!M43</f>
        <v>3465.2881452609436</v>
      </c>
      <c r="N15" s="153">
        <f>'OTHER REVENUE'!I23-BUDGET!N43</f>
        <v>3868.5377887631912</v>
      </c>
      <c r="O15" s="153">
        <f>'OTHER REVENUE'!J23-BUDGET!O43</f>
        <v>3928.3605380739536</v>
      </c>
      <c r="P15" s="153">
        <f>'OTHER REVENUE'!K23-BUDGET!P43</f>
        <v>4291.7283487023524</v>
      </c>
      <c r="Q15" s="153">
        <f>'OTHER REVENUE'!L23-BUDGET!Q43</f>
        <v>3966.0267135659305</v>
      </c>
      <c r="R15" s="153">
        <f>'OTHER REVENUE'!M23-BUDGET!R43</f>
        <v>4205.3177108090167</v>
      </c>
      <c r="S15" s="153">
        <f>'OTHER REVENUE'!N23-BUDGET!S43</f>
        <v>3846.3812149443911</v>
      </c>
      <c r="T15" s="153">
        <f>'OTHER REVENUE'!O23-BUDGET!T43</f>
        <v>3476.3664321703691</v>
      </c>
      <c r="U15" s="153">
        <f>'OTHER REVENUE'!P23-BUDGET!U43</f>
        <v>4052.4373514592589</v>
      </c>
      <c r="V15" s="153">
        <f>'OTHER REVENUE'!Q23-BUDGET!V43</f>
        <v>4132.2010172069567</v>
      </c>
      <c r="W15" s="154">
        <f>SUM(K15:V15)</f>
        <v>46613.000000000007</v>
      </c>
      <c r="X15" s="153">
        <f>C15-W15</f>
        <v>0</v>
      </c>
      <c r="Y15" s="153"/>
      <c r="Z15" s="153"/>
      <c r="AA15" s="641">
        <v>46500</v>
      </c>
      <c r="AC15" s="153">
        <v>41265</v>
      </c>
      <c r="AD15" s="641"/>
      <c r="AE15" s="289"/>
      <c r="AF15" s="153">
        <v>117656</v>
      </c>
      <c r="AG15" s="221">
        <v>83415</v>
      </c>
      <c r="AH15" s="221">
        <v>962554</v>
      </c>
      <c r="AI15" s="221">
        <v>1081217</v>
      </c>
      <c r="AJ15" s="153">
        <v>61837</v>
      </c>
      <c r="AK15" s="237"/>
      <c r="AL15" s="237"/>
      <c r="AM15" s="237"/>
      <c r="AN15" s="237"/>
      <c r="AO15" s="237"/>
    </row>
    <row r="16" spans="1:41" s="277" customFormat="1" x14ac:dyDescent="0.2">
      <c r="A16" s="213"/>
      <c r="B16" s="256"/>
      <c r="C16" s="637"/>
      <c r="D16" s="276"/>
      <c r="E16" s="275"/>
      <c r="F16" s="218"/>
      <c r="G16" s="218"/>
      <c r="H16" s="218"/>
      <c r="I16" s="218"/>
      <c r="J16" s="218"/>
      <c r="K16" s="218"/>
      <c r="L16" s="218"/>
      <c r="M16" s="218"/>
      <c r="N16" s="218"/>
      <c r="O16" s="218"/>
      <c r="P16" s="218"/>
      <c r="Q16" s="218"/>
      <c r="R16" s="218"/>
      <c r="S16" s="218"/>
      <c r="T16" s="218"/>
      <c r="U16" s="218"/>
      <c r="V16" s="218"/>
      <c r="W16" s="220"/>
      <c r="X16" s="218"/>
      <c r="Y16" s="218"/>
      <c r="Z16" s="218"/>
      <c r="AA16" s="645"/>
      <c r="AC16" s="221"/>
      <c r="AD16" s="645"/>
      <c r="AE16" s="276"/>
      <c r="AF16" s="221"/>
      <c r="AG16" s="157"/>
      <c r="AH16" s="157"/>
      <c r="AI16" s="218"/>
      <c r="AJ16" s="237"/>
      <c r="AK16" s="218"/>
      <c r="AL16" s="218"/>
      <c r="AM16" s="218"/>
      <c r="AN16" s="218"/>
      <c r="AO16" s="218"/>
    </row>
    <row r="17" spans="1:41" s="159" customFormat="1" x14ac:dyDescent="0.2">
      <c r="A17" s="278"/>
      <c r="B17" s="35" t="s">
        <v>830</v>
      </c>
      <c r="C17" s="639">
        <f>SUM(C5-C13+C15)</f>
        <v>12059730.388189405</v>
      </c>
      <c r="D17" s="280">
        <f>C17/C$5</f>
        <v>0.37038268004163466</v>
      </c>
      <c r="E17" s="279"/>
      <c r="F17" s="157">
        <v>13047281.190000001</v>
      </c>
      <c r="G17" s="220">
        <v>0.42682306770791767</v>
      </c>
      <c r="H17" s="220"/>
      <c r="I17" s="157">
        <f>SUM(C17-F17)</f>
        <v>-987550.80181059614</v>
      </c>
      <c r="J17" s="280">
        <f>SUM(I17/F17)</f>
        <v>-7.5690160074690316E-2</v>
      </c>
      <c r="K17" s="157">
        <f t="shared" ref="K17:V17" si="7">SUM(K5-K13+K15)</f>
        <v>949459.99171179067</v>
      </c>
      <c r="L17" s="157">
        <f t="shared" si="7"/>
        <v>1030679.2209104918</v>
      </c>
      <c r="M17" s="157">
        <f t="shared" si="7"/>
        <v>1060531.6703598048</v>
      </c>
      <c r="N17" s="157">
        <f t="shared" si="7"/>
        <v>1020189.2017244049</v>
      </c>
      <c r="O17" s="157">
        <f t="shared" si="7"/>
        <v>972026.62405494379</v>
      </c>
      <c r="P17" s="157">
        <f t="shared" si="7"/>
        <v>943357.95934067422</v>
      </c>
      <c r="Q17" s="157">
        <f t="shared" si="7"/>
        <v>917218.71170322876</v>
      </c>
      <c r="R17" s="157">
        <f t="shared" si="7"/>
        <v>995334.02089223161</v>
      </c>
      <c r="S17" s="157">
        <f t="shared" si="7"/>
        <v>995189.47571670846</v>
      </c>
      <c r="T17" s="157">
        <f t="shared" si="7"/>
        <v>920493.5272095371</v>
      </c>
      <c r="U17" s="157">
        <f t="shared" si="7"/>
        <v>1163771.8966965883</v>
      </c>
      <c r="V17" s="157">
        <f t="shared" si="7"/>
        <v>1091478.0878690009</v>
      </c>
      <c r="W17" s="157">
        <f>SUM(K17:V17)</f>
        <v>12059730.388189405</v>
      </c>
      <c r="X17" s="157">
        <f>C17-W17</f>
        <v>0</v>
      </c>
      <c r="Y17" s="157">
        <f>Y5*AE17</f>
        <v>13958745.329247074</v>
      </c>
      <c r="Z17" s="157"/>
      <c r="AA17" s="643">
        <v>12837302.868230812</v>
      </c>
      <c r="AC17" s="157">
        <v>11952188.422469098</v>
      </c>
      <c r="AD17" s="643"/>
      <c r="AE17" s="280">
        <f>AF17/AF5</f>
        <v>0.43287481472461986</v>
      </c>
      <c r="AF17" s="157">
        <f>AF5-AF13+AF15</f>
        <v>10572731</v>
      </c>
      <c r="AG17" s="157">
        <f>AG5-AG13+AG15</f>
        <v>11228780</v>
      </c>
      <c r="AH17" s="157">
        <f>AH5-AH13+AH15</f>
        <v>12222954</v>
      </c>
      <c r="AI17" s="157">
        <f>AI5-AI13+AI15</f>
        <v>11891818</v>
      </c>
      <c r="AJ17" s="154">
        <v>13047281.190000001</v>
      </c>
      <c r="AK17" s="220"/>
      <c r="AL17" s="220"/>
      <c r="AM17" s="220"/>
      <c r="AN17" s="220"/>
      <c r="AO17" s="220"/>
    </row>
    <row r="18" spans="1:41" s="277" customFormat="1" x14ac:dyDescent="0.2">
      <c r="A18" s="213"/>
      <c r="B18" s="218"/>
      <c r="C18" s="637"/>
      <c r="D18" s="439" t="s">
        <v>955</v>
      </c>
      <c r="E18" s="275"/>
      <c r="F18" s="221"/>
      <c r="G18" s="218"/>
      <c r="H18" s="218"/>
      <c r="I18" s="218"/>
      <c r="J18" s="218"/>
      <c r="K18" s="218"/>
      <c r="L18" s="218"/>
      <c r="M18" s="218"/>
      <c r="N18" s="218"/>
      <c r="O18" s="218"/>
      <c r="P18" s="218"/>
      <c r="Q18" s="218"/>
      <c r="R18" s="218"/>
      <c r="S18" s="218"/>
      <c r="T18" s="218"/>
      <c r="U18" s="218"/>
      <c r="V18" s="218"/>
      <c r="W18" s="220"/>
      <c r="X18" s="218"/>
      <c r="Y18" s="218"/>
      <c r="Z18" s="218"/>
      <c r="AA18" s="645"/>
      <c r="AC18" s="221"/>
      <c r="AD18" s="645"/>
      <c r="AE18" s="276"/>
      <c r="AF18" s="221"/>
      <c r="AG18" s="221"/>
      <c r="AH18" s="221"/>
      <c r="AI18" s="218"/>
      <c r="AJ18" s="153"/>
      <c r="AK18" s="218"/>
      <c r="AL18" s="218"/>
      <c r="AM18" s="218"/>
      <c r="AN18" s="218"/>
      <c r="AO18" s="218"/>
    </row>
    <row r="19" spans="1:41" s="248" customFormat="1" x14ac:dyDescent="0.2">
      <c r="A19" s="215"/>
      <c r="B19" s="237" t="s">
        <v>831</v>
      </c>
      <c r="C19" s="637">
        <f>'MED SURG'!C20+'MED SURG'!C21+'MED SURG'!C22+'SWING BED'!C20+'SWING BED'!C21+'SWING BED'!C22+ICU!C19+ICU!C20+ICU!C21+OBS!C28+OBS!C29+OR!C47+OR!C48+OR!C49+RECOVERY!C36+RECOVERY!C37+PHARMACY!C39+PHARMACY!C40+PHARMACY!C41+LAB!C38+LAB!C39+LAB!C42+'CENTRAL SUPPLY'!C38+'CENTRAL SUPPLY'!C39+'CENTRAL SUPPLY'!C40+XRAY!C38+XRAY!C39+XRAY!C40+ULTRASOUND!C38+ULTRASOUND!C39+ULTRASOUND!C40+MRI!C39+MRI!C40+MRI!C41+MAMMOGRAPHY!C38+MAMMOGRAPHY!C39+MAMMOGRAPHY!C40+RESPIRATORY!C37+RESPIRATORY!C38+RESPIRATORY!C39+'PHYSICAL THERAPY'!C37+'PHYSICAL THERAPY'!C38+'PHYSICAL THERAPY'!C39+'EMERGENCY SERVICES'!C38+'EMERGENCY SERVICES'!C39+'EMERGENCY SERVICES'!C40+'ER PROFEE'!C38+'ER PROFEE'!C39+'ER PROFEE'!C40+MOB!C10+MOB!C11+MOB!C12+'LAUNDRY &amp; LINEN'!C10+'LAUNDRY &amp; LINEN'!C11+'LAUNDRY &amp; LINEN'!C12+HOUSEKEEPING!C10+HOUSEKEEPING!C11+HOUSEKEEPING!C12+'PLANT OP &amp; MAINTENANCE'!C10+'PLANT OP &amp; MAINTENANCE'!C11+'PLANT OP &amp; MAINTENANCE'!C12+SECURITY!C10+SECURITY!C11+SECURITY!C12+ADMITTING!C11+ADMITTING!C12+ADMITTING!C13+'BUSINESS OFFICE'!C11+'BUSINESS OFFICE'!C12+'BUSINESS OFFICE'!C13+'CREDIT &amp; COLLECTION'!C10+'CREDIT &amp; COLLECTION'!C11+'CREDIT &amp; COLLECTION'!C12+COMMUNICATIONS!C11+COMMUNICATIONS!C12+COMMUNICATIONS!C13+'NURSING ADMIN'!C10+'NURSING ADMIN'!C11+'NURSING ADMIN'!C12+'HOSPITAL ADMIN'!C10+'HOSPITAL ADMIN'!C11+'HOSPITAL ADMIN'!C12+MARKETING!C10+MARKETING!C11+MARKETING!C12+'GENERAL ACCOUNTING'!C10+'GENERAL ACCOUNTING'!C11+'GENERAL ACCOUNTING'!C12+'DATA PROCESSING'!C10+'DATA PROCESSING'!C11+'DATA PROCESSING'!C12+'HEALTH INFO MGMT'!C10+'HEALTH INFO MGMT'!C11+'HEALTH INFO MGMT'!C12+DIETARY!C10+DIETARY!C11+DIETARY!C12</f>
        <v>5156980.6066230536</v>
      </c>
      <c r="D19" s="289">
        <f>C19/C$17</f>
        <v>0.4276198920395019</v>
      </c>
      <c r="E19" s="288"/>
      <c r="F19" s="153">
        <v>4740076</v>
      </c>
      <c r="G19" s="237">
        <v>0.36329990370967086</v>
      </c>
      <c r="H19" s="237"/>
      <c r="I19" s="153">
        <f>SUM(C19-F19)</f>
        <v>416904.60662305355</v>
      </c>
      <c r="J19" s="289">
        <f>SUM(I19/F19)</f>
        <v>8.7953148140041126E-2</v>
      </c>
      <c r="K19" s="153">
        <f>SUM('MED SURG'!F20+'MED SURG'!F21+'MED SURG'!F22+'SWING BED'!F20+'SWING BED'!F21+'SWING BED'!F22+ICU!F19+ICU!F20+ICU!F21+OBS!F28+OBS!F29+OR!F47+OR!F48+OR!F49+RECOVERY!F36+RECOVERY!F37+PHARMACY!F39+PHARMACY!F40+PHARMACY!F41+LAB!F38+LAB!F39+LAB!F42+'CENTRAL SUPPLY'!F38+'CENTRAL SUPPLY'!F39+'CENTRAL SUPPLY'!F40+XRAY!F38+XRAY!F39+XRAY!F40+ULTRASOUND!F38+ULTRASOUND!F39+ULTRASOUND!F40+MRI!F39+MRI!F40+MRI!F41+MAMMOGRAPHY!F38+MAMMOGRAPHY!F39+MAMMOGRAPHY!F40+RESPIRATORY!F37+RESPIRATORY!F38+RESPIRATORY!F39+'PHYSICAL THERAPY'!F37+'PHYSICAL THERAPY'!F38+'PHYSICAL THERAPY'!F39+'EMERGENCY SERVICES'!F38+'EMERGENCY SERVICES'!F39+'EMERGENCY SERVICES'!F40+'ER PROFEE'!F38+'ER PROFEE'!F39+'ER PROFEE'!F40+MOB!F10+MOB!F11+MOB!F12+'LAUNDRY &amp; LINEN'!F10+'LAUNDRY &amp; LINEN'!F11+'LAUNDRY &amp; LINEN'!F12+HOUSEKEEPING!F10+HOUSEKEEPING!F11+HOUSEKEEPING!F12+'PLANT OP &amp; MAINTENANCE'!F10+'PLANT OP &amp; MAINTENANCE'!F11+'PLANT OP &amp; MAINTENANCE'!F12+SECURITY!F10+SECURITY!F11+SECURITY!F12+ADMITTING!F11+ADMITTING!F12+ADMITTING!F13+'BUSINESS OFFICE'!F11+'BUSINESS OFFICE'!F12+'BUSINESS OFFICE'!F13+'CREDIT &amp; COLLECTION'!F10+'CREDIT &amp; COLLECTION'!F11+'CREDIT &amp; COLLECTION'!F12+COMMUNICATIONS!F11+COMMUNICATIONS!F12+COMMUNICATIONS!F13+'NURSING ADMIN'!F10+'NURSING ADMIN'!F11+'NURSING ADMIN'!F12+'HOSPITAL ADMIN'!F10+'HOSPITAL ADMIN'!F11+'HOSPITAL ADMIN'!F12+MARKETING!F10+MARKETING!F11+MARKETING!F12+'GENERAL ACCOUNTING'!F10+'GENERAL ACCOUNTING'!F11+'GENERAL ACCOUNTING'!F12+'DATA PROCESSING'!F10+'DATA PROCESSING'!F11+'DATA PROCESSING'!F12+'HEALTH INFO MGMT'!F10+'HEALTH INFO MGMT'!F11+'HEALTH INFO MGMT'!F12+DIETARY!F10+DIETARY!F11+DIETARY!F12)</f>
        <v>437990.13371319079</v>
      </c>
      <c r="L19" s="153">
        <f>SUM('MED SURG'!G20+'MED SURG'!G21+'MED SURG'!G22+'SWING BED'!G20+'SWING BED'!G21+'SWING BED'!G22+ICU!G19+ICU!G20+ICU!G21+OBS!G28+OBS!G29+OR!G47+OR!G48+OR!G49+RECOVERY!G36+RECOVERY!G37+PHARMACY!G39+PHARMACY!G40+PHARMACY!G41+LAB!G38+LAB!G39+LAB!G42+'CENTRAL SUPPLY'!G38+'CENTRAL SUPPLY'!G39+'CENTRAL SUPPLY'!G40+XRAY!G38+XRAY!G39+XRAY!G40+ULTRASOUND!G38+ULTRASOUND!G39+ULTRASOUND!G40+MRI!G39+MRI!G40+MRI!G41+MAMMOGRAPHY!G38+MAMMOGRAPHY!G39+MAMMOGRAPHY!G40+RESPIRATORY!G37+RESPIRATORY!G38+RESPIRATORY!G39+'PHYSICAL THERAPY'!G37+'PHYSICAL THERAPY'!G38+'PHYSICAL THERAPY'!G39+'EMERGENCY SERVICES'!G38+'EMERGENCY SERVICES'!G39+'EMERGENCY SERVICES'!G40+'ER PROFEE'!G38+'ER PROFEE'!G39+'ER PROFEE'!G40+MOB!G10+MOB!G11+MOB!G12+'LAUNDRY &amp; LINEN'!G10+'LAUNDRY &amp; LINEN'!G11+'LAUNDRY &amp; LINEN'!G12+HOUSEKEEPING!G10+HOUSEKEEPING!G11+HOUSEKEEPING!G12+'PLANT OP &amp; MAINTENANCE'!G10+'PLANT OP &amp; MAINTENANCE'!G11+'PLANT OP &amp; MAINTENANCE'!G12+SECURITY!G10+SECURITY!G11+SECURITY!G12+ADMITTING!G11+ADMITTING!G12+ADMITTING!G13+'BUSINESS OFFICE'!G11+'BUSINESS OFFICE'!G12+'BUSINESS OFFICE'!G13+'CREDIT &amp; COLLECTION'!G10+'CREDIT &amp; COLLECTION'!G11+'CREDIT &amp; COLLECTION'!G12+COMMUNICATIONS!G11+COMMUNICATIONS!G12+COMMUNICATIONS!G13+'NURSING ADMIN'!G10+'NURSING ADMIN'!G11+'NURSING ADMIN'!G12+'HOSPITAL ADMIN'!G10+'HOSPITAL ADMIN'!G11+'HOSPITAL ADMIN'!G12+MARKETING!G10+MARKETING!G11+MARKETING!G12+'GENERAL ACCOUNTING'!G10+'GENERAL ACCOUNTING'!G11+'GENERAL ACCOUNTING'!G12+'DATA PROCESSING'!G10+'DATA PROCESSING'!G11+'DATA PROCESSING'!G12+'HEALTH INFO MGMT'!G10+'HEALTH INFO MGMT'!G11+'HEALTH INFO MGMT'!G12+DIETARY!G10+DIETARY!G11+DIETARY!G12)</f>
        <v>423861.41972244275</v>
      </c>
      <c r="M19" s="153">
        <f>SUM('MED SURG'!H20+'MED SURG'!H21+'MED SURG'!H22+'SWING BED'!H20+'SWING BED'!H21+'SWING BED'!H22+ICU!H19+ICU!H20+ICU!H21+OBS!H28+OBS!H29+OR!H47+OR!H48+OR!H49+RECOVERY!H36+RECOVERY!H37+PHARMACY!H39+PHARMACY!H40+PHARMACY!H41+LAB!H38+LAB!H39+LAB!H42+'CENTRAL SUPPLY'!H38+'CENTRAL SUPPLY'!H39+'CENTRAL SUPPLY'!H40+XRAY!H38+XRAY!H39+XRAY!H40+ULTRASOUND!H38+ULTRASOUND!H39+ULTRASOUND!H40+MRI!H39+MRI!H40+MRI!H41+MAMMOGRAPHY!H38+MAMMOGRAPHY!H39+MAMMOGRAPHY!H40+RESPIRATORY!H37+RESPIRATORY!H38+RESPIRATORY!H39+'PHYSICAL THERAPY'!H37+'PHYSICAL THERAPY'!H38+'PHYSICAL THERAPY'!H39+'EMERGENCY SERVICES'!H38+'EMERGENCY SERVICES'!H39+'EMERGENCY SERVICES'!H40+'ER PROFEE'!H38+'ER PROFEE'!H39+'ER PROFEE'!H40+MOB!H10+MOB!H11+MOB!H12+'LAUNDRY &amp; LINEN'!H10+'LAUNDRY &amp; LINEN'!H11+'LAUNDRY &amp; LINEN'!H12+HOUSEKEEPING!H10+HOUSEKEEPING!H11+HOUSEKEEPING!H12+'PLANT OP &amp; MAINTENANCE'!H10+'PLANT OP &amp; MAINTENANCE'!H11+'PLANT OP &amp; MAINTENANCE'!H12+SECURITY!H10+SECURITY!H11+SECURITY!H12+ADMITTING!H11+ADMITTING!H12+ADMITTING!H13+'BUSINESS OFFICE'!H11+'BUSINESS OFFICE'!H12+'BUSINESS OFFICE'!H13+'CREDIT &amp; COLLECTION'!H10+'CREDIT &amp; COLLECTION'!H11+'CREDIT &amp; COLLECTION'!H12+COMMUNICATIONS!H11+COMMUNICATIONS!H12+COMMUNICATIONS!H13+'NURSING ADMIN'!H10+'NURSING ADMIN'!H11+'NURSING ADMIN'!H12+'HOSPITAL ADMIN'!H10+'HOSPITAL ADMIN'!H11+'HOSPITAL ADMIN'!H12+MARKETING!H10+MARKETING!H11+MARKETING!H12+'GENERAL ACCOUNTING'!H10+'GENERAL ACCOUNTING'!H11+'GENERAL ACCOUNTING'!H12+'DATA PROCESSING'!H10+'DATA PROCESSING'!H11+'DATA PROCESSING'!H12+'HEALTH INFO MGMT'!H10+'HEALTH INFO MGMT'!H11+'HEALTH INFO MGMT'!H12+DIETARY!H10+DIETARY!H11+DIETARY!H12)</f>
        <v>437990.13371319079</v>
      </c>
      <c r="N19" s="153">
        <f>SUM('MED SURG'!I20+'MED SURG'!I21+'MED SURG'!I22+'SWING BED'!I20+'SWING BED'!I21+'SWING BED'!I22+ICU!I19+ICU!I20+ICU!I21+OBS!I28+OBS!I29+OR!I47+OR!I48+OR!I49+RECOVERY!I36+RECOVERY!I37+PHARMACY!I39+PHARMACY!I40+PHARMACY!I41+LAB!I38+LAB!I39+LAB!I42+'CENTRAL SUPPLY'!I38+'CENTRAL SUPPLY'!I39+'CENTRAL SUPPLY'!I40+XRAY!I38+XRAY!I39+XRAY!I40+ULTRASOUND!I38+ULTRASOUND!I39+ULTRASOUND!I40+MRI!I39+MRI!I40+MRI!I41+MAMMOGRAPHY!I38+MAMMOGRAPHY!I39+MAMMOGRAPHY!I40+RESPIRATORY!I37+RESPIRATORY!I38+RESPIRATORY!I39+'PHYSICAL THERAPY'!I37+'PHYSICAL THERAPY'!I38+'PHYSICAL THERAPY'!I39+'EMERGENCY SERVICES'!I38+'EMERGENCY SERVICES'!I39+'EMERGENCY SERVICES'!I40+'ER PROFEE'!I38+'ER PROFEE'!I39+'ER PROFEE'!I40+MOB!I10+MOB!I11+MOB!I12+'LAUNDRY &amp; LINEN'!I10+'LAUNDRY &amp; LINEN'!I11+'LAUNDRY &amp; LINEN'!I12+HOUSEKEEPING!I10+HOUSEKEEPING!I11+HOUSEKEEPING!I12+'PLANT OP &amp; MAINTENANCE'!I10+'PLANT OP &amp; MAINTENANCE'!I11+'PLANT OP &amp; MAINTENANCE'!I12+SECURITY!I10+SECURITY!I11+SECURITY!I12+ADMITTING!I11+ADMITTING!I12+ADMITTING!I13+'BUSINESS OFFICE'!I11+'BUSINESS OFFICE'!I12+'BUSINESS OFFICE'!I13+'CREDIT &amp; COLLECTION'!I10+'CREDIT &amp; COLLECTION'!I11+'CREDIT &amp; COLLECTION'!I12+COMMUNICATIONS!I11+COMMUNICATIONS!I12+COMMUNICATIONS!I13+'NURSING ADMIN'!I10+'NURSING ADMIN'!I11+'NURSING ADMIN'!I12+'HOSPITAL ADMIN'!I10+'HOSPITAL ADMIN'!I11+'HOSPITAL ADMIN'!I12+MARKETING!I10+MARKETING!I11+MARKETING!I12+'GENERAL ACCOUNTING'!I10+'GENERAL ACCOUNTING'!I11+'GENERAL ACCOUNTING'!I12+'DATA PROCESSING'!I10+'DATA PROCESSING'!I11+'DATA PROCESSING'!I12+'HEALTH INFO MGMT'!I10+'HEALTH INFO MGMT'!I11+'HEALTH INFO MGMT'!I12+DIETARY!I10+DIETARY!I11+DIETARY!I12)</f>
        <v>437990.13371319079</v>
      </c>
      <c r="O19" s="153">
        <f>SUM('MED SURG'!J20+'MED SURG'!J21+'MED SURG'!J22+'SWING BED'!J20+'SWING BED'!J21+'SWING BED'!J22+ICU!J19+ICU!J20+ICU!J21+OBS!J28+OBS!J29+OR!J47+OR!J48+OR!J49+RECOVERY!J36+RECOVERY!J37+PHARMACY!J39+PHARMACY!J40+PHARMACY!J41+LAB!J38+LAB!J39+LAB!J42+'CENTRAL SUPPLY'!J38+'CENTRAL SUPPLY'!J39+'CENTRAL SUPPLY'!J40+XRAY!J38+XRAY!J39+XRAY!J40+ULTRASOUND!J38+ULTRASOUND!J39+ULTRASOUND!J40+MRI!J39+MRI!J40+MRI!J41+MAMMOGRAPHY!J38+MAMMOGRAPHY!J39+MAMMOGRAPHY!J40+RESPIRATORY!J37+RESPIRATORY!J38+RESPIRATORY!J39+'PHYSICAL THERAPY'!J37+'PHYSICAL THERAPY'!J38+'PHYSICAL THERAPY'!J39+'EMERGENCY SERVICES'!J38+'EMERGENCY SERVICES'!J39+'EMERGENCY SERVICES'!J40+'ER PROFEE'!J38+'ER PROFEE'!J39+'ER PROFEE'!J40+MOB!J10+MOB!J11+MOB!J12+'LAUNDRY &amp; LINEN'!J10+'LAUNDRY &amp; LINEN'!J11+'LAUNDRY &amp; LINEN'!J12+HOUSEKEEPING!J10+HOUSEKEEPING!J11+HOUSEKEEPING!J12+'PLANT OP &amp; MAINTENANCE'!J10+'PLANT OP &amp; MAINTENANCE'!J11+'PLANT OP &amp; MAINTENANCE'!J12+SECURITY!J10+SECURITY!J11+SECURITY!J12+ADMITTING!J11+ADMITTING!J12+ADMITTING!J13+'BUSINESS OFFICE'!J11+'BUSINESS OFFICE'!J12+'BUSINESS OFFICE'!J13+'CREDIT &amp; COLLECTION'!J10+'CREDIT &amp; COLLECTION'!J11+'CREDIT &amp; COLLECTION'!J12+COMMUNICATIONS!J11+COMMUNICATIONS!J12+COMMUNICATIONS!J13+'NURSING ADMIN'!J10+'NURSING ADMIN'!J11+'NURSING ADMIN'!J12+'HOSPITAL ADMIN'!J10+'HOSPITAL ADMIN'!J11+'HOSPITAL ADMIN'!J12+MARKETING!J10+MARKETING!J11+MARKETING!J12+'GENERAL ACCOUNTING'!J10+'GENERAL ACCOUNTING'!J11+'GENERAL ACCOUNTING'!J12+'DATA PROCESSING'!J10+'DATA PROCESSING'!J11+'DATA PROCESSING'!J12+'HEALTH INFO MGMT'!J10+'HEALTH INFO MGMT'!J11+'HEALTH INFO MGMT'!J12+DIETARY!J10+DIETARY!J11+DIETARY!J12)</f>
        <v>395603.9917409466</v>
      </c>
      <c r="P19" s="153">
        <f>SUM('MED SURG'!K20+'MED SURG'!K21+'MED SURG'!K22+'SWING BED'!K20+'SWING BED'!K21+'SWING BED'!K22+ICU!K19+ICU!K20+ICU!K21+OBS!K28+OBS!K29+OR!K47+OR!K48+OR!K49+RECOVERY!K36+RECOVERY!K37+PHARMACY!K39+PHARMACY!K40+PHARMACY!K41+LAB!K38+LAB!K39+LAB!K42+'CENTRAL SUPPLY'!K38+'CENTRAL SUPPLY'!K39+'CENTRAL SUPPLY'!K40+XRAY!K38+XRAY!K39+XRAY!K40+ULTRASOUND!K38+ULTRASOUND!K39+ULTRASOUND!K40+MRI!K39+MRI!K40+MRI!K41+MAMMOGRAPHY!K38+MAMMOGRAPHY!K39+MAMMOGRAPHY!K40+RESPIRATORY!K37+RESPIRATORY!K38+RESPIRATORY!K39+'PHYSICAL THERAPY'!K37+'PHYSICAL THERAPY'!K38+'PHYSICAL THERAPY'!K39+'EMERGENCY SERVICES'!K38+'EMERGENCY SERVICES'!K39+'EMERGENCY SERVICES'!K40+'ER PROFEE'!K38+'ER PROFEE'!K39+'ER PROFEE'!K40+MOB!K10+MOB!K11+MOB!K12+'LAUNDRY &amp; LINEN'!K10+'LAUNDRY &amp; LINEN'!K11+'LAUNDRY &amp; LINEN'!K12+HOUSEKEEPING!K10+HOUSEKEEPING!K11+HOUSEKEEPING!K12+'PLANT OP &amp; MAINTENANCE'!K10+'PLANT OP &amp; MAINTENANCE'!K11+'PLANT OP &amp; MAINTENANCE'!K12+SECURITY!K10+SECURITY!K11+SECURITY!K12+ADMITTING!K11+ADMITTING!K12+ADMITTING!K13+'BUSINESS OFFICE'!K11+'BUSINESS OFFICE'!K12+'BUSINESS OFFICE'!K13+'CREDIT &amp; COLLECTION'!K10+'CREDIT &amp; COLLECTION'!K11+'CREDIT &amp; COLLECTION'!K12+COMMUNICATIONS!K11+COMMUNICATIONS!K12+COMMUNICATIONS!K13+'NURSING ADMIN'!K10+'NURSING ADMIN'!K11+'NURSING ADMIN'!K12+'HOSPITAL ADMIN'!K10+'HOSPITAL ADMIN'!K11+'HOSPITAL ADMIN'!K12+MARKETING!K10+MARKETING!K11+MARKETING!K12+'GENERAL ACCOUNTING'!K10+'GENERAL ACCOUNTING'!K11+'GENERAL ACCOUNTING'!K12+'DATA PROCESSING'!K10+'DATA PROCESSING'!K11+'DATA PROCESSING'!K12+'HEALTH INFO MGMT'!K10+'HEALTH INFO MGMT'!K11+'HEALTH INFO MGMT'!K12+DIETARY!K10+DIETARY!K11+DIETARY!K12)</f>
        <v>437990.13371319079</v>
      </c>
      <c r="Q19" s="153">
        <f>SUM('MED SURG'!L20+'MED SURG'!L21+'MED SURG'!L22+'SWING BED'!L20+'SWING BED'!L21+'SWING BED'!L22+ICU!L19+ICU!L20+ICU!L21+OBS!L28+OBS!L29+OR!L47+OR!L48+OR!L49+RECOVERY!L36+RECOVERY!L37+PHARMACY!L39+PHARMACY!L40+PHARMACY!L41+LAB!L38+LAB!L39+LAB!L42+'CENTRAL SUPPLY'!L38+'CENTRAL SUPPLY'!L39+'CENTRAL SUPPLY'!L40+XRAY!L38+XRAY!L39+XRAY!L40+ULTRASOUND!L38+ULTRASOUND!L39+ULTRASOUND!L40+MRI!L39+MRI!L40+MRI!L41+MAMMOGRAPHY!L38+MAMMOGRAPHY!L39+MAMMOGRAPHY!L40+RESPIRATORY!L37+RESPIRATORY!L38+RESPIRATORY!L39+'PHYSICAL THERAPY'!L37+'PHYSICAL THERAPY'!L38+'PHYSICAL THERAPY'!L39+'EMERGENCY SERVICES'!L38+'EMERGENCY SERVICES'!L39+'EMERGENCY SERVICES'!L40+'ER PROFEE'!L38+'ER PROFEE'!L39+'ER PROFEE'!L40+MOB!L10+MOB!L11+MOB!L12+'LAUNDRY &amp; LINEN'!L10+'LAUNDRY &amp; LINEN'!L11+'LAUNDRY &amp; LINEN'!L12+HOUSEKEEPING!L10+HOUSEKEEPING!L11+HOUSEKEEPING!L12+'PLANT OP &amp; MAINTENANCE'!L10+'PLANT OP &amp; MAINTENANCE'!L11+'PLANT OP &amp; MAINTENANCE'!L12+SECURITY!L10+SECURITY!L11+SECURITY!L12+ADMITTING!L11+ADMITTING!L12+ADMITTING!L13+'BUSINESS OFFICE'!L11+'BUSINESS OFFICE'!L12+'BUSINESS OFFICE'!L13+'CREDIT &amp; COLLECTION'!L10+'CREDIT &amp; COLLECTION'!L11+'CREDIT &amp; COLLECTION'!L12+COMMUNICATIONS!L11+COMMUNICATIONS!L12+COMMUNICATIONS!L13+'NURSING ADMIN'!L10+'NURSING ADMIN'!L11+'NURSING ADMIN'!L12+'HOSPITAL ADMIN'!L10+'HOSPITAL ADMIN'!L11+'HOSPITAL ADMIN'!L12+MARKETING!L10+MARKETING!L11+MARKETING!L12+'GENERAL ACCOUNTING'!L10+'GENERAL ACCOUNTING'!L11+'GENERAL ACCOUNTING'!L12+'DATA PROCESSING'!L10+'DATA PROCESSING'!L11+'DATA PROCESSING'!L12+'HEALTH INFO MGMT'!L10+'HEALTH INFO MGMT'!L11+'HEALTH INFO MGMT'!L12+DIETARY!L10+DIETARY!L11+DIETARY!L12)</f>
        <v>423861.41972244275</v>
      </c>
      <c r="R19" s="153">
        <f>SUM('MED SURG'!M20+'MED SURG'!M21+'MED SURG'!M22+'SWING BED'!M20+'SWING BED'!M21+'SWING BED'!M22+ICU!M19+ICU!M20+ICU!M21+OBS!M28+OBS!M29+OR!M47+OR!M48+OR!M49+RECOVERY!M36+RECOVERY!M37+PHARMACY!M39+PHARMACY!M40+PHARMACY!M41+LAB!M38+LAB!M39+LAB!M42+'CENTRAL SUPPLY'!M38+'CENTRAL SUPPLY'!M39+'CENTRAL SUPPLY'!M40+XRAY!M38+XRAY!M39+XRAY!M40+ULTRASOUND!M38+ULTRASOUND!M39+ULTRASOUND!M40+MRI!M39+MRI!M40+MRI!M41+MAMMOGRAPHY!M38+MAMMOGRAPHY!M39+MAMMOGRAPHY!M40+RESPIRATORY!M37+RESPIRATORY!M38+RESPIRATORY!M39+'PHYSICAL THERAPY'!M37+'PHYSICAL THERAPY'!M38+'PHYSICAL THERAPY'!M39+'EMERGENCY SERVICES'!M38+'EMERGENCY SERVICES'!M39+'EMERGENCY SERVICES'!M40+'ER PROFEE'!M38+'ER PROFEE'!M39+'ER PROFEE'!M40+MOB!M10+MOB!M11+MOB!M12+'LAUNDRY &amp; LINEN'!M10+'LAUNDRY &amp; LINEN'!M11+'LAUNDRY &amp; LINEN'!M12+HOUSEKEEPING!M10+HOUSEKEEPING!M11+HOUSEKEEPING!M12+'PLANT OP &amp; MAINTENANCE'!M10+'PLANT OP &amp; MAINTENANCE'!M11+'PLANT OP &amp; MAINTENANCE'!M12+SECURITY!M10+SECURITY!M11+SECURITY!M12+ADMITTING!M11+ADMITTING!M12+ADMITTING!M13+'BUSINESS OFFICE'!M11+'BUSINESS OFFICE'!M12+'BUSINESS OFFICE'!M13+'CREDIT &amp; COLLECTION'!M10+'CREDIT &amp; COLLECTION'!M11+'CREDIT &amp; COLLECTION'!M12+COMMUNICATIONS!M11+COMMUNICATIONS!M12+COMMUNICATIONS!M13+'NURSING ADMIN'!M10+'NURSING ADMIN'!M11+'NURSING ADMIN'!M12+'HOSPITAL ADMIN'!M10+'HOSPITAL ADMIN'!M11+'HOSPITAL ADMIN'!M12+MARKETING!M10+MARKETING!M11+MARKETING!M12+'GENERAL ACCOUNTING'!M10+'GENERAL ACCOUNTING'!M11+'GENERAL ACCOUNTING'!M12+'DATA PROCESSING'!M10+'DATA PROCESSING'!M11+'DATA PROCESSING'!M12+'HEALTH INFO MGMT'!M10+'HEALTH INFO MGMT'!M11+'HEALTH INFO MGMT'!M12+DIETARY!M10+DIETARY!M11+DIETARY!M12)</f>
        <v>437990.13371319079</v>
      </c>
      <c r="S19" s="153">
        <f>SUM('MED SURG'!N20+'MED SURG'!N21+'MED SURG'!N22+'SWING BED'!N20+'SWING BED'!N21+'SWING BED'!N22+ICU!N19+ICU!N20+ICU!N21+OBS!N28+OBS!N29+OR!N47+OR!N48+OR!N49+RECOVERY!N36+RECOVERY!N37+PHARMACY!N39+PHARMACY!N40+PHARMACY!N41+LAB!N38+LAB!N39+LAB!N42+'CENTRAL SUPPLY'!N38+'CENTRAL SUPPLY'!N39+'CENTRAL SUPPLY'!N40+XRAY!N38+XRAY!N39+XRAY!N40+ULTRASOUND!N38+ULTRASOUND!N39+ULTRASOUND!N40+MRI!N39+MRI!N40+MRI!N41+MAMMOGRAPHY!N38+MAMMOGRAPHY!N39+MAMMOGRAPHY!N40+RESPIRATORY!N37+RESPIRATORY!N38+RESPIRATORY!N39+'PHYSICAL THERAPY'!N37+'PHYSICAL THERAPY'!N38+'PHYSICAL THERAPY'!N39+'EMERGENCY SERVICES'!N38+'EMERGENCY SERVICES'!N39+'EMERGENCY SERVICES'!N40+'ER PROFEE'!N38+'ER PROFEE'!N39+'ER PROFEE'!N40+MOB!N10+MOB!N11+MOB!N12+'LAUNDRY &amp; LINEN'!N10+'LAUNDRY &amp; LINEN'!N11+'LAUNDRY &amp; LINEN'!N12+HOUSEKEEPING!N10+HOUSEKEEPING!N11+HOUSEKEEPING!N12+'PLANT OP &amp; MAINTENANCE'!N10+'PLANT OP &amp; MAINTENANCE'!N11+'PLANT OP &amp; MAINTENANCE'!N12+SECURITY!N10+SECURITY!N11+SECURITY!N12+ADMITTING!N11+ADMITTING!N12+ADMITTING!N13+'BUSINESS OFFICE'!N11+'BUSINESS OFFICE'!N12+'BUSINESS OFFICE'!N13+'CREDIT &amp; COLLECTION'!N10+'CREDIT &amp; COLLECTION'!N11+'CREDIT &amp; COLLECTION'!N12+COMMUNICATIONS!N11+COMMUNICATIONS!N12+COMMUNICATIONS!N13+'NURSING ADMIN'!N10+'NURSING ADMIN'!N11+'NURSING ADMIN'!N12+'HOSPITAL ADMIN'!N10+'HOSPITAL ADMIN'!N11+'HOSPITAL ADMIN'!N12+MARKETING!N10+MARKETING!N11+MARKETING!N12+'GENERAL ACCOUNTING'!N10+'GENERAL ACCOUNTING'!N11+'GENERAL ACCOUNTING'!N12+'DATA PROCESSING'!N10+'DATA PROCESSING'!N11+'DATA PROCESSING'!N12+'HEALTH INFO MGMT'!N10+'HEALTH INFO MGMT'!N11+'HEALTH INFO MGMT'!N12+DIETARY!N10+DIETARY!N11+DIETARY!N12)</f>
        <v>423861.41972244275</v>
      </c>
      <c r="T19" s="153">
        <f>SUM('MED SURG'!O20+'MED SURG'!O21+'MED SURG'!O22+'SWING BED'!O20+'SWING BED'!O21+'SWING BED'!O22+ICU!O19+ICU!O20+ICU!O21+OBS!O28+OBS!O29+OR!O47+OR!O48+OR!O49+RECOVERY!O36+RECOVERY!O37+PHARMACY!O39+PHARMACY!O40+PHARMACY!O41+LAB!O38+LAB!O39+LAB!O42+'CENTRAL SUPPLY'!O38+'CENTRAL SUPPLY'!O39+'CENTRAL SUPPLY'!O40+XRAY!O38+XRAY!O39+XRAY!O40+ULTRASOUND!O38+ULTRASOUND!O39+ULTRASOUND!O40+MRI!O39+MRI!O40+MRI!O41+MAMMOGRAPHY!O38+MAMMOGRAPHY!O39+MAMMOGRAPHY!O40+RESPIRATORY!O37+RESPIRATORY!O38+RESPIRATORY!O39+'PHYSICAL THERAPY'!O37+'PHYSICAL THERAPY'!O38+'PHYSICAL THERAPY'!O39+'EMERGENCY SERVICES'!O38+'EMERGENCY SERVICES'!O39+'EMERGENCY SERVICES'!O40+'ER PROFEE'!O38+'ER PROFEE'!O39+'ER PROFEE'!O40+MOB!O10+MOB!O11+MOB!O12+'LAUNDRY &amp; LINEN'!O10+'LAUNDRY &amp; LINEN'!O11+'LAUNDRY &amp; LINEN'!O12+HOUSEKEEPING!O10+HOUSEKEEPING!O11+HOUSEKEEPING!O12+'PLANT OP &amp; MAINTENANCE'!O10+'PLANT OP &amp; MAINTENANCE'!O11+'PLANT OP &amp; MAINTENANCE'!O12+SECURITY!O10+SECURITY!O11+SECURITY!O12+ADMITTING!O11+ADMITTING!O12+ADMITTING!O13+'BUSINESS OFFICE'!O11+'BUSINESS OFFICE'!O12+'BUSINESS OFFICE'!O13+'CREDIT &amp; COLLECTION'!O10+'CREDIT &amp; COLLECTION'!O11+'CREDIT &amp; COLLECTION'!O12+COMMUNICATIONS!O11+COMMUNICATIONS!O12+COMMUNICATIONS!O13+'NURSING ADMIN'!O10+'NURSING ADMIN'!O11+'NURSING ADMIN'!O12+'HOSPITAL ADMIN'!O10+'HOSPITAL ADMIN'!O11+'HOSPITAL ADMIN'!O12+MARKETING!O10+MARKETING!O11+MARKETING!O12+'GENERAL ACCOUNTING'!O10+'GENERAL ACCOUNTING'!O11+'GENERAL ACCOUNTING'!O12+'DATA PROCESSING'!O10+'DATA PROCESSING'!O11+'DATA PROCESSING'!O12+'HEALTH INFO MGMT'!O10+'HEALTH INFO MGMT'!O11+'HEALTH INFO MGMT'!O12+DIETARY!O10+DIETARY!O11+DIETARY!O12)</f>
        <v>437990.13371319079</v>
      </c>
      <c r="U19" s="153">
        <f>SUM('MED SURG'!P20+'MED SURG'!P21+'MED SURG'!P22+'SWING BED'!P20+'SWING BED'!P21+'SWING BED'!P22+ICU!P19+ICU!P20+ICU!P21+OBS!P28+OBS!P29+OR!P47+OR!P48+OR!P49+RECOVERY!P36+RECOVERY!P37+PHARMACY!P39+PHARMACY!P40+PHARMACY!P41+LAB!P38+LAB!P39+LAB!P42+'CENTRAL SUPPLY'!P38+'CENTRAL SUPPLY'!P39+'CENTRAL SUPPLY'!P40+XRAY!P38+XRAY!P39+XRAY!P40+ULTRASOUND!P38+ULTRASOUND!P39+ULTRASOUND!P40+MRI!P39+MRI!P40+MRI!P41+MAMMOGRAPHY!P38+MAMMOGRAPHY!P39+MAMMOGRAPHY!P40+RESPIRATORY!P37+RESPIRATORY!P38+RESPIRATORY!P39+'PHYSICAL THERAPY'!P37+'PHYSICAL THERAPY'!P38+'PHYSICAL THERAPY'!P39+'EMERGENCY SERVICES'!P38+'EMERGENCY SERVICES'!P39+'EMERGENCY SERVICES'!P40+'ER PROFEE'!P38+'ER PROFEE'!P39+'ER PROFEE'!P40+MOB!P10+MOB!P11+MOB!P12+'LAUNDRY &amp; LINEN'!P10+'LAUNDRY &amp; LINEN'!P11+'LAUNDRY &amp; LINEN'!P12+HOUSEKEEPING!P10+HOUSEKEEPING!P11+HOUSEKEEPING!P12+'PLANT OP &amp; MAINTENANCE'!P10+'PLANT OP &amp; MAINTENANCE'!P11+'PLANT OP &amp; MAINTENANCE'!P12+SECURITY!P10+SECURITY!P11+SECURITY!P12+ADMITTING!P11+ADMITTING!P12+ADMITTING!P13+'BUSINESS OFFICE'!P11+'BUSINESS OFFICE'!P12+'BUSINESS OFFICE'!P13+'CREDIT &amp; COLLECTION'!P10+'CREDIT &amp; COLLECTION'!P11+'CREDIT &amp; COLLECTION'!P12+COMMUNICATIONS!P11+COMMUNICATIONS!P12+COMMUNICATIONS!P13+'NURSING ADMIN'!P10+'NURSING ADMIN'!P11+'NURSING ADMIN'!P12+'HOSPITAL ADMIN'!P10+'HOSPITAL ADMIN'!P11+'HOSPITAL ADMIN'!P12+MARKETING!P10+MARKETING!P11+MARKETING!P12+'GENERAL ACCOUNTING'!P10+'GENERAL ACCOUNTING'!P11+'GENERAL ACCOUNTING'!P12+'DATA PROCESSING'!P10+'DATA PROCESSING'!P11+'DATA PROCESSING'!P12+'HEALTH INFO MGMT'!P10+'HEALTH INFO MGMT'!P11+'HEALTH INFO MGMT'!P12+DIETARY!P10+DIETARY!P11+DIETARY!P12)</f>
        <v>437990.13371319079</v>
      </c>
      <c r="V19" s="153">
        <f>SUM('MED SURG'!Q20+'MED SURG'!Q21+'MED SURG'!Q22+'SWING BED'!Q20+'SWING BED'!Q21+'SWING BED'!Q22+ICU!Q19+ICU!Q20+ICU!Q21+OBS!Q28+OBS!Q29+OR!Q47+OR!Q48+OR!Q49+RECOVERY!Q36+RECOVERY!Q37+PHARMACY!Q39+PHARMACY!Q40+PHARMACY!Q41+LAB!Q38+LAB!Q39+LAB!Q42+'CENTRAL SUPPLY'!Q38+'CENTRAL SUPPLY'!Q39+'CENTRAL SUPPLY'!Q40+XRAY!Q38+XRAY!Q39+XRAY!Q40+ULTRASOUND!Q38+ULTRASOUND!Q39+ULTRASOUND!Q40+MRI!Q39+MRI!Q40+MRI!Q41+MAMMOGRAPHY!Q38+MAMMOGRAPHY!Q39+MAMMOGRAPHY!Q40+RESPIRATORY!Q37+RESPIRATORY!Q38+RESPIRATORY!Q39+'PHYSICAL THERAPY'!Q37+'PHYSICAL THERAPY'!Q38+'PHYSICAL THERAPY'!Q39+'EMERGENCY SERVICES'!Q38+'EMERGENCY SERVICES'!Q39+'EMERGENCY SERVICES'!Q40+'ER PROFEE'!Q38+'ER PROFEE'!Q39+'ER PROFEE'!Q40+MOB!Q10+MOB!Q11+MOB!Q12+'LAUNDRY &amp; LINEN'!Q10+'LAUNDRY &amp; LINEN'!Q11+'LAUNDRY &amp; LINEN'!Q12+HOUSEKEEPING!Q10+HOUSEKEEPING!Q11+HOUSEKEEPING!Q12+'PLANT OP &amp; MAINTENANCE'!Q10+'PLANT OP &amp; MAINTENANCE'!Q11+'PLANT OP &amp; MAINTENANCE'!Q12+SECURITY!Q10+SECURITY!Q11+SECURITY!Q12+ADMITTING!Q11+ADMITTING!Q12+ADMITTING!Q13+'BUSINESS OFFICE'!Q11+'BUSINESS OFFICE'!Q12+'BUSINESS OFFICE'!Q13+'CREDIT &amp; COLLECTION'!Q10+'CREDIT &amp; COLLECTION'!Q11+'CREDIT &amp; COLLECTION'!Q12+COMMUNICATIONS!Q11+COMMUNICATIONS!Q12+COMMUNICATIONS!Q13+'NURSING ADMIN'!Q10+'NURSING ADMIN'!Q11+'NURSING ADMIN'!Q12+'HOSPITAL ADMIN'!Q10+'HOSPITAL ADMIN'!Q11+'HOSPITAL ADMIN'!Q12+MARKETING!Q10+MARKETING!Q11+MARKETING!Q12+'GENERAL ACCOUNTING'!Q10+'GENERAL ACCOUNTING'!Q11+'GENERAL ACCOUNTING'!Q12+'DATA PROCESSING'!Q10+'DATA PROCESSING'!Q11+'DATA PROCESSING'!Q12+'HEALTH INFO MGMT'!Q10+'HEALTH INFO MGMT'!Q11+'HEALTH INFO MGMT'!Q12+DIETARY!Q10+DIETARY!Q11+DIETARY!Q12)</f>
        <v>423861.41972244275</v>
      </c>
      <c r="W19" s="154">
        <f t="shared" ref="W19:W34" si="8">SUM(K19:V19)</f>
        <v>5156980.6066230526</v>
      </c>
      <c r="X19" s="153">
        <f t="shared" ref="X19:X34" si="9">C19-W19</f>
        <v>0</v>
      </c>
      <c r="Y19" s="153"/>
      <c r="Z19" s="153"/>
      <c r="AA19" s="641">
        <v>4954592.2861952009</v>
      </c>
      <c r="AC19" s="153">
        <v>4614388.8284000009</v>
      </c>
      <c r="AD19" s="641"/>
      <c r="AE19" s="153"/>
      <c r="AF19" s="153">
        <v>4784315</v>
      </c>
      <c r="AG19" s="221">
        <v>5314486</v>
      </c>
      <c r="AH19" s="221">
        <v>5268552</v>
      </c>
      <c r="AI19" s="221">
        <v>4917810</v>
      </c>
      <c r="AJ19" s="153">
        <v>4740076</v>
      </c>
      <c r="AK19" s="237"/>
      <c r="AL19" s="237"/>
      <c r="AM19" s="237"/>
      <c r="AN19" s="237"/>
      <c r="AO19" s="237"/>
    </row>
    <row r="20" spans="1:41" s="248" customFormat="1" x14ac:dyDescent="0.2">
      <c r="A20" s="215"/>
      <c r="B20" s="237" t="s">
        <v>832</v>
      </c>
      <c r="C20" s="637">
        <f>'MED SURG'!C23+'MED SURG'!C24+'SWING BED'!C23+'SWING BED'!C24+ICU!C22+ICU!C23+OBS!C30+OBS!C31+OR!C50+RECOVERY!C38+PHARMACY!C42+LAB!C40+LAB!C41+'CENTRAL SUPPLY'!C41+XRAY!C41+ULTRASOUND!C41+MRI!C42+MAMMOGRAPHY!C41+RESPIRATORY!C40+RESPIRATORY!C41+'PHYSICAL THERAPY'!C40+'EMERGENCY SERVICES'!C41+'EMERGENCY SERVICES'!C42+'ER PROFEE'!C41+MOB!C13+MOB!C14+'LAUNDRY &amp; LINEN'!C13+'LAUNDRY &amp; LINEN'!C14+HOUSEKEEPING!C13+HOUSEKEEPING!C14+'PLANT OP &amp; MAINTENANCE'!C13+'PLANT OP &amp; MAINTENANCE'!C14+SECURITY!C13+SECURITY!C14+ADMITTING!C14+ADMITTING!C15+'BUSINESS OFFICE'!C14+'BUSINESS OFFICE'!C15+'CREDIT &amp; COLLECTION'!C13+'CREDIT &amp; COLLECTION'!C14+COMMUNICATIONS!C14+COMMUNICATIONS!C15+'NURSING ADMIN'!C13+'NURSING ADMIN'!C14+'HOSPITAL ADMIN'!C13+'HOSPITAL ADMIN'!C14+'HOSPITAL ADMIN'!C15+'HOSPITAL ADMIN'!C16+'HOSPITAL ADMIN'!C17+'HOSPITAL ADMIN'!C18+'HOSPITAL ADMIN'!C19+'HOSPITAL ADMIN'!C20+'HOSPITAL ADMIN'!C21+MARKETING!C13+MARKETING!C14+'GENERAL ACCOUNTING'!C13+'GENERAL ACCOUNTING'!C14+'DATA PROCESSING'!C13+'DATA PROCESSING'!C14+'HEALTH INFO MGMT'!C13+'HEALTH INFO MGMT'!C14+DIETARY!C13+DIETARY!C14+MRI!C42</f>
        <v>1035579.0164066635</v>
      </c>
      <c r="D20" s="289">
        <f t="shared" ref="D20:D36" si="10">C20/C$17</f>
        <v>8.5870826550222795E-2</v>
      </c>
      <c r="E20" s="288"/>
      <c r="F20" s="153">
        <v>846279</v>
      </c>
      <c r="G20" s="237">
        <v>6.486247883188298E-2</v>
      </c>
      <c r="H20" s="237"/>
      <c r="I20" s="153">
        <f>SUM(C20-F20)</f>
        <v>189300.01640666346</v>
      </c>
      <c r="J20" s="289">
        <f>SUM(I20/F20)</f>
        <v>0.223685116145696</v>
      </c>
      <c r="K20" s="153">
        <f>SUM('MED SURG'!F23+'MED SURG'!F24+'SWING BED'!F23+'SWING BED'!F24+ICU!F22+ICU!F23+OBS!F30+OBS!F31+OR!F50+RECOVERY!F38+PHARMACY!F42+LAB!F40+LAB!F41+'CENTRAL SUPPLY'!F41+XRAY!F41+MRI!F42+ULTRASOUND!F41+MAMMOGRAPHY!F41+RESPIRATORY!F40+RESPIRATORY!F41+'PHYSICAL THERAPY'!F40+'EMERGENCY SERVICES'!F41+'EMERGENCY SERVICES'!F42+'ER PROFEE'!F41+MOB!F13+MOB!F14+'LAUNDRY &amp; LINEN'!F13+'LAUNDRY &amp; LINEN'!F14+HOUSEKEEPING!F13+HOUSEKEEPING!F14+'PLANT OP &amp; MAINTENANCE'!F13+'PLANT OP &amp; MAINTENANCE'!F14+SECURITY!F13+SECURITY!F14+ADMITTING!F14+ADMITTING!F15+'BUSINESS OFFICE'!F14+'BUSINESS OFFICE'!F15+'CREDIT &amp; COLLECTION'!F13+'CREDIT &amp; COLLECTION'!F14+COMMUNICATIONS!F14+COMMUNICATIONS!F15+'NURSING ADMIN'!F13+'NURSING ADMIN'!F14+'HOSPITAL ADMIN'!F13+'HOSPITAL ADMIN'!F14+'HOSPITAL ADMIN'!F15+'HOSPITAL ADMIN'!F16+'HOSPITAL ADMIN'!F17+'HOSPITAL ADMIN'!F18+'HOSPITAL ADMIN'!F19+'HOSPITAL ADMIN'!F20+'HOSPITAL ADMIN'!F21+MARKETING!F13+MARKETING!F14+'GENERAL ACCOUNTING'!F13+'GENERAL ACCOUNTING'!F14+'DATA PROCESSING'!F13+'DATA PROCESSING'!F14+'HEALTH INFO MGMT'!F13+'HEALTH INFO MGMT'!F14+DIETARY!F13+DIETARY!F14)+MRI!F42</f>
        <v>85433.686584362658</v>
      </c>
      <c r="L20" s="153">
        <f>SUM('MED SURG'!G23+'MED SURG'!G24+'SWING BED'!G23+'SWING BED'!G24+ICU!G22+ICU!G23+OBS!G30+OBS!G31+OR!G50+RECOVERY!G38+PHARMACY!G42+LAB!G40+LAB!G41+'CENTRAL SUPPLY'!G41+XRAY!G41+MRI!G42+ULTRASOUND!G41+MAMMOGRAPHY!G41+RESPIRATORY!G40+RESPIRATORY!G41+'PHYSICAL THERAPY'!G40+'EMERGENCY SERVICES'!G41+'EMERGENCY SERVICES'!G42+'ER PROFEE'!G41+MOB!G13+MOB!G14+'LAUNDRY &amp; LINEN'!G13+'LAUNDRY &amp; LINEN'!G14+HOUSEKEEPING!G13+HOUSEKEEPING!G14+'PLANT OP &amp; MAINTENANCE'!G13+'PLANT OP &amp; MAINTENANCE'!G14+SECURITY!G13+SECURITY!G14+ADMITTING!G14+ADMITTING!G15+'BUSINESS OFFICE'!G14+'BUSINESS OFFICE'!G15+'CREDIT &amp; COLLECTION'!G13+'CREDIT &amp; COLLECTION'!G14+COMMUNICATIONS!G14+COMMUNICATIONS!G15+'NURSING ADMIN'!G13+'NURSING ADMIN'!G14+'HOSPITAL ADMIN'!G13+'HOSPITAL ADMIN'!G14+'HOSPITAL ADMIN'!G15+'HOSPITAL ADMIN'!G16+'HOSPITAL ADMIN'!G17+'HOSPITAL ADMIN'!G18+'HOSPITAL ADMIN'!G19+'HOSPITAL ADMIN'!G20+'HOSPITAL ADMIN'!G21+MARKETING!G13+MARKETING!G14+'GENERAL ACCOUNTING'!G13+'GENERAL ACCOUNTING'!G14+'DATA PROCESSING'!G13+'DATA PROCESSING'!G14+'HEALTH INFO MGMT'!G13+'HEALTH INFO MGMT'!G14+DIETARY!G13+DIETARY!G14)+MRI!G42</f>
        <v>82007.23198399003</v>
      </c>
      <c r="M20" s="153">
        <f>SUM('MED SURG'!H23+'MED SURG'!H24+'SWING BED'!H23+'SWING BED'!H24+ICU!H22+ICU!H23+OBS!H30+OBS!H31+OR!H50+RECOVERY!H38+PHARMACY!H42+LAB!H40+LAB!H41+'CENTRAL SUPPLY'!H41+XRAY!H41+MRI!H42+ULTRASOUND!H41+MAMMOGRAPHY!H41+RESPIRATORY!H40+RESPIRATORY!H41+'PHYSICAL THERAPY'!H40+'EMERGENCY SERVICES'!H41+'EMERGENCY SERVICES'!H42+'ER PROFEE'!H41+MOB!H13+MOB!H14+'LAUNDRY &amp; LINEN'!H13+'LAUNDRY &amp; LINEN'!H14+HOUSEKEEPING!H13+HOUSEKEEPING!H14+'PLANT OP &amp; MAINTENANCE'!H13+'PLANT OP &amp; MAINTENANCE'!H14+SECURITY!H13+SECURITY!H14+ADMITTING!H14+ADMITTING!H15+'BUSINESS OFFICE'!H14+'BUSINESS OFFICE'!H15+'CREDIT &amp; COLLECTION'!H13+'CREDIT &amp; COLLECTION'!H14+COMMUNICATIONS!H14+COMMUNICATIONS!H15+'NURSING ADMIN'!H13+'NURSING ADMIN'!H14+'HOSPITAL ADMIN'!H13+'HOSPITAL ADMIN'!H14+'HOSPITAL ADMIN'!H15+'HOSPITAL ADMIN'!H16+'HOSPITAL ADMIN'!H17+'HOSPITAL ADMIN'!H18+'HOSPITAL ADMIN'!H19+'HOSPITAL ADMIN'!H20+'HOSPITAL ADMIN'!H21+MARKETING!H13+MARKETING!H14+'GENERAL ACCOUNTING'!H13+'GENERAL ACCOUNTING'!H14+'DATA PROCESSING'!H13+'DATA PROCESSING'!H14+'HEALTH INFO MGMT'!H13+'HEALTH INFO MGMT'!H14+DIETARY!H13+DIETARY!H14)+MRI!H42</f>
        <v>81172.929858438161</v>
      </c>
      <c r="N20" s="153">
        <f>SUM('MED SURG'!I23+'MED SURG'!I24+'SWING BED'!I23+'SWING BED'!I24+ICU!I22+ICU!I23+OBS!I30+OBS!I31+OR!I50+RECOVERY!I38+PHARMACY!I42+LAB!I40+LAB!I41+'CENTRAL SUPPLY'!I41+XRAY!I41+MRI!I42+ULTRASOUND!I41+MAMMOGRAPHY!I41+RESPIRATORY!I40+RESPIRATORY!I41+'PHYSICAL THERAPY'!I40+'EMERGENCY SERVICES'!I41+'EMERGENCY SERVICES'!I42+'ER PROFEE'!I41+MOB!I13+MOB!I14+'LAUNDRY &amp; LINEN'!I13+'LAUNDRY &amp; LINEN'!I14+HOUSEKEEPING!I13+HOUSEKEEPING!I14+'PLANT OP &amp; MAINTENANCE'!I13+'PLANT OP &amp; MAINTENANCE'!I14+SECURITY!I13+SECURITY!I14+ADMITTING!I14+ADMITTING!I15+'BUSINESS OFFICE'!I14+'BUSINESS OFFICE'!I15+'CREDIT &amp; COLLECTION'!I13+'CREDIT &amp; COLLECTION'!I14+COMMUNICATIONS!I14+COMMUNICATIONS!I15+'NURSING ADMIN'!I13+'NURSING ADMIN'!I14+'HOSPITAL ADMIN'!I13+'HOSPITAL ADMIN'!I14+'HOSPITAL ADMIN'!I15+'HOSPITAL ADMIN'!I16+'HOSPITAL ADMIN'!I17+'HOSPITAL ADMIN'!I18+'HOSPITAL ADMIN'!I19+'HOSPITAL ADMIN'!I20+'HOSPITAL ADMIN'!I21+MARKETING!I13+MARKETING!I14+'GENERAL ACCOUNTING'!I13+'GENERAL ACCOUNTING'!I14+'DATA PROCESSING'!I13+'DATA PROCESSING'!I14+'HEALTH INFO MGMT'!I13+'HEALTH INFO MGMT'!I14+DIETARY!I13+DIETARY!I14)+MRI!I42</f>
        <v>86711.913602140034</v>
      </c>
      <c r="O20" s="153">
        <f>SUM('MED SURG'!J23+'MED SURG'!J24+'SWING BED'!J23+'SWING BED'!J24+ICU!J22+ICU!J23+OBS!J30+OBS!J31+OR!J50+RECOVERY!J38+PHARMACY!J42+LAB!J40+LAB!J41+'CENTRAL SUPPLY'!J41+XRAY!J41+MRI!J42+ULTRASOUND!J41+MAMMOGRAPHY!J41+RESPIRATORY!J40+RESPIRATORY!J41+'PHYSICAL THERAPY'!J40+'EMERGENCY SERVICES'!J41+'EMERGENCY SERVICES'!J42+'ER PROFEE'!J41+MOB!J13+MOB!J14+'LAUNDRY &amp; LINEN'!J13+'LAUNDRY &amp; LINEN'!J14+HOUSEKEEPING!J13+HOUSEKEEPING!J14+'PLANT OP &amp; MAINTENANCE'!J13+'PLANT OP &amp; MAINTENANCE'!J14+SECURITY!J13+SECURITY!J14+ADMITTING!J14+ADMITTING!J15+'BUSINESS OFFICE'!J14+'BUSINESS OFFICE'!J15+'CREDIT &amp; COLLECTION'!J13+'CREDIT &amp; COLLECTION'!J14+COMMUNICATIONS!J14+COMMUNICATIONS!J15+'NURSING ADMIN'!J13+'NURSING ADMIN'!J14+'HOSPITAL ADMIN'!J13+'HOSPITAL ADMIN'!J14+'HOSPITAL ADMIN'!J15+'HOSPITAL ADMIN'!J16+'HOSPITAL ADMIN'!J17+'HOSPITAL ADMIN'!J18+'HOSPITAL ADMIN'!J19+'HOSPITAL ADMIN'!J20+'HOSPITAL ADMIN'!J21+MARKETING!J13+MARKETING!J14+'GENERAL ACCOUNTING'!J13+'GENERAL ACCOUNTING'!J14+'DATA PROCESSING'!J13+'DATA PROCESSING'!J14+'HEALTH INFO MGMT'!J13+'HEALTH INFO MGMT'!J14+DIETARY!J13+DIETARY!J14)+MRI!J42</f>
        <v>84284.515767368735</v>
      </c>
      <c r="P20" s="153">
        <f>SUM('MED SURG'!K23+'MED SURG'!K24+'SWING BED'!K23+'SWING BED'!K24+ICU!K22+ICU!K23+OBS!K30+OBS!K31+OR!K50+RECOVERY!K38+PHARMACY!K42+LAB!K40+LAB!K41+'CENTRAL SUPPLY'!K41+XRAY!K41+MRI!K42+ULTRASOUND!K41+MAMMOGRAPHY!K41+RESPIRATORY!K40+RESPIRATORY!K41+'PHYSICAL THERAPY'!K40+'EMERGENCY SERVICES'!K41+'EMERGENCY SERVICES'!K42+'ER PROFEE'!K41+MOB!K13+MOB!K14+'LAUNDRY &amp; LINEN'!K13+'LAUNDRY &amp; LINEN'!K14+HOUSEKEEPING!K13+HOUSEKEEPING!K14+'PLANT OP &amp; MAINTENANCE'!K13+'PLANT OP &amp; MAINTENANCE'!K14+SECURITY!K13+SECURITY!K14+ADMITTING!K14+ADMITTING!K15+'BUSINESS OFFICE'!K14+'BUSINESS OFFICE'!K15+'CREDIT &amp; COLLECTION'!K13+'CREDIT &amp; COLLECTION'!K14+COMMUNICATIONS!K14+COMMUNICATIONS!K15+'NURSING ADMIN'!K13+'NURSING ADMIN'!K14+'HOSPITAL ADMIN'!K13+'HOSPITAL ADMIN'!K14+'HOSPITAL ADMIN'!K15+'HOSPITAL ADMIN'!K16+'HOSPITAL ADMIN'!K17+'HOSPITAL ADMIN'!K18+'HOSPITAL ADMIN'!K19+'HOSPITAL ADMIN'!K20+'HOSPITAL ADMIN'!K21+MARKETING!K13+MARKETING!K14+'GENERAL ACCOUNTING'!K13+'GENERAL ACCOUNTING'!K14+'DATA PROCESSING'!K13+'DATA PROCESSING'!K14+'HEALTH INFO MGMT'!K13+'HEALTH INFO MGMT'!K14+DIETARY!K13+DIETARY!K14)+MRI!K42</f>
        <v>92524.803135365612</v>
      </c>
      <c r="Q20" s="153">
        <f>SUM('MED SURG'!L23+'MED SURG'!L24+'SWING BED'!L23+'SWING BED'!L24+ICU!L22+ICU!L23+OBS!L30+OBS!L31+OR!L50+RECOVERY!L38+PHARMACY!L42+LAB!L40+LAB!L41+'CENTRAL SUPPLY'!L41+XRAY!L41+MRI!L42+ULTRASOUND!L41+MAMMOGRAPHY!L41+RESPIRATORY!L40+RESPIRATORY!L41+'PHYSICAL THERAPY'!L40+'EMERGENCY SERVICES'!L41+'EMERGENCY SERVICES'!L42+'ER PROFEE'!L41+MOB!L13+MOB!L14+'LAUNDRY &amp; LINEN'!L13+'LAUNDRY &amp; LINEN'!L14+HOUSEKEEPING!L13+HOUSEKEEPING!L14+'PLANT OP &amp; MAINTENANCE'!L13+'PLANT OP &amp; MAINTENANCE'!L14+SECURITY!L13+SECURITY!L14+ADMITTING!L14+ADMITTING!L15+'BUSINESS OFFICE'!L14+'BUSINESS OFFICE'!L15+'CREDIT &amp; COLLECTION'!L13+'CREDIT &amp; COLLECTION'!L14+COMMUNICATIONS!L14+COMMUNICATIONS!L15+'NURSING ADMIN'!L13+'NURSING ADMIN'!L14+'HOSPITAL ADMIN'!L13+'HOSPITAL ADMIN'!L14+'HOSPITAL ADMIN'!L15+'HOSPITAL ADMIN'!L16+'HOSPITAL ADMIN'!L17+'HOSPITAL ADMIN'!L18+'HOSPITAL ADMIN'!L19+'HOSPITAL ADMIN'!L20+'HOSPITAL ADMIN'!L21+MARKETING!L13+MARKETING!L14+'GENERAL ACCOUNTING'!L13+'GENERAL ACCOUNTING'!L14+'DATA PROCESSING'!L13+'DATA PROCESSING'!L14+'HEALTH INFO MGMT'!L13+'HEALTH INFO MGMT'!L14+DIETARY!L13+DIETARY!L14)+MRI!L42</f>
        <v>86967.970172030735</v>
      </c>
      <c r="R20" s="153">
        <f>SUM('MED SURG'!M23+'MED SURG'!M24+'SWING BED'!M23+'SWING BED'!M24+ICU!M22+ICU!M23+OBS!M30+OBS!M31+OR!M50+RECOVERY!M38+PHARMACY!M42+LAB!M40+LAB!M41+'CENTRAL SUPPLY'!M41+XRAY!M41+MRI!M42+ULTRASOUND!M41+MAMMOGRAPHY!M41+RESPIRATORY!M40+RESPIRATORY!M41+'PHYSICAL THERAPY'!M40+'EMERGENCY SERVICES'!M41+'EMERGENCY SERVICES'!M42+'ER PROFEE'!M41+MOB!M13+MOB!M14+'LAUNDRY &amp; LINEN'!M13+'LAUNDRY &amp; LINEN'!M14+HOUSEKEEPING!M13+HOUSEKEEPING!M14+'PLANT OP &amp; MAINTENANCE'!M13+'PLANT OP &amp; MAINTENANCE'!M14+SECURITY!M13+SECURITY!M14+ADMITTING!M14+ADMITTING!M15+'BUSINESS OFFICE'!M14+'BUSINESS OFFICE'!M15+'CREDIT &amp; COLLECTION'!M13+'CREDIT &amp; COLLECTION'!M14+COMMUNICATIONS!M14+COMMUNICATIONS!M15+'NURSING ADMIN'!M13+'NURSING ADMIN'!M14+'HOSPITAL ADMIN'!M13+'HOSPITAL ADMIN'!M14+'HOSPITAL ADMIN'!M15+'HOSPITAL ADMIN'!M16+'HOSPITAL ADMIN'!M17+'HOSPITAL ADMIN'!M18+'HOSPITAL ADMIN'!M19+'HOSPITAL ADMIN'!M20+'HOSPITAL ADMIN'!M21+MARKETING!M13+MARKETING!M14+'GENERAL ACCOUNTING'!M13+'GENERAL ACCOUNTING'!M14+'DATA PROCESSING'!M13+'DATA PROCESSING'!M14+'HEALTH INFO MGMT'!M13+'HEALTH INFO MGMT'!M14+DIETARY!M13+DIETARY!M14)+MRI!M42</f>
        <v>91337.87804742952</v>
      </c>
      <c r="S20" s="153">
        <f>SUM('MED SURG'!N23+'MED SURG'!N24+'SWING BED'!N23+'SWING BED'!N24+ICU!N22+ICU!N23+OBS!N30+OBS!N31+OR!N50+RECOVERY!N38+PHARMACY!N42+LAB!N40+LAB!N41+'CENTRAL SUPPLY'!N41+XRAY!N41+MRI!N42+ULTRASOUND!N41+MAMMOGRAPHY!N41+RESPIRATORY!N40+RESPIRATORY!N41+'PHYSICAL THERAPY'!N40+'EMERGENCY SERVICES'!N41+'EMERGENCY SERVICES'!N42+'ER PROFEE'!N41+MOB!N13+MOB!N14+'LAUNDRY &amp; LINEN'!N13+'LAUNDRY &amp; LINEN'!N14+HOUSEKEEPING!N13+HOUSEKEEPING!N14+'PLANT OP &amp; MAINTENANCE'!N13+'PLANT OP &amp; MAINTENANCE'!N14+SECURITY!N13+SECURITY!N14+ADMITTING!N14+ADMITTING!N15+'BUSINESS OFFICE'!N14+'BUSINESS OFFICE'!N15+'CREDIT &amp; COLLECTION'!N13+'CREDIT &amp; COLLECTION'!N14+COMMUNICATIONS!N14+COMMUNICATIONS!N15+'NURSING ADMIN'!N13+'NURSING ADMIN'!N14+'HOSPITAL ADMIN'!N13+'HOSPITAL ADMIN'!N14+'HOSPITAL ADMIN'!N15+'HOSPITAL ADMIN'!N16+'HOSPITAL ADMIN'!N17+'HOSPITAL ADMIN'!N18+'HOSPITAL ADMIN'!N19+'HOSPITAL ADMIN'!N20+'HOSPITAL ADMIN'!N21+MARKETING!N13+MARKETING!N14+'GENERAL ACCOUNTING'!N13+'GENERAL ACCOUNTING'!N14+'DATA PROCESSING'!N13+'DATA PROCESSING'!N14+'HEALTH INFO MGMT'!N13+'HEALTH INFO MGMT'!N14+DIETARY!N13+DIETARY!N14)+MRI!N42</f>
        <v>85324.535434888443</v>
      </c>
      <c r="T20" s="153">
        <f>SUM('MED SURG'!O23+'MED SURG'!O24+'SWING BED'!O23+'SWING BED'!O24+ICU!O22+ICU!O23+OBS!O30+OBS!O31+OR!O50+RECOVERY!O38+PHARMACY!O42+LAB!O40+LAB!O41+'CENTRAL SUPPLY'!O41+XRAY!O41+MRI!O42+ULTRASOUND!O41+MAMMOGRAPHY!O41+RESPIRATORY!O40+RESPIRATORY!O41+'PHYSICAL THERAPY'!O40+'EMERGENCY SERVICES'!O41+'EMERGENCY SERVICES'!O42+'ER PROFEE'!O41+MOB!O13+MOB!O14+'LAUNDRY &amp; LINEN'!O13+'LAUNDRY &amp; LINEN'!O14+HOUSEKEEPING!O13+HOUSEKEEPING!O14+'PLANT OP &amp; MAINTENANCE'!O13+'PLANT OP &amp; MAINTENANCE'!O14+SECURITY!O13+SECURITY!O14+ADMITTING!O14+ADMITTING!O15+'BUSINESS OFFICE'!O14+'BUSINESS OFFICE'!O15+'CREDIT &amp; COLLECTION'!O13+'CREDIT &amp; COLLECTION'!O14+COMMUNICATIONS!O14+COMMUNICATIONS!O15+'NURSING ADMIN'!O13+'NURSING ADMIN'!O14+'HOSPITAL ADMIN'!O13+'HOSPITAL ADMIN'!O14+'HOSPITAL ADMIN'!O15+'HOSPITAL ADMIN'!O16+'HOSPITAL ADMIN'!O17+'HOSPITAL ADMIN'!O18+'HOSPITAL ADMIN'!O19+'HOSPITAL ADMIN'!O20+'HOSPITAL ADMIN'!O21+MARKETING!O13+MARKETING!O14+'GENERAL ACCOUNTING'!O13+'GENERAL ACCOUNTING'!O14+'DATA PROCESSING'!O13+'DATA PROCESSING'!O14+'HEALTH INFO MGMT'!O13+'HEALTH INFO MGMT'!O14+DIETARY!O13+DIETARY!O14)+MRI!O42</f>
        <v>81325.0997415069</v>
      </c>
      <c r="U20" s="153">
        <f>SUM('MED SURG'!P23+'MED SURG'!P24+'SWING BED'!P23+'SWING BED'!P24+ICU!P22+ICU!P23+OBS!P30+OBS!P31+OR!P50+RECOVERY!P38+PHARMACY!P42+LAB!P40+LAB!P41+'CENTRAL SUPPLY'!P41+XRAY!P41+MRI!P42+ULTRASOUND!P41+MAMMOGRAPHY!P41+RESPIRATORY!P40+RESPIRATORY!P41+'PHYSICAL THERAPY'!P40+'EMERGENCY SERVICES'!P41+'EMERGENCY SERVICES'!P42+'ER PROFEE'!P41+MOB!P13+MOB!P14+'LAUNDRY &amp; LINEN'!P13+'LAUNDRY &amp; LINEN'!P14+HOUSEKEEPING!P13+HOUSEKEEPING!P14+'PLANT OP &amp; MAINTENANCE'!P13+'PLANT OP &amp; MAINTENANCE'!P14+SECURITY!P13+SECURITY!P14+ADMITTING!P14+ADMITTING!P15+'BUSINESS OFFICE'!P14+'BUSINESS OFFICE'!P15+'CREDIT &amp; COLLECTION'!P13+'CREDIT &amp; COLLECTION'!P14+COMMUNICATIONS!P14+COMMUNICATIONS!P15+'NURSING ADMIN'!P13+'NURSING ADMIN'!P14+'HOSPITAL ADMIN'!P13+'HOSPITAL ADMIN'!P14+'HOSPITAL ADMIN'!P15+'HOSPITAL ADMIN'!P16+'HOSPITAL ADMIN'!P17+'HOSPITAL ADMIN'!P18+'HOSPITAL ADMIN'!P19+'HOSPITAL ADMIN'!P20+'HOSPITAL ADMIN'!P21+MARKETING!P13+MARKETING!P14+'GENERAL ACCOUNTING'!P13+'GENERAL ACCOUNTING'!P14+'DATA PROCESSING'!P13+'DATA PROCESSING'!P14+'HEALTH INFO MGMT'!P13+'HEALTH INFO MGMT'!P14+DIETARY!P13+DIETARY!P14)+MRI!P42</f>
        <v>89237.933661080999</v>
      </c>
      <c r="V20" s="153">
        <f>SUM('MED SURG'!Q23+'MED SURG'!Q24+'SWING BED'!Q23+'SWING BED'!Q24+ICU!Q22+ICU!Q23+OBS!Q30+OBS!Q31+OR!Q50+RECOVERY!Q38+PHARMACY!Q42+LAB!Q40+LAB!Q41+'CENTRAL SUPPLY'!Q41+XRAY!Q41+MRI!Q42+ULTRASOUND!Q41+MAMMOGRAPHY!Q41+RESPIRATORY!Q40+RESPIRATORY!Q41+'PHYSICAL THERAPY'!Q40+'EMERGENCY SERVICES'!Q41+'EMERGENCY SERVICES'!Q42+'ER PROFEE'!Q41+MOB!Q13+MOB!Q14+'LAUNDRY &amp; LINEN'!Q13+'LAUNDRY &amp; LINEN'!Q14+HOUSEKEEPING!Q13+HOUSEKEEPING!Q14+'PLANT OP &amp; MAINTENANCE'!Q13+'PLANT OP &amp; MAINTENANCE'!Q14+SECURITY!Q13+SECURITY!Q14+ADMITTING!Q14+ADMITTING!Q15+'BUSINESS OFFICE'!Q14+'BUSINESS OFFICE'!Q15+'CREDIT &amp; COLLECTION'!Q13+'CREDIT &amp; COLLECTION'!Q14+COMMUNICATIONS!Q14+COMMUNICATIONS!Q15+'NURSING ADMIN'!Q13+'NURSING ADMIN'!Q14+'HOSPITAL ADMIN'!Q13+'HOSPITAL ADMIN'!Q14+'HOSPITAL ADMIN'!Q15+'HOSPITAL ADMIN'!Q16+'HOSPITAL ADMIN'!Q17+'HOSPITAL ADMIN'!Q18+'HOSPITAL ADMIN'!Q19+'HOSPITAL ADMIN'!Q20+'HOSPITAL ADMIN'!Q21+MARKETING!Q13+MARKETING!Q14+'GENERAL ACCOUNTING'!Q13+'GENERAL ACCOUNTING'!Q14+'DATA PROCESSING'!Q13+'DATA PROCESSING'!Q14+'HEALTH INFO MGMT'!Q13+'HEALTH INFO MGMT'!Q14+DIETARY!Q13+DIETARY!Q14)+MRI!Q42</f>
        <v>89250.518418061736</v>
      </c>
      <c r="W20" s="154">
        <f t="shared" si="8"/>
        <v>1035579.0164066636</v>
      </c>
      <c r="X20" s="153">
        <f t="shared" si="9"/>
        <v>0</v>
      </c>
      <c r="Y20" s="153"/>
      <c r="Z20" s="153"/>
      <c r="AA20" s="641">
        <v>875555.08339393279</v>
      </c>
      <c r="AC20" s="153">
        <v>972536.85039260006</v>
      </c>
      <c r="AD20" s="641"/>
      <c r="AE20" s="289"/>
      <c r="AF20" s="153">
        <v>858224</v>
      </c>
      <c r="AG20" s="221">
        <v>965847</v>
      </c>
      <c r="AH20" s="221">
        <v>963052</v>
      </c>
      <c r="AI20" s="221">
        <v>983844</v>
      </c>
      <c r="AJ20" s="153">
        <v>846279</v>
      </c>
      <c r="AK20" s="237"/>
      <c r="AL20" s="237"/>
      <c r="AM20" s="237"/>
      <c r="AN20" s="237"/>
      <c r="AO20" s="237"/>
    </row>
    <row r="21" spans="1:41" s="248" customFormat="1" x14ac:dyDescent="0.2">
      <c r="A21" s="215"/>
      <c r="B21" s="237" t="s">
        <v>833</v>
      </c>
      <c r="C21" s="637">
        <f>'MED SURG'!C29+'SWING BED'!C30+ICU!C29+ANESTHESIA!C38+PHARMACY!C51+'ER PROFEE'!C49+'PLANT OP &amp; MAINTENANCE'!C19+'DATA PROCESSING'!C18+'HEALTH INFO MGMT'!C18+DIETARY!C19</f>
        <v>243540</v>
      </c>
      <c r="D21" s="289">
        <f t="shared" si="10"/>
        <v>2.0194481315976089E-2</v>
      </c>
      <c r="E21" s="288"/>
      <c r="F21" s="153">
        <v>224474</v>
      </c>
      <c r="G21" s="237">
        <v>1.7204657179615824E-2</v>
      </c>
      <c r="H21" s="237"/>
      <c r="I21" s="153">
        <f t="shared" ref="I21:I33" si="11">SUM(C21-F21)</f>
        <v>19066</v>
      </c>
      <c r="J21" s="289">
        <f t="shared" ref="J21:J33" si="12">SUM(I21/F21)</f>
        <v>8.4936340066110103E-2</v>
      </c>
      <c r="K21" s="153">
        <f>SUM('MED SURG'!F29+'SWING BED'!F30+ICU!F29+ANESTHESIA!F38+PHARMACY!F51+'ER PROFEE'!F49+'PLANT OP &amp; MAINTENANCE'!F19+'DATA PROCESSING'!F18+'HEALTH INFO MGMT'!F18+DIETARY!F19)</f>
        <v>18468.443104385624</v>
      </c>
      <c r="L21" s="153">
        <f>SUM('MED SURG'!G29+'SWING BED'!G30+ICU!G29+ANESTHESIA!G38+PHARMACY!G51+'ER PROFEE'!G49+'PLANT OP &amp; MAINTENANCE'!G19+'DATA PROCESSING'!G18+'HEALTH INFO MGMT'!G18+DIETARY!G19)</f>
        <v>19955.646755197307</v>
      </c>
      <c r="M21" s="153">
        <f>SUM('MED SURG'!H29+'SWING BED'!H30+ICU!H29+ANESTHESIA!H38+PHARMACY!H51+'ER PROFEE'!H49+'PLANT OP &amp; MAINTENANCE'!H19+'DATA PROCESSING'!H18+'HEALTH INFO MGMT'!H18+DIETARY!H19)</f>
        <v>15801.2127255912</v>
      </c>
      <c r="N21" s="153">
        <f>SUM('MED SURG'!I29+'SWING BED'!I30+ICU!I29+ANESTHESIA!I38+PHARMACY!I51+'ER PROFEE'!I49+'PLANT OP &amp; MAINTENANCE'!I19+'DATA PROCESSING'!I18+'HEALTH INFO MGMT'!I18+DIETARY!I19)</f>
        <v>19103.036077910452</v>
      </c>
      <c r="O21" s="153">
        <f>SUM('MED SURG'!J29+'SWING BED'!J30+ICU!J29+ANESTHESIA!J38+PHARMACY!J51+'ER PROFEE'!J49+'PLANT OP &amp; MAINTENANCE'!J19+'DATA PROCESSING'!J18+'HEALTH INFO MGMT'!J18+DIETARY!J19)</f>
        <v>19507.469501215994</v>
      </c>
      <c r="P21" s="153">
        <f>SUM('MED SURG'!K29+'SWING BED'!K30+ICU!K29+ANESTHESIA!K38+PHARMACY!K51+'ER PROFEE'!K49+'PLANT OP &amp; MAINTENANCE'!K19+'DATA PROCESSING'!K18+'HEALTH INFO MGMT'!K18+DIETARY!K19)</f>
        <v>23135.199034326804</v>
      </c>
      <c r="Q21" s="153">
        <f>SUM('MED SURG'!L29+'SWING BED'!L30+ICU!L29+ANESTHESIA!L38+PHARMACY!L51+'ER PROFEE'!L49+'PLANT OP &amp; MAINTENANCE'!L19+'DATA PROCESSING'!L18+'HEALTH INFO MGMT'!L18+DIETARY!L19)</f>
        <v>17357.225913971291</v>
      </c>
      <c r="R21" s="153">
        <f>SUM('MED SURG'!M29+'SWING BED'!M30+ICU!M29+ANESTHESIA!M38+PHARMACY!M51+'ER PROFEE'!M49+'PLANT OP &amp; MAINTENANCE'!M19+'DATA PROCESSING'!M18+'HEALTH INFO MGMT'!M18+DIETARY!M19)</f>
        <v>23961.476371212309</v>
      </c>
      <c r="S21" s="153">
        <f>SUM('MED SURG'!N29+'SWING BED'!N30+ICU!N29+ANESTHESIA!N38+PHARMACY!N51+'ER PROFEE'!N49+'PLANT OP &amp; MAINTENANCE'!N19+'DATA PROCESSING'!N18+'HEALTH INFO MGMT'!N18+DIETARY!N19)</f>
        <v>22371.763525873459</v>
      </c>
      <c r="T21" s="153">
        <f>SUM('MED SURG'!O29+'SWING BED'!O30+ICU!O29+ANESTHESIA!O38+PHARMACY!O51+'ER PROFEE'!O49+'PLANT OP &amp; MAINTENANCE'!O19+'DATA PROCESSING'!O18+'HEALTH INFO MGMT'!O18+DIETARY!O19)</f>
        <v>19417.806001477478</v>
      </c>
      <c r="U21" s="153">
        <f>SUM('MED SURG'!P29+'SWING BED'!P30+ICU!P29+ANESTHESIA!P38+PHARMACY!P51+'ER PROFEE'!P49+'PLANT OP &amp; MAINTENANCE'!P19+'DATA PROCESSING'!P18+'HEALTH INFO MGMT'!P18+DIETARY!P19)</f>
        <v>26619.721642194356</v>
      </c>
      <c r="V21" s="153">
        <f>SUM('MED SURG'!Q29+'SWING BED'!Q30+ICU!Q29+ANESTHESIA!Q38+PHARMACY!Q51+'ER PROFEE'!Q49+'PLANT OP &amp; MAINTENANCE'!Q19+'DATA PROCESSING'!Q18+'HEALTH INFO MGMT'!Q18+DIETARY!Q19)</f>
        <v>17840.999346643726</v>
      </c>
      <c r="W21" s="154">
        <f>SUM(K21:V21)</f>
        <v>243539.99999999994</v>
      </c>
      <c r="X21" s="153">
        <f t="shared" si="9"/>
        <v>0</v>
      </c>
      <c r="Y21" s="153"/>
      <c r="Z21" s="153"/>
      <c r="AA21" s="641">
        <v>186818.75</v>
      </c>
      <c r="AC21" s="153">
        <v>176600</v>
      </c>
      <c r="AD21" s="641"/>
      <c r="AE21" s="153"/>
      <c r="AF21" s="153">
        <v>186645</v>
      </c>
      <c r="AG21" s="221">
        <v>190190</v>
      </c>
      <c r="AH21" s="221">
        <v>171045</v>
      </c>
      <c r="AI21" s="221">
        <v>199229</v>
      </c>
      <c r="AJ21" s="153">
        <v>224474</v>
      </c>
      <c r="AK21" s="237"/>
      <c r="AL21" s="237"/>
      <c r="AM21" s="237"/>
      <c r="AN21" s="237"/>
      <c r="AO21" s="237"/>
    </row>
    <row r="22" spans="1:41" s="248" customFormat="1" hidden="1" x14ac:dyDescent="0.2">
      <c r="A22" s="215"/>
      <c r="B22" s="237" t="s">
        <v>827</v>
      </c>
      <c r="C22" s="637"/>
      <c r="D22" s="289">
        <f t="shared" si="10"/>
        <v>0</v>
      </c>
      <c r="E22" s="288"/>
      <c r="F22" s="153">
        <v>1571554</v>
      </c>
      <c r="G22" s="237">
        <v>0.12045068831692742</v>
      </c>
      <c r="H22" s="237"/>
      <c r="I22" s="153">
        <f t="shared" si="11"/>
        <v>-1571554</v>
      </c>
      <c r="J22" s="289">
        <f t="shared" si="12"/>
        <v>-1</v>
      </c>
      <c r="K22" s="153"/>
      <c r="L22" s="153"/>
      <c r="M22" s="153"/>
      <c r="N22" s="153"/>
      <c r="O22" s="153"/>
      <c r="P22" s="153"/>
      <c r="Q22" s="153"/>
      <c r="R22" s="153"/>
      <c r="S22" s="153"/>
      <c r="T22" s="153"/>
      <c r="U22" s="153"/>
      <c r="V22" s="153"/>
      <c r="W22" s="154">
        <f t="shared" si="8"/>
        <v>0</v>
      </c>
      <c r="X22" s="153">
        <f t="shared" si="9"/>
        <v>0</v>
      </c>
      <c r="Y22" s="153"/>
      <c r="Z22" s="153"/>
      <c r="AA22" s="641"/>
      <c r="AC22" s="153"/>
      <c r="AD22" s="641"/>
      <c r="AE22" s="289"/>
      <c r="AF22" s="153"/>
      <c r="AG22" s="221"/>
      <c r="AH22" s="221"/>
      <c r="AI22" s="221"/>
      <c r="AJ22" s="153"/>
      <c r="AK22" s="237"/>
      <c r="AL22" s="237"/>
      <c r="AM22" s="237"/>
      <c r="AN22" s="237"/>
      <c r="AO22" s="237"/>
    </row>
    <row r="23" spans="1:41" s="248" customFormat="1" x14ac:dyDescent="0.2">
      <c r="A23" s="215"/>
      <c r="B23" s="237" t="s">
        <v>834</v>
      </c>
      <c r="C23" s="230">
        <f>'MED SURG'!C25+'MED SURG'!C26+'MED SURG'!C27+'MED SURG'!C28+'SWING BED'!C25+'SWING BED'!C26+'SWING BED'!C27+'SWING BED'!C28+ICU!C24+ICU!C25+ICU!C26+ICU!C27+ICU!C28+OBS!C32+OBS!C33+OBS!C34+OBS!C35+OR!C51+OR!C52+OR!C53+OR!C54+OR!C55+OR!C56+OR!C57+OR!C58+RECOVERY!C39+RECOVERY!C40+RECOVERY!C41+RECOVERY!C42+ANESTHESIA!C35+ANESTHESIA!C36+ANESTHESIA!C37+SURGIDAY!C35+SURGIDAY!C36+SURGIDAY!C37+SURGIDAY!C38+SURGIDAY!C39+ENDOSCOPY!C35+ENDOSCOPY!C36+ENDOSCOPY!C37+ENDOSCOPY!C38+'STERILE SUPPLY'!C35+'STERILE SUPPLY'!C36+'STERILE SUPPLY'!C37+'STERILE SUPPLY'!C38+PHARMACY!C43+PHARMACY!C44+PHARMACY!C45+PHARMACY!C46+PHARMACY!C47+PHARMACY!C48+PHARMACY!C49+PHARMACY!C50+'IV THERAPY'!C36+LAB!C43+LAB!C44+LAB!C45+LAB!C46+LAB!C47+LAB!C48+PATHOLOGY!C28+PATHOLOGY!C29+PATHOLOGY!C30+'BLOOD BANK'!C36+'BLOOD BANK'!C37+'BLOOD BANK'!C38+'CENTRAL SUPPLY'!C42+'CENTRAL SUPPLY'!C43+'CENTRAL SUPPLY'!C44+'CENTRAL SUPPLY'!C45+'CENTRAL SUPPLY'!C46+XRAY!C42+XRAY!C43+XRAY!C44+XRAY!C45+XRAY!C46+XRAY!C47+ULTRASOUND!C42+ULTRASOUND!C43+ULTRASOUND!C44+CT!C36+MRI!C43+MRI!C44+'NUCLEAR MEDICINE'!C36+MAMMOGRAPHY!C42+MAMMOGRAPHY!C43+MAMMOGRAPHY!C44+MAMMOGRAPHY!C45+MAMMOGRAPHY!C46+RESPIRATORY!C42+RESPIRATORY!C43+RESPIRATORY!C44+RESPIRATORY!C45+RESPIRATORY!C46+'PULMONARY LAB'!C35+'PHYSICAL THERAPY'!C41+'PHYSICAL THERAPY'!C42+'PHYSICAL THERAPY'!C43+'OCCUPATIONAL THERAPY'!C35+'SPEECH THERAPY'!C35+'WOUND CARE'!C35+'EMERGENCY SERVICES'!C43+'EMERGENCY SERVICES'!C44+'EMERGENCY SERVICES'!C45+'EMERGENCY SERVICES'!C46+'EMERGENCY SERVICES'!C47+MOB!C15+MOB!C16+MOB!C17+'LAUNDRY &amp; LINEN'!C15+'LAUNDRY &amp; LINEN'!C16+HOUSEKEEPING!C15+HOUSEKEEPING!C16+HOUSEKEEPING!C17+'PLANT OP &amp; MAINTENANCE'!C15+'PLANT OP &amp; MAINTENANCE'!C16+'PLANT OP &amp; MAINTENANCE'!C17+'PLANT OP &amp; MAINTENANCE'!C18+SECURITY!C15+SECURITY!C16+SECURITY!C17+ADMITTING!C16+ADMITTING!C17+ADMITTING!C18+'BUSINESS OFFICE'!C16+'BUSINESS OFFICE'!C17+'BUSINESS OFFICE'!C18+'CREDIT &amp; COLLECTION'!C17+'CREDIT &amp; COLLECTION'!C18+'CREDIT &amp; COLLECTION'!C19+COMMUNICATIONS!C16+COMMUNICATIONS!C17+'NURSING ADMIN'!C15+'NURSING ADMIN'!C16+'NURSING ADMIN'!C17+'HOSPITAL ADMIN'!C22+'HOSPITAL ADMIN'!C23+'HOSPITAL ADMIN'!C24+MARKETING!C15+MARKETING!C16+MARKETING!C17+'GENERAL ACCOUNTING'!C15+'GENERAL ACCOUNTING'!C16+'GENERAL ACCOUNTING'!C17+'DATA PROCESSING'!C15+'DATA PROCESSING'!C16+'DATA PROCESSING'!C17+'HEALTH INFO MGMT'!C15+'HEALTH INFO MGMT'!C16+'HEALTH INFO MGMT'!C17+DIETARY!C15+DIETARY!C16+DIETARY!C17+DIETARY!C18</f>
        <v>1088570</v>
      </c>
      <c r="D23" s="289">
        <f t="shared" si="10"/>
        <v>9.0264870354488339E-2</v>
      </c>
      <c r="E23" s="288"/>
      <c r="F23" s="153">
        <v>1514363</v>
      </c>
      <c r="G23" s="237">
        <v>0.11606732298838421</v>
      </c>
      <c r="H23" s="237"/>
      <c r="I23" s="153">
        <f t="shared" si="11"/>
        <v>-425793</v>
      </c>
      <c r="J23" s="289">
        <f t="shared" si="12"/>
        <v>-0.28116970633857274</v>
      </c>
      <c r="K23" s="153">
        <f>SUM('MED SURG'!F25+'MED SURG'!F26+'MED SURG'!F27+'MED SURG'!F28+'SWING BED'!F25+'SWING BED'!F26+'SWING BED'!F27+'SWING BED'!F28+ICU!F24+ICU!F25+ICU!F26+ICU!F27+ICU!F28+OBS!F32+OBS!F33+OBS!F34+OBS!F35+OR!F51+OR!F52+OR!F53+OR!F54+OR!F55+OR!F56+OR!F57+OR!F58+RECOVERY!F39+RECOVERY!F40+RECOVERY!F41+RECOVERY!F42+ANESTHESIA!F35+ANESTHESIA!F36+ANESTHESIA!F37+SURGIDAY!F35+SURGIDAY!F36+SURGIDAY!F37+SURGIDAY!F38+SURGIDAY!F39+ENDOSCOPY!F35+ENDOSCOPY!F36+ENDOSCOPY!F37+ENDOSCOPY!F38+'STERILE SUPPLY'!F35+'STERILE SUPPLY'!F36+'STERILE SUPPLY'!F37+'STERILE SUPPLY'!F38+PHARMACY!F43+PHARMACY!F44+PHARMACY!F45+PHARMACY!F46+PHARMACY!F47+PHARMACY!F48+PHARMACY!F49+PHARMACY!F50+'IV THERAPY'!F36+LAB!F43+LAB!F44+LAB!F45+LAB!F46+LAB!F47+LAB!F48+PATHOLOGY!F28+PATHOLOGY!F29+PATHOLOGY!F30+'BLOOD BANK'!F36+'BLOOD BANK'!F37+'BLOOD BANK'!F38+'CENTRAL SUPPLY'!F42+'CENTRAL SUPPLY'!F43+'CENTRAL SUPPLY'!F44+'CENTRAL SUPPLY'!F45+'CENTRAL SUPPLY'!F46+XRAY!F42+XRAY!F43+XRAY!F44+XRAY!F45+XRAY!F46+XRAY!F47+ULTRASOUND!F42+ULTRASOUND!F43+ULTRASOUND!F44+CT!F36+MRI!F43+MRI!F44+'NUCLEAR MEDICINE'!F36+MAMMOGRAPHY!F42+MAMMOGRAPHY!F43+MAMMOGRAPHY!F44+MAMMOGRAPHY!F45+MAMMOGRAPHY!F46+RESPIRATORY!F42+RESPIRATORY!F43+RESPIRATORY!F44+RESPIRATORY!F45+RESPIRATORY!F46+'PULMONARY LAB'!F35+'PHYSICAL THERAPY'!F41+'PHYSICAL THERAPY'!F42+'PHYSICAL THERAPY'!F43+'OCCUPATIONAL THERAPY'!F35+'SPEECH THERAPY'!F35+'WOUND CARE'!F35+'EMERGENCY SERVICES'!F43+'EMERGENCY SERVICES'!F44+'EMERGENCY SERVICES'!F45+'EMERGENCY SERVICES'!F46+'EMERGENCY SERVICES'!F47+MOB!F15+MOB!F16+MOB!F17+'LAUNDRY &amp; LINEN'!F15+'LAUNDRY &amp; LINEN'!F16+HOUSEKEEPING!F15+HOUSEKEEPING!F16+HOUSEKEEPING!F17+'PLANT OP &amp; MAINTENANCE'!F15+'PLANT OP &amp; MAINTENANCE'!F16+'PLANT OP &amp; MAINTENANCE'!F17+'PLANT OP &amp; MAINTENANCE'!F18+SECURITY!F15+SECURITY!F16+SECURITY!F17+ADMITTING!F16+ADMITTING!F17+ADMITTING!F18+'BUSINESS OFFICE'!F16+'BUSINESS OFFICE'!F17+'BUSINESS OFFICE'!F18+'CREDIT &amp; COLLECTION'!F17+'CREDIT &amp; COLLECTION'!F18+'CREDIT &amp; COLLECTION'!F19+COMMUNICATIONS!F16+COMMUNICATIONS!F17+'NURSING ADMIN'!F15+'NURSING ADMIN'!F16+'NURSING ADMIN'!F17+'HOSPITAL ADMIN'!F22+'HOSPITAL ADMIN'!F23+'HOSPITAL ADMIN'!F24+MARKETING!F15+MARKETING!F16+MARKETING!F17+'GENERAL ACCOUNTING'!F15+'GENERAL ACCOUNTING'!F16+'GENERAL ACCOUNTING'!F17+'DATA PROCESSING'!F15+'DATA PROCESSING'!F16+'DATA PROCESSING'!F17+'HEALTH INFO MGMT'!F15+'HEALTH INFO MGMT'!F16+'HEALTH INFO MGMT'!F17+DIETARY!F15+DIETARY!F16+DIETARY!F17+DIETARY!F18)</f>
        <v>85468.565178153425</v>
      </c>
      <c r="L23" s="641">
        <f>SUM('MED SURG'!G25+'MED SURG'!G26+'MED SURG'!G27+'MED SURG'!G28+'SWING BED'!G25+'SWING BED'!G26+'SWING BED'!G27+'SWING BED'!G28+ICU!G24+ICU!G25+ICU!G26+ICU!G27+ICU!G28+OBS!G32+OBS!G33+OBS!G34+OBS!G35+OR!G51+OR!G52+OR!G53+OR!G54+OR!G55+OR!G56+OR!G57+OR!G58+RECOVERY!G39+RECOVERY!G40+RECOVERY!G41+RECOVERY!G42+ANESTHESIA!G35+ANESTHESIA!G36+ANESTHESIA!G37+SURGIDAY!G35+SURGIDAY!G36+SURGIDAY!G37+SURGIDAY!G38+SURGIDAY!G39+ENDOSCOPY!G35+ENDOSCOPY!G36+ENDOSCOPY!G37+ENDOSCOPY!G38+'STERILE SUPPLY'!G35+'STERILE SUPPLY'!G36+'STERILE SUPPLY'!G37+'STERILE SUPPLY'!G38+PHARMACY!G43+PHARMACY!G44+PHARMACY!G45+PHARMACY!G46+PHARMACY!G47+PHARMACY!G48+PHARMACY!G49+PHARMACY!G50+'IV THERAPY'!G36+LAB!G43+LAB!G44+LAB!G45+LAB!G46+LAB!G47+LAB!G48+PATHOLOGY!G28+PATHOLOGY!G29+PATHOLOGY!G30+'BLOOD BANK'!G36+'BLOOD BANK'!G37+'BLOOD BANK'!G38+'CENTRAL SUPPLY'!G42+'CENTRAL SUPPLY'!G43+'CENTRAL SUPPLY'!G44+'CENTRAL SUPPLY'!G45+'CENTRAL SUPPLY'!G46+XRAY!G42+XRAY!G43+XRAY!G44+XRAY!G45+XRAY!G46+XRAY!G47+ULTRASOUND!G42+ULTRASOUND!G43+ULTRASOUND!G44+CT!G36+MRI!G43+MRI!G44+'NUCLEAR MEDICINE'!G36+MAMMOGRAPHY!G42+MAMMOGRAPHY!G43+MAMMOGRAPHY!G44+MAMMOGRAPHY!G45+MAMMOGRAPHY!G46+RESPIRATORY!G42+RESPIRATORY!G43+RESPIRATORY!G44+RESPIRATORY!G45+RESPIRATORY!G46+'PULMONARY LAB'!G35+'PHYSICAL THERAPY'!G41+'PHYSICAL THERAPY'!G42+'PHYSICAL THERAPY'!G43+'OCCUPATIONAL THERAPY'!G35+'SPEECH THERAPY'!G35+'WOUND CARE'!G35+'EMERGENCY SERVICES'!G43+'EMERGENCY SERVICES'!G44+'EMERGENCY SERVICES'!G45+'EMERGENCY SERVICES'!G46+'EMERGENCY SERVICES'!G47+MOB!G15+MOB!G16+MOB!G17+'LAUNDRY &amp; LINEN'!G15+'LAUNDRY &amp; LINEN'!G16+HOUSEKEEPING!G15+HOUSEKEEPING!G16+HOUSEKEEPING!G17+'PLANT OP &amp; MAINTENANCE'!G15+'PLANT OP &amp; MAINTENANCE'!G16+'PLANT OP &amp; MAINTENANCE'!G17+'PLANT OP &amp; MAINTENANCE'!G18+SECURITY!G15+SECURITY!G16+SECURITY!G17+ADMITTING!G16+ADMITTING!G17+ADMITTING!G18+'BUSINESS OFFICE'!G16+'BUSINESS OFFICE'!G17+'BUSINESS OFFICE'!G18+'CREDIT &amp; COLLECTION'!G17+'CREDIT &amp; COLLECTION'!G18+'CREDIT &amp; COLLECTION'!G19+COMMUNICATIONS!G16+COMMUNICATIONS!G17+'NURSING ADMIN'!G15+'NURSING ADMIN'!G16+'NURSING ADMIN'!G17+'HOSPITAL ADMIN'!G22+'HOSPITAL ADMIN'!G23+'HOSPITAL ADMIN'!G24+MARKETING!G15+MARKETING!G16+MARKETING!G17+'GENERAL ACCOUNTING'!G15+'GENERAL ACCOUNTING'!G16+'GENERAL ACCOUNTING'!G17+'DATA PROCESSING'!G15+'DATA PROCESSING'!G16+'DATA PROCESSING'!G17+'HEALTH INFO MGMT'!G15+'HEALTH INFO MGMT'!G16+'HEALTH INFO MGMT'!G17+DIETARY!G15+DIETARY!G16+DIETARY!G17+DIETARY!G18)</f>
        <v>80680.504088630609</v>
      </c>
      <c r="M23" s="641">
        <f>SUM('MED SURG'!H25+'MED SURG'!H26+'MED SURG'!H27+'MED SURG'!H28+'SWING BED'!H25+'SWING BED'!H26+'SWING BED'!H27+'SWING BED'!H28+ICU!H24+ICU!H25+ICU!H26+ICU!H27+ICU!H28+OBS!H32+OBS!H33+OBS!H34+OBS!H35+OR!H51+OR!H52+OR!H53+OR!H54+OR!H55+OR!H56+OR!H57+OR!H58+RECOVERY!H39+RECOVERY!H40+RECOVERY!H41+RECOVERY!H42+ANESTHESIA!H35+ANESTHESIA!H36+ANESTHESIA!H37+SURGIDAY!H35+SURGIDAY!H36+SURGIDAY!H37+SURGIDAY!H38+SURGIDAY!H39+ENDOSCOPY!H35+ENDOSCOPY!H36+ENDOSCOPY!H37+ENDOSCOPY!H38+'STERILE SUPPLY'!H35+'STERILE SUPPLY'!H36+'STERILE SUPPLY'!H37+'STERILE SUPPLY'!H38+PHARMACY!H43+PHARMACY!H44+PHARMACY!H45+PHARMACY!H46+PHARMACY!H47+PHARMACY!H48+PHARMACY!H49+PHARMACY!H50+'IV THERAPY'!H36+LAB!H43+LAB!H44+LAB!H45+LAB!H46+LAB!H47+LAB!H48+PATHOLOGY!H28+PATHOLOGY!H29+PATHOLOGY!H30+'BLOOD BANK'!H36+'BLOOD BANK'!H37+'BLOOD BANK'!H38+'CENTRAL SUPPLY'!H42+'CENTRAL SUPPLY'!H43+'CENTRAL SUPPLY'!H44+'CENTRAL SUPPLY'!H45+'CENTRAL SUPPLY'!H46+XRAY!H42+XRAY!H43+XRAY!H44+XRAY!H45+XRAY!H46+XRAY!H47+ULTRASOUND!H42+ULTRASOUND!H43+ULTRASOUND!H44+CT!H36+MRI!H43+MRI!H44+'NUCLEAR MEDICINE'!H36+MAMMOGRAPHY!H42+MAMMOGRAPHY!H43+MAMMOGRAPHY!H44+MAMMOGRAPHY!H45+MAMMOGRAPHY!H46+RESPIRATORY!H42+RESPIRATORY!H43+RESPIRATORY!H44+RESPIRATORY!H45+RESPIRATORY!H46+'PULMONARY LAB'!H35+'PHYSICAL THERAPY'!H41+'PHYSICAL THERAPY'!H42+'PHYSICAL THERAPY'!H43+'OCCUPATIONAL THERAPY'!H35+'SPEECH THERAPY'!H35+'WOUND CARE'!H35+'EMERGENCY SERVICES'!H43+'EMERGENCY SERVICES'!H44+'EMERGENCY SERVICES'!H45+'EMERGENCY SERVICES'!H46+'EMERGENCY SERVICES'!H47+MOB!H15+MOB!H16+MOB!H17+'LAUNDRY &amp; LINEN'!H15+'LAUNDRY &amp; LINEN'!H16+HOUSEKEEPING!H15+HOUSEKEEPING!H16+HOUSEKEEPING!H17+'PLANT OP &amp; MAINTENANCE'!H15+'PLANT OP &amp; MAINTENANCE'!H16+'PLANT OP &amp; MAINTENANCE'!H17+'PLANT OP &amp; MAINTENANCE'!H18+SECURITY!H15+SECURITY!H16+SECURITY!H17+ADMITTING!H16+ADMITTING!H17+ADMITTING!H18+'BUSINESS OFFICE'!H16+'BUSINESS OFFICE'!H17+'BUSINESS OFFICE'!H18+'CREDIT &amp; COLLECTION'!H17+'CREDIT &amp; COLLECTION'!H18+'CREDIT &amp; COLLECTION'!H19+COMMUNICATIONS!H16+COMMUNICATIONS!H17+'NURSING ADMIN'!H15+'NURSING ADMIN'!H16+'NURSING ADMIN'!H17+'HOSPITAL ADMIN'!H22+'HOSPITAL ADMIN'!H23+'HOSPITAL ADMIN'!H24+MARKETING!H15+MARKETING!H16+MARKETING!H17+'GENERAL ACCOUNTING'!H15+'GENERAL ACCOUNTING'!H16+'GENERAL ACCOUNTING'!H17+'DATA PROCESSING'!H15+'DATA PROCESSING'!H16+'DATA PROCESSING'!H17+'HEALTH INFO MGMT'!H15+'HEALTH INFO MGMT'!H16+'HEALTH INFO MGMT'!H17+DIETARY!H15+DIETARY!H16+DIETARY!H17+DIETARY!H18)</f>
        <v>88906.734779844555</v>
      </c>
      <c r="N23" s="641">
        <f>SUM('MED SURG'!I25+'MED SURG'!I26+'MED SURG'!I27+'MED SURG'!I28+'SWING BED'!I25+'SWING BED'!I26+'SWING BED'!I27+'SWING BED'!I28+ICU!I24+ICU!I25+ICU!I26+ICU!I27+ICU!I28+OBS!I32+OBS!I33+OBS!I34+OBS!I35+OR!I51+OR!I52+OR!I53+OR!I54+OR!I55+OR!I56+OR!I57+OR!I58+RECOVERY!I39+RECOVERY!I40+RECOVERY!I41+RECOVERY!I42+ANESTHESIA!I35+ANESTHESIA!I36+ANESTHESIA!I37+SURGIDAY!I35+SURGIDAY!I36+SURGIDAY!I37+SURGIDAY!I38+SURGIDAY!I39+ENDOSCOPY!I35+ENDOSCOPY!I36+ENDOSCOPY!I37+ENDOSCOPY!I38+'STERILE SUPPLY'!I35+'STERILE SUPPLY'!I36+'STERILE SUPPLY'!I37+'STERILE SUPPLY'!I38+PHARMACY!I43+PHARMACY!I44+PHARMACY!I45+PHARMACY!I46+PHARMACY!I47+PHARMACY!I48+PHARMACY!I49+PHARMACY!I50+'IV THERAPY'!I36+LAB!I43+LAB!I44+LAB!I45+LAB!I46+LAB!I47+LAB!I48+PATHOLOGY!I28+PATHOLOGY!I29+PATHOLOGY!I30+'BLOOD BANK'!I36+'BLOOD BANK'!I37+'BLOOD BANK'!I38+'CENTRAL SUPPLY'!I42+'CENTRAL SUPPLY'!I43+'CENTRAL SUPPLY'!I44+'CENTRAL SUPPLY'!I45+'CENTRAL SUPPLY'!I46+XRAY!I42+XRAY!I43+XRAY!I44+XRAY!I45+XRAY!I46+XRAY!I47+ULTRASOUND!I42+ULTRASOUND!I43+ULTRASOUND!I44+CT!I36+MRI!I43+MRI!I44+'NUCLEAR MEDICINE'!I36+MAMMOGRAPHY!I42+MAMMOGRAPHY!I43+MAMMOGRAPHY!I44+MAMMOGRAPHY!I45+MAMMOGRAPHY!I46+RESPIRATORY!I42+RESPIRATORY!I43+RESPIRATORY!I44+RESPIRATORY!I45+RESPIRATORY!I46+'PULMONARY LAB'!I35+'PHYSICAL THERAPY'!I41+'PHYSICAL THERAPY'!I42+'PHYSICAL THERAPY'!I43+'OCCUPATIONAL THERAPY'!I35+'SPEECH THERAPY'!I35+'WOUND CARE'!I35+'EMERGENCY SERVICES'!I43+'EMERGENCY SERVICES'!I44+'EMERGENCY SERVICES'!I45+'EMERGENCY SERVICES'!I46+'EMERGENCY SERVICES'!I47+MOB!I15+MOB!I16+MOB!I17+'LAUNDRY &amp; LINEN'!I15+'LAUNDRY &amp; LINEN'!I16+HOUSEKEEPING!I15+HOUSEKEEPING!I16+HOUSEKEEPING!I17+'PLANT OP &amp; MAINTENANCE'!I15+'PLANT OP &amp; MAINTENANCE'!I16+'PLANT OP &amp; MAINTENANCE'!I17+'PLANT OP &amp; MAINTENANCE'!I18+SECURITY!I15+SECURITY!I16+SECURITY!I17+ADMITTING!I16+ADMITTING!I17+ADMITTING!I18+'BUSINESS OFFICE'!I16+'BUSINESS OFFICE'!I17+'BUSINESS OFFICE'!I18+'CREDIT &amp; COLLECTION'!I17+'CREDIT &amp; COLLECTION'!I18+'CREDIT &amp; COLLECTION'!I19+COMMUNICATIONS!I16+COMMUNICATIONS!I17+'NURSING ADMIN'!I15+'NURSING ADMIN'!I16+'NURSING ADMIN'!I17+'HOSPITAL ADMIN'!I22+'HOSPITAL ADMIN'!I23+'HOSPITAL ADMIN'!I24+MARKETING!I15+MARKETING!I16+MARKETING!I17+'GENERAL ACCOUNTING'!I15+'GENERAL ACCOUNTING'!I16+'GENERAL ACCOUNTING'!I17+'DATA PROCESSING'!I15+'DATA PROCESSING'!I16+'DATA PROCESSING'!I17+'HEALTH INFO MGMT'!I15+'HEALTH INFO MGMT'!I16+'HEALTH INFO MGMT'!I17+DIETARY!I15+DIETARY!I16+DIETARY!I17+DIETARY!I18)</f>
        <v>85329.967644672055</v>
      </c>
      <c r="O23" s="641">
        <f>SUM('MED SURG'!J25+'MED SURG'!J26+'MED SURG'!J27+'MED SURG'!J28+'SWING BED'!J25+'SWING BED'!J26+'SWING BED'!J27+'SWING BED'!J28+ICU!J24+ICU!J25+ICU!J26+ICU!J27+ICU!J28+OBS!J32+OBS!J33+OBS!J34+OBS!J35+OR!J51+OR!J52+OR!J53+OR!J54+OR!J55+OR!J56+OR!J57+OR!J58+RECOVERY!J39+RECOVERY!J40+RECOVERY!J41+RECOVERY!J42+ANESTHESIA!J35+ANESTHESIA!J36+ANESTHESIA!J37+SURGIDAY!J35+SURGIDAY!J36+SURGIDAY!J37+SURGIDAY!J38+SURGIDAY!J39+ENDOSCOPY!J35+ENDOSCOPY!J36+ENDOSCOPY!J37+ENDOSCOPY!J38+'STERILE SUPPLY'!J35+'STERILE SUPPLY'!J36+'STERILE SUPPLY'!J37+'STERILE SUPPLY'!J38+PHARMACY!J43+PHARMACY!J44+PHARMACY!J45+PHARMACY!J46+PHARMACY!J47+PHARMACY!J48+PHARMACY!J49+PHARMACY!J50+'IV THERAPY'!J36+LAB!J43+LAB!J44+LAB!J45+LAB!J46+LAB!J47+LAB!J48+PATHOLOGY!J28+PATHOLOGY!J29+PATHOLOGY!J30+'BLOOD BANK'!J36+'BLOOD BANK'!J37+'BLOOD BANK'!J38+'CENTRAL SUPPLY'!J42+'CENTRAL SUPPLY'!J43+'CENTRAL SUPPLY'!J44+'CENTRAL SUPPLY'!J45+'CENTRAL SUPPLY'!J46+XRAY!J42+XRAY!J43+XRAY!J44+XRAY!J45+XRAY!J46+XRAY!J47+ULTRASOUND!J42+ULTRASOUND!J43+ULTRASOUND!J44+CT!J36+MRI!J43+MRI!J44+'NUCLEAR MEDICINE'!J36+MAMMOGRAPHY!J42+MAMMOGRAPHY!J43+MAMMOGRAPHY!J44+MAMMOGRAPHY!J45+MAMMOGRAPHY!J46+RESPIRATORY!J42+RESPIRATORY!J43+RESPIRATORY!J44+RESPIRATORY!J45+RESPIRATORY!J46+'PULMONARY LAB'!J35+'PHYSICAL THERAPY'!J41+'PHYSICAL THERAPY'!J42+'PHYSICAL THERAPY'!J43+'OCCUPATIONAL THERAPY'!J35+'SPEECH THERAPY'!J35+'WOUND CARE'!J35+'EMERGENCY SERVICES'!J43+'EMERGENCY SERVICES'!J44+'EMERGENCY SERVICES'!J45+'EMERGENCY SERVICES'!J46+'EMERGENCY SERVICES'!J47+MOB!J15+MOB!J16+MOB!J17+'LAUNDRY &amp; LINEN'!J15+'LAUNDRY &amp; LINEN'!J16+HOUSEKEEPING!J15+HOUSEKEEPING!J16+HOUSEKEEPING!J17+'PLANT OP &amp; MAINTENANCE'!J15+'PLANT OP &amp; MAINTENANCE'!J16+'PLANT OP &amp; MAINTENANCE'!J17+'PLANT OP &amp; MAINTENANCE'!J18+SECURITY!J15+SECURITY!J16+SECURITY!J17+ADMITTING!J16+ADMITTING!J17+ADMITTING!J18+'BUSINESS OFFICE'!J16+'BUSINESS OFFICE'!J17+'BUSINESS OFFICE'!J18+'CREDIT &amp; COLLECTION'!J17+'CREDIT &amp; COLLECTION'!J18+'CREDIT &amp; COLLECTION'!J19+COMMUNICATIONS!J16+COMMUNICATIONS!J17+'NURSING ADMIN'!J15+'NURSING ADMIN'!J16+'NURSING ADMIN'!J17+'HOSPITAL ADMIN'!J22+'HOSPITAL ADMIN'!J23+'HOSPITAL ADMIN'!J24+MARKETING!J15+MARKETING!J16+MARKETING!J17+'GENERAL ACCOUNTING'!J15+'GENERAL ACCOUNTING'!J16+'GENERAL ACCOUNTING'!J17+'DATA PROCESSING'!J15+'DATA PROCESSING'!J16+'DATA PROCESSING'!J17+'HEALTH INFO MGMT'!J15+'HEALTH INFO MGMT'!J16+'HEALTH INFO MGMT'!J17+DIETARY!J15+DIETARY!J16+DIETARY!J17+DIETARY!J18)</f>
        <v>88114.344892934969</v>
      </c>
      <c r="P23" s="641">
        <f>SUM('MED SURG'!K25+'MED SURG'!K26+'MED SURG'!K27+'MED SURG'!K28+'SWING BED'!K25+'SWING BED'!K26+'SWING BED'!K27+'SWING BED'!K28+ICU!K24+ICU!K25+ICU!K26+ICU!K27+ICU!K28+OBS!K32+OBS!K33+OBS!K34+OBS!K35+OR!K51+OR!K52+OR!K53+OR!K54+OR!K55+OR!K56+OR!K57+OR!K58+RECOVERY!K39+RECOVERY!K40+RECOVERY!K41+RECOVERY!K42+ANESTHESIA!K35+ANESTHESIA!K36+ANESTHESIA!K37+SURGIDAY!K35+SURGIDAY!K36+SURGIDAY!K37+SURGIDAY!K38+SURGIDAY!K39+ENDOSCOPY!K35+ENDOSCOPY!K36+ENDOSCOPY!K37+ENDOSCOPY!K38+'STERILE SUPPLY'!K35+'STERILE SUPPLY'!K36+'STERILE SUPPLY'!K37+'STERILE SUPPLY'!K38+PHARMACY!K43+PHARMACY!K44+PHARMACY!K45+PHARMACY!K46+PHARMACY!K47+PHARMACY!K48+PHARMACY!K49+PHARMACY!K50+'IV THERAPY'!K36+LAB!K43+LAB!K44+LAB!K45+LAB!K46+LAB!K47+LAB!K48+PATHOLOGY!K28+PATHOLOGY!K29+PATHOLOGY!K30+'BLOOD BANK'!K36+'BLOOD BANK'!K37+'BLOOD BANK'!K38+'CENTRAL SUPPLY'!K42+'CENTRAL SUPPLY'!K43+'CENTRAL SUPPLY'!K44+'CENTRAL SUPPLY'!K45+'CENTRAL SUPPLY'!K46+XRAY!K42+XRAY!K43+XRAY!K44+XRAY!K45+XRAY!K46+XRAY!K47+ULTRASOUND!K42+ULTRASOUND!K43+ULTRASOUND!K44+CT!K36+MRI!K43+MRI!K44+'NUCLEAR MEDICINE'!K36+MAMMOGRAPHY!K42+MAMMOGRAPHY!K43+MAMMOGRAPHY!K44+MAMMOGRAPHY!K45+MAMMOGRAPHY!K46+RESPIRATORY!K42+RESPIRATORY!K43+RESPIRATORY!K44+RESPIRATORY!K45+RESPIRATORY!K46+'PULMONARY LAB'!K35+'PHYSICAL THERAPY'!K41+'PHYSICAL THERAPY'!K42+'PHYSICAL THERAPY'!K43+'OCCUPATIONAL THERAPY'!K35+'SPEECH THERAPY'!K35+'WOUND CARE'!K35+'EMERGENCY SERVICES'!K43+'EMERGENCY SERVICES'!K44+'EMERGENCY SERVICES'!K45+'EMERGENCY SERVICES'!K46+'EMERGENCY SERVICES'!K47+MOB!K15+MOB!K16+MOB!K17+'LAUNDRY &amp; LINEN'!K15+'LAUNDRY &amp; LINEN'!K16+HOUSEKEEPING!K15+HOUSEKEEPING!K16+HOUSEKEEPING!K17+'PLANT OP &amp; MAINTENANCE'!K15+'PLANT OP &amp; MAINTENANCE'!K16+'PLANT OP &amp; MAINTENANCE'!K17+'PLANT OP &amp; MAINTENANCE'!K18+SECURITY!K15+SECURITY!K16+SECURITY!K17+ADMITTING!K16+ADMITTING!K17+ADMITTING!K18+'BUSINESS OFFICE'!K16+'BUSINESS OFFICE'!K17+'BUSINESS OFFICE'!K18+'CREDIT &amp; COLLECTION'!K17+'CREDIT &amp; COLLECTION'!K18+'CREDIT &amp; COLLECTION'!K19+COMMUNICATIONS!K16+COMMUNICATIONS!K17+'NURSING ADMIN'!K15+'NURSING ADMIN'!K16+'NURSING ADMIN'!K17+'HOSPITAL ADMIN'!K22+'HOSPITAL ADMIN'!K23+'HOSPITAL ADMIN'!K24+MARKETING!K15+MARKETING!K16+MARKETING!K17+'GENERAL ACCOUNTING'!K15+'GENERAL ACCOUNTING'!K16+'GENERAL ACCOUNTING'!K17+'DATA PROCESSING'!K15+'DATA PROCESSING'!K16+'DATA PROCESSING'!K17+'HEALTH INFO MGMT'!K15+'HEALTH INFO MGMT'!K16+'HEALTH INFO MGMT'!K17+DIETARY!K15+DIETARY!K16+DIETARY!K17+DIETARY!K18)</f>
        <v>100742.77197412157</v>
      </c>
      <c r="Q23" s="641">
        <f>SUM('MED SURG'!L25+'MED SURG'!L26+'MED SURG'!L27+'MED SURG'!L28+'SWING BED'!L25+'SWING BED'!L26+'SWING BED'!L27+'SWING BED'!L28+ICU!L24+ICU!L25+ICU!L26+ICU!L27+ICU!L28+OBS!L32+OBS!L33+OBS!L34+OBS!L35+OR!L51+OR!L52+OR!L53+OR!L54+OR!L55+OR!L56+OR!L57+OR!L58+RECOVERY!L39+RECOVERY!L40+RECOVERY!L41+RECOVERY!L42+ANESTHESIA!L35+ANESTHESIA!L36+ANESTHESIA!L37+SURGIDAY!L35+SURGIDAY!L36+SURGIDAY!L37+SURGIDAY!L38+SURGIDAY!L39+ENDOSCOPY!L35+ENDOSCOPY!L36+ENDOSCOPY!L37+ENDOSCOPY!L38+'STERILE SUPPLY'!L35+'STERILE SUPPLY'!L36+'STERILE SUPPLY'!L37+'STERILE SUPPLY'!L38+PHARMACY!L43+PHARMACY!L44+PHARMACY!L45+PHARMACY!L46+PHARMACY!L47+PHARMACY!L48+PHARMACY!L49+PHARMACY!L50+'IV THERAPY'!L36+LAB!L43+LAB!L44+LAB!L45+LAB!L46+LAB!L47+LAB!L48+PATHOLOGY!L28+PATHOLOGY!L29+PATHOLOGY!L30+'BLOOD BANK'!L36+'BLOOD BANK'!L37+'BLOOD BANK'!L38+'CENTRAL SUPPLY'!L42+'CENTRAL SUPPLY'!L43+'CENTRAL SUPPLY'!L44+'CENTRAL SUPPLY'!L45+'CENTRAL SUPPLY'!L46+XRAY!L42+XRAY!L43+XRAY!L44+XRAY!L45+XRAY!L46+XRAY!L47+ULTRASOUND!L42+ULTRASOUND!L43+ULTRASOUND!L44+CT!L36+MRI!L43+MRI!L44+'NUCLEAR MEDICINE'!L36+MAMMOGRAPHY!L42+MAMMOGRAPHY!L43+MAMMOGRAPHY!L44+MAMMOGRAPHY!L45+MAMMOGRAPHY!L46+RESPIRATORY!L42+RESPIRATORY!L43+RESPIRATORY!L44+RESPIRATORY!L45+RESPIRATORY!L46+'PULMONARY LAB'!L35+'PHYSICAL THERAPY'!L41+'PHYSICAL THERAPY'!L42+'PHYSICAL THERAPY'!L43+'OCCUPATIONAL THERAPY'!L35+'SPEECH THERAPY'!L35+'WOUND CARE'!L35+'EMERGENCY SERVICES'!L43+'EMERGENCY SERVICES'!L44+'EMERGENCY SERVICES'!L45+'EMERGENCY SERVICES'!L46+'EMERGENCY SERVICES'!L47+MOB!L15+MOB!L16+MOB!L17+'LAUNDRY &amp; LINEN'!L15+'LAUNDRY &amp; LINEN'!L16+HOUSEKEEPING!L15+HOUSEKEEPING!L16+HOUSEKEEPING!L17+'PLANT OP &amp; MAINTENANCE'!L15+'PLANT OP &amp; MAINTENANCE'!L16+'PLANT OP &amp; MAINTENANCE'!L17+'PLANT OP &amp; MAINTENANCE'!L18+SECURITY!L15+SECURITY!L16+SECURITY!L17+ADMITTING!L16+ADMITTING!L17+ADMITTING!L18+'BUSINESS OFFICE'!L16+'BUSINESS OFFICE'!L17+'BUSINESS OFFICE'!L18+'CREDIT &amp; COLLECTION'!L17+'CREDIT &amp; COLLECTION'!L18+'CREDIT &amp; COLLECTION'!L19+COMMUNICATIONS!L16+COMMUNICATIONS!L17+'NURSING ADMIN'!L15+'NURSING ADMIN'!L16+'NURSING ADMIN'!L17+'HOSPITAL ADMIN'!L22+'HOSPITAL ADMIN'!L23+'HOSPITAL ADMIN'!L24+MARKETING!L15+MARKETING!L16+MARKETING!L17+'GENERAL ACCOUNTING'!L15+'GENERAL ACCOUNTING'!L16+'GENERAL ACCOUNTING'!L17+'DATA PROCESSING'!L15+'DATA PROCESSING'!L16+'DATA PROCESSING'!L17+'HEALTH INFO MGMT'!L15+'HEALTH INFO MGMT'!L16+'HEALTH INFO MGMT'!L17+DIETARY!L15+DIETARY!L16+DIETARY!L17+DIETARY!L18)</f>
        <v>84063.431486123765</v>
      </c>
      <c r="R23" s="641">
        <f>SUM('MED SURG'!M25+'MED SURG'!M26+'MED SURG'!M27+'MED SURG'!M28+'SWING BED'!M25+'SWING BED'!M26+'SWING BED'!M27+'SWING BED'!M28+ICU!M24+ICU!M25+ICU!M26+ICU!M27+ICU!M28+OBS!M32+OBS!M33+OBS!M34+OBS!M35+OR!M51+OR!M52+OR!M53+OR!M54+OR!M55+OR!M56+OR!M57+OR!M58+RECOVERY!M39+RECOVERY!M40+RECOVERY!M41+RECOVERY!M42+ANESTHESIA!M35+ANESTHESIA!M36+ANESTHESIA!M37+SURGIDAY!M35+SURGIDAY!M36+SURGIDAY!M37+SURGIDAY!M38+SURGIDAY!M39+ENDOSCOPY!M35+ENDOSCOPY!M36+ENDOSCOPY!M37+ENDOSCOPY!M38+'STERILE SUPPLY'!M35+'STERILE SUPPLY'!M36+'STERILE SUPPLY'!M37+'STERILE SUPPLY'!M38+PHARMACY!M43+PHARMACY!M44+PHARMACY!M45+PHARMACY!M46+PHARMACY!M47+PHARMACY!M48+PHARMACY!M49+PHARMACY!M50+'IV THERAPY'!M36+LAB!M43+LAB!M44+LAB!M45+LAB!M46+LAB!M47+LAB!M48+PATHOLOGY!M28+PATHOLOGY!M29+PATHOLOGY!M30+'BLOOD BANK'!M36+'BLOOD BANK'!M37+'BLOOD BANK'!M38+'CENTRAL SUPPLY'!M42+'CENTRAL SUPPLY'!M43+'CENTRAL SUPPLY'!M44+'CENTRAL SUPPLY'!M45+'CENTRAL SUPPLY'!M46+XRAY!M42+XRAY!M43+XRAY!M44+XRAY!M45+XRAY!M46+XRAY!M47+ULTRASOUND!M42+ULTRASOUND!M43+ULTRASOUND!M44+CT!M36+MRI!M43+MRI!M44+'NUCLEAR MEDICINE'!M36+MAMMOGRAPHY!M42+MAMMOGRAPHY!M43+MAMMOGRAPHY!M44+MAMMOGRAPHY!M45+MAMMOGRAPHY!M46+RESPIRATORY!M42+RESPIRATORY!M43+RESPIRATORY!M44+RESPIRATORY!M45+RESPIRATORY!M46+'PULMONARY LAB'!M35+'PHYSICAL THERAPY'!M41+'PHYSICAL THERAPY'!M42+'PHYSICAL THERAPY'!M43+'OCCUPATIONAL THERAPY'!M35+'SPEECH THERAPY'!M35+'WOUND CARE'!M35+'EMERGENCY SERVICES'!M43+'EMERGENCY SERVICES'!M44+'EMERGENCY SERVICES'!M45+'EMERGENCY SERVICES'!M46+'EMERGENCY SERVICES'!M47+MOB!M15+MOB!M16+MOB!M17+'LAUNDRY &amp; LINEN'!M15+'LAUNDRY &amp; LINEN'!M16+HOUSEKEEPING!M15+HOUSEKEEPING!M16+HOUSEKEEPING!M17+'PLANT OP &amp; MAINTENANCE'!M15+'PLANT OP &amp; MAINTENANCE'!M16+'PLANT OP &amp; MAINTENANCE'!M17+'PLANT OP &amp; MAINTENANCE'!M18+SECURITY!M15+SECURITY!M16+SECURITY!M17+ADMITTING!M16+ADMITTING!M17+ADMITTING!M18+'BUSINESS OFFICE'!M16+'BUSINESS OFFICE'!M17+'BUSINESS OFFICE'!M18+'CREDIT &amp; COLLECTION'!M17+'CREDIT &amp; COLLECTION'!M18+'CREDIT &amp; COLLECTION'!M19+COMMUNICATIONS!M16+COMMUNICATIONS!M17+'NURSING ADMIN'!M15+'NURSING ADMIN'!M16+'NURSING ADMIN'!M17+'HOSPITAL ADMIN'!M22+'HOSPITAL ADMIN'!M23+'HOSPITAL ADMIN'!M24+MARKETING!M15+MARKETING!M16+MARKETING!M17+'GENERAL ACCOUNTING'!M15+'GENERAL ACCOUNTING'!M16+'GENERAL ACCOUNTING'!M17+'DATA PROCESSING'!M15+'DATA PROCESSING'!M16+'DATA PROCESSING'!M17+'HEALTH INFO MGMT'!M15+'HEALTH INFO MGMT'!M16+'HEALTH INFO MGMT'!M17+DIETARY!M15+DIETARY!M16+DIETARY!M17+DIETARY!M18)</f>
        <v>90919.777878584631</v>
      </c>
      <c r="S23" s="641">
        <f>SUM('MED SURG'!N25+'MED SURG'!N26+'MED SURG'!N27+'MED SURG'!N28+'SWING BED'!N25+'SWING BED'!N26+'SWING BED'!N27+'SWING BED'!N28+ICU!N24+ICU!N25+ICU!N26+ICU!N27+ICU!N28+OBS!N32+OBS!N33+OBS!N34+OBS!N35+OR!N51+OR!N52+OR!N53+OR!N54+OR!N55+OR!N56+OR!N57+OR!N58+RECOVERY!N39+RECOVERY!N40+RECOVERY!N41+RECOVERY!N42+ANESTHESIA!N35+ANESTHESIA!N36+ANESTHESIA!N37+SURGIDAY!N35+SURGIDAY!N36+SURGIDAY!N37+SURGIDAY!N38+SURGIDAY!N39+ENDOSCOPY!N35+ENDOSCOPY!N36+ENDOSCOPY!N37+ENDOSCOPY!N38+'STERILE SUPPLY'!N35+'STERILE SUPPLY'!N36+'STERILE SUPPLY'!N37+'STERILE SUPPLY'!N38+PHARMACY!N43+PHARMACY!N44+PHARMACY!N45+PHARMACY!N46+PHARMACY!N47+PHARMACY!N48+PHARMACY!N49+PHARMACY!N50+'IV THERAPY'!N36+LAB!N43+LAB!N44+LAB!N45+LAB!N46+LAB!N47+LAB!N48+PATHOLOGY!N28+PATHOLOGY!N29+PATHOLOGY!N30+'BLOOD BANK'!N36+'BLOOD BANK'!N37+'BLOOD BANK'!N38+'CENTRAL SUPPLY'!N42+'CENTRAL SUPPLY'!N43+'CENTRAL SUPPLY'!N44+'CENTRAL SUPPLY'!N45+'CENTRAL SUPPLY'!N46+XRAY!N42+XRAY!N43+XRAY!N44+XRAY!N45+XRAY!N46+XRAY!N47+ULTRASOUND!N42+ULTRASOUND!N43+ULTRASOUND!N44+CT!N36+MRI!N43+MRI!N44+'NUCLEAR MEDICINE'!N36+MAMMOGRAPHY!N42+MAMMOGRAPHY!N43+MAMMOGRAPHY!N44+MAMMOGRAPHY!N45+MAMMOGRAPHY!N46+RESPIRATORY!N42+RESPIRATORY!N43+RESPIRATORY!N44+RESPIRATORY!N45+RESPIRATORY!N46+'PULMONARY LAB'!N35+'PHYSICAL THERAPY'!N41+'PHYSICAL THERAPY'!N42+'PHYSICAL THERAPY'!N43+'OCCUPATIONAL THERAPY'!N35+'SPEECH THERAPY'!N35+'WOUND CARE'!N35+'EMERGENCY SERVICES'!N43+'EMERGENCY SERVICES'!N44+'EMERGENCY SERVICES'!N45+'EMERGENCY SERVICES'!N46+'EMERGENCY SERVICES'!N47+MOB!N15+MOB!N16+MOB!N17+'LAUNDRY &amp; LINEN'!N15+'LAUNDRY &amp; LINEN'!N16+HOUSEKEEPING!N15+HOUSEKEEPING!N16+HOUSEKEEPING!N17+'PLANT OP &amp; MAINTENANCE'!N15+'PLANT OP &amp; MAINTENANCE'!N16+'PLANT OP &amp; MAINTENANCE'!N17+'PLANT OP &amp; MAINTENANCE'!N18+SECURITY!N15+SECURITY!N16+SECURITY!N17+ADMITTING!N16+ADMITTING!N17+ADMITTING!N18+'BUSINESS OFFICE'!N16+'BUSINESS OFFICE'!N17+'BUSINESS OFFICE'!N18+'CREDIT &amp; COLLECTION'!N17+'CREDIT &amp; COLLECTION'!N18+'CREDIT &amp; COLLECTION'!N19+COMMUNICATIONS!N16+COMMUNICATIONS!N17+'NURSING ADMIN'!N15+'NURSING ADMIN'!N16+'NURSING ADMIN'!N17+'HOSPITAL ADMIN'!N22+'HOSPITAL ADMIN'!N23+'HOSPITAL ADMIN'!N24+MARKETING!N15+MARKETING!N16+MARKETING!N17+'GENERAL ACCOUNTING'!N15+'GENERAL ACCOUNTING'!N16+'GENERAL ACCOUNTING'!N17+'DATA PROCESSING'!N15+'DATA PROCESSING'!N16+'DATA PROCESSING'!N17+'HEALTH INFO MGMT'!N15+'HEALTH INFO MGMT'!N16+'HEALTH INFO MGMT'!N17+DIETARY!N15+DIETARY!N16+DIETARY!N17+DIETARY!N18)</f>
        <v>91760.076681021412</v>
      </c>
      <c r="T23" s="641">
        <f>SUM('MED SURG'!O25+'MED SURG'!O26+'MED SURG'!O27+'MED SURG'!O28+'SWING BED'!O25+'SWING BED'!O26+'SWING BED'!O27+'SWING BED'!O28+ICU!O24+ICU!O25+ICU!O26+ICU!O27+ICU!O28+OBS!O32+OBS!O33+OBS!O34+OBS!O35+OR!O51+OR!O52+OR!O53+OR!O54+OR!O55+OR!O56+OR!O57+OR!O58+RECOVERY!O39+RECOVERY!O40+RECOVERY!O41+RECOVERY!O42+ANESTHESIA!O35+ANESTHESIA!O36+ANESTHESIA!O37+SURGIDAY!O35+SURGIDAY!O36+SURGIDAY!O37+SURGIDAY!O38+SURGIDAY!O39+ENDOSCOPY!O35+ENDOSCOPY!O36+ENDOSCOPY!O37+ENDOSCOPY!O38+'STERILE SUPPLY'!O35+'STERILE SUPPLY'!O36+'STERILE SUPPLY'!O37+'STERILE SUPPLY'!O38+PHARMACY!O43+PHARMACY!O44+PHARMACY!O45+PHARMACY!O46+PHARMACY!O47+PHARMACY!O48+PHARMACY!O49+PHARMACY!O50+'IV THERAPY'!O36+LAB!O43+LAB!O44+LAB!O45+LAB!O46+LAB!O47+LAB!O48+PATHOLOGY!O28+PATHOLOGY!O29+PATHOLOGY!O30+'BLOOD BANK'!O36+'BLOOD BANK'!O37+'BLOOD BANK'!O38+'CENTRAL SUPPLY'!O42+'CENTRAL SUPPLY'!O43+'CENTRAL SUPPLY'!O44+'CENTRAL SUPPLY'!O45+'CENTRAL SUPPLY'!O46+XRAY!O42+XRAY!O43+XRAY!O44+XRAY!O45+XRAY!O46+XRAY!O47+ULTRASOUND!O42+ULTRASOUND!O43+ULTRASOUND!O44+CT!O36+MRI!O43+MRI!O44+'NUCLEAR MEDICINE'!O36+MAMMOGRAPHY!O42+MAMMOGRAPHY!O43+MAMMOGRAPHY!O44+MAMMOGRAPHY!O45+MAMMOGRAPHY!O46+RESPIRATORY!O42+RESPIRATORY!O43+RESPIRATORY!O44+RESPIRATORY!O45+RESPIRATORY!O46+'PULMONARY LAB'!O35+'PHYSICAL THERAPY'!O41+'PHYSICAL THERAPY'!O42+'PHYSICAL THERAPY'!O43+'OCCUPATIONAL THERAPY'!O35+'SPEECH THERAPY'!O35+'WOUND CARE'!O35+'EMERGENCY SERVICES'!O43+'EMERGENCY SERVICES'!O44+'EMERGENCY SERVICES'!O45+'EMERGENCY SERVICES'!O46+'EMERGENCY SERVICES'!O47+MOB!O15+MOB!O16+MOB!O17+'LAUNDRY &amp; LINEN'!O15+'LAUNDRY &amp; LINEN'!O16+HOUSEKEEPING!O15+HOUSEKEEPING!O16+HOUSEKEEPING!O17+'PLANT OP &amp; MAINTENANCE'!O15+'PLANT OP &amp; MAINTENANCE'!O16+'PLANT OP &amp; MAINTENANCE'!O17+'PLANT OP &amp; MAINTENANCE'!O18+SECURITY!O15+SECURITY!O16+SECURITY!O17+ADMITTING!O16+ADMITTING!O17+ADMITTING!O18+'BUSINESS OFFICE'!O16+'BUSINESS OFFICE'!O17+'BUSINESS OFFICE'!O18+'CREDIT &amp; COLLECTION'!O17+'CREDIT &amp; COLLECTION'!O18+'CREDIT &amp; COLLECTION'!O19+COMMUNICATIONS!O16+COMMUNICATIONS!O17+'NURSING ADMIN'!O15+'NURSING ADMIN'!O16+'NURSING ADMIN'!O17+'HOSPITAL ADMIN'!O22+'HOSPITAL ADMIN'!O23+'HOSPITAL ADMIN'!O24+MARKETING!O15+MARKETING!O16+MARKETING!O17+'GENERAL ACCOUNTING'!O15+'GENERAL ACCOUNTING'!O16+'GENERAL ACCOUNTING'!O17+'DATA PROCESSING'!O15+'DATA PROCESSING'!O16+'DATA PROCESSING'!O17+'HEALTH INFO MGMT'!O15+'HEALTH INFO MGMT'!O16+'HEALTH INFO MGMT'!O17+DIETARY!O15+DIETARY!O16+DIETARY!O17+DIETARY!O18)</f>
        <v>88173.477555803678</v>
      </c>
      <c r="U23" s="641">
        <f>SUM('MED SURG'!P25+'MED SURG'!P26+'MED SURG'!P27+'MED SURG'!P28+'SWING BED'!P25+'SWING BED'!P26+'SWING BED'!P27+'SWING BED'!P28+ICU!P24+ICU!P25+ICU!P26+ICU!P27+ICU!P28+OBS!P32+OBS!P33+OBS!P34+OBS!P35+OR!P51+OR!P52+OR!P53+OR!P54+OR!P55+OR!P56+OR!P57+OR!P58+RECOVERY!P39+RECOVERY!P40+RECOVERY!P41+RECOVERY!P42+ANESTHESIA!P35+ANESTHESIA!P36+ANESTHESIA!P37+SURGIDAY!P35+SURGIDAY!P36+SURGIDAY!P37+SURGIDAY!P38+SURGIDAY!P39+ENDOSCOPY!P35+ENDOSCOPY!P36+ENDOSCOPY!P37+ENDOSCOPY!P38+'STERILE SUPPLY'!P35+'STERILE SUPPLY'!P36+'STERILE SUPPLY'!P37+'STERILE SUPPLY'!P38+PHARMACY!P43+PHARMACY!P44+PHARMACY!P45+PHARMACY!P46+PHARMACY!P47+PHARMACY!P48+PHARMACY!P49+PHARMACY!P50+'IV THERAPY'!P36+LAB!P43+LAB!P44+LAB!P45+LAB!P46+LAB!P47+LAB!P48+PATHOLOGY!P28+PATHOLOGY!P29+PATHOLOGY!P30+'BLOOD BANK'!P36+'BLOOD BANK'!P37+'BLOOD BANK'!P38+'CENTRAL SUPPLY'!P42+'CENTRAL SUPPLY'!P43+'CENTRAL SUPPLY'!P44+'CENTRAL SUPPLY'!P45+'CENTRAL SUPPLY'!P46+XRAY!P42+XRAY!P43+XRAY!P44+XRAY!P45+XRAY!P46+XRAY!P47+ULTRASOUND!P42+ULTRASOUND!P43+ULTRASOUND!P44+CT!P36+MRI!P43+MRI!P44+'NUCLEAR MEDICINE'!P36+MAMMOGRAPHY!P42+MAMMOGRAPHY!P43+MAMMOGRAPHY!P44+MAMMOGRAPHY!P45+MAMMOGRAPHY!P46+RESPIRATORY!P42+RESPIRATORY!P43+RESPIRATORY!P44+RESPIRATORY!P45+RESPIRATORY!P46+'PULMONARY LAB'!P35+'PHYSICAL THERAPY'!P41+'PHYSICAL THERAPY'!P42+'PHYSICAL THERAPY'!P43+'OCCUPATIONAL THERAPY'!P35+'SPEECH THERAPY'!P35+'WOUND CARE'!P35+'EMERGENCY SERVICES'!P43+'EMERGENCY SERVICES'!P44+'EMERGENCY SERVICES'!P45+'EMERGENCY SERVICES'!P46+'EMERGENCY SERVICES'!P47+MOB!P15+MOB!P16+MOB!P17+'LAUNDRY &amp; LINEN'!P15+'LAUNDRY &amp; LINEN'!P16+HOUSEKEEPING!P15+HOUSEKEEPING!P16+HOUSEKEEPING!P17+'PLANT OP &amp; MAINTENANCE'!P15+'PLANT OP &amp; MAINTENANCE'!P16+'PLANT OP &amp; MAINTENANCE'!P17+'PLANT OP &amp; MAINTENANCE'!P18+SECURITY!P15+SECURITY!P16+SECURITY!P17+ADMITTING!P16+ADMITTING!P17+ADMITTING!P18+'BUSINESS OFFICE'!P16+'BUSINESS OFFICE'!P17+'BUSINESS OFFICE'!P18+'CREDIT &amp; COLLECTION'!P17+'CREDIT &amp; COLLECTION'!P18+'CREDIT &amp; COLLECTION'!P19+COMMUNICATIONS!P16+COMMUNICATIONS!P17+'NURSING ADMIN'!P15+'NURSING ADMIN'!P16+'NURSING ADMIN'!P17+'HOSPITAL ADMIN'!P22+'HOSPITAL ADMIN'!P23+'HOSPITAL ADMIN'!P24+MARKETING!P15+MARKETING!P16+MARKETING!P17+'GENERAL ACCOUNTING'!P15+'GENERAL ACCOUNTING'!P16+'GENERAL ACCOUNTING'!P17+'DATA PROCESSING'!P15+'DATA PROCESSING'!P16+'DATA PROCESSING'!P17+'HEALTH INFO MGMT'!P15+'HEALTH INFO MGMT'!P16+'HEALTH INFO MGMT'!P17+DIETARY!P15+DIETARY!P16+DIETARY!P17+DIETARY!P18)</f>
        <v>99326.562033382434</v>
      </c>
      <c r="V23" s="641">
        <f>SUM('MED SURG'!Q25+'MED SURG'!Q26+'MED SURG'!Q27+'MED SURG'!Q28+'SWING BED'!Q25+'SWING BED'!Q26+'SWING BED'!Q27+'SWING BED'!Q28+ICU!Q24+ICU!Q25+ICU!Q26+ICU!Q27+ICU!Q28+OBS!Q32+OBS!Q33+OBS!Q34+OBS!Q35+OR!Q51+OR!Q52+OR!Q53+OR!Q54+OR!Q55+OR!Q56+OR!Q57+OR!Q58+RECOVERY!Q39+RECOVERY!Q40+RECOVERY!Q41+RECOVERY!Q42+ANESTHESIA!Q35+ANESTHESIA!Q36+ANESTHESIA!Q37+SURGIDAY!Q35+SURGIDAY!Q36+SURGIDAY!Q37+SURGIDAY!Q38+SURGIDAY!Q39+ENDOSCOPY!Q35+ENDOSCOPY!Q36+ENDOSCOPY!Q37+ENDOSCOPY!Q38+'STERILE SUPPLY'!Q35+'STERILE SUPPLY'!Q36+'STERILE SUPPLY'!Q37+'STERILE SUPPLY'!Q38+PHARMACY!Q43+PHARMACY!Q44+PHARMACY!Q45+PHARMACY!Q46+PHARMACY!Q47+PHARMACY!Q48+PHARMACY!Q49+PHARMACY!Q50+'IV THERAPY'!Q36+LAB!Q43+LAB!Q44+LAB!Q45+LAB!Q46+LAB!Q47+LAB!Q48+PATHOLOGY!Q28+PATHOLOGY!Q29+PATHOLOGY!Q30+'BLOOD BANK'!Q36+'BLOOD BANK'!Q37+'BLOOD BANK'!Q38+'CENTRAL SUPPLY'!Q42+'CENTRAL SUPPLY'!Q43+'CENTRAL SUPPLY'!Q44+'CENTRAL SUPPLY'!Q45+'CENTRAL SUPPLY'!Q46+XRAY!Q42+XRAY!Q43+XRAY!Q44+XRAY!Q45+XRAY!Q46+XRAY!Q47+ULTRASOUND!Q42+ULTRASOUND!Q43+ULTRASOUND!Q44+CT!Q36+MRI!Q43+MRI!Q44+'NUCLEAR MEDICINE'!Q36+MAMMOGRAPHY!Q42+MAMMOGRAPHY!Q43+MAMMOGRAPHY!Q44+MAMMOGRAPHY!Q45+MAMMOGRAPHY!Q46+RESPIRATORY!Q42+RESPIRATORY!Q43+RESPIRATORY!Q44+RESPIRATORY!Q45+RESPIRATORY!Q46+'PULMONARY LAB'!Q35+'PHYSICAL THERAPY'!Q41+'PHYSICAL THERAPY'!Q42+'PHYSICAL THERAPY'!Q43+'OCCUPATIONAL THERAPY'!Q35+'SPEECH THERAPY'!Q35+'WOUND CARE'!Q35+'EMERGENCY SERVICES'!Q43+'EMERGENCY SERVICES'!Q44+'EMERGENCY SERVICES'!Q45+'EMERGENCY SERVICES'!Q46+'EMERGENCY SERVICES'!Q47+MOB!Q15+MOB!Q16+MOB!Q17+'LAUNDRY &amp; LINEN'!Q15+'LAUNDRY &amp; LINEN'!Q16+HOUSEKEEPING!Q15+HOUSEKEEPING!Q16+HOUSEKEEPING!Q17+'PLANT OP &amp; MAINTENANCE'!Q15+'PLANT OP &amp; MAINTENANCE'!Q16+'PLANT OP &amp; MAINTENANCE'!Q17+'PLANT OP &amp; MAINTENANCE'!Q18+SECURITY!Q15+SECURITY!Q16+SECURITY!Q17+ADMITTING!Q16+ADMITTING!Q17+ADMITTING!Q18+'BUSINESS OFFICE'!Q16+'BUSINESS OFFICE'!Q17+'BUSINESS OFFICE'!Q18+'CREDIT &amp; COLLECTION'!Q17+'CREDIT &amp; COLLECTION'!Q18+'CREDIT &amp; COLLECTION'!Q19+COMMUNICATIONS!Q16+COMMUNICATIONS!Q17+'NURSING ADMIN'!Q15+'NURSING ADMIN'!Q16+'NURSING ADMIN'!Q17+'HOSPITAL ADMIN'!Q22+'HOSPITAL ADMIN'!Q23+'HOSPITAL ADMIN'!Q24+MARKETING!Q15+MARKETING!Q16+MARKETING!Q17+'GENERAL ACCOUNTING'!Q15+'GENERAL ACCOUNTING'!Q16+'GENERAL ACCOUNTING'!Q17+'DATA PROCESSING'!Q15+'DATA PROCESSING'!Q16+'DATA PROCESSING'!Q17+'HEALTH INFO MGMT'!Q15+'HEALTH INFO MGMT'!Q16+'HEALTH INFO MGMT'!Q17+DIETARY!Q15+DIETARY!Q16+DIETARY!Q17+DIETARY!Q18)</f>
        <v>105083.78580672688</v>
      </c>
      <c r="W23" s="154">
        <f t="shared" si="8"/>
        <v>1088570</v>
      </c>
      <c r="X23" s="153">
        <f t="shared" si="9"/>
        <v>0</v>
      </c>
      <c r="Y23" s="153"/>
      <c r="Z23" s="153"/>
      <c r="AA23" s="641">
        <v>1044547</v>
      </c>
      <c r="AC23" s="153">
        <v>1033094.91</v>
      </c>
      <c r="AD23" s="641"/>
      <c r="AE23" s="289"/>
      <c r="AF23" s="153">
        <v>962171</v>
      </c>
      <c r="AG23" s="221">
        <v>1091326</v>
      </c>
      <c r="AH23" s="221">
        <v>1060632</v>
      </c>
      <c r="AI23" s="221">
        <v>1213231</v>
      </c>
      <c r="AJ23" s="153">
        <v>1514363</v>
      </c>
      <c r="AK23" s="237"/>
      <c r="AL23" s="237"/>
      <c r="AM23" s="237"/>
      <c r="AN23" s="237"/>
      <c r="AO23" s="237"/>
    </row>
    <row r="24" spans="1:41" s="248" customFormat="1" x14ac:dyDescent="0.2">
      <c r="A24" s="215"/>
      <c r="B24" s="237" t="s">
        <v>835</v>
      </c>
      <c r="C24" s="637">
        <f>'EMERGENCY SERVICES'!C48+'EMERGENCY SERVICES'!C49+'ER PROFEE'!C48+'HOSPITAL ADMIN'!C25+'SWING BED'!C29+'IP PROFEE'!C20+'ER PROFEE'!C47</f>
        <v>488130</v>
      </c>
      <c r="D24" s="289">
        <f t="shared" si="10"/>
        <v>4.0476029255019329E-2</v>
      </c>
      <c r="E24" s="288"/>
      <c r="F24" s="153">
        <v>791083</v>
      </c>
      <c r="G24" s="237">
        <v>6.0632018922556839E-2</v>
      </c>
      <c r="H24" s="237"/>
      <c r="I24" s="153">
        <f t="shared" si="11"/>
        <v>-302953</v>
      </c>
      <c r="J24" s="289">
        <f t="shared" si="12"/>
        <v>-0.38295981584738897</v>
      </c>
      <c r="K24" s="641">
        <f>SUM('EMERGENCY SERVICES'!F48+'ER PROFEE'!F48+'HOSPITAL ADMIN'!F25)+'SWING BED'!F29+'IP PROFEE'!F20+'ER PROFEE'!F47+'EMERGENCY SERVICES'!F49</f>
        <v>39489.465038689879</v>
      </c>
      <c r="L24" s="641">
        <f>SUM('EMERGENCY SERVICES'!G48+'ER PROFEE'!G48+'HOSPITAL ADMIN'!G25)+'SWING BED'!G29+'IP PROFEE'!G20+'ER PROFEE'!G47+'EMERGENCY SERVICES'!G49</f>
        <v>38976.080582420705</v>
      </c>
      <c r="M24" s="641">
        <f>SUM('EMERGENCY SERVICES'!H48+'ER PROFEE'!H48+'HOSPITAL ADMIN'!H25)+'SWING BED'!H29+'IP PROFEE'!H20+'ER PROFEE'!H47+'EMERGENCY SERVICES'!H49</f>
        <v>40437.335184902637</v>
      </c>
      <c r="N24" s="641">
        <f>SUM('EMERGENCY SERVICES'!I48+'ER PROFEE'!I48+'HOSPITAL ADMIN'!I25)+'SWING BED'!I29+'IP PROFEE'!I20+'ER PROFEE'!I47+'EMERGENCY SERVICES'!I49</f>
        <v>41336.568786429983</v>
      </c>
      <c r="O24" s="641">
        <f>SUM('EMERGENCY SERVICES'!J48+'ER PROFEE'!J48+'HOSPITAL ADMIN'!J25)+'SWING BED'!J29+'IP PROFEE'!J20+'ER PROFEE'!J47+'EMERGENCY SERVICES'!J49</f>
        <v>38436.756247696227</v>
      </c>
      <c r="P24" s="641">
        <f>SUM('EMERGENCY SERVICES'!K48+'ER PROFEE'!K48+'HOSPITAL ADMIN'!K25)+'SWING BED'!K29+'IP PROFEE'!K20+'ER PROFEE'!K47+'EMERGENCY SERVICES'!K49</f>
        <v>43303.642289771044</v>
      </c>
      <c r="Q24" s="641">
        <f>SUM('EMERGENCY SERVICES'!L48+'ER PROFEE'!L48+'HOSPITAL ADMIN'!L25)+'SWING BED'!L29+'IP PROFEE'!L20+'ER PROFEE'!L47+'EMERGENCY SERVICES'!L49</f>
        <v>41456.538542030932</v>
      </c>
      <c r="R24" s="641">
        <f>SUM('EMERGENCY SERVICES'!M48+'ER PROFEE'!M48+'HOSPITAL ADMIN'!M25)+'SWING BED'!M29+'IP PROFEE'!M20+'ER PROFEE'!M47+'EMERGENCY SERVICES'!M49</f>
        <v>42374.686032083366</v>
      </c>
      <c r="S24" s="641">
        <f>SUM('EMERGENCY SERVICES'!N48+'ER PROFEE'!N48+'HOSPITAL ADMIN'!N25)+'SWING BED'!N29+'IP PROFEE'!N20+'ER PROFEE'!N47+'EMERGENCY SERVICES'!N49</f>
        <v>40216.309562225826</v>
      </c>
      <c r="T24" s="641">
        <f>SUM('EMERGENCY SERVICES'!O48+'ER PROFEE'!O48+'HOSPITAL ADMIN'!O25)+'SWING BED'!O29+'IP PROFEE'!O20+'ER PROFEE'!O47+'EMERGENCY SERVICES'!O49</f>
        <v>38466.478903856565</v>
      </c>
      <c r="U24" s="641">
        <f>SUM('EMERGENCY SERVICES'!P48+'ER PROFEE'!P48+'HOSPITAL ADMIN'!P25)+'SWING BED'!P29+'IP PROFEE'!P20+'ER PROFEE'!P47+'EMERGENCY SERVICES'!P49</f>
        <v>41891.024231974545</v>
      </c>
      <c r="V24" s="641">
        <f>SUM('EMERGENCY SERVICES'!Q48+'ER PROFEE'!Q48+'HOSPITAL ADMIN'!Q25)+'SWING BED'!Q29+'IP PROFEE'!Q20+'ER PROFEE'!Q47+'EMERGENCY SERVICES'!Q49</f>
        <v>41745.114597918269</v>
      </c>
      <c r="W24" s="154">
        <f t="shared" si="8"/>
        <v>488130</v>
      </c>
      <c r="X24" s="153">
        <f t="shared" si="9"/>
        <v>0</v>
      </c>
      <c r="Y24" s="153"/>
      <c r="Z24" s="153"/>
      <c r="AA24" s="641">
        <v>564810</v>
      </c>
      <c r="AC24" s="153">
        <v>541800</v>
      </c>
      <c r="AD24" s="641"/>
      <c r="AE24" s="289"/>
      <c r="AF24" s="153">
        <v>578335</v>
      </c>
      <c r="AG24" s="221">
        <v>860035</v>
      </c>
      <c r="AH24" s="221">
        <v>790560</v>
      </c>
      <c r="AI24" s="221">
        <v>788400</v>
      </c>
      <c r="AJ24" s="153">
        <v>791083</v>
      </c>
      <c r="AK24" s="237"/>
      <c r="AL24" s="237"/>
      <c r="AM24" s="237"/>
      <c r="AN24" s="237"/>
      <c r="AO24" s="237"/>
    </row>
    <row r="25" spans="1:41" s="248" customFormat="1" x14ac:dyDescent="0.2">
      <c r="A25" s="215"/>
      <c r="B25" s="237" t="s">
        <v>836</v>
      </c>
      <c r="C25" s="637">
        <f>'MED SURG'!C30+'MED SURG'!C31+'MED SURG'!C32+'SWING BED'!C31+'SWING BED'!C32+'SWING BED'!C33+ICU!C30+ICU!C31+OBS!C36+OR!C59+OR!C60+RECOVERY!C43+ANESTHESIA!C39+SURGIDAY!C40+ENDOSCOPY!C39+'STERILE SUPPLY'!C39+PHARMACY!C53+PHARMACY!C54+PHARMACY!C52+LAB!C49+LAB!C50+LAB!C51+LAB!C52+PATHOLOGY!C31+PATHOLOGY!C32+'CENTRAL SUPPLY'!C47+EKG!C38+XRAY!C49+XRAY!C48+XRAY!C50+CT!C37+'NUCLEAR MEDICINE'!C37+MAMMOGRAPHY!C47+RESPIRATORY!C47+RESPIRATORY!C48+RESPIRATORY!C49+'PULMONARY LAB'!C36+'PHYSICAL THERAPY'!C44+'OCCUPATIONAL THERAPY'!C36+'SPEECH THERAPY'!C36+'WOUND CARE'!C36+'EMERGENCY SERVICES'!C50+'EMERGENCY SERVICES'!C51+MOB!C18+MOB!C19+'LAUNDRY &amp; LINEN'!C17+HOUSEKEEPING!C18+'PLANT OP &amp; MAINTENANCE'!C20+'PLANT OP &amp; MAINTENANCE'!C21+SECURITY!C18+ADMITTING!C19+'BUSINESS OFFICE'!C19+'BUSINESS OFFICE'!C20+'CREDIT &amp; COLLECTION'!C20+COMMUNICATIONS!C18+'NURSING ADMIN'!C18+'NURSING ADMIN'!C19+'HOSPITAL ADMIN'!C26+'HOSPITAL ADMIN'!C27+'HOSPITAL ADMIN'!C28+'HOSPITAL ADMIN'!C29+'HOSPITAL ADMIN'!C30+MARKETING!C18+MARKETING!C19+'GENERAL ACCOUNTING'!C18+'DATA PROCESSING'!C19+'DATA PROCESSING'!C20+'HEALTH INFO MGMT'!C19+'HEALTH INFO MGMT'!C20+DIETARY!C20+'BYRD AVENUE - OLD HOSPITAL'!C10</f>
        <v>1380846.4904325702</v>
      </c>
      <c r="D25" s="289">
        <f t="shared" si="10"/>
        <v>0.11450061037723451</v>
      </c>
      <c r="E25" s="288"/>
      <c r="F25" s="153">
        <v>765733</v>
      </c>
      <c r="G25" s="237">
        <v>5.8689085400174465E-2</v>
      </c>
      <c r="H25" s="237"/>
      <c r="I25" s="153">
        <f t="shared" si="11"/>
        <v>615113.49043257022</v>
      </c>
      <c r="J25" s="289">
        <f t="shared" si="12"/>
        <v>0.80330022401094148</v>
      </c>
      <c r="K25" s="153">
        <f>SUM('MED SURG'!F30+'MED SURG'!F31+'MED SURG'!F32+'SWING BED'!F31+'SWING BED'!F32+'SWING BED'!F33+ICU!F30+ICU!F31+OBS!F36+OR!F59+OR!F60+RECOVERY!F43+ANESTHESIA!F39+SURGIDAY!F40+ENDOSCOPY!F39+'STERILE SUPPLY'!F39+PHARMACY!F53+PHARMACY!F52+PHARMACY!F54+LAB!F49+LAB!F50+LAB!F51+LAB!F52+PATHOLOGY!F31+PATHOLOGY!F32+'CENTRAL SUPPLY'!F47+EKG!F38+XRAY!F49+XRAY!F48+XRAY!F50+CT!F37+'NUCLEAR MEDICINE'!F37+MAMMOGRAPHY!F47+RESPIRATORY!F47+RESPIRATORY!F48+RESPIRATORY!F49+'PULMONARY LAB'!F36+'PHYSICAL THERAPY'!F44+'OCCUPATIONAL THERAPY'!F36+'SPEECH THERAPY'!F36+'WOUND CARE'!F36+'EMERGENCY SERVICES'!F50+'EMERGENCY SERVICES'!F51+MOB!F18+MOB!F19+'LAUNDRY &amp; LINEN'!F17+HOUSEKEEPING!F18+'PLANT OP &amp; MAINTENANCE'!F20+'PLANT OP &amp; MAINTENANCE'!F21+SECURITY!F18+ADMITTING!F19+'BUSINESS OFFICE'!F19+'BUSINESS OFFICE'!F20+'CREDIT &amp; COLLECTION'!F20+COMMUNICATIONS!F18+'NURSING ADMIN'!F18+'NURSING ADMIN'!F19+'HOSPITAL ADMIN'!F26+'HOSPITAL ADMIN'!F27+'HOSPITAL ADMIN'!F28+'HOSPITAL ADMIN'!F29+'HOSPITAL ADMIN'!F30+MARKETING!F18+MARKETING!F19+'GENERAL ACCOUNTING'!F18+'DATA PROCESSING'!F19+'DATA PROCESSING'!F20+'HEALTH INFO MGMT'!F19+'HEALTH INFO MGMT'!F20+DIETARY!F20+'BYRD AVENUE - OLD HOSPITAL'!F10)</f>
        <v>113416.25093309478</v>
      </c>
      <c r="L25" s="641">
        <f>SUM('MED SURG'!G30+'MED SURG'!G31+'MED SURG'!G32+'SWING BED'!G31+'SWING BED'!G32+'SWING BED'!G33+ICU!G30+ICU!G31+OBS!G36+OR!G59+OR!G60+RECOVERY!G43+ANESTHESIA!G39+SURGIDAY!G40+ENDOSCOPY!G39+'STERILE SUPPLY'!G39+PHARMACY!G53+PHARMACY!G52+PHARMACY!G54+LAB!G49+LAB!G50+LAB!G51+LAB!G52+PATHOLOGY!G31+PATHOLOGY!G32+'CENTRAL SUPPLY'!G47+EKG!G38+XRAY!G49+XRAY!G48+XRAY!G50+CT!G37+'NUCLEAR MEDICINE'!G37+MAMMOGRAPHY!G47+RESPIRATORY!G47+RESPIRATORY!G48+RESPIRATORY!G49+'PULMONARY LAB'!G36+'PHYSICAL THERAPY'!G44+'OCCUPATIONAL THERAPY'!G36+'SPEECH THERAPY'!G36+'WOUND CARE'!G36+'EMERGENCY SERVICES'!G50+'EMERGENCY SERVICES'!G51+MOB!G18+MOB!G19+'LAUNDRY &amp; LINEN'!G17+HOUSEKEEPING!G18+'PLANT OP &amp; MAINTENANCE'!G20+'PLANT OP &amp; MAINTENANCE'!G21+SECURITY!G18+ADMITTING!G19+'BUSINESS OFFICE'!G19+'BUSINESS OFFICE'!G20+'CREDIT &amp; COLLECTION'!G20+COMMUNICATIONS!G18+'NURSING ADMIN'!G18+'NURSING ADMIN'!G19+'HOSPITAL ADMIN'!G26+'HOSPITAL ADMIN'!G27+'HOSPITAL ADMIN'!G28+'HOSPITAL ADMIN'!G29+'HOSPITAL ADMIN'!G30+MARKETING!G18+MARKETING!G19+'GENERAL ACCOUNTING'!G18+'DATA PROCESSING'!G19+'DATA PROCESSING'!G20+'HEALTH INFO MGMT'!G19+'HEALTH INFO MGMT'!G20+DIETARY!G20+'BYRD AVENUE - OLD HOSPITAL'!G10)</f>
        <v>106404.96023233111</v>
      </c>
      <c r="M25" s="641">
        <f>SUM('MED SURG'!H30+'MED SURG'!H31+'MED SURG'!H32+'SWING BED'!H31+'SWING BED'!H32+'SWING BED'!H33+ICU!H30+ICU!H31+OBS!H36+OR!H59+OR!H60+RECOVERY!H43+ANESTHESIA!H39+SURGIDAY!H40+ENDOSCOPY!H39+'STERILE SUPPLY'!H39+PHARMACY!H53+PHARMACY!H52+PHARMACY!H54+LAB!H49+LAB!H50+LAB!H51+LAB!H52+PATHOLOGY!H31+PATHOLOGY!H32+'CENTRAL SUPPLY'!H47+EKG!H38+XRAY!H49+XRAY!H48+XRAY!H50+CT!H37+'NUCLEAR MEDICINE'!H37+MAMMOGRAPHY!H47+RESPIRATORY!H47+RESPIRATORY!H48+RESPIRATORY!H49+'PULMONARY LAB'!H36+'PHYSICAL THERAPY'!H44+'OCCUPATIONAL THERAPY'!H36+'SPEECH THERAPY'!H36+'WOUND CARE'!H36+'EMERGENCY SERVICES'!H50+'EMERGENCY SERVICES'!H51+MOB!H18+MOB!H19+'LAUNDRY &amp; LINEN'!H17+HOUSEKEEPING!H18+'PLANT OP &amp; MAINTENANCE'!H20+'PLANT OP &amp; MAINTENANCE'!H21+SECURITY!H18+ADMITTING!H19+'BUSINESS OFFICE'!H19+'BUSINESS OFFICE'!H20+'CREDIT &amp; COLLECTION'!H20+COMMUNICATIONS!H18+'NURSING ADMIN'!H18+'NURSING ADMIN'!H19+'HOSPITAL ADMIN'!H26+'HOSPITAL ADMIN'!H27+'HOSPITAL ADMIN'!H28+'HOSPITAL ADMIN'!H29+'HOSPITAL ADMIN'!H30+MARKETING!H18+MARKETING!H19+'GENERAL ACCOUNTING'!H18+'DATA PROCESSING'!H19+'DATA PROCESSING'!H20+'HEALTH INFO MGMT'!H19+'HEALTH INFO MGMT'!H20+DIETARY!H20+'BYRD AVENUE - OLD HOSPITAL'!H10)</f>
        <v>107027.49141944172</v>
      </c>
      <c r="N25" s="641">
        <f>SUM('MED SURG'!I30+'MED SURG'!I31+'MED SURG'!I32+'SWING BED'!I31+'SWING BED'!I32+'SWING BED'!I33+ICU!I30+ICU!I31+OBS!I36+OR!I59+OR!I60+RECOVERY!I43+ANESTHESIA!I39+SURGIDAY!I40+ENDOSCOPY!I39+'STERILE SUPPLY'!I39+PHARMACY!I53+PHARMACY!I52+PHARMACY!I54+LAB!I49+LAB!I50+LAB!I51+LAB!I52+PATHOLOGY!I31+PATHOLOGY!I32+'CENTRAL SUPPLY'!I47+EKG!I38+XRAY!I49+XRAY!I48+XRAY!I50+CT!I37+'NUCLEAR MEDICINE'!I37+MAMMOGRAPHY!I47+RESPIRATORY!I47+RESPIRATORY!I48+RESPIRATORY!I49+'PULMONARY LAB'!I36+'PHYSICAL THERAPY'!I44+'OCCUPATIONAL THERAPY'!I36+'SPEECH THERAPY'!I36+'WOUND CARE'!I36+'EMERGENCY SERVICES'!I50+'EMERGENCY SERVICES'!I51+MOB!I18+MOB!I19+'LAUNDRY &amp; LINEN'!I17+HOUSEKEEPING!I18+'PLANT OP &amp; MAINTENANCE'!I20+'PLANT OP &amp; MAINTENANCE'!I21+SECURITY!I18+ADMITTING!I19+'BUSINESS OFFICE'!I19+'BUSINESS OFFICE'!I20+'CREDIT &amp; COLLECTION'!I20+COMMUNICATIONS!I18+'NURSING ADMIN'!I18+'NURSING ADMIN'!I19+'HOSPITAL ADMIN'!I26+'HOSPITAL ADMIN'!I27+'HOSPITAL ADMIN'!I28+'HOSPITAL ADMIN'!I29+'HOSPITAL ADMIN'!I30+MARKETING!I18+MARKETING!I19+'GENERAL ACCOUNTING'!I18+'DATA PROCESSING'!I19+'DATA PROCESSING'!I20+'HEALTH INFO MGMT'!I19+'HEALTH INFO MGMT'!I20+DIETARY!I20+'BYRD AVENUE - OLD HOSPITAL'!I10)</f>
        <v>114163.07290964179</v>
      </c>
      <c r="O25" s="641">
        <f>SUM('MED SURG'!J30+'MED SURG'!J31+'MED SURG'!J32+'SWING BED'!J31+'SWING BED'!J32+'SWING BED'!J33+ICU!J30+ICU!J31+OBS!J36+OR!J59+OR!J60+RECOVERY!J43+ANESTHESIA!J39+SURGIDAY!J40+ENDOSCOPY!J39+'STERILE SUPPLY'!J39+PHARMACY!J53+PHARMACY!J52+PHARMACY!J54+LAB!J49+LAB!J50+LAB!J51+LAB!J52+PATHOLOGY!J31+PATHOLOGY!J32+'CENTRAL SUPPLY'!J47+EKG!J38+XRAY!J49+XRAY!J48+XRAY!J50+CT!J37+'NUCLEAR MEDICINE'!J37+MAMMOGRAPHY!J47+RESPIRATORY!J47+RESPIRATORY!J48+RESPIRATORY!J49+'PULMONARY LAB'!J36+'PHYSICAL THERAPY'!J44+'OCCUPATIONAL THERAPY'!J36+'SPEECH THERAPY'!J36+'WOUND CARE'!J36+'EMERGENCY SERVICES'!J50+'EMERGENCY SERVICES'!J51+MOB!J18+MOB!J19+'LAUNDRY &amp; LINEN'!J17+HOUSEKEEPING!J18+'PLANT OP &amp; MAINTENANCE'!J20+'PLANT OP &amp; MAINTENANCE'!J21+SECURITY!J18+ADMITTING!J19+'BUSINESS OFFICE'!J19+'BUSINESS OFFICE'!J20+'CREDIT &amp; COLLECTION'!J20+COMMUNICATIONS!J18+'NURSING ADMIN'!J18+'NURSING ADMIN'!J19+'HOSPITAL ADMIN'!J26+'HOSPITAL ADMIN'!J27+'HOSPITAL ADMIN'!J28+'HOSPITAL ADMIN'!J29+'HOSPITAL ADMIN'!J30+MARKETING!J18+MARKETING!J19+'GENERAL ACCOUNTING'!J18+'DATA PROCESSING'!J19+'DATA PROCESSING'!J20+'HEALTH INFO MGMT'!J19+'HEALTH INFO MGMT'!J20+DIETARY!J20+'BYRD AVENUE - OLD HOSPITAL'!J10)</f>
        <v>112110.20272640207</v>
      </c>
      <c r="P25" s="641">
        <f>SUM('MED SURG'!K30+'MED SURG'!K31+'MED SURG'!K32+'SWING BED'!K31+'SWING BED'!K32+'SWING BED'!K33+ICU!K30+ICU!K31+OBS!K36+OR!K59+OR!K60+RECOVERY!K43+ANESTHESIA!K39+SURGIDAY!K40+ENDOSCOPY!K39+'STERILE SUPPLY'!K39+PHARMACY!K53+PHARMACY!K52+PHARMACY!K54+LAB!K49+LAB!K50+LAB!K51+LAB!K52+PATHOLOGY!K31+PATHOLOGY!K32+'CENTRAL SUPPLY'!K47+EKG!K38+XRAY!K49+XRAY!K48+XRAY!K50+CT!K37+'NUCLEAR MEDICINE'!K37+MAMMOGRAPHY!K47+RESPIRATORY!K47+RESPIRATORY!K48+RESPIRATORY!K49+'PULMONARY LAB'!K36+'PHYSICAL THERAPY'!K44+'OCCUPATIONAL THERAPY'!K36+'SPEECH THERAPY'!K36+'WOUND CARE'!K36+'EMERGENCY SERVICES'!K50+'EMERGENCY SERVICES'!K51+MOB!K18+MOB!K19+'LAUNDRY &amp; LINEN'!K17+HOUSEKEEPING!K18+'PLANT OP &amp; MAINTENANCE'!K20+'PLANT OP &amp; MAINTENANCE'!K21+SECURITY!K18+ADMITTING!K19+'BUSINESS OFFICE'!K19+'BUSINESS OFFICE'!K20+'CREDIT &amp; COLLECTION'!K20+COMMUNICATIONS!K18+'NURSING ADMIN'!K18+'NURSING ADMIN'!K19+'HOSPITAL ADMIN'!K26+'HOSPITAL ADMIN'!K27+'HOSPITAL ADMIN'!K28+'HOSPITAL ADMIN'!K29+'HOSPITAL ADMIN'!K30+MARKETING!K18+MARKETING!K19+'GENERAL ACCOUNTING'!K18+'DATA PROCESSING'!K19+'DATA PROCESSING'!K20+'HEALTH INFO MGMT'!K19+'HEALTH INFO MGMT'!K20+DIETARY!K20+'BYRD AVENUE - OLD HOSPITAL'!K10)</f>
        <v>124890.56549060761</v>
      </c>
      <c r="Q25" s="641">
        <f>SUM('MED SURG'!L30+'MED SURG'!L31+'MED SURG'!L32+'SWING BED'!L31+'SWING BED'!L32+'SWING BED'!L33+ICU!L30+ICU!L31+OBS!L36+OR!L59+OR!L60+RECOVERY!L43+ANESTHESIA!L39+SURGIDAY!L40+ENDOSCOPY!L39+'STERILE SUPPLY'!L39+PHARMACY!L53+PHARMACY!L52+PHARMACY!L54+LAB!L49+LAB!L50+LAB!L51+LAB!L52+PATHOLOGY!L31+PATHOLOGY!L32+'CENTRAL SUPPLY'!L47+EKG!L38+XRAY!L49+XRAY!L48+XRAY!L50+CT!L37+'NUCLEAR MEDICINE'!L37+MAMMOGRAPHY!L47+RESPIRATORY!L47+RESPIRATORY!L48+RESPIRATORY!L49+'PULMONARY LAB'!L36+'PHYSICAL THERAPY'!L44+'OCCUPATIONAL THERAPY'!L36+'SPEECH THERAPY'!L36+'WOUND CARE'!L36+'EMERGENCY SERVICES'!L50+'EMERGENCY SERVICES'!L51+MOB!L18+MOB!L19+'LAUNDRY &amp; LINEN'!L17+HOUSEKEEPING!L18+'PLANT OP &amp; MAINTENANCE'!L20+'PLANT OP &amp; MAINTENANCE'!L21+SECURITY!L18+ADMITTING!L19+'BUSINESS OFFICE'!L19+'BUSINESS OFFICE'!L20+'CREDIT &amp; COLLECTION'!L20+COMMUNICATIONS!L18+'NURSING ADMIN'!L18+'NURSING ADMIN'!L19+'HOSPITAL ADMIN'!L26+'HOSPITAL ADMIN'!L27+'HOSPITAL ADMIN'!L28+'HOSPITAL ADMIN'!L29+'HOSPITAL ADMIN'!L30+MARKETING!L18+MARKETING!L19+'GENERAL ACCOUNTING'!L18+'DATA PROCESSING'!L19+'DATA PROCESSING'!L20+'HEALTH INFO MGMT'!L19+'HEALTH INFO MGMT'!L20+DIETARY!L20+'BYRD AVENUE - OLD HOSPITAL'!L10)</f>
        <v>110748.77366063399</v>
      </c>
      <c r="R25" s="641">
        <f>SUM('MED SURG'!M30+'MED SURG'!M31+'MED SURG'!M32+'SWING BED'!M31+'SWING BED'!M32+'SWING BED'!M33+ICU!M30+ICU!M31+OBS!M36+OR!M59+OR!M60+RECOVERY!M43+ANESTHESIA!M39+SURGIDAY!M40+ENDOSCOPY!M39+'STERILE SUPPLY'!M39+PHARMACY!M53+PHARMACY!M52+PHARMACY!M54+LAB!M49+LAB!M50+LAB!M51+LAB!M52+PATHOLOGY!M31+PATHOLOGY!M32+'CENTRAL SUPPLY'!M47+EKG!M38+XRAY!M49+XRAY!M48+XRAY!M50+CT!M37+'NUCLEAR MEDICINE'!M37+MAMMOGRAPHY!M47+RESPIRATORY!M47+RESPIRATORY!M48+RESPIRATORY!M49+'PULMONARY LAB'!M36+'PHYSICAL THERAPY'!M44+'OCCUPATIONAL THERAPY'!M36+'SPEECH THERAPY'!M36+'WOUND CARE'!M36+'EMERGENCY SERVICES'!M50+'EMERGENCY SERVICES'!M51+MOB!M18+MOB!M19+'LAUNDRY &amp; LINEN'!M17+HOUSEKEEPING!M18+'PLANT OP &amp; MAINTENANCE'!M20+'PLANT OP &amp; MAINTENANCE'!M21+SECURITY!M18+ADMITTING!M19+'BUSINESS OFFICE'!M19+'BUSINESS OFFICE'!M20+'CREDIT &amp; COLLECTION'!M20+COMMUNICATIONS!M18+'NURSING ADMIN'!M18+'NURSING ADMIN'!M19+'HOSPITAL ADMIN'!M26+'HOSPITAL ADMIN'!M27+'HOSPITAL ADMIN'!M28+'HOSPITAL ADMIN'!M29+'HOSPITAL ADMIN'!M30+MARKETING!M18+MARKETING!M19+'GENERAL ACCOUNTING'!M18+'DATA PROCESSING'!M19+'DATA PROCESSING'!M20+'HEALTH INFO MGMT'!M19+'HEALTH INFO MGMT'!M20+DIETARY!M20+'BYRD AVENUE - OLD HOSPITAL'!M10)</f>
        <v>117112.49122836369</v>
      </c>
      <c r="S25" s="641">
        <f>SUM('MED SURG'!N30+'MED SURG'!N31+'MED SURG'!N32+'SWING BED'!N31+'SWING BED'!N32+'SWING BED'!N33+ICU!N30+ICU!N31+OBS!N36+OR!N59+OR!N60+RECOVERY!N43+ANESTHESIA!N39+SURGIDAY!N40+ENDOSCOPY!N39+'STERILE SUPPLY'!N39+PHARMACY!N53+PHARMACY!N52+PHARMACY!N54+LAB!N49+LAB!N50+LAB!N51+LAB!N52+PATHOLOGY!N31+PATHOLOGY!N32+'CENTRAL SUPPLY'!N47+EKG!N38+XRAY!N49+XRAY!N48+XRAY!N50+CT!N37+'NUCLEAR MEDICINE'!N37+MAMMOGRAPHY!N47+RESPIRATORY!N47+RESPIRATORY!N48+RESPIRATORY!N49+'PULMONARY LAB'!N36+'PHYSICAL THERAPY'!N44+'OCCUPATIONAL THERAPY'!N36+'SPEECH THERAPY'!N36+'WOUND CARE'!N36+'EMERGENCY SERVICES'!N50+'EMERGENCY SERVICES'!N51+MOB!N18+MOB!N19+'LAUNDRY &amp; LINEN'!N17+HOUSEKEEPING!N18+'PLANT OP &amp; MAINTENANCE'!N20+'PLANT OP &amp; MAINTENANCE'!N21+SECURITY!N18+ADMITTING!N19+'BUSINESS OFFICE'!N19+'BUSINESS OFFICE'!N20+'CREDIT &amp; COLLECTION'!N20+COMMUNICATIONS!N18+'NURSING ADMIN'!N18+'NURSING ADMIN'!N19+'HOSPITAL ADMIN'!N26+'HOSPITAL ADMIN'!N27+'HOSPITAL ADMIN'!N28+'HOSPITAL ADMIN'!N29+'HOSPITAL ADMIN'!N30+MARKETING!N18+MARKETING!N19+'GENERAL ACCOUNTING'!N18+'DATA PROCESSING'!N19+'DATA PROCESSING'!N20+'HEALTH INFO MGMT'!N19+'HEALTH INFO MGMT'!N20+DIETARY!N20+'BYRD AVENUE - OLD HOSPITAL'!N10)</f>
        <v>115284.02862710849</v>
      </c>
      <c r="T25" s="641">
        <f>SUM('MED SURG'!O30+'MED SURG'!O31+'MED SURG'!O32+'SWING BED'!O31+'SWING BED'!O32+'SWING BED'!O33+ICU!O30+ICU!O31+OBS!O36+OR!O59+OR!O60+RECOVERY!O43+ANESTHESIA!O39+SURGIDAY!O40+ENDOSCOPY!O39+'STERILE SUPPLY'!O39+PHARMACY!O53+PHARMACY!O52+PHARMACY!O54+LAB!O49+LAB!O50+LAB!O51+LAB!O52+PATHOLOGY!O31+PATHOLOGY!O32+'CENTRAL SUPPLY'!O47+EKG!O38+XRAY!O49+XRAY!O48+XRAY!O50+CT!O37+'NUCLEAR MEDICINE'!O37+MAMMOGRAPHY!O47+RESPIRATORY!O47+RESPIRATORY!O48+RESPIRATORY!O49+'PULMONARY LAB'!O36+'PHYSICAL THERAPY'!O44+'OCCUPATIONAL THERAPY'!O36+'SPEECH THERAPY'!O36+'WOUND CARE'!O36+'EMERGENCY SERVICES'!O50+'EMERGENCY SERVICES'!O51+MOB!O18+MOB!O19+'LAUNDRY &amp; LINEN'!O17+HOUSEKEEPING!O18+'PLANT OP &amp; MAINTENANCE'!O20+'PLANT OP &amp; MAINTENANCE'!O21+SECURITY!O18+ADMITTING!O19+'BUSINESS OFFICE'!O19+'BUSINESS OFFICE'!O20+'CREDIT &amp; COLLECTION'!O20+COMMUNICATIONS!O18+'NURSING ADMIN'!O18+'NURSING ADMIN'!O19+'HOSPITAL ADMIN'!O26+'HOSPITAL ADMIN'!O27+'HOSPITAL ADMIN'!O28+'HOSPITAL ADMIN'!O29+'HOSPITAL ADMIN'!O30+MARKETING!O18+MARKETING!O19+'GENERAL ACCOUNTING'!O18+'DATA PROCESSING'!O19+'DATA PROCESSING'!O20+'HEALTH INFO MGMT'!O19+'HEALTH INFO MGMT'!O20+DIETARY!O20+'BYRD AVENUE - OLD HOSPITAL'!O10)</f>
        <v>114009.44524679486</v>
      </c>
      <c r="U25" s="641">
        <f>SUM('MED SURG'!P30+'MED SURG'!P31+'MED SURG'!P32+'SWING BED'!P31+'SWING BED'!P32+'SWING BED'!P33+ICU!P30+ICU!P31+OBS!P36+OR!P59+OR!P60+RECOVERY!P43+ANESTHESIA!P39+SURGIDAY!P40+ENDOSCOPY!P39+'STERILE SUPPLY'!P39+PHARMACY!P53+PHARMACY!P52+PHARMACY!P54+LAB!P49+LAB!P50+LAB!P51+LAB!P52+PATHOLOGY!P31+PATHOLOGY!P32+'CENTRAL SUPPLY'!P47+EKG!P38+XRAY!P49+XRAY!P48+XRAY!P50+CT!P37+'NUCLEAR MEDICINE'!P37+MAMMOGRAPHY!P47+RESPIRATORY!P47+RESPIRATORY!P48+RESPIRATORY!P49+'PULMONARY LAB'!P36+'PHYSICAL THERAPY'!P44+'OCCUPATIONAL THERAPY'!P36+'SPEECH THERAPY'!P36+'WOUND CARE'!P36+'EMERGENCY SERVICES'!P50+'EMERGENCY SERVICES'!P51+MOB!P18+MOB!P19+'LAUNDRY &amp; LINEN'!P17+HOUSEKEEPING!P18+'PLANT OP &amp; MAINTENANCE'!P20+'PLANT OP &amp; MAINTENANCE'!P21+SECURITY!P18+ADMITTING!P19+'BUSINESS OFFICE'!P19+'BUSINESS OFFICE'!P20+'CREDIT &amp; COLLECTION'!P20+COMMUNICATIONS!P18+'NURSING ADMIN'!P18+'NURSING ADMIN'!P19+'HOSPITAL ADMIN'!P26+'HOSPITAL ADMIN'!P27+'HOSPITAL ADMIN'!P28+'HOSPITAL ADMIN'!P29+'HOSPITAL ADMIN'!P30+MARKETING!P18+MARKETING!P19+'GENERAL ACCOUNTING'!P18+'DATA PROCESSING'!P19+'DATA PROCESSING'!P20+'HEALTH INFO MGMT'!P19+'HEALTH INFO MGMT'!P20+DIETARY!P20+'BYRD AVENUE - OLD HOSPITAL'!P10)</f>
        <v>120672.73771448917</v>
      </c>
      <c r="V25" s="641">
        <f>SUM('MED SURG'!Q30+'MED SURG'!Q31+'MED SURG'!Q32+'SWING BED'!Q31+'SWING BED'!Q32+'SWING BED'!Q33+ICU!Q30+ICU!Q31+OBS!Q36+OR!Q59+OR!Q60+RECOVERY!Q43+ANESTHESIA!Q39+SURGIDAY!Q40+ENDOSCOPY!Q39+'STERILE SUPPLY'!Q39+PHARMACY!Q53+PHARMACY!Q52+PHARMACY!Q54+LAB!Q49+LAB!Q50+LAB!Q51+LAB!Q52+PATHOLOGY!Q31+PATHOLOGY!Q32+'CENTRAL SUPPLY'!Q47+EKG!Q38+XRAY!Q49+XRAY!Q48+XRAY!Q50+CT!Q37+'NUCLEAR MEDICINE'!Q37+MAMMOGRAPHY!Q47+RESPIRATORY!Q47+RESPIRATORY!Q48+RESPIRATORY!Q49+'PULMONARY LAB'!Q36+'PHYSICAL THERAPY'!Q44+'OCCUPATIONAL THERAPY'!Q36+'SPEECH THERAPY'!Q36+'WOUND CARE'!Q36+'EMERGENCY SERVICES'!Q50+'EMERGENCY SERVICES'!Q51+MOB!Q18+MOB!Q19+'LAUNDRY &amp; LINEN'!Q17+HOUSEKEEPING!Q18+'PLANT OP &amp; MAINTENANCE'!Q20+'PLANT OP &amp; MAINTENANCE'!Q21+SECURITY!Q18+ADMITTING!Q19+'BUSINESS OFFICE'!Q19+'BUSINESS OFFICE'!Q20+'CREDIT &amp; COLLECTION'!Q20+COMMUNICATIONS!Q18+'NURSING ADMIN'!Q18+'NURSING ADMIN'!Q19+'HOSPITAL ADMIN'!Q26+'HOSPITAL ADMIN'!Q27+'HOSPITAL ADMIN'!Q28+'HOSPITAL ADMIN'!Q29+'HOSPITAL ADMIN'!Q30+MARKETING!Q18+MARKETING!Q19+'GENERAL ACCOUNTING'!Q18+'DATA PROCESSING'!Q19+'DATA PROCESSING'!Q20+'HEALTH INFO MGMT'!Q19+'HEALTH INFO MGMT'!Q20+DIETARY!Q20+'BYRD AVENUE - OLD HOSPITAL'!Q10)</f>
        <v>125006.47024366102</v>
      </c>
      <c r="W25" s="154">
        <f t="shared" si="8"/>
        <v>1380846.4904325705</v>
      </c>
      <c r="X25" s="153">
        <f t="shared" si="9"/>
        <v>0</v>
      </c>
      <c r="Y25" s="153"/>
      <c r="Z25" s="153"/>
      <c r="AA25" s="641">
        <v>1386342.1850000001</v>
      </c>
      <c r="AC25" s="153">
        <v>1240650.92</v>
      </c>
      <c r="AD25" s="641"/>
      <c r="AE25" s="289"/>
      <c r="AF25" s="153">
        <v>1042264</v>
      </c>
      <c r="AG25" s="221">
        <v>1058423</v>
      </c>
      <c r="AH25" s="221">
        <v>891568</v>
      </c>
      <c r="AI25" s="221">
        <v>766886</v>
      </c>
      <c r="AJ25" s="153">
        <v>765733</v>
      </c>
      <c r="AK25" s="237"/>
      <c r="AL25" s="237"/>
      <c r="AM25" s="237"/>
      <c r="AN25" s="237"/>
      <c r="AO25" s="237"/>
    </row>
    <row r="26" spans="1:41" s="248" customFormat="1" x14ac:dyDescent="0.2">
      <c r="A26" s="215"/>
      <c r="B26" s="237" t="s">
        <v>837</v>
      </c>
      <c r="C26" s="637">
        <f>'MED SURG'!C41+'MED SURG'!C42+'SWING BED'!C39+ICU!C38+ICU!C39+OBS!C41+OR!C68+OR!C69+RECOVERY!C47+RECOVERY!C48+ANESTHESIA!C41+ANESTHESIA!C42+SURGIDAY!C44+ENDOSCOPY!C43+'STERILE SUPPLY'!C43+PHARMACY!C61+PHARMACY!C62+LAB!C61+LAB!C62+PATHOLOGY!C35+'BLOOD BANK'!C39+'CENTRAL SUPPLY'!C55+EKG!C39+XRAY!C59+XRAY!C60+ULTRASOUND!C45+ULTRASOUND!C46+CT!C41+CT!C42+MRI!C46+MRI!C47+MAMMOGRAPHY!C52+MAMMOGRAPHY!C53+RESPIRATORY!C56+RESPIRATORY!C57+'PHYSICAL THERAPY'!C48+'PHYSICAL THERAPY'!C47+'OCCUPATIONAL THERAPY'!C37+'EMERGENCY SERVICES'!C59+'EMERGENCY SERVICES'!C60+MOB!C31+MOB!C32+HOUSEKEEPING!C26+'PLANT OP &amp; MAINTENANCE'!C35+'PLANT OP &amp; MAINTENANCE'!C36+SECURITY!C28+ADMITTING!C27+'BUSINESS OFFICE'!C29+COMMUNICATIONS!C21+'NURSING ADMIN'!C28+'HOSPITAL ADMIN'!C64+MARKETING!C37+'GENERAL ACCOUNTING'!C28+'DATA PROCESSING'!C30+'DATA PROCESSING'!C31+'HEALTH INFO MGMT'!C29+'HEALTH INFO MGMT'!C30+DIETARY!C29+DIETARY!C30+'BYRD AVENUE - OLD HOSPITAL'!C17</f>
        <v>357013</v>
      </c>
      <c r="D26" s="289">
        <f t="shared" si="10"/>
        <v>2.9603729810546816E-2</v>
      </c>
      <c r="E26" s="288"/>
      <c r="F26" s="153">
        <v>250320</v>
      </c>
      <c r="G26" s="237">
        <v>1.9185606284921341E-2</v>
      </c>
      <c r="H26" s="237"/>
      <c r="I26" s="153">
        <f t="shared" si="11"/>
        <v>106693</v>
      </c>
      <c r="J26" s="289">
        <f t="shared" si="12"/>
        <v>0.42622643016938316</v>
      </c>
      <c r="K26" s="153">
        <f>SUM('MED SURG'!F41+'MED SURG'!F42+'SWING BED'!F39+ICU!F38+ICU!F39+OBS!F41+OR!F68+OR!F69+RECOVERY!F47+RECOVERY!F48+ANESTHESIA!F41+ANESTHESIA!F42+SURGIDAY!F44+ENDOSCOPY!F43+'STERILE SUPPLY'!F43+PHARMACY!F61+PHARMACY!F62+LAB!F61+LAB!F62+PATHOLOGY!F35+'BLOOD BANK'!F39+'CENTRAL SUPPLY'!F55+EKG!F39+XRAY!F59+XRAY!F60+ULTRASOUND!F45+ULTRASOUND!F46+CT!F41+CT!F42+MRI!F46+MRI!F47+MAMMOGRAPHY!F52+MAMMOGRAPHY!F53+RESPIRATORY!F56+RESPIRATORY!F57+'PHYSICAL THERAPY'!F47+'PHYSICAL THERAPY'!F48+'OCCUPATIONAL THERAPY'!F37+'EMERGENCY SERVICES'!F59+'EMERGENCY SERVICES'!F60+MOB!F31+MOB!F32+HOUSEKEEPING!F26+'PLANT OP &amp; MAINTENANCE'!F35+'PLANT OP &amp; MAINTENANCE'!F36+SECURITY!F28+ADMITTING!F27+'BUSINESS OFFICE'!F29+COMMUNICATIONS!F21+'NURSING ADMIN'!F28+'HOSPITAL ADMIN'!F64+MARKETING!F37+'GENERAL ACCOUNTING'!F28+'DATA PROCESSING'!F30+'DATA PROCESSING'!F31+'HEALTH INFO MGMT'!F29+'HEALTH INFO MGMT'!F30+DIETARY!F29+DIETARY!F30+'BYRD AVENUE - OLD HOSPITAL'!F17)</f>
        <v>23590.833700248273</v>
      </c>
      <c r="L26" s="641">
        <f>SUM('MED SURG'!G41+'MED SURG'!G42+'SWING BED'!G39+ICU!G38+ICU!G39+OBS!G41+OR!G68+OR!G69+RECOVERY!G47+RECOVERY!G48+ANESTHESIA!G41+ANESTHESIA!G42+SURGIDAY!G44+ENDOSCOPY!G43+'STERILE SUPPLY'!G43+PHARMACY!G61+PHARMACY!G62+LAB!G61+LAB!G62+PATHOLOGY!G35+'BLOOD BANK'!G39+'CENTRAL SUPPLY'!G55+EKG!G39+XRAY!G59+XRAY!G60+ULTRASOUND!G45+ULTRASOUND!G46+CT!G41+CT!G42+MRI!G46+MRI!G47+MAMMOGRAPHY!G52+MAMMOGRAPHY!G53+RESPIRATORY!G56+RESPIRATORY!G57+'PHYSICAL THERAPY'!G47+'PHYSICAL THERAPY'!G48+'OCCUPATIONAL THERAPY'!G37+'EMERGENCY SERVICES'!G59+'EMERGENCY SERVICES'!G60+MOB!G31+MOB!G32+HOUSEKEEPING!G26+'PLANT OP &amp; MAINTENANCE'!G35+'PLANT OP &amp; MAINTENANCE'!G36+SECURITY!G28+ADMITTING!G27+'BUSINESS OFFICE'!G29+COMMUNICATIONS!G21+'NURSING ADMIN'!G28+'HOSPITAL ADMIN'!G64+MARKETING!G37+'GENERAL ACCOUNTING'!G28+'DATA PROCESSING'!G30+'DATA PROCESSING'!G31+'HEALTH INFO MGMT'!G29+'HEALTH INFO MGMT'!G30+DIETARY!G29+DIETARY!G30+'BYRD AVENUE - OLD HOSPITAL'!G17)</f>
        <v>24510.625859379652</v>
      </c>
      <c r="M26" s="641">
        <f>SUM('MED SURG'!H41+'MED SURG'!H42+'SWING BED'!H39+ICU!H38+ICU!H39+OBS!H41+OR!H68+OR!H69+RECOVERY!H47+RECOVERY!H48+ANESTHESIA!H41+ANESTHESIA!H42+SURGIDAY!H44+ENDOSCOPY!H43+'STERILE SUPPLY'!H43+PHARMACY!H61+PHARMACY!H62+LAB!H61+LAB!H62+PATHOLOGY!H35+'BLOOD BANK'!H39+'CENTRAL SUPPLY'!H55+EKG!H39+XRAY!H59+XRAY!H60+ULTRASOUND!H45+ULTRASOUND!H46+CT!H41+CT!H42+MRI!H46+MRI!H47+MAMMOGRAPHY!H52+MAMMOGRAPHY!H53+RESPIRATORY!H56+RESPIRATORY!H57+'PHYSICAL THERAPY'!H47+'PHYSICAL THERAPY'!H48+'OCCUPATIONAL THERAPY'!H37+'EMERGENCY SERVICES'!H59+'EMERGENCY SERVICES'!H60+MOB!H31+MOB!H32+HOUSEKEEPING!H26+'PLANT OP &amp; MAINTENANCE'!H35+'PLANT OP &amp; MAINTENANCE'!H36+SECURITY!H28+ADMITTING!H27+'BUSINESS OFFICE'!H29+COMMUNICATIONS!H21+'NURSING ADMIN'!H28+'HOSPITAL ADMIN'!H64+MARKETING!H37+'GENERAL ACCOUNTING'!H28+'DATA PROCESSING'!H30+'DATA PROCESSING'!H31+'HEALTH INFO MGMT'!H29+'HEALTH INFO MGMT'!H30+DIETARY!H29+DIETARY!H30+'BYRD AVENUE - OLD HOSPITAL'!H17)</f>
        <v>21662.58640964915</v>
      </c>
      <c r="N26" s="641">
        <f>SUM('MED SURG'!I41+'MED SURG'!I42+'SWING BED'!I39+ICU!I38+ICU!I39+OBS!I41+OR!I68+OR!I69+RECOVERY!I47+RECOVERY!I48+ANESTHESIA!I41+ANESTHESIA!I42+SURGIDAY!I44+ENDOSCOPY!I43+'STERILE SUPPLY'!I43+PHARMACY!I61+PHARMACY!I62+LAB!I61+LAB!I62+PATHOLOGY!I35+'BLOOD BANK'!I39+'CENTRAL SUPPLY'!I55+EKG!I39+XRAY!I59+XRAY!I60+ULTRASOUND!I45+ULTRASOUND!I46+CT!I41+CT!I42+MRI!I46+MRI!I47+MAMMOGRAPHY!I52+MAMMOGRAPHY!I53+RESPIRATORY!I56+RESPIRATORY!I57+'PHYSICAL THERAPY'!I47+'PHYSICAL THERAPY'!I48+'OCCUPATIONAL THERAPY'!I37+'EMERGENCY SERVICES'!I59+'EMERGENCY SERVICES'!I60+MOB!I31+MOB!I32+HOUSEKEEPING!I26+'PLANT OP &amp; MAINTENANCE'!I35+'PLANT OP &amp; MAINTENANCE'!I36+SECURITY!I28+ADMITTING!I27+'BUSINESS OFFICE'!I29+COMMUNICATIONS!I21+'NURSING ADMIN'!I28+'HOSPITAL ADMIN'!I64+MARKETING!I37+'GENERAL ACCOUNTING'!I28+'DATA PROCESSING'!I30+'DATA PROCESSING'!I31+'HEALTH INFO MGMT'!I29+'HEALTH INFO MGMT'!I30+DIETARY!I29+DIETARY!I30+'BYRD AVENUE - OLD HOSPITAL'!I17)</f>
        <v>31413.662529955876</v>
      </c>
      <c r="O26" s="641">
        <f>SUM('MED SURG'!J41+'MED SURG'!J42+'SWING BED'!J39+ICU!J38+ICU!J39+OBS!J41+OR!J68+OR!J69+RECOVERY!J47+RECOVERY!J48+ANESTHESIA!J41+ANESTHESIA!J42+SURGIDAY!J44+ENDOSCOPY!J43+'STERILE SUPPLY'!J43+PHARMACY!J61+PHARMACY!J62+LAB!J61+LAB!J62+PATHOLOGY!J35+'BLOOD BANK'!J39+'CENTRAL SUPPLY'!J55+EKG!J39+XRAY!J59+XRAY!J60+ULTRASOUND!J45+ULTRASOUND!J46+CT!J41+CT!J42+MRI!J46+MRI!J47+MAMMOGRAPHY!J52+MAMMOGRAPHY!J53+RESPIRATORY!J56+RESPIRATORY!J57+'PHYSICAL THERAPY'!J47+'PHYSICAL THERAPY'!J48+'OCCUPATIONAL THERAPY'!J37+'EMERGENCY SERVICES'!J59+'EMERGENCY SERVICES'!J60+MOB!J31+MOB!J32+HOUSEKEEPING!J26+'PLANT OP &amp; MAINTENANCE'!J35+'PLANT OP &amp; MAINTENANCE'!J36+SECURITY!J28+ADMITTING!J27+'BUSINESS OFFICE'!J29+COMMUNICATIONS!J21+'NURSING ADMIN'!J28+'HOSPITAL ADMIN'!J64+MARKETING!J37+'GENERAL ACCOUNTING'!J28+'DATA PROCESSING'!J30+'DATA PROCESSING'!J31+'HEALTH INFO MGMT'!J29+'HEALTH INFO MGMT'!J30+DIETARY!J29+DIETARY!J30+'BYRD AVENUE - OLD HOSPITAL'!J17)</f>
        <v>32107.395032899843</v>
      </c>
      <c r="P26" s="641">
        <f>SUM('MED SURG'!K41+'MED SURG'!K42+'SWING BED'!K39+ICU!K38+ICU!K39+OBS!K41+OR!K68+OR!K69+RECOVERY!K47+RECOVERY!K48+ANESTHESIA!K41+ANESTHESIA!K42+SURGIDAY!K44+ENDOSCOPY!K43+'STERILE SUPPLY'!K43+PHARMACY!K61+PHARMACY!K62+LAB!K61+LAB!K62+PATHOLOGY!K35+'BLOOD BANK'!K39+'CENTRAL SUPPLY'!K55+EKG!K39+XRAY!K59+XRAY!K60+ULTRASOUND!K45+ULTRASOUND!K46+CT!K41+CT!K42+MRI!K46+MRI!K47+MAMMOGRAPHY!K52+MAMMOGRAPHY!K53+RESPIRATORY!K56+RESPIRATORY!K57+'PHYSICAL THERAPY'!K47+'PHYSICAL THERAPY'!K48+'OCCUPATIONAL THERAPY'!K37+'EMERGENCY SERVICES'!K59+'EMERGENCY SERVICES'!K60+MOB!K31+MOB!K32+HOUSEKEEPING!K26+'PLANT OP &amp; MAINTENANCE'!K35+'PLANT OP &amp; MAINTENANCE'!K36+SECURITY!K28+ADMITTING!K27+'BUSINESS OFFICE'!K29+COMMUNICATIONS!K21+'NURSING ADMIN'!K28+'HOSPITAL ADMIN'!K64+MARKETING!K37+'GENERAL ACCOUNTING'!K28+'DATA PROCESSING'!K30+'DATA PROCESSING'!K31+'HEALTH INFO MGMT'!K29+'HEALTH INFO MGMT'!K30+DIETARY!K29+DIETARY!K30+'BYRD AVENUE - OLD HOSPITAL'!K17)</f>
        <v>32536.749384855186</v>
      </c>
      <c r="Q26" s="641">
        <f>SUM('MED SURG'!L41+'MED SURG'!L42+'SWING BED'!L39+ICU!L38+ICU!L39+OBS!L41+OR!L68+OR!L69+RECOVERY!L47+RECOVERY!L48+ANESTHESIA!L41+ANESTHESIA!L42+SURGIDAY!L44+ENDOSCOPY!L43+'STERILE SUPPLY'!L43+PHARMACY!L61+PHARMACY!L62+LAB!L61+LAB!L62+PATHOLOGY!L35+'BLOOD BANK'!L39+'CENTRAL SUPPLY'!L55+EKG!L39+XRAY!L59+XRAY!L60+ULTRASOUND!L45+ULTRASOUND!L46+CT!L41+CT!L42+MRI!L46+MRI!L47+MAMMOGRAPHY!L52+MAMMOGRAPHY!L53+RESPIRATORY!L56+RESPIRATORY!L57+'PHYSICAL THERAPY'!L47+'PHYSICAL THERAPY'!L48+'OCCUPATIONAL THERAPY'!L37+'EMERGENCY SERVICES'!L59+'EMERGENCY SERVICES'!L60+MOB!L31+MOB!L32+HOUSEKEEPING!L26+'PLANT OP &amp; MAINTENANCE'!L35+'PLANT OP &amp; MAINTENANCE'!L36+SECURITY!L28+ADMITTING!L27+'BUSINESS OFFICE'!L29+COMMUNICATIONS!L21+'NURSING ADMIN'!L28+'HOSPITAL ADMIN'!L64+MARKETING!L37+'GENERAL ACCOUNTING'!L28+'DATA PROCESSING'!L30+'DATA PROCESSING'!L31+'HEALTH INFO MGMT'!L29+'HEALTH INFO MGMT'!L30+DIETARY!L29+DIETARY!L30+'BYRD AVENUE - OLD HOSPITAL'!L17)</f>
        <v>30909.488834191201</v>
      </c>
      <c r="R26" s="641">
        <f>SUM('MED SURG'!M41+'MED SURG'!M42+'SWING BED'!M39+ICU!M38+ICU!M39+OBS!M41+OR!M68+OR!M69+RECOVERY!M47+RECOVERY!M48+ANESTHESIA!M41+ANESTHESIA!M42+SURGIDAY!M44+ENDOSCOPY!M43+'STERILE SUPPLY'!M43+PHARMACY!M61+PHARMACY!M62+LAB!M61+LAB!M62+PATHOLOGY!M35+'BLOOD BANK'!M39+'CENTRAL SUPPLY'!M55+EKG!M39+XRAY!M59+XRAY!M60+ULTRASOUND!M45+ULTRASOUND!M46+CT!M41+CT!M42+MRI!M46+MRI!M47+MAMMOGRAPHY!M52+MAMMOGRAPHY!M53+RESPIRATORY!M56+RESPIRATORY!M57+'PHYSICAL THERAPY'!M47+'PHYSICAL THERAPY'!M48+'OCCUPATIONAL THERAPY'!M37+'EMERGENCY SERVICES'!M59+'EMERGENCY SERVICES'!M60+MOB!M31+MOB!M32+HOUSEKEEPING!M26+'PLANT OP &amp; MAINTENANCE'!M35+'PLANT OP &amp; MAINTENANCE'!M36+SECURITY!M28+ADMITTING!M27+'BUSINESS OFFICE'!M29+COMMUNICATIONS!M21+'NURSING ADMIN'!M28+'HOSPITAL ADMIN'!M64+MARKETING!M37+'GENERAL ACCOUNTING'!M28+'DATA PROCESSING'!M30+'DATA PROCESSING'!M31+'HEALTH INFO MGMT'!M29+'HEALTH INFO MGMT'!M30+DIETARY!M29+DIETARY!M30+'BYRD AVENUE - OLD HOSPITAL'!M17)</f>
        <v>31587.979122949742</v>
      </c>
      <c r="S26" s="641">
        <f>SUM('MED SURG'!N41+'MED SURG'!N42+'SWING BED'!N39+ICU!N38+ICU!N39+OBS!N41+OR!N68+OR!N69+RECOVERY!N47+RECOVERY!N48+ANESTHESIA!N41+ANESTHESIA!N42+SURGIDAY!N44+ENDOSCOPY!N43+'STERILE SUPPLY'!N43+PHARMACY!N61+PHARMACY!N62+LAB!N61+LAB!N62+PATHOLOGY!N35+'BLOOD BANK'!N39+'CENTRAL SUPPLY'!N55+EKG!N39+XRAY!N59+XRAY!N60+ULTRASOUND!N45+ULTRASOUND!N46+CT!N41+CT!N42+MRI!N46+MRI!N47+MAMMOGRAPHY!N52+MAMMOGRAPHY!N53+RESPIRATORY!N56+RESPIRATORY!N57+'PHYSICAL THERAPY'!N47+'PHYSICAL THERAPY'!N48+'OCCUPATIONAL THERAPY'!N37+'EMERGENCY SERVICES'!N59+'EMERGENCY SERVICES'!N60+MOB!N31+MOB!N32+HOUSEKEEPING!N26+'PLANT OP &amp; MAINTENANCE'!N35+'PLANT OP &amp; MAINTENANCE'!N36+SECURITY!N28+ADMITTING!N27+'BUSINESS OFFICE'!N29+COMMUNICATIONS!N21+'NURSING ADMIN'!N28+'HOSPITAL ADMIN'!N64+MARKETING!N37+'GENERAL ACCOUNTING'!N28+'DATA PROCESSING'!N30+'DATA PROCESSING'!N31+'HEALTH INFO MGMT'!N29+'HEALTH INFO MGMT'!N30+DIETARY!N29+DIETARY!N30+'BYRD AVENUE - OLD HOSPITAL'!N17)</f>
        <v>30021.546518333143</v>
      </c>
      <c r="T26" s="641">
        <f>SUM('MED SURG'!O41+'MED SURG'!O42+'SWING BED'!O39+ICU!O38+ICU!O39+OBS!O41+OR!O68+OR!O69+RECOVERY!O47+RECOVERY!O48+ANESTHESIA!O41+ANESTHESIA!O42+SURGIDAY!O44+ENDOSCOPY!O43+'STERILE SUPPLY'!O43+PHARMACY!O61+PHARMACY!O62+LAB!O61+LAB!O62+PATHOLOGY!O35+'BLOOD BANK'!O39+'CENTRAL SUPPLY'!O55+EKG!O39+XRAY!O59+XRAY!O60+ULTRASOUND!O45+ULTRASOUND!O46+CT!O41+CT!O42+MRI!O46+MRI!O47+MAMMOGRAPHY!O52+MAMMOGRAPHY!O53+RESPIRATORY!O56+RESPIRATORY!O57+'PHYSICAL THERAPY'!O47+'PHYSICAL THERAPY'!O48+'OCCUPATIONAL THERAPY'!O37+'EMERGENCY SERVICES'!O59+'EMERGENCY SERVICES'!O60+MOB!O31+MOB!O32+HOUSEKEEPING!O26+'PLANT OP &amp; MAINTENANCE'!O35+'PLANT OP &amp; MAINTENANCE'!O36+SECURITY!O28+ADMITTING!O27+'BUSINESS OFFICE'!O29+COMMUNICATIONS!O21+'NURSING ADMIN'!O28+'HOSPITAL ADMIN'!O64+MARKETING!O37+'GENERAL ACCOUNTING'!O28+'DATA PROCESSING'!O30+'DATA PROCESSING'!O31+'HEALTH INFO MGMT'!O29+'HEALTH INFO MGMT'!O30+DIETARY!O29+DIETARY!O30+'BYRD AVENUE - OLD HOSPITAL'!O17)</f>
        <v>30641.993119425686</v>
      </c>
      <c r="U26" s="641">
        <f>SUM('MED SURG'!P41+'MED SURG'!P42+'SWING BED'!P39+ICU!P38+ICU!P39+OBS!P41+OR!P68+OR!P69+RECOVERY!P47+RECOVERY!P48+ANESTHESIA!P41+ANESTHESIA!P42+SURGIDAY!P44+ENDOSCOPY!P43+'STERILE SUPPLY'!P43+PHARMACY!P61+PHARMACY!P62+LAB!P61+LAB!P62+PATHOLOGY!P35+'BLOOD BANK'!P39+'CENTRAL SUPPLY'!P55+EKG!P39+XRAY!P59+XRAY!P60+ULTRASOUND!P45+ULTRASOUND!P46+CT!P41+CT!P42+MRI!P46+MRI!P47+MAMMOGRAPHY!P52+MAMMOGRAPHY!P53+RESPIRATORY!P56+RESPIRATORY!P57+'PHYSICAL THERAPY'!P47+'PHYSICAL THERAPY'!P48+'OCCUPATIONAL THERAPY'!P37+'EMERGENCY SERVICES'!P59+'EMERGENCY SERVICES'!P60+MOB!P31+MOB!P32+HOUSEKEEPING!P26+'PLANT OP &amp; MAINTENANCE'!P35+'PLANT OP &amp; MAINTENANCE'!P36+SECURITY!P28+ADMITTING!P27+'BUSINESS OFFICE'!P29+COMMUNICATIONS!P21+'NURSING ADMIN'!P28+'HOSPITAL ADMIN'!P64+MARKETING!P37+'GENERAL ACCOUNTING'!P28+'DATA PROCESSING'!P30+'DATA PROCESSING'!P31+'HEALTH INFO MGMT'!P29+'HEALTH INFO MGMT'!P30+DIETARY!P29+DIETARY!P30+'BYRD AVENUE - OLD HOSPITAL'!P17)</f>
        <v>35145.608358460457</v>
      </c>
      <c r="V26" s="641">
        <f>SUM('MED SURG'!Q41+'MED SURG'!Q42+'SWING BED'!Q39+ICU!Q38+ICU!Q39+OBS!Q41+OR!Q68+OR!Q69+RECOVERY!Q47+RECOVERY!Q48+ANESTHESIA!Q41+ANESTHESIA!Q42+SURGIDAY!Q44+ENDOSCOPY!Q43+'STERILE SUPPLY'!Q43+PHARMACY!Q61+PHARMACY!Q62+LAB!Q61+LAB!Q62+PATHOLOGY!Q35+'BLOOD BANK'!Q39+'CENTRAL SUPPLY'!Q55+EKG!Q39+XRAY!Q59+XRAY!Q60+ULTRASOUND!Q45+ULTRASOUND!Q46+CT!Q41+CT!Q42+MRI!Q46+MRI!Q47+MAMMOGRAPHY!Q52+MAMMOGRAPHY!Q53+RESPIRATORY!Q56+RESPIRATORY!Q57+'PHYSICAL THERAPY'!Q47+'PHYSICAL THERAPY'!Q48+'OCCUPATIONAL THERAPY'!Q37+'EMERGENCY SERVICES'!Q59+'EMERGENCY SERVICES'!Q60+MOB!Q31+MOB!Q32+HOUSEKEEPING!Q26+'PLANT OP &amp; MAINTENANCE'!Q35+'PLANT OP &amp; MAINTENANCE'!Q36+SECURITY!Q28+ADMITTING!Q27+'BUSINESS OFFICE'!Q29+COMMUNICATIONS!Q21+'NURSING ADMIN'!Q28+'HOSPITAL ADMIN'!Q64+MARKETING!Q37+'GENERAL ACCOUNTING'!Q28+'DATA PROCESSING'!Q30+'DATA PROCESSING'!Q31+'HEALTH INFO MGMT'!Q29+'HEALTH INFO MGMT'!Q30+DIETARY!Q29+DIETARY!Q30+'BYRD AVENUE - OLD HOSPITAL'!Q17)</f>
        <v>32884.531129651805</v>
      </c>
      <c r="W26" s="154">
        <f t="shared" si="8"/>
        <v>357013</v>
      </c>
      <c r="X26" s="153">
        <f t="shared" si="9"/>
        <v>0</v>
      </c>
      <c r="Y26" s="153"/>
      <c r="Z26" s="153"/>
      <c r="AA26" s="641">
        <v>229344</v>
      </c>
      <c r="AC26" s="153">
        <v>238179.46</v>
      </c>
      <c r="AD26" s="641"/>
      <c r="AE26" s="289"/>
      <c r="AF26" s="153">
        <v>234134</v>
      </c>
      <c r="AG26" s="221">
        <v>236815</v>
      </c>
      <c r="AH26" s="221">
        <v>235023</v>
      </c>
      <c r="AI26" s="221">
        <v>221584</v>
      </c>
      <c r="AJ26" s="153">
        <v>250320</v>
      </c>
      <c r="AK26" s="237"/>
      <c r="AL26" s="237"/>
      <c r="AM26" s="237"/>
      <c r="AN26" s="237"/>
      <c r="AO26" s="237"/>
    </row>
    <row r="27" spans="1:41" s="248" customFormat="1" x14ac:dyDescent="0.2">
      <c r="A27" s="215"/>
      <c r="B27" s="237" t="s">
        <v>838</v>
      </c>
      <c r="C27" s="637">
        <f>'HOSPITAL ADMIN'!C31+'HOSPITAL ADMIN'!C32+'HOSPITAL ADMIN'!C33+'HOSPITAL ADMIN'!C34+'HOSPITAL ADMIN'!C35+'HOSPITAL ADMIN'!C36+'HOSPITAL ADMIN'!C37+'HOSPITAL ADMIN'!C38+MARKETING!C20+MARKETING!C21+MARKETING!C22+MARKETING!C23+MARKETING!C24+MARKETING!C25+MARKETING!C26+MARKETING!C27</f>
        <v>24720</v>
      </c>
      <c r="D27" s="289">
        <f t="shared" si="10"/>
        <v>2.0497970687810172E-3</v>
      </c>
      <c r="E27" s="288"/>
      <c r="F27" s="153">
        <v>20269</v>
      </c>
      <c r="G27" s="237">
        <v>1.5535037303813944E-3</v>
      </c>
      <c r="H27" s="237"/>
      <c r="I27" s="153">
        <f t="shared" si="11"/>
        <v>4451</v>
      </c>
      <c r="J27" s="289">
        <f t="shared" si="12"/>
        <v>0.219596428042824</v>
      </c>
      <c r="K27" s="153">
        <f>SUM('HOSPITAL ADMIN'!F31+'HOSPITAL ADMIN'!F32+'HOSPITAL ADMIN'!F33+'HOSPITAL ADMIN'!F34+'HOSPITAL ADMIN'!F35+'HOSPITAL ADMIN'!F36+'HOSPITAL ADMIN'!F37+'HOSPITAL ADMIN'!F38+MARKETING!F20+MARKETING!F21+MARKETING!F22+MARKETING!F23+MARKETING!F24+MARKETING!F25+MARKETING!F26+MARKETING!F27)</f>
        <v>2002.2283487023483</v>
      </c>
      <c r="L27" s="153">
        <f>SUM('HOSPITAL ADMIN'!G31+'HOSPITAL ADMIN'!G32+'HOSPITAL ADMIN'!G33+'HOSPITAL ADMIN'!G34+'HOSPITAL ADMIN'!G35+'HOSPITAL ADMIN'!G36+'HOSPITAL ADMIN'!G37+'HOSPITAL ADMIN'!G38+MARKETING!G20+MARKETING!G21+MARKETING!G22+MARKETING!G23+MARKETING!G24+MARKETING!G25+MARKETING!G26+MARKETING!G27)</f>
        <v>1911.7520676870427</v>
      </c>
      <c r="M27" s="153">
        <f>SUM('HOSPITAL ADMIN'!H31+'HOSPITAL ADMIN'!H32+'HOSPITAL ADMIN'!H33+'HOSPITAL ADMIN'!H34+'HOSPITAL ADMIN'!H35+'HOSPITAL ADMIN'!H36+'HOSPITAL ADMIN'!H37+'HOSPITAL ADMIN'!H38+MARKETING!H20+MARKETING!H21+MARKETING!H22+MARKETING!H23+MARKETING!H24+MARKETING!H25+MARKETING!H26+MARKETING!H27)</f>
        <v>1837.7260195836107</v>
      </c>
      <c r="N27" s="153">
        <f>SUM('HOSPITAL ADMIN'!I31+'HOSPITAL ADMIN'!I32+'HOSPITAL ADMIN'!I33+'HOSPITAL ADMIN'!I34+'HOSPITAL ADMIN'!I35+'HOSPITAL ADMIN'!I36+'HOSPITAL ADMIN'!I37+'HOSPITAL ADMIN'!I38+MARKETING!I20+MARKETING!I21+MARKETING!I22+MARKETING!I23+MARKETING!I24+MARKETING!I25+MARKETING!I26+MARKETING!I27)</f>
        <v>2051.5790474379692</v>
      </c>
      <c r="O27" s="153">
        <f>SUM('HOSPITAL ADMIN'!J31+'HOSPITAL ADMIN'!J32+'HOSPITAL ADMIN'!J33+'HOSPITAL ADMIN'!J34+'HOSPITAL ADMIN'!J35+'HOSPITAL ADMIN'!J36+'HOSPITAL ADMIN'!J37+'HOSPITAL ADMIN'!J38+MARKETING!J20+MARKETING!J21+MARKETING!J22+MARKETING!J23+MARKETING!J24+MARKETING!J25+MARKETING!J26+MARKETING!J27)</f>
        <v>2083.3044966251546</v>
      </c>
      <c r="P27" s="153">
        <f>SUM('HOSPITAL ADMIN'!K31+'HOSPITAL ADMIN'!K32+'HOSPITAL ADMIN'!K33+'HOSPITAL ADMIN'!K34+'HOSPITAL ADMIN'!K35+'HOSPITAL ADMIN'!K36+'HOSPITAL ADMIN'!K37+'HOSPITAL ADMIN'!K38+MARKETING!K20+MARKETING!K21+MARKETING!K22+MARKETING!K23+MARKETING!K24+MARKETING!K25+MARKETING!K26+MARKETING!K27)</f>
        <v>2276.0072250213898</v>
      </c>
      <c r="Q27" s="153">
        <f>SUM('HOSPITAL ADMIN'!L31+'HOSPITAL ADMIN'!L32+'HOSPITAL ADMIN'!L33+'HOSPITAL ADMIN'!L34+'HOSPITAL ADMIN'!L35+'HOSPITAL ADMIN'!L36+'HOSPITAL ADMIN'!L37+'HOSPITAL ADMIN'!L38+MARKETING!L20+MARKETING!L21+MARKETING!L22+MARKETING!L23+MARKETING!L24+MARKETING!L25+MARKETING!L26+MARKETING!L27)</f>
        <v>2103.2797794467156</v>
      </c>
      <c r="R27" s="153">
        <f>SUM('HOSPITAL ADMIN'!M31+'HOSPITAL ADMIN'!M32+'HOSPITAL ADMIN'!M33+'HOSPITAL ADMIN'!M34+'HOSPITAL ADMIN'!M35+'HOSPITAL ADMIN'!M36+'HOSPITAL ADMIN'!M37+'HOSPITAL ADMIN'!M38+MARKETING!M20+MARKETING!M21+MARKETING!M22+MARKETING!M23+MARKETING!M24+MARKETING!M25+MARKETING!M26+MARKETING!M27)</f>
        <v>2230.1815761954558</v>
      </c>
      <c r="S27" s="153">
        <f>SUM('HOSPITAL ADMIN'!N31+'HOSPITAL ADMIN'!N32+'HOSPITAL ADMIN'!N33+'HOSPITAL ADMIN'!N34+'HOSPITAL ADMIN'!N35+'HOSPITAL ADMIN'!N36+'HOSPITAL ADMIN'!N37+'HOSPITAL ADMIN'!N38+MARKETING!N20+MARKETING!N21+MARKETING!N22+MARKETING!N23+MARKETING!N24+MARKETING!N25+MARKETING!N26+MARKETING!N27)</f>
        <v>2039.8288810723454</v>
      </c>
      <c r="T27" s="153">
        <f>SUM('HOSPITAL ADMIN'!O31+'HOSPITAL ADMIN'!O32+'HOSPITAL ADMIN'!O33+'HOSPITAL ADMIN'!O34+'HOSPITAL ADMIN'!O35+'HOSPITAL ADMIN'!O36+'HOSPITAL ADMIN'!O37+'HOSPITAL ADMIN'!O38+MARKETING!O20+MARKETING!O21+MARKETING!O22+MARKETING!O23+MARKETING!O24+MARKETING!O25+MARKETING!O26+MARKETING!O27)</f>
        <v>1843.6011027664226</v>
      </c>
      <c r="U27" s="153">
        <f>SUM('HOSPITAL ADMIN'!P31+'HOSPITAL ADMIN'!P32+'HOSPITAL ADMIN'!P33+'HOSPITAL ADMIN'!P34+'HOSPITAL ADMIN'!P35+'HOSPITAL ADMIN'!P36+'HOSPITAL ADMIN'!P37+'HOSPITAL ADMIN'!P38+MARKETING!P20+MARKETING!P21+MARKETING!P22+MARKETING!P23+MARKETING!P24+MARKETING!P25+MARKETING!P26+MARKETING!P27)</f>
        <v>2149.1054282726495</v>
      </c>
      <c r="V27" s="153">
        <f>SUM('HOSPITAL ADMIN'!Q31+'HOSPITAL ADMIN'!Q32+'HOSPITAL ADMIN'!Q33+'HOSPITAL ADMIN'!Q34+'HOSPITAL ADMIN'!Q35+'HOSPITAL ADMIN'!Q36+'HOSPITAL ADMIN'!Q37+'HOSPITAL ADMIN'!Q38+MARKETING!Q20+MARKETING!Q21+MARKETING!Q22+MARKETING!Q23+MARKETING!Q24+MARKETING!Q25+MARKETING!Q26+MARKETING!Q27)</f>
        <v>2191.4060271888961</v>
      </c>
      <c r="W27" s="154">
        <f t="shared" si="8"/>
        <v>24720.000000000004</v>
      </c>
      <c r="X27" s="153">
        <f t="shared" si="9"/>
        <v>0</v>
      </c>
      <c r="Y27" s="153"/>
      <c r="Z27" s="153"/>
      <c r="AA27" s="641">
        <v>37070</v>
      </c>
      <c r="AC27" s="153">
        <v>20550</v>
      </c>
      <c r="AD27" s="641"/>
      <c r="AE27" s="289"/>
      <c r="AF27" s="153">
        <v>24046</v>
      </c>
      <c r="AG27" s="221">
        <v>29274</v>
      </c>
      <c r="AH27" s="221">
        <v>33148</v>
      </c>
      <c r="AI27" s="221">
        <v>15616</v>
      </c>
      <c r="AJ27" s="153">
        <v>20269</v>
      </c>
      <c r="AK27" s="237"/>
      <c r="AL27" s="237"/>
      <c r="AM27" s="237"/>
      <c r="AN27" s="237"/>
      <c r="AO27" s="237"/>
    </row>
    <row r="28" spans="1:41" s="248" customFormat="1" x14ac:dyDescent="0.2">
      <c r="A28" s="215"/>
      <c r="B28" s="237" t="s">
        <v>839</v>
      </c>
      <c r="C28" s="637">
        <f>MOB!C20+MOB!C21+MOB!C22+'PLANT OP &amp; MAINTENANCE'!C22+'PLANT OP &amp; MAINTENANCE'!C23+'PLANT OP &amp; MAINTENANCE'!C24+'PLANT OP &amp; MAINTENANCE'!C25+'BYRD AVENUE - OLD HOSPITAL'!C11+'BYRD AVENUE - OLD HOSPITAL'!C12+'BYRD AVENUE - OLD HOSPITAL'!C13+'BYRD AVENUE - OLD HOSPITAL'!C14</f>
        <v>325725</v>
      </c>
      <c r="D28" s="289">
        <f t="shared" si="10"/>
        <v>2.7009310284332393E-2</v>
      </c>
      <c r="E28" s="288"/>
      <c r="F28" s="153">
        <v>424497</v>
      </c>
      <c r="G28" s="237">
        <v>3.2535284080897467E-2</v>
      </c>
      <c r="H28" s="237"/>
      <c r="I28" s="153">
        <f t="shared" si="11"/>
        <v>-98772</v>
      </c>
      <c r="J28" s="289">
        <f t="shared" si="12"/>
        <v>-0.23268008961194073</v>
      </c>
      <c r="K28" s="153">
        <f>SUM(MOB!F20+MOB!F21+MOB!F22+'PLANT OP &amp; MAINTENANCE'!F22+'PLANT OP &amp; MAINTENANCE'!F23+'PLANT OP &amp; MAINTENANCE'!F24+'PLANT OP &amp; MAINTENANCE'!F25+'BYRD AVENUE - OLD HOSPITAL'!F11+'BYRD AVENUE - OLD HOSPITAL'!F12+'BYRD AVENUE - OLD HOSPITAL'!F13+'BYRD AVENUE - OLD HOSPITAL'!F14)</f>
        <v>26342.406018010977</v>
      </c>
      <c r="L28" s="153">
        <f>SUM(MOB!G20+MOB!G21+MOB!G22+'PLANT OP &amp; MAINTENANCE'!G22+'PLANT OP &amp; MAINTENANCE'!G23+'PLANT OP &amp; MAINTENANCE'!G24+'PLANT OP &amp; MAINTENANCE'!G25+'BYRD AVENUE - OLD HOSPITAL'!G11+'BYRD AVENUE - OLD HOSPITAL'!G12+'BYRD AVENUE - OLD HOSPITAL'!G13+'BYRD AVENUE - OLD HOSPITAL'!G14)</f>
        <v>25213.120230093235</v>
      </c>
      <c r="M28" s="153">
        <f>SUM(MOB!H20+MOB!H21+MOB!H22+'PLANT OP &amp; MAINTENANCE'!H22+'PLANT OP &amp; MAINTENANCE'!H23+'PLANT OP &amp; MAINTENANCE'!H24+'PLANT OP &amp; MAINTENANCE'!H25+'BYRD AVENUE - OLD HOSPITAL'!H11+'BYRD AVENUE - OLD HOSPITAL'!H12+'BYRD AVENUE - OLD HOSPITAL'!H13+'BYRD AVENUE - OLD HOSPITAL'!H14)</f>
        <v>24220.189241582186</v>
      </c>
      <c r="N28" s="153">
        <f>SUM(MOB!I20+MOB!I21+MOB!I22+'PLANT OP &amp; MAINTENANCE'!I22+'PLANT OP &amp; MAINTENANCE'!I23+'PLANT OP &amp; MAINTENANCE'!I24+'PLANT OP &amp; MAINTENANCE'!I25+'BYRD AVENUE - OLD HOSPITAL'!I11+'BYRD AVENUE - OLD HOSPITAL'!I12+'BYRD AVENUE - OLD HOSPITAL'!I13+'BYRD AVENUE - OLD HOSPITAL'!I14)</f>
        <v>27094.613893765738</v>
      </c>
      <c r="O28" s="153">
        <f>SUM(MOB!J20+MOB!J21+MOB!J22+'PLANT OP &amp; MAINTENANCE'!J22+'PLANT OP &amp; MAINTENANCE'!J23+'PLANT OP &amp; MAINTENANCE'!J24+'PLANT OP &amp; MAINTENANCE'!J25+'BYRD AVENUE - OLD HOSPITAL'!J11+'BYRD AVENUE - OLD HOSPITAL'!J12+'BYRD AVENUE - OLD HOSPITAL'!J13+'BYRD AVENUE - OLD HOSPITAL'!J14)</f>
        <v>27458.114179734072</v>
      </c>
      <c r="P28" s="153">
        <f>SUM(MOB!K20+MOB!K21+MOB!K22+'PLANT OP &amp; MAINTENANCE'!K22+'PLANT OP &amp; MAINTENANCE'!K23+'PLANT OP &amp; MAINTENANCE'!K24+'PLANT OP &amp; MAINTENANCE'!K25+'BYRD AVENUE - OLD HOSPITAL'!K11+'BYRD AVENUE - OLD HOSPITAL'!K12+'BYRD AVENUE - OLD HOSPITAL'!K13+'BYRD AVENUE - OLD HOSPITAL'!K14)</f>
        <v>29968.228524908824</v>
      </c>
      <c r="Q28" s="153">
        <f>SUM(MOB!L20+MOB!L21+MOB!L22+'PLANT OP &amp; MAINTENANCE'!L22+'PLANT OP &amp; MAINTENANCE'!L23+'PLANT OP &amp; MAINTENANCE'!L24+'PLANT OP &amp; MAINTENANCE'!L25+'BYRD AVENUE - OLD HOSPITAL'!L11+'BYRD AVENUE - OLD HOSPITAL'!L12+'BYRD AVENUE - OLD HOSPITAL'!L13+'BYRD AVENUE - OLD HOSPITAL'!L14)</f>
        <v>27666.580799419757</v>
      </c>
      <c r="R28" s="153">
        <f>SUM(MOB!M20+MOB!M21+MOB!M22+'PLANT OP &amp; MAINTENANCE'!M22+'PLANT OP &amp; MAINTENANCE'!M23+'PLANT OP &amp; MAINTENANCE'!M24+'PLANT OP &amp; MAINTENANCE'!M25+'BYRD AVENUE - OLD HOSPITAL'!M11+'BYRD AVENUE - OLD HOSPITAL'!M12+'BYRD AVENUE - OLD HOSPITAL'!M13+'BYRD AVENUE - OLD HOSPITAL'!M14)</f>
        <v>29375.258743025832</v>
      </c>
      <c r="S28" s="153">
        <f>SUM(MOB!N20+MOB!N21+MOB!N22+'PLANT OP &amp; MAINTENANCE'!N22+'PLANT OP &amp; MAINTENANCE'!N23+'PLANT OP &amp; MAINTENANCE'!N24+'PLANT OP &amp; MAINTENANCE'!N25+'BYRD AVENUE - OLD HOSPITAL'!N11+'BYRD AVENUE - OLD HOSPITAL'!N12+'BYRD AVENUE - OLD HOSPITAL'!N13+'BYRD AVENUE - OLD HOSPITAL'!N14)</f>
        <v>26868.538804399745</v>
      </c>
      <c r="T28" s="153">
        <f>SUM(MOB!O20+MOB!O21+MOB!O22+'PLANT OP &amp; MAINTENANCE'!O22+'PLANT OP &amp; MAINTENANCE'!O23+'PLANT OP &amp; MAINTENANCE'!O24+'PLANT OP &amp; MAINTENANCE'!O25+'BYRD AVENUE - OLD HOSPITAL'!O11+'BYRD AVENUE - OLD HOSPITAL'!O12+'BYRD AVENUE - OLD HOSPITAL'!O13+'BYRD AVENUE - OLD HOSPITAL'!O14)</f>
        <v>24290.333851573359</v>
      </c>
      <c r="U28" s="153">
        <f>SUM(MOB!P20+MOB!P21+MOB!P22+'PLANT OP &amp; MAINTENANCE'!P22+'PLANT OP &amp; MAINTENANCE'!P23+'PLANT OP &amp; MAINTENANCE'!P24+'PLANT OP &amp; MAINTENANCE'!P25+'BYRD AVENUE - OLD HOSPITAL'!P11+'BYRD AVENUE - OLD HOSPITAL'!P12+'BYRD AVENUE - OLD HOSPITAL'!P13+'BYRD AVENUE - OLD HOSPITAL'!P14)</f>
        <v>28369.463726450573</v>
      </c>
      <c r="V28" s="153">
        <f>SUM(MOB!Q20+MOB!Q21+MOB!Q22+'PLANT OP &amp; MAINTENANCE'!Q22+'PLANT OP &amp; MAINTENANCE'!Q23+'PLANT OP &amp; MAINTENANCE'!Q24+'PLANT OP &amp; MAINTENANCE'!Q25+'BYRD AVENUE - OLD HOSPITAL'!Q11+'BYRD AVENUE - OLD HOSPITAL'!Q12+'BYRD AVENUE - OLD HOSPITAL'!Q13+'BYRD AVENUE - OLD HOSPITAL'!Q14)</f>
        <v>28858.151987035697</v>
      </c>
      <c r="W28" s="154">
        <f t="shared" si="8"/>
        <v>325725</v>
      </c>
      <c r="X28" s="153">
        <f t="shared" si="9"/>
        <v>0</v>
      </c>
      <c r="Y28" s="153"/>
      <c r="Z28" s="153"/>
      <c r="AA28" s="641">
        <v>400660</v>
      </c>
      <c r="AC28" s="153">
        <v>370125.28</v>
      </c>
      <c r="AD28" s="641"/>
      <c r="AE28" s="289"/>
      <c r="AF28" s="153">
        <v>387400</v>
      </c>
      <c r="AG28" s="221">
        <v>362552</v>
      </c>
      <c r="AH28" s="221">
        <v>380154</v>
      </c>
      <c r="AI28" s="221">
        <v>410358</v>
      </c>
      <c r="AJ28" s="153">
        <v>424497</v>
      </c>
      <c r="AK28" s="237"/>
      <c r="AL28" s="237"/>
      <c r="AM28" s="237"/>
      <c r="AN28" s="237"/>
      <c r="AO28" s="237"/>
    </row>
    <row r="29" spans="1:41" s="248" customFormat="1" x14ac:dyDescent="0.2">
      <c r="A29" s="215"/>
      <c r="B29" s="237" t="s">
        <v>840</v>
      </c>
      <c r="C29" s="637">
        <f>'MED SURG'!C33+'MED SURG'!C34+'MED SURG'!C35+'MED SURG'!C36+'MED SURG'!C37+'MED SURG'!C38+'MED SURG'!C39+'SWING BED'!C34+'SWING BED'!C35+'SWING BED'!C36+'SWING BED'!C37+ICU!C32+ICU!C33+ICU!C34+ICU!C35+ICU!C36+OBS!C37+OBS!C38+OBS!C39+OR!C61+OR!C62+OR!C63+OR!C64+OR!C65+OR!C66+RECOVERY!C44+RECOVERY!C45+SURGIDAY!C41+SURGIDAY!C42+ENDOSCOPY!C40+ENDOSCOPY!C41+'STERILE SUPPLY'!C40+'STERILE SUPPLY'!C41+PHARMACY!C55+PHARMACY!C56+PHARMACY!C57+PHARMACY!C58+LAB!C53+LAB!C54+LAB!C55+LAB!C56+LAB!C57+LAB!C58+PATHOLOGY!C33+'CENTRAL SUPPLY'!C48+'CENTRAL SUPPLY'!C49+'CENTRAL SUPPLY'!C50+'CENTRAL SUPPLY'!C51+'CENTRAL SUPPLY'!C52+'CENTRAL SUPPLY'!C53+XRAY!C51+XRAY!C52+XRAY!C53+XRAY!C54+XRAY!C55+XRAY!C56+CT!C38+MAMMOGRAPHY!C48+MAMMOGRAPHY!C49+RESPIRATORY!C50+RESPIRATORY!C51+RESPIRATORY!C52+RESPIRATORY!C53+RESPIRATORY!C54+'PHYSICAL THERAPY'!C45+'EMERGENCY SERVICES'!C52+'EMERGENCY SERVICES'!C53+'EMERGENCY SERVICES'!C54+'EMERGENCY SERVICES'!C55+'EMERGENCY SERVICES'!C56+'EMERGENCY SERVICES'!C57+MOB!C23+MOB!C24+MOB!C25+MOB!C26+MOB!C27+MOB!C28+HOUSEKEEPING!C19+HOUSEKEEPING!C20+HOUSEKEEPING!C21+HOUSEKEEPING!C22+HOUSEKEEPING!C23+HOUSEKEEPING!C24+'PLANT OP &amp; MAINTENANCE'!C26+'PLANT OP &amp; MAINTENANCE'!C27+'PLANT OP &amp; MAINTENANCE'!C28+'PLANT OP &amp; MAINTENANCE'!C29+'PLANT OP &amp; MAINTENANCE'!C30+'PLANT OP &amp; MAINTENANCE'!C31+'PLANT OP &amp; MAINTENANCE'!C32+SECURITY!C20+SECURITY!C19+SECURITY!C21+SECURITY!C22+SECURITY!C23+SECURITY!C24+SECURITY!C25+SECURITY!C26+ADMITTING!C20+ADMITTING!C21+ADMITTING!C22+ADMITTING!C23+ADMITTING!C24+ADMITTING!C25+'BUSINESS OFFICE'!C21+'BUSINESS OFFICE'!C22+'BUSINESS OFFICE'!C23+'BUSINESS OFFICE'!C24+'BUSINESS OFFICE'!C25+'BUSINESS OFFICE'!C26+'BUSINESS OFFICE'!C27+COMMUNICATIONS!C19+COMMUNICATIONS!C20+'NURSING ADMIN'!C20+'NURSING ADMIN'!C21+'NURSING ADMIN'!C22+'NURSING ADMIN'!C23+'NURSING ADMIN'!C24+'NURSING ADMIN'!C25+'NURSING ADMIN'!C26+'HOSPITAL ADMIN'!C39+'HOSPITAL ADMIN'!C40+'HOSPITAL ADMIN'!C41+'HOSPITAL ADMIN'!C44+'HOSPITAL ADMIN'!C46+'HOSPITAL ADMIN'!C47+'HOSPITAL ADMIN'!C49+'HOSPITAL ADMIN'!C50+'HOSPITAL ADMIN'!C51+'HOSPITAL ADMIN'!C52+'HOSPITAL ADMIN'!C53+'HOSPITAL ADMIN'!C54+'HOSPITAL ADMIN'!C55+MARKETING!C28+MARKETING!C29+MARKETING!C30+MARKETING!C31+MARKETING!C32+MARKETING!C33+MARKETING!C34+MARKETING!C35+'GENERAL ACCOUNTING'!C19+'GENERAL ACCOUNTING'!C21+'GENERAL ACCOUNTING'!C22+'GENERAL ACCOUNTING'!C23+'GENERAL ACCOUNTING'!C24+'GENERAL ACCOUNTING'!C25+'GENERAL ACCOUNTING'!C26+'DATA PROCESSING'!C21+'DATA PROCESSING'!C22+'DATA PROCESSING'!C23+'DATA PROCESSING'!C24+'DATA PROCESSING'!C25+'DATA PROCESSING'!C26+'DATA PROCESSING'!C27+'HEALTH INFO MGMT'!C21+'HEALTH INFO MGMT'!C22+'HEALTH INFO MGMT'!C23+'HEALTH INFO MGMT'!C24+'HEALTH INFO MGMT'!C25+'HEALTH INFO MGMT'!C26+'HEALTH INFO MGMT'!C27+DIETARY!C21+DIETARY!C22+DIETARY!C23+DIETARY!C24+DIETARY!C25+DIETARY!C26+DIETARY!C27</f>
        <v>116992.45</v>
      </c>
      <c r="D29" s="289">
        <f t="shared" si="10"/>
        <v>9.7010833770028188E-3</v>
      </c>
      <c r="E29" s="288"/>
      <c r="F29" s="153">
        <v>155067</v>
      </c>
      <c r="G29" s="237">
        <v>1.1885004832949414E-2</v>
      </c>
      <c r="H29" s="237"/>
      <c r="I29" s="153">
        <f t="shared" si="11"/>
        <v>-38074.550000000003</v>
      </c>
      <c r="J29" s="289">
        <f t="shared" si="12"/>
        <v>-0.24553612309517822</v>
      </c>
      <c r="K29" s="153">
        <f>SUM('MED SURG'!F33+'MED SURG'!F34+'MED SURG'!F35+'MED SURG'!F36+'MED SURG'!F37+'MED SURG'!F38+'MED SURG'!F39+'SWING BED'!F34+'SWING BED'!F35+'SWING BED'!F36+'SWING BED'!F37+ICU!F32+ICU!F33+ICU!F34+ICU!F35+ICU!F36+OBS!F37+OBS!F38+OBS!F39+OR!F61+OR!F62+OR!F63+OR!F64+OR!F65+OR!F66+RECOVERY!F44+RECOVERY!F45+SURGIDAY!F41+SURGIDAY!F42+ENDOSCOPY!F40+ENDOSCOPY!F41+'STERILE SUPPLY'!F40+'STERILE SUPPLY'!F41+PHARMACY!F55+PHARMACY!F56+PHARMACY!F57+PHARMACY!F58+LAB!F53+LAB!F54+LAB!F55+LAB!F56+LAB!F57+LAB!F58+PATHOLOGY!F33+'CENTRAL SUPPLY'!F48+'CENTRAL SUPPLY'!F49+'CENTRAL SUPPLY'!F50+'CENTRAL SUPPLY'!F51+'CENTRAL SUPPLY'!F52+'CENTRAL SUPPLY'!F53+XRAY!F51+XRAY!F52+XRAY!F53+XRAY!F54+XRAY!F55+XRAY!F56+CT!F38+MAMMOGRAPHY!F48+MAMMOGRAPHY!F49+RESPIRATORY!F50+RESPIRATORY!F51+RESPIRATORY!F52+RESPIRATORY!F53+RESPIRATORY!F54+'PHYSICAL THERAPY'!F45+'EMERGENCY SERVICES'!F52+'EMERGENCY SERVICES'!F53+'EMERGENCY SERVICES'!F54+'EMERGENCY SERVICES'!F55+'EMERGENCY SERVICES'!F56+'EMERGENCY SERVICES'!F57+MOB!F23+MOB!F24+MOB!F25+MOB!F26+MOB!F27+MOB!F28+HOUSEKEEPING!F19+HOUSEKEEPING!F20+HOUSEKEEPING!F21+HOUSEKEEPING!F22+HOUSEKEEPING!F23+HOUSEKEEPING!F24+'PLANT OP &amp; MAINTENANCE'!F26+'PLANT OP &amp; MAINTENANCE'!F27+'PLANT OP &amp; MAINTENANCE'!F28+'PLANT OP &amp; MAINTENANCE'!F29+'PLANT OP &amp; MAINTENANCE'!F30+'PLANT OP &amp; MAINTENANCE'!F31+'PLANT OP &amp; MAINTENANCE'!F32+SECURITY!F20+SECURITY!F19+SECURITY!F21+SECURITY!F22+SECURITY!F23+SECURITY!F24+SECURITY!F25+SECURITY!F26+ADMITTING!F20+ADMITTING!F21+ADMITTING!F22+ADMITTING!F23+ADMITTING!F24+ADMITTING!F25+'BUSINESS OFFICE'!F21+'BUSINESS OFFICE'!F22+'BUSINESS OFFICE'!F23+'BUSINESS OFFICE'!F24+'BUSINESS OFFICE'!F25+'BUSINESS OFFICE'!F26+'BUSINESS OFFICE'!F27+COMMUNICATIONS!F19+COMMUNICATIONS!F20+'NURSING ADMIN'!F20+'NURSING ADMIN'!F21+'NURSING ADMIN'!F22+'NURSING ADMIN'!F23+'NURSING ADMIN'!F24+'NURSING ADMIN'!F25+'NURSING ADMIN'!F26+'HOSPITAL ADMIN'!F39+'HOSPITAL ADMIN'!F40+'HOSPITAL ADMIN'!F41+'HOSPITAL ADMIN'!F44+'HOSPITAL ADMIN'!F46+'HOSPITAL ADMIN'!F47+'HOSPITAL ADMIN'!F49+'HOSPITAL ADMIN'!F50+'HOSPITAL ADMIN'!F51+'HOSPITAL ADMIN'!F52+'HOSPITAL ADMIN'!F53+'HOSPITAL ADMIN'!F54+'HOSPITAL ADMIN'!F55+MARKETING!F28+MARKETING!F29+MARKETING!F30+MARKETING!F31+MARKETING!F32+MARKETING!F33+MARKETING!F34+MARKETING!F35+'GENERAL ACCOUNTING'!F19+'GENERAL ACCOUNTING'!F21+'GENERAL ACCOUNTING'!F22+'GENERAL ACCOUNTING'!F23+'GENERAL ACCOUNTING'!F24+'GENERAL ACCOUNTING'!F25+'GENERAL ACCOUNTING'!F26+'DATA PROCESSING'!F21+'DATA PROCESSING'!F22+'DATA PROCESSING'!F23+'DATA PROCESSING'!F24+'DATA PROCESSING'!F25+'DATA PROCESSING'!F26+'DATA PROCESSING'!F27+'HEALTH INFO MGMT'!F21+'HEALTH INFO MGMT'!F22+'HEALTH INFO MGMT'!F23+'HEALTH INFO MGMT'!F24+'HEALTH INFO MGMT'!F25+'HEALTH INFO MGMT'!F26+'HEALTH INFO MGMT'!F27+DIETARY!F21+DIETARY!F22+DIETARY!F23+DIETARY!F24+DIETARY!F25+DIETARY!F26+DIETARY!F27)</f>
        <v>9395.4505005752835</v>
      </c>
      <c r="L29" s="641">
        <f>SUM('MED SURG'!G33+'MED SURG'!G34+'MED SURG'!G35+'MED SURG'!G36+'MED SURG'!G37+'MED SURG'!G38+'MED SURG'!G39+'SWING BED'!G34+'SWING BED'!G35+'SWING BED'!G36+'SWING BED'!G37+ICU!G32+ICU!G33+ICU!G34+ICU!G35+ICU!G36+OBS!G37+OBS!G38+OBS!G39+OR!G61+OR!G62+OR!G63+OR!G64+OR!G65+OR!G66+RECOVERY!G44+RECOVERY!G45+SURGIDAY!G41+SURGIDAY!G42+ENDOSCOPY!G40+ENDOSCOPY!G41+'STERILE SUPPLY'!G40+'STERILE SUPPLY'!G41+PHARMACY!G55+PHARMACY!G56+PHARMACY!G57+PHARMACY!G58+LAB!G53+LAB!G54+LAB!G55+LAB!G56+LAB!G57+LAB!G58+PATHOLOGY!G33+'CENTRAL SUPPLY'!G48+'CENTRAL SUPPLY'!G49+'CENTRAL SUPPLY'!G50+'CENTRAL SUPPLY'!G51+'CENTRAL SUPPLY'!G52+'CENTRAL SUPPLY'!G53+XRAY!G51+XRAY!G52+XRAY!G53+XRAY!G54+XRAY!G55+XRAY!G56+CT!G38+MAMMOGRAPHY!G48+MAMMOGRAPHY!G49+RESPIRATORY!G50+RESPIRATORY!G51+RESPIRATORY!G52+RESPIRATORY!G53+RESPIRATORY!G54+'PHYSICAL THERAPY'!G45+'EMERGENCY SERVICES'!G52+'EMERGENCY SERVICES'!G53+'EMERGENCY SERVICES'!G54+'EMERGENCY SERVICES'!G55+'EMERGENCY SERVICES'!G56+'EMERGENCY SERVICES'!G57+MOB!G23+MOB!G24+MOB!G25+MOB!G26+MOB!G27+MOB!G28+HOUSEKEEPING!G19+HOUSEKEEPING!G20+HOUSEKEEPING!G21+HOUSEKEEPING!G22+HOUSEKEEPING!G23+HOUSEKEEPING!G24+'PLANT OP &amp; MAINTENANCE'!G26+'PLANT OP &amp; MAINTENANCE'!G27+'PLANT OP &amp; MAINTENANCE'!G28+'PLANT OP &amp; MAINTENANCE'!G29+'PLANT OP &amp; MAINTENANCE'!G30+'PLANT OP &amp; MAINTENANCE'!G31+'PLANT OP &amp; MAINTENANCE'!G32+SECURITY!G20+SECURITY!G19+SECURITY!G21+SECURITY!G22+SECURITY!G23+SECURITY!G24+SECURITY!G25+SECURITY!G26+ADMITTING!G20+ADMITTING!G21+ADMITTING!G22+ADMITTING!G23+ADMITTING!G24+ADMITTING!G25+'BUSINESS OFFICE'!G21+'BUSINESS OFFICE'!G22+'BUSINESS OFFICE'!G23+'BUSINESS OFFICE'!G24+'BUSINESS OFFICE'!G25+'BUSINESS OFFICE'!G26+'BUSINESS OFFICE'!G27+COMMUNICATIONS!G19+COMMUNICATIONS!G20+'NURSING ADMIN'!G20+'NURSING ADMIN'!G21+'NURSING ADMIN'!G22+'NURSING ADMIN'!G23+'NURSING ADMIN'!G24+'NURSING ADMIN'!G25+'NURSING ADMIN'!G26+'HOSPITAL ADMIN'!G39+'HOSPITAL ADMIN'!G40+'HOSPITAL ADMIN'!G41+'HOSPITAL ADMIN'!G44+'HOSPITAL ADMIN'!G46+'HOSPITAL ADMIN'!G47+'HOSPITAL ADMIN'!G49+'HOSPITAL ADMIN'!G50+'HOSPITAL ADMIN'!G51+'HOSPITAL ADMIN'!G52+'HOSPITAL ADMIN'!G53+'HOSPITAL ADMIN'!G54+'HOSPITAL ADMIN'!G55+MARKETING!G28+MARKETING!G29+MARKETING!G30+MARKETING!G31+MARKETING!G32+MARKETING!G33+MARKETING!G34+MARKETING!G35+'GENERAL ACCOUNTING'!G19+'GENERAL ACCOUNTING'!G21+'GENERAL ACCOUNTING'!G22+'GENERAL ACCOUNTING'!G23+'GENERAL ACCOUNTING'!G24+'GENERAL ACCOUNTING'!G25+'GENERAL ACCOUNTING'!G26+'DATA PROCESSING'!G21+'DATA PROCESSING'!G22+'DATA PROCESSING'!G23+'DATA PROCESSING'!G24+'DATA PROCESSING'!G25+'DATA PROCESSING'!G26+'DATA PROCESSING'!G27+'HEALTH INFO MGMT'!G21+'HEALTH INFO MGMT'!G22+'HEALTH INFO MGMT'!G23+'HEALTH INFO MGMT'!G24+'HEALTH INFO MGMT'!G25+'HEALTH INFO MGMT'!G26+'HEALTH INFO MGMT'!G27+DIETARY!G21+DIETARY!G22+DIETARY!G23+DIETARY!G24+DIETARY!G25+DIETARY!G26+DIETARY!G27)</f>
        <v>9027.6307328707226</v>
      </c>
      <c r="M29" s="641">
        <f>SUM('MED SURG'!H33+'MED SURG'!H34+'MED SURG'!H35+'MED SURG'!H36+'MED SURG'!H37+'MED SURG'!H38+'MED SURG'!H39+'SWING BED'!H34+'SWING BED'!H35+'SWING BED'!H36+'SWING BED'!H37+ICU!H32+ICU!H33+ICU!H34+ICU!H35+ICU!H36+OBS!H37+OBS!H38+OBS!H39+OR!H61+OR!H62+OR!H63+OR!H64+OR!H65+OR!H66+RECOVERY!H44+RECOVERY!H45+SURGIDAY!H41+SURGIDAY!H42+ENDOSCOPY!H40+ENDOSCOPY!H41+'STERILE SUPPLY'!H40+'STERILE SUPPLY'!H41+PHARMACY!H55+PHARMACY!H56+PHARMACY!H57+PHARMACY!H58+LAB!H53+LAB!H54+LAB!H55+LAB!H56+LAB!H57+LAB!H58+PATHOLOGY!H33+'CENTRAL SUPPLY'!H48+'CENTRAL SUPPLY'!H49+'CENTRAL SUPPLY'!H50+'CENTRAL SUPPLY'!H51+'CENTRAL SUPPLY'!H52+'CENTRAL SUPPLY'!H53+XRAY!H51+XRAY!H52+XRAY!H53+XRAY!H54+XRAY!H55+XRAY!H56+CT!H38+MAMMOGRAPHY!H48+MAMMOGRAPHY!H49+RESPIRATORY!H50+RESPIRATORY!H51+RESPIRATORY!H52+RESPIRATORY!H53+RESPIRATORY!H54+'PHYSICAL THERAPY'!H45+'EMERGENCY SERVICES'!H52+'EMERGENCY SERVICES'!H53+'EMERGENCY SERVICES'!H54+'EMERGENCY SERVICES'!H55+'EMERGENCY SERVICES'!H56+'EMERGENCY SERVICES'!H57+MOB!H23+MOB!H24+MOB!H25+MOB!H26+MOB!H27+MOB!H28+HOUSEKEEPING!H19+HOUSEKEEPING!H20+HOUSEKEEPING!H21+HOUSEKEEPING!H22+HOUSEKEEPING!H23+HOUSEKEEPING!H24+'PLANT OP &amp; MAINTENANCE'!H26+'PLANT OP &amp; MAINTENANCE'!H27+'PLANT OP &amp; MAINTENANCE'!H28+'PLANT OP &amp; MAINTENANCE'!H29+'PLANT OP &amp; MAINTENANCE'!H30+'PLANT OP &amp; MAINTENANCE'!H31+'PLANT OP &amp; MAINTENANCE'!H32+SECURITY!H20+SECURITY!H19+SECURITY!H21+SECURITY!H22+SECURITY!H23+SECURITY!H24+SECURITY!H25+SECURITY!H26+ADMITTING!H20+ADMITTING!H21+ADMITTING!H22+ADMITTING!H23+ADMITTING!H24+ADMITTING!H25+'BUSINESS OFFICE'!H21+'BUSINESS OFFICE'!H22+'BUSINESS OFFICE'!H23+'BUSINESS OFFICE'!H24+'BUSINESS OFFICE'!H25+'BUSINESS OFFICE'!H26+'BUSINESS OFFICE'!H27+COMMUNICATIONS!H19+COMMUNICATIONS!H20+'NURSING ADMIN'!H20+'NURSING ADMIN'!H21+'NURSING ADMIN'!H22+'NURSING ADMIN'!H23+'NURSING ADMIN'!H24+'NURSING ADMIN'!H25+'NURSING ADMIN'!H26+'HOSPITAL ADMIN'!H39+'HOSPITAL ADMIN'!H40+'HOSPITAL ADMIN'!H41+'HOSPITAL ADMIN'!H44+'HOSPITAL ADMIN'!H46+'HOSPITAL ADMIN'!H47+'HOSPITAL ADMIN'!H49+'HOSPITAL ADMIN'!H50+'HOSPITAL ADMIN'!H51+'HOSPITAL ADMIN'!H52+'HOSPITAL ADMIN'!H53+'HOSPITAL ADMIN'!H54+'HOSPITAL ADMIN'!H55+MARKETING!H28+MARKETING!H29+MARKETING!H30+MARKETING!H31+MARKETING!H32+MARKETING!H33+MARKETING!H34+MARKETING!H35+'GENERAL ACCOUNTING'!H19+'GENERAL ACCOUNTING'!H21+'GENERAL ACCOUNTING'!H22+'GENERAL ACCOUNTING'!H23+'GENERAL ACCOUNTING'!H24+'GENERAL ACCOUNTING'!H25+'GENERAL ACCOUNTING'!H26+'DATA PROCESSING'!H21+'DATA PROCESSING'!H22+'DATA PROCESSING'!H23+'DATA PROCESSING'!H24+'DATA PROCESSING'!H25+'DATA PROCESSING'!H26+'DATA PROCESSING'!H27+'HEALTH INFO MGMT'!H21+'HEALTH INFO MGMT'!H22+'HEALTH INFO MGMT'!H23+'HEALTH INFO MGMT'!H24+'HEALTH INFO MGMT'!H25+'HEALTH INFO MGMT'!H26+'HEALTH INFO MGMT'!H27+DIETARY!H21+DIETARY!H22+DIETARY!H23+DIETARY!H24+DIETARY!H25+DIETARY!H26+DIETARY!H27)</f>
        <v>8755.5347882682363</v>
      </c>
      <c r="N29" s="641">
        <f>SUM('MED SURG'!I33+'MED SURG'!I34+'MED SURG'!I35+'MED SURG'!I36+'MED SURG'!I37+'MED SURG'!I38+'MED SURG'!I39+'SWING BED'!I34+'SWING BED'!I35+'SWING BED'!I36+'SWING BED'!I37+ICU!I32+ICU!I33+ICU!I34+ICU!I35+ICU!I36+OBS!I37+OBS!I38+OBS!I39+OR!I61+OR!I62+OR!I63+OR!I64+OR!I65+OR!I66+RECOVERY!I44+RECOVERY!I45+SURGIDAY!I41+SURGIDAY!I42+ENDOSCOPY!I40+ENDOSCOPY!I41+'STERILE SUPPLY'!I40+'STERILE SUPPLY'!I41+PHARMACY!I55+PHARMACY!I56+PHARMACY!I57+PHARMACY!I58+LAB!I53+LAB!I54+LAB!I55+LAB!I56+LAB!I57+LAB!I58+PATHOLOGY!I33+'CENTRAL SUPPLY'!I48+'CENTRAL SUPPLY'!I49+'CENTRAL SUPPLY'!I50+'CENTRAL SUPPLY'!I51+'CENTRAL SUPPLY'!I52+'CENTRAL SUPPLY'!I53+XRAY!I51+XRAY!I52+XRAY!I53+XRAY!I54+XRAY!I55+XRAY!I56+CT!I38+MAMMOGRAPHY!I48+MAMMOGRAPHY!I49+RESPIRATORY!I50+RESPIRATORY!I51+RESPIRATORY!I52+RESPIRATORY!I53+RESPIRATORY!I54+'PHYSICAL THERAPY'!I45+'EMERGENCY SERVICES'!I52+'EMERGENCY SERVICES'!I53+'EMERGENCY SERVICES'!I54+'EMERGENCY SERVICES'!I55+'EMERGENCY SERVICES'!I56+'EMERGENCY SERVICES'!I57+MOB!I23+MOB!I24+MOB!I25+MOB!I26+MOB!I27+MOB!I28+HOUSEKEEPING!I19+HOUSEKEEPING!I20+HOUSEKEEPING!I21+HOUSEKEEPING!I22+HOUSEKEEPING!I23+HOUSEKEEPING!I24+'PLANT OP &amp; MAINTENANCE'!I26+'PLANT OP &amp; MAINTENANCE'!I27+'PLANT OP &amp; MAINTENANCE'!I28+'PLANT OP &amp; MAINTENANCE'!I29+'PLANT OP &amp; MAINTENANCE'!I30+'PLANT OP &amp; MAINTENANCE'!I31+'PLANT OP &amp; MAINTENANCE'!I32+SECURITY!I20+SECURITY!I19+SECURITY!I21+SECURITY!I22+SECURITY!I23+SECURITY!I24+SECURITY!I25+SECURITY!I26+ADMITTING!I20+ADMITTING!I21+ADMITTING!I22+ADMITTING!I23+ADMITTING!I24+ADMITTING!I25+'BUSINESS OFFICE'!I21+'BUSINESS OFFICE'!I22+'BUSINESS OFFICE'!I23+'BUSINESS OFFICE'!I24+'BUSINESS OFFICE'!I25+'BUSINESS OFFICE'!I26+'BUSINESS OFFICE'!I27+COMMUNICATIONS!I19+COMMUNICATIONS!I20+'NURSING ADMIN'!I20+'NURSING ADMIN'!I21+'NURSING ADMIN'!I22+'NURSING ADMIN'!I23+'NURSING ADMIN'!I24+'NURSING ADMIN'!I25+'NURSING ADMIN'!I26+'HOSPITAL ADMIN'!I39+'HOSPITAL ADMIN'!I40+'HOSPITAL ADMIN'!I41+'HOSPITAL ADMIN'!I44+'HOSPITAL ADMIN'!I46+'HOSPITAL ADMIN'!I47+'HOSPITAL ADMIN'!I49+'HOSPITAL ADMIN'!I50+'HOSPITAL ADMIN'!I51+'HOSPITAL ADMIN'!I52+'HOSPITAL ADMIN'!I53+'HOSPITAL ADMIN'!I54+'HOSPITAL ADMIN'!I55+MARKETING!I28+MARKETING!I29+MARKETING!I30+MARKETING!I31+MARKETING!I32+MARKETING!I33+MARKETING!I34+MARKETING!I35+'GENERAL ACCOUNTING'!I19+'GENERAL ACCOUNTING'!I21+'GENERAL ACCOUNTING'!I22+'GENERAL ACCOUNTING'!I23+'GENERAL ACCOUNTING'!I24+'GENERAL ACCOUNTING'!I25+'GENERAL ACCOUNTING'!I26+'DATA PROCESSING'!I21+'DATA PROCESSING'!I22+'DATA PROCESSING'!I23+'DATA PROCESSING'!I24+'DATA PROCESSING'!I25+'DATA PROCESSING'!I26+'DATA PROCESSING'!I27+'HEALTH INFO MGMT'!I21+'HEALTH INFO MGMT'!I22+'HEALTH INFO MGMT'!I23+'HEALTH INFO MGMT'!I24+'HEALTH INFO MGMT'!I25+'HEALTH INFO MGMT'!I26+'HEALTH INFO MGMT'!I27+DIETARY!I21+DIETARY!I22+DIETARY!I23+DIETARY!I24+DIETARY!I25+DIETARY!I26+DIETARY!I27)</f>
        <v>9631.9272618268278</v>
      </c>
      <c r="O29" s="641">
        <f>SUM('MED SURG'!J33+'MED SURG'!J34+'MED SURG'!J35+'MED SURG'!J36+'MED SURG'!J37+'MED SURG'!J38+'MED SURG'!J39+'SWING BED'!J34+'SWING BED'!J35+'SWING BED'!J36+'SWING BED'!J37+ICU!J32+ICU!J33+ICU!J34+ICU!J35+ICU!J36+OBS!J37+OBS!J38+OBS!J39+OR!J61+OR!J62+OR!J63+OR!J64+OR!J65+OR!J66+RECOVERY!J44+RECOVERY!J45+SURGIDAY!J41+SURGIDAY!J42+ENDOSCOPY!J40+ENDOSCOPY!J41+'STERILE SUPPLY'!J40+'STERILE SUPPLY'!J41+PHARMACY!J55+PHARMACY!J56+PHARMACY!J57+PHARMACY!J58+LAB!J53+LAB!J54+LAB!J55+LAB!J56+LAB!J57+LAB!J58+PATHOLOGY!J33+'CENTRAL SUPPLY'!J48+'CENTRAL SUPPLY'!J49+'CENTRAL SUPPLY'!J50+'CENTRAL SUPPLY'!J51+'CENTRAL SUPPLY'!J52+'CENTRAL SUPPLY'!J53+XRAY!J51+XRAY!J52+XRAY!J53+XRAY!J54+XRAY!J55+XRAY!J56+CT!J38+MAMMOGRAPHY!J48+MAMMOGRAPHY!J49+RESPIRATORY!J50+RESPIRATORY!J51+RESPIRATORY!J52+RESPIRATORY!J53+RESPIRATORY!J54+'PHYSICAL THERAPY'!J45+'EMERGENCY SERVICES'!J52+'EMERGENCY SERVICES'!J53+'EMERGENCY SERVICES'!J54+'EMERGENCY SERVICES'!J55+'EMERGENCY SERVICES'!J56+'EMERGENCY SERVICES'!J57+MOB!J23+MOB!J24+MOB!J25+MOB!J26+MOB!J27+MOB!J28+HOUSEKEEPING!J19+HOUSEKEEPING!J20+HOUSEKEEPING!J21+HOUSEKEEPING!J22+HOUSEKEEPING!J23+HOUSEKEEPING!J24+'PLANT OP &amp; MAINTENANCE'!J26+'PLANT OP &amp; MAINTENANCE'!J27+'PLANT OP &amp; MAINTENANCE'!J28+'PLANT OP &amp; MAINTENANCE'!J29+'PLANT OP &amp; MAINTENANCE'!J30+'PLANT OP &amp; MAINTENANCE'!J31+'PLANT OP &amp; MAINTENANCE'!J32+SECURITY!J20+SECURITY!J19+SECURITY!J21+SECURITY!J22+SECURITY!J23+SECURITY!J24+SECURITY!J25+SECURITY!J26+ADMITTING!J20+ADMITTING!J21+ADMITTING!J22+ADMITTING!J23+ADMITTING!J24+ADMITTING!J25+'BUSINESS OFFICE'!J21+'BUSINESS OFFICE'!J22+'BUSINESS OFFICE'!J23+'BUSINESS OFFICE'!J24+'BUSINESS OFFICE'!J25+'BUSINESS OFFICE'!J26+'BUSINESS OFFICE'!J27+COMMUNICATIONS!J19+COMMUNICATIONS!J20+'NURSING ADMIN'!J20+'NURSING ADMIN'!J21+'NURSING ADMIN'!J22+'NURSING ADMIN'!J23+'NURSING ADMIN'!J24+'NURSING ADMIN'!J25+'NURSING ADMIN'!J26+'HOSPITAL ADMIN'!J39+'HOSPITAL ADMIN'!J40+'HOSPITAL ADMIN'!J41+'HOSPITAL ADMIN'!J44+'HOSPITAL ADMIN'!J46+'HOSPITAL ADMIN'!J47+'HOSPITAL ADMIN'!J49+'HOSPITAL ADMIN'!J50+'HOSPITAL ADMIN'!J51+'HOSPITAL ADMIN'!J52+'HOSPITAL ADMIN'!J53+'HOSPITAL ADMIN'!J54+'HOSPITAL ADMIN'!J55+MARKETING!J28+MARKETING!J29+MARKETING!J30+MARKETING!J31+MARKETING!J32+MARKETING!J33+MARKETING!J34+MARKETING!J35+'GENERAL ACCOUNTING'!J19+'GENERAL ACCOUNTING'!J21+'GENERAL ACCOUNTING'!J22+'GENERAL ACCOUNTING'!J23+'GENERAL ACCOUNTING'!J24+'GENERAL ACCOUNTING'!J25+'GENERAL ACCOUNTING'!J26+'DATA PROCESSING'!J21+'DATA PROCESSING'!J22+'DATA PROCESSING'!J23+'DATA PROCESSING'!J24+'DATA PROCESSING'!J25+'DATA PROCESSING'!J26+'DATA PROCESSING'!J27+'HEALTH INFO MGMT'!J21+'HEALTH INFO MGMT'!J22+'HEALTH INFO MGMT'!J23+'HEALTH INFO MGMT'!J24+'HEALTH INFO MGMT'!J25+'HEALTH INFO MGMT'!J26+'HEALTH INFO MGMT'!J27+DIETARY!J21+DIETARY!J22+DIETARY!J23+DIETARY!J24+DIETARY!J25+DIETARY!J26+DIETARY!J27)</f>
        <v>9873.5713960905523</v>
      </c>
      <c r="P29" s="641">
        <f>SUM('MED SURG'!K33+'MED SURG'!K34+'MED SURG'!K35+'MED SURG'!K36+'MED SURG'!K37+'MED SURG'!K38+'MED SURG'!K39+'SWING BED'!K34+'SWING BED'!K35+'SWING BED'!K36+'SWING BED'!K37+ICU!K32+ICU!K33+ICU!K34+ICU!K35+ICU!K36+OBS!K37+OBS!K38+OBS!K39+OR!K61+OR!K62+OR!K63+OR!K64+OR!K65+OR!K66+RECOVERY!K44+RECOVERY!K45+SURGIDAY!K41+SURGIDAY!K42+ENDOSCOPY!K40+ENDOSCOPY!K41+'STERILE SUPPLY'!K40+'STERILE SUPPLY'!K41+PHARMACY!K55+PHARMACY!K56+PHARMACY!K57+PHARMACY!K58+LAB!K53+LAB!K54+LAB!K55+LAB!K56+LAB!K57+LAB!K58+PATHOLOGY!K33+'CENTRAL SUPPLY'!K48+'CENTRAL SUPPLY'!K49+'CENTRAL SUPPLY'!K50+'CENTRAL SUPPLY'!K51+'CENTRAL SUPPLY'!K52+'CENTRAL SUPPLY'!K53+XRAY!K51+XRAY!K52+XRAY!K53+XRAY!K54+XRAY!K55+XRAY!K56+CT!K38+MAMMOGRAPHY!K48+MAMMOGRAPHY!K49+RESPIRATORY!K50+RESPIRATORY!K51+RESPIRATORY!K52+RESPIRATORY!K53+RESPIRATORY!K54+'PHYSICAL THERAPY'!K45+'EMERGENCY SERVICES'!K52+'EMERGENCY SERVICES'!K53+'EMERGENCY SERVICES'!K54+'EMERGENCY SERVICES'!K55+'EMERGENCY SERVICES'!K56+'EMERGENCY SERVICES'!K57+MOB!K23+MOB!K24+MOB!K25+MOB!K26+MOB!K27+MOB!K28+HOUSEKEEPING!K19+HOUSEKEEPING!K20+HOUSEKEEPING!K21+HOUSEKEEPING!K22+HOUSEKEEPING!K23+HOUSEKEEPING!K24+'PLANT OP &amp; MAINTENANCE'!K26+'PLANT OP &amp; MAINTENANCE'!K27+'PLANT OP &amp; MAINTENANCE'!K28+'PLANT OP &amp; MAINTENANCE'!K29+'PLANT OP &amp; MAINTENANCE'!K30+'PLANT OP &amp; MAINTENANCE'!K31+'PLANT OP &amp; MAINTENANCE'!K32+SECURITY!K20+SECURITY!K19+SECURITY!K21+SECURITY!K22+SECURITY!K23+SECURITY!K24+SECURITY!K25+SECURITY!K26+ADMITTING!K20+ADMITTING!K21+ADMITTING!K22+ADMITTING!K23+ADMITTING!K24+ADMITTING!K25+'BUSINESS OFFICE'!K21+'BUSINESS OFFICE'!K22+'BUSINESS OFFICE'!K23+'BUSINESS OFFICE'!K24+'BUSINESS OFFICE'!K25+'BUSINESS OFFICE'!K26+'BUSINESS OFFICE'!K27+COMMUNICATIONS!K19+COMMUNICATIONS!K20+'NURSING ADMIN'!K20+'NURSING ADMIN'!K21+'NURSING ADMIN'!K22+'NURSING ADMIN'!K23+'NURSING ADMIN'!K24+'NURSING ADMIN'!K25+'NURSING ADMIN'!K26+'HOSPITAL ADMIN'!K39+'HOSPITAL ADMIN'!K40+'HOSPITAL ADMIN'!K41+'HOSPITAL ADMIN'!K44+'HOSPITAL ADMIN'!K46+'HOSPITAL ADMIN'!K47+'HOSPITAL ADMIN'!K49+'HOSPITAL ADMIN'!K50+'HOSPITAL ADMIN'!K51+'HOSPITAL ADMIN'!K52+'HOSPITAL ADMIN'!K53+'HOSPITAL ADMIN'!K54+'HOSPITAL ADMIN'!K55+MARKETING!K28+MARKETING!K29+MARKETING!K30+MARKETING!K31+MARKETING!K32+MARKETING!K33+MARKETING!K34+MARKETING!K35+'GENERAL ACCOUNTING'!K19+'GENERAL ACCOUNTING'!K21+'GENERAL ACCOUNTING'!K22+'GENERAL ACCOUNTING'!K23+'GENERAL ACCOUNTING'!K24+'GENERAL ACCOUNTING'!K25+'GENERAL ACCOUNTING'!K26+'DATA PROCESSING'!K21+'DATA PROCESSING'!K22+'DATA PROCESSING'!K23+'DATA PROCESSING'!K24+'DATA PROCESSING'!K25+'DATA PROCESSING'!K26+'DATA PROCESSING'!K27+'HEALTH INFO MGMT'!K21+'HEALTH INFO MGMT'!K22+'HEALTH INFO MGMT'!K23+'HEALTH INFO MGMT'!K24+'HEALTH INFO MGMT'!K25+'HEALTH INFO MGMT'!K26+'HEALTH INFO MGMT'!K27+DIETARY!K21+DIETARY!K22+DIETARY!K23+DIETARY!K24+DIETARY!K25+DIETARY!K26+DIETARY!K27)</f>
        <v>10833.009042696278</v>
      </c>
      <c r="Q29" s="641">
        <f>SUM('MED SURG'!L33+'MED SURG'!L34+'MED SURG'!L35+'MED SURG'!L36+'MED SURG'!L37+'MED SURG'!L38+'MED SURG'!L39+'SWING BED'!L34+'SWING BED'!L35+'SWING BED'!L36+'SWING BED'!L37+ICU!L32+ICU!L33+ICU!L34+ICU!L35+ICU!L36+OBS!L37+OBS!L38+OBS!L39+OR!L61+OR!L62+OR!L63+OR!L64+OR!L65+OR!L66+RECOVERY!L44+RECOVERY!L45+SURGIDAY!L41+SURGIDAY!L42+ENDOSCOPY!L40+ENDOSCOPY!L41+'STERILE SUPPLY'!L40+'STERILE SUPPLY'!L41+PHARMACY!L55+PHARMACY!L56+PHARMACY!L57+PHARMACY!L58+LAB!L53+LAB!L54+LAB!L55+LAB!L56+LAB!L57+LAB!L58+PATHOLOGY!L33+'CENTRAL SUPPLY'!L48+'CENTRAL SUPPLY'!L49+'CENTRAL SUPPLY'!L50+'CENTRAL SUPPLY'!L51+'CENTRAL SUPPLY'!L52+'CENTRAL SUPPLY'!L53+XRAY!L51+XRAY!L52+XRAY!L53+XRAY!L54+XRAY!L55+XRAY!L56+CT!L38+MAMMOGRAPHY!L48+MAMMOGRAPHY!L49+RESPIRATORY!L50+RESPIRATORY!L51+RESPIRATORY!L52+RESPIRATORY!L53+RESPIRATORY!L54+'PHYSICAL THERAPY'!L45+'EMERGENCY SERVICES'!L52+'EMERGENCY SERVICES'!L53+'EMERGENCY SERVICES'!L54+'EMERGENCY SERVICES'!L55+'EMERGENCY SERVICES'!L56+'EMERGENCY SERVICES'!L57+MOB!L23+MOB!L24+MOB!L25+MOB!L26+MOB!L27+MOB!L28+HOUSEKEEPING!L19+HOUSEKEEPING!L20+HOUSEKEEPING!L21+HOUSEKEEPING!L22+HOUSEKEEPING!L23+HOUSEKEEPING!L24+'PLANT OP &amp; MAINTENANCE'!L26+'PLANT OP &amp; MAINTENANCE'!L27+'PLANT OP &amp; MAINTENANCE'!L28+'PLANT OP &amp; MAINTENANCE'!L29+'PLANT OP &amp; MAINTENANCE'!L30+'PLANT OP &amp; MAINTENANCE'!L31+'PLANT OP &amp; MAINTENANCE'!L32+SECURITY!L20+SECURITY!L19+SECURITY!L21+SECURITY!L22+SECURITY!L23+SECURITY!L24+SECURITY!L25+SECURITY!L26+ADMITTING!L20+ADMITTING!L21+ADMITTING!L22+ADMITTING!L23+ADMITTING!L24+ADMITTING!L25+'BUSINESS OFFICE'!L21+'BUSINESS OFFICE'!L22+'BUSINESS OFFICE'!L23+'BUSINESS OFFICE'!L24+'BUSINESS OFFICE'!L25+'BUSINESS OFFICE'!L26+'BUSINESS OFFICE'!L27+COMMUNICATIONS!L19+COMMUNICATIONS!L20+'NURSING ADMIN'!L20+'NURSING ADMIN'!L21+'NURSING ADMIN'!L22+'NURSING ADMIN'!L23+'NURSING ADMIN'!L24+'NURSING ADMIN'!L25+'NURSING ADMIN'!L26+'HOSPITAL ADMIN'!L39+'HOSPITAL ADMIN'!L40+'HOSPITAL ADMIN'!L41+'HOSPITAL ADMIN'!L44+'HOSPITAL ADMIN'!L46+'HOSPITAL ADMIN'!L47+'HOSPITAL ADMIN'!L49+'HOSPITAL ADMIN'!L50+'HOSPITAL ADMIN'!L51+'HOSPITAL ADMIN'!L52+'HOSPITAL ADMIN'!L53+'HOSPITAL ADMIN'!L54+'HOSPITAL ADMIN'!L55+MARKETING!L28+MARKETING!L29+MARKETING!L30+MARKETING!L31+MARKETING!L32+MARKETING!L33+MARKETING!L34+MARKETING!L35+'GENERAL ACCOUNTING'!L19+'GENERAL ACCOUNTING'!L21+'GENERAL ACCOUNTING'!L22+'GENERAL ACCOUNTING'!L23+'GENERAL ACCOUNTING'!L24+'GENERAL ACCOUNTING'!L25+'GENERAL ACCOUNTING'!L26+'DATA PROCESSING'!L21+'DATA PROCESSING'!L22+'DATA PROCESSING'!L23+'DATA PROCESSING'!L24+'DATA PROCESSING'!L25+'DATA PROCESSING'!L26+'DATA PROCESSING'!L27+'HEALTH INFO MGMT'!L21+'HEALTH INFO MGMT'!L22+'HEALTH INFO MGMT'!L23+'HEALTH INFO MGMT'!L24+'HEALTH INFO MGMT'!L25+'HEALTH INFO MGMT'!L26+'HEALTH INFO MGMT'!L27+DIETARY!L21+DIETARY!L22+DIETARY!L23+DIETARY!L24+DIETARY!L25+DIETARY!L26+DIETARY!L27)</f>
        <v>9782.8162886199225</v>
      </c>
      <c r="R29" s="641">
        <f>SUM('MED SURG'!M33+'MED SURG'!M34+'MED SURG'!M35+'MED SURG'!M36+'MED SURG'!M37+'MED SURG'!M38+'MED SURG'!M39+'SWING BED'!M34+'SWING BED'!M35+'SWING BED'!M36+'SWING BED'!M37+ICU!M32+ICU!M33+ICU!M34+ICU!M35+ICU!M36+OBS!M37+OBS!M38+OBS!M39+OR!M61+OR!M62+OR!M63+OR!M64+OR!M65+OR!M66+RECOVERY!M44+RECOVERY!M45+SURGIDAY!M41+SURGIDAY!M42+ENDOSCOPY!M40+ENDOSCOPY!M41+'STERILE SUPPLY'!M40+'STERILE SUPPLY'!M41+PHARMACY!M55+PHARMACY!M56+PHARMACY!M57+PHARMACY!M58+LAB!M53+LAB!M54+LAB!M55+LAB!M56+LAB!M57+LAB!M58+PATHOLOGY!M33+'CENTRAL SUPPLY'!M48+'CENTRAL SUPPLY'!M49+'CENTRAL SUPPLY'!M50+'CENTRAL SUPPLY'!M51+'CENTRAL SUPPLY'!M52+'CENTRAL SUPPLY'!M53+XRAY!M51+XRAY!M52+XRAY!M53+XRAY!M54+XRAY!M55+XRAY!M56+CT!M38+MAMMOGRAPHY!M48+MAMMOGRAPHY!M49+RESPIRATORY!M50+RESPIRATORY!M51+RESPIRATORY!M52+RESPIRATORY!M53+RESPIRATORY!M54+'PHYSICAL THERAPY'!M45+'EMERGENCY SERVICES'!M52+'EMERGENCY SERVICES'!M53+'EMERGENCY SERVICES'!M54+'EMERGENCY SERVICES'!M55+'EMERGENCY SERVICES'!M56+'EMERGENCY SERVICES'!M57+MOB!M23+MOB!M24+MOB!M25+MOB!M26+MOB!M27+MOB!M28+HOUSEKEEPING!M19+HOUSEKEEPING!M20+HOUSEKEEPING!M21+HOUSEKEEPING!M22+HOUSEKEEPING!M23+HOUSEKEEPING!M24+'PLANT OP &amp; MAINTENANCE'!M26+'PLANT OP &amp; MAINTENANCE'!M27+'PLANT OP &amp; MAINTENANCE'!M28+'PLANT OP &amp; MAINTENANCE'!M29+'PLANT OP &amp; MAINTENANCE'!M30+'PLANT OP &amp; MAINTENANCE'!M31+'PLANT OP &amp; MAINTENANCE'!M32+SECURITY!M20+SECURITY!M19+SECURITY!M21+SECURITY!M22+SECURITY!M23+SECURITY!M24+SECURITY!M25+SECURITY!M26+ADMITTING!M20+ADMITTING!M21+ADMITTING!M22+ADMITTING!M23+ADMITTING!M24+ADMITTING!M25+'BUSINESS OFFICE'!M21+'BUSINESS OFFICE'!M22+'BUSINESS OFFICE'!M23+'BUSINESS OFFICE'!M24+'BUSINESS OFFICE'!M25+'BUSINESS OFFICE'!M26+'BUSINESS OFFICE'!M27+COMMUNICATIONS!M19+COMMUNICATIONS!M20+'NURSING ADMIN'!M20+'NURSING ADMIN'!M21+'NURSING ADMIN'!M22+'NURSING ADMIN'!M23+'NURSING ADMIN'!M24+'NURSING ADMIN'!M25+'NURSING ADMIN'!M26+'HOSPITAL ADMIN'!M39+'HOSPITAL ADMIN'!M40+'HOSPITAL ADMIN'!M41+'HOSPITAL ADMIN'!M44+'HOSPITAL ADMIN'!M46+'HOSPITAL ADMIN'!M47+'HOSPITAL ADMIN'!M49+'HOSPITAL ADMIN'!M50+'HOSPITAL ADMIN'!M51+'HOSPITAL ADMIN'!M52+'HOSPITAL ADMIN'!M53+'HOSPITAL ADMIN'!M54+'HOSPITAL ADMIN'!M55+MARKETING!M28+MARKETING!M29+MARKETING!M30+MARKETING!M31+MARKETING!M32+MARKETING!M33+MARKETING!M34+MARKETING!M35+'GENERAL ACCOUNTING'!M19+'GENERAL ACCOUNTING'!M21+'GENERAL ACCOUNTING'!M22+'GENERAL ACCOUNTING'!M23+'GENERAL ACCOUNTING'!M24+'GENERAL ACCOUNTING'!M25+'GENERAL ACCOUNTING'!M26+'DATA PROCESSING'!M21+'DATA PROCESSING'!M22+'DATA PROCESSING'!M23+'DATA PROCESSING'!M24+'DATA PROCESSING'!M25+'DATA PROCESSING'!M26+'DATA PROCESSING'!M27+'HEALTH INFO MGMT'!M21+'HEALTH INFO MGMT'!M22+'HEALTH INFO MGMT'!M23+'HEALTH INFO MGMT'!M24+'HEALTH INFO MGMT'!M25+'HEALTH INFO MGMT'!M26+'HEALTH INFO MGMT'!M27+DIETARY!M21+DIETARY!M22+DIETARY!M23+DIETARY!M24+DIETARY!M25+DIETARY!M26+DIETARY!M27)</f>
        <v>10387.867566784202</v>
      </c>
      <c r="S29" s="641">
        <f>SUM('MED SURG'!N33+'MED SURG'!N34+'MED SURG'!N35+'MED SURG'!N36+'MED SURG'!N37+'MED SURG'!N38+'MED SURG'!N39+'SWING BED'!N34+'SWING BED'!N35+'SWING BED'!N36+'SWING BED'!N37+ICU!N32+ICU!N33+ICU!N34+ICU!N35+ICU!N36+OBS!N37+OBS!N38+OBS!N39+OR!N61+OR!N62+OR!N63+OR!N64+OR!N65+OR!N66+RECOVERY!N44+RECOVERY!N45+SURGIDAY!N41+SURGIDAY!N42+ENDOSCOPY!N40+ENDOSCOPY!N41+'STERILE SUPPLY'!N40+'STERILE SUPPLY'!N41+PHARMACY!N55+PHARMACY!N56+PHARMACY!N57+PHARMACY!N58+LAB!N53+LAB!N54+LAB!N55+LAB!N56+LAB!N57+LAB!N58+PATHOLOGY!N33+'CENTRAL SUPPLY'!N48+'CENTRAL SUPPLY'!N49+'CENTRAL SUPPLY'!N50+'CENTRAL SUPPLY'!N51+'CENTRAL SUPPLY'!N52+'CENTRAL SUPPLY'!N53+XRAY!N51+XRAY!N52+XRAY!N53+XRAY!N54+XRAY!N55+XRAY!N56+CT!N38+MAMMOGRAPHY!N48+MAMMOGRAPHY!N49+RESPIRATORY!N50+RESPIRATORY!N51+RESPIRATORY!N52+RESPIRATORY!N53+RESPIRATORY!N54+'PHYSICAL THERAPY'!N45+'EMERGENCY SERVICES'!N52+'EMERGENCY SERVICES'!N53+'EMERGENCY SERVICES'!N54+'EMERGENCY SERVICES'!N55+'EMERGENCY SERVICES'!N56+'EMERGENCY SERVICES'!N57+MOB!N23+MOB!N24+MOB!N25+MOB!N26+MOB!N27+MOB!N28+HOUSEKEEPING!N19+HOUSEKEEPING!N20+HOUSEKEEPING!N21+HOUSEKEEPING!N22+HOUSEKEEPING!N23+HOUSEKEEPING!N24+'PLANT OP &amp; MAINTENANCE'!N26+'PLANT OP &amp; MAINTENANCE'!N27+'PLANT OP &amp; MAINTENANCE'!N28+'PLANT OP &amp; MAINTENANCE'!N29+'PLANT OP &amp; MAINTENANCE'!N30+'PLANT OP &amp; MAINTENANCE'!N31+'PLANT OP &amp; MAINTENANCE'!N32+SECURITY!N20+SECURITY!N19+SECURITY!N21+SECURITY!N22+SECURITY!N23+SECURITY!N24+SECURITY!N25+SECURITY!N26+ADMITTING!N20+ADMITTING!N21+ADMITTING!N22+ADMITTING!N23+ADMITTING!N24+ADMITTING!N25+'BUSINESS OFFICE'!N21+'BUSINESS OFFICE'!N22+'BUSINESS OFFICE'!N23+'BUSINESS OFFICE'!N24+'BUSINESS OFFICE'!N25+'BUSINESS OFFICE'!N26+'BUSINESS OFFICE'!N27+COMMUNICATIONS!N19+COMMUNICATIONS!N20+'NURSING ADMIN'!N20+'NURSING ADMIN'!N21+'NURSING ADMIN'!N22+'NURSING ADMIN'!N23+'NURSING ADMIN'!N24+'NURSING ADMIN'!N25+'NURSING ADMIN'!N26+'HOSPITAL ADMIN'!N39+'HOSPITAL ADMIN'!N40+'HOSPITAL ADMIN'!N41+'HOSPITAL ADMIN'!N44+'HOSPITAL ADMIN'!N46+'HOSPITAL ADMIN'!N47+'HOSPITAL ADMIN'!N49+'HOSPITAL ADMIN'!N50+'HOSPITAL ADMIN'!N51+'HOSPITAL ADMIN'!N52+'HOSPITAL ADMIN'!N53+'HOSPITAL ADMIN'!N54+'HOSPITAL ADMIN'!N55+MARKETING!N28+MARKETING!N29+MARKETING!N30+MARKETING!N31+MARKETING!N32+MARKETING!N33+MARKETING!N34+MARKETING!N35+'GENERAL ACCOUNTING'!N19+'GENERAL ACCOUNTING'!N21+'GENERAL ACCOUNTING'!N22+'GENERAL ACCOUNTING'!N23+'GENERAL ACCOUNTING'!N24+'GENERAL ACCOUNTING'!N25+'GENERAL ACCOUNTING'!N26+'DATA PROCESSING'!N21+'DATA PROCESSING'!N22+'DATA PROCESSING'!N23+'DATA PROCESSING'!N24+'DATA PROCESSING'!N25+'DATA PROCESSING'!N26+'DATA PROCESSING'!N27+'HEALTH INFO MGMT'!N21+'HEALTH INFO MGMT'!N22+'HEALTH INFO MGMT'!N23+'HEALTH INFO MGMT'!N24+'HEALTH INFO MGMT'!N25+'HEALTH INFO MGMT'!N26+'HEALTH INFO MGMT'!N27+DIETARY!N21+DIETARY!N22+DIETARY!N23+DIETARY!N24+DIETARY!N25+DIETARY!N26+DIETARY!N27)</f>
        <v>9630.5648975740769</v>
      </c>
      <c r="T29" s="641">
        <f>SUM('MED SURG'!O33+'MED SURG'!O34+'MED SURG'!O35+'MED SURG'!O36+'MED SURG'!O37+'MED SURG'!O38+'MED SURG'!O39+'SWING BED'!O34+'SWING BED'!O35+'SWING BED'!O36+'SWING BED'!O37+ICU!O32+ICU!O33+ICU!O34+ICU!O35+ICU!O36+OBS!O37+OBS!O38+OBS!O39+OR!O61+OR!O62+OR!O63+OR!O64+OR!O65+OR!O66+RECOVERY!O44+RECOVERY!O45+SURGIDAY!O41+SURGIDAY!O42+ENDOSCOPY!O40+ENDOSCOPY!O41+'STERILE SUPPLY'!O40+'STERILE SUPPLY'!O41+PHARMACY!O55+PHARMACY!O56+PHARMACY!O57+PHARMACY!O58+LAB!O53+LAB!O54+LAB!O55+LAB!O56+LAB!O57+LAB!O58+PATHOLOGY!O33+'CENTRAL SUPPLY'!O48+'CENTRAL SUPPLY'!O49+'CENTRAL SUPPLY'!O50+'CENTRAL SUPPLY'!O51+'CENTRAL SUPPLY'!O52+'CENTRAL SUPPLY'!O53+XRAY!O51+XRAY!O52+XRAY!O53+XRAY!O54+XRAY!O55+XRAY!O56+CT!O38+MAMMOGRAPHY!O48+MAMMOGRAPHY!O49+RESPIRATORY!O50+RESPIRATORY!O51+RESPIRATORY!O52+RESPIRATORY!O53+RESPIRATORY!O54+'PHYSICAL THERAPY'!O45+'EMERGENCY SERVICES'!O52+'EMERGENCY SERVICES'!O53+'EMERGENCY SERVICES'!O54+'EMERGENCY SERVICES'!O55+'EMERGENCY SERVICES'!O56+'EMERGENCY SERVICES'!O57+MOB!O23+MOB!O24+MOB!O25+MOB!O26+MOB!O27+MOB!O28+HOUSEKEEPING!O19+HOUSEKEEPING!O20+HOUSEKEEPING!O21+HOUSEKEEPING!O22+HOUSEKEEPING!O23+HOUSEKEEPING!O24+'PLANT OP &amp; MAINTENANCE'!O26+'PLANT OP &amp; MAINTENANCE'!O27+'PLANT OP &amp; MAINTENANCE'!O28+'PLANT OP &amp; MAINTENANCE'!O29+'PLANT OP &amp; MAINTENANCE'!O30+'PLANT OP &amp; MAINTENANCE'!O31+'PLANT OP &amp; MAINTENANCE'!O32+SECURITY!O20+SECURITY!O19+SECURITY!O21+SECURITY!O22+SECURITY!O23+SECURITY!O24+SECURITY!O25+SECURITY!O26+ADMITTING!O20+ADMITTING!O21+ADMITTING!O22+ADMITTING!O23+ADMITTING!O24+ADMITTING!O25+'BUSINESS OFFICE'!O21+'BUSINESS OFFICE'!O22+'BUSINESS OFFICE'!O23+'BUSINESS OFFICE'!O24+'BUSINESS OFFICE'!O25+'BUSINESS OFFICE'!O26+'BUSINESS OFFICE'!O27+COMMUNICATIONS!O19+COMMUNICATIONS!O20+'NURSING ADMIN'!O20+'NURSING ADMIN'!O21+'NURSING ADMIN'!O22+'NURSING ADMIN'!O23+'NURSING ADMIN'!O24+'NURSING ADMIN'!O25+'NURSING ADMIN'!O26+'HOSPITAL ADMIN'!O39+'HOSPITAL ADMIN'!O40+'HOSPITAL ADMIN'!O41+'HOSPITAL ADMIN'!O44+'HOSPITAL ADMIN'!O46+'HOSPITAL ADMIN'!O47+'HOSPITAL ADMIN'!O49+'HOSPITAL ADMIN'!O50+'HOSPITAL ADMIN'!O51+'HOSPITAL ADMIN'!O52+'HOSPITAL ADMIN'!O53+'HOSPITAL ADMIN'!O54+'HOSPITAL ADMIN'!O55+MARKETING!O28+MARKETING!O29+MARKETING!O30+MARKETING!O31+MARKETING!O32+MARKETING!O33+MARKETING!O34+MARKETING!O35+'GENERAL ACCOUNTING'!O19+'GENERAL ACCOUNTING'!O21+'GENERAL ACCOUNTING'!O22+'GENERAL ACCOUNTING'!O23+'GENERAL ACCOUNTING'!O24+'GENERAL ACCOUNTING'!O25+'GENERAL ACCOUNTING'!O26+'DATA PROCESSING'!O21+'DATA PROCESSING'!O22+'DATA PROCESSING'!O23+'DATA PROCESSING'!O24+'DATA PROCESSING'!O25+'DATA PROCESSING'!O26+'DATA PROCESSING'!O27+'HEALTH INFO MGMT'!O21+'HEALTH INFO MGMT'!O22+'HEALTH INFO MGMT'!O23+'HEALTH INFO MGMT'!O24+'HEALTH INFO MGMT'!O25+'HEALTH INFO MGMT'!O26+'HEALTH INFO MGMT'!O27+DIETARY!O21+DIETARY!O22+DIETARY!O23+DIETARY!O24+DIETARY!O25+DIETARY!O26+DIETARY!O27)</f>
        <v>8823.4444540328986</v>
      </c>
      <c r="U29" s="641">
        <f>SUM('MED SURG'!P33+'MED SURG'!P34+'MED SURG'!P35+'MED SURG'!P36+'MED SURG'!P37+'MED SURG'!P38+'MED SURG'!P39+'SWING BED'!P34+'SWING BED'!P35+'SWING BED'!P36+'SWING BED'!P37+ICU!P32+ICU!P33+ICU!P34+ICU!P35+ICU!P36+OBS!P37+OBS!P38+OBS!P39+OR!P61+OR!P62+OR!P63+OR!P64+OR!P65+OR!P66+RECOVERY!P44+RECOVERY!P45+SURGIDAY!P41+SURGIDAY!P42+ENDOSCOPY!P40+ENDOSCOPY!P41+'STERILE SUPPLY'!P40+'STERILE SUPPLY'!P41+PHARMACY!P55+PHARMACY!P56+PHARMACY!P57+PHARMACY!P58+LAB!P53+LAB!P54+LAB!P55+LAB!P56+LAB!P57+LAB!P58+PATHOLOGY!P33+'CENTRAL SUPPLY'!P48+'CENTRAL SUPPLY'!P49+'CENTRAL SUPPLY'!P50+'CENTRAL SUPPLY'!P51+'CENTRAL SUPPLY'!P52+'CENTRAL SUPPLY'!P53+XRAY!P51+XRAY!P52+XRAY!P53+XRAY!P54+XRAY!P55+XRAY!P56+CT!P38+MAMMOGRAPHY!P48+MAMMOGRAPHY!P49+RESPIRATORY!P50+RESPIRATORY!P51+RESPIRATORY!P52+RESPIRATORY!P53+RESPIRATORY!P54+'PHYSICAL THERAPY'!P45+'EMERGENCY SERVICES'!P52+'EMERGENCY SERVICES'!P53+'EMERGENCY SERVICES'!P54+'EMERGENCY SERVICES'!P55+'EMERGENCY SERVICES'!P56+'EMERGENCY SERVICES'!P57+MOB!P23+MOB!P24+MOB!P25+MOB!P26+MOB!P27+MOB!P28+HOUSEKEEPING!P19+HOUSEKEEPING!P20+HOUSEKEEPING!P21+HOUSEKEEPING!P22+HOUSEKEEPING!P23+HOUSEKEEPING!P24+'PLANT OP &amp; MAINTENANCE'!P26+'PLANT OP &amp; MAINTENANCE'!P27+'PLANT OP &amp; MAINTENANCE'!P28+'PLANT OP &amp; MAINTENANCE'!P29+'PLANT OP &amp; MAINTENANCE'!P30+'PLANT OP &amp; MAINTENANCE'!P31+'PLANT OP &amp; MAINTENANCE'!P32+SECURITY!P20+SECURITY!P19+SECURITY!P21+SECURITY!P22+SECURITY!P23+SECURITY!P24+SECURITY!P25+SECURITY!P26+ADMITTING!P20+ADMITTING!P21+ADMITTING!P22+ADMITTING!P23+ADMITTING!P24+ADMITTING!P25+'BUSINESS OFFICE'!P21+'BUSINESS OFFICE'!P22+'BUSINESS OFFICE'!P23+'BUSINESS OFFICE'!P24+'BUSINESS OFFICE'!P25+'BUSINESS OFFICE'!P26+'BUSINESS OFFICE'!P27+COMMUNICATIONS!P19+COMMUNICATIONS!P20+'NURSING ADMIN'!P20+'NURSING ADMIN'!P21+'NURSING ADMIN'!P22+'NURSING ADMIN'!P23+'NURSING ADMIN'!P24+'NURSING ADMIN'!P25+'NURSING ADMIN'!P26+'HOSPITAL ADMIN'!P39+'HOSPITAL ADMIN'!P40+'HOSPITAL ADMIN'!P41+'HOSPITAL ADMIN'!P44+'HOSPITAL ADMIN'!P46+'HOSPITAL ADMIN'!P47+'HOSPITAL ADMIN'!P49+'HOSPITAL ADMIN'!P50+'HOSPITAL ADMIN'!P51+'HOSPITAL ADMIN'!P52+'HOSPITAL ADMIN'!P53+'HOSPITAL ADMIN'!P54+'HOSPITAL ADMIN'!P55+MARKETING!P28+MARKETING!P29+MARKETING!P30+MARKETING!P31+MARKETING!P32+MARKETING!P33+MARKETING!P34+MARKETING!P35+'GENERAL ACCOUNTING'!P19+'GENERAL ACCOUNTING'!P21+'GENERAL ACCOUNTING'!P22+'GENERAL ACCOUNTING'!P23+'GENERAL ACCOUNTING'!P24+'GENERAL ACCOUNTING'!P25+'GENERAL ACCOUNTING'!P26+'DATA PROCESSING'!P21+'DATA PROCESSING'!P22+'DATA PROCESSING'!P23+'DATA PROCESSING'!P24+'DATA PROCESSING'!P25+'DATA PROCESSING'!P26+'DATA PROCESSING'!P27+'HEALTH INFO MGMT'!P21+'HEALTH INFO MGMT'!P22+'HEALTH INFO MGMT'!P23+'HEALTH INFO MGMT'!P24+'HEALTH INFO MGMT'!P25+'HEALTH INFO MGMT'!P26+'HEALTH INFO MGMT'!P27+DIETARY!P21+DIETARY!P22+DIETARY!P23+DIETARY!P24+DIETARY!P25+DIETARY!P26+DIETARY!P27)</f>
        <v>10325.862740845972</v>
      </c>
      <c r="V29" s="641">
        <f>SUM('MED SURG'!Q33+'MED SURG'!Q34+'MED SURG'!Q35+'MED SURG'!Q36+'MED SURG'!Q37+'MED SURG'!Q38+'MED SURG'!Q39+'SWING BED'!Q34+'SWING BED'!Q35+'SWING BED'!Q36+'SWING BED'!Q37+ICU!Q32+ICU!Q33+ICU!Q34+ICU!Q35+ICU!Q36+OBS!Q37+OBS!Q38+OBS!Q39+OR!Q61+OR!Q62+OR!Q63+OR!Q64+OR!Q65+OR!Q66+RECOVERY!Q44+RECOVERY!Q45+SURGIDAY!Q41+SURGIDAY!Q42+ENDOSCOPY!Q40+ENDOSCOPY!Q41+'STERILE SUPPLY'!Q40+'STERILE SUPPLY'!Q41+PHARMACY!Q55+PHARMACY!Q56+PHARMACY!Q57+PHARMACY!Q58+LAB!Q53+LAB!Q54+LAB!Q55+LAB!Q56+LAB!Q57+LAB!Q58+PATHOLOGY!Q33+'CENTRAL SUPPLY'!Q48+'CENTRAL SUPPLY'!Q49+'CENTRAL SUPPLY'!Q50+'CENTRAL SUPPLY'!Q51+'CENTRAL SUPPLY'!Q52+'CENTRAL SUPPLY'!Q53+XRAY!Q51+XRAY!Q52+XRAY!Q53+XRAY!Q54+XRAY!Q55+XRAY!Q56+CT!Q38+MAMMOGRAPHY!Q48+MAMMOGRAPHY!Q49+RESPIRATORY!Q50+RESPIRATORY!Q51+RESPIRATORY!Q52+RESPIRATORY!Q53+RESPIRATORY!Q54+'PHYSICAL THERAPY'!Q45+'EMERGENCY SERVICES'!Q52+'EMERGENCY SERVICES'!Q53+'EMERGENCY SERVICES'!Q54+'EMERGENCY SERVICES'!Q55+'EMERGENCY SERVICES'!Q56+'EMERGENCY SERVICES'!Q57+MOB!Q23+MOB!Q24+MOB!Q25+MOB!Q26+MOB!Q27+MOB!Q28+HOUSEKEEPING!Q19+HOUSEKEEPING!Q20+HOUSEKEEPING!Q21+HOUSEKEEPING!Q22+HOUSEKEEPING!Q23+HOUSEKEEPING!Q24+'PLANT OP &amp; MAINTENANCE'!Q26+'PLANT OP &amp; MAINTENANCE'!Q27+'PLANT OP &amp; MAINTENANCE'!Q28+'PLANT OP &amp; MAINTENANCE'!Q29+'PLANT OP &amp; MAINTENANCE'!Q30+'PLANT OP &amp; MAINTENANCE'!Q31+'PLANT OP &amp; MAINTENANCE'!Q32+SECURITY!Q20+SECURITY!Q19+SECURITY!Q21+SECURITY!Q22+SECURITY!Q23+SECURITY!Q24+SECURITY!Q25+SECURITY!Q26+ADMITTING!Q20+ADMITTING!Q21+ADMITTING!Q22+ADMITTING!Q23+ADMITTING!Q24+ADMITTING!Q25+'BUSINESS OFFICE'!Q21+'BUSINESS OFFICE'!Q22+'BUSINESS OFFICE'!Q23+'BUSINESS OFFICE'!Q24+'BUSINESS OFFICE'!Q25+'BUSINESS OFFICE'!Q26+'BUSINESS OFFICE'!Q27+COMMUNICATIONS!Q19+COMMUNICATIONS!Q20+'NURSING ADMIN'!Q20+'NURSING ADMIN'!Q21+'NURSING ADMIN'!Q22+'NURSING ADMIN'!Q23+'NURSING ADMIN'!Q24+'NURSING ADMIN'!Q25+'NURSING ADMIN'!Q26+'HOSPITAL ADMIN'!Q39+'HOSPITAL ADMIN'!Q40+'HOSPITAL ADMIN'!Q41+'HOSPITAL ADMIN'!Q44+'HOSPITAL ADMIN'!Q46+'HOSPITAL ADMIN'!Q47+'HOSPITAL ADMIN'!Q49+'HOSPITAL ADMIN'!Q50+'HOSPITAL ADMIN'!Q51+'HOSPITAL ADMIN'!Q52+'HOSPITAL ADMIN'!Q53+'HOSPITAL ADMIN'!Q54+'HOSPITAL ADMIN'!Q55+MARKETING!Q28+MARKETING!Q29+MARKETING!Q30+MARKETING!Q31+MARKETING!Q32+MARKETING!Q33+MARKETING!Q34+MARKETING!Q35+'GENERAL ACCOUNTING'!Q19+'GENERAL ACCOUNTING'!Q21+'GENERAL ACCOUNTING'!Q22+'GENERAL ACCOUNTING'!Q23+'GENERAL ACCOUNTING'!Q24+'GENERAL ACCOUNTING'!Q25+'GENERAL ACCOUNTING'!Q26+'DATA PROCESSING'!Q21+'DATA PROCESSING'!Q22+'DATA PROCESSING'!Q23+'DATA PROCESSING'!Q24+'DATA PROCESSING'!Q25+'DATA PROCESSING'!Q26+'DATA PROCESSING'!Q27+'HEALTH INFO MGMT'!Q21+'HEALTH INFO MGMT'!Q22+'HEALTH INFO MGMT'!Q23+'HEALTH INFO MGMT'!Q24+'HEALTH INFO MGMT'!Q25+'HEALTH INFO MGMT'!Q26+'HEALTH INFO MGMT'!Q27+DIETARY!Q21+DIETARY!Q22+DIETARY!Q23+DIETARY!Q24+DIETARY!Q25+DIETARY!Q26+DIETARY!Q27)</f>
        <v>10524.770329815032</v>
      </c>
      <c r="W29" s="154">
        <f t="shared" si="8"/>
        <v>116992.45</v>
      </c>
      <c r="X29" s="153">
        <f t="shared" si="9"/>
        <v>0</v>
      </c>
      <c r="Y29" s="153"/>
      <c r="Z29" s="153"/>
      <c r="AA29" s="641">
        <v>173993.60000000001</v>
      </c>
      <c r="AC29" s="153">
        <v>182683.35</v>
      </c>
      <c r="AD29" s="641"/>
      <c r="AE29" s="289"/>
      <c r="AF29" s="153">
        <v>227015</v>
      </c>
      <c r="AG29" s="221">
        <v>192337</v>
      </c>
      <c r="AH29" s="221">
        <v>124251</v>
      </c>
      <c r="AI29" s="221">
        <v>109946</v>
      </c>
      <c r="AJ29" s="153">
        <v>155067</v>
      </c>
      <c r="AK29" s="237"/>
      <c r="AL29" s="237"/>
      <c r="AM29" s="237"/>
      <c r="AN29" s="237"/>
      <c r="AO29" s="237"/>
    </row>
    <row r="30" spans="1:41" s="248" customFormat="1" x14ac:dyDescent="0.2">
      <c r="A30" s="215"/>
      <c r="B30" s="237" t="s">
        <v>841</v>
      </c>
      <c r="C30" s="637">
        <f>PHARMACY!C60+LAB!C60+XRAY!C58+CT!C40+MAMMOGRAPHY!C51+'ER PROFEE'!C59+MOB!C30+'PLANT OP &amp; MAINTENANCE'!C34+'HOSPITAL ADMIN'!C57+'HOSPITAL ADMIN'!C58+'HOSPITAL ADMIN'!C59+'HOSPITAL ADMIN'!C60+'HOSPITAL ADMIN'!C61+'HOSPITAL ADMIN'!C62+'HOSPITAL ADMIN'!C63+'DATA PROCESSING'!C29+'BYRD AVENUE - OLD HOSPITAL'!C16</f>
        <v>293587</v>
      </c>
      <c r="D30" s="289">
        <f t="shared" si="10"/>
        <v>2.4344408253730278E-2</v>
      </c>
      <c r="E30" s="288"/>
      <c r="F30" s="153">
        <v>301448</v>
      </c>
      <c r="G30" s="237">
        <v>2.3104277098821381E-2</v>
      </c>
      <c r="H30" s="237"/>
      <c r="I30" s="153">
        <f t="shared" si="11"/>
        <v>-7861</v>
      </c>
      <c r="J30" s="289">
        <f t="shared" si="12"/>
        <v>-2.6077466096971948E-2</v>
      </c>
      <c r="K30" s="153">
        <f>SUM(PHARMACY!F60+LAB!F60+XRAY!F58+CT!F40+MAMMOGRAPHY!F51+MOB!F30+'ER PROFEE'!F59+'PLANT OP &amp; MAINTENANCE'!F34+'HOSPITAL ADMIN'!F57+'HOSPITAL ADMIN'!F58+'HOSPITAL ADMIN'!F59+'HOSPITAL ADMIN'!F60+'HOSPITAL ADMIN'!F61+'HOSPITAL ADMIN'!F62+'HOSPITAL ADMIN'!F63+'DATA PROCESSING'!F29+'BYRD AVENUE - OLD HOSPITAL'!F16)</f>
        <v>23802.638352128353</v>
      </c>
      <c r="L30" s="641">
        <f>SUM(PHARMACY!G60+LAB!G60+XRAY!G58+CT!G40+MAMMOGRAPHY!G51+MOB!G30+'ER PROFEE'!G59+'PLANT OP &amp; MAINTENANCE'!G34+'HOSPITAL ADMIN'!G57+'HOSPITAL ADMIN'!G58+'HOSPITAL ADMIN'!G59+'HOSPITAL ADMIN'!G60+'HOSPITAL ADMIN'!G61+'HOSPITAL ADMIN'!G62+'HOSPITAL ADMIN'!G63+'DATA PROCESSING'!G29+'BYRD AVENUE - OLD HOSPITAL'!G16)</f>
        <v>22727.050951015728</v>
      </c>
      <c r="M30" s="641">
        <f>SUM(PHARMACY!H60+LAB!H60+XRAY!H58+CT!H40+MAMMOGRAPHY!H51+MOB!H30+'ER PROFEE'!H59+'PLANT OP &amp; MAINTENANCE'!H34+'HOSPITAL ADMIN'!H57+'HOSPITAL ADMIN'!H58+'HOSPITAL ADMIN'!H59+'HOSPITAL ADMIN'!H60+'HOSPITAL ADMIN'!H61+'HOSPITAL ADMIN'!H62+'HOSPITAL ADMIN'!H63+'DATA PROCESSING'!H29+'BYRD AVENUE - OLD HOSPITAL'!H16)</f>
        <v>21894.648047821123</v>
      </c>
      <c r="N30" s="641">
        <f>SUM(PHARMACY!I60+LAB!I60+XRAY!I58+CT!I40+MAMMOGRAPHY!I51+MOB!I30+'ER PROFEE'!I59+'PLANT OP &amp; MAINTENANCE'!I34+'HOSPITAL ADMIN'!I57+'HOSPITAL ADMIN'!I58+'HOSPITAL ADMIN'!I59+'HOSPITAL ADMIN'!I60+'HOSPITAL ADMIN'!I61+'HOSPITAL ADMIN'!I62+'HOSPITAL ADMIN'!I63+'DATA PROCESSING'!I29+'BYRD AVENUE - OLD HOSPITAL'!I16)</f>
        <v>24357.841405913376</v>
      </c>
      <c r="O30" s="641">
        <f>SUM(PHARMACY!J60+LAB!J60+XRAY!J58+CT!J40+MAMMOGRAPHY!J51+MOB!J30+'ER PROFEE'!J59+'PLANT OP &amp; MAINTENANCE'!J34+'HOSPITAL ADMIN'!J57+'HOSPITAL ADMIN'!J58+'HOSPITAL ADMIN'!J59+'HOSPITAL ADMIN'!J60+'HOSPITAL ADMIN'!J61+'HOSPITAL ADMIN'!J62+'HOSPITAL ADMIN'!J63+'DATA PROCESSING'!J29+'BYRD AVENUE - OLD HOSPITAL'!J16)</f>
        <v>24724.204699433587</v>
      </c>
      <c r="P30" s="641">
        <f>SUM(PHARMACY!K60+LAB!K60+XRAY!K58+CT!K40+MAMMOGRAPHY!K51+MOB!K30+'ER PROFEE'!K59+'PLANT OP &amp; MAINTENANCE'!K34+'HOSPITAL ADMIN'!K57+'HOSPITAL ADMIN'!K58+'HOSPITAL ADMIN'!K59+'HOSPITAL ADMIN'!K60+'HOSPITAL ADMIN'!K61+'HOSPITAL ADMIN'!K62+'HOSPITAL ADMIN'!K63+'DATA PROCESSING'!K29+'BYRD AVENUE - OLD HOSPITAL'!K16)</f>
        <v>27002.049977324285</v>
      </c>
      <c r="Q30" s="641">
        <f>SUM(PHARMACY!L60+LAB!L60+XRAY!L58+CT!L40+MAMMOGRAPHY!L51+MOB!L30+'ER PROFEE'!L59+'PLANT OP &amp; MAINTENANCE'!L34+'HOSPITAL ADMIN'!L57+'HOSPITAL ADMIN'!L58+'HOSPITAL ADMIN'!L59+'HOSPITAL ADMIN'!L60+'HOSPITAL ADMIN'!L61+'HOSPITAL ADMIN'!L62+'HOSPITAL ADMIN'!L63+'DATA PROCESSING'!L29+'BYRD AVENUE - OLD HOSPITAL'!L16)</f>
        <v>24945.613680435152</v>
      </c>
      <c r="R30" s="641">
        <f>SUM(PHARMACY!M60+LAB!M60+XRAY!M58+CT!M40+MAMMOGRAPHY!M51+MOB!M30+'ER PROFEE'!M59+'PLANT OP &amp; MAINTENANCE'!M34+'HOSPITAL ADMIN'!M57+'HOSPITAL ADMIN'!M58+'HOSPITAL ADMIN'!M59+'HOSPITAL ADMIN'!M60+'HOSPITAL ADMIN'!M61+'HOSPITAL ADMIN'!M62+'HOSPITAL ADMIN'!M63+'DATA PROCESSING'!M29+'BYRD AVENUE - OLD HOSPITAL'!M16)</f>
        <v>26437.908653163868</v>
      </c>
      <c r="S30" s="641">
        <f>SUM(PHARMACY!N60+LAB!N60+XRAY!N58+CT!N40+MAMMOGRAPHY!N51+MOB!N30+'ER PROFEE'!N59+'PLANT OP &amp; MAINTENANCE'!N34+'HOSPITAL ADMIN'!N57+'HOSPITAL ADMIN'!N58+'HOSPITAL ADMIN'!N59+'HOSPITAL ADMIN'!N60+'HOSPITAL ADMIN'!N61+'HOSPITAL ADMIN'!N62+'HOSPITAL ADMIN'!N63+'DATA PROCESSING'!N29+'BYRD AVENUE - OLD HOSPITAL'!N16)</f>
        <v>24193.74826662966</v>
      </c>
      <c r="T30" s="641">
        <f>SUM(PHARMACY!O60+LAB!O60+XRAY!O58+CT!O40+MAMMOGRAPHY!O51+MOB!O30+'ER PROFEE'!O59+'PLANT OP &amp; MAINTENANCE'!O34+'HOSPITAL ADMIN'!O57+'HOSPITAL ADMIN'!O58+'HOSPITAL ADMIN'!O59+'HOSPITAL ADMIN'!O60+'HOSPITAL ADMIN'!O61+'HOSPITAL ADMIN'!O62+'HOSPITAL ADMIN'!O63+'DATA PROCESSING'!O29+'BYRD AVENUE - OLD HOSPITAL'!O16)</f>
        <v>21892.391404487025</v>
      </c>
      <c r="U30" s="641">
        <f>SUM(PHARMACY!P60+LAB!P60+XRAY!P58+CT!P40+MAMMOGRAPHY!P51+MOB!P30+'ER PROFEE'!P59+'PLANT OP &amp; MAINTENANCE'!P34+'HOSPITAL ADMIN'!P57+'HOSPITAL ADMIN'!P58+'HOSPITAL ADMIN'!P59+'HOSPITAL ADMIN'!P60+'HOSPITAL ADMIN'!P61+'HOSPITAL ADMIN'!P62+'HOSPITAL ADMIN'!P63+'DATA PROCESSING'!P29+'BYRD AVENUE - OLD HOSPITAL'!P16)</f>
        <v>25522.836543049583</v>
      </c>
      <c r="V30" s="641">
        <f>SUM(PHARMACY!Q60+LAB!Q60+XRAY!Q58+CT!Q40+MAMMOGRAPHY!Q51+MOB!Q30+'ER PROFEE'!Q59+'PLANT OP &amp; MAINTENANCE'!Q34+'HOSPITAL ADMIN'!Q57+'HOSPITAL ADMIN'!Q58+'HOSPITAL ADMIN'!Q59+'HOSPITAL ADMIN'!Q60+'HOSPITAL ADMIN'!Q61+'HOSPITAL ADMIN'!Q62+'HOSPITAL ADMIN'!Q63+'DATA PROCESSING'!Q29+'BYRD AVENUE - OLD HOSPITAL'!Q16)</f>
        <v>26086.068018598275</v>
      </c>
      <c r="W30" s="154">
        <f t="shared" si="8"/>
        <v>293587</v>
      </c>
      <c r="X30" s="153">
        <f t="shared" si="9"/>
        <v>0</v>
      </c>
      <c r="Y30" s="153"/>
      <c r="Z30" s="153"/>
      <c r="AA30" s="641">
        <v>270542</v>
      </c>
      <c r="AC30" s="153">
        <v>281751.8</v>
      </c>
      <c r="AD30" s="641"/>
      <c r="AE30" s="289"/>
      <c r="AF30" s="153">
        <v>361808</v>
      </c>
      <c r="AG30" s="221">
        <v>261364</v>
      </c>
      <c r="AH30" s="221">
        <v>317654</v>
      </c>
      <c r="AI30" s="221">
        <v>296436</v>
      </c>
      <c r="AJ30" s="153">
        <v>301448</v>
      </c>
      <c r="AK30" s="237"/>
      <c r="AL30" s="237"/>
      <c r="AM30" s="237"/>
      <c r="AN30" s="237"/>
      <c r="AO30" s="237"/>
    </row>
    <row r="31" spans="1:41" s="248" customFormat="1" x14ac:dyDescent="0.2">
      <c r="A31" s="215"/>
      <c r="B31" s="237" t="s">
        <v>842</v>
      </c>
      <c r="C31" s="637">
        <f>'HOSPITAL ADMIN'!C42+'HOSPITAL ADMIN'!C43+'HOSPITAL ADMIN'!C45+'HOSPITAL ADMIN'!C48+'GENERAL ACCOUNTING'!C20</f>
        <v>882100</v>
      </c>
      <c r="D31" s="289">
        <f t="shared" si="10"/>
        <v>7.3144255435749803E-2</v>
      </c>
      <c r="E31" s="288"/>
      <c r="F31" s="153">
        <v>976320.23</v>
      </c>
      <c r="G31" s="237">
        <v>7.4829400530456405E-2</v>
      </c>
      <c r="H31" s="237"/>
      <c r="I31" s="153">
        <f t="shared" si="11"/>
        <v>-94220.229999999981</v>
      </c>
      <c r="J31" s="289">
        <f t="shared" si="12"/>
        <v>-9.6505457026123467E-2</v>
      </c>
      <c r="K31" s="153">
        <f>SUM('HOSPITAL ADMIN'!F42+'HOSPITAL ADMIN'!F43+'HOSPITAL ADMIN'!F45+'HOSPITAL ADMIN'!F48+'GENERAL ACCOUNTING'!F20)</f>
        <v>73465.163513641994</v>
      </c>
      <c r="L31" s="153">
        <f>SUM('HOSPITAL ADMIN'!G42+'HOSPITAL ADMIN'!G43+'HOSPITAL ADMIN'!G45+'HOSPITAL ADMIN'!G48+'GENERAL ACCOUNTING'!G20)</f>
        <v>73397.555185854173</v>
      </c>
      <c r="M31" s="153">
        <f>SUM('HOSPITAL ADMIN'!H42+'HOSPITAL ADMIN'!H43+'HOSPITAL ADMIN'!H45+'HOSPITAL ADMIN'!H48+'GENERAL ACCOUNTING'!H20)</f>
        <v>73342.239281300499</v>
      </c>
      <c r="N31" s="153">
        <f>SUM('HOSPITAL ADMIN'!I42+'HOSPITAL ADMIN'!I43+'HOSPITAL ADMIN'!I45+'HOSPITAL ADMIN'!I48+'GENERAL ACCOUNTING'!I20)</f>
        <v>73502.040783344419</v>
      </c>
      <c r="O31" s="153">
        <f>SUM('HOSPITAL ADMIN'!J42+'HOSPITAL ADMIN'!J43+'HOSPITAL ADMIN'!J45+'HOSPITAL ADMIN'!J48+'GENERAL ACCOUNTING'!J20)</f>
        <v>73525.747599581708</v>
      </c>
      <c r="P31" s="153">
        <f>SUM('HOSPITAL ADMIN'!K42+'HOSPITAL ADMIN'!K43+'HOSPITAL ADMIN'!K45+'HOSPITAL ADMIN'!K48+'GENERAL ACCOUNTING'!K20)</f>
        <v>73669.744557467435</v>
      </c>
      <c r="Q31" s="153">
        <f>SUM('HOSPITAL ADMIN'!L42+'HOSPITAL ADMIN'!L43+'HOSPITAL ADMIN'!L45+'HOSPITAL ADMIN'!L48+'GENERAL ACCOUNTING'!L20)</f>
        <v>73540.674113508896</v>
      </c>
      <c r="R31" s="153">
        <f>SUM('HOSPITAL ADMIN'!M42+'HOSPITAL ADMIN'!M43+'HOSPITAL ADMIN'!M45+'HOSPITAL ADMIN'!M48+'GENERAL ACCOUNTING'!M20)</f>
        <v>73635.501378458022</v>
      </c>
      <c r="S31" s="153">
        <f>SUM('HOSPITAL ADMIN'!N42+'HOSPITAL ADMIN'!N43+'HOSPITAL ADMIN'!N45+'HOSPITAL ADMIN'!N48+'GENERAL ACCOUNTING'!N20)</f>
        <v>73493.260481034318</v>
      </c>
      <c r="T31" s="153">
        <f>SUM('HOSPITAL ADMIN'!O42+'HOSPITAL ADMIN'!O43+'HOSPITAL ADMIN'!O45+'HOSPITAL ADMIN'!O48+'GENERAL ACCOUNTING'!O20)</f>
        <v>73346.629432455564</v>
      </c>
      <c r="U31" s="153">
        <f>SUM('HOSPITAL ADMIN'!P42+'HOSPITAL ADMIN'!P43+'HOSPITAL ADMIN'!P45+'HOSPITAL ADMIN'!P48+'GENERAL ACCOUNTING'!P20)</f>
        <v>73574.917292518294</v>
      </c>
      <c r="V31" s="153">
        <f>SUM('HOSPITAL ADMIN'!Q42+'HOSPITAL ADMIN'!Q43+'HOSPITAL ADMIN'!Q45+'HOSPITAL ADMIN'!Q48+'GENERAL ACCOUNTING'!Q20)</f>
        <v>73606.526380834679</v>
      </c>
      <c r="W31" s="154">
        <f t="shared" si="8"/>
        <v>882099.99999999988</v>
      </c>
      <c r="X31" s="153">
        <f t="shared" si="9"/>
        <v>0</v>
      </c>
      <c r="Y31" s="153"/>
      <c r="Z31" s="153"/>
      <c r="AA31" s="641">
        <v>921637</v>
      </c>
      <c r="AC31" s="153">
        <v>937109.09833333339</v>
      </c>
      <c r="AD31" s="641"/>
      <c r="AE31" s="289"/>
      <c r="AF31" s="153">
        <v>939338</v>
      </c>
      <c r="AG31" s="221">
        <v>957364</v>
      </c>
      <c r="AH31" s="221">
        <v>995896</v>
      </c>
      <c r="AI31" s="221">
        <v>982602</v>
      </c>
      <c r="AJ31" s="153">
        <v>976320.23</v>
      </c>
      <c r="AK31" s="237"/>
      <c r="AL31" s="237"/>
      <c r="AM31" s="237"/>
      <c r="AN31" s="237"/>
      <c r="AO31" s="237"/>
    </row>
    <row r="32" spans="1:41" s="248" customFormat="1" x14ac:dyDescent="0.2">
      <c r="A32" s="215"/>
      <c r="B32" s="237" t="s">
        <v>843</v>
      </c>
      <c r="C32" s="637">
        <f>'MED SURG'!C40+'SWING BED'!C38+ICU!C37+OBS!C40+OR!C67+RECOVERY!C46+ANESTHESIA!C40+SURGIDAY!C43+ENDOSCOPY!C42+'STERILE SUPPLY'!C42+PHARMACY!C59+LAB!C59+PATHOLOGY!C34+'CENTRAL SUPPLY'!C54+XRAY!C57+CT!C39+MAMMOGRAPHY!C50+RESPIRATORY!C55+'PHYSICAL THERAPY'!C46+'EMERGENCY SERVICES'!C58+MOB!C29+HOUSEKEEPING!C25+'PLANT OP &amp; MAINTENANCE'!C33+SECURITY!C27+ADMITTING!C26+'BUSINESS OFFICE'!C28+'NURSING ADMIN'!C27+'HOSPITAL ADMIN'!C56+MARKETING!C36+'GENERAL ACCOUNTING'!C27+'DATA PROCESSING'!C28+'HEALTH INFO MGMT'!C28+DIETARY!C28</f>
        <v>163455</v>
      </c>
      <c r="D32" s="289">
        <f t="shared" si="10"/>
        <v>1.3553785593754092E-2</v>
      </c>
      <c r="E32" s="288"/>
      <c r="F32" s="153">
        <v>399907</v>
      </c>
      <c r="G32" s="237">
        <v>3.0650600242026357E-2</v>
      </c>
      <c r="H32" s="237"/>
      <c r="I32" s="153">
        <f t="shared" si="11"/>
        <v>-236452</v>
      </c>
      <c r="J32" s="289">
        <f t="shared" si="12"/>
        <v>-0.59126746968670219</v>
      </c>
      <c r="K32" s="153">
        <f>SUM('MED SURG'!F40+'SWING BED'!F38+ICU!F37+OBS!F40+OR!F67+RECOVERY!F46+ANESTHESIA!F40+SURGIDAY!F43+ENDOSCOPY!F42+'STERILE SUPPLY'!F42+PHARMACY!F59+LAB!F59+PATHOLOGY!F34+'CENTRAL SUPPLY'!F54+XRAY!F57+CT!F39+MAMMOGRAPHY!F50+RESPIRATORY!F55+'PHYSICAL THERAPY'!F46+'EMERGENCY SERVICES'!F58+MOB!F29+HOUSEKEEPING!F25+'PLANT OP &amp; MAINTENANCE'!F33+SECURITY!F27+ADMITTING!F26+'BUSINESS OFFICE'!F28+'NURSING ADMIN'!F27+'HOSPITAL ADMIN'!F56+MARKETING!F36+'GENERAL ACCOUNTING'!F27+'DATA PROCESSING'!F28+'HEALTH INFO MGMT'!F28+DIETARY!F28)</f>
        <v>12752.606852467139</v>
      </c>
      <c r="L32" s="153">
        <f>SUM('MED SURG'!G40+'SWING BED'!G38+ICU!G37+OBS!G40+OR!G67+RECOVERY!G46+ANESTHESIA!G40+SURGIDAY!G43+ENDOSCOPY!G42+'STERILE SUPPLY'!G42+PHARMACY!G59+LAB!G59+PATHOLOGY!G34+'CENTRAL SUPPLY'!G54+XRAY!G57+CT!G39+MAMMOGRAPHY!G50+RESPIRATORY!G55+'PHYSICAL THERAPY'!G46+'EMERGENCY SERVICES'!G58+MOB!G29+HOUSEKEEPING!G25+'PLANT OP &amp; MAINTENANCE'!G33+SECURITY!G27+ADMITTING!G26+'BUSINESS OFFICE'!G28+'NURSING ADMIN'!G27+'HOSPITAL ADMIN'!G56+MARKETING!G36+'GENERAL ACCOUNTING'!G27+'DATA PROCESSING'!G28+'HEALTH INFO MGMT'!G28+DIETARY!G28)</f>
        <v>12353.600356043073</v>
      </c>
      <c r="M32" s="153">
        <f>SUM('MED SURG'!H40+'SWING BED'!H38+ICU!H37+OBS!H40+OR!H67+RECOVERY!H46+ANESTHESIA!H40+SURGIDAY!H43+ENDOSCOPY!H42+'STERILE SUPPLY'!H42+PHARMACY!H59+LAB!H59+PATHOLOGY!H34+'CENTRAL SUPPLY'!H54+XRAY!H57+CT!H39+MAMMOGRAPHY!H50+RESPIRATORY!H55+'PHYSICAL THERAPY'!H46+'EMERGENCY SERVICES'!H58+MOB!H29+HOUSEKEEPING!H25+'PLANT OP &amp; MAINTENANCE'!H33+SECURITY!H27+ADMITTING!H26+'BUSINESS OFFICE'!H28+'NURSING ADMIN'!H27+'HOSPITAL ADMIN'!H56+MARKETING!H36+'GENERAL ACCOUNTING'!H27+'DATA PROCESSING'!H28+'HEALTH INFO MGMT'!H28+DIETARY!H28)</f>
        <v>12524.575770453705</v>
      </c>
      <c r="N32" s="153">
        <f>SUM('MED SURG'!I40+'SWING BED'!I38+ICU!I37+OBS!I40+OR!I67+RECOVERY!I46+ANESTHESIA!I40+SURGIDAY!I43+ENDOSCOPY!I42+'STERILE SUPPLY'!I42+PHARMACY!I59+LAB!I59+PATHOLOGY!I34+'CENTRAL SUPPLY'!I54+XRAY!I57+CT!I39+MAMMOGRAPHY!I50+RESPIRATORY!I55+'PHYSICAL THERAPY'!I46+'EMERGENCY SERVICES'!I58+MOB!I29+HOUSEKEEPING!I25+'PLANT OP &amp; MAINTENANCE'!I33+SECURITY!I27+ADMITTING!I26+'BUSINESS OFFICE'!I28+'NURSING ADMIN'!I27+'HOSPITAL ADMIN'!I56+MARKETING!I36+'GENERAL ACCOUNTING'!I27+'DATA PROCESSING'!I28+'HEALTH INFO MGMT'!I28+DIETARY!I28)</f>
        <v>13295.93476301754</v>
      </c>
      <c r="O32" s="153">
        <f>SUM('MED SURG'!J40+'SWING BED'!J38+ICU!J37+OBS!J40+OR!J67+RECOVERY!J46+ANESTHESIA!J40+SURGIDAY!J43+ENDOSCOPY!J42+'STERILE SUPPLY'!J42+PHARMACY!J59+LAB!J59+PATHOLOGY!J34+'CENTRAL SUPPLY'!J54+XRAY!J57+CT!J39+MAMMOGRAPHY!J50+RESPIRATORY!J55+'PHYSICAL THERAPY'!J46+'EMERGENCY SERVICES'!J58+MOB!J29+HOUSEKEEPING!J25+'PLANT OP &amp; MAINTENANCE'!J33+SECURITY!J27+ADMITTING!J26+'BUSINESS OFFICE'!J28+'NURSING ADMIN'!J27+'HOSPITAL ADMIN'!J56+MARKETING!J36+'GENERAL ACCOUNTING'!J27+'DATA PROCESSING'!J28+'HEALTH INFO MGMT'!J28+DIETARY!J28)</f>
        <v>13496.683498719034</v>
      </c>
      <c r="P32" s="153">
        <f>SUM('MED SURG'!K40+'SWING BED'!K38+ICU!K37+OBS!K40+OR!K67+RECOVERY!K46+ANESTHESIA!K40+SURGIDAY!K43+ENDOSCOPY!K42+'STERILE SUPPLY'!K42+PHARMACY!K59+LAB!K59+PATHOLOGY!K34+'CENTRAL SUPPLY'!K54+XRAY!K57+CT!K39+MAMMOGRAPHY!K50+RESPIRATORY!K55+'PHYSICAL THERAPY'!K46+'EMERGENCY SERVICES'!K58+MOB!K29+HOUSEKEEPING!K25+'PLANT OP &amp; MAINTENANCE'!K33+SECURITY!K27+ADMITTING!K26+'BUSINESS OFFICE'!K28+'NURSING ADMIN'!K27+'HOSPITAL ADMIN'!K56+MARKETING!K36+'GENERAL ACCOUNTING'!K27+'DATA PROCESSING'!K28+'HEALTH INFO MGMT'!K28+DIETARY!K28)</f>
        <v>15025.352370325374</v>
      </c>
      <c r="Q32" s="153">
        <f>SUM('MED SURG'!L40+'SWING BED'!L38+ICU!L37+OBS!L40+OR!L67+RECOVERY!L46+ANESTHESIA!L40+SURGIDAY!L43+ENDOSCOPY!L42+'STERILE SUPPLY'!L42+PHARMACY!L59+LAB!L59+PATHOLOGY!L34+'CENTRAL SUPPLY'!L54+XRAY!L57+CT!L39+MAMMOGRAPHY!L50+RESPIRATORY!L55+'PHYSICAL THERAPY'!L46+'EMERGENCY SERVICES'!L58+MOB!L29+HOUSEKEEPING!L25+'PLANT OP &amp; MAINTENANCE'!L33+SECURITY!L27+ADMITTING!L26+'BUSINESS OFFICE'!L28+'NURSING ADMIN'!L27+'HOSPITAL ADMIN'!L56+MARKETING!L36+'GENERAL ACCOUNTING'!L27+'DATA PROCESSING'!L28+'HEALTH INFO MGMT'!L28+DIETARY!L28)</f>
        <v>12083.503551837619</v>
      </c>
      <c r="R32" s="153">
        <f>SUM('MED SURG'!M40+'SWING BED'!M38+ICU!M37+OBS!M40+OR!M67+RECOVERY!M46+ANESTHESIA!M40+SURGIDAY!M43+ENDOSCOPY!M42+'STERILE SUPPLY'!M42+PHARMACY!M59+LAB!M59+PATHOLOGY!M34+'CENTRAL SUPPLY'!M54+XRAY!M57+CT!M39+MAMMOGRAPHY!M50+RESPIRATORY!M55+'PHYSICAL THERAPY'!M46+'EMERGENCY SERVICES'!M58+MOB!M29+HOUSEKEEPING!M25+'PLANT OP &amp; MAINTENANCE'!M33+SECURITY!M27+ADMITTING!M26+'BUSINESS OFFICE'!M28+'NURSING ADMIN'!M27+'HOSPITAL ADMIN'!M56+MARKETING!M36+'GENERAL ACCOUNTING'!M27+'DATA PROCESSING'!M28+'HEALTH INFO MGMT'!M28+DIETARY!M28)</f>
        <v>13291.559482583079</v>
      </c>
      <c r="S32" s="153">
        <f>SUM('MED SURG'!N40+'SWING BED'!N38+ICU!N37+OBS!N40+OR!N67+RECOVERY!N46+ANESTHESIA!N40+SURGIDAY!N43+ENDOSCOPY!N42+'STERILE SUPPLY'!N42+PHARMACY!N59+LAB!N59+PATHOLOGY!N34+'CENTRAL SUPPLY'!N54+XRAY!N57+CT!N39+MAMMOGRAPHY!N50+RESPIRATORY!N55+'PHYSICAL THERAPY'!N46+'EMERGENCY SERVICES'!N58+MOB!N29+HOUSEKEEPING!N25+'PLANT OP &amp; MAINTENANCE'!N33+SECURITY!N27+ADMITTING!N26+'BUSINESS OFFICE'!N28+'NURSING ADMIN'!N27+'HOSPITAL ADMIN'!N56+MARKETING!N36+'GENERAL ACCOUNTING'!N27+'DATA PROCESSING'!N28+'HEALTH INFO MGMT'!N28+DIETARY!N28)</f>
        <v>13930.850080346907</v>
      </c>
      <c r="T32" s="153">
        <f>SUM('MED SURG'!O40+'SWING BED'!O38+ICU!O37+OBS!O40+OR!O67+RECOVERY!O46+ANESTHESIA!O40+SURGIDAY!O43+ENDOSCOPY!O42+'STERILE SUPPLY'!O42+PHARMACY!O59+LAB!O59+PATHOLOGY!O34+'CENTRAL SUPPLY'!O54+XRAY!O57+CT!O39+MAMMOGRAPHY!O50+RESPIRATORY!O55+'PHYSICAL THERAPY'!O46+'EMERGENCY SERVICES'!O58+MOB!O29+HOUSEKEEPING!O25+'PLANT OP &amp; MAINTENANCE'!O33+SECURITY!O27+ADMITTING!O26+'BUSINESS OFFICE'!O28+'NURSING ADMIN'!O27+'HOSPITAL ADMIN'!O56+MARKETING!O36+'GENERAL ACCOUNTING'!O27+'DATA PROCESSING'!O28+'HEALTH INFO MGMT'!O28+DIETARY!O28)</f>
        <v>12853.038308175708</v>
      </c>
      <c r="U32" s="153">
        <f>SUM('MED SURG'!P40+'SWING BED'!P38+ICU!P37+OBS!P40+OR!P67+RECOVERY!P46+ANESTHESIA!P40+SURGIDAY!P43+ENDOSCOPY!P42+'STERILE SUPPLY'!P42+PHARMACY!P59+LAB!P59+PATHOLOGY!P34+'CENTRAL SUPPLY'!P54+XRAY!P57+CT!P39+MAMMOGRAPHY!P50+RESPIRATORY!P55+'PHYSICAL THERAPY'!P46+'EMERGENCY SERVICES'!P58+MOB!P29+HOUSEKEEPING!P25+'PLANT OP &amp; MAINTENANCE'!P33+SECURITY!P27+ADMITTING!P26+'BUSINESS OFFICE'!P28+'NURSING ADMIN'!P27+'HOSPITAL ADMIN'!P56+MARKETING!P36+'GENERAL ACCOUNTING'!P27+'DATA PROCESSING'!P28+'HEALTH INFO MGMT'!P28+DIETARY!P28)</f>
        <v>15555.478348937937</v>
      </c>
      <c r="V32" s="153">
        <f>SUM('MED SURG'!Q40+'SWING BED'!Q38+ICU!Q37+OBS!Q40+OR!Q67+RECOVERY!Q46+ANESTHESIA!Q40+SURGIDAY!Q43+ENDOSCOPY!Q42+'STERILE SUPPLY'!Q42+PHARMACY!Q59+LAB!Q59+PATHOLOGY!Q34+'CENTRAL SUPPLY'!Q54+XRAY!Q57+CT!Q39+MAMMOGRAPHY!Q50+RESPIRATORY!Q55+'PHYSICAL THERAPY'!Q46+'EMERGENCY SERVICES'!Q58+MOB!Q29+HOUSEKEEPING!Q25+'PLANT OP &amp; MAINTENANCE'!Q33+SECURITY!Q27+ADMITTING!Q26+'BUSINESS OFFICE'!Q28+'NURSING ADMIN'!Q27+'HOSPITAL ADMIN'!Q56+MARKETING!Q36+'GENERAL ACCOUNTING'!Q27+'DATA PROCESSING'!Q28+'HEALTH INFO MGMT'!Q28+DIETARY!Q28)</f>
        <v>16291.816617092893</v>
      </c>
      <c r="W32" s="154">
        <f t="shared" si="8"/>
        <v>163455.00000000003</v>
      </c>
      <c r="X32" s="153">
        <f t="shared" si="9"/>
        <v>0</v>
      </c>
      <c r="Y32" s="153"/>
      <c r="Z32" s="153"/>
      <c r="AA32" s="641">
        <v>163230</v>
      </c>
      <c r="AC32" s="153">
        <v>144344.79999999999</v>
      </c>
      <c r="AD32" s="641"/>
      <c r="AE32" s="289"/>
      <c r="AF32" s="153">
        <v>153715</v>
      </c>
      <c r="AG32" s="221">
        <v>131005</v>
      </c>
      <c r="AH32" s="221">
        <v>228160</v>
      </c>
      <c r="AI32" s="221">
        <v>341126</v>
      </c>
      <c r="AJ32" s="153">
        <v>399907</v>
      </c>
      <c r="AK32" s="237"/>
      <c r="AL32" s="237"/>
      <c r="AM32" s="237"/>
      <c r="AN32" s="237"/>
      <c r="AO32" s="237"/>
    </row>
    <row r="33" spans="1:41" s="248" customFormat="1" x14ac:dyDescent="0.2">
      <c r="A33" s="215"/>
      <c r="B33" s="237" t="s">
        <v>844</v>
      </c>
      <c r="C33" s="637">
        <f>DEPRECIATION!C8+DEPRECIATION!C9+DEPRECIATION!C10+DEPRECIATION!C11+DEPRECIATION!C12+DEPRECIATION!C13+DEPRECIATION!C14+DEPRECIATION!C15+DEPRECIATION!C16+DEPRECIATION!C17+DEPRECIATION!C18+DEPRECIATION!C19+DEPRECIATION!C20+DEPRECIATION!C21+DEPRECIATION!C22+DEPRECIATION!C23</f>
        <v>888022.8</v>
      </c>
      <c r="D33" s="289">
        <f t="shared" si="10"/>
        <v>7.3635377526323278E-2</v>
      </c>
      <c r="E33" s="288"/>
      <c r="F33" s="153">
        <v>1302371</v>
      </c>
      <c r="G33" s="237">
        <v>9.9819340216120531E-2</v>
      </c>
      <c r="H33" s="237"/>
      <c r="I33" s="153">
        <f t="shared" si="11"/>
        <v>-414348.19999999995</v>
      </c>
      <c r="J33" s="289">
        <f t="shared" si="12"/>
        <v>-0.31814912954910696</v>
      </c>
      <c r="K33" s="153">
        <f>SUM(DEPRECIATION!F8+DEPRECIATION!F9+DEPRECIATION!F10+DEPRECIATION!F11+DEPRECIATION!F12+DEPRECIATION!F13+DEPRECIATION!F14+DEPRECIATION!F15+DEPRECIATION!F16+DEPRECIATION!F17+DEPRECIATION!F18+DEPRECIATION!F19+DEPRECIATION!F20+DEPRECIATION!F21+DEPRECIATION!F22+DEPRECIATION!F23)</f>
        <v>74001.899999999994</v>
      </c>
      <c r="L33" s="153">
        <f>SUM(DEPRECIATION!G8+DEPRECIATION!G9+DEPRECIATION!G10+DEPRECIATION!G11+DEPRECIATION!G12+DEPRECIATION!G13+DEPRECIATION!G14+DEPRECIATION!G15+DEPRECIATION!G16+DEPRECIATION!G17+DEPRECIATION!G18+DEPRECIATION!G19+DEPRECIATION!G20+DEPRECIATION!G21+DEPRECIATION!G22+DEPRECIATION!G23)</f>
        <v>74001.899999999994</v>
      </c>
      <c r="M33" s="153">
        <f>SUM(DEPRECIATION!H8+DEPRECIATION!H9+DEPRECIATION!H10+DEPRECIATION!H11+DEPRECIATION!H12+DEPRECIATION!H13+DEPRECIATION!H14+DEPRECIATION!H15+DEPRECIATION!H16+DEPRECIATION!H17+DEPRECIATION!H18+DEPRECIATION!H19+DEPRECIATION!H20+DEPRECIATION!H21+DEPRECIATION!H22+DEPRECIATION!H23)</f>
        <v>74001.899999999994</v>
      </c>
      <c r="N33" s="153">
        <f>SUM(DEPRECIATION!I8+DEPRECIATION!I9+DEPRECIATION!I10+DEPRECIATION!I11+DEPRECIATION!I12+DEPRECIATION!I13+DEPRECIATION!I14+DEPRECIATION!I15+DEPRECIATION!I16+DEPRECIATION!I17+DEPRECIATION!I18+DEPRECIATION!I19+DEPRECIATION!I20+DEPRECIATION!I21+DEPRECIATION!I22+DEPRECIATION!I23)</f>
        <v>74001.899999999994</v>
      </c>
      <c r="O33" s="153">
        <f>SUM(DEPRECIATION!J8+DEPRECIATION!J9+DEPRECIATION!J10+DEPRECIATION!J11+DEPRECIATION!J12+DEPRECIATION!J13+DEPRECIATION!J14+DEPRECIATION!J15+DEPRECIATION!J16+DEPRECIATION!J17+DEPRECIATION!J18+DEPRECIATION!J19+DEPRECIATION!J20+DEPRECIATION!J21+DEPRECIATION!J22+DEPRECIATION!J23)</f>
        <v>74001.899999999994</v>
      </c>
      <c r="P33" s="153">
        <f>SUM(DEPRECIATION!K8+DEPRECIATION!K9+DEPRECIATION!K10+DEPRECIATION!K11+DEPRECIATION!K12+DEPRECIATION!K13+DEPRECIATION!K14+DEPRECIATION!K15+DEPRECIATION!K16+DEPRECIATION!K17+DEPRECIATION!K18+DEPRECIATION!K19+DEPRECIATION!K20+DEPRECIATION!K21+DEPRECIATION!K22+DEPRECIATION!K23)</f>
        <v>74001.899999999994</v>
      </c>
      <c r="Q33" s="153">
        <f>SUM(DEPRECIATION!L8+DEPRECIATION!L9+DEPRECIATION!L10+DEPRECIATION!L11+DEPRECIATION!L12+DEPRECIATION!L13+DEPRECIATION!L14+DEPRECIATION!L15+DEPRECIATION!L16+DEPRECIATION!L17+DEPRECIATION!L18+DEPRECIATION!L19+DEPRECIATION!L20+DEPRECIATION!L21+DEPRECIATION!L22+DEPRECIATION!L23)</f>
        <v>74001.899999999994</v>
      </c>
      <c r="R33" s="153">
        <f>SUM(DEPRECIATION!M8+DEPRECIATION!M9+DEPRECIATION!M10+DEPRECIATION!M11+DEPRECIATION!M12+DEPRECIATION!M13+DEPRECIATION!M14+DEPRECIATION!M15+DEPRECIATION!M16+DEPRECIATION!M17+DEPRECIATION!M18+DEPRECIATION!M19+DEPRECIATION!M20+DEPRECIATION!M21+DEPRECIATION!M22+DEPRECIATION!M23)</f>
        <v>74001.899999999994</v>
      </c>
      <c r="S33" s="153">
        <f>SUM(DEPRECIATION!N8+DEPRECIATION!N9+DEPRECIATION!N10+DEPRECIATION!N11+DEPRECIATION!N12+DEPRECIATION!N13+DEPRECIATION!N14+DEPRECIATION!N15+DEPRECIATION!N16+DEPRECIATION!N17+DEPRECIATION!N18+DEPRECIATION!N19+DEPRECIATION!N20+DEPRECIATION!N21+DEPRECIATION!N22+DEPRECIATION!N23)</f>
        <v>74001.899999999994</v>
      </c>
      <c r="T33" s="153">
        <f>SUM(DEPRECIATION!O8+DEPRECIATION!O9+DEPRECIATION!O10+DEPRECIATION!O11+DEPRECIATION!O12+DEPRECIATION!O13+DEPRECIATION!O14+DEPRECIATION!O15+DEPRECIATION!O16+DEPRECIATION!O17+DEPRECIATION!O18+DEPRECIATION!O19+DEPRECIATION!O20+DEPRECIATION!O21+DEPRECIATION!O22+DEPRECIATION!O23)</f>
        <v>74001.899999999994</v>
      </c>
      <c r="U33" s="153">
        <f>SUM(DEPRECIATION!P8+DEPRECIATION!P9+DEPRECIATION!P10+DEPRECIATION!P11+DEPRECIATION!P12+DEPRECIATION!P13+DEPRECIATION!P14+DEPRECIATION!P15+DEPRECIATION!P16+DEPRECIATION!P17+DEPRECIATION!P18+DEPRECIATION!P19+DEPRECIATION!P20+DEPRECIATION!P21+DEPRECIATION!P22+DEPRECIATION!P23)</f>
        <v>74001.899999999994</v>
      </c>
      <c r="V33" s="153">
        <f>SUM(DEPRECIATION!Q8+DEPRECIATION!Q9+DEPRECIATION!Q10+DEPRECIATION!Q11+DEPRECIATION!Q12+DEPRECIATION!Q13+DEPRECIATION!Q14+DEPRECIATION!Q15+DEPRECIATION!Q16+DEPRECIATION!Q17+DEPRECIATION!Q18+DEPRECIATION!Q19+DEPRECIATION!Q20+DEPRECIATION!Q21+DEPRECIATION!Q22+DEPRECIATION!Q23)</f>
        <v>74001.899999999994</v>
      </c>
      <c r="W33" s="154">
        <f t="shared" si="8"/>
        <v>888022.80000000016</v>
      </c>
      <c r="X33" s="153">
        <f t="shared" si="9"/>
        <v>0</v>
      </c>
      <c r="Y33" s="153"/>
      <c r="Z33" s="153"/>
      <c r="AA33" s="641">
        <v>1133252.1999999997</v>
      </c>
      <c r="AC33" s="153">
        <v>1270012.0599999998</v>
      </c>
      <c r="AD33" s="641"/>
      <c r="AE33" s="289"/>
      <c r="AF33" s="153">
        <v>1360173</v>
      </c>
      <c r="AG33" s="221">
        <v>1490469</v>
      </c>
      <c r="AH33" s="221">
        <v>1587647</v>
      </c>
      <c r="AI33" s="221">
        <v>1527173</v>
      </c>
      <c r="AJ33" s="153">
        <v>1302371</v>
      </c>
      <c r="AK33" s="237"/>
      <c r="AL33" s="237"/>
      <c r="AM33" s="237"/>
      <c r="AN33" s="237"/>
      <c r="AO33" s="237"/>
    </row>
    <row r="34" spans="1:41" s="159" customFormat="1" ht="12" customHeight="1" x14ac:dyDescent="0.2">
      <c r="A34" s="278"/>
      <c r="B34" s="281" t="s">
        <v>845</v>
      </c>
      <c r="C34" s="639">
        <f>SUM(C19:C33)</f>
        <v>12445261.363462288</v>
      </c>
      <c r="D34" s="280">
        <f t="shared" si="10"/>
        <v>1.0319684572426635</v>
      </c>
      <c r="E34" s="279"/>
      <c r="F34" s="157">
        <v>14283761.23</v>
      </c>
      <c r="G34" s="220">
        <v>1.0947691723657869</v>
      </c>
      <c r="H34" s="220"/>
      <c r="I34" s="157">
        <f>SUM(C34-F34)</f>
        <v>-1838499.8665377125</v>
      </c>
      <c r="J34" s="280">
        <f>SUM(I34/F34)</f>
        <v>-0.12871258745745026</v>
      </c>
      <c r="K34" s="157">
        <f>SUM(K19:K33)</f>
        <v>1025619.7718376515</v>
      </c>
      <c r="L34" s="157">
        <f t="shared" ref="L34:V34" si="13">SUM(L19:L33)</f>
        <v>995029.0787479562</v>
      </c>
      <c r="M34" s="157">
        <f t="shared" si="13"/>
        <v>1009575.2372400676</v>
      </c>
      <c r="N34" s="157">
        <f t="shared" si="13"/>
        <v>1039984.1924192468</v>
      </c>
      <c r="O34" s="157">
        <f t="shared" si="13"/>
        <v>995328.20177964866</v>
      </c>
      <c r="P34" s="157">
        <f t="shared" si="13"/>
        <v>1087900.1567199822</v>
      </c>
      <c r="Q34" s="157">
        <f t="shared" si="13"/>
        <v>1019489.2165446926</v>
      </c>
      <c r="R34" s="157">
        <f t="shared" si="13"/>
        <v>1064644.5997940241</v>
      </c>
      <c r="S34" s="157">
        <f t="shared" si="13"/>
        <v>1032998.3714829506</v>
      </c>
      <c r="T34" s="157">
        <f t="shared" si="13"/>
        <v>1027075.7728355472</v>
      </c>
      <c r="U34" s="157">
        <f t="shared" si="13"/>
        <v>1080383.2854348477</v>
      </c>
      <c r="V34" s="157">
        <f t="shared" si="13"/>
        <v>1067233.4786256715</v>
      </c>
      <c r="W34" s="157">
        <f t="shared" si="8"/>
        <v>12445261.363462286</v>
      </c>
      <c r="X34" s="157">
        <f t="shared" si="9"/>
        <v>0</v>
      </c>
      <c r="Y34" s="157">
        <v>13046532</v>
      </c>
      <c r="Z34" s="157"/>
      <c r="AA34" s="642">
        <v>12342394.104589133</v>
      </c>
      <c r="AC34" s="154">
        <v>12023827.357125936</v>
      </c>
      <c r="AD34" s="642"/>
      <c r="AE34" s="280">
        <f>AF34/AF5</f>
        <v>0.4953880647649278</v>
      </c>
      <c r="AF34" s="157">
        <f>SUM(AF19:AF33)</f>
        <v>12099583</v>
      </c>
      <c r="AG34" s="157">
        <f>SUM(AG19:AG33)</f>
        <v>13141487</v>
      </c>
      <c r="AH34" s="157">
        <f>SUM(AH19:AH33)</f>
        <v>13047342</v>
      </c>
      <c r="AI34" s="157">
        <f>SUM(AI19:AI33)</f>
        <v>12774241</v>
      </c>
      <c r="AJ34" s="154">
        <v>14283761.23</v>
      </c>
      <c r="AK34" s="220"/>
      <c r="AL34" s="220"/>
      <c r="AM34" s="220"/>
      <c r="AN34" s="220"/>
      <c r="AO34" s="220"/>
    </row>
    <row r="35" spans="1:41" s="277" customFormat="1" x14ac:dyDescent="0.2">
      <c r="A35" s="213"/>
      <c r="B35" s="256"/>
      <c r="C35" s="637"/>
      <c r="D35" s="218"/>
      <c r="E35" s="275"/>
      <c r="F35" s="157"/>
      <c r="G35" s="220"/>
      <c r="H35" s="218"/>
      <c r="I35" s="218"/>
      <c r="J35" s="218"/>
      <c r="K35" s="218"/>
      <c r="L35" s="218"/>
      <c r="M35" s="218"/>
      <c r="N35" s="218"/>
      <c r="O35" s="218"/>
      <c r="P35" s="218"/>
      <c r="Q35" s="218"/>
      <c r="R35" s="218"/>
      <c r="S35" s="218"/>
      <c r="T35" s="218"/>
      <c r="U35" s="218"/>
      <c r="V35" s="218"/>
      <c r="W35" s="220"/>
      <c r="X35" s="218"/>
      <c r="Y35" s="218"/>
      <c r="Z35" s="218"/>
      <c r="AA35" s="641"/>
      <c r="AC35" s="153"/>
      <c r="AD35" s="641"/>
      <c r="AE35" s="276"/>
      <c r="AF35" s="221"/>
      <c r="AG35" s="157"/>
      <c r="AH35" s="157"/>
      <c r="AI35" s="218"/>
      <c r="AJ35" s="154"/>
      <c r="AK35" s="218"/>
      <c r="AL35" s="218"/>
      <c r="AM35" s="218"/>
      <c r="AN35" s="218"/>
      <c r="AO35" s="218"/>
    </row>
    <row r="36" spans="1:41" s="159" customFormat="1" x14ac:dyDescent="0.2">
      <c r="A36" s="278"/>
      <c r="B36" s="35" t="s">
        <v>846</v>
      </c>
      <c r="C36" s="639">
        <f>C17-C34</f>
        <v>-385530.97527288273</v>
      </c>
      <c r="D36" s="280">
        <f t="shared" si="10"/>
        <v>-3.1968457242663506E-2</v>
      </c>
      <c r="E36" s="279"/>
      <c r="F36" s="157">
        <v>-1236480.04</v>
      </c>
      <c r="G36" s="220">
        <v>-9.4769172365786886E-2</v>
      </c>
      <c r="H36" s="220"/>
      <c r="I36" s="157">
        <f>SUM(C36-F36)</f>
        <v>850949.06472711731</v>
      </c>
      <c r="J36" s="280">
        <f>SUM(I36/F36)</f>
        <v>-0.68820283158563345</v>
      </c>
      <c r="K36" s="157">
        <f>K17-K34</f>
        <v>-76159.780125860823</v>
      </c>
      <c r="L36" s="157">
        <f t="shared" ref="L36:V36" si="14">L17-L34</f>
        <v>35650.142162535572</v>
      </c>
      <c r="M36" s="157">
        <f t="shared" si="14"/>
        <v>50956.433119737194</v>
      </c>
      <c r="N36" s="157">
        <f t="shared" si="14"/>
        <v>-19794.990694841836</v>
      </c>
      <c r="O36" s="157">
        <f t="shared" si="14"/>
        <v>-23301.577724704868</v>
      </c>
      <c r="P36" s="157">
        <f t="shared" si="14"/>
        <v>-144542.19737930794</v>
      </c>
      <c r="Q36" s="157">
        <f t="shared" si="14"/>
        <v>-102270.50484146387</v>
      </c>
      <c r="R36" s="157">
        <f t="shared" si="14"/>
        <v>-69310.578901792527</v>
      </c>
      <c r="S36" s="157">
        <f t="shared" si="14"/>
        <v>-37808.895766242174</v>
      </c>
      <c r="T36" s="157">
        <f t="shared" si="14"/>
        <v>-106582.24562601012</v>
      </c>
      <c r="U36" s="157">
        <f t="shared" si="14"/>
        <v>83388.61126174056</v>
      </c>
      <c r="V36" s="157">
        <f t="shared" si="14"/>
        <v>24244.609243329382</v>
      </c>
      <c r="W36" s="157">
        <f>SUM(K36:V36)</f>
        <v>-385530.97527288145</v>
      </c>
      <c r="X36" s="157">
        <f>C36-W36</f>
        <v>-1.280568540096283E-9</v>
      </c>
      <c r="Y36" s="157">
        <f>Y17-Y34</f>
        <v>912213.3292470742</v>
      </c>
      <c r="Z36" s="157"/>
      <c r="AA36" s="642">
        <v>494908.76364167966</v>
      </c>
      <c r="AC36" s="154">
        <v>-71638.934656837955</v>
      </c>
      <c r="AD36" s="642"/>
      <c r="AE36" s="280">
        <f>AF36/AF17</f>
        <v>-0.14441415373189764</v>
      </c>
      <c r="AF36" s="157">
        <f>AF17-AF34</f>
        <v>-1526852</v>
      </c>
      <c r="AG36" s="157">
        <f>AG17-AG34</f>
        <v>-1912707</v>
      </c>
      <c r="AH36" s="157">
        <f>AH17-AH34</f>
        <v>-824388</v>
      </c>
      <c r="AI36" s="157">
        <f>AI17-AI34</f>
        <v>-882423</v>
      </c>
      <c r="AJ36" s="154">
        <v>-1236480.04</v>
      </c>
      <c r="AK36" s="220"/>
      <c r="AL36" s="220"/>
      <c r="AM36" s="220"/>
      <c r="AN36" s="220"/>
      <c r="AO36" s="220"/>
    </row>
    <row r="37" spans="1:41" s="277" customFormat="1" x14ac:dyDescent="0.2">
      <c r="A37" s="213"/>
      <c r="B37" s="256"/>
      <c r="C37" s="637"/>
      <c r="D37" s="218"/>
      <c r="E37" s="275"/>
      <c r="F37" s="218"/>
      <c r="G37" s="218"/>
      <c r="H37" s="218"/>
      <c r="I37" s="218"/>
      <c r="J37" s="218"/>
      <c r="K37" s="218"/>
      <c r="L37" s="218"/>
      <c r="M37" s="218"/>
      <c r="N37" s="218"/>
      <c r="O37" s="218"/>
      <c r="P37" s="218"/>
      <c r="Q37" s="218"/>
      <c r="R37" s="218"/>
      <c r="S37" s="218"/>
      <c r="T37" s="218"/>
      <c r="U37" s="218"/>
      <c r="V37" s="218"/>
      <c r="W37" s="220"/>
      <c r="X37" s="218"/>
      <c r="Y37" s="218"/>
      <c r="Z37" s="218"/>
      <c r="AA37" s="641"/>
      <c r="AC37" s="153"/>
      <c r="AD37" s="641"/>
      <c r="AE37" s="276"/>
      <c r="AF37" s="221"/>
      <c r="AG37" s="218"/>
      <c r="AH37" s="218"/>
      <c r="AI37" s="218"/>
      <c r="AJ37" s="237"/>
      <c r="AK37" s="218"/>
      <c r="AL37" s="218"/>
      <c r="AM37" s="218"/>
      <c r="AN37" s="218"/>
      <c r="AO37" s="218"/>
    </row>
    <row r="38" spans="1:41" s="277" customFormat="1" x14ac:dyDescent="0.2">
      <c r="A38" s="213"/>
      <c r="B38" s="220" t="s">
        <v>847</v>
      </c>
      <c r="C38" s="637"/>
      <c r="D38" s="218"/>
      <c r="E38" s="275"/>
      <c r="F38" s="218"/>
      <c r="G38" s="218"/>
      <c r="H38" s="218"/>
      <c r="I38" s="218"/>
      <c r="J38" s="218"/>
      <c r="K38" s="218"/>
      <c r="L38" s="218"/>
      <c r="M38" s="218"/>
      <c r="N38" s="218"/>
      <c r="O38" s="218"/>
      <c r="P38" s="218"/>
      <c r="Q38" s="218"/>
      <c r="R38" s="218"/>
      <c r="S38" s="218"/>
      <c r="T38" s="218"/>
      <c r="U38" s="218"/>
      <c r="V38" s="218"/>
      <c r="W38" s="220"/>
      <c r="X38" s="218"/>
      <c r="Y38" s="218"/>
      <c r="Z38" s="218"/>
      <c r="AA38" s="641"/>
      <c r="AC38" s="153"/>
      <c r="AD38" s="641"/>
      <c r="AE38" s="276"/>
      <c r="AF38" s="221"/>
      <c r="AG38" s="221"/>
      <c r="AH38" s="221"/>
      <c r="AI38" s="218"/>
      <c r="AJ38" s="237"/>
      <c r="AK38" s="218"/>
      <c r="AL38" s="218"/>
      <c r="AM38" s="218"/>
      <c r="AN38" s="218"/>
      <c r="AO38" s="218"/>
    </row>
    <row r="39" spans="1:41" s="277" customFormat="1" x14ac:dyDescent="0.2">
      <c r="A39" s="213"/>
      <c r="B39" s="218" t="s">
        <v>848</v>
      </c>
      <c r="C39" s="637">
        <f>'OTHER REVENUE'!C14</f>
        <v>12000</v>
      </c>
      <c r="D39" s="218"/>
      <c r="E39" s="275"/>
      <c r="F39" s="221">
        <v>50721</v>
      </c>
      <c r="G39" s="218">
        <v>3.8874765754933495E-3</v>
      </c>
      <c r="H39" s="218"/>
      <c r="I39" s="221">
        <f t="shared" ref="I39:I45" si="15">SUM(C39-F39)</f>
        <v>-38721</v>
      </c>
      <c r="J39" s="276">
        <f t="shared" ref="J39:J45" si="16">SUM(I39/F39)</f>
        <v>-0.76341160466079139</v>
      </c>
      <c r="K39" s="221">
        <f>'OTHER REVENUE'!F14</f>
        <v>971.95550907880977</v>
      </c>
      <c r="L39" s="221">
        <f>'OTHER REVENUE'!G14</f>
        <v>928.03498431409832</v>
      </c>
      <c r="M39" s="221">
        <f>'OTHER REVENUE'!H14</f>
        <v>892.10000950660708</v>
      </c>
      <c r="N39" s="221">
        <f>'OTHER REVENUE'!I14</f>
        <v>995.9121589504706</v>
      </c>
      <c r="O39" s="221">
        <f>'OTHER REVENUE'!J14</f>
        <v>1011.3128624393954</v>
      </c>
      <c r="P39" s="221">
        <f>'OTHER REVENUE'!K14</f>
        <v>1104.8578762239756</v>
      </c>
      <c r="Q39" s="221">
        <f>'OTHER REVENUE'!L14</f>
        <v>1021.0096016731628</v>
      </c>
      <c r="R39" s="221">
        <f>'OTHER REVENUE'!M14</f>
        <v>1082.612415628862</v>
      </c>
      <c r="S39" s="221">
        <f>'OTHER REVENUE'!N14</f>
        <v>990.2081946953133</v>
      </c>
      <c r="T39" s="221">
        <f>'OTHER REVENUE'!O14</f>
        <v>894.95199163418579</v>
      </c>
      <c r="U39" s="221">
        <f>'OTHER REVENUE'!P14</f>
        <v>1043.2550622682766</v>
      </c>
      <c r="V39" s="221">
        <f>'OTHER REVENUE'!Q14</f>
        <v>1063.7893335868428</v>
      </c>
      <c r="W39" s="157">
        <f>SUM(K39:V39)</f>
        <v>12000</v>
      </c>
      <c r="X39" s="157">
        <f>C39-W39</f>
        <v>0</v>
      </c>
      <c r="Y39" s="157"/>
      <c r="Z39" s="157"/>
      <c r="AA39" s="641">
        <v>5500</v>
      </c>
      <c r="AC39" s="153">
        <v>7500</v>
      </c>
      <c r="AD39" s="641"/>
      <c r="AE39" s="280"/>
      <c r="AF39" s="221">
        <v>7190</v>
      </c>
      <c r="AG39" s="221">
        <v>16801</v>
      </c>
      <c r="AH39" s="221">
        <v>19503</v>
      </c>
      <c r="AI39" s="221">
        <v>26873</v>
      </c>
      <c r="AJ39" s="153">
        <v>50721</v>
      </c>
      <c r="AK39" s="218"/>
      <c r="AL39" s="218"/>
      <c r="AM39" s="218"/>
      <c r="AN39" s="218"/>
      <c r="AO39" s="218"/>
    </row>
    <row r="40" spans="1:41" s="277" customFormat="1" x14ac:dyDescent="0.2">
      <c r="A40" s="213"/>
      <c r="B40" s="218" t="s">
        <v>849</v>
      </c>
      <c r="C40" s="637">
        <f>'OTHER REVENUE'!C7+'OTHER REVENUE'!C8</f>
        <v>15000</v>
      </c>
      <c r="D40" s="218"/>
      <c r="E40" s="275"/>
      <c r="F40" s="221">
        <v>164222</v>
      </c>
      <c r="G40" s="218">
        <v>1.2586683586298946E-2</v>
      </c>
      <c r="H40" s="218"/>
      <c r="I40" s="221">
        <f t="shared" si="15"/>
        <v>-149222</v>
      </c>
      <c r="J40" s="276">
        <f t="shared" si="16"/>
        <v>-0.90866022822764303</v>
      </c>
      <c r="K40" s="221">
        <f>'OTHER REVENUE'!F7+'OTHER REVENUE'!F8</f>
        <v>1214.9443863485121</v>
      </c>
      <c r="L40" s="221">
        <f>'OTHER REVENUE'!G7</f>
        <v>1160.0437303926228</v>
      </c>
      <c r="M40" s="221">
        <f>'OTHER REVENUE'!H7</f>
        <v>1115.1250118832588</v>
      </c>
      <c r="N40" s="221">
        <f>'OTHER REVENUE'!I7</f>
        <v>1244.8901986880883</v>
      </c>
      <c r="O40" s="221">
        <f>'OTHER REVENUE'!J7</f>
        <v>1264.1410780492442</v>
      </c>
      <c r="P40" s="221">
        <f>'OTHER REVENUE'!K7</f>
        <v>1381.0723452799696</v>
      </c>
      <c r="Q40" s="221">
        <f>'OTHER REVENUE'!L7</f>
        <v>1276.2620020914535</v>
      </c>
      <c r="R40" s="221">
        <f>'OTHER REVENUE'!M7</f>
        <v>1353.2655195360776</v>
      </c>
      <c r="S40" s="221">
        <f>'OTHER REVENUE'!N7</f>
        <v>1237.7602433691416</v>
      </c>
      <c r="T40" s="221">
        <f>'OTHER REVENUE'!O7</f>
        <v>1118.6899895427323</v>
      </c>
      <c r="U40" s="221">
        <f>'OTHER REVENUE'!P7</f>
        <v>1304.0688278353455</v>
      </c>
      <c r="V40" s="221">
        <f>'OTHER REVENUE'!Q7</f>
        <v>1329.7366669835535</v>
      </c>
      <c r="W40" s="157">
        <f>SUM(K40:V40)</f>
        <v>14999.999999999996</v>
      </c>
      <c r="X40" s="157">
        <f>C40-W40</f>
        <v>0</v>
      </c>
      <c r="Y40" s="157"/>
      <c r="Z40" s="157"/>
      <c r="AA40" s="641">
        <v>20000</v>
      </c>
      <c r="AC40" s="153">
        <v>12000</v>
      </c>
      <c r="AD40" s="641"/>
      <c r="AE40" s="280"/>
      <c r="AF40" s="221">
        <v>10034</v>
      </c>
      <c r="AG40" s="221">
        <v>18855</v>
      </c>
      <c r="AH40" s="221">
        <v>65568</v>
      </c>
      <c r="AI40" s="221">
        <v>44128</v>
      </c>
      <c r="AJ40" s="153">
        <v>164222</v>
      </c>
      <c r="AK40" s="218"/>
      <c r="AL40" s="218"/>
      <c r="AM40" s="218"/>
      <c r="AN40" s="218"/>
      <c r="AO40" s="218"/>
    </row>
    <row r="41" spans="1:41" s="277" customFormat="1" x14ac:dyDescent="0.2">
      <c r="A41" s="213"/>
      <c r="B41" s="218" t="s">
        <v>850</v>
      </c>
      <c r="C41" s="637">
        <f>'OTHER REVENUE'!C15</f>
        <v>20000</v>
      </c>
      <c r="D41" s="218"/>
      <c r="E41" s="275"/>
      <c r="F41" s="221">
        <v>5310</v>
      </c>
      <c r="G41" s="218">
        <v>4.0698134137476954E-4</v>
      </c>
      <c r="H41" s="218"/>
      <c r="I41" s="221">
        <f t="shared" si="15"/>
        <v>14690</v>
      </c>
      <c r="J41" s="276">
        <f t="shared" si="16"/>
        <v>2.766478342749529</v>
      </c>
      <c r="K41" s="221">
        <f>'OTHER REVENUE'!F15</f>
        <v>1619.925848464683</v>
      </c>
      <c r="L41" s="221">
        <f>'OTHER REVENUE'!G15</f>
        <v>1546.7249738568305</v>
      </c>
      <c r="M41" s="221">
        <f>'OTHER REVENUE'!H15</f>
        <v>1486.8333491776784</v>
      </c>
      <c r="N41" s="221">
        <f>'OTHER REVENUE'!I15</f>
        <v>1659.8535982507842</v>
      </c>
      <c r="O41" s="221">
        <f>'OTHER REVENUE'!J15</f>
        <v>1685.5214373989922</v>
      </c>
      <c r="P41" s="221">
        <f>'OTHER REVENUE'!K15</f>
        <v>1841.429793706626</v>
      </c>
      <c r="Q41" s="221">
        <f>'OTHER REVENUE'!L15</f>
        <v>1701.6826694552713</v>
      </c>
      <c r="R41" s="221">
        <f>'OTHER REVENUE'!M15</f>
        <v>1804.3540260481034</v>
      </c>
      <c r="S41" s="221">
        <f>'OTHER REVENUE'!N15</f>
        <v>1650.3469911588554</v>
      </c>
      <c r="T41" s="221">
        <f>'OTHER REVENUE'!O15</f>
        <v>1491.5866527236428</v>
      </c>
      <c r="U41" s="221">
        <f>'OTHER REVENUE'!P15</f>
        <v>1738.7584371137941</v>
      </c>
      <c r="V41" s="221">
        <f>'OTHER REVENUE'!Q15</f>
        <v>1772.9822226447379</v>
      </c>
      <c r="W41" s="157">
        <f>SUM(K41:V41)</f>
        <v>20000</v>
      </c>
      <c r="X41" s="221">
        <f>C41-W41</f>
        <v>0</v>
      </c>
      <c r="Y41" s="221"/>
      <c r="Z41" s="221"/>
      <c r="AA41" s="641">
        <v>10000</v>
      </c>
      <c r="AC41" s="153">
        <v>10000</v>
      </c>
      <c r="AD41" s="641"/>
      <c r="AE41" s="276"/>
      <c r="AF41" s="221">
        <v>9872</v>
      </c>
      <c r="AG41" s="221">
        <v>31034</v>
      </c>
      <c r="AH41" s="221">
        <v>45888</v>
      </c>
      <c r="AI41" s="221">
        <v>16420</v>
      </c>
      <c r="AJ41" s="153">
        <v>5310</v>
      </c>
      <c r="AK41" s="218"/>
      <c r="AL41" s="218"/>
      <c r="AM41" s="218"/>
      <c r="AN41" s="218"/>
      <c r="AO41" s="218"/>
    </row>
    <row r="42" spans="1:41" s="277" customFormat="1" x14ac:dyDescent="0.2">
      <c r="A42" s="213"/>
      <c r="B42" s="218" t="s">
        <v>851</v>
      </c>
      <c r="C42" s="637">
        <f>'OTHER REVENUE'!C12+'OTHER REVENUE'!C19</f>
        <v>452425.0033333333</v>
      </c>
      <c r="D42" s="218"/>
      <c r="E42" s="275"/>
      <c r="F42" s="221">
        <v>0</v>
      </c>
      <c r="G42" s="218">
        <v>0</v>
      </c>
      <c r="H42" s="218"/>
      <c r="I42" s="221"/>
      <c r="J42" s="276"/>
      <c r="K42" s="221">
        <f>'OTHER REVENUE'!F12+'OTHER REVENUE'!F19</f>
        <v>36644.74786956935</v>
      </c>
      <c r="L42" s="221">
        <f>'OTHER REVENUE'!G12+'OTHER REVENUE'!G19</f>
        <v>34988.852572646319</v>
      </c>
      <c r="M42" s="221">
        <f>'OTHER REVENUE'!H12+'OTHER REVENUE'!H19</f>
        <v>33634.029147891109</v>
      </c>
      <c r="N42" s="221">
        <f>'OTHER REVENUE'!I12+'OTHER REVENUE'!I19</f>
        <v>37547.963486072818</v>
      </c>
      <c r="O42" s="221">
        <f>'OTHER REVENUE'!J12+'OTHER REVENUE'!J19</f>
        <v>38128.602096682189</v>
      </c>
      <c r="P42" s="221">
        <f>'OTHER REVENUE'!K12+'OTHER REVENUE'!K19</f>
        <v>41655.444027790982</v>
      </c>
      <c r="Q42" s="221">
        <f>'OTHER REVENUE'!L12+'OTHER REVENUE'!L19</f>
        <v>38494.189370028835</v>
      </c>
      <c r="R42" s="221">
        <f>'OTHER REVENUE'!M12+'OTHER REVENUE'!M19</f>
        <v>40816.743812466324</v>
      </c>
      <c r="S42" s="221">
        <f>'OTHER REVENUE'!N12+'OTHER REVENUE'!N19</f>
        <v>37332.912148810086</v>
      </c>
      <c r="T42" s="221">
        <f>'OTHER REVENUE'!O12+'OTHER REVENUE'!O19</f>
        <v>33741.554816522483</v>
      </c>
      <c r="U42" s="221">
        <f>'OTHER REVENUE'!P12+'OTHER REVENUE'!P19</f>
        <v>39332.889585353485</v>
      </c>
      <c r="V42" s="221">
        <f>'OTHER REVENUE'!Q12+'OTHER REVENUE'!Q19</f>
        <v>40107.074399499317</v>
      </c>
      <c r="W42" s="157">
        <f>SUM(K42:V42)</f>
        <v>452425.0033333333</v>
      </c>
      <c r="X42" s="221">
        <f>C42-W42</f>
        <v>0</v>
      </c>
      <c r="Y42" s="218"/>
      <c r="Z42" s="218"/>
      <c r="AA42" s="641">
        <v>5100</v>
      </c>
      <c r="AC42" s="153">
        <v>12968</v>
      </c>
      <c r="AD42" s="641"/>
      <c r="AE42" s="276"/>
      <c r="AF42" s="221">
        <v>11109</v>
      </c>
      <c r="AG42" s="221">
        <v>0</v>
      </c>
      <c r="AH42" s="221">
        <v>0</v>
      </c>
      <c r="AI42" s="221">
        <v>0</v>
      </c>
      <c r="AJ42" s="153">
        <v>0</v>
      </c>
      <c r="AK42" s="218"/>
      <c r="AL42" s="218"/>
      <c r="AM42" s="218"/>
      <c r="AN42" s="218"/>
      <c r="AO42" s="218"/>
    </row>
    <row r="43" spans="1:41" s="159" customFormat="1" x14ac:dyDescent="0.2">
      <c r="A43" s="278"/>
      <c r="B43" s="281" t="s">
        <v>852</v>
      </c>
      <c r="C43" s="639">
        <f>SUM(C39:C42)</f>
        <v>499425.0033333333</v>
      </c>
      <c r="D43" s="280">
        <f>C43/C17</f>
        <v>4.1412617633843699E-2</v>
      </c>
      <c r="E43" s="279"/>
      <c r="F43" s="157">
        <v>220253</v>
      </c>
      <c r="G43" s="220">
        <v>1.6881141503167066E-2</v>
      </c>
      <c r="H43" s="220"/>
      <c r="I43" s="157">
        <f t="shared" si="15"/>
        <v>279172.0033333333</v>
      </c>
      <c r="J43" s="280">
        <f t="shared" si="16"/>
        <v>1.2675060195926198</v>
      </c>
      <c r="K43" s="157">
        <f>SUM(K38:K42)</f>
        <v>40451.573613461354</v>
      </c>
      <c r="L43" s="157">
        <f t="shared" ref="L43:V43" si="17">SUM(L38:L42)</f>
        <v>38623.656261209871</v>
      </c>
      <c r="M43" s="157">
        <f t="shared" si="17"/>
        <v>37128.087518458655</v>
      </c>
      <c r="N43" s="157">
        <f t="shared" si="17"/>
        <v>41448.619441962161</v>
      </c>
      <c r="O43" s="157">
        <f t="shared" si="17"/>
        <v>42089.577474569822</v>
      </c>
      <c r="P43" s="157">
        <f t="shared" si="17"/>
        <v>45982.804043001554</v>
      </c>
      <c r="Q43" s="157">
        <f t="shared" si="17"/>
        <v>42493.143643248724</v>
      </c>
      <c r="R43" s="157">
        <f t="shared" si="17"/>
        <v>45056.975773679369</v>
      </c>
      <c r="S43" s="157">
        <f t="shared" si="17"/>
        <v>41211.227578033395</v>
      </c>
      <c r="T43" s="157">
        <f t="shared" si="17"/>
        <v>37246.783450423041</v>
      </c>
      <c r="U43" s="157">
        <f t="shared" si="17"/>
        <v>43418.971912570902</v>
      </c>
      <c r="V43" s="157">
        <f t="shared" si="17"/>
        <v>44273.58262271445</v>
      </c>
      <c r="W43" s="157">
        <f>SUM(K43:V43)</f>
        <v>499425.0033333333</v>
      </c>
      <c r="X43" s="157">
        <f>C43-W43</f>
        <v>0</v>
      </c>
      <c r="Y43" s="157">
        <f>Y5*AE43</f>
        <v>50440.502581961504</v>
      </c>
      <c r="Z43" s="157"/>
      <c r="AA43" s="643">
        <v>40600</v>
      </c>
      <c r="AC43" s="157">
        <v>42468</v>
      </c>
      <c r="AD43" s="643"/>
      <c r="AE43" s="280">
        <f>AF43/AF5</f>
        <v>1.5642110157303823E-3</v>
      </c>
      <c r="AF43" s="157">
        <f>SUM(AF39:AF42)</f>
        <v>38205</v>
      </c>
      <c r="AG43" s="157">
        <f>SUM(AG39:AG42)</f>
        <v>66690</v>
      </c>
      <c r="AH43" s="157">
        <f>SUM(AH39:AH42)</f>
        <v>130959</v>
      </c>
      <c r="AI43" s="157">
        <f>SUM(AI39:AI42)</f>
        <v>87421</v>
      </c>
      <c r="AJ43" s="154">
        <v>220253</v>
      </c>
      <c r="AK43" s="220"/>
      <c r="AL43" s="220"/>
      <c r="AM43" s="220"/>
      <c r="AN43" s="220"/>
      <c r="AO43" s="220"/>
    </row>
    <row r="44" spans="1:41" s="277" customFormat="1" x14ac:dyDescent="0.2">
      <c r="A44" s="213"/>
      <c r="B44" s="218"/>
      <c r="C44" s="638"/>
      <c r="D44" s="218"/>
      <c r="E44" s="275"/>
      <c r="F44" s="221"/>
      <c r="G44" s="218"/>
      <c r="H44" s="218"/>
      <c r="I44" s="221"/>
      <c r="J44" s="276"/>
      <c r="K44" s="218"/>
      <c r="L44" s="218"/>
      <c r="M44" s="218"/>
      <c r="N44" s="218"/>
      <c r="O44" s="218"/>
      <c r="P44" s="218"/>
      <c r="Q44" s="218"/>
      <c r="R44" s="218"/>
      <c r="S44" s="218"/>
      <c r="T44" s="218"/>
      <c r="U44" s="218"/>
      <c r="V44" s="218"/>
      <c r="W44" s="220"/>
      <c r="X44" s="218"/>
      <c r="Y44" s="218"/>
      <c r="Z44" s="218"/>
      <c r="AA44" s="645"/>
      <c r="AB44" s="276"/>
      <c r="AC44" s="221"/>
      <c r="AD44" s="645"/>
      <c r="AE44" s="645"/>
      <c r="AF44" s="221"/>
      <c r="AG44" s="157"/>
      <c r="AH44" s="157"/>
      <c r="AI44" s="218"/>
      <c r="AJ44" s="153"/>
      <c r="AK44" s="218"/>
      <c r="AL44" s="218"/>
      <c r="AM44" s="218"/>
      <c r="AN44" s="218"/>
      <c r="AO44" s="218"/>
    </row>
    <row r="45" spans="1:41" s="159" customFormat="1" x14ac:dyDescent="0.2">
      <c r="A45" s="278"/>
      <c r="B45" s="281" t="s">
        <v>853</v>
      </c>
      <c r="C45" s="640">
        <f>C36+C43</f>
        <v>113894.02806045057</v>
      </c>
      <c r="D45" s="280">
        <f>C45/C17</f>
        <v>9.4441603911801977E-3</v>
      </c>
      <c r="E45" s="279"/>
      <c r="F45" s="157">
        <f>SUM(F36+F43)</f>
        <v>-1016227.04</v>
      </c>
      <c r="G45" s="220">
        <v>-3.3244408270512359E-2</v>
      </c>
      <c r="H45" s="220"/>
      <c r="I45" s="157">
        <f t="shared" si="15"/>
        <v>1130121.0680604507</v>
      </c>
      <c r="J45" s="280">
        <f t="shared" si="16"/>
        <v>-1.1120753764438807</v>
      </c>
      <c r="K45" s="157">
        <f>K36+K43</f>
        <v>-35708.206512399469</v>
      </c>
      <c r="L45" s="157">
        <f t="shared" ref="L45:V45" si="18">L36+L43</f>
        <v>74273.798423745437</v>
      </c>
      <c r="M45" s="157">
        <f t="shared" si="18"/>
        <v>88084.520638195856</v>
      </c>
      <c r="N45" s="157">
        <f t="shared" si="18"/>
        <v>21653.628747120325</v>
      </c>
      <c r="O45" s="157">
        <f t="shared" si="18"/>
        <v>18787.999749864954</v>
      </c>
      <c r="P45" s="157">
        <f t="shared" si="18"/>
        <v>-98559.393336306384</v>
      </c>
      <c r="Q45" s="157">
        <f t="shared" si="18"/>
        <v>-59777.361198215149</v>
      </c>
      <c r="R45" s="157">
        <f t="shared" si="18"/>
        <v>-24253.603128113158</v>
      </c>
      <c r="S45" s="157">
        <f t="shared" si="18"/>
        <v>3402.3318117912204</v>
      </c>
      <c r="T45" s="157">
        <f t="shared" si="18"/>
        <v>-69335.462175587076</v>
      </c>
      <c r="U45" s="157">
        <f t="shared" si="18"/>
        <v>126807.58317431147</v>
      </c>
      <c r="V45" s="157">
        <f t="shared" si="18"/>
        <v>68518.191866043839</v>
      </c>
      <c r="W45" s="157">
        <f>SUM(K45:V45)</f>
        <v>113894.02806045185</v>
      </c>
      <c r="X45" s="157">
        <f>C45-W45</f>
        <v>-1.280568540096283E-9</v>
      </c>
      <c r="Y45" s="157">
        <f>Y36+Y43</f>
        <v>962653.83182903565</v>
      </c>
      <c r="Z45" s="157"/>
      <c r="AA45" s="647">
        <v>535508.76364167966</v>
      </c>
      <c r="AB45" s="280"/>
      <c r="AC45" s="441">
        <v>-29170.934656837955</v>
      </c>
      <c r="AD45" s="647"/>
      <c r="AE45" s="647"/>
      <c r="AF45" s="157">
        <f>AF36+AF43</f>
        <v>-1488647</v>
      </c>
      <c r="AG45" s="157">
        <f>AG36+AG43</f>
        <v>-1846017</v>
      </c>
      <c r="AH45" s="157">
        <f>AH36+AH43</f>
        <v>-693429</v>
      </c>
      <c r="AI45" s="157">
        <f>AI36+AI43</f>
        <v>-795002</v>
      </c>
      <c r="AJ45" s="154">
        <f>SUM(AJ36+AJ43)</f>
        <v>-1016227.04</v>
      </c>
      <c r="AK45" s="220"/>
      <c r="AL45" s="220"/>
      <c r="AM45" s="220"/>
      <c r="AN45" s="220"/>
      <c r="AO45" s="220"/>
    </row>
    <row r="46" spans="1:41" s="277" customFormat="1" x14ac:dyDescent="0.2">
      <c r="A46" s="213"/>
      <c r="B46" s="218"/>
      <c r="C46" s="221"/>
      <c r="D46" s="218"/>
      <c r="E46" s="275"/>
      <c r="F46" s="218"/>
      <c r="G46" s="218"/>
      <c r="H46" s="218"/>
      <c r="I46" s="218"/>
      <c r="J46" s="218"/>
      <c r="K46" s="218"/>
      <c r="L46" s="218"/>
      <c r="M46" s="218"/>
      <c r="N46" s="218"/>
      <c r="O46" s="218"/>
      <c r="P46" s="218"/>
      <c r="Q46" s="218"/>
      <c r="R46" s="218"/>
      <c r="S46" s="218"/>
      <c r="T46" s="218"/>
      <c r="U46" s="218"/>
      <c r="V46" s="218"/>
      <c r="W46" s="220"/>
      <c r="X46" s="218"/>
      <c r="Y46" s="218"/>
      <c r="Z46" s="218"/>
      <c r="AA46" s="221"/>
      <c r="AB46" s="276"/>
      <c r="AC46" s="221"/>
      <c r="AD46" s="645"/>
      <c r="AE46" s="645"/>
      <c r="AF46" s="221"/>
      <c r="AG46" s="218"/>
      <c r="AH46" s="218"/>
      <c r="AI46" s="218"/>
      <c r="AJ46" s="237"/>
      <c r="AK46" s="218"/>
      <c r="AL46" s="218"/>
      <c r="AM46" s="218"/>
      <c r="AN46" s="218"/>
      <c r="AO46" s="218"/>
    </row>
    <row r="47" spans="1:41" s="277" customFormat="1" x14ac:dyDescent="0.2">
      <c r="A47" s="213"/>
      <c r="B47" s="282"/>
      <c r="C47" s="221"/>
      <c r="D47" s="218"/>
      <c r="E47" s="275"/>
      <c r="F47" s="218"/>
      <c r="G47" s="218"/>
      <c r="H47" s="218"/>
      <c r="I47" s="218"/>
      <c r="J47" s="218"/>
      <c r="K47" s="218"/>
      <c r="L47" s="218"/>
      <c r="M47" s="218"/>
      <c r="N47" s="218"/>
      <c r="O47" s="218"/>
      <c r="P47" s="218"/>
      <c r="Q47" s="218"/>
      <c r="R47" s="218"/>
      <c r="S47" s="218"/>
      <c r="T47" s="218"/>
      <c r="U47" s="218"/>
      <c r="V47" s="218"/>
      <c r="W47" s="220"/>
      <c r="X47" s="218"/>
      <c r="Y47" s="218"/>
      <c r="Z47" s="218"/>
      <c r="AA47" s="221"/>
      <c r="AB47" s="276"/>
      <c r="AC47" s="221"/>
      <c r="AD47" s="645"/>
      <c r="AE47" s="645"/>
      <c r="AF47" s="221"/>
      <c r="AG47" s="218"/>
      <c r="AH47" s="218"/>
      <c r="AI47" s="218"/>
      <c r="AJ47" s="237"/>
      <c r="AK47" s="218"/>
      <c r="AL47" s="218"/>
      <c r="AM47" s="218"/>
      <c r="AN47" s="218"/>
      <c r="AO47" s="218"/>
    </row>
    <row r="48" spans="1:41" s="277" customFormat="1" x14ac:dyDescent="0.2">
      <c r="A48" s="215"/>
      <c r="B48" s="263" t="s">
        <v>1121</v>
      </c>
      <c r="C48" s="221">
        <f>C34-C43-C15-C5</f>
        <v>-20660966.513851583</v>
      </c>
      <c r="D48" s="280">
        <f>C48/C5</f>
        <v>-0.63454686824053663</v>
      </c>
      <c r="E48" s="275"/>
      <c r="F48" s="218"/>
      <c r="G48" s="218"/>
      <c r="H48" s="218"/>
      <c r="I48" s="218"/>
      <c r="J48" s="218"/>
      <c r="K48" s="218"/>
      <c r="L48" s="218"/>
      <c r="M48" s="218"/>
      <c r="N48" s="218"/>
      <c r="O48" s="218"/>
      <c r="P48" s="218"/>
      <c r="Q48" s="218"/>
      <c r="R48" s="218"/>
      <c r="S48" s="218"/>
      <c r="T48" s="218"/>
      <c r="U48" s="218"/>
      <c r="V48" s="218"/>
      <c r="W48" s="220"/>
      <c r="X48" s="218"/>
      <c r="Y48" s="218"/>
      <c r="Z48" s="218"/>
      <c r="AA48" s="221"/>
      <c r="AB48" s="276"/>
      <c r="AC48" s="221"/>
      <c r="AD48" s="645"/>
      <c r="AE48" s="645"/>
      <c r="AF48" s="221"/>
      <c r="AG48" s="218"/>
      <c r="AH48" s="218"/>
      <c r="AI48" s="218"/>
      <c r="AJ48" s="237"/>
      <c r="AK48" s="218"/>
      <c r="AL48" s="218"/>
      <c r="AM48" s="218"/>
      <c r="AN48" s="218"/>
      <c r="AO48" s="218"/>
    </row>
    <row r="49" spans="1:41" s="277" customFormat="1" x14ac:dyDescent="0.2">
      <c r="A49" s="213"/>
      <c r="B49" s="256"/>
      <c r="C49" s="221"/>
      <c r="D49" s="218"/>
      <c r="E49" s="275"/>
      <c r="F49" s="218"/>
      <c r="G49" s="218"/>
      <c r="H49" s="218"/>
      <c r="I49" s="218"/>
      <c r="J49" s="218"/>
      <c r="K49" s="218"/>
      <c r="L49" s="218"/>
      <c r="M49" s="218"/>
      <c r="N49" s="218"/>
      <c r="O49" s="218"/>
      <c r="P49" s="218"/>
      <c r="Q49" s="218"/>
      <c r="R49" s="218"/>
      <c r="S49" s="218"/>
      <c r="T49" s="218"/>
      <c r="U49" s="218"/>
      <c r="V49" s="218"/>
      <c r="W49" s="220"/>
      <c r="X49" s="218"/>
      <c r="Y49" s="218"/>
      <c r="Z49" s="218"/>
      <c r="AA49" s="221"/>
      <c r="AB49" s="276"/>
      <c r="AC49" s="221"/>
      <c r="AD49" s="645"/>
      <c r="AE49" s="645"/>
      <c r="AF49" s="221"/>
      <c r="AG49" s="218"/>
      <c r="AH49" s="218"/>
      <c r="AI49" s="218"/>
      <c r="AJ49" s="237"/>
      <c r="AK49" s="218"/>
      <c r="AL49" s="218"/>
      <c r="AM49" s="218"/>
      <c r="AN49" s="218"/>
      <c r="AO49" s="218"/>
    </row>
    <row r="50" spans="1:41" s="277" customFormat="1" x14ac:dyDescent="0.2">
      <c r="A50" s="213"/>
      <c r="B50" s="263"/>
      <c r="C50" s="221"/>
      <c r="D50" s="218"/>
      <c r="E50" s="275"/>
      <c r="F50" s="218"/>
      <c r="G50" s="218"/>
      <c r="H50" s="218"/>
      <c r="I50" s="218"/>
      <c r="J50" s="218"/>
      <c r="K50" s="218"/>
      <c r="L50" s="218"/>
      <c r="M50" s="218"/>
      <c r="N50" s="218"/>
      <c r="O50" s="218"/>
      <c r="P50" s="218"/>
      <c r="Q50" s="218"/>
      <c r="R50" s="218"/>
      <c r="S50" s="218"/>
      <c r="T50" s="218"/>
      <c r="U50" s="218"/>
      <c r="V50" s="218"/>
      <c r="W50" s="220"/>
      <c r="X50" s="218"/>
      <c r="Y50" s="218"/>
      <c r="Z50" s="218"/>
      <c r="AA50" s="221"/>
      <c r="AB50" s="276"/>
      <c r="AC50" s="221"/>
      <c r="AD50" s="645"/>
      <c r="AE50" s="645"/>
      <c r="AF50" s="221"/>
      <c r="AG50" s="218"/>
      <c r="AH50" s="218"/>
      <c r="AI50" s="218"/>
      <c r="AJ50" s="237"/>
      <c r="AK50" s="218"/>
      <c r="AL50" s="218"/>
      <c r="AM50" s="218"/>
      <c r="AN50" s="218"/>
      <c r="AO50" s="218"/>
    </row>
    <row r="51" spans="1:41" s="277" customFormat="1" x14ac:dyDescent="0.2">
      <c r="A51" s="213"/>
      <c r="B51" s="256" t="s">
        <v>1148</v>
      </c>
      <c r="C51" s="645">
        <f>C34-C15-C5</f>
        <v>-20161541.510518249</v>
      </c>
      <c r="D51" s="280">
        <f>C51/C5</f>
        <v>-0.6192083519337741</v>
      </c>
      <c r="E51" s="275"/>
      <c r="F51" s="218"/>
      <c r="G51" s="218"/>
      <c r="H51" s="218"/>
      <c r="I51" s="218"/>
      <c r="J51" s="218"/>
      <c r="K51" s="218"/>
      <c r="L51" s="218"/>
      <c r="M51" s="218"/>
      <c r="N51" s="218"/>
      <c r="O51" s="218"/>
      <c r="P51" s="218"/>
      <c r="Q51" s="218"/>
      <c r="R51" s="218"/>
      <c r="S51" s="218"/>
      <c r="T51" s="218"/>
      <c r="U51" s="218"/>
      <c r="V51" s="218"/>
      <c r="W51" s="220"/>
      <c r="X51" s="218"/>
      <c r="Y51" s="218"/>
      <c r="Z51" s="218"/>
      <c r="AA51" s="221"/>
      <c r="AB51" s="276"/>
      <c r="AC51" s="221"/>
      <c r="AD51" s="645"/>
      <c r="AE51" s="645"/>
      <c r="AF51" s="221"/>
      <c r="AG51" s="218"/>
      <c r="AH51" s="218"/>
      <c r="AI51" s="218"/>
      <c r="AJ51" s="237"/>
      <c r="AK51" s="218"/>
      <c r="AL51" s="218"/>
      <c r="AM51" s="218"/>
      <c r="AN51" s="218"/>
      <c r="AO51" s="218"/>
    </row>
    <row r="52" spans="1:41" s="277" customFormat="1" x14ac:dyDescent="0.2">
      <c r="A52" s="213"/>
      <c r="B52" s="256"/>
      <c r="C52" s="221"/>
      <c r="D52" s="218"/>
      <c r="E52" s="275"/>
      <c r="F52" s="218"/>
      <c r="G52" s="218"/>
      <c r="H52" s="218"/>
      <c r="I52" s="218"/>
      <c r="J52" s="218"/>
      <c r="K52" s="218"/>
      <c r="L52" s="218"/>
      <c r="M52" s="218"/>
      <c r="N52" s="218"/>
      <c r="O52" s="218"/>
      <c r="P52" s="218"/>
      <c r="Q52" s="218"/>
      <c r="R52" s="218"/>
      <c r="S52" s="218"/>
      <c r="T52" s="218"/>
      <c r="U52" s="218"/>
      <c r="V52" s="218"/>
      <c r="W52" s="220"/>
      <c r="X52" s="218"/>
      <c r="Y52" s="218"/>
      <c r="Z52" s="218"/>
      <c r="AA52" s="221"/>
      <c r="AB52" s="276"/>
      <c r="AC52" s="221"/>
      <c r="AD52" s="645"/>
      <c r="AE52" s="645"/>
      <c r="AF52" s="221"/>
      <c r="AG52" s="218"/>
      <c r="AH52" s="218"/>
      <c r="AI52" s="218"/>
      <c r="AJ52" s="237"/>
      <c r="AK52" s="218"/>
      <c r="AL52" s="218"/>
      <c r="AM52" s="218"/>
      <c r="AN52" s="218"/>
      <c r="AO52" s="218"/>
    </row>
    <row r="53" spans="1:41" s="277" customFormat="1" x14ac:dyDescent="0.2">
      <c r="A53" s="213"/>
      <c r="B53" s="256"/>
      <c r="C53" s="221">
        <f>116992.45+882100</f>
        <v>999092.45</v>
      </c>
      <c r="D53" s="218"/>
      <c r="E53" s="275"/>
      <c r="F53" s="218"/>
      <c r="G53" s="218"/>
      <c r="H53" s="218"/>
      <c r="I53" s="218"/>
      <c r="J53" s="218"/>
      <c r="K53" s="218"/>
      <c r="L53" s="218"/>
      <c r="M53" s="218"/>
      <c r="N53" s="218"/>
      <c r="O53" s="218"/>
      <c r="P53" s="218"/>
      <c r="Q53" s="218"/>
      <c r="R53" s="218"/>
      <c r="S53" s="218"/>
      <c r="T53" s="218"/>
      <c r="U53" s="218"/>
      <c r="V53" s="218"/>
      <c r="W53" s="220"/>
      <c r="X53" s="218"/>
      <c r="Y53" s="218"/>
      <c r="Z53" s="218"/>
      <c r="AA53" s="221"/>
      <c r="AB53" s="276"/>
      <c r="AC53" s="221"/>
      <c r="AD53" s="645"/>
      <c r="AE53" s="645"/>
      <c r="AF53" s="221"/>
      <c r="AG53" s="218"/>
      <c r="AH53" s="218"/>
      <c r="AI53" s="218"/>
      <c r="AJ53" s="237"/>
      <c r="AK53" s="218"/>
      <c r="AL53" s="218"/>
      <c r="AM53" s="218"/>
      <c r="AN53" s="218"/>
      <c r="AO53" s="218"/>
    </row>
    <row r="54" spans="1:41" s="277" customFormat="1" x14ac:dyDescent="0.2">
      <c r="A54" s="213"/>
      <c r="B54" s="256"/>
      <c r="C54" s="221"/>
      <c r="D54" s="218"/>
      <c r="E54" s="275"/>
      <c r="F54" s="221"/>
      <c r="G54" s="218"/>
      <c r="H54" s="218"/>
      <c r="I54" s="218"/>
      <c r="J54" s="218"/>
      <c r="K54" s="218"/>
      <c r="L54" s="218"/>
      <c r="M54" s="218"/>
      <c r="N54" s="218"/>
      <c r="O54" s="218"/>
      <c r="P54" s="218"/>
      <c r="Q54" s="218"/>
      <c r="R54" s="218"/>
      <c r="S54" s="218"/>
      <c r="T54" s="218"/>
      <c r="U54" s="218"/>
      <c r="V54" s="218"/>
      <c r="W54" s="220"/>
      <c r="X54" s="218"/>
      <c r="Y54" s="218"/>
      <c r="Z54" s="218"/>
      <c r="AA54" s="221"/>
      <c r="AB54" s="276"/>
      <c r="AC54" s="221"/>
      <c r="AD54" s="645"/>
      <c r="AE54" s="645"/>
      <c r="AF54" s="221"/>
      <c r="AG54" s="218"/>
      <c r="AH54" s="218"/>
      <c r="AI54" s="218"/>
      <c r="AJ54" s="237"/>
      <c r="AK54" s="218"/>
      <c r="AL54" s="218"/>
      <c r="AM54" s="218"/>
      <c r="AN54" s="218"/>
      <c r="AO54" s="218"/>
    </row>
    <row r="55" spans="1:41" s="277" customFormat="1" x14ac:dyDescent="0.2">
      <c r="A55" s="213"/>
      <c r="B55" s="256"/>
      <c r="C55" s="221"/>
      <c r="D55" s="218"/>
      <c r="E55" s="275"/>
      <c r="F55" s="218"/>
      <c r="G55" s="218"/>
      <c r="H55" s="218"/>
      <c r="I55" s="218"/>
      <c r="J55" s="218"/>
      <c r="K55" s="218"/>
      <c r="L55" s="218"/>
      <c r="M55" s="218"/>
      <c r="N55" s="218"/>
      <c r="O55" s="218"/>
      <c r="P55" s="218"/>
      <c r="Q55" s="218"/>
      <c r="R55" s="218"/>
      <c r="S55" s="218"/>
      <c r="T55" s="218"/>
      <c r="U55" s="218"/>
      <c r="V55" s="218"/>
      <c r="W55" s="220"/>
      <c r="X55" s="218"/>
      <c r="Y55" s="218"/>
      <c r="Z55" s="218"/>
      <c r="AA55" s="221"/>
      <c r="AB55" s="276"/>
      <c r="AC55" s="221"/>
      <c r="AD55" s="645"/>
      <c r="AE55" s="645"/>
      <c r="AF55" s="221"/>
      <c r="AG55" s="218"/>
      <c r="AH55" s="218"/>
      <c r="AI55" s="218"/>
      <c r="AJ55" s="237"/>
      <c r="AK55" s="218"/>
      <c r="AL55" s="218"/>
      <c r="AM55" s="218"/>
      <c r="AN55" s="218"/>
      <c r="AO55" s="218"/>
    </row>
    <row r="58" spans="1:41" x14ac:dyDescent="0.2">
      <c r="A58" s="705">
        <v>43039</v>
      </c>
    </row>
    <row r="59" spans="1:41" x14ac:dyDescent="0.2">
      <c r="A59" s="706" t="s">
        <v>1149</v>
      </c>
    </row>
    <row r="61" spans="1:41" x14ac:dyDescent="0.2">
      <c r="K61" s="218" t="s">
        <v>1150</v>
      </c>
    </row>
    <row r="65" spans="3:31" x14ac:dyDescent="0.2">
      <c r="C65" s="221"/>
      <c r="AA65" s="221"/>
      <c r="AC65" s="221"/>
      <c r="AD65" s="645"/>
      <c r="AE65" s="645"/>
    </row>
  </sheetData>
  <mergeCells count="2">
    <mergeCell ref="C1:D1"/>
    <mergeCell ref="F1:G1"/>
  </mergeCells>
  <printOptions horizontalCentered="1" verticalCentered="1" gridLines="1"/>
  <pageMargins left="0.25" right="0.25" top="1" bottom="0.75" header="0.3" footer="0.3"/>
  <pageSetup scale="36" orientation="landscape" r:id="rId1"/>
  <headerFooter alignWithMargins="0">
    <oddHeader xml:space="preserve">&amp;C&amp;"Arial,Bold"&amp;14DOCTORS MEMORIAL HOSPITAL
FY 2018 BUDGET
</oddHeader>
    <oddFooter>&amp;C&amp;Z&amp;F&amp;R&amp;D&amp;T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60"/>
  <sheetViews>
    <sheetView zoomScale="80" zoomScaleNormal="80" workbookViewId="0">
      <pane xSplit="2" ySplit="7" topLeftCell="C32" activePane="bottomRight" state="frozen"/>
      <selection pane="topRight" activeCell="C1" sqref="C1"/>
      <selection pane="bottomLeft" activeCell="A8" sqref="A8"/>
      <selection pane="bottomRight" activeCell="I64" sqref="I64"/>
    </sheetView>
  </sheetViews>
  <sheetFormatPr defaultRowHeight="12.75" x14ac:dyDescent="0.2"/>
  <cols>
    <col min="1" max="1" width="11.85546875" style="2" bestFit="1" customWidth="1"/>
    <col min="2" max="2" width="23.85546875" style="4" customWidth="1"/>
    <col min="3" max="3" width="13.85546875" style="4" customWidth="1"/>
    <col min="4" max="4" width="12.28515625" style="4" customWidth="1"/>
    <col min="5" max="5" width="4" style="4" customWidth="1"/>
    <col min="6" max="9" width="11.28515625" style="4" bestFit="1" customWidth="1"/>
    <col min="10" max="17" width="11.28515625" style="2" bestFit="1" customWidth="1"/>
    <col min="18" max="18" width="12.28515625" style="2" bestFit="1" customWidth="1"/>
    <col min="19" max="20" width="10.5703125" style="2" customWidth="1"/>
    <col min="21" max="200" width="9.140625" style="1"/>
    <col min="201" max="201" width="11.85546875" style="1" bestFit="1" customWidth="1"/>
    <col min="202" max="202" width="28.140625" style="1" bestFit="1" customWidth="1"/>
    <col min="203" max="203" width="15.7109375" style="1" customWidth="1"/>
    <col min="204" max="204" width="9.85546875" style="1" customWidth="1"/>
    <col min="205" max="205" width="13.140625" style="1" customWidth="1"/>
    <col min="206" max="206" width="9.140625" style="1" customWidth="1"/>
    <col min="207" max="207" width="12.28515625" style="1" customWidth="1"/>
    <col min="208" max="208" width="10.5703125" style="1" customWidth="1"/>
    <col min="209" max="210" width="12.7109375" style="1" customWidth="1"/>
    <col min="211" max="223" width="10.5703125" style="1" customWidth="1"/>
    <col min="224" max="224" width="11.140625" style="1" customWidth="1"/>
    <col min="225" max="236" width="10.5703125" style="1" customWidth="1"/>
    <col min="237" max="238" width="9.85546875" style="1" customWidth="1"/>
    <col min="239" max="239" width="9.85546875" style="1" bestFit="1" customWidth="1"/>
    <col min="240" max="240" width="9.85546875" style="1" customWidth="1"/>
    <col min="241" max="241" width="11.140625" style="1" customWidth="1"/>
    <col min="242" max="243" width="11.7109375" style="1" customWidth="1"/>
    <col min="244" max="245" width="9.140625" style="1" customWidth="1"/>
    <col min="246" max="246" width="10.28515625" style="1" customWidth="1"/>
    <col min="247" max="253" width="9.140625" style="1" customWidth="1"/>
    <col min="254" max="254" width="10.5703125" style="1" bestFit="1" customWidth="1"/>
    <col min="255" max="257" width="9.140625" style="1" customWidth="1"/>
    <col min="258" max="258" width="10.5703125" style="1" customWidth="1"/>
    <col min="259" max="262" width="9.140625" style="1" customWidth="1"/>
    <col min="263" max="263" width="9.28515625" style="1" bestFit="1" customWidth="1"/>
    <col min="264" max="274" width="9.140625" style="1"/>
    <col min="275" max="275" width="10.85546875" style="1" customWidth="1"/>
    <col min="276" max="456" width="9.140625" style="1"/>
    <col min="457" max="457" width="11.85546875" style="1" bestFit="1" customWidth="1"/>
    <col min="458" max="458" width="28.140625" style="1" bestFit="1" customWidth="1"/>
    <col min="459" max="459" width="15.7109375" style="1" customWidth="1"/>
    <col min="460" max="460" width="9.85546875" style="1" customWidth="1"/>
    <col min="461" max="461" width="13.140625" style="1" customWidth="1"/>
    <col min="462" max="462" width="9.140625" style="1" customWidth="1"/>
    <col min="463" max="463" width="12.28515625" style="1" customWidth="1"/>
    <col min="464" max="464" width="10.5703125" style="1" customWidth="1"/>
    <col min="465" max="466" width="12.7109375" style="1" customWidth="1"/>
    <col min="467" max="479" width="10.5703125" style="1" customWidth="1"/>
    <col min="480" max="480" width="11.140625" style="1" customWidth="1"/>
    <col min="481" max="492" width="10.5703125" style="1" customWidth="1"/>
    <col min="493" max="494" width="9.85546875" style="1" customWidth="1"/>
    <col min="495" max="495" width="9.85546875" style="1" bestFit="1" customWidth="1"/>
    <col min="496" max="496" width="9.85546875" style="1" customWidth="1"/>
    <col min="497" max="497" width="11.140625" style="1" customWidth="1"/>
    <col min="498" max="499" width="11.7109375" style="1" customWidth="1"/>
    <col min="500" max="501" width="9.140625" style="1" customWidth="1"/>
    <col min="502" max="502" width="10.28515625" style="1" customWidth="1"/>
    <col min="503" max="509" width="9.140625" style="1" customWidth="1"/>
    <col min="510" max="510" width="10.5703125" style="1" bestFit="1" customWidth="1"/>
    <col min="511" max="513" width="9.140625" style="1" customWidth="1"/>
    <col min="514" max="514" width="10.5703125" style="1" customWidth="1"/>
    <col min="515" max="518" width="9.140625" style="1" customWidth="1"/>
    <col min="519" max="519" width="9.28515625" style="1" bestFit="1" customWidth="1"/>
    <col min="520" max="530" width="9.140625" style="1"/>
    <col min="531" max="531" width="10.85546875" style="1" customWidth="1"/>
    <col min="532" max="712" width="9.140625" style="1"/>
    <col min="713" max="713" width="11.85546875" style="1" bestFit="1" customWidth="1"/>
    <col min="714" max="714" width="28.140625" style="1" bestFit="1" customWidth="1"/>
    <col min="715" max="715" width="15.7109375" style="1" customWidth="1"/>
    <col min="716" max="716" width="9.85546875" style="1" customWidth="1"/>
    <col min="717" max="717" width="13.140625" style="1" customWidth="1"/>
    <col min="718" max="718" width="9.140625" style="1" customWidth="1"/>
    <col min="719" max="719" width="12.28515625" style="1" customWidth="1"/>
    <col min="720" max="720" width="10.5703125" style="1" customWidth="1"/>
    <col min="721" max="722" width="12.7109375" style="1" customWidth="1"/>
    <col min="723" max="735" width="10.5703125" style="1" customWidth="1"/>
    <col min="736" max="736" width="11.140625" style="1" customWidth="1"/>
    <col min="737" max="748" width="10.5703125" style="1" customWidth="1"/>
    <col min="749" max="750" width="9.85546875" style="1" customWidth="1"/>
    <col min="751" max="751" width="9.85546875" style="1" bestFit="1" customWidth="1"/>
    <col min="752" max="752" width="9.85546875" style="1" customWidth="1"/>
    <col min="753" max="753" width="11.140625" style="1" customWidth="1"/>
    <col min="754" max="755" width="11.7109375" style="1" customWidth="1"/>
    <col min="756" max="757" width="9.140625" style="1" customWidth="1"/>
    <col min="758" max="758" width="10.28515625" style="1" customWidth="1"/>
    <col min="759" max="765" width="9.140625" style="1" customWidth="1"/>
    <col min="766" max="766" width="10.5703125" style="1" bestFit="1" customWidth="1"/>
    <col min="767" max="769" width="9.140625" style="1" customWidth="1"/>
    <col min="770" max="770" width="10.5703125" style="1" customWidth="1"/>
    <col min="771" max="774" width="9.140625" style="1" customWidth="1"/>
    <col min="775" max="775" width="9.28515625" style="1" bestFit="1" customWidth="1"/>
    <col min="776" max="786" width="9.140625" style="1"/>
    <col min="787" max="787" width="10.85546875" style="1" customWidth="1"/>
    <col min="788" max="968" width="9.140625" style="1"/>
    <col min="969" max="969" width="11.85546875" style="1" bestFit="1" customWidth="1"/>
    <col min="970" max="970" width="28.140625" style="1" bestFit="1" customWidth="1"/>
    <col min="971" max="971" width="15.7109375" style="1" customWidth="1"/>
    <col min="972" max="972" width="9.85546875" style="1" customWidth="1"/>
    <col min="973" max="973" width="13.140625" style="1" customWidth="1"/>
    <col min="974" max="974" width="9.140625" style="1" customWidth="1"/>
    <col min="975" max="975" width="12.28515625" style="1" customWidth="1"/>
    <col min="976" max="976" width="10.5703125" style="1" customWidth="1"/>
    <col min="977" max="978" width="12.7109375" style="1" customWidth="1"/>
    <col min="979" max="991" width="10.5703125" style="1" customWidth="1"/>
    <col min="992" max="992" width="11.140625" style="1" customWidth="1"/>
    <col min="993" max="1004" width="10.5703125" style="1" customWidth="1"/>
    <col min="1005" max="1006" width="9.85546875" style="1" customWidth="1"/>
    <col min="1007" max="1007" width="9.85546875" style="1" bestFit="1" customWidth="1"/>
    <col min="1008" max="1008" width="9.85546875" style="1" customWidth="1"/>
    <col min="1009" max="1009" width="11.140625" style="1" customWidth="1"/>
    <col min="1010" max="1011" width="11.7109375" style="1" customWidth="1"/>
    <col min="1012" max="1013" width="9.140625" style="1" customWidth="1"/>
    <col min="1014" max="1014" width="10.28515625" style="1" customWidth="1"/>
    <col min="1015" max="1021" width="9.140625" style="1" customWidth="1"/>
    <col min="1022" max="1022" width="10.5703125" style="1" bestFit="1" customWidth="1"/>
    <col min="1023" max="1025" width="9.140625" style="1" customWidth="1"/>
    <col min="1026" max="1026" width="10.5703125" style="1" customWidth="1"/>
    <col min="1027" max="1030" width="9.140625" style="1" customWidth="1"/>
    <col min="1031" max="1031" width="9.28515625" style="1" bestFit="1" customWidth="1"/>
    <col min="1032" max="1042" width="9.140625" style="1"/>
    <col min="1043" max="1043" width="10.85546875" style="1" customWidth="1"/>
    <col min="1044" max="1224" width="9.140625" style="1"/>
    <col min="1225" max="1225" width="11.85546875" style="1" bestFit="1" customWidth="1"/>
    <col min="1226" max="1226" width="28.140625" style="1" bestFit="1" customWidth="1"/>
    <col min="1227" max="1227" width="15.7109375" style="1" customWidth="1"/>
    <col min="1228" max="1228" width="9.85546875" style="1" customWidth="1"/>
    <col min="1229" max="1229" width="13.140625" style="1" customWidth="1"/>
    <col min="1230" max="1230" width="9.140625" style="1" customWidth="1"/>
    <col min="1231" max="1231" width="12.28515625" style="1" customWidth="1"/>
    <col min="1232" max="1232" width="10.5703125" style="1" customWidth="1"/>
    <col min="1233" max="1234" width="12.7109375" style="1" customWidth="1"/>
    <col min="1235" max="1247" width="10.5703125" style="1" customWidth="1"/>
    <col min="1248" max="1248" width="11.140625" style="1" customWidth="1"/>
    <col min="1249" max="1260" width="10.5703125" style="1" customWidth="1"/>
    <col min="1261" max="1262" width="9.85546875" style="1" customWidth="1"/>
    <col min="1263" max="1263" width="9.85546875" style="1" bestFit="1" customWidth="1"/>
    <col min="1264" max="1264" width="9.85546875" style="1" customWidth="1"/>
    <col min="1265" max="1265" width="11.140625" style="1" customWidth="1"/>
    <col min="1266" max="1267" width="11.7109375" style="1" customWidth="1"/>
    <col min="1268" max="1269" width="9.140625" style="1" customWidth="1"/>
    <col min="1270" max="1270" width="10.28515625" style="1" customWidth="1"/>
    <col min="1271" max="1277" width="9.140625" style="1" customWidth="1"/>
    <col min="1278" max="1278" width="10.5703125" style="1" bestFit="1" customWidth="1"/>
    <col min="1279" max="1281" width="9.140625" style="1" customWidth="1"/>
    <col min="1282" max="1282" width="10.5703125" style="1" customWidth="1"/>
    <col min="1283" max="1286" width="9.140625" style="1" customWidth="1"/>
    <col min="1287" max="1287" width="9.28515625" style="1" bestFit="1" customWidth="1"/>
    <col min="1288" max="1298" width="9.140625" style="1"/>
    <col min="1299" max="1299" width="10.85546875" style="1" customWidth="1"/>
    <col min="1300" max="1480" width="9.140625" style="1"/>
    <col min="1481" max="1481" width="11.85546875" style="1" bestFit="1" customWidth="1"/>
    <col min="1482" max="1482" width="28.140625" style="1" bestFit="1" customWidth="1"/>
    <col min="1483" max="1483" width="15.7109375" style="1" customWidth="1"/>
    <col min="1484" max="1484" width="9.85546875" style="1" customWidth="1"/>
    <col min="1485" max="1485" width="13.140625" style="1" customWidth="1"/>
    <col min="1486" max="1486" width="9.140625" style="1" customWidth="1"/>
    <col min="1487" max="1487" width="12.28515625" style="1" customWidth="1"/>
    <col min="1488" max="1488" width="10.5703125" style="1" customWidth="1"/>
    <col min="1489" max="1490" width="12.7109375" style="1" customWidth="1"/>
    <col min="1491" max="1503" width="10.5703125" style="1" customWidth="1"/>
    <col min="1504" max="1504" width="11.140625" style="1" customWidth="1"/>
    <col min="1505" max="1516" width="10.5703125" style="1" customWidth="1"/>
    <col min="1517" max="1518" width="9.85546875" style="1" customWidth="1"/>
    <col min="1519" max="1519" width="9.85546875" style="1" bestFit="1" customWidth="1"/>
    <col min="1520" max="1520" width="9.85546875" style="1" customWidth="1"/>
    <col min="1521" max="1521" width="11.140625" style="1" customWidth="1"/>
    <col min="1522" max="1523" width="11.7109375" style="1" customWidth="1"/>
    <col min="1524" max="1525" width="9.140625" style="1" customWidth="1"/>
    <col min="1526" max="1526" width="10.28515625" style="1" customWidth="1"/>
    <col min="1527" max="1533" width="9.140625" style="1" customWidth="1"/>
    <col min="1534" max="1534" width="10.5703125" style="1" bestFit="1" customWidth="1"/>
    <col min="1535" max="1537" width="9.140625" style="1" customWidth="1"/>
    <col min="1538" max="1538" width="10.5703125" style="1" customWidth="1"/>
    <col min="1539" max="1542" width="9.140625" style="1" customWidth="1"/>
    <col min="1543" max="1543" width="9.28515625" style="1" bestFit="1" customWidth="1"/>
    <col min="1544" max="1554" width="9.140625" style="1"/>
    <col min="1555" max="1555" width="10.85546875" style="1" customWidth="1"/>
    <col min="1556" max="1736" width="9.140625" style="1"/>
    <col min="1737" max="1737" width="11.85546875" style="1" bestFit="1" customWidth="1"/>
    <col min="1738" max="1738" width="28.140625" style="1" bestFit="1" customWidth="1"/>
    <col min="1739" max="1739" width="15.7109375" style="1" customWidth="1"/>
    <col min="1740" max="1740" width="9.85546875" style="1" customWidth="1"/>
    <col min="1741" max="1741" width="13.140625" style="1" customWidth="1"/>
    <col min="1742" max="1742" width="9.140625" style="1" customWidth="1"/>
    <col min="1743" max="1743" width="12.28515625" style="1" customWidth="1"/>
    <col min="1744" max="1744" width="10.5703125" style="1" customWidth="1"/>
    <col min="1745" max="1746" width="12.7109375" style="1" customWidth="1"/>
    <col min="1747" max="1759" width="10.5703125" style="1" customWidth="1"/>
    <col min="1760" max="1760" width="11.140625" style="1" customWidth="1"/>
    <col min="1761" max="1772" width="10.5703125" style="1" customWidth="1"/>
    <col min="1773" max="1774" width="9.85546875" style="1" customWidth="1"/>
    <col min="1775" max="1775" width="9.85546875" style="1" bestFit="1" customWidth="1"/>
    <col min="1776" max="1776" width="9.85546875" style="1" customWidth="1"/>
    <col min="1777" max="1777" width="11.140625" style="1" customWidth="1"/>
    <col min="1778" max="1779" width="11.7109375" style="1" customWidth="1"/>
    <col min="1780" max="1781" width="9.140625" style="1" customWidth="1"/>
    <col min="1782" max="1782" width="10.28515625" style="1" customWidth="1"/>
    <col min="1783" max="1789" width="9.140625" style="1" customWidth="1"/>
    <col min="1790" max="1790" width="10.5703125" style="1" bestFit="1" customWidth="1"/>
    <col min="1791" max="1793" width="9.140625" style="1" customWidth="1"/>
    <col min="1794" max="1794" width="10.5703125" style="1" customWidth="1"/>
    <col min="1795" max="1798" width="9.140625" style="1" customWidth="1"/>
    <col min="1799" max="1799" width="9.28515625" style="1" bestFit="1" customWidth="1"/>
    <col min="1800" max="1810" width="9.140625" style="1"/>
    <col min="1811" max="1811" width="10.85546875" style="1" customWidth="1"/>
    <col min="1812" max="1992" width="9.140625" style="1"/>
    <col min="1993" max="1993" width="11.85546875" style="1" bestFit="1" customWidth="1"/>
    <col min="1994" max="1994" width="28.140625" style="1" bestFit="1" customWidth="1"/>
    <col min="1995" max="1995" width="15.7109375" style="1" customWidth="1"/>
    <col min="1996" max="1996" width="9.85546875" style="1" customWidth="1"/>
    <col min="1997" max="1997" width="13.140625" style="1" customWidth="1"/>
    <col min="1998" max="1998" width="9.140625" style="1" customWidth="1"/>
    <col min="1999" max="1999" width="12.28515625" style="1" customWidth="1"/>
    <col min="2000" max="2000" width="10.5703125" style="1" customWidth="1"/>
    <col min="2001" max="2002" width="12.7109375" style="1" customWidth="1"/>
    <col min="2003" max="2015" width="10.5703125" style="1" customWidth="1"/>
    <col min="2016" max="2016" width="11.140625" style="1" customWidth="1"/>
    <col min="2017" max="2028" width="10.5703125" style="1" customWidth="1"/>
    <col min="2029" max="2030" width="9.85546875" style="1" customWidth="1"/>
    <col min="2031" max="2031" width="9.85546875" style="1" bestFit="1" customWidth="1"/>
    <col min="2032" max="2032" width="9.85546875" style="1" customWidth="1"/>
    <col min="2033" max="2033" width="11.140625" style="1" customWidth="1"/>
    <col min="2034" max="2035" width="11.7109375" style="1" customWidth="1"/>
    <col min="2036" max="2037" width="9.140625" style="1" customWidth="1"/>
    <col min="2038" max="2038" width="10.28515625" style="1" customWidth="1"/>
    <col min="2039" max="2045" width="9.140625" style="1" customWidth="1"/>
    <col min="2046" max="2046" width="10.5703125" style="1" bestFit="1" customWidth="1"/>
    <col min="2047" max="2049" width="9.140625" style="1" customWidth="1"/>
    <col min="2050" max="2050" width="10.5703125" style="1" customWidth="1"/>
    <col min="2051" max="2054" width="9.140625" style="1" customWidth="1"/>
    <col min="2055" max="2055" width="9.28515625" style="1" bestFit="1" customWidth="1"/>
    <col min="2056" max="2066" width="9.140625" style="1"/>
    <col min="2067" max="2067" width="10.85546875" style="1" customWidth="1"/>
    <col min="2068" max="2248" width="9.140625" style="1"/>
    <col min="2249" max="2249" width="11.85546875" style="1" bestFit="1" customWidth="1"/>
    <col min="2250" max="2250" width="28.140625" style="1" bestFit="1" customWidth="1"/>
    <col min="2251" max="2251" width="15.7109375" style="1" customWidth="1"/>
    <col min="2252" max="2252" width="9.85546875" style="1" customWidth="1"/>
    <col min="2253" max="2253" width="13.140625" style="1" customWidth="1"/>
    <col min="2254" max="2254" width="9.140625" style="1" customWidth="1"/>
    <col min="2255" max="2255" width="12.28515625" style="1" customWidth="1"/>
    <col min="2256" max="2256" width="10.5703125" style="1" customWidth="1"/>
    <col min="2257" max="2258" width="12.7109375" style="1" customWidth="1"/>
    <col min="2259" max="2271" width="10.5703125" style="1" customWidth="1"/>
    <col min="2272" max="2272" width="11.140625" style="1" customWidth="1"/>
    <col min="2273" max="2284" width="10.5703125" style="1" customWidth="1"/>
    <col min="2285" max="2286" width="9.85546875" style="1" customWidth="1"/>
    <col min="2287" max="2287" width="9.85546875" style="1" bestFit="1" customWidth="1"/>
    <col min="2288" max="2288" width="9.85546875" style="1" customWidth="1"/>
    <col min="2289" max="2289" width="11.140625" style="1" customWidth="1"/>
    <col min="2290" max="2291" width="11.7109375" style="1" customWidth="1"/>
    <col min="2292" max="2293" width="9.140625" style="1" customWidth="1"/>
    <col min="2294" max="2294" width="10.28515625" style="1" customWidth="1"/>
    <col min="2295" max="2301" width="9.140625" style="1" customWidth="1"/>
    <col min="2302" max="2302" width="10.5703125" style="1" bestFit="1" customWidth="1"/>
    <col min="2303" max="2305" width="9.140625" style="1" customWidth="1"/>
    <col min="2306" max="2306" width="10.5703125" style="1" customWidth="1"/>
    <col min="2307" max="2310" width="9.140625" style="1" customWidth="1"/>
    <col min="2311" max="2311" width="9.28515625" style="1" bestFit="1" customWidth="1"/>
    <col min="2312" max="2322" width="9.140625" style="1"/>
    <col min="2323" max="2323" width="10.85546875" style="1" customWidth="1"/>
    <col min="2324" max="2504" width="9.140625" style="1"/>
    <col min="2505" max="2505" width="11.85546875" style="1" bestFit="1" customWidth="1"/>
    <col min="2506" max="2506" width="28.140625" style="1" bestFit="1" customWidth="1"/>
    <col min="2507" max="2507" width="15.7109375" style="1" customWidth="1"/>
    <col min="2508" max="2508" width="9.85546875" style="1" customWidth="1"/>
    <col min="2509" max="2509" width="13.140625" style="1" customWidth="1"/>
    <col min="2510" max="2510" width="9.140625" style="1" customWidth="1"/>
    <col min="2511" max="2511" width="12.28515625" style="1" customWidth="1"/>
    <col min="2512" max="2512" width="10.5703125" style="1" customWidth="1"/>
    <col min="2513" max="2514" width="12.7109375" style="1" customWidth="1"/>
    <col min="2515" max="2527" width="10.5703125" style="1" customWidth="1"/>
    <col min="2528" max="2528" width="11.140625" style="1" customWidth="1"/>
    <col min="2529" max="2540" width="10.5703125" style="1" customWidth="1"/>
    <col min="2541" max="2542" width="9.85546875" style="1" customWidth="1"/>
    <col min="2543" max="2543" width="9.85546875" style="1" bestFit="1" customWidth="1"/>
    <col min="2544" max="2544" width="9.85546875" style="1" customWidth="1"/>
    <col min="2545" max="2545" width="11.140625" style="1" customWidth="1"/>
    <col min="2546" max="2547" width="11.7109375" style="1" customWidth="1"/>
    <col min="2548" max="2549" width="9.140625" style="1" customWidth="1"/>
    <col min="2550" max="2550" width="10.28515625" style="1" customWidth="1"/>
    <col min="2551" max="2557" width="9.140625" style="1" customWidth="1"/>
    <col min="2558" max="2558" width="10.5703125" style="1" bestFit="1" customWidth="1"/>
    <col min="2559" max="2561" width="9.140625" style="1" customWidth="1"/>
    <col min="2562" max="2562" width="10.5703125" style="1" customWidth="1"/>
    <col min="2563" max="2566" width="9.140625" style="1" customWidth="1"/>
    <col min="2567" max="2567" width="9.28515625" style="1" bestFit="1" customWidth="1"/>
    <col min="2568" max="2578" width="9.140625" style="1"/>
    <col min="2579" max="2579" width="10.85546875" style="1" customWidth="1"/>
    <col min="2580" max="2760" width="9.140625" style="1"/>
    <col min="2761" max="2761" width="11.85546875" style="1" bestFit="1" customWidth="1"/>
    <col min="2762" max="2762" width="28.140625" style="1" bestFit="1" customWidth="1"/>
    <col min="2763" max="2763" width="15.7109375" style="1" customWidth="1"/>
    <col min="2764" max="2764" width="9.85546875" style="1" customWidth="1"/>
    <col min="2765" max="2765" width="13.140625" style="1" customWidth="1"/>
    <col min="2766" max="2766" width="9.140625" style="1" customWidth="1"/>
    <col min="2767" max="2767" width="12.28515625" style="1" customWidth="1"/>
    <col min="2768" max="2768" width="10.5703125" style="1" customWidth="1"/>
    <col min="2769" max="2770" width="12.7109375" style="1" customWidth="1"/>
    <col min="2771" max="2783" width="10.5703125" style="1" customWidth="1"/>
    <col min="2784" max="2784" width="11.140625" style="1" customWidth="1"/>
    <col min="2785" max="2796" width="10.5703125" style="1" customWidth="1"/>
    <col min="2797" max="2798" width="9.85546875" style="1" customWidth="1"/>
    <col min="2799" max="2799" width="9.85546875" style="1" bestFit="1" customWidth="1"/>
    <col min="2800" max="2800" width="9.85546875" style="1" customWidth="1"/>
    <col min="2801" max="2801" width="11.140625" style="1" customWidth="1"/>
    <col min="2802" max="2803" width="11.7109375" style="1" customWidth="1"/>
    <col min="2804" max="2805" width="9.140625" style="1" customWidth="1"/>
    <col min="2806" max="2806" width="10.28515625" style="1" customWidth="1"/>
    <col min="2807" max="2813" width="9.140625" style="1" customWidth="1"/>
    <col min="2814" max="2814" width="10.5703125" style="1" bestFit="1" customWidth="1"/>
    <col min="2815" max="2817" width="9.140625" style="1" customWidth="1"/>
    <col min="2818" max="2818" width="10.5703125" style="1" customWidth="1"/>
    <col min="2819" max="2822" width="9.140625" style="1" customWidth="1"/>
    <col min="2823" max="2823" width="9.28515625" style="1" bestFit="1" customWidth="1"/>
    <col min="2824" max="2834" width="9.140625" style="1"/>
    <col min="2835" max="2835" width="10.85546875" style="1" customWidth="1"/>
    <col min="2836" max="3016" width="9.140625" style="1"/>
    <col min="3017" max="3017" width="11.85546875" style="1" bestFit="1" customWidth="1"/>
    <col min="3018" max="3018" width="28.140625" style="1" bestFit="1" customWidth="1"/>
    <col min="3019" max="3019" width="15.7109375" style="1" customWidth="1"/>
    <col min="3020" max="3020" width="9.85546875" style="1" customWidth="1"/>
    <col min="3021" max="3021" width="13.140625" style="1" customWidth="1"/>
    <col min="3022" max="3022" width="9.140625" style="1" customWidth="1"/>
    <col min="3023" max="3023" width="12.28515625" style="1" customWidth="1"/>
    <col min="3024" max="3024" width="10.5703125" style="1" customWidth="1"/>
    <col min="3025" max="3026" width="12.7109375" style="1" customWidth="1"/>
    <col min="3027" max="3039" width="10.5703125" style="1" customWidth="1"/>
    <col min="3040" max="3040" width="11.140625" style="1" customWidth="1"/>
    <col min="3041" max="3052" width="10.5703125" style="1" customWidth="1"/>
    <col min="3053" max="3054" width="9.85546875" style="1" customWidth="1"/>
    <col min="3055" max="3055" width="9.85546875" style="1" bestFit="1" customWidth="1"/>
    <col min="3056" max="3056" width="9.85546875" style="1" customWidth="1"/>
    <col min="3057" max="3057" width="11.140625" style="1" customWidth="1"/>
    <col min="3058" max="3059" width="11.7109375" style="1" customWidth="1"/>
    <col min="3060" max="3061" width="9.140625" style="1" customWidth="1"/>
    <col min="3062" max="3062" width="10.28515625" style="1" customWidth="1"/>
    <col min="3063" max="3069" width="9.140625" style="1" customWidth="1"/>
    <col min="3070" max="3070" width="10.5703125" style="1" bestFit="1" customWidth="1"/>
    <col min="3071" max="3073" width="9.140625" style="1" customWidth="1"/>
    <col min="3074" max="3074" width="10.5703125" style="1" customWidth="1"/>
    <col min="3075" max="3078" width="9.140625" style="1" customWidth="1"/>
    <col min="3079" max="3079" width="9.28515625" style="1" bestFit="1" customWidth="1"/>
    <col min="3080" max="3090" width="9.140625" style="1"/>
    <col min="3091" max="3091" width="10.85546875" style="1" customWidth="1"/>
    <col min="3092" max="3272" width="9.140625" style="1"/>
    <col min="3273" max="3273" width="11.85546875" style="1" bestFit="1" customWidth="1"/>
    <col min="3274" max="3274" width="28.140625" style="1" bestFit="1" customWidth="1"/>
    <col min="3275" max="3275" width="15.7109375" style="1" customWidth="1"/>
    <col min="3276" max="3276" width="9.85546875" style="1" customWidth="1"/>
    <col min="3277" max="3277" width="13.140625" style="1" customWidth="1"/>
    <col min="3278" max="3278" width="9.140625" style="1" customWidth="1"/>
    <col min="3279" max="3279" width="12.28515625" style="1" customWidth="1"/>
    <col min="3280" max="3280" width="10.5703125" style="1" customWidth="1"/>
    <col min="3281" max="3282" width="12.7109375" style="1" customWidth="1"/>
    <col min="3283" max="3295" width="10.5703125" style="1" customWidth="1"/>
    <col min="3296" max="3296" width="11.140625" style="1" customWidth="1"/>
    <col min="3297" max="3308" width="10.5703125" style="1" customWidth="1"/>
    <col min="3309" max="3310" width="9.85546875" style="1" customWidth="1"/>
    <col min="3311" max="3311" width="9.85546875" style="1" bestFit="1" customWidth="1"/>
    <col min="3312" max="3312" width="9.85546875" style="1" customWidth="1"/>
    <col min="3313" max="3313" width="11.140625" style="1" customWidth="1"/>
    <col min="3314" max="3315" width="11.7109375" style="1" customWidth="1"/>
    <col min="3316" max="3317" width="9.140625" style="1" customWidth="1"/>
    <col min="3318" max="3318" width="10.28515625" style="1" customWidth="1"/>
    <col min="3319" max="3325" width="9.140625" style="1" customWidth="1"/>
    <col min="3326" max="3326" width="10.5703125" style="1" bestFit="1" customWidth="1"/>
    <col min="3327" max="3329" width="9.140625" style="1" customWidth="1"/>
    <col min="3330" max="3330" width="10.5703125" style="1" customWidth="1"/>
    <col min="3331" max="3334" width="9.140625" style="1" customWidth="1"/>
    <col min="3335" max="3335" width="9.28515625" style="1" bestFit="1" customWidth="1"/>
    <col min="3336" max="3346" width="9.140625" style="1"/>
    <col min="3347" max="3347" width="10.85546875" style="1" customWidth="1"/>
    <col min="3348" max="3528" width="9.140625" style="1"/>
    <col min="3529" max="3529" width="11.85546875" style="1" bestFit="1" customWidth="1"/>
    <col min="3530" max="3530" width="28.140625" style="1" bestFit="1" customWidth="1"/>
    <col min="3531" max="3531" width="15.7109375" style="1" customWidth="1"/>
    <col min="3532" max="3532" width="9.85546875" style="1" customWidth="1"/>
    <col min="3533" max="3533" width="13.140625" style="1" customWidth="1"/>
    <col min="3534" max="3534" width="9.140625" style="1" customWidth="1"/>
    <col min="3535" max="3535" width="12.28515625" style="1" customWidth="1"/>
    <col min="3536" max="3536" width="10.5703125" style="1" customWidth="1"/>
    <col min="3537" max="3538" width="12.7109375" style="1" customWidth="1"/>
    <col min="3539" max="3551" width="10.5703125" style="1" customWidth="1"/>
    <col min="3552" max="3552" width="11.140625" style="1" customWidth="1"/>
    <col min="3553" max="3564" width="10.5703125" style="1" customWidth="1"/>
    <col min="3565" max="3566" width="9.85546875" style="1" customWidth="1"/>
    <col min="3567" max="3567" width="9.85546875" style="1" bestFit="1" customWidth="1"/>
    <col min="3568" max="3568" width="9.85546875" style="1" customWidth="1"/>
    <col min="3569" max="3569" width="11.140625" style="1" customWidth="1"/>
    <col min="3570" max="3571" width="11.7109375" style="1" customWidth="1"/>
    <col min="3572" max="3573" width="9.140625" style="1" customWidth="1"/>
    <col min="3574" max="3574" width="10.28515625" style="1" customWidth="1"/>
    <col min="3575" max="3581" width="9.140625" style="1" customWidth="1"/>
    <col min="3582" max="3582" width="10.5703125" style="1" bestFit="1" customWidth="1"/>
    <col min="3583" max="3585" width="9.140625" style="1" customWidth="1"/>
    <col min="3586" max="3586" width="10.5703125" style="1" customWidth="1"/>
    <col min="3587" max="3590" width="9.140625" style="1" customWidth="1"/>
    <col min="3591" max="3591" width="9.28515625" style="1" bestFit="1" customWidth="1"/>
    <col min="3592" max="3602" width="9.140625" style="1"/>
    <col min="3603" max="3603" width="10.85546875" style="1" customWidth="1"/>
    <col min="3604" max="3784" width="9.140625" style="1"/>
    <col min="3785" max="3785" width="11.85546875" style="1" bestFit="1" customWidth="1"/>
    <col min="3786" max="3786" width="28.140625" style="1" bestFit="1" customWidth="1"/>
    <col min="3787" max="3787" width="15.7109375" style="1" customWidth="1"/>
    <col min="3788" max="3788" width="9.85546875" style="1" customWidth="1"/>
    <col min="3789" max="3789" width="13.140625" style="1" customWidth="1"/>
    <col min="3790" max="3790" width="9.140625" style="1" customWidth="1"/>
    <col min="3791" max="3791" width="12.28515625" style="1" customWidth="1"/>
    <col min="3792" max="3792" width="10.5703125" style="1" customWidth="1"/>
    <col min="3793" max="3794" width="12.7109375" style="1" customWidth="1"/>
    <col min="3795" max="3807" width="10.5703125" style="1" customWidth="1"/>
    <col min="3808" max="3808" width="11.140625" style="1" customWidth="1"/>
    <col min="3809" max="3820" width="10.5703125" style="1" customWidth="1"/>
    <col min="3821" max="3822" width="9.85546875" style="1" customWidth="1"/>
    <col min="3823" max="3823" width="9.85546875" style="1" bestFit="1" customWidth="1"/>
    <col min="3824" max="3824" width="9.85546875" style="1" customWidth="1"/>
    <col min="3825" max="3825" width="11.140625" style="1" customWidth="1"/>
    <col min="3826" max="3827" width="11.7109375" style="1" customWidth="1"/>
    <col min="3828" max="3829" width="9.140625" style="1" customWidth="1"/>
    <col min="3830" max="3830" width="10.28515625" style="1" customWidth="1"/>
    <col min="3831" max="3837" width="9.140625" style="1" customWidth="1"/>
    <col min="3838" max="3838" width="10.5703125" style="1" bestFit="1" customWidth="1"/>
    <col min="3839" max="3841" width="9.140625" style="1" customWidth="1"/>
    <col min="3842" max="3842" width="10.5703125" style="1" customWidth="1"/>
    <col min="3843" max="3846" width="9.140625" style="1" customWidth="1"/>
    <col min="3847" max="3847" width="9.28515625" style="1" bestFit="1" customWidth="1"/>
    <col min="3848" max="3858" width="9.140625" style="1"/>
    <col min="3859" max="3859" width="10.85546875" style="1" customWidth="1"/>
    <col min="3860" max="4040" width="9.140625" style="1"/>
    <col min="4041" max="4041" width="11.85546875" style="1" bestFit="1" customWidth="1"/>
    <col min="4042" max="4042" width="28.140625" style="1" bestFit="1" customWidth="1"/>
    <col min="4043" max="4043" width="15.7109375" style="1" customWidth="1"/>
    <col min="4044" max="4044" width="9.85546875" style="1" customWidth="1"/>
    <col min="4045" max="4045" width="13.140625" style="1" customWidth="1"/>
    <col min="4046" max="4046" width="9.140625" style="1" customWidth="1"/>
    <col min="4047" max="4047" width="12.28515625" style="1" customWidth="1"/>
    <col min="4048" max="4048" width="10.5703125" style="1" customWidth="1"/>
    <col min="4049" max="4050" width="12.7109375" style="1" customWidth="1"/>
    <col min="4051" max="4063" width="10.5703125" style="1" customWidth="1"/>
    <col min="4064" max="4064" width="11.140625" style="1" customWidth="1"/>
    <col min="4065" max="4076" width="10.5703125" style="1" customWidth="1"/>
    <col min="4077" max="4078" width="9.85546875" style="1" customWidth="1"/>
    <col min="4079" max="4079" width="9.85546875" style="1" bestFit="1" customWidth="1"/>
    <col min="4080" max="4080" width="9.85546875" style="1" customWidth="1"/>
    <col min="4081" max="4081" width="11.140625" style="1" customWidth="1"/>
    <col min="4082" max="4083" width="11.7109375" style="1" customWidth="1"/>
    <col min="4084" max="4085" width="9.140625" style="1" customWidth="1"/>
    <col min="4086" max="4086" width="10.28515625" style="1" customWidth="1"/>
    <col min="4087" max="4093" width="9.140625" style="1" customWidth="1"/>
    <col min="4094" max="4094" width="10.5703125" style="1" bestFit="1" customWidth="1"/>
    <col min="4095" max="4097" width="9.140625" style="1" customWidth="1"/>
    <col min="4098" max="4098" width="10.5703125" style="1" customWidth="1"/>
    <col min="4099" max="4102" width="9.140625" style="1" customWidth="1"/>
    <col min="4103" max="4103" width="9.28515625" style="1" bestFit="1" customWidth="1"/>
    <col min="4104" max="4114" width="9.140625" style="1"/>
    <col min="4115" max="4115" width="10.85546875" style="1" customWidth="1"/>
    <col min="4116" max="4296" width="9.140625" style="1"/>
    <col min="4297" max="4297" width="11.85546875" style="1" bestFit="1" customWidth="1"/>
    <col min="4298" max="4298" width="28.140625" style="1" bestFit="1" customWidth="1"/>
    <col min="4299" max="4299" width="15.7109375" style="1" customWidth="1"/>
    <col min="4300" max="4300" width="9.85546875" style="1" customWidth="1"/>
    <col min="4301" max="4301" width="13.140625" style="1" customWidth="1"/>
    <col min="4302" max="4302" width="9.140625" style="1" customWidth="1"/>
    <col min="4303" max="4303" width="12.28515625" style="1" customWidth="1"/>
    <col min="4304" max="4304" width="10.5703125" style="1" customWidth="1"/>
    <col min="4305" max="4306" width="12.7109375" style="1" customWidth="1"/>
    <col min="4307" max="4319" width="10.5703125" style="1" customWidth="1"/>
    <col min="4320" max="4320" width="11.140625" style="1" customWidth="1"/>
    <col min="4321" max="4332" width="10.5703125" style="1" customWidth="1"/>
    <col min="4333" max="4334" width="9.85546875" style="1" customWidth="1"/>
    <col min="4335" max="4335" width="9.85546875" style="1" bestFit="1" customWidth="1"/>
    <col min="4336" max="4336" width="9.85546875" style="1" customWidth="1"/>
    <col min="4337" max="4337" width="11.140625" style="1" customWidth="1"/>
    <col min="4338" max="4339" width="11.7109375" style="1" customWidth="1"/>
    <col min="4340" max="4341" width="9.140625" style="1" customWidth="1"/>
    <col min="4342" max="4342" width="10.28515625" style="1" customWidth="1"/>
    <col min="4343" max="4349" width="9.140625" style="1" customWidth="1"/>
    <col min="4350" max="4350" width="10.5703125" style="1" bestFit="1" customWidth="1"/>
    <col min="4351" max="4353" width="9.140625" style="1" customWidth="1"/>
    <col min="4354" max="4354" width="10.5703125" style="1" customWidth="1"/>
    <col min="4355" max="4358" width="9.140625" style="1" customWidth="1"/>
    <col min="4359" max="4359" width="9.28515625" style="1" bestFit="1" customWidth="1"/>
    <col min="4360" max="4370" width="9.140625" style="1"/>
    <col min="4371" max="4371" width="10.85546875" style="1" customWidth="1"/>
    <col min="4372" max="4552" width="9.140625" style="1"/>
    <col min="4553" max="4553" width="11.85546875" style="1" bestFit="1" customWidth="1"/>
    <col min="4554" max="4554" width="28.140625" style="1" bestFit="1" customWidth="1"/>
    <col min="4555" max="4555" width="15.7109375" style="1" customWidth="1"/>
    <col min="4556" max="4556" width="9.85546875" style="1" customWidth="1"/>
    <col min="4557" max="4557" width="13.140625" style="1" customWidth="1"/>
    <col min="4558" max="4558" width="9.140625" style="1" customWidth="1"/>
    <col min="4559" max="4559" width="12.28515625" style="1" customWidth="1"/>
    <col min="4560" max="4560" width="10.5703125" style="1" customWidth="1"/>
    <col min="4561" max="4562" width="12.7109375" style="1" customWidth="1"/>
    <col min="4563" max="4575" width="10.5703125" style="1" customWidth="1"/>
    <col min="4576" max="4576" width="11.140625" style="1" customWidth="1"/>
    <col min="4577" max="4588" width="10.5703125" style="1" customWidth="1"/>
    <col min="4589" max="4590" width="9.85546875" style="1" customWidth="1"/>
    <col min="4591" max="4591" width="9.85546875" style="1" bestFit="1" customWidth="1"/>
    <col min="4592" max="4592" width="9.85546875" style="1" customWidth="1"/>
    <col min="4593" max="4593" width="11.140625" style="1" customWidth="1"/>
    <col min="4594" max="4595" width="11.7109375" style="1" customWidth="1"/>
    <col min="4596" max="4597" width="9.140625" style="1" customWidth="1"/>
    <col min="4598" max="4598" width="10.28515625" style="1" customWidth="1"/>
    <col min="4599" max="4605" width="9.140625" style="1" customWidth="1"/>
    <col min="4606" max="4606" width="10.5703125" style="1" bestFit="1" customWidth="1"/>
    <col min="4607" max="4609" width="9.140625" style="1" customWidth="1"/>
    <col min="4610" max="4610" width="10.5703125" style="1" customWidth="1"/>
    <col min="4611" max="4614" width="9.140625" style="1" customWidth="1"/>
    <col min="4615" max="4615" width="9.28515625" style="1" bestFit="1" customWidth="1"/>
    <col min="4616" max="4626" width="9.140625" style="1"/>
    <col min="4627" max="4627" width="10.85546875" style="1" customWidth="1"/>
    <col min="4628" max="4808" width="9.140625" style="1"/>
    <col min="4809" max="4809" width="11.85546875" style="1" bestFit="1" customWidth="1"/>
    <col min="4810" max="4810" width="28.140625" style="1" bestFit="1" customWidth="1"/>
    <col min="4811" max="4811" width="15.7109375" style="1" customWidth="1"/>
    <col min="4812" max="4812" width="9.85546875" style="1" customWidth="1"/>
    <col min="4813" max="4813" width="13.140625" style="1" customWidth="1"/>
    <col min="4814" max="4814" width="9.140625" style="1" customWidth="1"/>
    <col min="4815" max="4815" width="12.28515625" style="1" customWidth="1"/>
    <col min="4816" max="4816" width="10.5703125" style="1" customWidth="1"/>
    <col min="4817" max="4818" width="12.7109375" style="1" customWidth="1"/>
    <col min="4819" max="4831" width="10.5703125" style="1" customWidth="1"/>
    <col min="4832" max="4832" width="11.140625" style="1" customWidth="1"/>
    <col min="4833" max="4844" width="10.5703125" style="1" customWidth="1"/>
    <col min="4845" max="4846" width="9.85546875" style="1" customWidth="1"/>
    <col min="4847" max="4847" width="9.85546875" style="1" bestFit="1" customWidth="1"/>
    <col min="4848" max="4848" width="9.85546875" style="1" customWidth="1"/>
    <col min="4849" max="4849" width="11.140625" style="1" customWidth="1"/>
    <col min="4850" max="4851" width="11.7109375" style="1" customWidth="1"/>
    <col min="4852" max="4853" width="9.140625" style="1" customWidth="1"/>
    <col min="4854" max="4854" width="10.28515625" style="1" customWidth="1"/>
    <col min="4855" max="4861" width="9.140625" style="1" customWidth="1"/>
    <col min="4862" max="4862" width="10.5703125" style="1" bestFit="1" customWidth="1"/>
    <col min="4863" max="4865" width="9.140625" style="1" customWidth="1"/>
    <col min="4866" max="4866" width="10.5703125" style="1" customWidth="1"/>
    <col min="4867" max="4870" width="9.140625" style="1" customWidth="1"/>
    <col min="4871" max="4871" width="9.28515625" style="1" bestFit="1" customWidth="1"/>
    <col min="4872" max="4882" width="9.140625" style="1"/>
    <col min="4883" max="4883" width="10.85546875" style="1" customWidth="1"/>
    <col min="4884" max="5064" width="9.140625" style="1"/>
    <col min="5065" max="5065" width="11.85546875" style="1" bestFit="1" customWidth="1"/>
    <col min="5066" max="5066" width="28.140625" style="1" bestFit="1" customWidth="1"/>
    <col min="5067" max="5067" width="15.7109375" style="1" customWidth="1"/>
    <col min="5068" max="5068" width="9.85546875" style="1" customWidth="1"/>
    <col min="5069" max="5069" width="13.140625" style="1" customWidth="1"/>
    <col min="5070" max="5070" width="9.140625" style="1" customWidth="1"/>
    <col min="5071" max="5071" width="12.28515625" style="1" customWidth="1"/>
    <col min="5072" max="5072" width="10.5703125" style="1" customWidth="1"/>
    <col min="5073" max="5074" width="12.7109375" style="1" customWidth="1"/>
    <col min="5075" max="5087" width="10.5703125" style="1" customWidth="1"/>
    <col min="5088" max="5088" width="11.140625" style="1" customWidth="1"/>
    <col min="5089" max="5100" width="10.5703125" style="1" customWidth="1"/>
    <col min="5101" max="5102" width="9.85546875" style="1" customWidth="1"/>
    <col min="5103" max="5103" width="9.85546875" style="1" bestFit="1" customWidth="1"/>
    <col min="5104" max="5104" width="9.85546875" style="1" customWidth="1"/>
    <col min="5105" max="5105" width="11.140625" style="1" customWidth="1"/>
    <col min="5106" max="5107" width="11.7109375" style="1" customWidth="1"/>
    <col min="5108" max="5109" width="9.140625" style="1" customWidth="1"/>
    <col min="5110" max="5110" width="10.28515625" style="1" customWidth="1"/>
    <col min="5111" max="5117" width="9.140625" style="1" customWidth="1"/>
    <col min="5118" max="5118" width="10.5703125" style="1" bestFit="1" customWidth="1"/>
    <col min="5119" max="5121" width="9.140625" style="1" customWidth="1"/>
    <col min="5122" max="5122" width="10.5703125" style="1" customWidth="1"/>
    <col min="5123" max="5126" width="9.140625" style="1" customWidth="1"/>
    <col min="5127" max="5127" width="9.28515625" style="1" bestFit="1" customWidth="1"/>
    <col min="5128" max="5138" width="9.140625" style="1"/>
    <col min="5139" max="5139" width="10.85546875" style="1" customWidth="1"/>
    <col min="5140" max="5320" width="9.140625" style="1"/>
    <col min="5321" max="5321" width="11.85546875" style="1" bestFit="1" customWidth="1"/>
    <col min="5322" max="5322" width="28.140625" style="1" bestFit="1" customWidth="1"/>
    <col min="5323" max="5323" width="15.7109375" style="1" customWidth="1"/>
    <col min="5324" max="5324" width="9.85546875" style="1" customWidth="1"/>
    <col min="5325" max="5325" width="13.140625" style="1" customWidth="1"/>
    <col min="5326" max="5326" width="9.140625" style="1" customWidth="1"/>
    <col min="5327" max="5327" width="12.28515625" style="1" customWidth="1"/>
    <col min="5328" max="5328" width="10.5703125" style="1" customWidth="1"/>
    <col min="5329" max="5330" width="12.7109375" style="1" customWidth="1"/>
    <col min="5331" max="5343" width="10.5703125" style="1" customWidth="1"/>
    <col min="5344" max="5344" width="11.140625" style="1" customWidth="1"/>
    <col min="5345" max="5356" width="10.5703125" style="1" customWidth="1"/>
    <col min="5357" max="5358" width="9.85546875" style="1" customWidth="1"/>
    <col min="5359" max="5359" width="9.85546875" style="1" bestFit="1" customWidth="1"/>
    <col min="5360" max="5360" width="9.85546875" style="1" customWidth="1"/>
    <col min="5361" max="5361" width="11.140625" style="1" customWidth="1"/>
    <col min="5362" max="5363" width="11.7109375" style="1" customWidth="1"/>
    <col min="5364" max="5365" width="9.140625" style="1" customWidth="1"/>
    <col min="5366" max="5366" width="10.28515625" style="1" customWidth="1"/>
    <col min="5367" max="5373" width="9.140625" style="1" customWidth="1"/>
    <col min="5374" max="5374" width="10.5703125" style="1" bestFit="1" customWidth="1"/>
    <col min="5375" max="5377" width="9.140625" style="1" customWidth="1"/>
    <col min="5378" max="5378" width="10.5703125" style="1" customWidth="1"/>
    <col min="5379" max="5382" width="9.140625" style="1" customWidth="1"/>
    <col min="5383" max="5383" width="9.28515625" style="1" bestFit="1" customWidth="1"/>
    <col min="5384" max="5394" width="9.140625" style="1"/>
    <col min="5395" max="5395" width="10.85546875" style="1" customWidth="1"/>
    <col min="5396" max="5576" width="9.140625" style="1"/>
    <col min="5577" max="5577" width="11.85546875" style="1" bestFit="1" customWidth="1"/>
    <col min="5578" max="5578" width="28.140625" style="1" bestFit="1" customWidth="1"/>
    <col min="5579" max="5579" width="15.7109375" style="1" customWidth="1"/>
    <col min="5580" max="5580" width="9.85546875" style="1" customWidth="1"/>
    <col min="5581" max="5581" width="13.140625" style="1" customWidth="1"/>
    <col min="5582" max="5582" width="9.140625" style="1" customWidth="1"/>
    <col min="5583" max="5583" width="12.28515625" style="1" customWidth="1"/>
    <col min="5584" max="5584" width="10.5703125" style="1" customWidth="1"/>
    <col min="5585" max="5586" width="12.7109375" style="1" customWidth="1"/>
    <col min="5587" max="5599" width="10.5703125" style="1" customWidth="1"/>
    <col min="5600" max="5600" width="11.140625" style="1" customWidth="1"/>
    <col min="5601" max="5612" width="10.5703125" style="1" customWidth="1"/>
    <col min="5613" max="5614" width="9.85546875" style="1" customWidth="1"/>
    <col min="5615" max="5615" width="9.85546875" style="1" bestFit="1" customWidth="1"/>
    <col min="5616" max="5616" width="9.85546875" style="1" customWidth="1"/>
    <col min="5617" max="5617" width="11.140625" style="1" customWidth="1"/>
    <col min="5618" max="5619" width="11.7109375" style="1" customWidth="1"/>
    <col min="5620" max="5621" width="9.140625" style="1" customWidth="1"/>
    <col min="5622" max="5622" width="10.28515625" style="1" customWidth="1"/>
    <col min="5623" max="5629" width="9.140625" style="1" customWidth="1"/>
    <col min="5630" max="5630" width="10.5703125" style="1" bestFit="1" customWidth="1"/>
    <col min="5631" max="5633" width="9.140625" style="1" customWidth="1"/>
    <col min="5634" max="5634" width="10.5703125" style="1" customWidth="1"/>
    <col min="5635" max="5638" width="9.140625" style="1" customWidth="1"/>
    <col min="5639" max="5639" width="9.28515625" style="1" bestFit="1" customWidth="1"/>
    <col min="5640" max="5650" width="9.140625" style="1"/>
    <col min="5651" max="5651" width="10.85546875" style="1" customWidth="1"/>
    <col min="5652" max="5832" width="9.140625" style="1"/>
    <col min="5833" max="5833" width="11.85546875" style="1" bestFit="1" customWidth="1"/>
    <col min="5834" max="5834" width="28.140625" style="1" bestFit="1" customWidth="1"/>
    <col min="5835" max="5835" width="15.7109375" style="1" customWidth="1"/>
    <col min="5836" max="5836" width="9.85546875" style="1" customWidth="1"/>
    <col min="5837" max="5837" width="13.140625" style="1" customWidth="1"/>
    <col min="5838" max="5838" width="9.140625" style="1" customWidth="1"/>
    <col min="5839" max="5839" width="12.28515625" style="1" customWidth="1"/>
    <col min="5840" max="5840" width="10.5703125" style="1" customWidth="1"/>
    <col min="5841" max="5842" width="12.7109375" style="1" customWidth="1"/>
    <col min="5843" max="5855" width="10.5703125" style="1" customWidth="1"/>
    <col min="5856" max="5856" width="11.140625" style="1" customWidth="1"/>
    <col min="5857" max="5868" width="10.5703125" style="1" customWidth="1"/>
    <col min="5869" max="5870" width="9.85546875" style="1" customWidth="1"/>
    <col min="5871" max="5871" width="9.85546875" style="1" bestFit="1" customWidth="1"/>
    <col min="5872" max="5872" width="9.85546875" style="1" customWidth="1"/>
    <col min="5873" max="5873" width="11.140625" style="1" customWidth="1"/>
    <col min="5874" max="5875" width="11.7109375" style="1" customWidth="1"/>
    <col min="5876" max="5877" width="9.140625" style="1" customWidth="1"/>
    <col min="5878" max="5878" width="10.28515625" style="1" customWidth="1"/>
    <col min="5879" max="5885" width="9.140625" style="1" customWidth="1"/>
    <col min="5886" max="5886" width="10.5703125" style="1" bestFit="1" customWidth="1"/>
    <col min="5887" max="5889" width="9.140625" style="1" customWidth="1"/>
    <col min="5890" max="5890" width="10.5703125" style="1" customWidth="1"/>
    <col min="5891" max="5894" width="9.140625" style="1" customWidth="1"/>
    <col min="5895" max="5895" width="9.28515625" style="1" bestFit="1" customWidth="1"/>
    <col min="5896" max="5906" width="9.140625" style="1"/>
    <col min="5907" max="5907" width="10.85546875" style="1" customWidth="1"/>
    <col min="5908" max="6088" width="9.140625" style="1"/>
    <col min="6089" max="6089" width="11.85546875" style="1" bestFit="1" customWidth="1"/>
    <col min="6090" max="6090" width="28.140625" style="1" bestFit="1" customWidth="1"/>
    <col min="6091" max="6091" width="15.7109375" style="1" customWidth="1"/>
    <col min="6092" max="6092" width="9.85546875" style="1" customWidth="1"/>
    <col min="6093" max="6093" width="13.140625" style="1" customWidth="1"/>
    <col min="6094" max="6094" width="9.140625" style="1" customWidth="1"/>
    <col min="6095" max="6095" width="12.28515625" style="1" customWidth="1"/>
    <col min="6096" max="6096" width="10.5703125" style="1" customWidth="1"/>
    <col min="6097" max="6098" width="12.7109375" style="1" customWidth="1"/>
    <col min="6099" max="6111" width="10.5703125" style="1" customWidth="1"/>
    <col min="6112" max="6112" width="11.140625" style="1" customWidth="1"/>
    <col min="6113" max="6124" width="10.5703125" style="1" customWidth="1"/>
    <col min="6125" max="6126" width="9.85546875" style="1" customWidth="1"/>
    <col min="6127" max="6127" width="9.85546875" style="1" bestFit="1" customWidth="1"/>
    <col min="6128" max="6128" width="9.85546875" style="1" customWidth="1"/>
    <col min="6129" max="6129" width="11.140625" style="1" customWidth="1"/>
    <col min="6130" max="6131" width="11.7109375" style="1" customWidth="1"/>
    <col min="6132" max="6133" width="9.140625" style="1" customWidth="1"/>
    <col min="6134" max="6134" width="10.28515625" style="1" customWidth="1"/>
    <col min="6135" max="6141" width="9.140625" style="1" customWidth="1"/>
    <col min="6142" max="6142" width="10.5703125" style="1" bestFit="1" customWidth="1"/>
    <col min="6143" max="6145" width="9.140625" style="1" customWidth="1"/>
    <col min="6146" max="6146" width="10.5703125" style="1" customWidth="1"/>
    <col min="6147" max="6150" width="9.140625" style="1" customWidth="1"/>
    <col min="6151" max="6151" width="9.28515625" style="1" bestFit="1" customWidth="1"/>
    <col min="6152" max="6162" width="9.140625" style="1"/>
    <col min="6163" max="6163" width="10.85546875" style="1" customWidth="1"/>
    <col min="6164" max="6344" width="9.140625" style="1"/>
    <col min="6345" max="6345" width="11.85546875" style="1" bestFit="1" customWidth="1"/>
    <col min="6346" max="6346" width="28.140625" style="1" bestFit="1" customWidth="1"/>
    <col min="6347" max="6347" width="15.7109375" style="1" customWidth="1"/>
    <col min="6348" max="6348" width="9.85546875" style="1" customWidth="1"/>
    <col min="6349" max="6349" width="13.140625" style="1" customWidth="1"/>
    <col min="6350" max="6350" width="9.140625" style="1" customWidth="1"/>
    <col min="6351" max="6351" width="12.28515625" style="1" customWidth="1"/>
    <col min="6352" max="6352" width="10.5703125" style="1" customWidth="1"/>
    <col min="6353" max="6354" width="12.7109375" style="1" customWidth="1"/>
    <col min="6355" max="6367" width="10.5703125" style="1" customWidth="1"/>
    <col min="6368" max="6368" width="11.140625" style="1" customWidth="1"/>
    <col min="6369" max="6380" width="10.5703125" style="1" customWidth="1"/>
    <col min="6381" max="6382" width="9.85546875" style="1" customWidth="1"/>
    <col min="6383" max="6383" width="9.85546875" style="1" bestFit="1" customWidth="1"/>
    <col min="6384" max="6384" width="9.85546875" style="1" customWidth="1"/>
    <col min="6385" max="6385" width="11.140625" style="1" customWidth="1"/>
    <col min="6386" max="6387" width="11.7109375" style="1" customWidth="1"/>
    <col min="6388" max="6389" width="9.140625" style="1" customWidth="1"/>
    <col min="6390" max="6390" width="10.28515625" style="1" customWidth="1"/>
    <col min="6391" max="6397" width="9.140625" style="1" customWidth="1"/>
    <col min="6398" max="6398" width="10.5703125" style="1" bestFit="1" customWidth="1"/>
    <col min="6399" max="6401" width="9.140625" style="1" customWidth="1"/>
    <col min="6402" max="6402" width="10.5703125" style="1" customWidth="1"/>
    <col min="6403" max="6406" width="9.140625" style="1" customWidth="1"/>
    <col min="6407" max="6407" width="9.28515625" style="1" bestFit="1" customWidth="1"/>
    <col min="6408" max="6418" width="9.140625" style="1"/>
    <col min="6419" max="6419" width="10.85546875" style="1" customWidth="1"/>
    <col min="6420" max="6600" width="9.140625" style="1"/>
    <col min="6601" max="6601" width="11.85546875" style="1" bestFit="1" customWidth="1"/>
    <col min="6602" max="6602" width="28.140625" style="1" bestFit="1" customWidth="1"/>
    <col min="6603" max="6603" width="15.7109375" style="1" customWidth="1"/>
    <col min="6604" max="6604" width="9.85546875" style="1" customWidth="1"/>
    <col min="6605" max="6605" width="13.140625" style="1" customWidth="1"/>
    <col min="6606" max="6606" width="9.140625" style="1" customWidth="1"/>
    <col min="6607" max="6607" width="12.28515625" style="1" customWidth="1"/>
    <col min="6608" max="6608" width="10.5703125" style="1" customWidth="1"/>
    <col min="6609" max="6610" width="12.7109375" style="1" customWidth="1"/>
    <col min="6611" max="6623" width="10.5703125" style="1" customWidth="1"/>
    <col min="6624" max="6624" width="11.140625" style="1" customWidth="1"/>
    <col min="6625" max="6636" width="10.5703125" style="1" customWidth="1"/>
    <col min="6637" max="6638" width="9.85546875" style="1" customWidth="1"/>
    <col min="6639" max="6639" width="9.85546875" style="1" bestFit="1" customWidth="1"/>
    <col min="6640" max="6640" width="9.85546875" style="1" customWidth="1"/>
    <col min="6641" max="6641" width="11.140625" style="1" customWidth="1"/>
    <col min="6642" max="6643" width="11.7109375" style="1" customWidth="1"/>
    <col min="6644" max="6645" width="9.140625" style="1" customWidth="1"/>
    <col min="6646" max="6646" width="10.28515625" style="1" customWidth="1"/>
    <col min="6647" max="6653" width="9.140625" style="1" customWidth="1"/>
    <col min="6654" max="6654" width="10.5703125" style="1" bestFit="1" customWidth="1"/>
    <col min="6655" max="6657" width="9.140625" style="1" customWidth="1"/>
    <col min="6658" max="6658" width="10.5703125" style="1" customWidth="1"/>
    <col min="6659" max="6662" width="9.140625" style="1" customWidth="1"/>
    <col min="6663" max="6663" width="9.28515625" style="1" bestFit="1" customWidth="1"/>
    <col min="6664" max="6674" width="9.140625" style="1"/>
    <col min="6675" max="6675" width="10.85546875" style="1" customWidth="1"/>
    <col min="6676" max="6856" width="9.140625" style="1"/>
    <col min="6857" max="6857" width="11.85546875" style="1" bestFit="1" customWidth="1"/>
    <col min="6858" max="6858" width="28.140625" style="1" bestFit="1" customWidth="1"/>
    <col min="6859" max="6859" width="15.7109375" style="1" customWidth="1"/>
    <col min="6860" max="6860" width="9.85546875" style="1" customWidth="1"/>
    <col min="6861" max="6861" width="13.140625" style="1" customWidth="1"/>
    <col min="6862" max="6862" width="9.140625" style="1" customWidth="1"/>
    <col min="6863" max="6863" width="12.28515625" style="1" customWidth="1"/>
    <col min="6864" max="6864" width="10.5703125" style="1" customWidth="1"/>
    <col min="6865" max="6866" width="12.7109375" style="1" customWidth="1"/>
    <col min="6867" max="6879" width="10.5703125" style="1" customWidth="1"/>
    <col min="6880" max="6880" width="11.140625" style="1" customWidth="1"/>
    <col min="6881" max="6892" width="10.5703125" style="1" customWidth="1"/>
    <col min="6893" max="6894" width="9.85546875" style="1" customWidth="1"/>
    <col min="6895" max="6895" width="9.85546875" style="1" bestFit="1" customWidth="1"/>
    <col min="6896" max="6896" width="9.85546875" style="1" customWidth="1"/>
    <col min="6897" max="6897" width="11.140625" style="1" customWidth="1"/>
    <col min="6898" max="6899" width="11.7109375" style="1" customWidth="1"/>
    <col min="6900" max="6901" width="9.140625" style="1" customWidth="1"/>
    <col min="6902" max="6902" width="10.28515625" style="1" customWidth="1"/>
    <col min="6903" max="6909" width="9.140625" style="1" customWidth="1"/>
    <col min="6910" max="6910" width="10.5703125" style="1" bestFit="1" customWidth="1"/>
    <col min="6911" max="6913" width="9.140625" style="1" customWidth="1"/>
    <col min="6914" max="6914" width="10.5703125" style="1" customWidth="1"/>
    <col min="6915" max="6918" width="9.140625" style="1" customWidth="1"/>
    <col min="6919" max="6919" width="9.28515625" style="1" bestFit="1" customWidth="1"/>
    <col min="6920" max="6930" width="9.140625" style="1"/>
    <col min="6931" max="6931" width="10.85546875" style="1" customWidth="1"/>
    <col min="6932" max="7112" width="9.140625" style="1"/>
    <col min="7113" max="7113" width="11.85546875" style="1" bestFit="1" customWidth="1"/>
    <col min="7114" max="7114" width="28.140625" style="1" bestFit="1" customWidth="1"/>
    <col min="7115" max="7115" width="15.7109375" style="1" customWidth="1"/>
    <col min="7116" max="7116" width="9.85546875" style="1" customWidth="1"/>
    <col min="7117" max="7117" width="13.140625" style="1" customWidth="1"/>
    <col min="7118" max="7118" width="9.140625" style="1" customWidth="1"/>
    <col min="7119" max="7119" width="12.28515625" style="1" customWidth="1"/>
    <col min="7120" max="7120" width="10.5703125" style="1" customWidth="1"/>
    <col min="7121" max="7122" width="12.7109375" style="1" customWidth="1"/>
    <col min="7123" max="7135" width="10.5703125" style="1" customWidth="1"/>
    <col min="7136" max="7136" width="11.140625" style="1" customWidth="1"/>
    <col min="7137" max="7148" width="10.5703125" style="1" customWidth="1"/>
    <col min="7149" max="7150" width="9.85546875" style="1" customWidth="1"/>
    <col min="7151" max="7151" width="9.85546875" style="1" bestFit="1" customWidth="1"/>
    <col min="7152" max="7152" width="9.85546875" style="1" customWidth="1"/>
    <col min="7153" max="7153" width="11.140625" style="1" customWidth="1"/>
    <col min="7154" max="7155" width="11.7109375" style="1" customWidth="1"/>
    <col min="7156" max="7157" width="9.140625" style="1" customWidth="1"/>
    <col min="7158" max="7158" width="10.28515625" style="1" customWidth="1"/>
    <col min="7159" max="7165" width="9.140625" style="1" customWidth="1"/>
    <col min="7166" max="7166" width="10.5703125" style="1" bestFit="1" customWidth="1"/>
    <col min="7167" max="7169" width="9.140625" style="1" customWidth="1"/>
    <col min="7170" max="7170" width="10.5703125" style="1" customWidth="1"/>
    <col min="7171" max="7174" width="9.140625" style="1" customWidth="1"/>
    <col min="7175" max="7175" width="9.28515625" style="1" bestFit="1" customWidth="1"/>
    <col min="7176" max="7186" width="9.140625" style="1"/>
    <col min="7187" max="7187" width="10.85546875" style="1" customWidth="1"/>
    <col min="7188" max="7368" width="9.140625" style="1"/>
    <col min="7369" max="7369" width="11.85546875" style="1" bestFit="1" customWidth="1"/>
    <col min="7370" max="7370" width="28.140625" style="1" bestFit="1" customWidth="1"/>
    <col min="7371" max="7371" width="15.7109375" style="1" customWidth="1"/>
    <col min="7372" max="7372" width="9.85546875" style="1" customWidth="1"/>
    <col min="7373" max="7373" width="13.140625" style="1" customWidth="1"/>
    <col min="7374" max="7374" width="9.140625" style="1" customWidth="1"/>
    <col min="7375" max="7375" width="12.28515625" style="1" customWidth="1"/>
    <col min="7376" max="7376" width="10.5703125" style="1" customWidth="1"/>
    <col min="7377" max="7378" width="12.7109375" style="1" customWidth="1"/>
    <col min="7379" max="7391" width="10.5703125" style="1" customWidth="1"/>
    <col min="7392" max="7392" width="11.140625" style="1" customWidth="1"/>
    <col min="7393" max="7404" width="10.5703125" style="1" customWidth="1"/>
    <col min="7405" max="7406" width="9.85546875" style="1" customWidth="1"/>
    <col min="7407" max="7407" width="9.85546875" style="1" bestFit="1" customWidth="1"/>
    <col min="7408" max="7408" width="9.85546875" style="1" customWidth="1"/>
    <col min="7409" max="7409" width="11.140625" style="1" customWidth="1"/>
    <col min="7410" max="7411" width="11.7109375" style="1" customWidth="1"/>
    <col min="7412" max="7413" width="9.140625" style="1" customWidth="1"/>
    <col min="7414" max="7414" width="10.28515625" style="1" customWidth="1"/>
    <col min="7415" max="7421" width="9.140625" style="1" customWidth="1"/>
    <col min="7422" max="7422" width="10.5703125" style="1" bestFit="1" customWidth="1"/>
    <col min="7423" max="7425" width="9.140625" style="1" customWidth="1"/>
    <col min="7426" max="7426" width="10.5703125" style="1" customWidth="1"/>
    <col min="7427" max="7430" width="9.140625" style="1" customWidth="1"/>
    <col min="7431" max="7431" width="9.28515625" style="1" bestFit="1" customWidth="1"/>
    <col min="7432" max="7442" width="9.140625" style="1"/>
    <col min="7443" max="7443" width="10.85546875" style="1" customWidth="1"/>
    <col min="7444" max="7624" width="9.140625" style="1"/>
    <col min="7625" max="7625" width="11.85546875" style="1" bestFit="1" customWidth="1"/>
    <col min="7626" max="7626" width="28.140625" style="1" bestFit="1" customWidth="1"/>
    <col min="7627" max="7627" width="15.7109375" style="1" customWidth="1"/>
    <col min="7628" max="7628" width="9.85546875" style="1" customWidth="1"/>
    <col min="7629" max="7629" width="13.140625" style="1" customWidth="1"/>
    <col min="7630" max="7630" width="9.140625" style="1" customWidth="1"/>
    <col min="7631" max="7631" width="12.28515625" style="1" customWidth="1"/>
    <col min="7632" max="7632" width="10.5703125" style="1" customWidth="1"/>
    <col min="7633" max="7634" width="12.7109375" style="1" customWidth="1"/>
    <col min="7635" max="7647" width="10.5703125" style="1" customWidth="1"/>
    <col min="7648" max="7648" width="11.140625" style="1" customWidth="1"/>
    <col min="7649" max="7660" width="10.5703125" style="1" customWidth="1"/>
    <col min="7661" max="7662" width="9.85546875" style="1" customWidth="1"/>
    <col min="7663" max="7663" width="9.85546875" style="1" bestFit="1" customWidth="1"/>
    <col min="7664" max="7664" width="9.85546875" style="1" customWidth="1"/>
    <col min="7665" max="7665" width="11.140625" style="1" customWidth="1"/>
    <col min="7666" max="7667" width="11.7109375" style="1" customWidth="1"/>
    <col min="7668" max="7669" width="9.140625" style="1" customWidth="1"/>
    <col min="7670" max="7670" width="10.28515625" style="1" customWidth="1"/>
    <col min="7671" max="7677" width="9.140625" style="1" customWidth="1"/>
    <col min="7678" max="7678" width="10.5703125" style="1" bestFit="1" customWidth="1"/>
    <col min="7679" max="7681" width="9.140625" style="1" customWidth="1"/>
    <col min="7682" max="7682" width="10.5703125" style="1" customWidth="1"/>
    <col min="7683" max="7686" width="9.140625" style="1" customWidth="1"/>
    <col min="7687" max="7687" width="9.28515625" style="1" bestFit="1" customWidth="1"/>
    <col min="7688" max="7698" width="9.140625" style="1"/>
    <col min="7699" max="7699" width="10.85546875" style="1" customWidth="1"/>
    <col min="7700" max="7880" width="9.140625" style="1"/>
    <col min="7881" max="7881" width="11.85546875" style="1" bestFit="1" customWidth="1"/>
    <col min="7882" max="7882" width="28.140625" style="1" bestFit="1" customWidth="1"/>
    <col min="7883" max="7883" width="15.7109375" style="1" customWidth="1"/>
    <col min="7884" max="7884" width="9.85546875" style="1" customWidth="1"/>
    <col min="7885" max="7885" width="13.140625" style="1" customWidth="1"/>
    <col min="7886" max="7886" width="9.140625" style="1" customWidth="1"/>
    <col min="7887" max="7887" width="12.28515625" style="1" customWidth="1"/>
    <col min="7888" max="7888" width="10.5703125" style="1" customWidth="1"/>
    <col min="7889" max="7890" width="12.7109375" style="1" customWidth="1"/>
    <col min="7891" max="7903" width="10.5703125" style="1" customWidth="1"/>
    <col min="7904" max="7904" width="11.140625" style="1" customWidth="1"/>
    <col min="7905" max="7916" width="10.5703125" style="1" customWidth="1"/>
    <col min="7917" max="7918" width="9.85546875" style="1" customWidth="1"/>
    <col min="7919" max="7919" width="9.85546875" style="1" bestFit="1" customWidth="1"/>
    <col min="7920" max="7920" width="9.85546875" style="1" customWidth="1"/>
    <col min="7921" max="7921" width="11.140625" style="1" customWidth="1"/>
    <col min="7922" max="7923" width="11.7109375" style="1" customWidth="1"/>
    <col min="7924" max="7925" width="9.140625" style="1" customWidth="1"/>
    <col min="7926" max="7926" width="10.28515625" style="1" customWidth="1"/>
    <col min="7927" max="7933" width="9.140625" style="1" customWidth="1"/>
    <col min="7934" max="7934" width="10.5703125" style="1" bestFit="1" customWidth="1"/>
    <col min="7935" max="7937" width="9.140625" style="1" customWidth="1"/>
    <col min="7938" max="7938" width="10.5703125" style="1" customWidth="1"/>
    <col min="7939" max="7942" width="9.140625" style="1" customWidth="1"/>
    <col min="7943" max="7943" width="9.28515625" style="1" bestFit="1" customWidth="1"/>
    <col min="7944" max="7954" width="9.140625" style="1"/>
    <col min="7955" max="7955" width="10.85546875" style="1" customWidth="1"/>
    <col min="7956" max="8136" width="9.140625" style="1"/>
    <col min="8137" max="8137" width="11.85546875" style="1" bestFit="1" customWidth="1"/>
    <col min="8138" max="8138" width="28.140625" style="1" bestFit="1" customWidth="1"/>
    <col min="8139" max="8139" width="15.7109375" style="1" customWidth="1"/>
    <col min="8140" max="8140" width="9.85546875" style="1" customWidth="1"/>
    <col min="8141" max="8141" width="13.140625" style="1" customWidth="1"/>
    <col min="8142" max="8142" width="9.140625" style="1" customWidth="1"/>
    <col min="8143" max="8143" width="12.28515625" style="1" customWidth="1"/>
    <col min="8144" max="8144" width="10.5703125" style="1" customWidth="1"/>
    <col min="8145" max="8146" width="12.7109375" style="1" customWidth="1"/>
    <col min="8147" max="8159" width="10.5703125" style="1" customWidth="1"/>
    <col min="8160" max="8160" width="11.140625" style="1" customWidth="1"/>
    <col min="8161" max="8172" width="10.5703125" style="1" customWidth="1"/>
    <col min="8173" max="8174" width="9.85546875" style="1" customWidth="1"/>
    <col min="8175" max="8175" width="9.85546875" style="1" bestFit="1" customWidth="1"/>
    <col min="8176" max="8176" width="9.85546875" style="1" customWidth="1"/>
    <col min="8177" max="8177" width="11.140625" style="1" customWidth="1"/>
    <col min="8178" max="8179" width="11.7109375" style="1" customWidth="1"/>
    <col min="8180" max="8181" width="9.140625" style="1" customWidth="1"/>
    <col min="8182" max="8182" width="10.28515625" style="1" customWidth="1"/>
    <col min="8183" max="8189" width="9.140625" style="1" customWidth="1"/>
    <col min="8190" max="8190" width="10.5703125" style="1" bestFit="1" customWidth="1"/>
    <col min="8191" max="8193" width="9.140625" style="1" customWidth="1"/>
    <col min="8194" max="8194" width="10.5703125" style="1" customWidth="1"/>
    <col min="8195" max="8198" width="9.140625" style="1" customWidth="1"/>
    <col min="8199" max="8199" width="9.28515625" style="1" bestFit="1" customWidth="1"/>
    <col min="8200" max="8210" width="9.140625" style="1"/>
    <col min="8211" max="8211" width="10.85546875" style="1" customWidth="1"/>
    <col min="8212" max="8392" width="9.140625" style="1"/>
    <col min="8393" max="8393" width="11.85546875" style="1" bestFit="1" customWidth="1"/>
    <col min="8394" max="8394" width="28.140625" style="1" bestFit="1" customWidth="1"/>
    <col min="8395" max="8395" width="15.7109375" style="1" customWidth="1"/>
    <col min="8396" max="8396" width="9.85546875" style="1" customWidth="1"/>
    <col min="8397" max="8397" width="13.140625" style="1" customWidth="1"/>
    <col min="8398" max="8398" width="9.140625" style="1" customWidth="1"/>
    <col min="8399" max="8399" width="12.28515625" style="1" customWidth="1"/>
    <col min="8400" max="8400" width="10.5703125" style="1" customWidth="1"/>
    <col min="8401" max="8402" width="12.7109375" style="1" customWidth="1"/>
    <col min="8403" max="8415" width="10.5703125" style="1" customWidth="1"/>
    <col min="8416" max="8416" width="11.140625" style="1" customWidth="1"/>
    <col min="8417" max="8428" width="10.5703125" style="1" customWidth="1"/>
    <col min="8429" max="8430" width="9.85546875" style="1" customWidth="1"/>
    <col min="8431" max="8431" width="9.85546875" style="1" bestFit="1" customWidth="1"/>
    <col min="8432" max="8432" width="9.85546875" style="1" customWidth="1"/>
    <col min="8433" max="8433" width="11.140625" style="1" customWidth="1"/>
    <col min="8434" max="8435" width="11.7109375" style="1" customWidth="1"/>
    <col min="8436" max="8437" width="9.140625" style="1" customWidth="1"/>
    <col min="8438" max="8438" width="10.28515625" style="1" customWidth="1"/>
    <col min="8439" max="8445" width="9.140625" style="1" customWidth="1"/>
    <col min="8446" max="8446" width="10.5703125" style="1" bestFit="1" customWidth="1"/>
    <col min="8447" max="8449" width="9.140625" style="1" customWidth="1"/>
    <col min="8450" max="8450" width="10.5703125" style="1" customWidth="1"/>
    <col min="8451" max="8454" width="9.140625" style="1" customWidth="1"/>
    <col min="8455" max="8455" width="9.28515625" style="1" bestFit="1" customWidth="1"/>
    <col min="8456" max="8466" width="9.140625" style="1"/>
    <col min="8467" max="8467" width="10.85546875" style="1" customWidth="1"/>
    <col min="8468" max="8648" width="9.140625" style="1"/>
    <col min="8649" max="8649" width="11.85546875" style="1" bestFit="1" customWidth="1"/>
    <col min="8650" max="8650" width="28.140625" style="1" bestFit="1" customWidth="1"/>
    <col min="8651" max="8651" width="15.7109375" style="1" customWidth="1"/>
    <col min="8652" max="8652" width="9.85546875" style="1" customWidth="1"/>
    <col min="8653" max="8653" width="13.140625" style="1" customWidth="1"/>
    <col min="8654" max="8654" width="9.140625" style="1" customWidth="1"/>
    <col min="8655" max="8655" width="12.28515625" style="1" customWidth="1"/>
    <col min="8656" max="8656" width="10.5703125" style="1" customWidth="1"/>
    <col min="8657" max="8658" width="12.7109375" style="1" customWidth="1"/>
    <col min="8659" max="8671" width="10.5703125" style="1" customWidth="1"/>
    <col min="8672" max="8672" width="11.140625" style="1" customWidth="1"/>
    <col min="8673" max="8684" width="10.5703125" style="1" customWidth="1"/>
    <col min="8685" max="8686" width="9.85546875" style="1" customWidth="1"/>
    <col min="8687" max="8687" width="9.85546875" style="1" bestFit="1" customWidth="1"/>
    <col min="8688" max="8688" width="9.85546875" style="1" customWidth="1"/>
    <col min="8689" max="8689" width="11.140625" style="1" customWidth="1"/>
    <col min="8690" max="8691" width="11.7109375" style="1" customWidth="1"/>
    <col min="8692" max="8693" width="9.140625" style="1" customWidth="1"/>
    <col min="8694" max="8694" width="10.28515625" style="1" customWidth="1"/>
    <col min="8695" max="8701" width="9.140625" style="1" customWidth="1"/>
    <col min="8702" max="8702" width="10.5703125" style="1" bestFit="1" customWidth="1"/>
    <col min="8703" max="8705" width="9.140625" style="1" customWidth="1"/>
    <col min="8706" max="8706" width="10.5703125" style="1" customWidth="1"/>
    <col min="8707" max="8710" width="9.140625" style="1" customWidth="1"/>
    <col min="8711" max="8711" width="9.28515625" style="1" bestFit="1" customWidth="1"/>
    <col min="8712" max="8722" width="9.140625" style="1"/>
    <col min="8723" max="8723" width="10.85546875" style="1" customWidth="1"/>
    <col min="8724" max="8904" width="9.140625" style="1"/>
    <col min="8905" max="8905" width="11.85546875" style="1" bestFit="1" customWidth="1"/>
    <col min="8906" max="8906" width="28.140625" style="1" bestFit="1" customWidth="1"/>
    <col min="8907" max="8907" width="15.7109375" style="1" customWidth="1"/>
    <col min="8908" max="8908" width="9.85546875" style="1" customWidth="1"/>
    <col min="8909" max="8909" width="13.140625" style="1" customWidth="1"/>
    <col min="8910" max="8910" width="9.140625" style="1" customWidth="1"/>
    <col min="8911" max="8911" width="12.28515625" style="1" customWidth="1"/>
    <col min="8912" max="8912" width="10.5703125" style="1" customWidth="1"/>
    <col min="8913" max="8914" width="12.7109375" style="1" customWidth="1"/>
    <col min="8915" max="8927" width="10.5703125" style="1" customWidth="1"/>
    <col min="8928" max="8928" width="11.140625" style="1" customWidth="1"/>
    <col min="8929" max="8940" width="10.5703125" style="1" customWidth="1"/>
    <col min="8941" max="8942" width="9.85546875" style="1" customWidth="1"/>
    <col min="8943" max="8943" width="9.85546875" style="1" bestFit="1" customWidth="1"/>
    <col min="8944" max="8944" width="9.85546875" style="1" customWidth="1"/>
    <col min="8945" max="8945" width="11.140625" style="1" customWidth="1"/>
    <col min="8946" max="8947" width="11.7109375" style="1" customWidth="1"/>
    <col min="8948" max="8949" width="9.140625" style="1" customWidth="1"/>
    <col min="8950" max="8950" width="10.28515625" style="1" customWidth="1"/>
    <col min="8951" max="8957" width="9.140625" style="1" customWidth="1"/>
    <col min="8958" max="8958" width="10.5703125" style="1" bestFit="1" customWidth="1"/>
    <col min="8959" max="8961" width="9.140625" style="1" customWidth="1"/>
    <col min="8962" max="8962" width="10.5703125" style="1" customWidth="1"/>
    <col min="8963" max="8966" width="9.140625" style="1" customWidth="1"/>
    <col min="8967" max="8967" width="9.28515625" style="1" bestFit="1" customWidth="1"/>
    <col min="8968" max="8978" width="9.140625" style="1"/>
    <col min="8979" max="8979" width="10.85546875" style="1" customWidth="1"/>
    <col min="8980" max="9160" width="9.140625" style="1"/>
    <col min="9161" max="9161" width="11.85546875" style="1" bestFit="1" customWidth="1"/>
    <col min="9162" max="9162" width="28.140625" style="1" bestFit="1" customWidth="1"/>
    <col min="9163" max="9163" width="15.7109375" style="1" customWidth="1"/>
    <col min="9164" max="9164" width="9.85546875" style="1" customWidth="1"/>
    <col min="9165" max="9165" width="13.140625" style="1" customWidth="1"/>
    <col min="9166" max="9166" width="9.140625" style="1" customWidth="1"/>
    <col min="9167" max="9167" width="12.28515625" style="1" customWidth="1"/>
    <col min="9168" max="9168" width="10.5703125" style="1" customWidth="1"/>
    <col min="9169" max="9170" width="12.7109375" style="1" customWidth="1"/>
    <col min="9171" max="9183" width="10.5703125" style="1" customWidth="1"/>
    <col min="9184" max="9184" width="11.140625" style="1" customWidth="1"/>
    <col min="9185" max="9196" width="10.5703125" style="1" customWidth="1"/>
    <col min="9197" max="9198" width="9.85546875" style="1" customWidth="1"/>
    <col min="9199" max="9199" width="9.85546875" style="1" bestFit="1" customWidth="1"/>
    <col min="9200" max="9200" width="9.85546875" style="1" customWidth="1"/>
    <col min="9201" max="9201" width="11.140625" style="1" customWidth="1"/>
    <col min="9202" max="9203" width="11.7109375" style="1" customWidth="1"/>
    <col min="9204" max="9205" width="9.140625" style="1" customWidth="1"/>
    <col min="9206" max="9206" width="10.28515625" style="1" customWidth="1"/>
    <col min="9207" max="9213" width="9.140625" style="1" customWidth="1"/>
    <col min="9214" max="9214" width="10.5703125" style="1" bestFit="1" customWidth="1"/>
    <col min="9215" max="9217" width="9.140625" style="1" customWidth="1"/>
    <col min="9218" max="9218" width="10.5703125" style="1" customWidth="1"/>
    <col min="9219" max="9222" width="9.140625" style="1" customWidth="1"/>
    <col min="9223" max="9223" width="9.28515625" style="1" bestFit="1" customWidth="1"/>
    <col min="9224" max="9234" width="9.140625" style="1"/>
    <col min="9235" max="9235" width="10.85546875" style="1" customWidth="1"/>
    <col min="9236" max="9416" width="9.140625" style="1"/>
    <col min="9417" max="9417" width="11.85546875" style="1" bestFit="1" customWidth="1"/>
    <col min="9418" max="9418" width="28.140625" style="1" bestFit="1" customWidth="1"/>
    <col min="9419" max="9419" width="15.7109375" style="1" customWidth="1"/>
    <col min="9420" max="9420" width="9.85546875" style="1" customWidth="1"/>
    <col min="9421" max="9421" width="13.140625" style="1" customWidth="1"/>
    <col min="9422" max="9422" width="9.140625" style="1" customWidth="1"/>
    <col min="9423" max="9423" width="12.28515625" style="1" customWidth="1"/>
    <col min="9424" max="9424" width="10.5703125" style="1" customWidth="1"/>
    <col min="9425" max="9426" width="12.7109375" style="1" customWidth="1"/>
    <col min="9427" max="9439" width="10.5703125" style="1" customWidth="1"/>
    <col min="9440" max="9440" width="11.140625" style="1" customWidth="1"/>
    <col min="9441" max="9452" width="10.5703125" style="1" customWidth="1"/>
    <col min="9453" max="9454" width="9.85546875" style="1" customWidth="1"/>
    <col min="9455" max="9455" width="9.85546875" style="1" bestFit="1" customWidth="1"/>
    <col min="9456" max="9456" width="9.85546875" style="1" customWidth="1"/>
    <col min="9457" max="9457" width="11.140625" style="1" customWidth="1"/>
    <col min="9458" max="9459" width="11.7109375" style="1" customWidth="1"/>
    <col min="9460" max="9461" width="9.140625" style="1" customWidth="1"/>
    <col min="9462" max="9462" width="10.28515625" style="1" customWidth="1"/>
    <col min="9463" max="9469" width="9.140625" style="1" customWidth="1"/>
    <col min="9470" max="9470" width="10.5703125" style="1" bestFit="1" customWidth="1"/>
    <col min="9471" max="9473" width="9.140625" style="1" customWidth="1"/>
    <col min="9474" max="9474" width="10.5703125" style="1" customWidth="1"/>
    <col min="9475" max="9478" width="9.140625" style="1" customWidth="1"/>
    <col min="9479" max="9479" width="9.28515625" style="1" bestFit="1" customWidth="1"/>
    <col min="9480" max="9490" width="9.140625" style="1"/>
    <col min="9491" max="9491" width="10.85546875" style="1" customWidth="1"/>
    <col min="9492" max="9672" width="9.140625" style="1"/>
    <col min="9673" max="9673" width="11.85546875" style="1" bestFit="1" customWidth="1"/>
    <col min="9674" max="9674" width="28.140625" style="1" bestFit="1" customWidth="1"/>
    <col min="9675" max="9675" width="15.7109375" style="1" customWidth="1"/>
    <col min="9676" max="9676" width="9.85546875" style="1" customWidth="1"/>
    <col min="9677" max="9677" width="13.140625" style="1" customWidth="1"/>
    <col min="9678" max="9678" width="9.140625" style="1" customWidth="1"/>
    <col min="9679" max="9679" width="12.28515625" style="1" customWidth="1"/>
    <col min="9680" max="9680" width="10.5703125" style="1" customWidth="1"/>
    <col min="9681" max="9682" width="12.7109375" style="1" customWidth="1"/>
    <col min="9683" max="9695" width="10.5703125" style="1" customWidth="1"/>
    <col min="9696" max="9696" width="11.140625" style="1" customWidth="1"/>
    <col min="9697" max="9708" width="10.5703125" style="1" customWidth="1"/>
    <col min="9709" max="9710" width="9.85546875" style="1" customWidth="1"/>
    <col min="9711" max="9711" width="9.85546875" style="1" bestFit="1" customWidth="1"/>
    <col min="9712" max="9712" width="9.85546875" style="1" customWidth="1"/>
    <col min="9713" max="9713" width="11.140625" style="1" customWidth="1"/>
    <col min="9714" max="9715" width="11.7109375" style="1" customWidth="1"/>
    <col min="9716" max="9717" width="9.140625" style="1" customWidth="1"/>
    <col min="9718" max="9718" width="10.28515625" style="1" customWidth="1"/>
    <col min="9719" max="9725" width="9.140625" style="1" customWidth="1"/>
    <col min="9726" max="9726" width="10.5703125" style="1" bestFit="1" customWidth="1"/>
    <col min="9727" max="9729" width="9.140625" style="1" customWidth="1"/>
    <col min="9730" max="9730" width="10.5703125" style="1" customWidth="1"/>
    <col min="9731" max="9734" width="9.140625" style="1" customWidth="1"/>
    <col min="9735" max="9735" width="9.28515625" style="1" bestFit="1" customWidth="1"/>
    <col min="9736" max="9746" width="9.140625" style="1"/>
    <col min="9747" max="9747" width="10.85546875" style="1" customWidth="1"/>
    <col min="9748" max="9928" width="9.140625" style="1"/>
    <col min="9929" max="9929" width="11.85546875" style="1" bestFit="1" customWidth="1"/>
    <col min="9930" max="9930" width="28.140625" style="1" bestFit="1" customWidth="1"/>
    <col min="9931" max="9931" width="15.7109375" style="1" customWidth="1"/>
    <col min="9932" max="9932" width="9.85546875" style="1" customWidth="1"/>
    <col min="9933" max="9933" width="13.140625" style="1" customWidth="1"/>
    <col min="9934" max="9934" width="9.140625" style="1" customWidth="1"/>
    <col min="9935" max="9935" width="12.28515625" style="1" customWidth="1"/>
    <col min="9936" max="9936" width="10.5703125" style="1" customWidth="1"/>
    <col min="9937" max="9938" width="12.7109375" style="1" customWidth="1"/>
    <col min="9939" max="9951" width="10.5703125" style="1" customWidth="1"/>
    <col min="9952" max="9952" width="11.140625" style="1" customWidth="1"/>
    <col min="9953" max="9964" width="10.5703125" style="1" customWidth="1"/>
    <col min="9965" max="9966" width="9.85546875" style="1" customWidth="1"/>
    <col min="9967" max="9967" width="9.85546875" style="1" bestFit="1" customWidth="1"/>
    <col min="9968" max="9968" width="9.85546875" style="1" customWidth="1"/>
    <col min="9969" max="9969" width="11.140625" style="1" customWidth="1"/>
    <col min="9970" max="9971" width="11.7109375" style="1" customWidth="1"/>
    <col min="9972" max="9973" width="9.140625" style="1" customWidth="1"/>
    <col min="9974" max="9974" width="10.28515625" style="1" customWidth="1"/>
    <col min="9975" max="9981" width="9.140625" style="1" customWidth="1"/>
    <col min="9982" max="9982" width="10.5703125" style="1" bestFit="1" customWidth="1"/>
    <col min="9983" max="9985" width="9.140625" style="1" customWidth="1"/>
    <col min="9986" max="9986" width="10.5703125" style="1" customWidth="1"/>
    <col min="9987" max="9990" width="9.140625" style="1" customWidth="1"/>
    <col min="9991" max="9991" width="9.28515625" style="1" bestFit="1" customWidth="1"/>
    <col min="9992" max="10002" width="9.140625" style="1"/>
    <col min="10003" max="10003" width="10.85546875" style="1" customWidth="1"/>
    <col min="10004" max="10184" width="9.140625" style="1"/>
    <col min="10185" max="10185" width="11.85546875" style="1" bestFit="1" customWidth="1"/>
    <col min="10186" max="10186" width="28.140625" style="1" bestFit="1" customWidth="1"/>
    <col min="10187" max="10187" width="15.7109375" style="1" customWidth="1"/>
    <col min="10188" max="10188" width="9.85546875" style="1" customWidth="1"/>
    <col min="10189" max="10189" width="13.140625" style="1" customWidth="1"/>
    <col min="10190" max="10190" width="9.140625" style="1" customWidth="1"/>
    <col min="10191" max="10191" width="12.28515625" style="1" customWidth="1"/>
    <col min="10192" max="10192" width="10.5703125" style="1" customWidth="1"/>
    <col min="10193" max="10194" width="12.7109375" style="1" customWidth="1"/>
    <col min="10195" max="10207" width="10.5703125" style="1" customWidth="1"/>
    <col min="10208" max="10208" width="11.140625" style="1" customWidth="1"/>
    <col min="10209" max="10220" width="10.5703125" style="1" customWidth="1"/>
    <col min="10221" max="10222" width="9.85546875" style="1" customWidth="1"/>
    <col min="10223" max="10223" width="9.85546875" style="1" bestFit="1" customWidth="1"/>
    <col min="10224" max="10224" width="9.85546875" style="1" customWidth="1"/>
    <col min="10225" max="10225" width="11.140625" style="1" customWidth="1"/>
    <col min="10226" max="10227" width="11.7109375" style="1" customWidth="1"/>
    <col min="10228" max="10229" width="9.140625" style="1" customWidth="1"/>
    <col min="10230" max="10230" width="10.28515625" style="1" customWidth="1"/>
    <col min="10231" max="10237" width="9.140625" style="1" customWidth="1"/>
    <col min="10238" max="10238" width="10.5703125" style="1" bestFit="1" customWidth="1"/>
    <col min="10239" max="10241" width="9.140625" style="1" customWidth="1"/>
    <col min="10242" max="10242" width="10.5703125" style="1" customWidth="1"/>
    <col min="10243" max="10246" width="9.140625" style="1" customWidth="1"/>
    <col min="10247" max="10247" width="9.28515625" style="1" bestFit="1" customWidth="1"/>
    <col min="10248" max="10258" width="9.140625" style="1"/>
    <col min="10259" max="10259" width="10.85546875" style="1" customWidth="1"/>
    <col min="10260" max="10440" width="9.140625" style="1"/>
    <col min="10441" max="10441" width="11.85546875" style="1" bestFit="1" customWidth="1"/>
    <col min="10442" max="10442" width="28.140625" style="1" bestFit="1" customWidth="1"/>
    <col min="10443" max="10443" width="15.7109375" style="1" customWidth="1"/>
    <col min="10444" max="10444" width="9.85546875" style="1" customWidth="1"/>
    <col min="10445" max="10445" width="13.140625" style="1" customWidth="1"/>
    <col min="10446" max="10446" width="9.140625" style="1" customWidth="1"/>
    <col min="10447" max="10447" width="12.28515625" style="1" customWidth="1"/>
    <col min="10448" max="10448" width="10.5703125" style="1" customWidth="1"/>
    <col min="10449" max="10450" width="12.7109375" style="1" customWidth="1"/>
    <col min="10451" max="10463" width="10.5703125" style="1" customWidth="1"/>
    <col min="10464" max="10464" width="11.140625" style="1" customWidth="1"/>
    <col min="10465" max="10476" width="10.5703125" style="1" customWidth="1"/>
    <col min="10477" max="10478" width="9.85546875" style="1" customWidth="1"/>
    <col min="10479" max="10479" width="9.85546875" style="1" bestFit="1" customWidth="1"/>
    <col min="10480" max="10480" width="9.85546875" style="1" customWidth="1"/>
    <col min="10481" max="10481" width="11.140625" style="1" customWidth="1"/>
    <col min="10482" max="10483" width="11.7109375" style="1" customWidth="1"/>
    <col min="10484" max="10485" width="9.140625" style="1" customWidth="1"/>
    <col min="10486" max="10486" width="10.28515625" style="1" customWidth="1"/>
    <col min="10487" max="10493" width="9.140625" style="1" customWidth="1"/>
    <col min="10494" max="10494" width="10.5703125" style="1" bestFit="1" customWidth="1"/>
    <col min="10495" max="10497" width="9.140625" style="1" customWidth="1"/>
    <col min="10498" max="10498" width="10.5703125" style="1" customWidth="1"/>
    <col min="10499" max="10502" width="9.140625" style="1" customWidth="1"/>
    <col min="10503" max="10503" width="9.28515625" style="1" bestFit="1" customWidth="1"/>
    <col min="10504" max="10514" width="9.140625" style="1"/>
    <col min="10515" max="10515" width="10.85546875" style="1" customWidth="1"/>
    <col min="10516" max="10696" width="9.140625" style="1"/>
    <col min="10697" max="10697" width="11.85546875" style="1" bestFit="1" customWidth="1"/>
    <col min="10698" max="10698" width="28.140625" style="1" bestFit="1" customWidth="1"/>
    <col min="10699" max="10699" width="15.7109375" style="1" customWidth="1"/>
    <col min="10700" max="10700" width="9.85546875" style="1" customWidth="1"/>
    <col min="10701" max="10701" width="13.140625" style="1" customWidth="1"/>
    <col min="10702" max="10702" width="9.140625" style="1" customWidth="1"/>
    <col min="10703" max="10703" width="12.28515625" style="1" customWidth="1"/>
    <col min="10704" max="10704" width="10.5703125" style="1" customWidth="1"/>
    <col min="10705" max="10706" width="12.7109375" style="1" customWidth="1"/>
    <col min="10707" max="10719" width="10.5703125" style="1" customWidth="1"/>
    <col min="10720" max="10720" width="11.140625" style="1" customWidth="1"/>
    <col min="10721" max="10732" width="10.5703125" style="1" customWidth="1"/>
    <col min="10733" max="10734" width="9.85546875" style="1" customWidth="1"/>
    <col min="10735" max="10735" width="9.85546875" style="1" bestFit="1" customWidth="1"/>
    <col min="10736" max="10736" width="9.85546875" style="1" customWidth="1"/>
    <col min="10737" max="10737" width="11.140625" style="1" customWidth="1"/>
    <col min="10738" max="10739" width="11.7109375" style="1" customWidth="1"/>
    <col min="10740" max="10741" width="9.140625" style="1" customWidth="1"/>
    <col min="10742" max="10742" width="10.28515625" style="1" customWidth="1"/>
    <col min="10743" max="10749" width="9.140625" style="1" customWidth="1"/>
    <col min="10750" max="10750" width="10.5703125" style="1" bestFit="1" customWidth="1"/>
    <col min="10751" max="10753" width="9.140625" style="1" customWidth="1"/>
    <col min="10754" max="10754" width="10.5703125" style="1" customWidth="1"/>
    <col min="10755" max="10758" width="9.140625" style="1" customWidth="1"/>
    <col min="10759" max="10759" width="9.28515625" style="1" bestFit="1" customWidth="1"/>
    <col min="10760" max="10770" width="9.140625" style="1"/>
    <col min="10771" max="10771" width="10.85546875" style="1" customWidth="1"/>
    <col min="10772" max="10952" width="9.140625" style="1"/>
    <col min="10953" max="10953" width="11.85546875" style="1" bestFit="1" customWidth="1"/>
    <col min="10954" max="10954" width="28.140625" style="1" bestFit="1" customWidth="1"/>
    <col min="10955" max="10955" width="15.7109375" style="1" customWidth="1"/>
    <col min="10956" max="10956" width="9.85546875" style="1" customWidth="1"/>
    <col min="10957" max="10957" width="13.140625" style="1" customWidth="1"/>
    <col min="10958" max="10958" width="9.140625" style="1" customWidth="1"/>
    <col min="10959" max="10959" width="12.28515625" style="1" customWidth="1"/>
    <col min="10960" max="10960" width="10.5703125" style="1" customWidth="1"/>
    <col min="10961" max="10962" width="12.7109375" style="1" customWidth="1"/>
    <col min="10963" max="10975" width="10.5703125" style="1" customWidth="1"/>
    <col min="10976" max="10976" width="11.140625" style="1" customWidth="1"/>
    <col min="10977" max="10988" width="10.5703125" style="1" customWidth="1"/>
    <col min="10989" max="10990" width="9.85546875" style="1" customWidth="1"/>
    <col min="10991" max="10991" width="9.85546875" style="1" bestFit="1" customWidth="1"/>
    <col min="10992" max="10992" width="9.85546875" style="1" customWidth="1"/>
    <col min="10993" max="10993" width="11.140625" style="1" customWidth="1"/>
    <col min="10994" max="10995" width="11.7109375" style="1" customWidth="1"/>
    <col min="10996" max="10997" width="9.140625" style="1" customWidth="1"/>
    <col min="10998" max="10998" width="10.28515625" style="1" customWidth="1"/>
    <col min="10999" max="11005" width="9.140625" style="1" customWidth="1"/>
    <col min="11006" max="11006" width="10.5703125" style="1" bestFit="1" customWidth="1"/>
    <col min="11007" max="11009" width="9.140625" style="1" customWidth="1"/>
    <col min="11010" max="11010" width="10.5703125" style="1" customWidth="1"/>
    <col min="11011" max="11014" width="9.140625" style="1" customWidth="1"/>
    <col min="11015" max="11015" width="9.28515625" style="1" bestFit="1" customWidth="1"/>
    <col min="11016" max="11026" width="9.140625" style="1"/>
    <col min="11027" max="11027" width="10.85546875" style="1" customWidth="1"/>
    <col min="11028" max="11208" width="9.140625" style="1"/>
    <col min="11209" max="11209" width="11.85546875" style="1" bestFit="1" customWidth="1"/>
    <col min="11210" max="11210" width="28.140625" style="1" bestFit="1" customWidth="1"/>
    <col min="11211" max="11211" width="15.7109375" style="1" customWidth="1"/>
    <col min="11212" max="11212" width="9.85546875" style="1" customWidth="1"/>
    <col min="11213" max="11213" width="13.140625" style="1" customWidth="1"/>
    <col min="11214" max="11214" width="9.140625" style="1" customWidth="1"/>
    <col min="11215" max="11215" width="12.28515625" style="1" customWidth="1"/>
    <col min="11216" max="11216" width="10.5703125" style="1" customWidth="1"/>
    <col min="11217" max="11218" width="12.7109375" style="1" customWidth="1"/>
    <col min="11219" max="11231" width="10.5703125" style="1" customWidth="1"/>
    <col min="11232" max="11232" width="11.140625" style="1" customWidth="1"/>
    <col min="11233" max="11244" width="10.5703125" style="1" customWidth="1"/>
    <col min="11245" max="11246" width="9.85546875" style="1" customWidth="1"/>
    <col min="11247" max="11247" width="9.85546875" style="1" bestFit="1" customWidth="1"/>
    <col min="11248" max="11248" width="9.85546875" style="1" customWidth="1"/>
    <col min="11249" max="11249" width="11.140625" style="1" customWidth="1"/>
    <col min="11250" max="11251" width="11.7109375" style="1" customWidth="1"/>
    <col min="11252" max="11253" width="9.140625" style="1" customWidth="1"/>
    <col min="11254" max="11254" width="10.28515625" style="1" customWidth="1"/>
    <col min="11255" max="11261" width="9.140625" style="1" customWidth="1"/>
    <col min="11262" max="11262" width="10.5703125" style="1" bestFit="1" customWidth="1"/>
    <col min="11263" max="11265" width="9.140625" style="1" customWidth="1"/>
    <col min="11266" max="11266" width="10.5703125" style="1" customWidth="1"/>
    <col min="11267" max="11270" width="9.140625" style="1" customWidth="1"/>
    <col min="11271" max="11271" width="9.28515625" style="1" bestFit="1" customWidth="1"/>
    <col min="11272" max="11282" width="9.140625" style="1"/>
    <col min="11283" max="11283" width="10.85546875" style="1" customWidth="1"/>
    <col min="11284" max="11464" width="9.140625" style="1"/>
    <col min="11465" max="11465" width="11.85546875" style="1" bestFit="1" customWidth="1"/>
    <col min="11466" max="11466" width="28.140625" style="1" bestFit="1" customWidth="1"/>
    <col min="11467" max="11467" width="15.7109375" style="1" customWidth="1"/>
    <col min="11468" max="11468" width="9.85546875" style="1" customWidth="1"/>
    <col min="11469" max="11469" width="13.140625" style="1" customWidth="1"/>
    <col min="11470" max="11470" width="9.140625" style="1" customWidth="1"/>
    <col min="11471" max="11471" width="12.28515625" style="1" customWidth="1"/>
    <col min="11472" max="11472" width="10.5703125" style="1" customWidth="1"/>
    <col min="11473" max="11474" width="12.7109375" style="1" customWidth="1"/>
    <col min="11475" max="11487" width="10.5703125" style="1" customWidth="1"/>
    <col min="11488" max="11488" width="11.140625" style="1" customWidth="1"/>
    <col min="11489" max="11500" width="10.5703125" style="1" customWidth="1"/>
    <col min="11501" max="11502" width="9.85546875" style="1" customWidth="1"/>
    <col min="11503" max="11503" width="9.85546875" style="1" bestFit="1" customWidth="1"/>
    <col min="11504" max="11504" width="9.85546875" style="1" customWidth="1"/>
    <col min="11505" max="11505" width="11.140625" style="1" customWidth="1"/>
    <col min="11506" max="11507" width="11.7109375" style="1" customWidth="1"/>
    <col min="11508" max="11509" width="9.140625" style="1" customWidth="1"/>
    <col min="11510" max="11510" width="10.28515625" style="1" customWidth="1"/>
    <col min="11511" max="11517" width="9.140625" style="1" customWidth="1"/>
    <col min="11518" max="11518" width="10.5703125" style="1" bestFit="1" customWidth="1"/>
    <col min="11519" max="11521" width="9.140625" style="1" customWidth="1"/>
    <col min="11522" max="11522" width="10.5703125" style="1" customWidth="1"/>
    <col min="11523" max="11526" width="9.140625" style="1" customWidth="1"/>
    <col min="11527" max="11527" width="9.28515625" style="1" bestFit="1" customWidth="1"/>
    <col min="11528" max="11538" width="9.140625" style="1"/>
    <col min="11539" max="11539" width="10.85546875" style="1" customWidth="1"/>
    <col min="11540" max="11720" width="9.140625" style="1"/>
    <col min="11721" max="11721" width="11.85546875" style="1" bestFit="1" customWidth="1"/>
    <col min="11722" max="11722" width="28.140625" style="1" bestFit="1" customWidth="1"/>
    <col min="11723" max="11723" width="15.7109375" style="1" customWidth="1"/>
    <col min="11724" max="11724" width="9.85546875" style="1" customWidth="1"/>
    <col min="11725" max="11725" width="13.140625" style="1" customWidth="1"/>
    <col min="11726" max="11726" width="9.140625" style="1" customWidth="1"/>
    <col min="11727" max="11727" width="12.28515625" style="1" customWidth="1"/>
    <col min="11728" max="11728" width="10.5703125" style="1" customWidth="1"/>
    <col min="11729" max="11730" width="12.7109375" style="1" customWidth="1"/>
    <col min="11731" max="11743" width="10.5703125" style="1" customWidth="1"/>
    <col min="11744" max="11744" width="11.140625" style="1" customWidth="1"/>
    <col min="11745" max="11756" width="10.5703125" style="1" customWidth="1"/>
    <col min="11757" max="11758" width="9.85546875" style="1" customWidth="1"/>
    <col min="11759" max="11759" width="9.85546875" style="1" bestFit="1" customWidth="1"/>
    <col min="11760" max="11760" width="9.85546875" style="1" customWidth="1"/>
    <col min="11761" max="11761" width="11.140625" style="1" customWidth="1"/>
    <col min="11762" max="11763" width="11.7109375" style="1" customWidth="1"/>
    <col min="11764" max="11765" width="9.140625" style="1" customWidth="1"/>
    <col min="11766" max="11766" width="10.28515625" style="1" customWidth="1"/>
    <col min="11767" max="11773" width="9.140625" style="1" customWidth="1"/>
    <col min="11774" max="11774" width="10.5703125" style="1" bestFit="1" customWidth="1"/>
    <col min="11775" max="11777" width="9.140625" style="1" customWidth="1"/>
    <col min="11778" max="11778" width="10.5703125" style="1" customWidth="1"/>
    <col min="11779" max="11782" width="9.140625" style="1" customWidth="1"/>
    <col min="11783" max="11783" width="9.28515625" style="1" bestFit="1" customWidth="1"/>
    <col min="11784" max="11794" width="9.140625" style="1"/>
    <col min="11795" max="11795" width="10.85546875" style="1" customWidth="1"/>
    <col min="11796" max="11976" width="9.140625" style="1"/>
    <col min="11977" max="11977" width="11.85546875" style="1" bestFit="1" customWidth="1"/>
    <col min="11978" max="11978" width="28.140625" style="1" bestFit="1" customWidth="1"/>
    <col min="11979" max="11979" width="15.7109375" style="1" customWidth="1"/>
    <col min="11980" max="11980" width="9.85546875" style="1" customWidth="1"/>
    <col min="11981" max="11981" width="13.140625" style="1" customWidth="1"/>
    <col min="11982" max="11982" width="9.140625" style="1" customWidth="1"/>
    <col min="11983" max="11983" width="12.28515625" style="1" customWidth="1"/>
    <col min="11984" max="11984" width="10.5703125" style="1" customWidth="1"/>
    <col min="11985" max="11986" width="12.7109375" style="1" customWidth="1"/>
    <col min="11987" max="11999" width="10.5703125" style="1" customWidth="1"/>
    <col min="12000" max="12000" width="11.140625" style="1" customWidth="1"/>
    <col min="12001" max="12012" width="10.5703125" style="1" customWidth="1"/>
    <col min="12013" max="12014" width="9.85546875" style="1" customWidth="1"/>
    <col min="12015" max="12015" width="9.85546875" style="1" bestFit="1" customWidth="1"/>
    <col min="12016" max="12016" width="9.85546875" style="1" customWidth="1"/>
    <col min="12017" max="12017" width="11.140625" style="1" customWidth="1"/>
    <col min="12018" max="12019" width="11.7109375" style="1" customWidth="1"/>
    <col min="12020" max="12021" width="9.140625" style="1" customWidth="1"/>
    <col min="12022" max="12022" width="10.28515625" style="1" customWidth="1"/>
    <col min="12023" max="12029" width="9.140625" style="1" customWidth="1"/>
    <col min="12030" max="12030" width="10.5703125" style="1" bestFit="1" customWidth="1"/>
    <col min="12031" max="12033" width="9.140625" style="1" customWidth="1"/>
    <col min="12034" max="12034" width="10.5703125" style="1" customWidth="1"/>
    <col min="12035" max="12038" width="9.140625" style="1" customWidth="1"/>
    <col min="12039" max="12039" width="9.28515625" style="1" bestFit="1" customWidth="1"/>
    <col min="12040" max="12050" width="9.140625" style="1"/>
    <col min="12051" max="12051" width="10.85546875" style="1" customWidth="1"/>
    <col min="12052" max="12232" width="9.140625" style="1"/>
    <col min="12233" max="12233" width="11.85546875" style="1" bestFit="1" customWidth="1"/>
    <col min="12234" max="12234" width="28.140625" style="1" bestFit="1" customWidth="1"/>
    <col min="12235" max="12235" width="15.7109375" style="1" customWidth="1"/>
    <col min="12236" max="12236" width="9.85546875" style="1" customWidth="1"/>
    <col min="12237" max="12237" width="13.140625" style="1" customWidth="1"/>
    <col min="12238" max="12238" width="9.140625" style="1" customWidth="1"/>
    <col min="12239" max="12239" width="12.28515625" style="1" customWidth="1"/>
    <col min="12240" max="12240" width="10.5703125" style="1" customWidth="1"/>
    <col min="12241" max="12242" width="12.7109375" style="1" customWidth="1"/>
    <col min="12243" max="12255" width="10.5703125" style="1" customWidth="1"/>
    <col min="12256" max="12256" width="11.140625" style="1" customWidth="1"/>
    <col min="12257" max="12268" width="10.5703125" style="1" customWidth="1"/>
    <col min="12269" max="12270" width="9.85546875" style="1" customWidth="1"/>
    <col min="12271" max="12271" width="9.85546875" style="1" bestFit="1" customWidth="1"/>
    <col min="12272" max="12272" width="9.85546875" style="1" customWidth="1"/>
    <col min="12273" max="12273" width="11.140625" style="1" customWidth="1"/>
    <col min="12274" max="12275" width="11.7109375" style="1" customWidth="1"/>
    <col min="12276" max="12277" width="9.140625" style="1" customWidth="1"/>
    <col min="12278" max="12278" width="10.28515625" style="1" customWidth="1"/>
    <col min="12279" max="12285" width="9.140625" style="1" customWidth="1"/>
    <col min="12286" max="12286" width="10.5703125" style="1" bestFit="1" customWidth="1"/>
    <col min="12287" max="12289" width="9.140625" style="1" customWidth="1"/>
    <col min="12290" max="12290" width="10.5703125" style="1" customWidth="1"/>
    <col min="12291" max="12294" width="9.140625" style="1" customWidth="1"/>
    <col min="12295" max="12295" width="9.28515625" style="1" bestFit="1" customWidth="1"/>
    <col min="12296" max="12306" width="9.140625" style="1"/>
    <col min="12307" max="12307" width="10.85546875" style="1" customWidth="1"/>
    <col min="12308" max="12488" width="9.140625" style="1"/>
    <col min="12489" max="12489" width="11.85546875" style="1" bestFit="1" customWidth="1"/>
    <col min="12490" max="12490" width="28.140625" style="1" bestFit="1" customWidth="1"/>
    <col min="12491" max="12491" width="15.7109375" style="1" customWidth="1"/>
    <col min="12492" max="12492" width="9.85546875" style="1" customWidth="1"/>
    <col min="12493" max="12493" width="13.140625" style="1" customWidth="1"/>
    <col min="12494" max="12494" width="9.140625" style="1" customWidth="1"/>
    <col min="12495" max="12495" width="12.28515625" style="1" customWidth="1"/>
    <col min="12496" max="12496" width="10.5703125" style="1" customWidth="1"/>
    <col min="12497" max="12498" width="12.7109375" style="1" customWidth="1"/>
    <col min="12499" max="12511" width="10.5703125" style="1" customWidth="1"/>
    <col min="12512" max="12512" width="11.140625" style="1" customWidth="1"/>
    <col min="12513" max="12524" width="10.5703125" style="1" customWidth="1"/>
    <col min="12525" max="12526" width="9.85546875" style="1" customWidth="1"/>
    <col min="12527" max="12527" width="9.85546875" style="1" bestFit="1" customWidth="1"/>
    <col min="12528" max="12528" width="9.85546875" style="1" customWidth="1"/>
    <col min="12529" max="12529" width="11.140625" style="1" customWidth="1"/>
    <col min="12530" max="12531" width="11.7109375" style="1" customWidth="1"/>
    <col min="12532" max="12533" width="9.140625" style="1" customWidth="1"/>
    <col min="12534" max="12534" width="10.28515625" style="1" customWidth="1"/>
    <col min="12535" max="12541" width="9.140625" style="1" customWidth="1"/>
    <col min="12542" max="12542" width="10.5703125" style="1" bestFit="1" customWidth="1"/>
    <col min="12543" max="12545" width="9.140625" style="1" customWidth="1"/>
    <col min="12546" max="12546" width="10.5703125" style="1" customWidth="1"/>
    <col min="12547" max="12550" width="9.140625" style="1" customWidth="1"/>
    <col min="12551" max="12551" width="9.28515625" style="1" bestFit="1" customWidth="1"/>
    <col min="12552" max="12562" width="9.140625" style="1"/>
    <col min="12563" max="12563" width="10.85546875" style="1" customWidth="1"/>
    <col min="12564" max="12744" width="9.140625" style="1"/>
    <col min="12745" max="12745" width="11.85546875" style="1" bestFit="1" customWidth="1"/>
    <col min="12746" max="12746" width="28.140625" style="1" bestFit="1" customWidth="1"/>
    <col min="12747" max="12747" width="15.7109375" style="1" customWidth="1"/>
    <col min="12748" max="12748" width="9.85546875" style="1" customWidth="1"/>
    <col min="12749" max="12749" width="13.140625" style="1" customWidth="1"/>
    <col min="12750" max="12750" width="9.140625" style="1" customWidth="1"/>
    <col min="12751" max="12751" width="12.28515625" style="1" customWidth="1"/>
    <col min="12752" max="12752" width="10.5703125" style="1" customWidth="1"/>
    <col min="12753" max="12754" width="12.7109375" style="1" customWidth="1"/>
    <col min="12755" max="12767" width="10.5703125" style="1" customWidth="1"/>
    <col min="12768" max="12768" width="11.140625" style="1" customWidth="1"/>
    <col min="12769" max="12780" width="10.5703125" style="1" customWidth="1"/>
    <col min="12781" max="12782" width="9.85546875" style="1" customWidth="1"/>
    <col min="12783" max="12783" width="9.85546875" style="1" bestFit="1" customWidth="1"/>
    <col min="12784" max="12784" width="9.85546875" style="1" customWidth="1"/>
    <col min="12785" max="12785" width="11.140625" style="1" customWidth="1"/>
    <col min="12786" max="12787" width="11.7109375" style="1" customWidth="1"/>
    <col min="12788" max="12789" width="9.140625" style="1" customWidth="1"/>
    <col min="12790" max="12790" width="10.28515625" style="1" customWidth="1"/>
    <col min="12791" max="12797" width="9.140625" style="1" customWidth="1"/>
    <col min="12798" max="12798" width="10.5703125" style="1" bestFit="1" customWidth="1"/>
    <col min="12799" max="12801" width="9.140625" style="1" customWidth="1"/>
    <col min="12802" max="12802" width="10.5703125" style="1" customWidth="1"/>
    <col min="12803" max="12806" width="9.140625" style="1" customWidth="1"/>
    <col min="12807" max="12807" width="9.28515625" style="1" bestFit="1" customWidth="1"/>
    <col min="12808" max="12818" width="9.140625" style="1"/>
    <col min="12819" max="12819" width="10.85546875" style="1" customWidth="1"/>
    <col min="12820" max="13000" width="9.140625" style="1"/>
    <col min="13001" max="13001" width="11.85546875" style="1" bestFit="1" customWidth="1"/>
    <col min="13002" max="13002" width="28.140625" style="1" bestFit="1" customWidth="1"/>
    <col min="13003" max="13003" width="15.7109375" style="1" customWidth="1"/>
    <col min="13004" max="13004" width="9.85546875" style="1" customWidth="1"/>
    <col min="13005" max="13005" width="13.140625" style="1" customWidth="1"/>
    <col min="13006" max="13006" width="9.140625" style="1" customWidth="1"/>
    <col min="13007" max="13007" width="12.28515625" style="1" customWidth="1"/>
    <col min="13008" max="13008" width="10.5703125" style="1" customWidth="1"/>
    <col min="13009" max="13010" width="12.7109375" style="1" customWidth="1"/>
    <col min="13011" max="13023" width="10.5703125" style="1" customWidth="1"/>
    <col min="13024" max="13024" width="11.140625" style="1" customWidth="1"/>
    <col min="13025" max="13036" width="10.5703125" style="1" customWidth="1"/>
    <col min="13037" max="13038" width="9.85546875" style="1" customWidth="1"/>
    <col min="13039" max="13039" width="9.85546875" style="1" bestFit="1" customWidth="1"/>
    <col min="13040" max="13040" width="9.85546875" style="1" customWidth="1"/>
    <col min="13041" max="13041" width="11.140625" style="1" customWidth="1"/>
    <col min="13042" max="13043" width="11.7109375" style="1" customWidth="1"/>
    <col min="13044" max="13045" width="9.140625" style="1" customWidth="1"/>
    <col min="13046" max="13046" width="10.28515625" style="1" customWidth="1"/>
    <col min="13047" max="13053" width="9.140625" style="1" customWidth="1"/>
    <col min="13054" max="13054" width="10.5703125" style="1" bestFit="1" customWidth="1"/>
    <col min="13055" max="13057" width="9.140625" style="1" customWidth="1"/>
    <col min="13058" max="13058" width="10.5703125" style="1" customWidth="1"/>
    <col min="13059" max="13062" width="9.140625" style="1" customWidth="1"/>
    <col min="13063" max="13063" width="9.28515625" style="1" bestFit="1" customWidth="1"/>
    <col min="13064" max="13074" width="9.140625" style="1"/>
    <col min="13075" max="13075" width="10.85546875" style="1" customWidth="1"/>
    <col min="13076" max="13256" width="9.140625" style="1"/>
    <col min="13257" max="13257" width="11.85546875" style="1" bestFit="1" customWidth="1"/>
    <col min="13258" max="13258" width="28.140625" style="1" bestFit="1" customWidth="1"/>
    <col min="13259" max="13259" width="15.7109375" style="1" customWidth="1"/>
    <col min="13260" max="13260" width="9.85546875" style="1" customWidth="1"/>
    <col min="13261" max="13261" width="13.140625" style="1" customWidth="1"/>
    <col min="13262" max="13262" width="9.140625" style="1" customWidth="1"/>
    <col min="13263" max="13263" width="12.28515625" style="1" customWidth="1"/>
    <col min="13264" max="13264" width="10.5703125" style="1" customWidth="1"/>
    <col min="13265" max="13266" width="12.7109375" style="1" customWidth="1"/>
    <col min="13267" max="13279" width="10.5703125" style="1" customWidth="1"/>
    <col min="13280" max="13280" width="11.140625" style="1" customWidth="1"/>
    <col min="13281" max="13292" width="10.5703125" style="1" customWidth="1"/>
    <col min="13293" max="13294" width="9.85546875" style="1" customWidth="1"/>
    <col min="13295" max="13295" width="9.85546875" style="1" bestFit="1" customWidth="1"/>
    <col min="13296" max="13296" width="9.85546875" style="1" customWidth="1"/>
    <col min="13297" max="13297" width="11.140625" style="1" customWidth="1"/>
    <col min="13298" max="13299" width="11.7109375" style="1" customWidth="1"/>
    <col min="13300" max="13301" width="9.140625" style="1" customWidth="1"/>
    <col min="13302" max="13302" width="10.28515625" style="1" customWidth="1"/>
    <col min="13303" max="13309" width="9.140625" style="1" customWidth="1"/>
    <col min="13310" max="13310" width="10.5703125" style="1" bestFit="1" customWidth="1"/>
    <col min="13311" max="13313" width="9.140625" style="1" customWidth="1"/>
    <col min="13314" max="13314" width="10.5703125" style="1" customWidth="1"/>
    <col min="13315" max="13318" width="9.140625" style="1" customWidth="1"/>
    <col min="13319" max="13319" width="9.28515625" style="1" bestFit="1" customWidth="1"/>
    <col min="13320" max="13330" width="9.140625" style="1"/>
    <col min="13331" max="13331" width="10.85546875" style="1" customWidth="1"/>
    <col min="13332" max="13512" width="9.140625" style="1"/>
    <col min="13513" max="13513" width="11.85546875" style="1" bestFit="1" customWidth="1"/>
    <col min="13514" max="13514" width="28.140625" style="1" bestFit="1" customWidth="1"/>
    <col min="13515" max="13515" width="15.7109375" style="1" customWidth="1"/>
    <col min="13516" max="13516" width="9.85546875" style="1" customWidth="1"/>
    <col min="13517" max="13517" width="13.140625" style="1" customWidth="1"/>
    <col min="13518" max="13518" width="9.140625" style="1" customWidth="1"/>
    <col min="13519" max="13519" width="12.28515625" style="1" customWidth="1"/>
    <col min="13520" max="13520" width="10.5703125" style="1" customWidth="1"/>
    <col min="13521" max="13522" width="12.7109375" style="1" customWidth="1"/>
    <col min="13523" max="13535" width="10.5703125" style="1" customWidth="1"/>
    <col min="13536" max="13536" width="11.140625" style="1" customWidth="1"/>
    <col min="13537" max="13548" width="10.5703125" style="1" customWidth="1"/>
    <col min="13549" max="13550" width="9.85546875" style="1" customWidth="1"/>
    <col min="13551" max="13551" width="9.85546875" style="1" bestFit="1" customWidth="1"/>
    <col min="13552" max="13552" width="9.85546875" style="1" customWidth="1"/>
    <col min="13553" max="13553" width="11.140625" style="1" customWidth="1"/>
    <col min="13554" max="13555" width="11.7109375" style="1" customWidth="1"/>
    <col min="13556" max="13557" width="9.140625" style="1" customWidth="1"/>
    <col min="13558" max="13558" width="10.28515625" style="1" customWidth="1"/>
    <col min="13559" max="13565" width="9.140625" style="1" customWidth="1"/>
    <col min="13566" max="13566" width="10.5703125" style="1" bestFit="1" customWidth="1"/>
    <col min="13567" max="13569" width="9.140625" style="1" customWidth="1"/>
    <col min="13570" max="13570" width="10.5703125" style="1" customWidth="1"/>
    <col min="13571" max="13574" width="9.140625" style="1" customWidth="1"/>
    <col min="13575" max="13575" width="9.28515625" style="1" bestFit="1" customWidth="1"/>
    <col min="13576" max="13586" width="9.140625" style="1"/>
    <col min="13587" max="13587" width="10.85546875" style="1" customWidth="1"/>
    <col min="13588" max="13768" width="9.140625" style="1"/>
    <col min="13769" max="13769" width="11.85546875" style="1" bestFit="1" customWidth="1"/>
    <col min="13770" max="13770" width="28.140625" style="1" bestFit="1" customWidth="1"/>
    <col min="13771" max="13771" width="15.7109375" style="1" customWidth="1"/>
    <col min="13772" max="13772" width="9.85546875" style="1" customWidth="1"/>
    <col min="13773" max="13773" width="13.140625" style="1" customWidth="1"/>
    <col min="13774" max="13774" width="9.140625" style="1" customWidth="1"/>
    <col min="13775" max="13775" width="12.28515625" style="1" customWidth="1"/>
    <col min="13776" max="13776" width="10.5703125" style="1" customWidth="1"/>
    <col min="13777" max="13778" width="12.7109375" style="1" customWidth="1"/>
    <col min="13779" max="13791" width="10.5703125" style="1" customWidth="1"/>
    <col min="13792" max="13792" width="11.140625" style="1" customWidth="1"/>
    <col min="13793" max="13804" width="10.5703125" style="1" customWidth="1"/>
    <col min="13805" max="13806" width="9.85546875" style="1" customWidth="1"/>
    <col min="13807" max="13807" width="9.85546875" style="1" bestFit="1" customWidth="1"/>
    <col min="13808" max="13808" width="9.85546875" style="1" customWidth="1"/>
    <col min="13809" max="13809" width="11.140625" style="1" customWidth="1"/>
    <col min="13810" max="13811" width="11.7109375" style="1" customWidth="1"/>
    <col min="13812" max="13813" width="9.140625" style="1" customWidth="1"/>
    <col min="13814" max="13814" width="10.28515625" style="1" customWidth="1"/>
    <col min="13815" max="13821" width="9.140625" style="1" customWidth="1"/>
    <col min="13822" max="13822" width="10.5703125" style="1" bestFit="1" customWidth="1"/>
    <col min="13823" max="13825" width="9.140625" style="1" customWidth="1"/>
    <col min="13826" max="13826" width="10.5703125" style="1" customWidth="1"/>
    <col min="13827" max="13830" width="9.140625" style="1" customWidth="1"/>
    <col min="13831" max="13831" width="9.28515625" style="1" bestFit="1" customWidth="1"/>
    <col min="13832" max="13842" width="9.140625" style="1"/>
    <col min="13843" max="13843" width="10.85546875" style="1" customWidth="1"/>
    <col min="13844" max="14024" width="9.140625" style="1"/>
    <col min="14025" max="14025" width="11.85546875" style="1" bestFit="1" customWidth="1"/>
    <col min="14026" max="14026" width="28.140625" style="1" bestFit="1" customWidth="1"/>
    <col min="14027" max="14027" width="15.7109375" style="1" customWidth="1"/>
    <col min="14028" max="14028" width="9.85546875" style="1" customWidth="1"/>
    <col min="14029" max="14029" width="13.140625" style="1" customWidth="1"/>
    <col min="14030" max="14030" width="9.140625" style="1" customWidth="1"/>
    <col min="14031" max="14031" width="12.28515625" style="1" customWidth="1"/>
    <col min="14032" max="14032" width="10.5703125" style="1" customWidth="1"/>
    <col min="14033" max="14034" width="12.7109375" style="1" customWidth="1"/>
    <col min="14035" max="14047" width="10.5703125" style="1" customWidth="1"/>
    <col min="14048" max="14048" width="11.140625" style="1" customWidth="1"/>
    <col min="14049" max="14060" width="10.5703125" style="1" customWidth="1"/>
    <col min="14061" max="14062" width="9.85546875" style="1" customWidth="1"/>
    <col min="14063" max="14063" width="9.85546875" style="1" bestFit="1" customWidth="1"/>
    <col min="14064" max="14064" width="9.85546875" style="1" customWidth="1"/>
    <col min="14065" max="14065" width="11.140625" style="1" customWidth="1"/>
    <col min="14066" max="14067" width="11.7109375" style="1" customWidth="1"/>
    <col min="14068" max="14069" width="9.140625" style="1" customWidth="1"/>
    <col min="14070" max="14070" width="10.28515625" style="1" customWidth="1"/>
    <col min="14071" max="14077" width="9.140625" style="1" customWidth="1"/>
    <col min="14078" max="14078" width="10.5703125" style="1" bestFit="1" customWidth="1"/>
    <col min="14079" max="14081" width="9.140625" style="1" customWidth="1"/>
    <col min="14082" max="14082" width="10.5703125" style="1" customWidth="1"/>
    <col min="14083" max="14086" width="9.140625" style="1" customWidth="1"/>
    <col min="14087" max="14087" width="9.28515625" style="1" bestFit="1" customWidth="1"/>
    <col min="14088" max="14098" width="9.140625" style="1"/>
    <col min="14099" max="14099" width="10.85546875" style="1" customWidth="1"/>
    <col min="14100" max="14280" width="9.140625" style="1"/>
    <col min="14281" max="14281" width="11.85546875" style="1" bestFit="1" customWidth="1"/>
    <col min="14282" max="14282" width="28.140625" style="1" bestFit="1" customWidth="1"/>
    <col min="14283" max="14283" width="15.7109375" style="1" customWidth="1"/>
    <col min="14284" max="14284" width="9.85546875" style="1" customWidth="1"/>
    <col min="14285" max="14285" width="13.140625" style="1" customWidth="1"/>
    <col min="14286" max="14286" width="9.140625" style="1" customWidth="1"/>
    <col min="14287" max="14287" width="12.28515625" style="1" customWidth="1"/>
    <col min="14288" max="14288" width="10.5703125" style="1" customWidth="1"/>
    <col min="14289" max="14290" width="12.7109375" style="1" customWidth="1"/>
    <col min="14291" max="14303" width="10.5703125" style="1" customWidth="1"/>
    <col min="14304" max="14304" width="11.140625" style="1" customWidth="1"/>
    <col min="14305" max="14316" width="10.5703125" style="1" customWidth="1"/>
    <col min="14317" max="14318" width="9.85546875" style="1" customWidth="1"/>
    <col min="14319" max="14319" width="9.85546875" style="1" bestFit="1" customWidth="1"/>
    <col min="14320" max="14320" width="9.85546875" style="1" customWidth="1"/>
    <col min="14321" max="14321" width="11.140625" style="1" customWidth="1"/>
    <col min="14322" max="14323" width="11.7109375" style="1" customWidth="1"/>
    <col min="14324" max="14325" width="9.140625" style="1" customWidth="1"/>
    <col min="14326" max="14326" width="10.28515625" style="1" customWidth="1"/>
    <col min="14327" max="14333" width="9.140625" style="1" customWidth="1"/>
    <col min="14334" max="14334" width="10.5703125" style="1" bestFit="1" customWidth="1"/>
    <col min="14335" max="14337" width="9.140625" style="1" customWidth="1"/>
    <col min="14338" max="14338" width="10.5703125" style="1" customWidth="1"/>
    <col min="14339" max="14342" width="9.140625" style="1" customWidth="1"/>
    <col min="14343" max="14343" width="9.28515625" style="1" bestFit="1" customWidth="1"/>
    <col min="14344" max="14354" width="9.140625" style="1"/>
    <col min="14355" max="14355" width="10.85546875" style="1" customWidth="1"/>
    <col min="14356" max="14536" width="9.140625" style="1"/>
    <col min="14537" max="14537" width="11.85546875" style="1" bestFit="1" customWidth="1"/>
    <col min="14538" max="14538" width="28.140625" style="1" bestFit="1" customWidth="1"/>
    <col min="14539" max="14539" width="15.7109375" style="1" customWidth="1"/>
    <col min="14540" max="14540" width="9.85546875" style="1" customWidth="1"/>
    <col min="14541" max="14541" width="13.140625" style="1" customWidth="1"/>
    <col min="14542" max="14542" width="9.140625" style="1" customWidth="1"/>
    <col min="14543" max="14543" width="12.28515625" style="1" customWidth="1"/>
    <col min="14544" max="14544" width="10.5703125" style="1" customWidth="1"/>
    <col min="14545" max="14546" width="12.7109375" style="1" customWidth="1"/>
    <col min="14547" max="14559" width="10.5703125" style="1" customWidth="1"/>
    <col min="14560" max="14560" width="11.140625" style="1" customWidth="1"/>
    <col min="14561" max="14572" width="10.5703125" style="1" customWidth="1"/>
    <col min="14573" max="14574" width="9.85546875" style="1" customWidth="1"/>
    <col min="14575" max="14575" width="9.85546875" style="1" bestFit="1" customWidth="1"/>
    <col min="14576" max="14576" width="9.85546875" style="1" customWidth="1"/>
    <col min="14577" max="14577" width="11.140625" style="1" customWidth="1"/>
    <col min="14578" max="14579" width="11.7109375" style="1" customWidth="1"/>
    <col min="14580" max="14581" width="9.140625" style="1" customWidth="1"/>
    <col min="14582" max="14582" width="10.28515625" style="1" customWidth="1"/>
    <col min="14583" max="14589" width="9.140625" style="1" customWidth="1"/>
    <col min="14590" max="14590" width="10.5703125" style="1" bestFit="1" customWidth="1"/>
    <col min="14591" max="14593" width="9.140625" style="1" customWidth="1"/>
    <col min="14594" max="14594" width="10.5703125" style="1" customWidth="1"/>
    <col min="14595" max="14598" width="9.140625" style="1" customWidth="1"/>
    <col min="14599" max="14599" width="9.28515625" style="1" bestFit="1" customWidth="1"/>
    <col min="14600" max="14610" width="9.140625" style="1"/>
    <col min="14611" max="14611" width="10.85546875" style="1" customWidth="1"/>
    <col min="14612" max="14792" width="9.140625" style="1"/>
    <col min="14793" max="14793" width="11.85546875" style="1" bestFit="1" customWidth="1"/>
    <col min="14794" max="14794" width="28.140625" style="1" bestFit="1" customWidth="1"/>
    <col min="14795" max="14795" width="15.7109375" style="1" customWidth="1"/>
    <col min="14796" max="14796" width="9.85546875" style="1" customWidth="1"/>
    <col min="14797" max="14797" width="13.140625" style="1" customWidth="1"/>
    <col min="14798" max="14798" width="9.140625" style="1" customWidth="1"/>
    <col min="14799" max="14799" width="12.28515625" style="1" customWidth="1"/>
    <col min="14800" max="14800" width="10.5703125" style="1" customWidth="1"/>
    <col min="14801" max="14802" width="12.7109375" style="1" customWidth="1"/>
    <col min="14803" max="14815" width="10.5703125" style="1" customWidth="1"/>
    <col min="14816" max="14816" width="11.140625" style="1" customWidth="1"/>
    <col min="14817" max="14828" width="10.5703125" style="1" customWidth="1"/>
    <col min="14829" max="14830" width="9.85546875" style="1" customWidth="1"/>
    <col min="14831" max="14831" width="9.85546875" style="1" bestFit="1" customWidth="1"/>
    <col min="14832" max="14832" width="9.85546875" style="1" customWidth="1"/>
    <col min="14833" max="14833" width="11.140625" style="1" customWidth="1"/>
    <col min="14834" max="14835" width="11.7109375" style="1" customWidth="1"/>
    <col min="14836" max="14837" width="9.140625" style="1" customWidth="1"/>
    <col min="14838" max="14838" width="10.28515625" style="1" customWidth="1"/>
    <col min="14839" max="14845" width="9.140625" style="1" customWidth="1"/>
    <col min="14846" max="14846" width="10.5703125" style="1" bestFit="1" customWidth="1"/>
    <col min="14847" max="14849" width="9.140625" style="1" customWidth="1"/>
    <col min="14850" max="14850" width="10.5703125" style="1" customWidth="1"/>
    <col min="14851" max="14854" width="9.140625" style="1" customWidth="1"/>
    <col min="14855" max="14855" width="9.28515625" style="1" bestFit="1" customWidth="1"/>
    <col min="14856" max="14866" width="9.140625" style="1"/>
    <col min="14867" max="14867" width="10.85546875" style="1" customWidth="1"/>
    <col min="14868" max="15048" width="9.140625" style="1"/>
    <col min="15049" max="15049" width="11.85546875" style="1" bestFit="1" customWidth="1"/>
    <col min="15050" max="15050" width="28.140625" style="1" bestFit="1" customWidth="1"/>
    <col min="15051" max="15051" width="15.7109375" style="1" customWidth="1"/>
    <col min="15052" max="15052" width="9.85546875" style="1" customWidth="1"/>
    <col min="15053" max="15053" width="13.140625" style="1" customWidth="1"/>
    <col min="15054" max="15054" width="9.140625" style="1" customWidth="1"/>
    <col min="15055" max="15055" width="12.28515625" style="1" customWidth="1"/>
    <col min="15056" max="15056" width="10.5703125" style="1" customWidth="1"/>
    <col min="15057" max="15058" width="12.7109375" style="1" customWidth="1"/>
    <col min="15059" max="15071" width="10.5703125" style="1" customWidth="1"/>
    <col min="15072" max="15072" width="11.140625" style="1" customWidth="1"/>
    <col min="15073" max="15084" width="10.5703125" style="1" customWidth="1"/>
    <col min="15085" max="15086" width="9.85546875" style="1" customWidth="1"/>
    <col min="15087" max="15087" width="9.85546875" style="1" bestFit="1" customWidth="1"/>
    <col min="15088" max="15088" width="9.85546875" style="1" customWidth="1"/>
    <col min="15089" max="15089" width="11.140625" style="1" customWidth="1"/>
    <col min="15090" max="15091" width="11.7109375" style="1" customWidth="1"/>
    <col min="15092" max="15093" width="9.140625" style="1" customWidth="1"/>
    <col min="15094" max="15094" width="10.28515625" style="1" customWidth="1"/>
    <col min="15095" max="15101" width="9.140625" style="1" customWidth="1"/>
    <col min="15102" max="15102" width="10.5703125" style="1" bestFit="1" customWidth="1"/>
    <col min="15103" max="15105" width="9.140625" style="1" customWidth="1"/>
    <col min="15106" max="15106" width="10.5703125" style="1" customWidth="1"/>
    <col min="15107" max="15110" width="9.140625" style="1" customWidth="1"/>
    <col min="15111" max="15111" width="9.28515625" style="1" bestFit="1" customWidth="1"/>
    <col min="15112" max="15122" width="9.140625" style="1"/>
    <col min="15123" max="15123" width="10.85546875" style="1" customWidth="1"/>
    <col min="15124" max="15304" width="9.140625" style="1"/>
    <col min="15305" max="15305" width="11.85546875" style="1" bestFit="1" customWidth="1"/>
    <col min="15306" max="15306" width="28.140625" style="1" bestFit="1" customWidth="1"/>
    <col min="15307" max="15307" width="15.7109375" style="1" customWidth="1"/>
    <col min="15308" max="15308" width="9.85546875" style="1" customWidth="1"/>
    <col min="15309" max="15309" width="13.140625" style="1" customWidth="1"/>
    <col min="15310" max="15310" width="9.140625" style="1" customWidth="1"/>
    <col min="15311" max="15311" width="12.28515625" style="1" customWidth="1"/>
    <col min="15312" max="15312" width="10.5703125" style="1" customWidth="1"/>
    <col min="15313" max="15314" width="12.7109375" style="1" customWidth="1"/>
    <col min="15315" max="15327" width="10.5703125" style="1" customWidth="1"/>
    <col min="15328" max="15328" width="11.140625" style="1" customWidth="1"/>
    <col min="15329" max="15340" width="10.5703125" style="1" customWidth="1"/>
    <col min="15341" max="15342" width="9.85546875" style="1" customWidth="1"/>
    <col min="15343" max="15343" width="9.85546875" style="1" bestFit="1" customWidth="1"/>
    <col min="15344" max="15344" width="9.85546875" style="1" customWidth="1"/>
    <col min="15345" max="15345" width="11.140625" style="1" customWidth="1"/>
    <col min="15346" max="15347" width="11.7109375" style="1" customWidth="1"/>
    <col min="15348" max="15349" width="9.140625" style="1" customWidth="1"/>
    <col min="15350" max="15350" width="10.28515625" style="1" customWidth="1"/>
    <col min="15351" max="15357" width="9.140625" style="1" customWidth="1"/>
    <col min="15358" max="15358" width="10.5703125" style="1" bestFit="1" customWidth="1"/>
    <col min="15359" max="15361" width="9.140625" style="1" customWidth="1"/>
    <col min="15362" max="15362" width="10.5703125" style="1" customWidth="1"/>
    <col min="15363" max="15366" width="9.140625" style="1" customWidth="1"/>
    <col min="15367" max="15367" width="9.28515625" style="1" bestFit="1" customWidth="1"/>
    <col min="15368" max="15378" width="9.140625" style="1"/>
    <col min="15379" max="15379" width="10.85546875" style="1" customWidth="1"/>
    <col min="15380" max="15560" width="9.140625" style="1"/>
    <col min="15561" max="15561" width="11.85546875" style="1" bestFit="1" customWidth="1"/>
    <col min="15562" max="15562" width="28.140625" style="1" bestFit="1" customWidth="1"/>
    <col min="15563" max="15563" width="15.7109375" style="1" customWidth="1"/>
    <col min="15564" max="15564" width="9.85546875" style="1" customWidth="1"/>
    <col min="15565" max="15565" width="13.140625" style="1" customWidth="1"/>
    <col min="15566" max="15566" width="9.140625" style="1" customWidth="1"/>
    <col min="15567" max="15567" width="12.28515625" style="1" customWidth="1"/>
    <col min="15568" max="15568" width="10.5703125" style="1" customWidth="1"/>
    <col min="15569" max="15570" width="12.7109375" style="1" customWidth="1"/>
    <col min="15571" max="15583" width="10.5703125" style="1" customWidth="1"/>
    <col min="15584" max="15584" width="11.140625" style="1" customWidth="1"/>
    <col min="15585" max="15596" width="10.5703125" style="1" customWidth="1"/>
    <col min="15597" max="15598" width="9.85546875" style="1" customWidth="1"/>
    <col min="15599" max="15599" width="9.85546875" style="1" bestFit="1" customWidth="1"/>
    <col min="15600" max="15600" width="9.85546875" style="1" customWidth="1"/>
    <col min="15601" max="15601" width="11.140625" style="1" customWidth="1"/>
    <col min="15602" max="15603" width="11.7109375" style="1" customWidth="1"/>
    <col min="15604" max="15605" width="9.140625" style="1" customWidth="1"/>
    <col min="15606" max="15606" width="10.28515625" style="1" customWidth="1"/>
    <col min="15607" max="15613" width="9.140625" style="1" customWidth="1"/>
    <col min="15614" max="15614" width="10.5703125" style="1" bestFit="1" customWidth="1"/>
    <col min="15615" max="15617" width="9.140625" style="1" customWidth="1"/>
    <col min="15618" max="15618" width="10.5703125" style="1" customWidth="1"/>
    <col min="15619" max="15622" width="9.140625" style="1" customWidth="1"/>
    <col min="15623" max="15623" width="9.28515625" style="1" bestFit="1" customWidth="1"/>
    <col min="15624" max="15634" width="9.140625" style="1"/>
    <col min="15635" max="15635" width="10.85546875" style="1" customWidth="1"/>
    <col min="15636" max="15816" width="9.140625" style="1"/>
    <col min="15817" max="15817" width="11.85546875" style="1" bestFit="1" customWidth="1"/>
    <col min="15818" max="15818" width="28.140625" style="1" bestFit="1" customWidth="1"/>
    <col min="15819" max="15819" width="15.7109375" style="1" customWidth="1"/>
    <col min="15820" max="15820" width="9.85546875" style="1" customWidth="1"/>
    <col min="15821" max="15821" width="13.140625" style="1" customWidth="1"/>
    <col min="15822" max="15822" width="9.140625" style="1" customWidth="1"/>
    <col min="15823" max="15823" width="12.28515625" style="1" customWidth="1"/>
    <col min="15824" max="15824" width="10.5703125" style="1" customWidth="1"/>
    <col min="15825" max="15826" width="12.7109375" style="1" customWidth="1"/>
    <col min="15827" max="15839" width="10.5703125" style="1" customWidth="1"/>
    <col min="15840" max="15840" width="11.140625" style="1" customWidth="1"/>
    <col min="15841" max="15852" width="10.5703125" style="1" customWidth="1"/>
    <col min="15853" max="15854" width="9.85546875" style="1" customWidth="1"/>
    <col min="15855" max="15855" width="9.85546875" style="1" bestFit="1" customWidth="1"/>
    <col min="15856" max="15856" width="9.85546875" style="1" customWidth="1"/>
    <col min="15857" max="15857" width="11.140625" style="1" customWidth="1"/>
    <col min="15858" max="15859" width="11.7109375" style="1" customWidth="1"/>
    <col min="15860" max="15861" width="9.140625" style="1" customWidth="1"/>
    <col min="15862" max="15862" width="10.28515625" style="1" customWidth="1"/>
    <col min="15863" max="15869" width="9.140625" style="1" customWidth="1"/>
    <col min="15870" max="15870" width="10.5703125" style="1" bestFit="1" customWidth="1"/>
    <col min="15871" max="15873" width="9.140625" style="1" customWidth="1"/>
    <col min="15874" max="15874" width="10.5703125" style="1" customWidth="1"/>
    <col min="15875" max="15878" width="9.140625" style="1" customWidth="1"/>
    <col min="15879" max="15879" width="9.28515625" style="1" bestFit="1" customWidth="1"/>
    <col min="15880" max="15890" width="9.140625" style="1"/>
    <col min="15891" max="15891" width="10.85546875" style="1" customWidth="1"/>
    <col min="15892" max="16072" width="9.140625" style="1"/>
    <col min="16073" max="16073" width="11.85546875" style="1" bestFit="1" customWidth="1"/>
    <col min="16074" max="16074" width="28.140625" style="1" bestFit="1" customWidth="1"/>
    <col min="16075" max="16075" width="15.7109375" style="1" customWidth="1"/>
    <col min="16076" max="16076" width="9.85546875" style="1" customWidth="1"/>
    <col min="16077" max="16077" width="13.140625" style="1" customWidth="1"/>
    <col min="16078" max="16078" width="9.140625" style="1" customWidth="1"/>
    <col min="16079" max="16079" width="12.28515625" style="1" customWidth="1"/>
    <col min="16080" max="16080" width="10.5703125" style="1" customWidth="1"/>
    <col min="16081" max="16082" width="12.7109375" style="1" customWidth="1"/>
    <col min="16083" max="16095" width="10.5703125" style="1" customWidth="1"/>
    <col min="16096" max="16096" width="11.140625" style="1" customWidth="1"/>
    <col min="16097" max="16108" width="10.5703125" style="1" customWidth="1"/>
    <col min="16109" max="16110" width="9.85546875" style="1" customWidth="1"/>
    <col min="16111" max="16111" width="9.85546875" style="1" bestFit="1" customWidth="1"/>
    <col min="16112" max="16112" width="9.85546875" style="1" customWidth="1"/>
    <col min="16113" max="16113" width="11.140625" style="1" customWidth="1"/>
    <col min="16114" max="16115" width="11.7109375" style="1" customWidth="1"/>
    <col min="16116" max="16117" width="9.140625" style="1" customWidth="1"/>
    <col min="16118" max="16118" width="10.28515625" style="1" customWidth="1"/>
    <col min="16119" max="16125" width="9.140625" style="1" customWidth="1"/>
    <col min="16126" max="16126" width="10.5703125" style="1" bestFit="1" customWidth="1"/>
    <col min="16127" max="16129" width="9.140625" style="1" customWidth="1"/>
    <col min="16130" max="16130" width="10.5703125" style="1" customWidth="1"/>
    <col min="16131" max="16134" width="9.140625" style="1" customWidth="1"/>
    <col min="16135" max="16135" width="9.28515625" style="1" bestFit="1" customWidth="1"/>
    <col min="16136" max="16146" width="9.140625" style="1"/>
    <col min="16147" max="16147" width="10.85546875" style="1" customWidth="1"/>
    <col min="16148" max="16384" width="9.140625" style="1"/>
  </cols>
  <sheetData>
    <row r="1" spans="1:20"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20" x14ac:dyDescent="0.2">
      <c r="B2" s="190" t="s">
        <v>526</v>
      </c>
      <c r="C2" s="191">
        <f>STATS!D66</f>
        <v>0</v>
      </c>
      <c r="D2" s="111"/>
      <c r="E2" s="111"/>
      <c r="F2" s="131">
        <f>'MO STATS'!E62</f>
        <v>0</v>
      </c>
      <c r="G2" s="131">
        <f>'MO STATS'!F62</f>
        <v>0</v>
      </c>
      <c r="H2" s="131">
        <f>'MO STATS'!G62</f>
        <v>0</v>
      </c>
      <c r="I2" s="131">
        <f>'MO STATS'!H62</f>
        <v>0</v>
      </c>
      <c r="J2" s="131">
        <f>'MO STATS'!I62</f>
        <v>0</v>
      </c>
      <c r="K2" s="131">
        <f>'MO STATS'!J62</f>
        <v>0</v>
      </c>
      <c r="L2" s="131">
        <f>'MO STATS'!K62</f>
        <v>0</v>
      </c>
      <c r="M2" s="131">
        <f>'MO STATS'!L62</f>
        <v>0</v>
      </c>
      <c r="N2" s="131">
        <f>'MO STATS'!M62</f>
        <v>0</v>
      </c>
      <c r="O2" s="131">
        <f>'MO STATS'!N62</f>
        <v>0</v>
      </c>
      <c r="P2" s="131">
        <f>'MO STATS'!O62</f>
        <v>0</v>
      </c>
      <c r="Q2" s="131">
        <f>'MO STATS'!P62</f>
        <v>0</v>
      </c>
      <c r="R2" s="96">
        <f>SUM(F2:Q2)</f>
        <v>0</v>
      </c>
      <c r="S2" s="3">
        <f>C2-R2</f>
        <v>0</v>
      </c>
    </row>
    <row r="3" spans="1:20" x14ac:dyDescent="0.2">
      <c r="B3" s="190" t="s">
        <v>527</v>
      </c>
      <c r="C3" s="191">
        <f>STATS!D67</f>
        <v>1285</v>
      </c>
      <c r="D3" s="111"/>
      <c r="E3" s="111"/>
      <c r="F3" s="131">
        <f>'MO STATS'!E63</f>
        <v>131</v>
      </c>
      <c r="G3" s="131">
        <f>'MO STATS'!F63</f>
        <v>152</v>
      </c>
      <c r="H3" s="131">
        <f>'MO STATS'!G63</f>
        <v>89</v>
      </c>
      <c r="I3" s="131">
        <f>'MO STATS'!H63</f>
        <v>121</v>
      </c>
      <c r="J3" s="131">
        <f>'MO STATS'!I63</f>
        <v>87</v>
      </c>
      <c r="K3" s="131">
        <f>'MO STATS'!J63</f>
        <v>96</v>
      </c>
      <c r="L3" s="131">
        <f>'MO STATS'!K63</f>
        <v>75</v>
      </c>
      <c r="M3" s="131">
        <f>'MO STATS'!L63</f>
        <v>74</v>
      </c>
      <c r="N3" s="131">
        <f>'MO STATS'!M63</f>
        <v>74</v>
      </c>
      <c r="O3" s="131">
        <f>'MO STATS'!N63</f>
        <v>115</v>
      </c>
      <c r="P3" s="131">
        <f>'MO STATS'!O63</f>
        <v>149</v>
      </c>
      <c r="Q3" s="131">
        <f>'MO STATS'!P63</f>
        <v>122</v>
      </c>
      <c r="R3" s="96">
        <f>SUM(F3:Q3)</f>
        <v>1285</v>
      </c>
      <c r="S3" s="3">
        <f>C3-R3</f>
        <v>0</v>
      </c>
    </row>
    <row r="4" spans="1:20" x14ac:dyDescent="0.2">
      <c r="B4" s="190" t="s">
        <v>528</v>
      </c>
      <c r="C4" s="191">
        <f>C2+C3</f>
        <v>1285</v>
      </c>
      <c r="D4" s="111"/>
      <c r="E4" s="111"/>
      <c r="F4" s="131">
        <f>'MO STATS'!E64</f>
        <v>131</v>
      </c>
      <c r="G4" s="131">
        <f>'MO STATS'!F64</f>
        <v>152</v>
      </c>
      <c r="H4" s="131">
        <f>'MO STATS'!G64</f>
        <v>89</v>
      </c>
      <c r="I4" s="131">
        <f>'MO STATS'!H64</f>
        <v>121</v>
      </c>
      <c r="J4" s="131">
        <f>'MO STATS'!I64</f>
        <v>87</v>
      </c>
      <c r="K4" s="131">
        <f>'MO STATS'!J64</f>
        <v>96</v>
      </c>
      <c r="L4" s="131">
        <f>'MO STATS'!K64</f>
        <v>75</v>
      </c>
      <c r="M4" s="131">
        <f>'MO STATS'!L64</f>
        <v>74</v>
      </c>
      <c r="N4" s="131">
        <f>'MO STATS'!M64</f>
        <v>74</v>
      </c>
      <c r="O4" s="131">
        <f>'MO STATS'!N64</f>
        <v>115</v>
      </c>
      <c r="P4" s="131">
        <f>'MO STATS'!O64</f>
        <v>149</v>
      </c>
      <c r="Q4" s="131">
        <f>'MO STATS'!P64</f>
        <v>122</v>
      </c>
      <c r="R4" s="96">
        <f>SUM(R2:R3)</f>
        <v>1285</v>
      </c>
      <c r="S4" s="3">
        <f>C4-R4</f>
        <v>0</v>
      </c>
    </row>
    <row r="5" spans="1:20" x14ac:dyDescent="0.2">
      <c r="B5" s="38" t="s">
        <v>940</v>
      </c>
      <c r="C5" s="483">
        <f>'[4]2017 FTEs'!$AS$25</f>
        <v>0.5</v>
      </c>
      <c r="D5" s="111"/>
      <c r="E5" s="111"/>
      <c r="F5" s="131"/>
      <c r="G5" s="131"/>
      <c r="H5" s="131"/>
      <c r="I5" s="131"/>
      <c r="J5" s="131"/>
      <c r="K5" s="131"/>
      <c r="L5" s="131"/>
      <c r="M5" s="131"/>
      <c r="N5" s="131"/>
      <c r="O5" s="131"/>
      <c r="P5" s="131"/>
      <c r="Q5" s="131"/>
      <c r="R5" s="96"/>
      <c r="S5" s="3"/>
    </row>
    <row r="6" spans="1:20" x14ac:dyDescent="0.2">
      <c r="B6" s="38" t="s">
        <v>939</v>
      </c>
      <c r="C6" s="191">
        <f>C5*2080</f>
        <v>1040</v>
      </c>
      <c r="D6" s="111"/>
      <c r="E6" s="111"/>
      <c r="F6" s="426">
        <f>($C6/$R7)*F7</f>
        <v>88.328767123287662</v>
      </c>
      <c r="G6" s="426">
        <f t="shared" ref="G6:Q6" si="0">($C6/$R7)*G7</f>
        <v>85.479452054794521</v>
      </c>
      <c r="H6" s="426">
        <f t="shared" si="0"/>
        <v>88.328767123287662</v>
      </c>
      <c r="I6" s="426">
        <f t="shared" si="0"/>
        <v>88.328767123287662</v>
      </c>
      <c r="J6" s="426">
        <f t="shared" si="0"/>
        <v>79.780821917808211</v>
      </c>
      <c r="K6" s="426">
        <f t="shared" si="0"/>
        <v>88.328767123287662</v>
      </c>
      <c r="L6" s="426">
        <f t="shared" si="0"/>
        <v>85.479452054794521</v>
      </c>
      <c r="M6" s="426">
        <f t="shared" si="0"/>
        <v>88.328767123287662</v>
      </c>
      <c r="N6" s="426">
        <f t="shared" si="0"/>
        <v>85.479452054794521</v>
      </c>
      <c r="O6" s="426">
        <f t="shared" si="0"/>
        <v>88.328767123287662</v>
      </c>
      <c r="P6" s="426">
        <f t="shared" si="0"/>
        <v>88.328767123287662</v>
      </c>
      <c r="Q6" s="426">
        <f t="shared" si="0"/>
        <v>85.479452054794521</v>
      </c>
      <c r="R6" s="6">
        <f>SUM(F6:Q6)</f>
        <v>1040</v>
      </c>
      <c r="S6" s="3">
        <f>C6-R6</f>
        <v>0</v>
      </c>
    </row>
    <row r="7" spans="1:20" x14ac:dyDescent="0.2">
      <c r="B7" s="190"/>
      <c r="C7" s="191"/>
      <c r="D7" s="111"/>
      <c r="E7" s="111"/>
      <c r="F7" s="2">
        <v>31</v>
      </c>
      <c r="G7" s="2">
        <v>30</v>
      </c>
      <c r="H7" s="2">
        <v>31</v>
      </c>
      <c r="I7" s="2">
        <v>31</v>
      </c>
      <c r="J7" s="2">
        <v>28</v>
      </c>
      <c r="K7" s="2">
        <v>31</v>
      </c>
      <c r="L7" s="2">
        <v>30</v>
      </c>
      <c r="M7" s="2">
        <v>31</v>
      </c>
      <c r="N7" s="2">
        <v>30</v>
      </c>
      <c r="O7" s="2">
        <v>31</v>
      </c>
      <c r="P7" s="2">
        <v>31</v>
      </c>
      <c r="Q7" s="2">
        <v>30</v>
      </c>
      <c r="R7" s="6">
        <f t="shared" ref="R7" si="1">SUM(F7:Q7)</f>
        <v>365</v>
      </c>
      <c r="S7" s="3"/>
    </row>
    <row r="8" spans="1:20" x14ac:dyDescent="0.2">
      <c r="A8" s="1"/>
      <c r="B8" s="185" t="s">
        <v>35</v>
      </c>
      <c r="C8" s="192"/>
      <c r="D8" s="192"/>
      <c r="E8" s="193"/>
    </row>
    <row r="9" spans="1:20" x14ac:dyDescent="0.2">
      <c r="A9" s="21"/>
      <c r="B9" s="77" t="s">
        <v>529</v>
      </c>
      <c r="C9" s="78"/>
      <c r="D9" s="168" t="s">
        <v>533</v>
      </c>
      <c r="E9" s="140"/>
    </row>
    <row r="10" spans="1:20" x14ac:dyDescent="0.2">
      <c r="A10" s="16"/>
      <c r="B10" s="29" t="s">
        <v>352</v>
      </c>
      <c r="C10" s="28">
        <f>C$2*D10</f>
        <v>0</v>
      </c>
      <c r="D10" s="13">
        <v>0</v>
      </c>
      <c r="E10" s="7"/>
      <c r="F10" s="7">
        <f>$D10*F$2</f>
        <v>0</v>
      </c>
      <c r="G10" s="7">
        <f t="shared" ref="G10:Q16" si="2">$D10*G$2</f>
        <v>0</v>
      </c>
      <c r="H10" s="7">
        <f t="shared" si="2"/>
        <v>0</v>
      </c>
      <c r="I10" s="7">
        <f t="shared" si="2"/>
        <v>0</v>
      </c>
      <c r="J10" s="7">
        <f t="shared" si="2"/>
        <v>0</v>
      </c>
      <c r="K10" s="7">
        <f t="shared" si="2"/>
        <v>0</v>
      </c>
      <c r="L10" s="7">
        <f t="shared" si="2"/>
        <v>0</v>
      </c>
      <c r="M10" s="7">
        <f t="shared" si="2"/>
        <v>0</v>
      </c>
      <c r="N10" s="7">
        <f t="shared" si="2"/>
        <v>0</v>
      </c>
      <c r="O10" s="7">
        <f t="shared" si="2"/>
        <v>0</v>
      </c>
      <c r="P10" s="7">
        <f t="shared" si="2"/>
        <v>0</v>
      </c>
      <c r="Q10" s="7">
        <f t="shared" si="2"/>
        <v>0</v>
      </c>
      <c r="R10" s="96">
        <f>SUM(F10:Q10)</f>
        <v>0</v>
      </c>
      <c r="S10" s="3">
        <f>C10-R10</f>
        <v>0</v>
      </c>
      <c r="T10" s="3"/>
    </row>
    <row r="11" spans="1:20" x14ac:dyDescent="0.2">
      <c r="A11" s="16"/>
      <c r="B11" s="29" t="s">
        <v>353</v>
      </c>
      <c r="C11" s="28">
        <f t="shared" ref="C11:C16" si="3">C$2*D11</f>
        <v>0</v>
      </c>
      <c r="D11" s="13">
        <v>0</v>
      </c>
      <c r="E11" s="7"/>
      <c r="F11" s="7">
        <f t="shared" ref="F11:Q24" si="4">$D11*F$2</f>
        <v>0</v>
      </c>
      <c r="G11" s="7">
        <f t="shared" si="2"/>
        <v>0</v>
      </c>
      <c r="H11" s="7">
        <f t="shared" si="2"/>
        <v>0</v>
      </c>
      <c r="I11" s="7">
        <f t="shared" si="2"/>
        <v>0</v>
      </c>
      <c r="J11" s="7">
        <f t="shared" si="2"/>
        <v>0</v>
      </c>
      <c r="K11" s="7">
        <f t="shared" si="2"/>
        <v>0</v>
      </c>
      <c r="L11" s="7">
        <f t="shared" si="2"/>
        <v>0</v>
      </c>
      <c r="M11" s="7">
        <f t="shared" si="2"/>
        <v>0</v>
      </c>
      <c r="N11" s="7">
        <f t="shared" si="2"/>
        <v>0</v>
      </c>
      <c r="O11" s="7">
        <f t="shared" si="2"/>
        <v>0</v>
      </c>
      <c r="P11" s="7">
        <f t="shared" si="2"/>
        <v>0</v>
      </c>
      <c r="Q11" s="7">
        <f t="shared" si="2"/>
        <v>0</v>
      </c>
      <c r="R11" s="96">
        <f t="shared" ref="R11:R33" si="5">SUM(F11:Q11)</f>
        <v>0</v>
      </c>
      <c r="S11" s="3">
        <f t="shared" ref="S11:S34" si="6">C11-R11</f>
        <v>0</v>
      </c>
      <c r="T11" s="3"/>
    </row>
    <row r="12" spans="1:20" x14ac:dyDescent="0.2">
      <c r="A12" s="16"/>
      <c r="B12" s="29" t="s">
        <v>355</v>
      </c>
      <c r="C12" s="28">
        <f t="shared" si="3"/>
        <v>0</v>
      </c>
      <c r="D12" s="13">
        <v>0</v>
      </c>
      <c r="E12" s="7"/>
      <c r="F12" s="7">
        <f t="shared" si="4"/>
        <v>0</v>
      </c>
      <c r="G12" s="7">
        <f t="shared" si="2"/>
        <v>0</v>
      </c>
      <c r="H12" s="7">
        <f t="shared" si="2"/>
        <v>0</v>
      </c>
      <c r="I12" s="7">
        <f t="shared" si="2"/>
        <v>0</v>
      </c>
      <c r="J12" s="7">
        <f t="shared" si="2"/>
        <v>0</v>
      </c>
      <c r="K12" s="7">
        <f t="shared" si="2"/>
        <v>0</v>
      </c>
      <c r="L12" s="7">
        <f t="shared" si="2"/>
        <v>0</v>
      </c>
      <c r="M12" s="7">
        <f t="shared" si="2"/>
        <v>0</v>
      </c>
      <c r="N12" s="7">
        <f t="shared" si="2"/>
        <v>0</v>
      </c>
      <c r="O12" s="7">
        <f t="shared" si="2"/>
        <v>0</v>
      </c>
      <c r="P12" s="7">
        <f t="shared" si="2"/>
        <v>0</v>
      </c>
      <c r="Q12" s="7">
        <f t="shared" si="2"/>
        <v>0</v>
      </c>
      <c r="R12" s="96">
        <f t="shared" si="5"/>
        <v>0</v>
      </c>
      <c r="S12" s="3">
        <f t="shared" si="6"/>
        <v>0</v>
      </c>
      <c r="T12" s="3"/>
    </row>
    <row r="13" spans="1:20" x14ac:dyDescent="0.2">
      <c r="A13" s="16"/>
      <c r="B13" s="29" t="s">
        <v>370</v>
      </c>
      <c r="C13" s="28">
        <f t="shared" si="3"/>
        <v>0</v>
      </c>
      <c r="D13" s="13">
        <v>0</v>
      </c>
      <c r="E13" s="7"/>
      <c r="F13" s="7">
        <f t="shared" si="4"/>
        <v>0</v>
      </c>
      <c r="G13" s="7">
        <f t="shared" si="2"/>
        <v>0</v>
      </c>
      <c r="H13" s="7">
        <f t="shared" si="2"/>
        <v>0</v>
      </c>
      <c r="I13" s="7">
        <f t="shared" si="2"/>
        <v>0</v>
      </c>
      <c r="J13" s="7">
        <f t="shared" si="2"/>
        <v>0</v>
      </c>
      <c r="K13" s="7">
        <f t="shared" si="2"/>
        <v>0</v>
      </c>
      <c r="L13" s="7">
        <f t="shared" si="2"/>
        <v>0</v>
      </c>
      <c r="M13" s="7">
        <f t="shared" si="2"/>
        <v>0</v>
      </c>
      <c r="N13" s="7">
        <f t="shared" si="2"/>
        <v>0</v>
      </c>
      <c r="O13" s="7">
        <f t="shared" si="2"/>
        <v>0</v>
      </c>
      <c r="P13" s="7">
        <f t="shared" si="2"/>
        <v>0</v>
      </c>
      <c r="Q13" s="7">
        <f t="shared" si="2"/>
        <v>0</v>
      </c>
      <c r="R13" s="96">
        <f t="shared" si="5"/>
        <v>0</v>
      </c>
      <c r="S13" s="3">
        <f t="shared" si="6"/>
        <v>0</v>
      </c>
      <c r="T13" s="3"/>
    </row>
    <row r="14" spans="1:20" x14ac:dyDescent="0.2">
      <c r="A14" s="16"/>
      <c r="B14" s="29" t="s">
        <v>356</v>
      </c>
      <c r="C14" s="28">
        <f t="shared" si="3"/>
        <v>0</v>
      </c>
      <c r="D14" s="13">
        <v>0</v>
      </c>
      <c r="E14" s="7"/>
      <c r="F14" s="7">
        <f t="shared" si="4"/>
        <v>0</v>
      </c>
      <c r="G14" s="7">
        <f t="shared" si="2"/>
        <v>0</v>
      </c>
      <c r="H14" s="7">
        <f t="shared" si="2"/>
        <v>0</v>
      </c>
      <c r="I14" s="7">
        <f t="shared" si="2"/>
        <v>0</v>
      </c>
      <c r="J14" s="7">
        <f t="shared" si="2"/>
        <v>0</v>
      </c>
      <c r="K14" s="7">
        <f t="shared" si="2"/>
        <v>0</v>
      </c>
      <c r="L14" s="7">
        <f t="shared" si="2"/>
        <v>0</v>
      </c>
      <c r="M14" s="7">
        <f t="shared" si="2"/>
        <v>0</v>
      </c>
      <c r="N14" s="7">
        <f t="shared" si="2"/>
        <v>0</v>
      </c>
      <c r="O14" s="7">
        <f t="shared" si="2"/>
        <v>0</v>
      </c>
      <c r="P14" s="7">
        <f t="shared" si="2"/>
        <v>0</v>
      </c>
      <c r="Q14" s="7">
        <f t="shared" si="2"/>
        <v>0</v>
      </c>
      <c r="R14" s="96">
        <f t="shared" si="5"/>
        <v>0</v>
      </c>
      <c r="S14" s="3">
        <f t="shared" si="6"/>
        <v>0</v>
      </c>
      <c r="T14" s="3"/>
    </row>
    <row r="15" spans="1:20" x14ac:dyDescent="0.2">
      <c r="A15" s="16"/>
      <c r="B15" s="29" t="s">
        <v>354</v>
      </c>
      <c r="C15" s="28">
        <f t="shared" si="3"/>
        <v>0</v>
      </c>
      <c r="D15" s="13">
        <v>0</v>
      </c>
      <c r="E15" s="7"/>
      <c r="F15" s="7">
        <f t="shared" si="4"/>
        <v>0</v>
      </c>
      <c r="G15" s="7">
        <f t="shared" si="2"/>
        <v>0</v>
      </c>
      <c r="H15" s="7">
        <f t="shared" si="2"/>
        <v>0</v>
      </c>
      <c r="I15" s="7">
        <f t="shared" si="2"/>
        <v>0</v>
      </c>
      <c r="J15" s="7">
        <f t="shared" si="2"/>
        <v>0</v>
      </c>
      <c r="K15" s="7">
        <f t="shared" si="2"/>
        <v>0</v>
      </c>
      <c r="L15" s="7">
        <f t="shared" si="2"/>
        <v>0</v>
      </c>
      <c r="M15" s="7">
        <f t="shared" si="2"/>
        <v>0</v>
      </c>
      <c r="N15" s="7">
        <f t="shared" si="2"/>
        <v>0</v>
      </c>
      <c r="O15" s="7">
        <f t="shared" si="2"/>
        <v>0</v>
      </c>
      <c r="P15" s="7">
        <f t="shared" si="2"/>
        <v>0</v>
      </c>
      <c r="Q15" s="7">
        <f t="shared" si="2"/>
        <v>0</v>
      </c>
      <c r="R15" s="96">
        <f t="shared" si="5"/>
        <v>0</v>
      </c>
      <c r="S15" s="3">
        <f t="shared" si="6"/>
        <v>0</v>
      </c>
      <c r="T15" s="3"/>
    </row>
    <row r="16" spans="1:20" x14ac:dyDescent="0.2">
      <c r="A16" s="16"/>
      <c r="B16" s="29" t="s">
        <v>357</v>
      </c>
      <c r="C16" s="28">
        <f t="shared" si="3"/>
        <v>0</v>
      </c>
      <c r="D16" s="13">
        <v>0</v>
      </c>
      <c r="E16" s="7"/>
      <c r="F16" s="7">
        <f t="shared" si="4"/>
        <v>0</v>
      </c>
      <c r="G16" s="7">
        <f t="shared" si="2"/>
        <v>0</v>
      </c>
      <c r="H16" s="7">
        <f t="shared" si="2"/>
        <v>0</v>
      </c>
      <c r="I16" s="7">
        <f t="shared" si="2"/>
        <v>0</v>
      </c>
      <c r="J16" s="7">
        <f t="shared" si="2"/>
        <v>0</v>
      </c>
      <c r="K16" s="7">
        <f t="shared" si="2"/>
        <v>0</v>
      </c>
      <c r="L16" s="7">
        <f t="shared" si="2"/>
        <v>0</v>
      </c>
      <c r="M16" s="7">
        <f t="shared" si="2"/>
        <v>0</v>
      </c>
      <c r="N16" s="7">
        <f t="shared" si="2"/>
        <v>0</v>
      </c>
      <c r="O16" s="7">
        <f t="shared" si="2"/>
        <v>0</v>
      </c>
      <c r="P16" s="7">
        <f t="shared" si="2"/>
        <v>0</v>
      </c>
      <c r="Q16" s="7">
        <f t="shared" si="2"/>
        <v>0</v>
      </c>
      <c r="R16" s="96">
        <f t="shared" si="5"/>
        <v>0</v>
      </c>
      <c r="S16" s="3">
        <f t="shared" si="6"/>
        <v>0</v>
      </c>
      <c r="T16" s="3"/>
    </row>
    <row r="17" spans="1:20" x14ac:dyDescent="0.2">
      <c r="A17" s="87">
        <v>31110.065999999999</v>
      </c>
      <c r="B17" s="161" t="s">
        <v>530</v>
      </c>
      <c r="C17" s="290">
        <f>SUM(C10:C16)</f>
        <v>0</v>
      </c>
      <c r="D17" s="291"/>
      <c r="E17" s="291"/>
      <c r="F17" s="292">
        <f>SUM(F10:F16)</f>
        <v>0</v>
      </c>
      <c r="G17" s="292">
        <f t="shared" ref="G17:Q17" si="7">SUM(G10:G16)</f>
        <v>0</v>
      </c>
      <c r="H17" s="292">
        <f t="shared" si="7"/>
        <v>0</v>
      </c>
      <c r="I17" s="292">
        <f t="shared" si="7"/>
        <v>0</v>
      </c>
      <c r="J17" s="292">
        <f t="shared" si="7"/>
        <v>0</v>
      </c>
      <c r="K17" s="292">
        <f t="shared" si="7"/>
        <v>0</v>
      </c>
      <c r="L17" s="292">
        <f t="shared" si="7"/>
        <v>0</v>
      </c>
      <c r="M17" s="292">
        <f t="shared" si="7"/>
        <v>0</v>
      </c>
      <c r="N17" s="292">
        <f t="shared" si="7"/>
        <v>0</v>
      </c>
      <c r="O17" s="292">
        <f t="shared" si="7"/>
        <v>0</v>
      </c>
      <c r="P17" s="292">
        <f t="shared" si="7"/>
        <v>0</v>
      </c>
      <c r="Q17" s="292">
        <f t="shared" si="7"/>
        <v>0</v>
      </c>
      <c r="R17" s="292">
        <f t="shared" si="5"/>
        <v>0</v>
      </c>
      <c r="S17" s="292">
        <f t="shared" si="6"/>
        <v>0</v>
      </c>
      <c r="T17" s="3"/>
    </row>
    <row r="18" spans="1:20" x14ac:dyDescent="0.2">
      <c r="A18" s="16"/>
      <c r="B18" s="29" t="s">
        <v>424</v>
      </c>
      <c r="C18" s="28">
        <f t="shared" ref="C18:C24" si="8">C$2*D18</f>
        <v>0</v>
      </c>
      <c r="D18" s="13">
        <v>0</v>
      </c>
      <c r="E18" s="7"/>
      <c r="F18" s="7">
        <f t="shared" si="4"/>
        <v>0</v>
      </c>
      <c r="G18" s="7">
        <f t="shared" si="4"/>
        <v>0</v>
      </c>
      <c r="H18" s="7">
        <f t="shared" si="4"/>
        <v>0</v>
      </c>
      <c r="I18" s="7">
        <f t="shared" si="4"/>
        <v>0</v>
      </c>
      <c r="J18" s="7">
        <f t="shared" si="4"/>
        <v>0</v>
      </c>
      <c r="K18" s="7">
        <f t="shared" si="4"/>
        <v>0</v>
      </c>
      <c r="L18" s="7">
        <f t="shared" si="4"/>
        <v>0</v>
      </c>
      <c r="M18" s="7">
        <f t="shared" si="4"/>
        <v>0</v>
      </c>
      <c r="N18" s="7">
        <f t="shared" si="4"/>
        <v>0</v>
      </c>
      <c r="O18" s="7">
        <f t="shared" si="4"/>
        <v>0</v>
      </c>
      <c r="P18" s="7">
        <f t="shared" si="4"/>
        <v>0</v>
      </c>
      <c r="Q18" s="7">
        <f t="shared" si="4"/>
        <v>0</v>
      </c>
      <c r="R18" s="96">
        <f t="shared" si="5"/>
        <v>0</v>
      </c>
      <c r="S18" s="3">
        <f t="shared" si="6"/>
        <v>0</v>
      </c>
      <c r="T18" s="3"/>
    </row>
    <row r="19" spans="1:20" x14ac:dyDescent="0.2">
      <c r="A19" s="16"/>
      <c r="B19" s="29" t="s">
        <v>425</v>
      </c>
      <c r="C19" s="28">
        <f t="shared" si="8"/>
        <v>0</v>
      </c>
      <c r="D19" s="13">
        <v>0</v>
      </c>
      <c r="E19" s="7"/>
      <c r="F19" s="7">
        <f t="shared" si="4"/>
        <v>0</v>
      </c>
      <c r="G19" s="7">
        <f t="shared" si="4"/>
        <v>0</v>
      </c>
      <c r="H19" s="7">
        <f t="shared" si="4"/>
        <v>0</v>
      </c>
      <c r="I19" s="7">
        <f t="shared" si="4"/>
        <v>0</v>
      </c>
      <c r="J19" s="7">
        <f t="shared" si="4"/>
        <v>0</v>
      </c>
      <c r="K19" s="7">
        <f t="shared" si="4"/>
        <v>0</v>
      </c>
      <c r="L19" s="7">
        <f t="shared" si="4"/>
        <v>0</v>
      </c>
      <c r="M19" s="7">
        <f t="shared" si="4"/>
        <v>0</v>
      </c>
      <c r="N19" s="7">
        <f t="shared" si="4"/>
        <v>0</v>
      </c>
      <c r="O19" s="7">
        <f t="shared" si="4"/>
        <v>0</v>
      </c>
      <c r="P19" s="7">
        <f t="shared" si="4"/>
        <v>0</v>
      </c>
      <c r="Q19" s="7">
        <f t="shared" si="4"/>
        <v>0</v>
      </c>
      <c r="R19" s="96">
        <f t="shared" si="5"/>
        <v>0</v>
      </c>
      <c r="S19" s="3">
        <f t="shared" si="6"/>
        <v>0</v>
      </c>
      <c r="T19" s="3"/>
    </row>
    <row r="20" spans="1:20" x14ac:dyDescent="0.2">
      <c r="A20" s="16"/>
      <c r="B20" s="29" t="s">
        <v>426</v>
      </c>
      <c r="C20" s="28">
        <f t="shared" si="8"/>
        <v>0</v>
      </c>
      <c r="D20" s="13">
        <v>0</v>
      </c>
      <c r="E20" s="7"/>
      <c r="F20" s="7">
        <f t="shared" si="4"/>
        <v>0</v>
      </c>
      <c r="G20" s="7">
        <f t="shared" si="4"/>
        <v>0</v>
      </c>
      <c r="H20" s="7">
        <f t="shared" si="4"/>
        <v>0</v>
      </c>
      <c r="I20" s="7">
        <f t="shared" si="4"/>
        <v>0</v>
      </c>
      <c r="J20" s="7">
        <f t="shared" si="4"/>
        <v>0</v>
      </c>
      <c r="K20" s="7">
        <f t="shared" si="4"/>
        <v>0</v>
      </c>
      <c r="L20" s="7">
        <f t="shared" si="4"/>
        <v>0</v>
      </c>
      <c r="M20" s="7">
        <f t="shared" si="4"/>
        <v>0</v>
      </c>
      <c r="N20" s="7">
        <f t="shared" si="4"/>
        <v>0</v>
      </c>
      <c r="O20" s="7">
        <f t="shared" si="4"/>
        <v>0</v>
      </c>
      <c r="P20" s="7">
        <f t="shared" si="4"/>
        <v>0</v>
      </c>
      <c r="Q20" s="7">
        <f t="shared" si="4"/>
        <v>0</v>
      </c>
      <c r="R20" s="96">
        <f t="shared" si="5"/>
        <v>0</v>
      </c>
      <c r="S20" s="3">
        <f t="shared" si="6"/>
        <v>0</v>
      </c>
      <c r="T20" s="3"/>
    </row>
    <row r="21" spans="1:20" s="5" customFormat="1" x14ac:dyDescent="0.2">
      <c r="A21" s="87"/>
      <c r="B21" s="29" t="s">
        <v>427</v>
      </c>
      <c r="C21" s="28">
        <f t="shared" si="8"/>
        <v>0</v>
      </c>
      <c r="D21" s="27">
        <v>0</v>
      </c>
      <c r="E21" s="104"/>
      <c r="F21" s="7">
        <f t="shared" si="4"/>
        <v>0</v>
      </c>
      <c r="G21" s="7">
        <f t="shared" si="4"/>
        <v>0</v>
      </c>
      <c r="H21" s="7">
        <f t="shared" si="4"/>
        <v>0</v>
      </c>
      <c r="I21" s="7">
        <f t="shared" si="4"/>
        <v>0</v>
      </c>
      <c r="J21" s="7">
        <f t="shared" si="4"/>
        <v>0</v>
      </c>
      <c r="K21" s="7">
        <f t="shared" si="4"/>
        <v>0</v>
      </c>
      <c r="L21" s="7">
        <f t="shared" si="4"/>
        <v>0</v>
      </c>
      <c r="M21" s="7">
        <f t="shared" si="4"/>
        <v>0</v>
      </c>
      <c r="N21" s="7">
        <f t="shared" si="4"/>
        <v>0</v>
      </c>
      <c r="O21" s="7">
        <f t="shared" si="4"/>
        <v>0</v>
      </c>
      <c r="P21" s="7">
        <f t="shared" si="4"/>
        <v>0</v>
      </c>
      <c r="Q21" s="7">
        <f t="shared" si="4"/>
        <v>0</v>
      </c>
      <c r="R21" s="96">
        <f t="shared" si="5"/>
        <v>0</v>
      </c>
      <c r="S21" s="3">
        <f t="shared" si="6"/>
        <v>0</v>
      </c>
      <c r="T21" s="3"/>
    </row>
    <row r="22" spans="1:20" x14ac:dyDescent="0.2">
      <c r="A22" s="16"/>
      <c r="B22" s="29" t="s">
        <v>428</v>
      </c>
      <c r="C22" s="28">
        <f t="shared" si="8"/>
        <v>0</v>
      </c>
      <c r="D22" s="13">
        <v>0</v>
      </c>
      <c r="E22" s="7"/>
      <c r="F22" s="7">
        <f t="shared" si="4"/>
        <v>0</v>
      </c>
      <c r="G22" s="7">
        <f t="shared" si="4"/>
        <v>0</v>
      </c>
      <c r="H22" s="7">
        <f t="shared" si="4"/>
        <v>0</v>
      </c>
      <c r="I22" s="7">
        <f t="shared" si="4"/>
        <v>0</v>
      </c>
      <c r="J22" s="7">
        <f t="shared" si="4"/>
        <v>0</v>
      </c>
      <c r="K22" s="7">
        <f t="shared" si="4"/>
        <v>0</v>
      </c>
      <c r="L22" s="7">
        <f t="shared" si="4"/>
        <v>0</v>
      </c>
      <c r="M22" s="7">
        <f t="shared" si="4"/>
        <v>0</v>
      </c>
      <c r="N22" s="7">
        <f t="shared" si="4"/>
        <v>0</v>
      </c>
      <c r="O22" s="7">
        <f t="shared" si="4"/>
        <v>0</v>
      </c>
      <c r="P22" s="7">
        <f t="shared" si="4"/>
        <v>0</v>
      </c>
      <c r="Q22" s="7">
        <f t="shared" si="4"/>
        <v>0</v>
      </c>
      <c r="R22" s="96">
        <f t="shared" si="5"/>
        <v>0</v>
      </c>
      <c r="S22" s="3">
        <f t="shared" si="6"/>
        <v>0</v>
      </c>
      <c r="T22" s="3"/>
    </row>
    <row r="23" spans="1:20" x14ac:dyDescent="0.2">
      <c r="A23" s="16"/>
      <c r="B23" s="29" t="s">
        <v>429</v>
      </c>
      <c r="C23" s="28">
        <f t="shared" si="8"/>
        <v>0</v>
      </c>
      <c r="D23" s="13">
        <v>0</v>
      </c>
      <c r="E23" s="7"/>
      <c r="F23" s="7">
        <f t="shared" si="4"/>
        <v>0</v>
      </c>
      <c r="G23" s="7">
        <f t="shared" si="4"/>
        <v>0</v>
      </c>
      <c r="H23" s="7">
        <f t="shared" si="4"/>
        <v>0</v>
      </c>
      <c r="I23" s="7">
        <f t="shared" si="4"/>
        <v>0</v>
      </c>
      <c r="J23" s="7">
        <f t="shared" si="4"/>
        <v>0</v>
      </c>
      <c r="K23" s="7">
        <f t="shared" si="4"/>
        <v>0</v>
      </c>
      <c r="L23" s="7">
        <f t="shared" si="4"/>
        <v>0</v>
      </c>
      <c r="M23" s="7">
        <f t="shared" si="4"/>
        <v>0</v>
      </c>
      <c r="N23" s="7">
        <f t="shared" si="4"/>
        <v>0</v>
      </c>
      <c r="O23" s="7">
        <f t="shared" si="4"/>
        <v>0</v>
      </c>
      <c r="P23" s="7">
        <f t="shared" si="4"/>
        <v>0</v>
      </c>
      <c r="Q23" s="7">
        <f t="shared" si="4"/>
        <v>0</v>
      </c>
      <c r="R23" s="96">
        <f t="shared" si="5"/>
        <v>0</v>
      </c>
      <c r="S23" s="3">
        <f t="shared" si="6"/>
        <v>0</v>
      </c>
      <c r="T23" s="3"/>
    </row>
    <row r="24" spans="1:20" x14ac:dyDescent="0.2">
      <c r="A24" s="16"/>
      <c r="B24" s="29" t="s">
        <v>430</v>
      </c>
      <c r="C24" s="28">
        <f t="shared" si="8"/>
        <v>0</v>
      </c>
      <c r="D24" s="13">
        <v>0</v>
      </c>
      <c r="E24" s="7"/>
      <c r="F24" s="7">
        <f t="shared" si="4"/>
        <v>0</v>
      </c>
      <c r="G24" s="7">
        <f t="shared" si="4"/>
        <v>0</v>
      </c>
      <c r="H24" s="7">
        <f t="shared" si="4"/>
        <v>0</v>
      </c>
      <c r="I24" s="7">
        <f t="shared" si="4"/>
        <v>0</v>
      </c>
      <c r="J24" s="7">
        <f t="shared" si="4"/>
        <v>0</v>
      </c>
      <c r="K24" s="7">
        <f t="shared" si="4"/>
        <v>0</v>
      </c>
      <c r="L24" s="7">
        <f t="shared" si="4"/>
        <v>0</v>
      </c>
      <c r="M24" s="7">
        <f t="shared" si="4"/>
        <v>0</v>
      </c>
      <c r="N24" s="7">
        <f t="shared" si="4"/>
        <v>0</v>
      </c>
      <c r="O24" s="7">
        <f t="shared" si="4"/>
        <v>0</v>
      </c>
      <c r="P24" s="7">
        <f t="shared" si="4"/>
        <v>0</v>
      </c>
      <c r="Q24" s="7">
        <f t="shared" si="4"/>
        <v>0</v>
      </c>
      <c r="R24" s="96">
        <f t="shared" si="5"/>
        <v>0</v>
      </c>
      <c r="S24" s="3">
        <f t="shared" si="6"/>
        <v>0</v>
      </c>
      <c r="T24" s="3"/>
    </row>
    <row r="25" spans="1:20" x14ac:dyDescent="0.2">
      <c r="A25" s="87">
        <v>31111.065999999999</v>
      </c>
      <c r="B25" s="161" t="s">
        <v>531</v>
      </c>
      <c r="C25" s="290">
        <f>SUM(C18:C24)</f>
        <v>0</v>
      </c>
      <c r="D25" s="291"/>
      <c r="E25" s="291"/>
      <c r="F25" s="292">
        <f>SUM(F18:F24)</f>
        <v>0</v>
      </c>
      <c r="G25" s="292">
        <f t="shared" ref="G25:Q25" si="9">SUM(G18:G24)</f>
        <v>0</v>
      </c>
      <c r="H25" s="292">
        <f t="shared" si="9"/>
        <v>0</v>
      </c>
      <c r="I25" s="292">
        <f t="shared" si="9"/>
        <v>0</v>
      </c>
      <c r="J25" s="292">
        <f t="shared" si="9"/>
        <v>0</v>
      </c>
      <c r="K25" s="292">
        <f t="shared" si="9"/>
        <v>0</v>
      </c>
      <c r="L25" s="292">
        <f t="shared" si="9"/>
        <v>0</v>
      </c>
      <c r="M25" s="292">
        <f t="shared" si="9"/>
        <v>0</v>
      </c>
      <c r="N25" s="292">
        <f t="shared" si="9"/>
        <v>0</v>
      </c>
      <c r="O25" s="292">
        <f t="shared" si="9"/>
        <v>0</v>
      </c>
      <c r="P25" s="292">
        <f t="shared" si="9"/>
        <v>0</v>
      </c>
      <c r="Q25" s="292">
        <f t="shared" si="9"/>
        <v>0</v>
      </c>
      <c r="R25" s="292">
        <f t="shared" si="5"/>
        <v>0</v>
      </c>
      <c r="S25" s="292">
        <f t="shared" si="6"/>
        <v>0</v>
      </c>
      <c r="T25" s="3"/>
    </row>
    <row r="26" spans="1:20" x14ac:dyDescent="0.2">
      <c r="A26" s="16"/>
      <c r="B26" s="29" t="s">
        <v>358</v>
      </c>
      <c r="C26" s="28">
        <f t="shared" ref="C26:C32" si="10">C$3*D26</f>
        <v>82375.944584382858</v>
      </c>
      <c r="D26" s="13">
        <f>[5]Mammography!$J$28</f>
        <v>64.105793450881606</v>
      </c>
      <c r="E26" s="7"/>
      <c r="F26" s="375">
        <f>$D26*F$3</f>
        <v>8397.8589420654898</v>
      </c>
      <c r="G26" s="375">
        <f t="shared" ref="G26:Q32" si="11">$D26*G$3</f>
        <v>9744.0806045340032</v>
      </c>
      <c r="H26" s="375">
        <f t="shared" si="11"/>
        <v>5705.4156171284631</v>
      </c>
      <c r="I26" s="375">
        <f t="shared" si="11"/>
        <v>7756.8010075566744</v>
      </c>
      <c r="J26" s="375">
        <f t="shared" si="11"/>
        <v>5577.2040302266996</v>
      </c>
      <c r="K26" s="375">
        <f t="shared" si="11"/>
        <v>6154.1561712846342</v>
      </c>
      <c r="L26" s="375">
        <f t="shared" si="11"/>
        <v>4807.9345088161208</v>
      </c>
      <c r="M26" s="375">
        <f t="shared" si="11"/>
        <v>4743.8287153652391</v>
      </c>
      <c r="N26" s="375">
        <f t="shared" si="11"/>
        <v>4743.8287153652391</v>
      </c>
      <c r="O26" s="375">
        <f t="shared" si="11"/>
        <v>7372.166246851385</v>
      </c>
      <c r="P26" s="375">
        <f t="shared" si="11"/>
        <v>9551.763224181359</v>
      </c>
      <c r="Q26" s="375">
        <f t="shared" si="11"/>
        <v>7820.9068010075562</v>
      </c>
      <c r="R26" s="109">
        <f t="shared" si="5"/>
        <v>82375.944584382858</v>
      </c>
      <c r="S26" s="3">
        <f t="shared" si="6"/>
        <v>0</v>
      </c>
      <c r="T26" s="3"/>
    </row>
    <row r="27" spans="1:20" x14ac:dyDescent="0.2">
      <c r="A27" s="16"/>
      <c r="B27" s="29" t="s">
        <v>359</v>
      </c>
      <c r="C27" s="28">
        <f t="shared" si="10"/>
        <v>5502.5188916876577</v>
      </c>
      <c r="D27" s="13">
        <f>[5]Mammography!$J$29</f>
        <v>4.2821158690176322</v>
      </c>
      <c r="E27" s="7"/>
      <c r="F27" s="375">
        <f t="shared" ref="F27:F32" si="12">$D27*F$3</f>
        <v>560.95717884130977</v>
      </c>
      <c r="G27" s="375">
        <f t="shared" si="11"/>
        <v>650.88161209068005</v>
      </c>
      <c r="H27" s="375">
        <f t="shared" si="11"/>
        <v>381.10831234256926</v>
      </c>
      <c r="I27" s="375">
        <f t="shared" si="11"/>
        <v>518.13602015113349</v>
      </c>
      <c r="J27" s="375">
        <f t="shared" si="11"/>
        <v>372.54408060453397</v>
      </c>
      <c r="K27" s="375">
        <f t="shared" si="11"/>
        <v>411.08312342569269</v>
      </c>
      <c r="L27" s="375">
        <f t="shared" si="11"/>
        <v>321.15869017632241</v>
      </c>
      <c r="M27" s="375">
        <f t="shared" si="11"/>
        <v>316.87657430730479</v>
      </c>
      <c r="N27" s="375">
        <f t="shared" si="11"/>
        <v>316.87657430730479</v>
      </c>
      <c r="O27" s="375">
        <f t="shared" si="11"/>
        <v>492.44332493702768</v>
      </c>
      <c r="P27" s="375">
        <f t="shared" si="11"/>
        <v>638.0352644836272</v>
      </c>
      <c r="Q27" s="375">
        <f t="shared" si="11"/>
        <v>522.41813602015111</v>
      </c>
      <c r="R27" s="109">
        <f t="shared" si="5"/>
        <v>5502.5188916876577</v>
      </c>
      <c r="S27" s="3">
        <f t="shared" si="6"/>
        <v>0</v>
      </c>
      <c r="T27" s="3"/>
    </row>
    <row r="28" spans="1:20" x14ac:dyDescent="0.2">
      <c r="A28" s="16"/>
      <c r="B28" s="29" t="s">
        <v>372</v>
      </c>
      <c r="C28" s="28">
        <f t="shared" si="10"/>
        <v>51060.138539042819</v>
      </c>
      <c r="D28" s="13">
        <f>[5]Mammography!$J$30</f>
        <v>39.735516372795971</v>
      </c>
      <c r="E28" s="7"/>
      <c r="F28" s="375">
        <f t="shared" si="12"/>
        <v>5205.3526448362718</v>
      </c>
      <c r="G28" s="375">
        <f t="shared" si="11"/>
        <v>6039.7984886649874</v>
      </c>
      <c r="H28" s="375">
        <f t="shared" si="11"/>
        <v>3536.4609571788415</v>
      </c>
      <c r="I28" s="375">
        <f t="shared" si="11"/>
        <v>4807.9974811083121</v>
      </c>
      <c r="J28" s="375">
        <f t="shared" si="11"/>
        <v>3456.9899244332496</v>
      </c>
      <c r="K28" s="375">
        <f t="shared" si="11"/>
        <v>3814.6095717884132</v>
      </c>
      <c r="L28" s="375">
        <f t="shared" si="11"/>
        <v>2980.163727959698</v>
      </c>
      <c r="M28" s="375">
        <f t="shared" si="11"/>
        <v>2940.4282115869019</v>
      </c>
      <c r="N28" s="375">
        <f t="shared" si="11"/>
        <v>2940.4282115869019</v>
      </c>
      <c r="O28" s="375">
        <f t="shared" si="11"/>
        <v>4569.5843828715369</v>
      </c>
      <c r="P28" s="375">
        <f t="shared" si="11"/>
        <v>5920.5919395465999</v>
      </c>
      <c r="Q28" s="375">
        <f t="shared" si="11"/>
        <v>4847.7329974811082</v>
      </c>
      <c r="R28" s="109">
        <f t="shared" si="5"/>
        <v>51060.138539042811</v>
      </c>
      <c r="S28" s="3">
        <f t="shared" si="6"/>
        <v>0</v>
      </c>
      <c r="T28" s="3"/>
    </row>
    <row r="29" spans="1:20" x14ac:dyDescent="0.2">
      <c r="A29" s="16"/>
      <c r="B29" s="29" t="s">
        <v>373</v>
      </c>
      <c r="C29" s="28">
        <f t="shared" si="10"/>
        <v>0</v>
      </c>
      <c r="D29" s="13"/>
      <c r="E29" s="7"/>
      <c r="F29" s="375">
        <f t="shared" si="12"/>
        <v>0</v>
      </c>
      <c r="G29" s="375">
        <f t="shared" si="11"/>
        <v>0</v>
      </c>
      <c r="H29" s="375">
        <f t="shared" si="11"/>
        <v>0</v>
      </c>
      <c r="I29" s="375">
        <f t="shared" si="11"/>
        <v>0</v>
      </c>
      <c r="J29" s="375">
        <f t="shared" si="11"/>
        <v>0</v>
      </c>
      <c r="K29" s="375">
        <f t="shared" si="11"/>
        <v>0</v>
      </c>
      <c r="L29" s="375">
        <f t="shared" si="11"/>
        <v>0</v>
      </c>
      <c r="M29" s="375">
        <f t="shared" si="11"/>
        <v>0</v>
      </c>
      <c r="N29" s="375">
        <f t="shared" si="11"/>
        <v>0</v>
      </c>
      <c r="O29" s="375">
        <f t="shared" si="11"/>
        <v>0</v>
      </c>
      <c r="P29" s="375">
        <f t="shared" si="11"/>
        <v>0</v>
      </c>
      <c r="Q29" s="375">
        <f t="shared" si="11"/>
        <v>0</v>
      </c>
      <c r="R29" s="109">
        <f t="shared" si="5"/>
        <v>0</v>
      </c>
      <c r="S29" s="3">
        <f t="shared" si="6"/>
        <v>0</v>
      </c>
      <c r="T29" s="3"/>
    </row>
    <row r="30" spans="1:20" x14ac:dyDescent="0.2">
      <c r="A30" s="16"/>
      <c r="B30" s="29" t="s">
        <v>361</v>
      </c>
      <c r="C30" s="28">
        <f t="shared" si="10"/>
        <v>61175.062972292195</v>
      </c>
      <c r="D30" s="13">
        <f>[5]Mammography!$J$32</f>
        <v>47.607052896725442</v>
      </c>
      <c r="E30" s="7"/>
      <c r="F30" s="375">
        <f t="shared" si="12"/>
        <v>6236.5239294710327</v>
      </c>
      <c r="G30" s="375">
        <f t="shared" si="11"/>
        <v>7236.2720403022668</v>
      </c>
      <c r="H30" s="375">
        <f t="shared" si="11"/>
        <v>4237.0277078085646</v>
      </c>
      <c r="I30" s="375">
        <f t="shared" si="11"/>
        <v>5760.4534005037785</v>
      </c>
      <c r="J30" s="375">
        <f t="shared" si="11"/>
        <v>4141.8136020151132</v>
      </c>
      <c r="K30" s="375">
        <f t="shared" si="11"/>
        <v>4570.2770780856426</v>
      </c>
      <c r="L30" s="375">
        <f t="shared" si="11"/>
        <v>3570.5289672544081</v>
      </c>
      <c r="M30" s="375">
        <f t="shared" si="11"/>
        <v>3522.9219143576829</v>
      </c>
      <c r="N30" s="375">
        <f t="shared" si="11"/>
        <v>3522.9219143576829</v>
      </c>
      <c r="O30" s="375">
        <f t="shared" si="11"/>
        <v>5474.8110831234262</v>
      </c>
      <c r="P30" s="375">
        <f t="shared" si="11"/>
        <v>7093.4508816120906</v>
      </c>
      <c r="Q30" s="375">
        <f t="shared" si="11"/>
        <v>5808.0604534005042</v>
      </c>
      <c r="R30" s="109">
        <f t="shared" si="5"/>
        <v>61175.062972292195</v>
      </c>
      <c r="S30" s="3">
        <f t="shared" si="6"/>
        <v>0</v>
      </c>
      <c r="T30" s="3"/>
    </row>
    <row r="31" spans="1:20" x14ac:dyDescent="0.2">
      <c r="A31" s="16"/>
      <c r="B31" s="29" t="s">
        <v>360</v>
      </c>
      <c r="C31" s="28">
        <f t="shared" si="10"/>
        <v>54377.833753148618</v>
      </c>
      <c r="D31" s="13">
        <f>[5]Mammography!$J$33</f>
        <v>42.31738035264484</v>
      </c>
      <c r="E31" s="7"/>
      <c r="F31" s="375">
        <f t="shared" si="12"/>
        <v>5543.576826196474</v>
      </c>
      <c r="G31" s="375">
        <f t="shared" si="11"/>
        <v>6432.241813602016</v>
      </c>
      <c r="H31" s="375">
        <f t="shared" si="11"/>
        <v>3766.2468513853905</v>
      </c>
      <c r="I31" s="375">
        <f t="shared" si="11"/>
        <v>5120.4030226700252</v>
      </c>
      <c r="J31" s="375">
        <f t="shared" si="11"/>
        <v>3681.6120906801011</v>
      </c>
      <c r="K31" s="375">
        <f t="shared" si="11"/>
        <v>4062.4685138539044</v>
      </c>
      <c r="L31" s="375">
        <f t="shared" si="11"/>
        <v>3173.8035264483628</v>
      </c>
      <c r="M31" s="375">
        <f t="shared" si="11"/>
        <v>3131.4861460957181</v>
      </c>
      <c r="N31" s="375">
        <f t="shared" si="11"/>
        <v>3131.4861460957181</v>
      </c>
      <c r="O31" s="375">
        <f t="shared" si="11"/>
        <v>4866.4987405541569</v>
      </c>
      <c r="P31" s="375">
        <f t="shared" si="11"/>
        <v>6305.2896725440814</v>
      </c>
      <c r="Q31" s="375">
        <f t="shared" si="11"/>
        <v>5162.7204030226703</v>
      </c>
      <c r="R31" s="109">
        <f t="shared" si="5"/>
        <v>54377.833753148618</v>
      </c>
      <c r="S31" s="3">
        <f t="shared" si="6"/>
        <v>0</v>
      </c>
      <c r="T31" s="3"/>
    </row>
    <row r="32" spans="1:20" x14ac:dyDescent="0.2">
      <c r="A32" s="16"/>
      <c r="B32" s="29" t="s">
        <v>362</v>
      </c>
      <c r="C32" s="28">
        <f t="shared" si="10"/>
        <v>2589.4206549118389</v>
      </c>
      <c r="D32" s="13">
        <f>[5]Mammography!$J$34</f>
        <v>2.0151133501259446</v>
      </c>
      <c r="E32" s="7"/>
      <c r="F32" s="375">
        <f t="shared" si="12"/>
        <v>263.97984886649874</v>
      </c>
      <c r="G32" s="375">
        <f t="shared" si="11"/>
        <v>306.29722921914356</v>
      </c>
      <c r="H32" s="375">
        <f t="shared" si="11"/>
        <v>179.34508816120908</v>
      </c>
      <c r="I32" s="375">
        <f t="shared" si="11"/>
        <v>243.8287153652393</v>
      </c>
      <c r="J32" s="375">
        <f t="shared" si="11"/>
        <v>175.31486146095719</v>
      </c>
      <c r="K32" s="375">
        <f t="shared" si="11"/>
        <v>193.45088161209068</v>
      </c>
      <c r="L32" s="375">
        <f t="shared" si="11"/>
        <v>151.13350125944584</v>
      </c>
      <c r="M32" s="375">
        <f t="shared" si="11"/>
        <v>149.11838790931989</v>
      </c>
      <c r="N32" s="375">
        <f t="shared" si="11"/>
        <v>149.11838790931989</v>
      </c>
      <c r="O32" s="375">
        <f t="shared" si="11"/>
        <v>231.73803526448364</v>
      </c>
      <c r="P32" s="375">
        <f t="shared" si="11"/>
        <v>300.25188916876573</v>
      </c>
      <c r="Q32" s="375">
        <f t="shared" si="11"/>
        <v>245.84382871536525</v>
      </c>
      <c r="R32" s="109">
        <f t="shared" si="5"/>
        <v>2589.4206549118385</v>
      </c>
      <c r="S32" s="3">
        <f t="shared" si="6"/>
        <v>0</v>
      </c>
      <c r="T32" s="3"/>
    </row>
    <row r="33" spans="1:20" x14ac:dyDescent="0.2">
      <c r="A33" s="90">
        <v>31200.065999999999</v>
      </c>
      <c r="B33" s="161" t="s">
        <v>532</v>
      </c>
      <c r="C33" s="370">
        <f>SUM(C26:C32)</f>
        <v>257080.91939546599</v>
      </c>
      <c r="D33" s="369"/>
      <c r="E33" s="369"/>
      <c r="F33" s="369">
        <f>SUM(F26:F32)</f>
        <v>26208.249370277077</v>
      </c>
      <c r="G33" s="369">
        <f t="shared" ref="G33:Q33" si="13">SUM(G26:G32)</f>
        <v>30409.571788413101</v>
      </c>
      <c r="H33" s="369">
        <f t="shared" si="13"/>
        <v>17805.604534005037</v>
      </c>
      <c r="I33" s="369">
        <f t="shared" si="13"/>
        <v>24207.619647355164</v>
      </c>
      <c r="J33" s="369">
        <f t="shared" si="13"/>
        <v>17405.478589420654</v>
      </c>
      <c r="K33" s="369">
        <f t="shared" si="13"/>
        <v>19206.045340050379</v>
      </c>
      <c r="L33" s="369">
        <f t="shared" si="13"/>
        <v>15004.722921914357</v>
      </c>
      <c r="M33" s="369">
        <f t="shared" si="13"/>
        <v>14804.659949622166</v>
      </c>
      <c r="N33" s="369">
        <f t="shared" si="13"/>
        <v>14804.659949622166</v>
      </c>
      <c r="O33" s="369">
        <f t="shared" si="13"/>
        <v>23007.241813602017</v>
      </c>
      <c r="P33" s="369">
        <f t="shared" si="13"/>
        <v>29809.382871536523</v>
      </c>
      <c r="Q33" s="369">
        <f t="shared" si="13"/>
        <v>24407.682619647356</v>
      </c>
      <c r="R33" s="369">
        <f t="shared" si="5"/>
        <v>257080.91939546604</v>
      </c>
      <c r="S33" s="292">
        <f t="shared" si="6"/>
        <v>0</v>
      </c>
      <c r="T33" s="3"/>
    </row>
    <row r="34" spans="1:20" s="5" customFormat="1" x14ac:dyDescent="0.2">
      <c r="A34" s="11"/>
      <c r="B34" s="77" t="s">
        <v>0</v>
      </c>
      <c r="C34" s="371">
        <f>C17+C25+C33</f>
        <v>257080.91939546599</v>
      </c>
      <c r="D34" s="372">
        <f>(C34/C$4)</f>
        <v>200.06297229219143</v>
      </c>
      <c r="E34" s="372"/>
      <c r="F34" s="372">
        <f>F17+F25+F33</f>
        <v>26208.249370277077</v>
      </c>
      <c r="G34" s="372">
        <f t="shared" ref="G34:Q34" si="14">G17+G25+G33</f>
        <v>30409.571788413101</v>
      </c>
      <c r="H34" s="372">
        <f t="shared" si="14"/>
        <v>17805.604534005037</v>
      </c>
      <c r="I34" s="372">
        <f t="shared" si="14"/>
        <v>24207.619647355164</v>
      </c>
      <c r="J34" s="372">
        <f t="shared" si="14"/>
        <v>17405.478589420654</v>
      </c>
      <c r="K34" s="372">
        <f t="shared" si="14"/>
        <v>19206.045340050379</v>
      </c>
      <c r="L34" s="372">
        <f t="shared" si="14"/>
        <v>15004.722921914357</v>
      </c>
      <c r="M34" s="372">
        <f t="shared" si="14"/>
        <v>14804.659949622166</v>
      </c>
      <c r="N34" s="372">
        <f t="shared" si="14"/>
        <v>14804.659949622166</v>
      </c>
      <c r="O34" s="372">
        <f t="shared" si="14"/>
        <v>23007.241813602017</v>
      </c>
      <c r="P34" s="372">
        <f t="shared" si="14"/>
        <v>29809.382871536523</v>
      </c>
      <c r="Q34" s="372">
        <f t="shared" si="14"/>
        <v>24407.682619647356</v>
      </c>
      <c r="R34" s="372">
        <f t="shared" ref="R34" si="15">SUM(F34:Q34)</f>
        <v>257080.91939546604</v>
      </c>
      <c r="S34" s="292">
        <f t="shared" si="6"/>
        <v>0</v>
      </c>
      <c r="T34" s="3"/>
    </row>
    <row r="35" spans="1:20" x14ac:dyDescent="0.2">
      <c r="A35" s="21"/>
      <c r="C35" s="78"/>
    </row>
    <row r="36" spans="1:20" x14ac:dyDescent="0.2">
      <c r="A36" s="715" t="s">
        <v>25</v>
      </c>
      <c r="B36" s="715"/>
      <c r="C36" s="715"/>
      <c r="D36" s="715"/>
      <c r="E36" s="194"/>
    </row>
    <row r="37" spans="1:20" s="151" customFormat="1" x14ac:dyDescent="0.2">
      <c r="A37" s="21"/>
      <c r="B37" s="77" t="s">
        <v>529</v>
      </c>
      <c r="C37" s="78"/>
      <c r="D37" s="168" t="s">
        <v>533</v>
      </c>
      <c r="E37" s="140"/>
      <c r="F37" s="91"/>
      <c r="G37" s="91"/>
      <c r="H37" s="91"/>
      <c r="I37" s="91"/>
      <c r="J37" s="164"/>
      <c r="K37" s="164"/>
      <c r="L37" s="164"/>
      <c r="M37" s="164"/>
      <c r="N37" s="164"/>
      <c r="O37" s="164"/>
      <c r="P37" s="164"/>
      <c r="Q37" s="164"/>
      <c r="R37" s="164"/>
      <c r="S37" s="164"/>
      <c r="T37" s="164"/>
    </row>
    <row r="38" spans="1:20" s="92" customFormat="1" x14ac:dyDescent="0.2">
      <c r="A38" s="87">
        <v>41101.065999999999</v>
      </c>
      <c r="B38" s="15" t="s">
        <v>22</v>
      </c>
      <c r="C38" s="428">
        <f>[6]Mammography!$J$15</f>
        <v>33408</v>
      </c>
      <c r="D38" s="434">
        <f>$C38/C$6</f>
        <v>32.123076923076923</v>
      </c>
      <c r="E38" s="120"/>
      <c r="F38" s="373">
        <f>$D38*F$6</f>
        <v>2837.3917808219176</v>
      </c>
      <c r="G38" s="373">
        <f t="shared" ref="G38:Q38" si="16">$D38*G$6</f>
        <v>2745.8630136986303</v>
      </c>
      <c r="H38" s="373">
        <f t="shared" si="16"/>
        <v>2837.3917808219176</v>
      </c>
      <c r="I38" s="373">
        <f t="shared" si="16"/>
        <v>2837.3917808219176</v>
      </c>
      <c r="J38" s="373">
        <f t="shared" si="16"/>
        <v>2562.8054794520544</v>
      </c>
      <c r="K38" s="373">
        <f t="shared" si="16"/>
        <v>2837.3917808219176</v>
      </c>
      <c r="L38" s="373">
        <f t="shared" si="16"/>
        <v>2745.8630136986303</v>
      </c>
      <c r="M38" s="373">
        <f t="shared" si="16"/>
        <v>2837.3917808219176</v>
      </c>
      <c r="N38" s="373">
        <f t="shared" si="16"/>
        <v>2745.8630136986303</v>
      </c>
      <c r="O38" s="373">
        <f t="shared" si="16"/>
        <v>2837.3917808219176</v>
      </c>
      <c r="P38" s="373">
        <f t="shared" si="16"/>
        <v>2837.3917808219176</v>
      </c>
      <c r="Q38" s="373">
        <f t="shared" si="16"/>
        <v>2745.8630136986303</v>
      </c>
      <c r="R38" s="109">
        <f t="shared" ref="R38:R54" si="17">SUM(F38:Q38)</f>
        <v>33408.000000000007</v>
      </c>
      <c r="S38" s="3">
        <f>C38-R38</f>
        <v>0</v>
      </c>
      <c r="T38" s="3"/>
    </row>
    <row r="39" spans="1:20" s="92" customFormat="1" x14ac:dyDescent="0.2">
      <c r="A39" s="87">
        <v>41110.065999999999</v>
      </c>
      <c r="B39" s="15" t="s">
        <v>21</v>
      </c>
      <c r="C39" s="428">
        <f>[6]Mammography!$J$16</f>
        <v>3712</v>
      </c>
      <c r="D39" s="434">
        <f t="shared" ref="D39:D41" si="18">$C39/C$6</f>
        <v>3.5692307692307694</v>
      </c>
      <c r="E39" s="120"/>
      <c r="F39" s="373">
        <f t="shared" ref="F39:Q41" si="19">$D39*F$6</f>
        <v>315.26575342465753</v>
      </c>
      <c r="G39" s="373">
        <f t="shared" si="19"/>
        <v>305.09589041095893</v>
      </c>
      <c r="H39" s="373">
        <f t="shared" si="19"/>
        <v>315.26575342465753</v>
      </c>
      <c r="I39" s="373">
        <f t="shared" si="19"/>
        <v>315.26575342465753</v>
      </c>
      <c r="J39" s="373">
        <f t="shared" si="19"/>
        <v>284.75616438356161</v>
      </c>
      <c r="K39" s="373">
        <f t="shared" si="19"/>
        <v>315.26575342465753</v>
      </c>
      <c r="L39" s="373">
        <f t="shared" si="19"/>
        <v>305.09589041095893</v>
      </c>
      <c r="M39" s="373">
        <f t="shared" si="19"/>
        <v>315.26575342465753</v>
      </c>
      <c r="N39" s="373">
        <f t="shared" si="19"/>
        <v>305.09589041095893</v>
      </c>
      <c r="O39" s="373">
        <f t="shared" si="19"/>
        <v>315.26575342465753</v>
      </c>
      <c r="P39" s="373">
        <f t="shared" si="19"/>
        <v>315.26575342465753</v>
      </c>
      <c r="Q39" s="373">
        <f t="shared" si="19"/>
        <v>305.09589041095893</v>
      </c>
      <c r="R39" s="109">
        <f t="shared" si="17"/>
        <v>3711.9999999999995</v>
      </c>
      <c r="S39" s="3">
        <f t="shared" ref="S39:S53" si="20">C39-R39</f>
        <v>0</v>
      </c>
      <c r="T39" s="3"/>
    </row>
    <row r="40" spans="1:20" s="92" customFormat="1" x14ac:dyDescent="0.2">
      <c r="A40" s="87">
        <v>41115.065999999999</v>
      </c>
      <c r="B40" s="15" t="s">
        <v>20</v>
      </c>
      <c r="C40" s="428">
        <f>[6]Mammography!$J$17</f>
        <v>500</v>
      </c>
      <c r="D40" s="434">
        <f t="shared" si="18"/>
        <v>0.48076923076923078</v>
      </c>
      <c r="E40" s="120"/>
      <c r="F40" s="373">
        <f t="shared" si="19"/>
        <v>42.465753424657528</v>
      </c>
      <c r="G40" s="373">
        <f t="shared" si="19"/>
        <v>41.095890410958908</v>
      </c>
      <c r="H40" s="373">
        <f t="shared" si="19"/>
        <v>42.465753424657528</v>
      </c>
      <c r="I40" s="373">
        <f t="shared" si="19"/>
        <v>42.465753424657528</v>
      </c>
      <c r="J40" s="373">
        <f t="shared" si="19"/>
        <v>38.356164383561641</v>
      </c>
      <c r="K40" s="373">
        <f t="shared" si="19"/>
        <v>42.465753424657528</v>
      </c>
      <c r="L40" s="373">
        <f t="shared" si="19"/>
        <v>41.095890410958908</v>
      </c>
      <c r="M40" s="373">
        <f t="shared" si="19"/>
        <v>42.465753424657528</v>
      </c>
      <c r="N40" s="373">
        <f t="shared" si="19"/>
        <v>41.095890410958908</v>
      </c>
      <c r="O40" s="373">
        <f t="shared" si="19"/>
        <v>42.465753424657528</v>
      </c>
      <c r="P40" s="373">
        <f t="shared" si="19"/>
        <v>42.465753424657528</v>
      </c>
      <c r="Q40" s="373">
        <f t="shared" si="19"/>
        <v>41.095890410958908</v>
      </c>
      <c r="R40" s="109">
        <f t="shared" si="17"/>
        <v>500</v>
      </c>
      <c r="S40" s="3">
        <f t="shared" si="20"/>
        <v>0</v>
      </c>
      <c r="T40" s="3"/>
    </row>
    <row r="41" spans="1:20" s="92" customFormat="1" x14ac:dyDescent="0.2">
      <c r="A41" s="87">
        <v>41150.065999999999</v>
      </c>
      <c r="B41" s="15" t="s">
        <v>19</v>
      </c>
      <c r="C41" s="428">
        <f>[6]Mammography!$J$18</f>
        <v>2877.93</v>
      </c>
      <c r="D41" s="434">
        <f t="shared" si="18"/>
        <v>2.7672403846153846</v>
      </c>
      <c r="E41" s="120"/>
      <c r="F41" s="373">
        <f t="shared" si="19"/>
        <v>244.42693150684929</v>
      </c>
      <c r="G41" s="373">
        <f t="shared" si="19"/>
        <v>236.54219178082192</v>
      </c>
      <c r="H41" s="373">
        <f t="shared" si="19"/>
        <v>244.42693150684929</v>
      </c>
      <c r="I41" s="373">
        <f t="shared" si="19"/>
        <v>244.42693150684929</v>
      </c>
      <c r="J41" s="373">
        <f t="shared" si="19"/>
        <v>220.77271232876708</v>
      </c>
      <c r="K41" s="373">
        <f t="shared" si="19"/>
        <v>244.42693150684929</v>
      </c>
      <c r="L41" s="373">
        <f t="shared" si="19"/>
        <v>236.54219178082192</v>
      </c>
      <c r="M41" s="373">
        <f t="shared" si="19"/>
        <v>244.42693150684929</v>
      </c>
      <c r="N41" s="373">
        <f t="shared" si="19"/>
        <v>236.54219178082192</v>
      </c>
      <c r="O41" s="373">
        <f t="shared" si="19"/>
        <v>244.42693150684929</v>
      </c>
      <c r="P41" s="373">
        <f t="shared" si="19"/>
        <v>244.42693150684929</v>
      </c>
      <c r="Q41" s="373">
        <f t="shared" si="19"/>
        <v>236.54219178082192</v>
      </c>
      <c r="R41" s="109">
        <f t="shared" si="17"/>
        <v>2877.93</v>
      </c>
      <c r="S41" s="3">
        <f t="shared" si="20"/>
        <v>0</v>
      </c>
      <c r="T41" s="3"/>
    </row>
    <row r="42" spans="1:20" s="92" customFormat="1" x14ac:dyDescent="0.2">
      <c r="A42" s="87">
        <v>41214.065999999999</v>
      </c>
      <c r="B42" s="15" t="s">
        <v>493</v>
      </c>
      <c r="C42" s="14"/>
      <c r="D42" s="330">
        <f t="shared" ref="D42:D53" si="21">$C42/C$4</f>
        <v>0</v>
      </c>
      <c r="E42" s="120"/>
      <c r="F42" s="373">
        <f>$D42*F$4</f>
        <v>0</v>
      </c>
      <c r="G42" s="373">
        <f t="shared" ref="G42:Q49" si="22">$D42*G$4</f>
        <v>0</v>
      </c>
      <c r="H42" s="373">
        <f t="shared" si="22"/>
        <v>0</v>
      </c>
      <c r="I42" s="373">
        <f t="shared" si="22"/>
        <v>0</v>
      </c>
      <c r="J42" s="373">
        <f t="shared" si="22"/>
        <v>0</v>
      </c>
      <c r="K42" s="373">
        <f t="shared" si="22"/>
        <v>0</v>
      </c>
      <c r="L42" s="373">
        <f t="shared" si="22"/>
        <v>0</v>
      </c>
      <c r="M42" s="373">
        <f t="shared" si="22"/>
        <v>0</v>
      </c>
      <c r="N42" s="373">
        <f t="shared" si="22"/>
        <v>0</v>
      </c>
      <c r="O42" s="373">
        <f t="shared" si="22"/>
        <v>0</v>
      </c>
      <c r="P42" s="373">
        <f t="shared" si="22"/>
        <v>0</v>
      </c>
      <c r="Q42" s="373">
        <f t="shared" si="22"/>
        <v>0</v>
      </c>
      <c r="R42" s="109">
        <f t="shared" si="17"/>
        <v>0</v>
      </c>
      <c r="S42" s="3">
        <f t="shared" si="20"/>
        <v>0</v>
      </c>
      <c r="T42" s="3"/>
    </row>
    <row r="43" spans="1:20" s="92" customFormat="1" x14ac:dyDescent="0.2">
      <c r="A43" s="87">
        <v>41237.065999999999</v>
      </c>
      <c r="B43" s="15" t="s">
        <v>17</v>
      </c>
      <c r="C43" s="14">
        <f>[6]Mammography!$J$19</f>
        <v>20</v>
      </c>
      <c r="D43" s="330">
        <f t="shared" si="21"/>
        <v>1.556420233463035E-2</v>
      </c>
      <c r="E43" s="120"/>
      <c r="F43" s="373">
        <f t="shared" ref="F43:Q53" si="23">$D43*F$4</f>
        <v>2.0389105058365757</v>
      </c>
      <c r="G43" s="373">
        <f t="shared" si="22"/>
        <v>2.3657587548638133</v>
      </c>
      <c r="H43" s="373">
        <f t="shared" si="22"/>
        <v>1.3852140077821011</v>
      </c>
      <c r="I43" s="373">
        <f t="shared" si="22"/>
        <v>1.8832684824902723</v>
      </c>
      <c r="J43" s="373">
        <f t="shared" si="22"/>
        <v>1.3540856031128405</v>
      </c>
      <c r="K43" s="373">
        <f t="shared" si="22"/>
        <v>1.4941634241245136</v>
      </c>
      <c r="L43" s="373">
        <f t="shared" si="22"/>
        <v>1.1673151750972763</v>
      </c>
      <c r="M43" s="373">
        <f t="shared" si="22"/>
        <v>1.1517509727626458</v>
      </c>
      <c r="N43" s="373">
        <f t="shared" si="22"/>
        <v>1.1517509727626458</v>
      </c>
      <c r="O43" s="373">
        <f t="shared" si="22"/>
        <v>1.7898832684824904</v>
      </c>
      <c r="P43" s="373">
        <f t="shared" si="22"/>
        <v>2.3190661478599224</v>
      </c>
      <c r="Q43" s="373">
        <f t="shared" si="22"/>
        <v>1.8988326848249026</v>
      </c>
      <c r="R43" s="109">
        <f t="shared" si="17"/>
        <v>20</v>
      </c>
      <c r="S43" s="3">
        <f t="shared" si="20"/>
        <v>0</v>
      </c>
      <c r="T43" s="3"/>
    </row>
    <row r="44" spans="1:20" s="92" customFormat="1" x14ac:dyDescent="0.2">
      <c r="A44" s="87">
        <v>41246.065999999999</v>
      </c>
      <c r="B44" s="15" t="s">
        <v>494</v>
      </c>
      <c r="C44" s="14"/>
      <c r="D44" s="330">
        <f t="shared" si="21"/>
        <v>0</v>
      </c>
      <c r="E44" s="120"/>
      <c r="F44" s="373">
        <f t="shared" si="23"/>
        <v>0</v>
      </c>
      <c r="G44" s="373">
        <f t="shared" si="22"/>
        <v>0</v>
      </c>
      <c r="H44" s="373">
        <f t="shared" si="22"/>
        <v>0</v>
      </c>
      <c r="I44" s="373">
        <f t="shared" si="22"/>
        <v>0</v>
      </c>
      <c r="J44" s="373">
        <f t="shared" si="22"/>
        <v>0</v>
      </c>
      <c r="K44" s="373">
        <f t="shared" si="22"/>
        <v>0</v>
      </c>
      <c r="L44" s="373">
        <f t="shared" si="22"/>
        <v>0</v>
      </c>
      <c r="M44" s="373">
        <f t="shared" si="22"/>
        <v>0</v>
      </c>
      <c r="N44" s="373">
        <f t="shared" si="22"/>
        <v>0</v>
      </c>
      <c r="O44" s="373">
        <f t="shared" si="22"/>
        <v>0</v>
      </c>
      <c r="P44" s="373">
        <f t="shared" si="22"/>
        <v>0</v>
      </c>
      <c r="Q44" s="373">
        <f t="shared" si="22"/>
        <v>0</v>
      </c>
      <c r="R44" s="109">
        <f t="shared" si="17"/>
        <v>0</v>
      </c>
      <c r="S44" s="3">
        <f t="shared" si="20"/>
        <v>0</v>
      </c>
      <c r="T44" s="3"/>
    </row>
    <row r="45" spans="1:20" s="92" customFormat="1" x14ac:dyDescent="0.2">
      <c r="A45" s="87">
        <v>41250.065999999999</v>
      </c>
      <c r="B45" s="15" t="s">
        <v>15</v>
      </c>
      <c r="C45" s="14"/>
      <c r="D45" s="330">
        <f t="shared" si="21"/>
        <v>0</v>
      </c>
      <c r="E45" s="120"/>
      <c r="F45" s="373">
        <f t="shared" si="23"/>
        <v>0</v>
      </c>
      <c r="G45" s="373">
        <f t="shared" si="22"/>
        <v>0</v>
      </c>
      <c r="H45" s="373">
        <f t="shared" si="22"/>
        <v>0</v>
      </c>
      <c r="I45" s="373">
        <f t="shared" si="22"/>
        <v>0</v>
      </c>
      <c r="J45" s="373">
        <f t="shared" si="22"/>
        <v>0</v>
      </c>
      <c r="K45" s="373">
        <f t="shared" si="22"/>
        <v>0</v>
      </c>
      <c r="L45" s="373">
        <f t="shared" si="22"/>
        <v>0</v>
      </c>
      <c r="M45" s="373">
        <f t="shared" si="22"/>
        <v>0</v>
      </c>
      <c r="N45" s="373">
        <f t="shared" si="22"/>
        <v>0</v>
      </c>
      <c r="O45" s="373">
        <f t="shared" si="22"/>
        <v>0</v>
      </c>
      <c r="P45" s="373">
        <f t="shared" si="22"/>
        <v>0</v>
      </c>
      <c r="Q45" s="373">
        <f t="shared" si="22"/>
        <v>0</v>
      </c>
      <c r="R45" s="109">
        <f t="shared" si="17"/>
        <v>0</v>
      </c>
      <c r="S45" s="3">
        <f t="shared" si="20"/>
        <v>0</v>
      </c>
      <c r="T45" s="3"/>
    </row>
    <row r="46" spans="1:20" s="92" customFormat="1" x14ac:dyDescent="0.2">
      <c r="A46" s="87">
        <v>41260.065999999999</v>
      </c>
      <c r="B46" s="15" t="s">
        <v>14</v>
      </c>
      <c r="C46" s="14"/>
      <c r="D46" s="330">
        <f t="shared" si="21"/>
        <v>0</v>
      </c>
      <c r="E46" s="120"/>
      <c r="F46" s="373">
        <f t="shared" si="23"/>
        <v>0</v>
      </c>
      <c r="G46" s="373">
        <f t="shared" si="22"/>
        <v>0</v>
      </c>
      <c r="H46" s="373">
        <f t="shared" si="22"/>
        <v>0</v>
      </c>
      <c r="I46" s="373">
        <f t="shared" si="22"/>
        <v>0</v>
      </c>
      <c r="J46" s="373">
        <f t="shared" si="22"/>
        <v>0</v>
      </c>
      <c r="K46" s="373">
        <f t="shared" si="22"/>
        <v>0</v>
      </c>
      <c r="L46" s="373">
        <f t="shared" si="22"/>
        <v>0</v>
      </c>
      <c r="M46" s="373">
        <f t="shared" si="22"/>
        <v>0</v>
      </c>
      <c r="N46" s="373">
        <f t="shared" si="22"/>
        <v>0</v>
      </c>
      <c r="O46" s="373">
        <f t="shared" si="22"/>
        <v>0</v>
      </c>
      <c r="P46" s="373">
        <f t="shared" si="22"/>
        <v>0</v>
      </c>
      <c r="Q46" s="373">
        <f t="shared" si="22"/>
        <v>0</v>
      </c>
      <c r="R46" s="109">
        <f t="shared" si="17"/>
        <v>0</v>
      </c>
      <c r="S46" s="3">
        <f t="shared" si="20"/>
        <v>0</v>
      </c>
      <c r="T46" s="3"/>
    </row>
    <row r="47" spans="1:20" s="92" customFormat="1" x14ac:dyDescent="0.2">
      <c r="A47" s="87">
        <v>41365.065999999999</v>
      </c>
      <c r="B47" s="15" t="s">
        <v>10</v>
      </c>
      <c r="C47" s="14">
        <f>[6]Mammography!$J$20</f>
        <v>2740</v>
      </c>
      <c r="D47" s="330">
        <f t="shared" si="21"/>
        <v>2.132295719844358</v>
      </c>
      <c r="E47" s="120"/>
      <c r="F47" s="373">
        <f t="shared" si="23"/>
        <v>279.33073929961091</v>
      </c>
      <c r="G47" s="373">
        <f t="shared" si="22"/>
        <v>324.1089494163424</v>
      </c>
      <c r="H47" s="373">
        <f t="shared" si="22"/>
        <v>189.77431906614785</v>
      </c>
      <c r="I47" s="373">
        <f t="shared" si="22"/>
        <v>258.00778210116732</v>
      </c>
      <c r="J47" s="373">
        <f t="shared" si="22"/>
        <v>185.50972762645915</v>
      </c>
      <c r="K47" s="373">
        <f t="shared" si="22"/>
        <v>204.70038910505838</v>
      </c>
      <c r="L47" s="373">
        <f t="shared" si="22"/>
        <v>159.92217898832683</v>
      </c>
      <c r="M47" s="373">
        <f t="shared" si="22"/>
        <v>157.7898832684825</v>
      </c>
      <c r="N47" s="373">
        <f t="shared" si="22"/>
        <v>157.7898832684825</v>
      </c>
      <c r="O47" s="373">
        <f t="shared" si="22"/>
        <v>245.21400778210116</v>
      </c>
      <c r="P47" s="373">
        <f t="shared" si="22"/>
        <v>317.71206225680936</v>
      </c>
      <c r="Q47" s="373">
        <f t="shared" si="22"/>
        <v>260.14007782101169</v>
      </c>
      <c r="R47" s="109">
        <f t="shared" si="17"/>
        <v>2740.0000000000005</v>
      </c>
      <c r="S47" s="3">
        <f t="shared" si="20"/>
        <v>0</v>
      </c>
      <c r="T47" s="3"/>
    </row>
    <row r="48" spans="1:20" s="92" customFormat="1" x14ac:dyDescent="0.2">
      <c r="A48" s="87">
        <v>41440.065999999999</v>
      </c>
      <c r="B48" s="15" t="s">
        <v>477</v>
      </c>
      <c r="C48" s="14"/>
      <c r="D48" s="330">
        <f t="shared" si="21"/>
        <v>0</v>
      </c>
      <c r="E48" s="120"/>
      <c r="F48" s="373">
        <f t="shared" si="23"/>
        <v>0</v>
      </c>
      <c r="G48" s="373">
        <f t="shared" si="22"/>
        <v>0</v>
      </c>
      <c r="H48" s="373">
        <f t="shared" si="22"/>
        <v>0</v>
      </c>
      <c r="I48" s="373">
        <f t="shared" si="22"/>
        <v>0</v>
      </c>
      <c r="J48" s="373">
        <f t="shared" si="22"/>
        <v>0</v>
      </c>
      <c r="K48" s="373">
        <f t="shared" si="22"/>
        <v>0</v>
      </c>
      <c r="L48" s="373">
        <f t="shared" si="22"/>
        <v>0</v>
      </c>
      <c r="M48" s="373">
        <f t="shared" si="22"/>
        <v>0</v>
      </c>
      <c r="N48" s="373">
        <f t="shared" si="22"/>
        <v>0</v>
      </c>
      <c r="O48" s="373">
        <f t="shared" si="22"/>
        <v>0</v>
      </c>
      <c r="P48" s="373">
        <f t="shared" si="22"/>
        <v>0</v>
      </c>
      <c r="Q48" s="373">
        <f t="shared" si="22"/>
        <v>0</v>
      </c>
      <c r="R48" s="109">
        <f t="shared" si="17"/>
        <v>0</v>
      </c>
      <c r="S48" s="3">
        <f t="shared" si="20"/>
        <v>0</v>
      </c>
      <c r="T48" s="3"/>
    </row>
    <row r="49" spans="1:20" s="92" customFormat="1" x14ac:dyDescent="0.2">
      <c r="A49" s="87">
        <v>41460.065999999999</v>
      </c>
      <c r="B49" s="15" t="s">
        <v>6</v>
      </c>
      <c r="C49" s="14"/>
      <c r="D49" s="330">
        <f t="shared" si="21"/>
        <v>0</v>
      </c>
      <c r="E49" s="120"/>
      <c r="F49" s="373">
        <f t="shared" si="23"/>
        <v>0</v>
      </c>
      <c r="G49" s="373">
        <f t="shared" si="22"/>
        <v>0</v>
      </c>
      <c r="H49" s="373">
        <f t="shared" si="22"/>
        <v>0</v>
      </c>
      <c r="I49" s="373">
        <f t="shared" si="22"/>
        <v>0</v>
      </c>
      <c r="J49" s="373">
        <f t="shared" si="22"/>
        <v>0</v>
      </c>
      <c r="K49" s="373">
        <f t="shared" si="22"/>
        <v>0</v>
      </c>
      <c r="L49" s="373">
        <f t="shared" si="22"/>
        <v>0</v>
      </c>
      <c r="M49" s="373">
        <f t="shared" si="22"/>
        <v>0</v>
      </c>
      <c r="N49" s="373">
        <f t="shared" si="22"/>
        <v>0</v>
      </c>
      <c r="O49" s="373">
        <f t="shared" si="22"/>
        <v>0</v>
      </c>
      <c r="P49" s="373">
        <f t="shared" si="22"/>
        <v>0</v>
      </c>
      <c r="Q49" s="373">
        <f t="shared" si="22"/>
        <v>0</v>
      </c>
      <c r="R49" s="109">
        <f t="shared" si="17"/>
        <v>0</v>
      </c>
      <c r="S49" s="3">
        <f t="shared" si="20"/>
        <v>0</v>
      </c>
      <c r="T49" s="3"/>
    </row>
    <row r="50" spans="1:20" s="92" customFormat="1" x14ac:dyDescent="0.2">
      <c r="A50" s="87">
        <v>41509.065999999999</v>
      </c>
      <c r="B50" s="15" t="s">
        <v>3</v>
      </c>
      <c r="C50" s="14"/>
      <c r="D50" s="330">
        <f t="shared" si="21"/>
        <v>0</v>
      </c>
      <c r="E50" s="120"/>
      <c r="F50" s="373">
        <f t="shared" si="23"/>
        <v>0</v>
      </c>
      <c r="G50" s="373">
        <f t="shared" si="23"/>
        <v>0</v>
      </c>
      <c r="H50" s="373">
        <f t="shared" si="23"/>
        <v>0</v>
      </c>
      <c r="I50" s="373">
        <f t="shared" si="23"/>
        <v>0</v>
      </c>
      <c r="J50" s="373">
        <f t="shared" si="23"/>
        <v>0</v>
      </c>
      <c r="K50" s="373">
        <f t="shared" si="23"/>
        <v>0</v>
      </c>
      <c r="L50" s="373">
        <f t="shared" si="23"/>
        <v>0</v>
      </c>
      <c r="M50" s="373">
        <f t="shared" si="23"/>
        <v>0</v>
      </c>
      <c r="N50" s="373">
        <f t="shared" si="23"/>
        <v>0</v>
      </c>
      <c r="O50" s="373">
        <f t="shared" si="23"/>
        <v>0</v>
      </c>
      <c r="P50" s="373">
        <f t="shared" si="23"/>
        <v>0</v>
      </c>
      <c r="Q50" s="373">
        <f t="shared" si="23"/>
        <v>0</v>
      </c>
      <c r="R50" s="109">
        <f t="shared" si="17"/>
        <v>0</v>
      </c>
      <c r="S50" s="3">
        <f t="shared" si="20"/>
        <v>0</v>
      </c>
      <c r="T50" s="3"/>
    </row>
    <row r="51" spans="1:20" s="92" customFormat="1" x14ac:dyDescent="0.2">
      <c r="A51" s="87">
        <v>41560.065999999999</v>
      </c>
      <c r="B51" s="15" t="s">
        <v>420</v>
      </c>
      <c r="C51" s="14">
        <f>[6]Mammography!$J$21</f>
        <v>650</v>
      </c>
      <c r="D51" s="330">
        <f t="shared" si="21"/>
        <v>0.50583657587548636</v>
      </c>
      <c r="E51" s="120"/>
      <c r="F51" s="373">
        <f t="shared" si="23"/>
        <v>66.264591439688715</v>
      </c>
      <c r="G51" s="373">
        <f t="shared" si="23"/>
        <v>76.887159533073927</v>
      </c>
      <c r="H51" s="373">
        <f t="shared" si="23"/>
        <v>45.019455252918284</v>
      </c>
      <c r="I51" s="373">
        <f t="shared" si="23"/>
        <v>61.206225680933848</v>
      </c>
      <c r="J51" s="373">
        <f t="shared" si="23"/>
        <v>44.007782101167315</v>
      </c>
      <c r="K51" s="373">
        <f t="shared" si="23"/>
        <v>48.560311284046691</v>
      </c>
      <c r="L51" s="373">
        <f t="shared" si="23"/>
        <v>37.937743190661479</v>
      </c>
      <c r="M51" s="373">
        <f t="shared" si="23"/>
        <v>37.431906614785987</v>
      </c>
      <c r="N51" s="373">
        <f t="shared" si="23"/>
        <v>37.431906614785987</v>
      </c>
      <c r="O51" s="373">
        <f t="shared" si="23"/>
        <v>58.171206225680933</v>
      </c>
      <c r="P51" s="373">
        <f t="shared" si="23"/>
        <v>75.369649805447466</v>
      </c>
      <c r="Q51" s="373">
        <f t="shared" si="23"/>
        <v>61.712062256809332</v>
      </c>
      <c r="R51" s="109">
        <f t="shared" si="17"/>
        <v>649.99999999999989</v>
      </c>
      <c r="S51" s="3">
        <f t="shared" si="20"/>
        <v>0</v>
      </c>
      <c r="T51" s="3"/>
    </row>
    <row r="52" spans="1:20" s="92" customFormat="1" x14ac:dyDescent="0.2">
      <c r="A52" s="87">
        <v>41570.065999999999</v>
      </c>
      <c r="B52" s="15" t="s">
        <v>2</v>
      </c>
      <c r="C52" s="14">
        <v>0</v>
      </c>
      <c r="D52" s="330">
        <f t="shared" si="21"/>
        <v>0</v>
      </c>
      <c r="E52" s="120"/>
      <c r="F52" s="373">
        <f t="shared" si="23"/>
        <v>0</v>
      </c>
      <c r="G52" s="373">
        <f t="shared" si="23"/>
        <v>0</v>
      </c>
      <c r="H52" s="373">
        <f t="shared" si="23"/>
        <v>0</v>
      </c>
      <c r="I52" s="373">
        <f t="shared" si="23"/>
        <v>0</v>
      </c>
      <c r="J52" s="373">
        <f t="shared" si="23"/>
        <v>0</v>
      </c>
      <c r="K52" s="373">
        <f t="shared" si="23"/>
        <v>0</v>
      </c>
      <c r="L52" s="373">
        <f t="shared" si="23"/>
        <v>0</v>
      </c>
      <c r="M52" s="373">
        <f t="shared" si="23"/>
        <v>0</v>
      </c>
      <c r="N52" s="373">
        <f t="shared" si="23"/>
        <v>0</v>
      </c>
      <c r="O52" s="373">
        <f t="shared" si="23"/>
        <v>0</v>
      </c>
      <c r="P52" s="373">
        <f t="shared" si="23"/>
        <v>0</v>
      </c>
      <c r="Q52" s="373">
        <f t="shared" si="23"/>
        <v>0</v>
      </c>
      <c r="R52" s="109">
        <f t="shared" si="17"/>
        <v>0</v>
      </c>
      <c r="S52" s="3">
        <f t="shared" si="20"/>
        <v>0</v>
      </c>
      <c r="T52" s="3"/>
    </row>
    <row r="53" spans="1:20" s="92" customFormat="1" x14ac:dyDescent="0.2">
      <c r="A53" s="87">
        <v>41571.065999999999</v>
      </c>
      <c r="B53" s="15" t="s">
        <v>1</v>
      </c>
      <c r="C53" s="14">
        <f>[6]Mammography!$J$22</f>
        <v>36000</v>
      </c>
      <c r="D53" s="330">
        <f t="shared" si="21"/>
        <v>28.01556420233463</v>
      </c>
      <c r="E53" s="120"/>
      <c r="F53" s="373">
        <f t="shared" si="23"/>
        <v>3670.0389105058366</v>
      </c>
      <c r="G53" s="373">
        <f t="shared" si="23"/>
        <v>4258.3657587548641</v>
      </c>
      <c r="H53" s="373">
        <f t="shared" si="23"/>
        <v>2493.385214007782</v>
      </c>
      <c r="I53" s="373">
        <f t="shared" si="23"/>
        <v>3389.8832684824902</v>
      </c>
      <c r="J53" s="373">
        <f t="shared" si="23"/>
        <v>2437.3540856031127</v>
      </c>
      <c r="K53" s="373">
        <f t="shared" si="23"/>
        <v>2689.4941634241245</v>
      </c>
      <c r="L53" s="373">
        <f t="shared" si="23"/>
        <v>2101.1673151750974</v>
      </c>
      <c r="M53" s="373">
        <f t="shared" si="23"/>
        <v>2073.1517509727628</v>
      </c>
      <c r="N53" s="373">
        <f t="shared" si="23"/>
        <v>2073.1517509727628</v>
      </c>
      <c r="O53" s="373">
        <f t="shared" si="23"/>
        <v>3221.7898832684823</v>
      </c>
      <c r="P53" s="373">
        <f t="shared" si="23"/>
        <v>4174.3190661478602</v>
      </c>
      <c r="Q53" s="373">
        <f t="shared" si="23"/>
        <v>3417.8988326848248</v>
      </c>
      <c r="R53" s="109">
        <f t="shared" si="17"/>
        <v>36000</v>
      </c>
      <c r="S53" s="3">
        <f t="shared" si="20"/>
        <v>0</v>
      </c>
      <c r="T53" s="3"/>
    </row>
    <row r="54" spans="1:20" s="159" customFormat="1" x14ac:dyDescent="0.2">
      <c r="A54" s="11"/>
      <c r="B54" s="77" t="s">
        <v>0</v>
      </c>
      <c r="C54" s="128">
        <f>SUM(C38:C53)</f>
        <v>79907.929999999993</v>
      </c>
      <c r="D54" s="128">
        <f>C54/C$4</f>
        <v>62.185159533073922</v>
      </c>
      <c r="E54" s="128"/>
      <c r="F54" s="374">
        <f>SUM(F38:F53)</f>
        <v>7457.223370929054</v>
      </c>
      <c r="G54" s="374">
        <f t="shared" ref="G54:Q54" si="24">SUM(G38:G53)</f>
        <v>7990.3246127605144</v>
      </c>
      <c r="H54" s="374">
        <f t="shared" si="24"/>
        <v>6169.1144215127115</v>
      </c>
      <c r="I54" s="374">
        <f t="shared" si="24"/>
        <v>7150.5307639251632</v>
      </c>
      <c r="J54" s="374">
        <f t="shared" si="24"/>
        <v>5774.9162014817966</v>
      </c>
      <c r="K54" s="374">
        <f t="shared" si="24"/>
        <v>6383.7992464154358</v>
      </c>
      <c r="L54" s="374">
        <f t="shared" si="24"/>
        <v>5628.7915388305537</v>
      </c>
      <c r="M54" s="374">
        <f t="shared" si="24"/>
        <v>5709.0755110068749</v>
      </c>
      <c r="N54" s="374">
        <f t="shared" si="24"/>
        <v>5598.122278130164</v>
      </c>
      <c r="O54" s="374">
        <f t="shared" si="24"/>
        <v>6966.5151997228286</v>
      </c>
      <c r="P54" s="374">
        <f t="shared" si="24"/>
        <v>8009.2700635360579</v>
      </c>
      <c r="Q54" s="374">
        <f t="shared" si="24"/>
        <v>7070.2467917488411</v>
      </c>
      <c r="R54" s="109">
        <f t="shared" si="17"/>
        <v>79907.930000000008</v>
      </c>
      <c r="S54" s="3">
        <f>C54-R54</f>
        <v>0</v>
      </c>
      <c r="T54" s="3"/>
    </row>
    <row r="55" spans="1:20" x14ac:dyDescent="0.2">
      <c r="C55" s="7">
        <f>C54-C34</f>
        <v>-177172.98939546599</v>
      </c>
    </row>
    <row r="56" spans="1:20" x14ac:dyDescent="0.2">
      <c r="A56" s="4"/>
      <c r="C56" s="7"/>
      <c r="F56" s="7"/>
      <c r="G56" s="7"/>
      <c r="H56" s="7"/>
      <c r="I56" s="7"/>
      <c r="J56" s="7"/>
      <c r="K56" s="7"/>
      <c r="L56" s="7"/>
      <c r="M56" s="7"/>
      <c r="N56" s="7"/>
      <c r="O56" s="7"/>
      <c r="P56" s="7"/>
      <c r="Q56" s="7"/>
      <c r="R56" s="7"/>
      <c r="T56" s="4"/>
    </row>
    <row r="57" spans="1:20" x14ac:dyDescent="0.2">
      <c r="A57" s="4"/>
      <c r="C57" s="7"/>
      <c r="F57" s="7"/>
      <c r="G57" s="7"/>
      <c r="H57" s="7"/>
      <c r="I57" s="7"/>
      <c r="J57" s="7"/>
      <c r="K57" s="7"/>
      <c r="L57" s="7"/>
      <c r="M57" s="7"/>
      <c r="N57" s="7"/>
      <c r="O57" s="7"/>
      <c r="P57" s="7"/>
      <c r="Q57" s="7"/>
      <c r="R57" s="7"/>
      <c r="T57" s="4"/>
    </row>
    <row r="58" spans="1:20" x14ac:dyDescent="0.2">
      <c r="C58" s="7"/>
      <c r="F58" s="7"/>
      <c r="G58" s="7"/>
      <c r="H58" s="7"/>
      <c r="I58" s="7"/>
      <c r="J58" s="7"/>
      <c r="K58" s="7"/>
      <c r="L58" s="7"/>
      <c r="M58" s="7"/>
      <c r="N58" s="7"/>
      <c r="O58" s="7"/>
      <c r="P58" s="7"/>
      <c r="Q58" s="7"/>
      <c r="R58" s="7"/>
    </row>
    <row r="60" spans="1:20" x14ac:dyDescent="0.2">
      <c r="A60" s="4"/>
      <c r="C60" s="7"/>
      <c r="F60" s="7"/>
      <c r="G60" s="7"/>
      <c r="H60" s="7"/>
      <c r="I60" s="7"/>
      <c r="J60" s="7"/>
      <c r="K60" s="7"/>
      <c r="L60" s="7"/>
      <c r="M60" s="7"/>
      <c r="N60" s="7"/>
      <c r="O60" s="7"/>
      <c r="P60" s="7"/>
      <c r="Q60" s="7"/>
      <c r="R60" s="3"/>
      <c r="T60" s="4"/>
    </row>
  </sheetData>
  <mergeCells count="1">
    <mergeCell ref="A36:D36"/>
  </mergeCells>
  <printOptions gridLines="1"/>
  <pageMargins left="0.25" right="0.25" top="0.75" bottom="0.75" header="0.3" footer="0.3"/>
  <pageSetup scale="66" orientation="landscape" r:id="rId1"/>
  <headerFooter alignWithMargins="0">
    <oddHeader xml:space="preserve">&amp;C&amp;"Arial,Bold"&amp;14DOCTORS MEMORIAL HOSPITAL
FY 2017 BUDGET
</oddHead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73"/>
  <sheetViews>
    <sheetView zoomScale="80" zoomScaleNormal="80" workbookViewId="0">
      <pane xSplit="2" ySplit="6" topLeftCell="C43" activePane="bottomRight" state="frozen"/>
      <selection pane="topRight" activeCell="C1" sqref="C1"/>
      <selection pane="bottomLeft" activeCell="A7" sqref="A7"/>
      <selection pane="bottomRight" activeCell="P35" sqref="P35"/>
    </sheetView>
  </sheetViews>
  <sheetFormatPr defaultRowHeight="12.75" x14ac:dyDescent="0.2"/>
  <cols>
    <col min="1" max="1" width="9.42578125" style="2" bestFit="1" customWidth="1"/>
    <col min="2" max="2" width="27.85546875" style="2" customWidth="1"/>
    <col min="3" max="3" width="13.140625" style="2" customWidth="1"/>
    <col min="4" max="4" width="9.28515625" style="4" customWidth="1"/>
    <col min="5" max="5" width="3.140625" style="4" customWidth="1"/>
    <col min="6" max="11" width="12.28515625" style="7" bestFit="1" customWidth="1"/>
    <col min="12" max="17" width="12.28515625" style="3" bestFit="1" customWidth="1"/>
    <col min="18" max="18" width="13.85546875" style="96" bestFit="1" customWidth="1"/>
    <col min="19"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77" t="s">
        <v>49</v>
      </c>
      <c r="G1" s="177" t="s">
        <v>48</v>
      </c>
      <c r="H1" s="177" t="s">
        <v>47</v>
      </c>
      <c r="I1" s="177" t="s">
        <v>46</v>
      </c>
      <c r="J1" s="177" t="s">
        <v>45</v>
      </c>
      <c r="K1" s="177" t="s">
        <v>44</v>
      </c>
      <c r="L1" s="177" t="s">
        <v>43</v>
      </c>
      <c r="M1" s="177" t="s">
        <v>42</v>
      </c>
      <c r="N1" s="177" t="s">
        <v>41</v>
      </c>
      <c r="O1" s="177" t="s">
        <v>40</v>
      </c>
      <c r="P1" s="177" t="s">
        <v>39</v>
      </c>
      <c r="Q1" s="177" t="s">
        <v>38</v>
      </c>
      <c r="R1" s="177" t="s">
        <v>37</v>
      </c>
    </row>
    <row r="2" spans="1:19" x14ac:dyDescent="0.2">
      <c r="B2" s="35" t="s">
        <v>290</v>
      </c>
      <c r="C2" s="38">
        <f>STATS!D69</f>
        <v>45571</v>
      </c>
      <c r="F2" s="131">
        <f>'MO STATS'!E65</f>
        <v>3342</v>
      </c>
      <c r="G2" s="131">
        <f>'MO STATS'!F65</f>
        <v>3710</v>
      </c>
      <c r="H2" s="131">
        <f>'MO STATS'!G65</f>
        <v>2334</v>
      </c>
      <c r="I2" s="131">
        <f>'MO STATS'!H65</f>
        <v>4328</v>
      </c>
      <c r="J2" s="131">
        <f>'MO STATS'!I65</f>
        <v>3674</v>
      </c>
      <c r="K2" s="131">
        <f>'MO STATS'!J65</f>
        <v>4092</v>
      </c>
      <c r="L2" s="131">
        <f>'MO STATS'!K65</f>
        <v>2052</v>
      </c>
      <c r="M2" s="131">
        <f>'MO STATS'!L65</f>
        <v>2634</v>
      </c>
      <c r="N2" s="131">
        <f>'MO STATS'!M65</f>
        <v>4561</v>
      </c>
      <c r="O2" s="131">
        <f>'MO STATS'!N65</f>
        <v>3563</v>
      </c>
      <c r="P2" s="131">
        <f>'MO STATS'!O65</f>
        <v>5762</v>
      </c>
      <c r="Q2" s="131">
        <f>'MO STATS'!P65</f>
        <v>5519</v>
      </c>
      <c r="R2" s="96">
        <f t="shared" ref="R2:R4" si="0">SUM(F2:Q2)</f>
        <v>45571</v>
      </c>
      <c r="S2" s="3">
        <f>C2-R2</f>
        <v>0</v>
      </c>
    </row>
    <row r="3" spans="1:19" ht="12.75" customHeight="1" x14ac:dyDescent="0.2">
      <c r="B3" s="35" t="s">
        <v>292</v>
      </c>
      <c r="C3" s="38">
        <f>STATS!D70</f>
        <v>5689</v>
      </c>
      <c r="D3" s="37"/>
      <c r="E3" s="37"/>
      <c r="F3" s="131">
        <f>'MO STATS'!E66</f>
        <v>444</v>
      </c>
      <c r="G3" s="131">
        <f>'MO STATS'!F66</f>
        <v>405</v>
      </c>
      <c r="H3" s="131">
        <f>'MO STATS'!G66</f>
        <v>490</v>
      </c>
      <c r="I3" s="131">
        <f>'MO STATS'!H66</f>
        <v>563</v>
      </c>
      <c r="J3" s="131">
        <f>'MO STATS'!I66</f>
        <v>570</v>
      </c>
      <c r="K3" s="131">
        <f>'MO STATS'!J66</f>
        <v>413</v>
      </c>
      <c r="L3" s="131">
        <f>'MO STATS'!K66</f>
        <v>534</v>
      </c>
      <c r="M3" s="131">
        <f>'MO STATS'!L66</f>
        <v>473</v>
      </c>
      <c r="N3" s="131">
        <f>'MO STATS'!M66</f>
        <v>527</v>
      </c>
      <c r="O3" s="131">
        <f>'MO STATS'!N66</f>
        <v>406</v>
      </c>
      <c r="P3" s="131">
        <f>'MO STATS'!O66</f>
        <v>414</v>
      </c>
      <c r="Q3" s="131">
        <f>'MO STATS'!P66</f>
        <v>450</v>
      </c>
      <c r="R3" s="96">
        <f t="shared" si="0"/>
        <v>5689</v>
      </c>
      <c r="S3" s="3">
        <f>C3-R3</f>
        <v>0</v>
      </c>
    </row>
    <row r="4" spans="1:19" ht="12.75" customHeight="1" x14ac:dyDescent="0.2">
      <c r="B4" s="35" t="s">
        <v>294</v>
      </c>
      <c r="C4" s="38">
        <f>C2+C3</f>
        <v>51260</v>
      </c>
      <c r="D4" s="37"/>
      <c r="E4" s="37"/>
      <c r="F4" s="131">
        <f>'MO STATS'!E67</f>
        <v>3786</v>
      </c>
      <c r="G4" s="131">
        <f>'MO STATS'!F67</f>
        <v>4115</v>
      </c>
      <c r="H4" s="131">
        <f>'MO STATS'!G67</f>
        <v>2824</v>
      </c>
      <c r="I4" s="131">
        <f>'MO STATS'!H67</f>
        <v>4891</v>
      </c>
      <c r="J4" s="131">
        <f>'MO STATS'!I67</f>
        <v>4244</v>
      </c>
      <c r="K4" s="131">
        <f>'MO STATS'!J67</f>
        <v>4505</v>
      </c>
      <c r="L4" s="131">
        <f>'MO STATS'!K67</f>
        <v>2586</v>
      </c>
      <c r="M4" s="131">
        <f>'MO STATS'!L67</f>
        <v>3107</v>
      </c>
      <c r="N4" s="131">
        <f>'MO STATS'!M67</f>
        <v>5088</v>
      </c>
      <c r="O4" s="131">
        <f>'MO STATS'!N67</f>
        <v>3969</v>
      </c>
      <c r="P4" s="131">
        <f>'MO STATS'!O67</f>
        <v>6176</v>
      </c>
      <c r="Q4" s="131">
        <f>'MO STATS'!P67</f>
        <v>5969</v>
      </c>
      <c r="R4" s="96">
        <f t="shared" si="0"/>
        <v>51260</v>
      </c>
      <c r="S4" s="3">
        <f>C4-R4</f>
        <v>0</v>
      </c>
    </row>
    <row r="5" spans="1:19" ht="12.75" customHeight="1" x14ac:dyDescent="0.2">
      <c r="B5" s="38" t="s">
        <v>940</v>
      </c>
      <c r="C5" s="479">
        <f>'[4]2017 FTEs'!$AS$28</f>
        <v>5.2</v>
      </c>
      <c r="D5" s="425"/>
      <c r="E5" s="425"/>
      <c r="F5" s="131"/>
      <c r="G5" s="131"/>
      <c r="H5" s="131"/>
      <c r="I5" s="131"/>
      <c r="J5" s="131"/>
      <c r="K5" s="131"/>
      <c r="L5" s="131"/>
      <c r="M5" s="131"/>
      <c r="N5" s="131"/>
      <c r="O5" s="131"/>
      <c r="P5" s="131"/>
      <c r="Q5" s="131"/>
    </row>
    <row r="6" spans="1:19" ht="12.75" customHeight="1" x14ac:dyDescent="0.2">
      <c r="B6" s="38" t="s">
        <v>939</v>
      </c>
      <c r="C6" s="38">
        <f>C5*2080</f>
        <v>10816</v>
      </c>
      <c r="D6" s="425"/>
      <c r="E6" s="425"/>
      <c r="F6" s="426">
        <f>($C6/$R7)*F7</f>
        <v>918.61917808219175</v>
      </c>
      <c r="G6" s="426">
        <f t="shared" ref="G6:Q6" si="1">($C6/$R7)*G7</f>
        <v>888.98630136986299</v>
      </c>
      <c r="H6" s="426">
        <f t="shared" si="1"/>
        <v>918.61917808219175</v>
      </c>
      <c r="I6" s="426">
        <f t="shared" si="1"/>
        <v>918.61917808219175</v>
      </c>
      <c r="J6" s="426">
        <f t="shared" si="1"/>
        <v>829.72054794520545</v>
      </c>
      <c r="K6" s="426">
        <f t="shared" si="1"/>
        <v>918.61917808219175</v>
      </c>
      <c r="L6" s="426">
        <f t="shared" si="1"/>
        <v>888.98630136986299</v>
      </c>
      <c r="M6" s="426">
        <f t="shared" si="1"/>
        <v>918.61917808219175</v>
      </c>
      <c r="N6" s="426">
        <f t="shared" si="1"/>
        <v>888.98630136986299</v>
      </c>
      <c r="O6" s="426">
        <f t="shared" si="1"/>
        <v>918.61917808219175</v>
      </c>
      <c r="P6" s="426">
        <f t="shared" si="1"/>
        <v>918.61917808219175</v>
      </c>
      <c r="Q6" s="426">
        <f t="shared" si="1"/>
        <v>888.98630136986299</v>
      </c>
      <c r="R6" s="6">
        <f>SUM(F6:Q6)</f>
        <v>10816</v>
      </c>
      <c r="S6" s="3">
        <f>C6-R6</f>
        <v>0</v>
      </c>
    </row>
    <row r="7" spans="1:19" ht="12.75" customHeight="1" x14ac:dyDescent="0.2">
      <c r="B7" s="35"/>
      <c r="C7" s="38"/>
      <c r="D7" s="425"/>
      <c r="E7" s="425"/>
      <c r="F7" s="2">
        <v>31</v>
      </c>
      <c r="G7" s="2">
        <v>30</v>
      </c>
      <c r="H7" s="2">
        <v>31</v>
      </c>
      <c r="I7" s="2">
        <v>31</v>
      </c>
      <c r="J7" s="2">
        <v>28</v>
      </c>
      <c r="K7" s="2">
        <v>31</v>
      </c>
      <c r="L7" s="2">
        <v>30</v>
      </c>
      <c r="M7" s="2">
        <v>31</v>
      </c>
      <c r="N7" s="2">
        <v>30</v>
      </c>
      <c r="O7" s="2">
        <v>31</v>
      </c>
      <c r="P7" s="2">
        <v>31</v>
      </c>
      <c r="Q7" s="2">
        <v>30</v>
      </c>
      <c r="R7" s="6">
        <f t="shared" ref="R7" si="2">SUM(F7:Q7)</f>
        <v>365</v>
      </c>
    </row>
    <row r="8" spans="1:19" x14ac:dyDescent="0.2">
      <c r="A8" s="711" t="s">
        <v>35</v>
      </c>
      <c r="B8" s="711"/>
      <c r="C8" s="711"/>
      <c r="D8" s="711"/>
      <c r="E8" s="37"/>
    </row>
    <row r="9" spans="1:19" x14ac:dyDescent="0.2">
      <c r="A9" s="21"/>
      <c r="B9" s="188" t="s">
        <v>479</v>
      </c>
      <c r="C9" s="1"/>
      <c r="D9" s="180" t="s">
        <v>480</v>
      </c>
      <c r="E9" s="126"/>
      <c r="F9" s="177" t="s">
        <v>49</v>
      </c>
      <c r="G9" s="177" t="s">
        <v>48</v>
      </c>
      <c r="H9" s="177" t="s">
        <v>47</v>
      </c>
      <c r="I9" s="177" t="s">
        <v>46</v>
      </c>
      <c r="J9" s="177" t="s">
        <v>45</v>
      </c>
      <c r="K9" s="177" t="s">
        <v>44</v>
      </c>
      <c r="L9" s="177" t="s">
        <v>43</v>
      </c>
      <c r="M9" s="177" t="s">
        <v>42</v>
      </c>
      <c r="N9" s="177" t="s">
        <v>41</v>
      </c>
      <c r="O9" s="177" t="s">
        <v>40</v>
      </c>
      <c r="P9" s="177" t="s">
        <v>39</v>
      </c>
      <c r="Q9" s="177" t="s">
        <v>38</v>
      </c>
      <c r="R9" s="177" t="s">
        <v>37</v>
      </c>
    </row>
    <row r="10" spans="1:19" x14ac:dyDescent="0.2">
      <c r="A10" s="16"/>
      <c r="B10" s="29" t="s">
        <v>352</v>
      </c>
      <c r="C10" s="75">
        <f>$C$2*$D10</f>
        <v>680222.60974550201</v>
      </c>
      <c r="D10" s="14">
        <f>[5]Respiratroy!$J$11</f>
        <v>14.926655323462333</v>
      </c>
      <c r="E10" s="28"/>
      <c r="F10" s="375">
        <f>$D10*F$2</f>
        <v>49884.882091011117</v>
      </c>
      <c r="G10" s="375">
        <f t="shared" ref="G10:Q16" si="3">$D10*G$2</f>
        <v>55377.891250045257</v>
      </c>
      <c r="H10" s="375">
        <f t="shared" si="3"/>
        <v>34838.813524961086</v>
      </c>
      <c r="I10" s="375">
        <f t="shared" si="3"/>
        <v>64602.564239944979</v>
      </c>
      <c r="J10" s="375">
        <f t="shared" si="3"/>
        <v>54840.531658400607</v>
      </c>
      <c r="K10" s="375">
        <f t="shared" si="3"/>
        <v>61079.873583607863</v>
      </c>
      <c r="L10" s="375">
        <f t="shared" si="3"/>
        <v>30629.496723744705</v>
      </c>
      <c r="M10" s="375">
        <f t="shared" si="3"/>
        <v>39316.810121999784</v>
      </c>
      <c r="N10" s="375">
        <f t="shared" si="3"/>
        <v>68080.474930311699</v>
      </c>
      <c r="O10" s="375">
        <f t="shared" si="3"/>
        <v>53183.672917496289</v>
      </c>
      <c r="P10" s="375">
        <f t="shared" si="3"/>
        <v>86007.387973789955</v>
      </c>
      <c r="Q10" s="375">
        <f t="shared" si="3"/>
        <v>82380.210730188614</v>
      </c>
      <c r="R10" s="109">
        <f>SUM(F10:Q10)</f>
        <v>680222.60974550201</v>
      </c>
      <c r="S10" s="3">
        <f>C10-R10</f>
        <v>0</v>
      </c>
    </row>
    <row r="11" spans="1:19" x14ac:dyDescent="0.2">
      <c r="A11" s="16"/>
      <c r="B11" s="29" t="s">
        <v>353</v>
      </c>
      <c r="C11" s="75">
        <f t="shared" ref="C11:C16" si="4">$C$2*$D11</f>
        <v>4827.1638127647248</v>
      </c>
      <c r="D11" s="14">
        <f>[5]Respiratroy!$J$12</f>
        <v>0.10592622090287079</v>
      </c>
      <c r="E11" s="28"/>
      <c r="F11" s="375">
        <f t="shared" ref="F11:F16" si="5">$D11*F$2</f>
        <v>354.00543025739421</v>
      </c>
      <c r="G11" s="375">
        <f t="shared" si="3"/>
        <v>392.98627954965065</v>
      </c>
      <c r="H11" s="375">
        <f t="shared" si="3"/>
        <v>247.23179958730043</v>
      </c>
      <c r="I11" s="375">
        <f t="shared" si="3"/>
        <v>458.44868406762481</v>
      </c>
      <c r="J11" s="375">
        <f t="shared" si="3"/>
        <v>389.17293559714727</v>
      </c>
      <c r="K11" s="375">
        <f t="shared" si="3"/>
        <v>433.45009593454728</v>
      </c>
      <c r="L11" s="375">
        <f t="shared" si="3"/>
        <v>217.36060529269088</v>
      </c>
      <c r="M11" s="375">
        <f t="shared" si="3"/>
        <v>279.00966585816167</v>
      </c>
      <c r="N11" s="375">
        <f t="shared" si="3"/>
        <v>483.12949353799371</v>
      </c>
      <c r="O11" s="375">
        <f t="shared" si="3"/>
        <v>377.41512507692863</v>
      </c>
      <c r="P11" s="375">
        <f t="shared" si="3"/>
        <v>610.34688484234152</v>
      </c>
      <c r="Q11" s="375">
        <f t="shared" si="3"/>
        <v>584.60681316294392</v>
      </c>
      <c r="R11" s="109">
        <f t="shared" ref="R11:R34" si="6">SUM(F11:Q11)</f>
        <v>4827.1638127647238</v>
      </c>
      <c r="S11" s="3">
        <f t="shared" ref="S11:S34" si="7">C11-R11</f>
        <v>0</v>
      </c>
    </row>
    <row r="12" spans="1:19" x14ac:dyDescent="0.2">
      <c r="A12" s="16"/>
      <c r="B12" s="29" t="s">
        <v>355</v>
      </c>
      <c r="C12" s="75">
        <f t="shared" si="4"/>
        <v>23918.052275277849</v>
      </c>
      <c r="D12" s="14">
        <f>[5]Respiratroy!$J$13</f>
        <v>0.5248524780074576</v>
      </c>
      <c r="E12" s="28"/>
      <c r="F12" s="375">
        <f t="shared" si="5"/>
        <v>1754.0569815009233</v>
      </c>
      <c r="G12" s="375">
        <f t="shared" si="3"/>
        <v>1947.2026934076678</v>
      </c>
      <c r="H12" s="375">
        <f t="shared" si="3"/>
        <v>1225.0056836694062</v>
      </c>
      <c r="I12" s="375">
        <f t="shared" si="3"/>
        <v>2271.5615248162767</v>
      </c>
      <c r="J12" s="375">
        <f t="shared" si="3"/>
        <v>1928.3080041993992</v>
      </c>
      <c r="K12" s="375">
        <f t="shared" si="3"/>
        <v>2147.6963400065165</v>
      </c>
      <c r="L12" s="375">
        <f t="shared" si="3"/>
        <v>1076.997284871303</v>
      </c>
      <c r="M12" s="375">
        <f t="shared" si="3"/>
        <v>1382.4614270716434</v>
      </c>
      <c r="N12" s="375">
        <f t="shared" si="3"/>
        <v>2393.8521521920143</v>
      </c>
      <c r="O12" s="375">
        <f t="shared" si="3"/>
        <v>1870.0493791405715</v>
      </c>
      <c r="P12" s="375">
        <f t="shared" si="3"/>
        <v>3024.1999782789708</v>
      </c>
      <c r="Q12" s="375">
        <f t="shared" si="3"/>
        <v>2896.6608261231586</v>
      </c>
      <c r="R12" s="109">
        <f t="shared" si="6"/>
        <v>23918.052275277849</v>
      </c>
      <c r="S12" s="3">
        <f t="shared" si="7"/>
        <v>0</v>
      </c>
    </row>
    <row r="13" spans="1:19" x14ac:dyDescent="0.2">
      <c r="A13" s="16"/>
      <c r="B13" s="29" t="s">
        <v>370</v>
      </c>
      <c r="C13" s="75">
        <f t="shared" si="4"/>
        <v>0</v>
      </c>
      <c r="D13" s="14"/>
      <c r="E13" s="28"/>
      <c r="F13" s="375">
        <f t="shared" si="5"/>
        <v>0</v>
      </c>
      <c r="G13" s="375">
        <f t="shared" si="3"/>
        <v>0</v>
      </c>
      <c r="H13" s="375">
        <f t="shared" si="3"/>
        <v>0</v>
      </c>
      <c r="I13" s="375">
        <f t="shared" si="3"/>
        <v>0</v>
      </c>
      <c r="J13" s="375">
        <f t="shared" si="3"/>
        <v>0</v>
      </c>
      <c r="K13" s="375">
        <f t="shared" si="3"/>
        <v>0</v>
      </c>
      <c r="L13" s="375">
        <f t="shared" si="3"/>
        <v>0</v>
      </c>
      <c r="M13" s="375">
        <f t="shared" si="3"/>
        <v>0</v>
      </c>
      <c r="N13" s="375">
        <f t="shared" si="3"/>
        <v>0</v>
      </c>
      <c r="O13" s="375">
        <f t="shared" si="3"/>
        <v>0</v>
      </c>
      <c r="P13" s="375">
        <f t="shared" si="3"/>
        <v>0</v>
      </c>
      <c r="Q13" s="375">
        <f t="shared" si="3"/>
        <v>0</v>
      </c>
      <c r="R13" s="109">
        <f t="shared" si="6"/>
        <v>0</v>
      </c>
      <c r="S13" s="3">
        <f t="shared" si="7"/>
        <v>0</v>
      </c>
    </row>
    <row r="14" spans="1:19" x14ac:dyDescent="0.2">
      <c r="A14" s="16"/>
      <c r="B14" s="29" t="s">
        <v>356</v>
      </c>
      <c r="C14" s="75">
        <f t="shared" si="4"/>
        <v>72298.573797197983</v>
      </c>
      <c r="D14" s="14">
        <f>[5]Respiratroy!$J$14+[5]Respiratroy!$J$15</f>
        <v>1.5865040002896136</v>
      </c>
      <c r="E14" s="28"/>
      <c r="F14" s="375">
        <f t="shared" si="5"/>
        <v>5302.0963689678883</v>
      </c>
      <c r="G14" s="375">
        <f t="shared" si="3"/>
        <v>5885.9298410744668</v>
      </c>
      <c r="H14" s="375">
        <f t="shared" si="3"/>
        <v>3702.900336675958</v>
      </c>
      <c r="I14" s="375">
        <f t="shared" si="3"/>
        <v>6866.3893132534477</v>
      </c>
      <c r="J14" s="375">
        <f t="shared" si="3"/>
        <v>5828.8156970640403</v>
      </c>
      <c r="K14" s="375">
        <f t="shared" si="3"/>
        <v>6491.974369185099</v>
      </c>
      <c r="L14" s="375">
        <f t="shared" si="3"/>
        <v>3255.5062085942873</v>
      </c>
      <c r="M14" s="375">
        <f t="shared" si="3"/>
        <v>4178.8515367628424</v>
      </c>
      <c r="N14" s="375">
        <f t="shared" si="3"/>
        <v>7236.0447453209272</v>
      </c>
      <c r="O14" s="375">
        <f t="shared" si="3"/>
        <v>5652.7137530318932</v>
      </c>
      <c r="P14" s="375">
        <f t="shared" si="3"/>
        <v>9141.4360496687532</v>
      </c>
      <c r="Q14" s="375">
        <f t="shared" si="3"/>
        <v>8755.9155775983781</v>
      </c>
      <c r="R14" s="109">
        <f t="shared" si="6"/>
        <v>72298.573797197983</v>
      </c>
      <c r="S14" s="3">
        <f t="shared" si="7"/>
        <v>0</v>
      </c>
    </row>
    <row r="15" spans="1:19" x14ac:dyDescent="0.2">
      <c r="A15" s="16"/>
      <c r="B15" s="29" t="s">
        <v>354</v>
      </c>
      <c r="C15" s="75">
        <f t="shared" si="4"/>
        <v>221353.34156319007</v>
      </c>
      <c r="D15" s="14">
        <f>[5]Respiratroy!$J$16</f>
        <v>4.8573290373963722</v>
      </c>
      <c r="E15" s="28"/>
      <c r="F15" s="375">
        <f t="shared" si="5"/>
        <v>16233.193642978677</v>
      </c>
      <c r="G15" s="375">
        <f t="shared" si="3"/>
        <v>18020.690728740541</v>
      </c>
      <c r="H15" s="375">
        <f t="shared" si="3"/>
        <v>11337.005973283132</v>
      </c>
      <c r="I15" s="375">
        <f t="shared" si="3"/>
        <v>21022.520073851498</v>
      </c>
      <c r="J15" s="375">
        <f t="shared" si="3"/>
        <v>17845.826883394271</v>
      </c>
      <c r="K15" s="375">
        <f t="shared" si="3"/>
        <v>19876.190421025956</v>
      </c>
      <c r="L15" s="375">
        <f t="shared" si="3"/>
        <v>9967.2391847373565</v>
      </c>
      <c r="M15" s="375">
        <f t="shared" si="3"/>
        <v>12794.204684502045</v>
      </c>
      <c r="N15" s="375">
        <f t="shared" si="3"/>
        <v>22154.277739564855</v>
      </c>
      <c r="O15" s="375">
        <f t="shared" si="3"/>
        <v>17306.663360243274</v>
      </c>
      <c r="P15" s="375">
        <f t="shared" si="3"/>
        <v>27987.929913477896</v>
      </c>
      <c r="Q15" s="375">
        <f t="shared" si="3"/>
        <v>26807.598957390579</v>
      </c>
      <c r="R15" s="109">
        <f t="shared" si="6"/>
        <v>221353.34156319007</v>
      </c>
      <c r="S15" s="3">
        <f t="shared" si="7"/>
        <v>0</v>
      </c>
    </row>
    <row r="16" spans="1:19" x14ac:dyDescent="0.2">
      <c r="A16" s="16"/>
      <c r="B16" s="29" t="s">
        <v>357</v>
      </c>
      <c r="C16" s="75">
        <f t="shared" si="4"/>
        <v>23563.356369691923</v>
      </c>
      <c r="D16" s="14">
        <f>[5]Respiratroy!$J$17</f>
        <v>0.51706910907577019</v>
      </c>
      <c r="E16" s="28"/>
      <c r="F16" s="375">
        <f t="shared" si="5"/>
        <v>1728.044962531224</v>
      </c>
      <c r="G16" s="375">
        <f t="shared" si="3"/>
        <v>1918.3263946711074</v>
      </c>
      <c r="H16" s="375">
        <f t="shared" si="3"/>
        <v>1206.8393005828477</v>
      </c>
      <c r="I16" s="375">
        <f t="shared" si="3"/>
        <v>2237.8751040799334</v>
      </c>
      <c r="J16" s="375">
        <f t="shared" si="3"/>
        <v>1899.7119067443798</v>
      </c>
      <c r="K16" s="375">
        <f t="shared" si="3"/>
        <v>2115.8467943380515</v>
      </c>
      <c r="L16" s="375">
        <f t="shared" si="3"/>
        <v>1061.0258118234804</v>
      </c>
      <c r="M16" s="375">
        <f t="shared" si="3"/>
        <v>1361.9600333055787</v>
      </c>
      <c r="N16" s="375">
        <f t="shared" si="3"/>
        <v>2358.3522064945878</v>
      </c>
      <c r="O16" s="375">
        <f t="shared" si="3"/>
        <v>1842.3172356369691</v>
      </c>
      <c r="P16" s="375">
        <f t="shared" si="3"/>
        <v>2979.3522064945878</v>
      </c>
      <c r="Q16" s="375">
        <f t="shared" si="3"/>
        <v>2853.7044129891756</v>
      </c>
      <c r="R16" s="109">
        <f t="shared" si="6"/>
        <v>23563.356369691923</v>
      </c>
      <c r="S16" s="3">
        <f t="shared" si="7"/>
        <v>0</v>
      </c>
    </row>
    <row r="17" spans="1:19" x14ac:dyDescent="0.2">
      <c r="A17" s="87">
        <v>31110.071</v>
      </c>
      <c r="B17" s="161" t="s">
        <v>487</v>
      </c>
      <c r="C17" s="293">
        <f>SUM(C10:C16)</f>
        <v>1026183.0975636246</v>
      </c>
      <c r="D17" s="293"/>
      <c r="E17" s="293"/>
      <c r="F17" s="369">
        <f>SUM(F10:F16)</f>
        <v>75256.279477247212</v>
      </c>
      <c r="G17" s="369">
        <f t="shared" ref="G17:Q17" si="8">SUM(G10:G16)</f>
        <v>83543.027187488697</v>
      </c>
      <c r="H17" s="369">
        <f t="shared" si="8"/>
        <v>52557.796618759727</v>
      </c>
      <c r="I17" s="369">
        <f t="shared" si="8"/>
        <v>97459.358940013757</v>
      </c>
      <c r="J17" s="369">
        <f t="shared" si="8"/>
        <v>82732.367085399848</v>
      </c>
      <c r="K17" s="369">
        <f t="shared" si="8"/>
        <v>92145.031604098025</v>
      </c>
      <c r="L17" s="369">
        <f t="shared" si="8"/>
        <v>46207.625819063825</v>
      </c>
      <c r="M17" s="369">
        <f t="shared" si="8"/>
        <v>59313.297469500052</v>
      </c>
      <c r="N17" s="369">
        <f t="shared" si="8"/>
        <v>102706.1312674221</v>
      </c>
      <c r="O17" s="369">
        <f t="shared" si="8"/>
        <v>80232.83177062594</v>
      </c>
      <c r="P17" s="369">
        <f t="shared" si="8"/>
        <v>129750.6530065525</v>
      </c>
      <c r="Q17" s="369">
        <f t="shared" si="8"/>
        <v>124278.69731745285</v>
      </c>
      <c r="R17" s="369">
        <f t="shared" si="6"/>
        <v>1026183.0975636246</v>
      </c>
      <c r="S17" s="291">
        <f t="shared" si="7"/>
        <v>0</v>
      </c>
    </row>
    <row r="18" spans="1:19" x14ac:dyDescent="0.2">
      <c r="A18" s="16"/>
      <c r="B18" s="29" t="s">
        <v>424</v>
      </c>
      <c r="C18" s="75">
        <f t="shared" ref="C18:C24" si="9">$C$2*D18</f>
        <v>654918.76881584188</v>
      </c>
      <c r="D18" s="14">
        <f>[5]Respiratroy!$J$21</f>
        <v>14.371393404047351</v>
      </c>
      <c r="E18" s="28"/>
      <c r="F18" s="375">
        <f>$D18*F$2</f>
        <v>48029.196756326251</v>
      </c>
      <c r="G18" s="375">
        <f t="shared" ref="G18:Q24" si="10">$D18*G$2</f>
        <v>53317.869529015676</v>
      </c>
      <c r="H18" s="375">
        <f t="shared" si="10"/>
        <v>33542.832205046521</v>
      </c>
      <c r="I18" s="375">
        <f t="shared" si="10"/>
        <v>62199.390652716938</v>
      </c>
      <c r="J18" s="375">
        <f t="shared" si="10"/>
        <v>52800.499366469972</v>
      </c>
      <c r="K18" s="375">
        <f t="shared" si="10"/>
        <v>58807.74180936176</v>
      </c>
      <c r="L18" s="375">
        <f t="shared" si="10"/>
        <v>29490.099265105164</v>
      </c>
      <c r="M18" s="375">
        <f t="shared" si="10"/>
        <v>37854.250226260723</v>
      </c>
      <c r="N18" s="375">
        <f t="shared" si="10"/>
        <v>65547.925315859975</v>
      </c>
      <c r="O18" s="375">
        <f t="shared" si="10"/>
        <v>51205.274698620713</v>
      </c>
      <c r="P18" s="375">
        <f t="shared" si="10"/>
        <v>82807.968794120839</v>
      </c>
      <c r="Q18" s="375">
        <f t="shared" si="10"/>
        <v>79315.720196937327</v>
      </c>
      <c r="R18" s="109">
        <f t="shared" si="6"/>
        <v>654918.76881584188</v>
      </c>
      <c r="S18" s="3">
        <f t="shared" si="7"/>
        <v>0</v>
      </c>
    </row>
    <row r="19" spans="1:19" x14ac:dyDescent="0.2">
      <c r="A19" s="16"/>
      <c r="B19" s="29" t="s">
        <v>425</v>
      </c>
      <c r="C19" s="75">
        <f t="shared" si="9"/>
        <v>0</v>
      </c>
      <c r="D19" s="14">
        <f>[9]RT!$M$22</f>
        <v>0</v>
      </c>
      <c r="E19" s="28"/>
      <c r="F19" s="375">
        <f t="shared" ref="F19:F24" si="11">$D19*F$2</f>
        <v>0</v>
      </c>
      <c r="G19" s="375">
        <f t="shared" si="10"/>
        <v>0</v>
      </c>
      <c r="H19" s="375">
        <f t="shared" si="10"/>
        <v>0</v>
      </c>
      <c r="I19" s="375">
        <f t="shared" si="10"/>
        <v>0</v>
      </c>
      <c r="J19" s="375">
        <f t="shared" si="10"/>
        <v>0</v>
      </c>
      <c r="K19" s="375">
        <f t="shared" si="10"/>
        <v>0</v>
      </c>
      <c r="L19" s="375">
        <f t="shared" si="10"/>
        <v>0</v>
      </c>
      <c r="M19" s="375">
        <f t="shared" si="10"/>
        <v>0</v>
      </c>
      <c r="N19" s="375">
        <f t="shared" si="10"/>
        <v>0</v>
      </c>
      <c r="O19" s="375">
        <f t="shared" si="10"/>
        <v>0</v>
      </c>
      <c r="P19" s="375">
        <f t="shared" si="10"/>
        <v>0</v>
      </c>
      <c r="Q19" s="375">
        <f t="shared" si="10"/>
        <v>0</v>
      </c>
      <c r="R19" s="109">
        <f t="shared" si="6"/>
        <v>0</v>
      </c>
      <c r="S19" s="3">
        <f t="shared" si="7"/>
        <v>0</v>
      </c>
    </row>
    <row r="20" spans="1:19" x14ac:dyDescent="0.2">
      <c r="A20" s="16"/>
      <c r="B20" s="29" t="s">
        <v>426</v>
      </c>
      <c r="C20" s="75">
        <f t="shared" si="9"/>
        <v>0</v>
      </c>
      <c r="D20" s="14">
        <f>[9]RT!$M$23</f>
        <v>0</v>
      </c>
      <c r="E20" s="28"/>
      <c r="F20" s="375">
        <f t="shared" si="11"/>
        <v>0</v>
      </c>
      <c r="G20" s="375">
        <f t="shared" si="10"/>
        <v>0</v>
      </c>
      <c r="H20" s="375">
        <f t="shared" si="10"/>
        <v>0</v>
      </c>
      <c r="I20" s="375">
        <f t="shared" si="10"/>
        <v>0</v>
      </c>
      <c r="J20" s="375">
        <f t="shared" si="10"/>
        <v>0</v>
      </c>
      <c r="K20" s="375">
        <f t="shared" si="10"/>
        <v>0</v>
      </c>
      <c r="L20" s="375">
        <f t="shared" si="10"/>
        <v>0</v>
      </c>
      <c r="M20" s="375">
        <f t="shared" si="10"/>
        <v>0</v>
      </c>
      <c r="N20" s="375">
        <f t="shared" si="10"/>
        <v>0</v>
      </c>
      <c r="O20" s="375">
        <f t="shared" si="10"/>
        <v>0</v>
      </c>
      <c r="P20" s="375">
        <f t="shared" si="10"/>
        <v>0</v>
      </c>
      <c r="Q20" s="375">
        <f t="shared" si="10"/>
        <v>0</v>
      </c>
      <c r="R20" s="109">
        <f t="shared" si="6"/>
        <v>0</v>
      </c>
      <c r="S20" s="3">
        <f t="shared" si="7"/>
        <v>0</v>
      </c>
    </row>
    <row r="21" spans="1:19" x14ac:dyDescent="0.2">
      <c r="A21" s="16"/>
      <c r="B21" s="29" t="s">
        <v>427</v>
      </c>
      <c r="C21" s="75">
        <f t="shared" si="9"/>
        <v>0</v>
      </c>
      <c r="D21" s="14"/>
      <c r="E21" s="28"/>
      <c r="F21" s="375">
        <f t="shared" si="11"/>
        <v>0</v>
      </c>
      <c r="G21" s="375">
        <f t="shared" si="10"/>
        <v>0</v>
      </c>
      <c r="H21" s="375">
        <f t="shared" si="10"/>
        <v>0</v>
      </c>
      <c r="I21" s="375">
        <f t="shared" si="10"/>
        <v>0</v>
      </c>
      <c r="J21" s="375">
        <f t="shared" si="10"/>
        <v>0</v>
      </c>
      <c r="K21" s="375">
        <f t="shared" si="10"/>
        <v>0</v>
      </c>
      <c r="L21" s="375">
        <f t="shared" si="10"/>
        <v>0</v>
      </c>
      <c r="M21" s="375">
        <f t="shared" si="10"/>
        <v>0</v>
      </c>
      <c r="N21" s="375">
        <f t="shared" si="10"/>
        <v>0</v>
      </c>
      <c r="O21" s="375">
        <f t="shared" si="10"/>
        <v>0</v>
      </c>
      <c r="P21" s="375">
        <f t="shared" si="10"/>
        <v>0</v>
      </c>
      <c r="Q21" s="375">
        <f t="shared" si="10"/>
        <v>0</v>
      </c>
      <c r="R21" s="376">
        <f t="shared" si="6"/>
        <v>0</v>
      </c>
      <c r="S21" s="3">
        <f t="shared" si="7"/>
        <v>0</v>
      </c>
    </row>
    <row r="22" spans="1:19" x14ac:dyDescent="0.2">
      <c r="A22" s="16"/>
      <c r="B22" s="29" t="s">
        <v>428</v>
      </c>
      <c r="C22" s="75">
        <f t="shared" si="9"/>
        <v>0</v>
      </c>
      <c r="D22" s="14">
        <f>[9]RT!$M$24</f>
        <v>0</v>
      </c>
      <c r="E22" s="28"/>
      <c r="F22" s="375">
        <f t="shared" si="11"/>
        <v>0</v>
      </c>
      <c r="G22" s="375">
        <f t="shared" si="10"/>
        <v>0</v>
      </c>
      <c r="H22" s="375">
        <f t="shared" si="10"/>
        <v>0</v>
      </c>
      <c r="I22" s="375">
        <f t="shared" si="10"/>
        <v>0</v>
      </c>
      <c r="J22" s="375">
        <f t="shared" si="10"/>
        <v>0</v>
      </c>
      <c r="K22" s="375">
        <f t="shared" si="10"/>
        <v>0</v>
      </c>
      <c r="L22" s="375">
        <f t="shared" si="10"/>
        <v>0</v>
      </c>
      <c r="M22" s="375">
        <f t="shared" si="10"/>
        <v>0</v>
      </c>
      <c r="N22" s="375">
        <f t="shared" si="10"/>
        <v>0</v>
      </c>
      <c r="O22" s="375">
        <f t="shared" si="10"/>
        <v>0</v>
      </c>
      <c r="P22" s="375">
        <f t="shared" si="10"/>
        <v>0</v>
      </c>
      <c r="Q22" s="375">
        <f t="shared" si="10"/>
        <v>0</v>
      </c>
      <c r="R22" s="109">
        <f t="shared" si="6"/>
        <v>0</v>
      </c>
      <c r="S22" s="3">
        <f t="shared" si="7"/>
        <v>0</v>
      </c>
    </row>
    <row r="23" spans="1:19" x14ac:dyDescent="0.2">
      <c r="A23" s="16"/>
      <c r="B23" s="29" t="s">
        <v>429</v>
      </c>
      <c r="C23" s="75">
        <f t="shared" si="9"/>
        <v>0</v>
      </c>
      <c r="D23" s="14">
        <v>0</v>
      </c>
      <c r="E23" s="28"/>
      <c r="F23" s="375">
        <f t="shared" si="11"/>
        <v>0</v>
      </c>
      <c r="G23" s="375">
        <f t="shared" si="10"/>
        <v>0</v>
      </c>
      <c r="H23" s="375">
        <f t="shared" si="10"/>
        <v>0</v>
      </c>
      <c r="I23" s="375">
        <f t="shared" si="10"/>
        <v>0</v>
      </c>
      <c r="J23" s="375">
        <f t="shared" si="10"/>
        <v>0</v>
      </c>
      <c r="K23" s="375">
        <f t="shared" si="10"/>
        <v>0</v>
      </c>
      <c r="L23" s="375">
        <f t="shared" si="10"/>
        <v>0</v>
      </c>
      <c r="M23" s="375">
        <f t="shared" si="10"/>
        <v>0</v>
      </c>
      <c r="N23" s="375">
        <f t="shared" si="10"/>
        <v>0</v>
      </c>
      <c r="O23" s="375">
        <f t="shared" si="10"/>
        <v>0</v>
      </c>
      <c r="P23" s="375">
        <f t="shared" si="10"/>
        <v>0</v>
      </c>
      <c r="Q23" s="375">
        <f t="shared" si="10"/>
        <v>0</v>
      </c>
      <c r="R23" s="109">
        <f t="shared" si="6"/>
        <v>0</v>
      </c>
      <c r="S23" s="3">
        <f t="shared" si="7"/>
        <v>0</v>
      </c>
    </row>
    <row r="24" spans="1:19" x14ac:dyDescent="0.2">
      <c r="A24" s="16"/>
      <c r="B24" s="29" t="s">
        <v>430</v>
      </c>
      <c r="C24" s="75">
        <f t="shared" si="9"/>
        <v>0</v>
      </c>
      <c r="D24" s="14">
        <f>[9]RT!$M$26</f>
        <v>0</v>
      </c>
      <c r="E24" s="28"/>
      <c r="F24" s="375">
        <f t="shared" si="11"/>
        <v>0</v>
      </c>
      <c r="G24" s="375">
        <f t="shared" si="10"/>
        <v>0</v>
      </c>
      <c r="H24" s="375">
        <f t="shared" si="10"/>
        <v>0</v>
      </c>
      <c r="I24" s="375">
        <f t="shared" si="10"/>
        <v>0</v>
      </c>
      <c r="J24" s="375">
        <f t="shared" si="10"/>
        <v>0</v>
      </c>
      <c r="K24" s="375">
        <f t="shared" si="10"/>
        <v>0</v>
      </c>
      <c r="L24" s="375">
        <f t="shared" si="10"/>
        <v>0</v>
      </c>
      <c r="M24" s="375">
        <f t="shared" si="10"/>
        <v>0</v>
      </c>
      <c r="N24" s="375">
        <f t="shared" si="10"/>
        <v>0</v>
      </c>
      <c r="O24" s="375">
        <f t="shared" si="10"/>
        <v>0</v>
      </c>
      <c r="P24" s="375">
        <f t="shared" si="10"/>
        <v>0</v>
      </c>
      <c r="Q24" s="375">
        <f t="shared" si="10"/>
        <v>0</v>
      </c>
      <c r="R24" s="109">
        <f t="shared" si="6"/>
        <v>0</v>
      </c>
      <c r="S24" s="3">
        <f t="shared" si="7"/>
        <v>0</v>
      </c>
    </row>
    <row r="25" spans="1:19" x14ac:dyDescent="0.2">
      <c r="A25" s="87">
        <v>31111.071</v>
      </c>
      <c r="B25" s="161" t="s">
        <v>488</v>
      </c>
      <c r="C25" s="293">
        <f>SUM(C18:C24)</f>
        <v>654918.76881584188</v>
      </c>
      <c r="D25" s="293"/>
      <c r="E25" s="293"/>
      <c r="F25" s="369">
        <f>SUM(F18:F24)</f>
        <v>48029.196756326251</v>
      </c>
      <c r="G25" s="369">
        <f t="shared" ref="G25:Q25" si="12">SUM(G18:G24)</f>
        <v>53317.869529015676</v>
      </c>
      <c r="H25" s="369">
        <f t="shared" si="12"/>
        <v>33542.832205046521</v>
      </c>
      <c r="I25" s="369">
        <f t="shared" si="12"/>
        <v>62199.390652716938</v>
      </c>
      <c r="J25" s="369">
        <f t="shared" si="12"/>
        <v>52800.499366469972</v>
      </c>
      <c r="K25" s="369">
        <f t="shared" si="12"/>
        <v>58807.74180936176</v>
      </c>
      <c r="L25" s="369">
        <f t="shared" si="12"/>
        <v>29490.099265105164</v>
      </c>
      <c r="M25" s="369">
        <f t="shared" si="12"/>
        <v>37854.250226260723</v>
      </c>
      <c r="N25" s="369">
        <f t="shared" si="12"/>
        <v>65547.925315859975</v>
      </c>
      <c r="O25" s="369">
        <f t="shared" si="12"/>
        <v>51205.274698620713</v>
      </c>
      <c r="P25" s="369">
        <f t="shared" si="12"/>
        <v>82807.968794120839</v>
      </c>
      <c r="Q25" s="369">
        <f t="shared" si="12"/>
        <v>79315.720196937327</v>
      </c>
      <c r="R25" s="369">
        <f t="shared" si="6"/>
        <v>654918.76881584188</v>
      </c>
      <c r="S25" s="291">
        <f t="shared" si="7"/>
        <v>0</v>
      </c>
    </row>
    <row r="26" spans="1:19" x14ac:dyDescent="0.2">
      <c r="A26" s="16"/>
      <c r="B26" s="29" t="s">
        <v>358</v>
      </c>
      <c r="C26" s="75">
        <f t="shared" ref="C26:C32" si="13">$C$3*D26</f>
        <v>311798.98190526874</v>
      </c>
      <c r="D26" s="14">
        <f>[5]Respiratroy!$J$31</f>
        <v>54.807344332091539</v>
      </c>
      <c r="E26" s="28"/>
      <c r="F26" s="375">
        <f>$D26*F$3</f>
        <v>24334.460883448643</v>
      </c>
      <c r="G26" s="375">
        <f t="shared" ref="G26:Q32" si="14">$D26*G$3</f>
        <v>22196.974454497074</v>
      </c>
      <c r="H26" s="375">
        <f t="shared" si="14"/>
        <v>26855.598722724855</v>
      </c>
      <c r="I26" s="375">
        <f t="shared" si="14"/>
        <v>30856.534858967538</v>
      </c>
      <c r="J26" s="375">
        <f t="shared" si="14"/>
        <v>31240.186269292179</v>
      </c>
      <c r="K26" s="375">
        <f t="shared" si="14"/>
        <v>22635.433209153805</v>
      </c>
      <c r="L26" s="375">
        <f t="shared" si="14"/>
        <v>29267.121873336881</v>
      </c>
      <c r="M26" s="375">
        <f t="shared" si="14"/>
        <v>25923.873869079296</v>
      </c>
      <c r="N26" s="375">
        <f t="shared" si="14"/>
        <v>28883.47046301224</v>
      </c>
      <c r="O26" s="375">
        <f t="shared" si="14"/>
        <v>22251.781798829164</v>
      </c>
      <c r="P26" s="375">
        <f t="shared" si="14"/>
        <v>22690.240553485895</v>
      </c>
      <c r="Q26" s="375">
        <f t="shared" si="14"/>
        <v>24663.304949441193</v>
      </c>
      <c r="R26" s="109">
        <f t="shared" si="6"/>
        <v>311798.98190526868</v>
      </c>
      <c r="S26" s="3">
        <f t="shared" si="7"/>
        <v>0</v>
      </c>
    </row>
    <row r="27" spans="1:19" x14ac:dyDescent="0.2">
      <c r="A27" s="16"/>
      <c r="B27" s="29" t="s">
        <v>359</v>
      </c>
      <c r="C27" s="75">
        <f t="shared" si="13"/>
        <v>15603.119478445982</v>
      </c>
      <c r="D27" s="14">
        <f>[5]Respiratroy!$J$32</f>
        <v>2.7426822778073445</v>
      </c>
      <c r="E27" s="28"/>
      <c r="F27" s="375">
        <f t="shared" ref="F27:F32" si="15">$D27*F$3</f>
        <v>1217.7509313464609</v>
      </c>
      <c r="G27" s="375">
        <f t="shared" si="14"/>
        <v>1110.7863225119745</v>
      </c>
      <c r="H27" s="375">
        <f t="shared" si="14"/>
        <v>1343.9143161255988</v>
      </c>
      <c r="I27" s="375">
        <f t="shared" si="14"/>
        <v>1544.1301224055351</v>
      </c>
      <c r="J27" s="375">
        <f t="shared" si="14"/>
        <v>1563.3288983501864</v>
      </c>
      <c r="K27" s="375">
        <f t="shared" si="14"/>
        <v>1132.7277807344333</v>
      </c>
      <c r="L27" s="375">
        <f t="shared" si="14"/>
        <v>1464.592336349122</v>
      </c>
      <c r="M27" s="375">
        <f t="shared" si="14"/>
        <v>1297.288717402874</v>
      </c>
      <c r="N27" s="375">
        <f t="shared" si="14"/>
        <v>1445.3935604044705</v>
      </c>
      <c r="O27" s="375">
        <f t="shared" si="14"/>
        <v>1113.5290047897818</v>
      </c>
      <c r="P27" s="375">
        <f t="shared" si="14"/>
        <v>1135.4704630122405</v>
      </c>
      <c r="Q27" s="375">
        <f t="shared" si="14"/>
        <v>1234.2070250133049</v>
      </c>
      <c r="R27" s="109">
        <f t="shared" si="6"/>
        <v>15603.119478445982</v>
      </c>
      <c r="S27" s="3">
        <f t="shared" si="7"/>
        <v>0</v>
      </c>
    </row>
    <row r="28" spans="1:19" x14ac:dyDescent="0.2">
      <c r="A28" s="16"/>
      <c r="B28" s="29" t="s">
        <v>372</v>
      </c>
      <c r="C28" s="75">
        <f t="shared" si="13"/>
        <v>48268.697445449703</v>
      </c>
      <c r="D28" s="14">
        <f>[5]Respiratroy!$J$33</f>
        <v>8.4845662586482167</v>
      </c>
      <c r="E28" s="28"/>
      <c r="F28" s="375">
        <f t="shared" si="15"/>
        <v>3767.1474188398083</v>
      </c>
      <c r="G28" s="375">
        <f t="shared" si="14"/>
        <v>3436.2493347525278</v>
      </c>
      <c r="H28" s="375">
        <f t="shared" si="14"/>
        <v>4157.437466737626</v>
      </c>
      <c r="I28" s="375">
        <f t="shared" si="14"/>
        <v>4776.810803618946</v>
      </c>
      <c r="J28" s="375">
        <f t="shared" si="14"/>
        <v>4836.2027674294832</v>
      </c>
      <c r="K28" s="375">
        <f t="shared" si="14"/>
        <v>3504.1258648217135</v>
      </c>
      <c r="L28" s="375">
        <f t="shared" si="14"/>
        <v>4530.7583821181479</v>
      </c>
      <c r="M28" s="375">
        <f t="shared" si="14"/>
        <v>4013.1998403406064</v>
      </c>
      <c r="N28" s="375">
        <f t="shared" si="14"/>
        <v>4471.3664183076098</v>
      </c>
      <c r="O28" s="375">
        <f t="shared" si="14"/>
        <v>3444.7339010111759</v>
      </c>
      <c r="P28" s="375">
        <f t="shared" si="14"/>
        <v>3512.6104310803616</v>
      </c>
      <c r="Q28" s="375">
        <f t="shared" si="14"/>
        <v>3818.0548163916974</v>
      </c>
      <c r="R28" s="109">
        <f t="shared" si="6"/>
        <v>48268.697445449703</v>
      </c>
      <c r="S28" s="3">
        <f t="shared" si="7"/>
        <v>0</v>
      </c>
    </row>
    <row r="29" spans="1:19" x14ac:dyDescent="0.2">
      <c r="A29" s="16"/>
      <c r="B29" s="29" t="s">
        <v>373</v>
      </c>
      <c r="C29" s="75">
        <f t="shared" si="13"/>
        <v>0</v>
      </c>
      <c r="D29" s="14">
        <v>0</v>
      </c>
      <c r="E29" s="28"/>
      <c r="F29" s="375">
        <f t="shared" si="15"/>
        <v>0</v>
      </c>
      <c r="G29" s="375">
        <f t="shared" si="14"/>
        <v>0</v>
      </c>
      <c r="H29" s="375">
        <f t="shared" si="14"/>
        <v>0</v>
      </c>
      <c r="I29" s="375">
        <f t="shared" si="14"/>
        <v>0</v>
      </c>
      <c r="J29" s="375">
        <f t="shared" si="14"/>
        <v>0</v>
      </c>
      <c r="K29" s="375">
        <f t="shared" si="14"/>
        <v>0</v>
      </c>
      <c r="L29" s="375">
        <f t="shared" si="14"/>
        <v>0</v>
      </c>
      <c r="M29" s="375">
        <f t="shared" si="14"/>
        <v>0</v>
      </c>
      <c r="N29" s="375">
        <f t="shared" si="14"/>
        <v>0</v>
      </c>
      <c r="O29" s="375">
        <f t="shared" si="14"/>
        <v>0</v>
      </c>
      <c r="P29" s="375">
        <f t="shared" si="14"/>
        <v>0</v>
      </c>
      <c r="Q29" s="375">
        <f t="shared" si="14"/>
        <v>0</v>
      </c>
      <c r="R29" s="109">
        <f t="shared" si="6"/>
        <v>0</v>
      </c>
      <c r="S29" s="3">
        <f t="shared" si="7"/>
        <v>0</v>
      </c>
    </row>
    <row r="30" spans="1:19" x14ac:dyDescent="0.2">
      <c r="A30" s="163"/>
      <c r="B30" s="29" t="s">
        <v>361</v>
      </c>
      <c r="C30" s="75">
        <f t="shared" si="13"/>
        <v>47215.066790846191</v>
      </c>
      <c r="D30" s="14">
        <f>[5]Respiratroy!$J$34+[5]Respiratroy!$J$35</f>
        <v>8.2993613624268221</v>
      </c>
      <c r="E30" s="28"/>
      <c r="F30" s="375">
        <f t="shared" si="15"/>
        <v>3684.9164449175091</v>
      </c>
      <c r="G30" s="375">
        <f t="shared" si="14"/>
        <v>3361.2413517828631</v>
      </c>
      <c r="H30" s="375">
        <f t="shared" si="14"/>
        <v>4066.6870675891428</v>
      </c>
      <c r="I30" s="375">
        <f t="shared" si="14"/>
        <v>4672.5404470463009</v>
      </c>
      <c r="J30" s="375">
        <f t="shared" si="14"/>
        <v>4730.6359765832885</v>
      </c>
      <c r="K30" s="375">
        <f t="shared" si="14"/>
        <v>3427.6362426822775</v>
      </c>
      <c r="L30" s="375">
        <f t="shared" si="14"/>
        <v>4431.8589675359226</v>
      </c>
      <c r="M30" s="375">
        <f t="shared" si="14"/>
        <v>3925.5979244278869</v>
      </c>
      <c r="N30" s="375">
        <f t="shared" si="14"/>
        <v>4373.7634379989349</v>
      </c>
      <c r="O30" s="375">
        <f t="shared" si="14"/>
        <v>3369.5407131452898</v>
      </c>
      <c r="P30" s="375">
        <f t="shared" si="14"/>
        <v>3435.9356040447042</v>
      </c>
      <c r="Q30" s="375">
        <f t="shared" si="14"/>
        <v>3734.7126130920701</v>
      </c>
      <c r="R30" s="109">
        <f t="shared" si="6"/>
        <v>47215.066790846191</v>
      </c>
      <c r="S30" s="3">
        <f t="shared" si="7"/>
        <v>0</v>
      </c>
    </row>
    <row r="31" spans="1:19" x14ac:dyDescent="0.2">
      <c r="A31" s="163"/>
      <c r="B31" s="29" t="s">
        <v>360</v>
      </c>
      <c r="C31" s="75">
        <f t="shared" si="13"/>
        <v>179516.86428951568</v>
      </c>
      <c r="D31" s="14">
        <f>[5]Respiratroy!$J$36</f>
        <v>31.555082490686534</v>
      </c>
      <c r="E31" s="28"/>
      <c r="F31" s="375">
        <f t="shared" si="15"/>
        <v>14010.456625864821</v>
      </c>
      <c r="G31" s="375">
        <f t="shared" si="14"/>
        <v>12779.808408728046</v>
      </c>
      <c r="H31" s="375">
        <f t="shared" si="14"/>
        <v>15461.990420436401</v>
      </c>
      <c r="I31" s="375">
        <f t="shared" si="14"/>
        <v>17765.51144225652</v>
      </c>
      <c r="J31" s="375">
        <f t="shared" si="14"/>
        <v>17986.397019691325</v>
      </c>
      <c r="K31" s="375">
        <f t="shared" si="14"/>
        <v>13032.249068653538</v>
      </c>
      <c r="L31" s="375">
        <f t="shared" si="14"/>
        <v>16850.414050026608</v>
      </c>
      <c r="M31" s="375">
        <f t="shared" si="14"/>
        <v>14925.55401809473</v>
      </c>
      <c r="N31" s="375">
        <f t="shared" si="14"/>
        <v>16629.528472591803</v>
      </c>
      <c r="O31" s="375">
        <f t="shared" si="14"/>
        <v>12811.363491218734</v>
      </c>
      <c r="P31" s="375">
        <f t="shared" si="14"/>
        <v>13063.804151144224</v>
      </c>
      <c r="Q31" s="375">
        <f t="shared" si="14"/>
        <v>14199.78712080894</v>
      </c>
      <c r="R31" s="109">
        <f t="shared" si="6"/>
        <v>179516.86428951571</v>
      </c>
      <c r="S31" s="3">
        <f t="shared" si="7"/>
        <v>0</v>
      </c>
    </row>
    <row r="32" spans="1:19" x14ac:dyDescent="0.2">
      <c r="A32" s="163"/>
      <c r="B32" s="29" t="s">
        <v>362</v>
      </c>
      <c r="C32" s="75">
        <f t="shared" si="13"/>
        <v>56620.536987759442</v>
      </c>
      <c r="D32" s="14">
        <f>[5]Respiratroy!$J$37</f>
        <v>9.9526343799893553</v>
      </c>
      <c r="E32" s="28"/>
      <c r="F32" s="375">
        <f t="shared" si="15"/>
        <v>4418.9696647152741</v>
      </c>
      <c r="G32" s="375">
        <f t="shared" si="14"/>
        <v>4030.8169238956889</v>
      </c>
      <c r="H32" s="375">
        <f t="shared" si="14"/>
        <v>4876.7908461947845</v>
      </c>
      <c r="I32" s="375">
        <f t="shared" si="14"/>
        <v>5603.3331559340068</v>
      </c>
      <c r="J32" s="375">
        <f t="shared" si="14"/>
        <v>5673.0015965939328</v>
      </c>
      <c r="K32" s="375">
        <f t="shared" si="14"/>
        <v>4110.4379989356039</v>
      </c>
      <c r="L32" s="375">
        <f t="shared" si="14"/>
        <v>5314.7067589143153</v>
      </c>
      <c r="M32" s="375">
        <f t="shared" si="14"/>
        <v>4707.5960617349647</v>
      </c>
      <c r="N32" s="375">
        <f t="shared" si="14"/>
        <v>5245.0383182543901</v>
      </c>
      <c r="O32" s="375">
        <f t="shared" si="14"/>
        <v>4040.7695582756783</v>
      </c>
      <c r="P32" s="375">
        <f t="shared" si="14"/>
        <v>4120.3906333155928</v>
      </c>
      <c r="Q32" s="375">
        <f t="shared" si="14"/>
        <v>4478.6854709952095</v>
      </c>
      <c r="R32" s="109">
        <f t="shared" si="6"/>
        <v>56620.536987759435</v>
      </c>
      <c r="S32" s="3">
        <f t="shared" si="7"/>
        <v>0</v>
      </c>
    </row>
    <row r="33" spans="1:21" x14ac:dyDescent="0.2">
      <c r="A33" s="90">
        <v>31200.071</v>
      </c>
      <c r="B33" s="161" t="s">
        <v>489</v>
      </c>
      <c r="C33" s="293">
        <f>SUM(C26:C32)</f>
        <v>659023.26689728571</v>
      </c>
      <c r="D33" s="293"/>
      <c r="E33" s="293"/>
      <c r="F33" s="369">
        <f>SUM(F26:F32)</f>
        <v>51433.701969132519</v>
      </c>
      <c r="G33" s="369">
        <f t="shared" ref="G33:Q33" si="16">SUM(G26:G32)</f>
        <v>46915.876796168173</v>
      </c>
      <c r="H33" s="369">
        <f t="shared" si="16"/>
        <v>56762.418839808408</v>
      </c>
      <c r="I33" s="369">
        <f t="shared" si="16"/>
        <v>65218.860830228856</v>
      </c>
      <c r="J33" s="369">
        <f t="shared" si="16"/>
        <v>66029.752527940393</v>
      </c>
      <c r="K33" s="369">
        <f t="shared" si="16"/>
        <v>47842.610164981372</v>
      </c>
      <c r="L33" s="369">
        <f t="shared" si="16"/>
        <v>61859.452368280996</v>
      </c>
      <c r="M33" s="369">
        <f t="shared" si="16"/>
        <v>54793.110431080357</v>
      </c>
      <c r="N33" s="369">
        <f t="shared" si="16"/>
        <v>61048.560670569444</v>
      </c>
      <c r="O33" s="369">
        <f t="shared" si="16"/>
        <v>47031.718467269828</v>
      </c>
      <c r="P33" s="369">
        <f t="shared" si="16"/>
        <v>47958.451836083012</v>
      </c>
      <c r="Q33" s="369">
        <f t="shared" si="16"/>
        <v>52128.751995742416</v>
      </c>
      <c r="R33" s="369">
        <f t="shared" si="6"/>
        <v>659023.26689728571</v>
      </c>
      <c r="S33" s="291">
        <f t="shared" si="7"/>
        <v>0</v>
      </c>
    </row>
    <row r="34" spans="1:21" s="5" customFormat="1" x14ac:dyDescent="0.2">
      <c r="A34" s="11"/>
      <c r="B34" s="10" t="s">
        <v>0</v>
      </c>
      <c r="C34" s="292">
        <f>C17+C25+C33</f>
        <v>2340125.1332767522</v>
      </c>
      <c r="D34" s="293">
        <f>(C34/C$4)</f>
        <v>45.652070489207027</v>
      </c>
      <c r="E34" s="293"/>
      <c r="F34" s="369">
        <f>F17+F25+F33</f>
        <v>174719.17820270598</v>
      </c>
      <c r="G34" s="369">
        <f t="shared" ref="G34:Q34" si="17">G17+G25+G33</f>
        <v>183776.77351267252</v>
      </c>
      <c r="H34" s="369">
        <f t="shared" si="17"/>
        <v>142863.04766361465</v>
      </c>
      <c r="I34" s="369">
        <f t="shared" si="17"/>
        <v>224877.61042295955</v>
      </c>
      <c r="J34" s="369">
        <f t="shared" si="17"/>
        <v>201562.61897981021</v>
      </c>
      <c r="K34" s="369">
        <f t="shared" si="17"/>
        <v>198795.38357844113</v>
      </c>
      <c r="L34" s="369">
        <f t="shared" si="17"/>
        <v>137557.17745244998</v>
      </c>
      <c r="M34" s="369">
        <f t="shared" si="17"/>
        <v>151960.65812684112</v>
      </c>
      <c r="N34" s="369">
        <f t="shared" si="17"/>
        <v>229302.61725385152</v>
      </c>
      <c r="O34" s="369">
        <f t="shared" si="17"/>
        <v>178469.82493651647</v>
      </c>
      <c r="P34" s="369">
        <f t="shared" si="17"/>
        <v>260517.07363675634</v>
      </c>
      <c r="Q34" s="369">
        <f t="shared" si="17"/>
        <v>255723.1695101326</v>
      </c>
      <c r="R34" s="369">
        <f t="shared" si="6"/>
        <v>2340125.1332767522</v>
      </c>
      <c r="S34" s="291">
        <f t="shared" si="7"/>
        <v>0</v>
      </c>
      <c r="T34" s="3"/>
      <c r="U34" s="3"/>
    </row>
    <row r="35" spans="1:21" x14ac:dyDescent="0.2">
      <c r="A35" s="711" t="s">
        <v>25</v>
      </c>
      <c r="B35" s="711"/>
      <c r="C35" s="711"/>
      <c r="D35" s="711"/>
      <c r="E35" s="37"/>
      <c r="F35" s="375"/>
      <c r="G35" s="375"/>
      <c r="H35" s="375"/>
      <c r="I35" s="375"/>
      <c r="J35" s="375"/>
      <c r="K35" s="375"/>
      <c r="L35" s="376"/>
      <c r="M35" s="376"/>
      <c r="N35" s="376"/>
      <c r="O35" s="376"/>
      <c r="P35" s="376"/>
      <c r="Q35" s="376"/>
      <c r="R35" s="109"/>
    </row>
    <row r="36" spans="1:21" s="151" customFormat="1" x14ac:dyDescent="0.2">
      <c r="A36" s="21"/>
      <c r="B36" s="10" t="s">
        <v>482</v>
      </c>
      <c r="C36" s="20"/>
      <c r="D36" s="78"/>
      <c r="E36" s="78"/>
      <c r="F36" s="377"/>
      <c r="G36" s="377"/>
      <c r="H36" s="377"/>
      <c r="I36" s="377"/>
      <c r="J36" s="377"/>
      <c r="K36" s="377"/>
      <c r="L36" s="378"/>
      <c r="M36" s="378"/>
      <c r="N36" s="378"/>
      <c r="O36" s="378"/>
      <c r="P36" s="378"/>
      <c r="Q36" s="378"/>
      <c r="R36" s="109"/>
      <c r="S36" s="3"/>
      <c r="T36" s="3"/>
      <c r="U36" s="3"/>
    </row>
    <row r="37" spans="1:21" s="92" customFormat="1" x14ac:dyDescent="0.2">
      <c r="A37" s="87">
        <v>41101.071000000004</v>
      </c>
      <c r="B37" s="15" t="s">
        <v>22</v>
      </c>
      <c r="C37" s="428">
        <f>[6]Respiratory!$J$15</f>
        <v>228600</v>
      </c>
      <c r="D37" s="428">
        <f>$C37/C$6</f>
        <v>21.135355029585799</v>
      </c>
      <c r="E37" s="28"/>
      <c r="F37" s="373">
        <f>$D37*F$6</f>
        <v>19415.342465753423</v>
      </c>
      <c r="G37" s="373">
        <f t="shared" ref="G37:Q37" si="18">$D37*G$6</f>
        <v>18789.04109589041</v>
      </c>
      <c r="H37" s="373">
        <f t="shared" si="18"/>
        <v>19415.342465753423</v>
      </c>
      <c r="I37" s="373">
        <f t="shared" si="18"/>
        <v>19415.342465753423</v>
      </c>
      <c r="J37" s="373">
        <f t="shared" si="18"/>
        <v>17536.438356164384</v>
      </c>
      <c r="K37" s="373">
        <f t="shared" si="18"/>
        <v>19415.342465753423</v>
      </c>
      <c r="L37" s="373">
        <f t="shared" si="18"/>
        <v>18789.04109589041</v>
      </c>
      <c r="M37" s="373">
        <f t="shared" si="18"/>
        <v>19415.342465753423</v>
      </c>
      <c r="N37" s="373">
        <f t="shared" si="18"/>
        <v>18789.04109589041</v>
      </c>
      <c r="O37" s="373">
        <f t="shared" si="18"/>
        <v>19415.342465753423</v>
      </c>
      <c r="P37" s="373">
        <f t="shared" si="18"/>
        <v>19415.342465753423</v>
      </c>
      <c r="Q37" s="373">
        <f t="shared" si="18"/>
        <v>18789.04109589041</v>
      </c>
      <c r="R37" s="109">
        <f t="shared" ref="R37:R58" si="19">SUM(F37:Q37)</f>
        <v>228600</v>
      </c>
      <c r="S37" s="3">
        <f>C37-R37</f>
        <v>0</v>
      </c>
      <c r="T37" s="3"/>
      <c r="U37" s="3"/>
    </row>
    <row r="38" spans="1:21" s="92" customFormat="1" x14ac:dyDescent="0.2">
      <c r="A38" s="87">
        <v>41110.071000000004</v>
      </c>
      <c r="B38" s="15" t="s">
        <v>21</v>
      </c>
      <c r="C38" s="428">
        <f>[6]Respiratory!$J$16</f>
        <v>25400</v>
      </c>
      <c r="D38" s="428">
        <f t="shared" ref="D38:D41" si="20">$C38/C$6</f>
        <v>2.348372781065089</v>
      </c>
      <c r="E38" s="28"/>
      <c r="F38" s="373">
        <f t="shared" ref="F38:Q41" si="21">$D38*F$6</f>
        <v>2157.260273972603</v>
      </c>
      <c r="G38" s="373">
        <f t="shared" si="21"/>
        <v>2087.6712328767126</v>
      </c>
      <c r="H38" s="373">
        <f t="shared" si="21"/>
        <v>2157.260273972603</v>
      </c>
      <c r="I38" s="373">
        <f t="shared" si="21"/>
        <v>2157.260273972603</v>
      </c>
      <c r="J38" s="373">
        <f t="shared" si="21"/>
        <v>1948.4931506849316</v>
      </c>
      <c r="K38" s="373">
        <f t="shared" si="21"/>
        <v>2157.260273972603</v>
      </c>
      <c r="L38" s="373">
        <f t="shared" si="21"/>
        <v>2087.6712328767126</v>
      </c>
      <c r="M38" s="373">
        <f t="shared" si="21"/>
        <v>2157.260273972603</v>
      </c>
      <c r="N38" s="373">
        <f t="shared" si="21"/>
        <v>2087.6712328767126</v>
      </c>
      <c r="O38" s="373">
        <f t="shared" si="21"/>
        <v>2157.260273972603</v>
      </c>
      <c r="P38" s="373">
        <f t="shared" si="21"/>
        <v>2157.260273972603</v>
      </c>
      <c r="Q38" s="373">
        <f t="shared" si="21"/>
        <v>2087.6712328767126</v>
      </c>
      <c r="R38" s="109">
        <f t="shared" ref="R38:R57" si="22">SUM(F38:Q38)</f>
        <v>25400.000000000004</v>
      </c>
      <c r="S38" s="3">
        <f t="shared" ref="S38:S58" si="23">C38-R38</f>
        <v>0</v>
      </c>
      <c r="T38" s="3"/>
      <c r="U38" s="3"/>
    </row>
    <row r="39" spans="1:21" s="92" customFormat="1" x14ac:dyDescent="0.2">
      <c r="A39" s="87">
        <v>41115.071000000004</v>
      </c>
      <c r="B39" s="15" t="s">
        <v>20</v>
      </c>
      <c r="C39" s="428">
        <f>[6]Respiratory!$J$17</f>
        <v>1075</v>
      </c>
      <c r="D39" s="428">
        <f t="shared" si="20"/>
        <v>9.9389792899408289E-2</v>
      </c>
      <c r="E39" s="28"/>
      <c r="F39" s="373">
        <f t="shared" si="21"/>
        <v>91.301369863013704</v>
      </c>
      <c r="G39" s="373">
        <f t="shared" si="21"/>
        <v>88.356164383561648</v>
      </c>
      <c r="H39" s="373">
        <f t="shared" si="21"/>
        <v>91.301369863013704</v>
      </c>
      <c r="I39" s="373">
        <f t="shared" si="21"/>
        <v>91.301369863013704</v>
      </c>
      <c r="J39" s="373">
        <f t="shared" si="21"/>
        <v>82.465753424657535</v>
      </c>
      <c r="K39" s="373">
        <f t="shared" si="21"/>
        <v>91.301369863013704</v>
      </c>
      <c r="L39" s="373">
        <f t="shared" si="21"/>
        <v>88.356164383561648</v>
      </c>
      <c r="M39" s="373">
        <f t="shared" si="21"/>
        <v>91.301369863013704</v>
      </c>
      <c r="N39" s="373">
        <f t="shared" si="21"/>
        <v>88.356164383561648</v>
      </c>
      <c r="O39" s="373">
        <f t="shared" si="21"/>
        <v>91.301369863013704</v>
      </c>
      <c r="P39" s="373">
        <f t="shared" si="21"/>
        <v>91.301369863013704</v>
      </c>
      <c r="Q39" s="373">
        <f t="shared" si="21"/>
        <v>88.356164383561648</v>
      </c>
      <c r="R39" s="109">
        <f t="shared" si="22"/>
        <v>1075.0000000000002</v>
      </c>
      <c r="S39" s="3">
        <f t="shared" si="23"/>
        <v>0</v>
      </c>
      <c r="T39" s="3"/>
      <c r="U39" s="3"/>
    </row>
    <row r="40" spans="1:21" s="92" customFormat="1" x14ac:dyDescent="0.2">
      <c r="A40" s="87">
        <v>41150.071000000004</v>
      </c>
      <c r="B40" s="15" t="s">
        <v>19</v>
      </c>
      <c r="C40" s="428">
        <f>[6]Respiratory!$J$18</f>
        <v>19513.237499999999</v>
      </c>
      <c r="D40" s="428">
        <f t="shared" si="20"/>
        <v>1.8041084966715977</v>
      </c>
      <c r="E40" s="28"/>
      <c r="F40" s="373">
        <f t="shared" si="21"/>
        <v>1657.2886643835616</v>
      </c>
      <c r="G40" s="373">
        <f t="shared" si="21"/>
        <v>1603.8277397260274</v>
      </c>
      <c r="H40" s="373">
        <f t="shared" si="21"/>
        <v>1657.2886643835616</v>
      </c>
      <c r="I40" s="373">
        <f t="shared" si="21"/>
        <v>1657.2886643835616</v>
      </c>
      <c r="J40" s="373">
        <f t="shared" si="21"/>
        <v>1496.9058904109588</v>
      </c>
      <c r="K40" s="373">
        <f t="shared" si="21"/>
        <v>1657.2886643835616</v>
      </c>
      <c r="L40" s="373">
        <f t="shared" si="21"/>
        <v>1603.8277397260274</v>
      </c>
      <c r="M40" s="373">
        <f t="shared" si="21"/>
        <v>1657.2886643835616</v>
      </c>
      <c r="N40" s="373">
        <f t="shared" si="21"/>
        <v>1603.8277397260274</v>
      </c>
      <c r="O40" s="373">
        <f t="shared" si="21"/>
        <v>1657.2886643835616</v>
      </c>
      <c r="P40" s="373">
        <f t="shared" si="21"/>
        <v>1657.2886643835616</v>
      </c>
      <c r="Q40" s="373">
        <f t="shared" si="21"/>
        <v>1603.8277397260274</v>
      </c>
      <c r="R40" s="109">
        <f t="shared" si="22"/>
        <v>19513.237499999999</v>
      </c>
      <c r="S40" s="3">
        <f t="shared" si="23"/>
        <v>0</v>
      </c>
      <c r="T40" s="3"/>
      <c r="U40" s="3"/>
    </row>
    <row r="41" spans="1:21" s="92" customFormat="1" x14ac:dyDescent="0.2">
      <c r="A41" s="87">
        <v>41152.071000000004</v>
      </c>
      <c r="B41" s="15" t="s">
        <v>490</v>
      </c>
      <c r="C41" s="428"/>
      <c r="D41" s="428">
        <f t="shared" si="20"/>
        <v>0</v>
      </c>
      <c r="E41" s="28"/>
      <c r="F41" s="373">
        <f t="shared" si="21"/>
        <v>0</v>
      </c>
      <c r="G41" s="373">
        <f t="shared" si="21"/>
        <v>0</v>
      </c>
      <c r="H41" s="373">
        <f t="shared" si="21"/>
        <v>0</v>
      </c>
      <c r="I41" s="373">
        <f t="shared" si="21"/>
        <v>0</v>
      </c>
      <c r="J41" s="373">
        <f t="shared" si="21"/>
        <v>0</v>
      </c>
      <c r="K41" s="373">
        <f t="shared" si="21"/>
        <v>0</v>
      </c>
      <c r="L41" s="373">
        <f t="shared" si="21"/>
        <v>0</v>
      </c>
      <c r="M41" s="373">
        <f t="shared" si="21"/>
        <v>0</v>
      </c>
      <c r="N41" s="373">
        <f t="shared" si="21"/>
        <v>0</v>
      </c>
      <c r="O41" s="373">
        <f t="shared" si="21"/>
        <v>0</v>
      </c>
      <c r="P41" s="373">
        <f t="shared" si="21"/>
        <v>0</v>
      </c>
      <c r="Q41" s="373">
        <f t="shared" si="21"/>
        <v>0</v>
      </c>
      <c r="R41" s="109">
        <f t="shared" ref="R41" si="24">SUM(F41:Q41)</f>
        <v>0</v>
      </c>
      <c r="S41" s="3">
        <f t="shared" ref="S41" si="25">C41-R41</f>
        <v>0</v>
      </c>
      <c r="T41" s="3"/>
      <c r="U41" s="3"/>
    </row>
    <row r="42" spans="1:21" s="92" customFormat="1" x14ac:dyDescent="0.2">
      <c r="A42" s="87">
        <v>41219.071000000004</v>
      </c>
      <c r="B42" s="15" t="s">
        <v>386</v>
      </c>
      <c r="C42" s="14">
        <f>[6]Respiratory!$J$19</f>
        <v>9950</v>
      </c>
      <c r="D42" s="14">
        <f t="shared" ref="D42:D57" si="26">$C42/C$4</f>
        <v>0.19410846664065548</v>
      </c>
      <c r="E42" s="28"/>
      <c r="F42" s="373">
        <f t="shared" ref="F42:Q57" si="27">$D42*F$4</f>
        <v>734.89465470152163</v>
      </c>
      <c r="G42" s="373">
        <f t="shared" ref="G42:Q55" si="28">$D42*G$4</f>
        <v>798.75634022629731</v>
      </c>
      <c r="H42" s="373">
        <f t="shared" si="28"/>
        <v>548.16230979321108</v>
      </c>
      <c r="I42" s="373">
        <f t="shared" si="28"/>
        <v>949.38451033944591</v>
      </c>
      <c r="J42" s="373">
        <f t="shared" si="28"/>
        <v>823.79633242294187</v>
      </c>
      <c r="K42" s="373">
        <f t="shared" si="28"/>
        <v>874.45864221615295</v>
      </c>
      <c r="L42" s="373">
        <f t="shared" si="28"/>
        <v>501.96449473273509</v>
      </c>
      <c r="M42" s="373">
        <f t="shared" si="28"/>
        <v>603.09500585251658</v>
      </c>
      <c r="N42" s="373">
        <f t="shared" si="28"/>
        <v>987.62387826765507</v>
      </c>
      <c r="O42" s="373">
        <f t="shared" si="28"/>
        <v>770.41650409676163</v>
      </c>
      <c r="P42" s="373">
        <f t="shared" si="28"/>
        <v>1198.8138899726882</v>
      </c>
      <c r="Q42" s="373">
        <f t="shared" si="28"/>
        <v>1158.6334373780726</v>
      </c>
      <c r="R42" s="109">
        <f t="shared" si="22"/>
        <v>9949.9999999999982</v>
      </c>
      <c r="S42" s="3">
        <f t="shared" si="23"/>
        <v>0</v>
      </c>
      <c r="T42" s="3"/>
      <c r="U42" s="3"/>
    </row>
    <row r="43" spans="1:21" s="92" customFormat="1" x14ac:dyDescent="0.2">
      <c r="A43" s="87">
        <v>41237.071000000004</v>
      </c>
      <c r="B43" s="15" t="s">
        <v>17</v>
      </c>
      <c r="C43" s="14">
        <f>[6]Respiratory!$J$20</f>
        <v>8800</v>
      </c>
      <c r="D43" s="14">
        <f t="shared" si="26"/>
        <v>0.17167381974248927</v>
      </c>
      <c r="E43" s="28"/>
      <c r="F43" s="373">
        <f t="shared" si="27"/>
        <v>649.9570815450644</v>
      </c>
      <c r="G43" s="373">
        <f t="shared" si="28"/>
        <v>706.4377682403433</v>
      </c>
      <c r="H43" s="373">
        <f t="shared" si="28"/>
        <v>484.80686695278968</v>
      </c>
      <c r="I43" s="373">
        <f t="shared" si="28"/>
        <v>839.65665236051507</v>
      </c>
      <c r="J43" s="373">
        <f t="shared" si="28"/>
        <v>728.58369098712444</v>
      </c>
      <c r="K43" s="373">
        <f t="shared" si="28"/>
        <v>773.39055793991417</v>
      </c>
      <c r="L43" s="373">
        <f t="shared" si="28"/>
        <v>443.94849785407723</v>
      </c>
      <c r="M43" s="373">
        <f t="shared" si="28"/>
        <v>533.39055793991417</v>
      </c>
      <c r="N43" s="373">
        <f t="shared" si="28"/>
        <v>873.47639484978538</v>
      </c>
      <c r="O43" s="373">
        <f t="shared" si="28"/>
        <v>681.37339055793996</v>
      </c>
      <c r="P43" s="373">
        <f t="shared" si="28"/>
        <v>1060.2575107296138</v>
      </c>
      <c r="Q43" s="373">
        <f t="shared" si="28"/>
        <v>1024.7210300429185</v>
      </c>
      <c r="R43" s="109">
        <f t="shared" si="22"/>
        <v>8800</v>
      </c>
      <c r="S43" s="3">
        <f t="shared" si="23"/>
        <v>0</v>
      </c>
      <c r="T43" s="3"/>
      <c r="U43" s="3"/>
    </row>
    <row r="44" spans="1:21" s="92" customFormat="1" x14ac:dyDescent="0.2">
      <c r="A44" s="87">
        <v>41246.071000000004</v>
      </c>
      <c r="B44" s="15" t="s">
        <v>16</v>
      </c>
      <c r="C44" s="14"/>
      <c r="D44" s="14">
        <f t="shared" si="26"/>
        <v>0</v>
      </c>
      <c r="E44" s="28"/>
      <c r="F44" s="373">
        <f t="shared" si="27"/>
        <v>0</v>
      </c>
      <c r="G44" s="373">
        <f t="shared" si="28"/>
        <v>0</v>
      </c>
      <c r="H44" s="373">
        <f t="shared" si="28"/>
        <v>0</v>
      </c>
      <c r="I44" s="373">
        <f t="shared" si="28"/>
        <v>0</v>
      </c>
      <c r="J44" s="373">
        <f t="shared" si="28"/>
        <v>0</v>
      </c>
      <c r="K44" s="373">
        <f t="shared" si="28"/>
        <v>0</v>
      </c>
      <c r="L44" s="373">
        <f t="shared" si="28"/>
        <v>0</v>
      </c>
      <c r="M44" s="373">
        <f t="shared" si="28"/>
        <v>0</v>
      </c>
      <c r="N44" s="373">
        <f t="shared" si="28"/>
        <v>0</v>
      </c>
      <c r="O44" s="373">
        <f t="shared" si="28"/>
        <v>0</v>
      </c>
      <c r="P44" s="373">
        <f t="shared" si="28"/>
        <v>0</v>
      </c>
      <c r="Q44" s="373">
        <f t="shared" si="28"/>
        <v>0</v>
      </c>
      <c r="R44" s="109">
        <f t="shared" si="22"/>
        <v>0</v>
      </c>
      <c r="S44" s="3">
        <f t="shared" si="23"/>
        <v>0</v>
      </c>
      <c r="T44" s="3"/>
      <c r="U44" s="3"/>
    </row>
    <row r="45" spans="1:21" s="92" customFormat="1" x14ac:dyDescent="0.2">
      <c r="A45" s="87">
        <v>41250.071000000004</v>
      </c>
      <c r="B45" s="15" t="s">
        <v>15</v>
      </c>
      <c r="C45" s="14"/>
      <c r="D45" s="14">
        <f t="shared" si="26"/>
        <v>0</v>
      </c>
      <c r="E45" s="28"/>
      <c r="F45" s="373">
        <f t="shared" si="27"/>
        <v>0</v>
      </c>
      <c r="G45" s="373">
        <f t="shared" si="28"/>
        <v>0</v>
      </c>
      <c r="H45" s="373">
        <f t="shared" si="28"/>
        <v>0</v>
      </c>
      <c r="I45" s="373">
        <f t="shared" si="28"/>
        <v>0</v>
      </c>
      <c r="J45" s="373">
        <f t="shared" si="28"/>
        <v>0</v>
      </c>
      <c r="K45" s="373">
        <f t="shared" si="28"/>
        <v>0</v>
      </c>
      <c r="L45" s="373">
        <f t="shared" si="28"/>
        <v>0</v>
      </c>
      <c r="M45" s="373">
        <f t="shared" si="28"/>
        <v>0</v>
      </c>
      <c r="N45" s="373">
        <f t="shared" si="28"/>
        <v>0</v>
      </c>
      <c r="O45" s="373">
        <f t="shared" si="28"/>
        <v>0</v>
      </c>
      <c r="P45" s="373">
        <f t="shared" si="28"/>
        <v>0</v>
      </c>
      <c r="Q45" s="373">
        <f t="shared" si="28"/>
        <v>0</v>
      </c>
      <c r="R45" s="109">
        <f t="shared" si="22"/>
        <v>0</v>
      </c>
      <c r="S45" s="3">
        <f t="shared" si="23"/>
        <v>0</v>
      </c>
      <c r="T45" s="3"/>
      <c r="U45" s="3"/>
    </row>
    <row r="46" spans="1:21" s="92" customFormat="1" x14ac:dyDescent="0.2">
      <c r="A46" s="87">
        <v>41260.071000000004</v>
      </c>
      <c r="B46" s="15" t="s">
        <v>14</v>
      </c>
      <c r="C46" s="14"/>
      <c r="D46" s="14">
        <f t="shared" si="26"/>
        <v>0</v>
      </c>
      <c r="E46" s="28"/>
      <c r="F46" s="373">
        <f t="shared" si="27"/>
        <v>0</v>
      </c>
      <c r="G46" s="373">
        <f t="shared" si="28"/>
        <v>0</v>
      </c>
      <c r="H46" s="373">
        <f t="shared" si="28"/>
        <v>0</v>
      </c>
      <c r="I46" s="373">
        <f t="shared" si="28"/>
        <v>0</v>
      </c>
      <c r="J46" s="373">
        <f t="shared" si="28"/>
        <v>0</v>
      </c>
      <c r="K46" s="373">
        <f t="shared" si="28"/>
        <v>0</v>
      </c>
      <c r="L46" s="373">
        <f t="shared" si="28"/>
        <v>0</v>
      </c>
      <c r="M46" s="373">
        <f t="shared" si="28"/>
        <v>0</v>
      </c>
      <c r="N46" s="373">
        <f t="shared" si="28"/>
        <v>0</v>
      </c>
      <c r="O46" s="373">
        <f t="shared" si="28"/>
        <v>0</v>
      </c>
      <c r="P46" s="373">
        <f t="shared" si="28"/>
        <v>0</v>
      </c>
      <c r="Q46" s="373">
        <f t="shared" si="28"/>
        <v>0</v>
      </c>
      <c r="R46" s="109">
        <f t="shared" si="22"/>
        <v>0</v>
      </c>
      <c r="S46" s="3">
        <f t="shared" si="23"/>
        <v>0</v>
      </c>
      <c r="T46" s="3"/>
      <c r="U46" s="3"/>
    </row>
    <row r="47" spans="1:21" s="92" customFormat="1" x14ac:dyDescent="0.2">
      <c r="A47" s="87">
        <v>41324.071000000004</v>
      </c>
      <c r="B47" s="15" t="s">
        <v>1083</v>
      </c>
      <c r="C47" s="14">
        <f>[6]Respiratory!$J$21</f>
        <v>565</v>
      </c>
      <c r="D47" s="14">
        <f t="shared" si="26"/>
        <v>1.1022239563012095E-2</v>
      </c>
      <c r="E47" s="28"/>
      <c r="F47" s="373">
        <f t="shared" si="27"/>
        <v>41.730198985563788</v>
      </c>
      <c r="G47" s="373">
        <f t="shared" si="27"/>
        <v>45.356515801794771</v>
      </c>
      <c r="H47" s="373">
        <f t="shared" si="27"/>
        <v>31.126804525946156</v>
      </c>
      <c r="I47" s="373">
        <f t="shared" si="27"/>
        <v>53.909773702692156</v>
      </c>
      <c r="J47" s="373">
        <f t="shared" si="27"/>
        <v>46.778384705423328</v>
      </c>
      <c r="K47" s="373">
        <f t="shared" si="27"/>
        <v>49.655189231369491</v>
      </c>
      <c r="L47" s="373">
        <f t="shared" si="27"/>
        <v>28.503511509949277</v>
      </c>
      <c r="M47" s="373">
        <f t="shared" si="27"/>
        <v>34.246098322278577</v>
      </c>
      <c r="N47" s="373">
        <f t="shared" si="27"/>
        <v>56.08115489660554</v>
      </c>
      <c r="O47" s="373">
        <f t="shared" si="27"/>
        <v>43.747268825595008</v>
      </c>
      <c r="P47" s="373">
        <f t="shared" si="27"/>
        <v>68.073351541162694</v>
      </c>
      <c r="Q47" s="373">
        <f t="shared" si="27"/>
        <v>65.7917479516192</v>
      </c>
      <c r="R47" s="109">
        <f t="shared" si="22"/>
        <v>565</v>
      </c>
      <c r="S47" s="3">
        <f t="shared" si="23"/>
        <v>0</v>
      </c>
      <c r="T47" s="3"/>
      <c r="U47" s="3"/>
    </row>
    <row r="48" spans="1:21" s="92" customFormat="1" x14ac:dyDescent="0.2">
      <c r="A48" s="87">
        <v>41342.071000000004</v>
      </c>
      <c r="B48" s="15" t="s">
        <v>1084</v>
      </c>
      <c r="C48" s="14">
        <f>[6]Respiratory!$J$22</f>
        <v>150</v>
      </c>
      <c r="D48" s="14">
        <f t="shared" si="26"/>
        <v>2.9262582910651578E-3</v>
      </c>
      <c r="E48" s="28"/>
      <c r="F48" s="373">
        <f t="shared" si="27"/>
        <v>11.078813889972688</v>
      </c>
      <c r="G48" s="373">
        <f t="shared" si="27"/>
        <v>12.041552867733124</v>
      </c>
      <c r="H48" s="373">
        <f t="shared" si="27"/>
        <v>8.263753413968006</v>
      </c>
      <c r="I48" s="373">
        <f t="shared" si="27"/>
        <v>14.312329301599688</v>
      </c>
      <c r="J48" s="373">
        <f t="shared" si="27"/>
        <v>12.41904018728053</v>
      </c>
      <c r="K48" s="373">
        <f t="shared" si="27"/>
        <v>13.182793601248536</v>
      </c>
      <c r="L48" s="373">
        <f t="shared" si="27"/>
        <v>7.5673039406944982</v>
      </c>
      <c r="M48" s="373">
        <f t="shared" si="27"/>
        <v>9.0918845103394457</v>
      </c>
      <c r="N48" s="373">
        <f t="shared" si="27"/>
        <v>14.888802184939523</v>
      </c>
      <c r="O48" s="373">
        <f t="shared" si="27"/>
        <v>11.614319157237611</v>
      </c>
      <c r="P48" s="373">
        <f t="shared" si="27"/>
        <v>18.072571205618413</v>
      </c>
      <c r="Q48" s="373">
        <f t="shared" si="27"/>
        <v>17.466835739367927</v>
      </c>
      <c r="R48" s="109">
        <f t="shared" si="22"/>
        <v>149.99999999999997</v>
      </c>
      <c r="S48" s="3">
        <f t="shared" si="23"/>
        <v>0</v>
      </c>
      <c r="T48" s="3"/>
      <c r="U48" s="3"/>
    </row>
    <row r="49" spans="1:21" s="92" customFormat="1" x14ac:dyDescent="0.2">
      <c r="A49" s="87">
        <v>41365.071000000004</v>
      </c>
      <c r="B49" s="15" t="s">
        <v>10</v>
      </c>
      <c r="C49" s="14">
        <f>[6]Respiratory!$J$23</f>
        <v>482</v>
      </c>
      <c r="D49" s="14">
        <f t="shared" si="26"/>
        <v>9.4030433086227071E-3</v>
      </c>
      <c r="E49" s="28"/>
      <c r="F49" s="373">
        <f t="shared" si="27"/>
        <v>35.599921966445571</v>
      </c>
      <c r="G49" s="373">
        <f t="shared" si="28"/>
        <v>38.693523214982442</v>
      </c>
      <c r="H49" s="373">
        <f t="shared" si="28"/>
        <v>26.554194303550524</v>
      </c>
      <c r="I49" s="373">
        <f t="shared" si="28"/>
        <v>45.990284822473662</v>
      </c>
      <c r="J49" s="373">
        <f t="shared" si="28"/>
        <v>39.906515801794768</v>
      </c>
      <c r="K49" s="373">
        <f t="shared" si="28"/>
        <v>42.360710105345298</v>
      </c>
      <c r="L49" s="373">
        <f t="shared" si="28"/>
        <v>24.31626999609832</v>
      </c>
      <c r="M49" s="373">
        <f t="shared" si="28"/>
        <v>29.21525555989075</v>
      </c>
      <c r="N49" s="373">
        <f t="shared" si="28"/>
        <v>47.842684354272336</v>
      </c>
      <c r="O49" s="373">
        <f t="shared" si="28"/>
        <v>37.320678891923521</v>
      </c>
      <c r="P49" s="373">
        <f t="shared" si="28"/>
        <v>58.07319547405384</v>
      </c>
      <c r="Q49" s="373">
        <f t="shared" si="28"/>
        <v>56.126765509168941</v>
      </c>
      <c r="R49" s="109">
        <f t="shared" si="22"/>
        <v>481.99999999999994</v>
      </c>
      <c r="S49" s="3">
        <f t="shared" si="23"/>
        <v>0</v>
      </c>
      <c r="T49" s="3"/>
      <c r="U49" s="3"/>
    </row>
    <row r="50" spans="1:21" s="92" customFormat="1" x14ac:dyDescent="0.2">
      <c r="A50" s="87">
        <v>41423.071000000004</v>
      </c>
      <c r="B50" s="15" t="s">
        <v>419</v>
      </c>
      <c r="C50" s="14"/>
      <c r="D50" s="14">
        <f t="shared" si="26"/>
        <v>0</v>
      </c>
      <c r="E50" s="28"/>
      <c r="F50" s="373">
        <f t="shared" si="27"/>
        <v>0</v>
      </c>
      <c r="G50" s="373">
        <f t="shared" si="28"/>
        <v>0</v>
      </c>
      <c r="H50" s="373">
        <f t="shared" si="28"/>
        <v>0</v>
      </c>
      <c r="I50" s="373">
        <f t="shared" si="28"/>
        <v>0</v>
      </c>
      <c r="J50" s="373">
        <f t="shared" si="28"/>
        <v>0</v>
      </c>
      <c r="K50" s="373">
        <f t="shared" si="28"/>
        <v>0</v>
      </c>
      <c r="L50" s="373">
        <f t="shared" si="28"/>
        <v>0</v>
      </c>
      <c r="M50" s="373">
        <f t="shared" si="28"/>
        <v>0</v>
      </c>
      <c r="N50" s="373">
        <f t="shared" si="28"/>
        <v>0</v>
      </c>
      <c r="O50" s="373">
        <f t="shared" si="28"/>
        <v>0</v>
      </c>
      <c r="P50" s="373">
        <f t="shared" si="28"/>
        <v>0</v>
      </c>
      <c r="Q50" s="373">
        <f t="shared" si="28"/>
        <v>0</v>
      </c>
      <c r="R50" s="109">
        <f t="shared" si="22"/>
        <v>0</v>
      </c>
      <c r="S50" s="3">
        <f t="shared" si="23"/>
        <v>0</v>
      </c>
      <c r="T50" s="3"/>
      <c r="U50" s="3"/>
    </row>
    <row r="51" spans="1:21" s="92" customFormat="1" x14ac:dyDescent="0.2">
      <c r="A51" s="87">
        <v>41426.071000000004</v>
      </c>
      <c r="B51" s="15" t="s">
        <v>8</v>
      </c>
      <c r="C51" s="14">
        <f>[6]Respiratory!$J$24</f>
        <v>100</v>
      </c>
      <c r="D51" s="14">
        <f t="shared" si="26"/>
        <v>1.9508388607101053E-3</v>
      </c>
      <c r="E51" s="28"/>
      <c r="F51" s="373">
        <f t="shared" si="27"/>
        <v>7.3858759266484588</v>
      </c>
      <c r="G51" s="373">
        <f t="shared" si="27"/>
        <v>8.0277019118220831</v>
      </c>
      <c r="H51" s="373">
        <f t="shared" si="27"/>
        <v>5.5091689426453376</v>
      </c>
      <c r="I51" s="373">
        <f t="shared" si="27"/>
        <v>9.5415528677331256</v>
      </c>
      <c r="J51" s="373">
        <f t="shared" si="27"/>
        <v>8.279360124853687</v>
      </c>
      <c r="K51" s="373">
        <f t="shared" si="27"/>
        <v>8.7885290674990237</v>
      </c>
      <c r="L51" s="373">
        <f t="shared" si="27"/>
        <v>5.0448692937963324</v>
      </c>
      <c r="M51" s="373">
        <f t="shared" si="27"/>
        <v>6.0612563402262971</v>
      </c>
      <c r="N51" s="373">
        <f t="shared" si="27"/>
        <v>9.9258681232930162</v>
      </c>
      <c r="O51" s="373">
        <f t="shared" si="27"/>
        <v>7.7428794381584076</v>
      </c>
      <c r="P51" s="373">
        <f t="shared" si="27"/>
        <v>12.04838080374561</v>
      </c>
      <c r="Q51" s="373">
        <f t="shared" si="27"/>
        <v>11.644557159578618</v>
      </c>
      <c r="R51" s="109">
        <f t="shared" ref="R51" si="29">SUM(F51:Q51)</f>
        <v>100</v>
      </c>
      <c r="S51" s="3">
        <f t="shared" ref="S51" si="30">C51-R51</f>
        <v>0</v>
      </c>
      <c r="T51" s="3"/>
      <c r="U51" s="3"/>
    </row>
    <row r="52" spans="1:21" s="92" customFormat="1" x14ac:dyDescent="0.2">
      <c r="A52" s="87">
        <v>41439.071000000004</v>
      </c>
      <c r="B52" s="15" t="s">
        <v>366</v>
      </c>
      <c r="C52" s="14"/>
      <c r="D52" s="14">
        <f t="shared" si="26"/>
        <v>0</v>
      </c>
      <c r="E52" s="28"/>
      <c r="F52" s="373">
        <f t="shared" si="27"/>
        <v>0</v>
      </c>
      <c r="G52" s="373">
        <f t="shared" si="28"/>
        <v>0</v>
      </c>
      <c r="H52" s="373">
        <f t="shared" si="28"/>
        <v>0</v>
      </c>
      <c r="I52" s="373">
        <f t="shared" si="28"/>
        <v>0</v>
      </c>
      <c r="J52" s="373">
        <f t="shared" si="28"/>
        <v>0</v>
      </c>
      <c r="K52" s="373">
        <f t="shared" si="28"/>
        <v>0</v>
      </c>
      <c r="L52" s="373">
        <f t="shared" si="28"/>
        <v>0</v>
      </c>
      <c r="M52" s="373">
        <f t="shared" si="28"/>
        <v>0</v>
      </c>
      <c r="N52" s="373">
        <f t="shared" si="28"/>
        <v>0</v>
      </c>
      <c r="O52" s="373">
        <f t="shared" si="28"/>
        <v>0</v>
      </c>
      <c r="P52" s="373">
        <f t="shared" si="28"/>
        <v>0</v>
      </c>
      <c r="Q52" s="373">
        <f t="shared" si="28"/>
        <v>0</v>
      </c>
      <c r="R52" s="109">
        <f t="shared" si="22"/>
        <v>0</v>
      </c>
      <c r="S52" s="3">
        <f t="shared" si="23"/>
        <v>0</v>
      </c>
      <c r="T52" s="3"/>
      <c r="U52" s="3"/>
    </row>
    <row r="53" spans="1:21" s="92" customFormat="1" x14ac:dyDescent="0.2">
      <c r="A53" s="87">
        <v>41440.071000000004</v>
      </c>
      <c r="B53" s="15" t="s">
        <v>7</v>
      </c>
      <c r="C53" s="14">
        <f>[6]Respiratory!$J$25</f>
        <v>66</v>
      </c>
      <c r="D53" s="14">
        <f t="shared" si="26"/>
        <v>1.2875536480686696E-3</v>
      </c>
      <c r="E53" s="28"/>
      <c r="F53" s="373">
        <f t="shared" si="27"/>
        <v>4.8746781115879827</v>
      </c>
      <c r="G53" s="373">
        <f t="shared" si="28"/>
        <v>5.2982832618025757</v>
      </c>
      <c r="H53" s="373">
        <f t="shared" si="28"/>
        <v>3.6360515021459228</v>
      </c>
      <c r="I53" s="373">
        <f t="shared" si="28"/>
        <v>6.2974248927038632</v>
      </c>
      <c r="J53" s="373">
        <f t="shared" si="28"/>
        <v>5.464377682403434</v>
      </c>
      <c r="K53" s="373">
        <f t="shared" si="28"/>
        <v>5.8004291845493565</v>
      </c>
      <c r="L53" s="373">
        <f t="shared" si="28"/>
        <v>3.3296137339055796</v>
      </c>
      <c r="M53" s="373">
        <f t="shared" si="28"/>
        <v>4.0004291845493567</v>
      </c>
      <c r="N53" s="373">
        <f t="shared" si="28"/>
        <v>6.5510729613733911</v>
      </c>
      <c r="O53" s="373">
        <f t="shared" si="28"/>
        <v>5.1103004291845497</v>
      </c>
      <c r="P53" s="373">
        <f t="shared" si="28"/>
        <v>7.9519313304721031</v>
      </c>
      <c r="Q53" s="373">
        <f t="shared" si="28"/>
        <v>7.6854077253218884</v>
      </c>
      <c r="R53" s="109">
        <f t="shared" si="22"/>
        <v>66.000000000000014</v>
      </c>
      <c r="S53" s="3">
        <f t="shared" si="23"/>
        <v>0</v>
      </c>
      <c r="T53" s="3"/>
      <c r="U53" s="3"/>
    </row>
    <row r="54" spans="1:21" s="92" customFormat="1" x14ac:dyDescent="0.2">
      <c r="A54" s="87">
        <v>41460.071000000004</v>
      </c>
      <c r="B54" s="15" t="s">
        <v>6</v>
      </c>
      <c r="C54" s="14">
        <f>[6]Respiratory!$J$26</f>
        <v>650</v>
      </c>
      <c r="D54" s="14">
        <f t="shared" si="26"/>
        <v>1.2680452594615685E-2</v>
      </c>
      <c r="E54" s="28"/>
      <c r="F54" s="373">
        <f t="shared" si="27"/>
        <v>48.008193523214985</v>
      </c>
      <c r="G54" s="373">
        <f t="shared" si="28"/>
        <v>52.180062426843541</v>
      </c>
      <c r="H54" s="373">
        <f t="shared" si="28"/>
        <v>35.809598127194697</v>
      </c>
      <c r="I54" s="373">
        <f t="shared" si="28"/>
        <v>62.020093640265316</v>
      </c>
      <c r="J54" s="373">
        <f t="shared" si="28"/>
        <v>53.815840811548966</v>
      </c>
      <c r="K54" s="373">
        <f t="shared" si="28"/>
        <v>57.125438938743663</v>
      </c>
      <c r="L54" s="373">
        <f t="shared" si="28"/>
        <v>32.791650409676159</v>
      </c>
      <c r="M54" s="373">
        <f t="shared" si="28"/>
        <v>39.398166211470929</v>
      </c>
      <c r="N54" s="373">
        <f t="shared" si="28"/>
        <v>64.518142801404608</v>
      </c>
      <c r="O54" s="373">
        <f t="shared" si="28"/>
        <v>50.328716348029651</v>
      </c>
      <c r="P54" s="373">
        <f t="shared" si="28"/>
        <v>78.314475224346467</v>
      </c>
      <c r="Q54" s="373">
        <f t="shared" si="28"/>
        <v>75.689621537261019</v>
      </c>
      <c r="R54" s="109">
        <f t="shared" si="22"/>
        <v>650.00000000000011</v>
      </c>
      <c r="S54" s="3">
        <f t="shared" si="23"/>
        <v>0</v>
      </c>
      <c r="T54" s="3"/>
      <c r="U54" s="3"/>
    </row>
    <row r="55" spans="1:21" s="92" customFormat="1" x14ac:dyDescent="0.2">
      <c r="A55" s="87">
        <v>41509.071000000004</v>
      </c>
      <c r="B55" s="15" t="s">
        <v>3</v>
      </c>
      <c r="C55" s="14">
        <f>[6]Respiratory!$J$27</f>
        <v>25690</v>
      </c>
      <c r="D55" s="14">
        <f t="shared" si="26"/>
        <v>0.5011705033164261</v>
      </c>
      <c r="E55" s="28"/>
      <c r="F55" s="373">
        <f t="shared" si="27"/>
        <v>1897.4315255559893</v>
      </c>
      <c r="G55" s="373">
        <f t="shared" si="28"/>
        <v>2062.3166211470934</v>
      </c>
      <c r="H55" s="373">
        <f t="shared" si="28"/>
        <v>1415.3055013655874</v>
      </c>
      <c r="I55" s="373">
        <f t="shared" si="28"/>
        <v>2451.2249317206401</v>
      </c>
      <c r="J55" s="373">
        <f t="shared" si="28"/>
        <v>2126.9676160749123</v>
      </c>
      <c r="K55" s="373">
        <f t="shared" si="28"/>
        <v>2257.7731174404994</v>
      </c>
      <c r="L55" s="373">
        <f t="shared" si="28"/>
        <v>1296.0269215762778</v>
      </c>
      <c r="M55" s="373">
        <f t="shared" si="28"/>
        <v>1557.1367538041359</v>
      </c>
      <c r="N55" s="373">
        <f t="shared" si="28"/>
        <v>2549.9555208739762</v>
      </c>
      <c r="O55" s="373">
        <f t="shared" si="28"/>
        <v>1989.1457276628951</v>
      </c>
      <c r="P55" s="373">
        <f t="shared" si="28"/>
        <v>3095.2290284822475</v>
      </c>
      <c r="Q55" s="373">
        <f t="shared" si="28"/>
        <v>2991.4867342957473</v>
      </c>
      <c r="R55" s="109">
        <f t="shared" si="22"/>
        <v>25690.000000000004</v>
      </c>
      <c r="S55" s="3">
        <f t="shared" si="23"/>
        <v>0</v>
      </c>
      <c r="T55" s="3"/>
      <c r="U55" s="3"/>
    </row>
    <row r="56" spans="1:21" s="92" customFormat="1" x14ac:dyDescent="0.2">
      <c r="A56" s="87">
        <v>41570.071000000004</v>
      </c>
      <c r="B56" s="15" t="s">
        <v>2</v>
      </c>
      <c r="C56" s="14">
        <f>[6]Respiratory!$J$28</f>
        <v>2590</v>
      </c>
      <c r="D56" s="14">
        <f t="shared" si="26"/>
        <v>5.0526726492391726E-2</v>
      </c>
      <c r="E56" s="28"/>
      <c r="F56" s="373">
        <f t="shared" si="27"/>
        <v>191.29418650019508</v>
      </c>
      <c r="G56" s="373">
        <f t="shared" si="27"/>
        <v>207.91747951619195</v>
      </c>
      <c r="H56" s="373">
        <f t="shared" si="27"/>
        <v>142.68747561451423</v>
      </c>
      <c r="I56" s="373">
        <f t="shared" si="27"/>
        <v>247.12621927428793</v>
      </c>
      <c r="J56" s="373">
        <f t="shared" si="27"/>
        <v>214.43542723371047</v>
      </c>
      <c r="K56" s="373">
        <f t="shared" si="27"/>
        <v>227.62290284822473</v>
      </c>
      <c r="L56" s="373">
        <f t="shared" si="27"/>
        <v>130.66211470932501</v>
      </c>
      <c r="M56" s="373">
        <f t="shared" si="27"/>
        <v>156.9865392118611</v>
      </c>
      <c r="N56" s="373">
        <f t="shared" si="27"/>
        <v>257.07998439328912</v>
      </c>
      <c r="O56" s="373">
        <f t="shared" si="27"/>
        <v>200.54057744830277</v>
      </c>
      <c r="P56" s="373">
        <f t="shared" si="27"/>
        <v>312.05306281701132</v>
      </c>
      <c r="Q56" s="373">
        <f t="shared" si="27"/>
        <v>301.59403043308623</v>
      </c>
      <c r="R56" s="109">
        <f t="shared" si="22"/>
        <v>2589.9999999999995</v>
      </c>
      <c r="S56" s="3">
        <f t="shared" si="23"/>
        <v>0</v>
      </c>
      <c r="T56" s="3"/>
      <c r="U56" s="3"/>
    </row>
    <row r="57" spans="1:21" s="92" customFormat="1" x14ac:dyDescent="0.2">
      <c r="A57" s="87">
        <v>41571.071000000004</v>
      </c>
      <c r="B57" s="15" t="s">
        <v>1</v>
      </c>
      <c r="C57" s="14">
        <f>[6]Respiratory!$J$29</f>
        <v>725</v>
      </c>
      <c r="D57" s="14">
        <f t="shared" si="26"/>
        <v>1.4143581740148264E-2</v>
      </c>
      <c r="E57" s="28"/>
      <c r="F57" s="373">
        <f t="shared" si="27"/>
        <v>53.547600468201331</v>
      </c>
      <c r="G57" s="373">
        <f t="shared" si="27"/>
        <v>58.200838860710107</v>
      </c>
      <c r="H57" s="373">
        <f t="shared" si="27"/>
        <v>39.941474834178699</v>
      </c>
      <c r="I57" s="373">
        <f t="shared" si="27"/>
        <v>69.176258291065167</v>
      </c>
      <c r="J57" s="373">
        <f t="shared" si="27"/>
        <v>60.025360905189231</v>
      </c>
      <c r="K57" s="373">
        <f t="shared" si="27"/>
        <v>63.71683573936793</v>
      </c>
      <c r="L57" s="373">
        <f t="shared" si="27"/>
        <v>36.575302380023409</v>
      </c>
      <c r="M57" s="373">
        <f t="shared" si="27"/>
        <v>43.944108466640657</v>
      </c>
      <c r="N57" s="373">
        <f t="shared" si="27"/>
        <v>71.962543893874368</v>
      </c>
      <c r="O57" s="373">
        <f t="shared" si="27"/>
        <v>56.13587592664846</v>
      </c>
      <c r="P57" s="373">
        <f t="shared" si="27"/>
        <v>87.350760827155682</v>
      </c>
      <c r="Q57" s="373">
        <f t="shared" si="27"/>
        <v>84.423039406944994</v>
      </c>
      <c r="R57" s="109">
        <f t="shared" si="22"/>
        <v>725.00000000000011</v>
      </c>
      <c r="S57" s="3">
        <f t="shared" si="23"/>
        <v>0</v>
      </c>
      <c r="T57" s="3"/>
      <c r="U57" s="3"/>
    </row>
    <row r="58" spans="1:21" s="184" customFormat="1" x14ac:dyDescent="0.2">
      <c r="A58" s="111"/>
      <c r="B58" s="77" t="s">
        <v>0</v>
      </c>
      <c r="C58" s="183">
        <f>SUM(C36:C57)</f>
        <v>324356.23749999999</v>
      </c>
      <c r="D58" s="111"/>
      <c r="E58" s="111"/>
      <c r="F58" s="379">
        <f>SUM(F37:F57)</f>
        <v>26996.995505147006</v>
      </c>
      <c r="G58" s="379">
        <f t="shared" ref="G58:Q58" si="31">SUM(G37:G57)</f>
        <v>26564.122920352325</v>
      </c>
      <c r="H58" s="379">
        <f t="shared" si="31"/>
        <v>26062.995973348327</v>
      </c>
      <c r="I58" s="379">
        <f t="shared" si="31"/>
        <v>28069.832805186023</v>
      </c>
      <c r="J58" s="379">
        <f t="shared" si="31"/>
        <v>25184.775097622118</v>
      </c>
      <c r="K58" s="379">
        <f t="shared" si="31"/>
        <v>27695.067920285514</v>
      </c>
      <c r="L58" s="379">
        <f t="shared" si="31"/>
        <v>25079.626783013275</v>
      </c>
      <c r="M58" s="379">
        <f t="shared" si="31"/>
        <v>26337.758829376424</v>
      </c>
      <c r="N58" s="379">
        <f t="shared" si="31"/>
        <v>27508.802280477183</v>
      </c>
      <c r="O58" s="379">
        <f t="shared" si="31"/>
        <v>27174.669012755276</v>
      </c>
      <c r="P58" s="379">
        <f t="shared" si="31"/>
        <v>29317.430932380725</v>
      </c>
      <c r="Q58" s="379">
        <f t="shared" si="31"/>
        <v>28364.159440055802</v>
      </c>
      <c r="R58" s="109">
        <f t="shared" si="19"/>
        <v>324356.23749999999</v>
      </c>
      <c r="S58" s="3">
        <f t="shared" si="23"/>
        <v>0</v>
      </c>
      <c r="T58" s="3"/>
      <c r="U58" s="3"/>
    </row>
    <row r="59" spans="1:21" x14ac:dyDescent="0.2">
      <c r="C59" s="3">
        <f>C58-C34</f>
        <v>-2015768.8957767521</v>
      </c>
    </row>
    <row r="63" spans="1:21" x14ac:dyDescent="0.2">
      <c r="A63" s="4"/>
      <c r="B63" s="4"/>
      <c r="C63" s="7"/>
      <c r="L63" s="7"/>
      <c r="M63" s="7"/>
      <c r="N63" s="7"/>
      <c r="O63" s="7"/>
      <c r="P63" s="7"/>
      <c r="Q63" s="7"/>
      <c r="R63" s="7"/>
      <c r="U63" s="2"/>
    </row>
    <row r="64" spans="1:21" x14ac:dyDescent="0.2">
      <c r="C64" s="7"/>
      <c r="L64" s="7"/>
      <c r="M64" s="7"/>
      <c r="N64" s="7"/>
      <c r="O64" s="7"/>
      <c r="P64" s="7"/>
      <c r="Q64" s="7"/>
      <c r="R64" s="7"/>
      <c r="U64" s="2"/>
    </row>
    <row r="65" spans="3:21" x14ac:dyDescent="0.2">
      <c r="C65" s="7"/>
      <c r="L65" s="7"/>
      <c r="M65" s="7"/>
      <c r="N65" s="7"/>
      <c r="O65" s="7"/>
      <c r="P65" s="7"/>
      <c r="Q65" s="7"/>
      <c r="R65" s="7"/>
      <c r="U65" s="2"/>
    </row>
    <row r="66" spans="3:21" x14ac:dyDescent="0.2">
      <c r="C66" s="7"/>
      <c r="U66" s="2"/>
    </row>
    <row r="67" spans="3:21" x14ac:dyDescent="0.2">
      <c r="C67" s="7"/>
      <c r="L67" s="7"/>
      <c r="M67" s="7"/>
      <c r="N67" s="7"/>
      <c r="O67" s="7"/>
      <c r="P67" s="7"/>
      <c r="Q67" s="7"/>
      <c r="R67" s="7"/>
      <c r="U67" s="2"/>
    </row>
    <row r="69" spans="3:21" x14ac:dyDescent="0.2">
      <c r="S69" s="2"/>
      <c r="T69" s="2"/>
      <c r="U69" s="2"/>
    </row>
    <row r="70" spans="3:21" x14ac:dyDescent="0.2">
      <c r="S70" s="2"/>
      <c r="T70" s="2"/>
      <c r="U70" s="2"/>
    </row>
    <row r="71" spans="3:21" x14ac:dyDescent="0.2">
      <c r="S71" s="2"/>
      <c r="T71" s="2"/>
      <c r="U71" s="2"/>
    </row>
    <row r="72" spans="3:21" x14ac:dyDescent="0.2">
      <c r="S72" s="2"/>
      <c r="T72" s="2"/>
      <c r="U72" s="2"/>
    </row>
    <row r="73" spans="3:21" x14ac:dyDescent="0.2">
      <c r="S73" s="2"/>
      <c r="T73" s="2"/>
      <c r="U73" s="2"/>
    </row>
  </sheetData>
  <mergeCells count="2">
    <mergeCell ref="A8:D8"/>
    <mergeCell ref="A35:D35"/>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 xml:space="preserve">&amp;R&amp;A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2"/>
  <sheetViews>
    <sheetView zoomScale="80" zoomScaleNormal="80" workbookViewId="0">
      <pane xSplit="2" ySplit="4" topLeftCell="C8" activePane="bottomRight" state="frozen"/>
      <selection pane="topRight" activeCell="C1" sqref="C1"/>
      <selection pane="bottomLeft" activeCell="A5" sqref="A5"/>
      <selection pane="bottomRight" activeCell="O43" sqref="O43"/>
    </sheetView>
  </sheetViews>
  <sheetFormatPr defaultRowHeight="12.75" x14ac:dyDescent="0.2"/>
  <cols>
    <col min="1" max="1" width="10.28515625" style="2" bestFit="1" customWidth="1"/>
    <col min="2" max="2" width="24.85546875" style="2" customWidth="1"/>
    <col min="3" max="3" width="12.85546875" style="2" customWidth="1"/>
    <col min="4" max="4" width="9.28515625" style="4" customWidth="1"/>
    <col min="5" max="5" width="2.28515625" style="4" customWidth="1"/>
    <col min="6" max="9" width="11.28515625" style="7" bestFit="1" customWidth="1"/>
    <col min="10" max="10" width="10.140625" style="7" bestFit="1" customWidth="1"/>
    <col min="11" max="11" width="11.28515625" style="7" bestFit="1" customWidth="1"/>
    <col min="12" max="12" width="11.28515625" style="3" bestFit="1" customWidth="1"/>
    <col min="13" max="13" width="10.140625" style="3" bestFit="1" customWidth="1"/>
    <col min="14" max="17" width="11.28515625" style="3" bestFit="1" customWidth="1"/>
    <col min="18" max="18" width="12.28515625" style="96" bestFit="1" customWidth="1"/>
    <col min="19" max="19" width="6.85546875" style="3" bestFit="1" customWidth="1"/>
    <col min="20"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19" x14ac:dyDescent="0.2">
      <c r="B2" s="35" t="s">
        <v>275</v>
      </c>
      <c r="C2" s="38">
        <f>STATS!D72</f>
        <v>128</v>
      </c>
      <c r="F2" s="131">
        <f>'MO STATS'!E68</f>
        <v>14</v>
      </c>
      <c r="G2" s="131">
        <f>'MO STATS'!F68</f>
        <v>16</v>
      </c>
      <c r="H2" s="131">
        <f>'MO STATS'!G68</f>
        <v>14</v>
      </c>
      <c r="I2" s="131">
        <f>'MO STATS'!H68</f>
        <v>9</v>
      </c>
      <c r="J2" s="131">
        <f>'MO STATS'!I68</f>
        <v>2</v>
      </c>
      <c r="K2" s="131">
        <f>'MO STATS'!J68</f>
        <v>11</v>
      </c>
      <c r="L2" s="131">
        <f>'MO STATS'!K68</f>
        <v>10</v>
      </c>
      <c r="M2" s="131">
        <f>'MO STATS'!L68</f>
        <v>1</v>
      </c>
      <c r="N2" s="131">
        <f>'MO STATS'!M68</f>
        <v>15</v>
      </c>
      <c r="O2" s="131">
        <f>'MO STATS'!N68</f>
        <v>11</v>
      </c>
      <c r="P2" s="131">
        <f>'MO STATS'!O68</f>
        <v>17</v>
      </c>
      <c r="Q2" s="131">
        <f>'MO STATS'!P68</f>
        <v>8</v>
      </c>
      <c r="R2" s="101">
        <f t="shared" ref="R2:R4" si="0">SUM(F2:Q2)</f>
        <v>128</v>
      </c>
      <c r="S2" s="3">
        <f>C2-R2</f>
        <v>0</v>
      </c>
    </row>
    <row r="3" spans="1:19" ht="12.75" customHeight="1" x14ac:dyDescent="0.2">
      <c r="B3" s="35" t="s">
        <v>277</v>
      </c>
      <c r="C3" s="38">
        <f>STATS!D73</f>
        <v>161</v>
      </c>
      <c r="D3" s="195"/>
      <c r="E3" s="195"/>
      <c r="F3" s="131">
        <f>'MO STATS'!E69</f>
        <v>9</v>
      </c>
      <c r="G3" s="131">
        <f>'MO STATS'!F69</f>
        <v>8</v>
      </c>
      <c r="H3" s="131">
        <f>'MO STATS'!G69</f>
        <v>11</v>
      </c>
      <c r="I3" s="131">
        <f>'MO STATS'!H69</f>
        <v>17</v>
      </c>
      <c r="J3" s="131">
        <f>'MO STATS'!I69</f>
        <v>12</v>
      </c>
      <c r="K3" s="131">
        <f>'MO STATS'!J69</f>
        <v>14</v>
      </c>
      <c r="L3" s="131">
        <f>'MO STATS'!K69</f>
        <v>14</v>
      </c>
      <c r="M3" s="131">
        <f>'MO STATS'!L69</f>
        <v>9</v>
      </c>
      <c r="N3" s="131">
        <f>'MO STATS'!M69</f>
        <v>18</v>
      </c>
      <c r="O3" s="131">
        <f>'MO STATS'!N69</f>
        <v>17</v>
      </c>
      <c r="P3" s="131">
        <f>'MO STATS'!O69</f>
        <v>17</v>
      </c>
      <c r="Q3" s="131">
        <f>'MO STATS'!P69</f>
        <v>15</v>
      </c>
      <c r="R3" s="101">
        <f t="shared" si="0"/>
        <v>161</v>
      </c>
      <c r="S3" s="3">
        <f>C3-R3</f>
        <v>0</v>
      </c>
    </row>
    <row r="4" spans="1:19" s="3" customFormat="1" ht="12.75" customHeight="1" x14ac:dyDescent="0.2">
      <c r="A4" s="2"/>
      <c r="B4" s="35" t="s">
        <v>279</v>
      </c>
      <c r="C4" s="38">
        <f>C2+C3</f>
        <v>289</v>
      </c>
      <c r="D4" s="195"/>
      <c r="E4" s="195"/>
      <c r="F4" s="131">
        <f>'MO STATS'!E70</f>
        <v>23</v>
      </c>
      <c r="G4" s="131">
        <f>'MO STATS'!F70</f>
        <v>24</v>
      </c>
      <c r="H4" s="131">
        <f>'MO STATS'!G70</f>
        <v>25</v>
      </c>
      <c r="I4" s="131">
        <f>'MO STATS'!H70</f>
        <v>26</v>
      </c>
      <c r="J4" s="131">
        <f>'MO STATS'!I70</f>
        <v>14</v>
      </c>
      <c r="K4" s="131">
        <f>'MO STATS'!J70</f>
        <v>25</v>
      </c>
      <c r="L4" s="131">
        <f>'MO STATS'!K70</f>
        <v>24</v>
      </c>
      <c r="M4" s="131">
        <f>'MO STATS'!L70</f>
        <v>10</v>
      </c>
      <c r="N4" s="131">
        <f>'MO STATS'!M70</f>
        <v>33</v>
      </c>
      <c r="O4" s="131">
        <f>'MO STATS'!N70</f>
        <v>28</v>
      </c>
      <c r="P4" s="131">
        <f>'MO STATS'!O70</f>
        <v>34</v>
      </c>
      <c r="Q4" s="131">
        <f>'MO STATS'!P70</f>
        <v>23</v>
      </c>
      <c r="R4" s="101">
        <f t="shared" si="0"/>
        <v>289</v>
      </c>
      <c r="S4" s="3">
        <f>C4-R4</f>
        <v>0</v>
      </c>
    </row>
    <row r="5" spans="1:19" s="3" customFormat="1" ht="12.75" customHeight="1" x14ac:dyDescent="0.2">
      <c r="A5" s="2"/>
      <c r="B5" s="35"/>
      <c r="C5" s="38"/>
      <c r="D5" s="195"/>
      <c r="E5" s="195"/>
      <c r="F5" s="100"/>
      <c r="G5" s="100"/>
      <c r="H5" s="100"/>
      <c r="I5" s="100"/>
      <c r="J5" s="100"/>
      <c r="K5" s="100"/>
      <c r="L5" s="100"/>
      <c r="M5" s="100"/>
      <c r="N5" s="100"/>
      <c r="O5" s="100"/>
      <c r="P5" s="100"/>
      <c r="Q5" s="100"/>
      <c r="R5" s="101"/>
    </row>
    <row r="6" spans="1:19" s="3" customFormat="1" ht="11.25" x14ac:dyDescent="0.2">
      <c r="A6" s="711" t="s">
        <v>35</v>
      </c>
      <c r="B6" s="711"/>
      <c r="C6" s="711"/>
      <c r="D6" s="711"/>
      <c r="E6" s="195"/>
      <c r="F6" s="7"/>
      <c r="G6" s="7"/>
      <c r="H6" s="7"/>
      <c r="I6" s="7"/>
      <c r="J6" s="7"/>
      <c r="K6" s="7"/>
      <c r="R6" s="96"/>
    </row>
    <row r="7" spans="1:19" s="3" customFormat="1" x14ac:dyDescent="0.2">
      <c r="A7" s="21"/>
      <c r="B7" s="188" t="s">
        <v>539</v>
      </c>
      <c r="C7" s="1"/>
      <c r="D7" s="180" t="s">
        <v>538</v>
      </c>
      <c r="E7" s="126"/>
      <c r="F7" s="186" t="s">
        <v>49</v>
      </c>
      <c r="G7" s="186" t="s">
        <v>48</v>
      </c>
      <c r="H7" s="186" t="s">
        <v>47</v>
      </c>
      <c r="I7" s="186" t="s">
        <v>46</v>
      </c>
      <c r="J7" s="186" t="s">
        <v>45</v>
      </c>
      <c r="K7" s="186" t="s">
        <v>44</v>
      </c>
      <c r="L7" s="186" t="s">
        <v>43</v>
      </c>
      <c r="M7" s="186" t="s">
        <v>42</v>
      </c>
      <c r="N7" s="186" t="s">
        <v>41</v>
      </c>
      <c r="O7" s="186" t="s">
        <v>40</v>
      </c>
      <c r="P7" s="186" t="s">
        <v>39</v>
      </c>
      <c r="Q7" s="186" t="s">
        <v>38</v>
      </c>
      <c r="R7" s="186" t="s">
        <v>37</v>
      </c>
    </row>
    <row r="8" spans="1:19" s="3" customFormat="1" x14ac:dyDescent="0.2">
      <c r="A8" s="16"/>
      <c r="B8" s="29" t="s">
        <v>352</v>
      </c>
      <c r="C8" s="75">
        <f>$C$2*$D8</f>
        <v>21674.666666666668</v>
      </c>
      <c r="D8" s="14">
        <f>[5]Pulmonary!$J$11</f>
        <v>169.33333333333334</v>
      </c>
      <c r="E8" s="28"/>
      <c r="F8" s="375">
        <f>$D8*F$2</f>
        <v>2370.666666666667</v>
      </c>
      <c r="G8" s="375">
        <f t="shared" ref="G8:Q14" si="1">$D8*G$2</f>
        <v>2709.3333333333335</v>
      </c>
      <c r="H8" s="375">
        <f t="shared" si="1"/>
        <v>2370.666666666667</v>
      </c>
      <c r="I8" s="375">
        <f t="shared" si="1"/>
        <v>1524</v>
      </c>
      <c r="J8" s="375">
        <f t="shared" si="1"/>
        <v>338.66666666666669</v>
      </c>
      <c r="K8" s="375">
        <f t="shared" si="1"/>
        <v>1862.6666666666667</v>
      </c>
      <c r="L8" s="375">
        <f t="shared" si="1"/>
        <v>1693.3333333333335</v>
      </c>
      <c r="M8" s="375">
        <f t="shared" si="1"/>
        <v>169.33333333333334</v>
      </c>
      <c r="N8" s="375">
        <f t="shared" si="1"/>
        <v>2540</v>
      </c>
      <c r="O8" s="375">
        <f t="shared" si="1"/>
        <v>1862.6666666666667</v>
      </c>
      <c r="P8" s="375">
        <f t="shared" si="1"/>
        <v>2878.666666666667</v>
      </c>
      <c r="Q8" s="375">
        <f t="shared" si="1"/>
        <v>1354.6666666666667</v>
      </c>
      <c r="R8" s="109">
        <f>SUM(F8:Q8)</f>
        <v>21674.666666666672</v>
      </c>
      <c r="S8" s="3">
        <f>C8-R8</f>
        <v>0</v>
      </c>
    </row>
    <row r="9" spans="1:19" s="3" customFormat="1" x14ac:dyDescent="0.2">
      <c r="A9" s="16"/>
      <c r="B9" s="29" t="s">
        <v>353</v>
      </c>
      <c r="C9" s="75">
        <f t="shared" ref="C9:C14" si="2">$C$2*$D9</f>
        <v>0</v>
      </c>
      <c r="D9" s="14">
        <v>0</v>
      </c>
      <c r="E9" s="28"/>
      <c r="F9" s="375">
        <f t="shared" ref="F9:F14" si="3">$D9*F$2</f>
        <v>0</v>
      </c>
      <c r="G9" s="375">
        <f t="shared" si="1"/>
        <v>0</v>
      </c>
      <c r="H9" s="375">
        <f t="shared" si="1"/>
        <v>0</v>
      </c>
      <c r="I9" s="375">
        <f t="shared" si="1"/>
        <v>0</v>
      </c>
      <c r="J9" s="375">
        <f t="shared" si="1"/>
        <v>0</v>
      </c>
      <c r="K9" s="375">
        <f t="shared" si="1"/>
        <v>0</v>
      </c>
      <c r="L9" s="375">
        <f t="shared" si="1"/>
        <v>0</v>
      </c>
      <c r="M9" s="375">
        <f t="shared" si="1"/>
        <v>0</v>
      </c>
      <c r="N9" s="375">
        <f t="shared" si="1"/>
        <v>0</v>
      </c>
      <c r="O9" s="375">
        <f t="shared" si="1"/>
        <v>0</v>
      </c>
      <c r="P9" s="375">
        <f t="shared" si="1"/>
        <v>0</v>
      </c>
      <c r="Q9" s="375">
        <f t="shared" si="1"/>
        <v>0</v>
      </c>
      <c r="R9" s="109">
        <f t="shared" ref="R9:R32" si="4">SUM(F9:Q9)</f>
        <v>0</v>
      </c>
      <c r="S9" s="3">
        <f t="shared" ref="S9:S32" si="5">C9-R9</f>
        <v>0</v>
      </c>
    </row>
    <row r="10" spans="1:19" s="3" customFormat="1" x14ac:dyDescent="0.2">
      <c r="A10" s="16"/>
      <c r="B10" s="29" t="s">
        <v>355</v>
      </c>
      <c r="C10" s="75">
        <f t="shared" si="2"/>
        <v>505.67901234567898</v>
      </c>
      <c r="D10" s="14">
        <f>[5]Pulmonary!$J$13</f>
        <v>3.9506172839506171</v>
      </c>
      <c r="E10" s="28"/>
      <c r="F10" s="375">
        <f t="shared" si="3"/>
        <v>55.308641975308639</v>
      </c>
      <c r="G10" s="375">
        <f t="shared" si="1"/>
        <v>63.209876543209873</v>
      </c>
      <c r="H10" s="375">
        <f t="shared" si="1"/>
        <v>55.308641975308639</v>
      </c>
      <c r="I10" s="375">
        <f t="shared" si="1"/>
        <v>35.555555555555557</v>
      </c>
      <c r="J10" s="375">
        <f t="shared" si="1"/>
        <v>7.9012345679012341</v>
      </c>
      <c r="K10" s="375">
        <f t="shared" si="1"/>
        <v>43.456790123456784</v>
      </c>
      <c r="L10" s="375">
        <f t="shared" si="1"/>
        <v>39.506172839506171</v>
      </c>
      <c r="M10" s="375">
        <f t="shared" si="1"/>
        <v>3.9506172839506171</v>
      </c>
      <c r="N10" s="375">
        <f t="shared" si="1"/>
        <v>59.259259259259252</v>
      </c>
      <c r="O10" s="375">
        <f t="shared" si="1"/>
        <v>43.456790123456784</v>
      </c>
      <c r="P10" s="375">
        <f t="shared" si="1"/>
        <v>67.160493827160494</v>
      </c>
      <c r="Q10" s="375">
        <f t="shared" si="1"/>
        <v>31.604938271604937</v>
      </c>
      <c r="R10" s="109">
        <f t="shared" si="4"/>
        <v>505.67901234567898</v>
      </c>
      <c r="S10" s="3">
        <f t="shared" si="5"/>
        <v>0</v>
      </c>
    </row>
    <row r="11" spans="1:19" s="3" customFormat="1" x14ac:dyDescent="0.2">
      <c r="A11" s="16"/>
      <c r="B11" s="29" t="s">
        <v>370</v>
      </c>
      <c r="C11" s="75">
        <f t="shared" si="2"/>
        <v>0</v>
      </c>
      <c r="D11" s="14"/>
      <c r="E11" s="28"/>
      <c r="F11" s="375">
        <f t="shared" si="3"/>
        <v>0</v>
      </c>
      <c r="G11" s="375">
        <f t="shared" si="1"/>
        <v>0</v>
      </c>
      <c r="H11" s="375">
        <f t="shared" si="1"/>
        <v>0</v>
      </c>
      <c r="I11" s="375">
        <f t="shared" si="1"/>
        <v>0</v>
      </c>
      <c r="J11" s="375">
        <f t="shared" si="1"/>
        <v>0</v>
      </c>
      <c r="K11" s="375">
        <f t="shared" si="1"/>
        <v>0</v>
      </c>
      <c r="L11" s="375">
        <f t="shared" si="1"/>
        <v>0</v>
      </c>
      <c r="M11" s="375">
        <f t="shared" si="1"/>
        <v>0</v>
      </c>
      <c r="N11" s="375">
        <f t="shared" si="1"/>
        <v>0</v>
      </c>
      <c r="O11" s="375">
        <f t="shared" si="1"/>
        <v>0</v>
      </c>
      <c r="P11" s="375">
        <f t="shared" si="1"/>
        <v>0</v>
      </c>
      <c r="Q11" s="375">
        <f t="shared" si="1"/>
        <v>0</v>
      </c>
      <c r="R11" s="109">
        <f t="shared" si="4"/>
        <v>0</v>
      </c>
      <c r="S11" s="3">
        <f t="shared" si="5"/>
        <v>0</v>
      </c>
    </row>
    <row r="12" spans="1:19" s="3" customFormat="1" x14ac:dyDescent="0.2">
      <c r="A12" s="16"/>
      <c r="B12" s="29" t="s">
        <v>356</v>
      </c>
      <c r="C12" s="75">
        <f t="shared" si="2"/>
        <v>1011.358024691358</v>
      </c>
      <c r="D12" s="14">
        <f>[5]Pulmonary!$J$15</f>
        <v>7.9012345679012341</v>
      </c>
      <c r="E12" s="28"/>
      <c r="F12" s="375">
        <f t="shared" si="3"/>
        <v>110.61728395061728</v>
      </c>
      <c r="G12" s="375">
        <f t="shared" si="1"/>
        <v>126.41975308641975</v>
      </c>
      <c r="H12" s="375">
        <f t="shared" si="1"/>
        <v>110.61728395061728</v>
      </c>
      <c r="I12" s="375">
        <f t="shared" si="1"/>
        <v>71.111111111111114</v>
      </c>
      <c r="J12" s="375">
        <f t="shared" si="1"/>
        <v>15.802469135802468</v>
      </c>
      <c r="K12" s="375">
        <f t="shared" si="1"/>
        <v>86.913580246913568</v>
      </c>
      <c r="L12" s="375">
        <f t="shared" si="1"/>
        <v>79.012345679012341</v>
      </c>
      <c r="M12" s="375">
        <f t="shared" si="1"/>
        <v>7.9012345679012341</v>
      </c>
      <c r="N12" s="375">
        <f t="shared" si="1"/>
        <v>118.5185185185185</v>
      </c>
      <c r="O12" s="375">
        <f t="shared" si="1"/>
        <v>86.913580246913568</v>
      </c>
      <c r="P12" s="375">
        <f t="shared" si="1"/>
        <v>134.32098765432099</v>
      </c>
      <c r="Q12" s="375">
        <f t="shared" si="1"/>
        <v>63.209876543209873</v>
      </c>
      <c r="R12" s="109">
        <f t="shared" si="4"/>
        <v>1011.358024691358</v>
      </c>
      <c r="S12" s="3">
        <f t="shared" si="5"/>
        <v>0</v>
      </c>
    </row>
    <row r="13" spans="1:19" s="3" customFormat="1" x14ac:dyDescent="0.2">
      <c r="A13" s="16"/>
      <c r="B13" s="29" t="s">
        <v>354</v>
      </c>
      <c r="C13" s="75">
        <f t="shared" si="2"/>
        <v>9974.5185185185182</v>
      </c>
      <c r="D13" s="14">
        <f>[5]Pulmonary!$J$16</f>
        <v>77.925925925925924</v>
      </c>
      <c r="E13" s="28"/>
      <c r="F13" s="375">
        <f t="shared" si="3"/>
        <v>1090.962962962963</v>
      </c>
      <c r="G13" s="375">
        <f t="shared" si="1"/>
        <v>1246.8148148148148</v>
      </c>
      <c r="H13" s="375">
        <f t="shared" si="1"/>
        <v>1090.962962962963</v>
      </c>
      <c r="I13" s="375">
        <f t="shared" si="1"/>
        <v>701.33333333333326</v>
      </c>
      <c r="J13" s="375">
        <f t="shared" si="1"/>
        <v>155.85185185185185</v>
      </c>
      <c r="K13" s="375">
        <f t="shared" si="1"/>
        <v>857.18518518518522</v>
      </c>
      <c r="L13" s="375">
        <f t="shared" si="1"/>
        <v>779.25925925925924</v>
      </c>
      <c r="M13" s="375">
        <f t="shared" si="1"/>
        <v>77.925925925925924</v>
      </c>
      <c r="N13" s="375">
        <f t="shared" si="1"/>
        <v>1168.8888888888889</v>
      </c>
      <c r="O13" s="375">
        <f t="shared" si="1"/>
        <v>857.18518518518522</v>
      </c>
      <c r="P13" s="375">
        <f t="shared" si="1"/>
        <v>1324.7407407407406</v>
      </c>
      <c r="Q13" s="375">
        <f t="shared" si="1"/>
        <v>623.40740740740739</v>
      </c>
      <c r="R13" s="109">
        <f t="shared" si="4"/>
        <v>9974.5185185185182</v>
      </c>
      <c r="S13" s="3">
        <f t="shared" si="5"/>
        <v>0</v>
      </c>
    </row>
    <row r="14" spans="1:19" s="3" customFormat="1" x14ac:dyDescent="0.2">
      <c r="A14" s="16"/>
      <c r="B14" s="29" t="s">
        <v>357</v>
      </c>
      <c r="C14" s="75">
        <f t="shared" si="2"/>
        <v>2458.8641975308642</v>
      </c>
      <c r="D14" s="14">
        <f>[5]Pulmonary!$J$17</f>
        <v>19.209876543209877</v>
      </c>
      <c r="E14" s="28"/>
      <c r="F14" s="375">
        <f t="shared" si="3"/>
        <v>268.93827160493828</v>
      </c>
      <c r="G14" s="375">
        <f t="shared" si="1"/>
        <v>307.35802469135803</v>
      </c>
      <c r="H14" s="375">
        <f t="shared" si="1"/>
        <v>268.93827160493828</v>
      </c>
      <c r="I14" s="375">
        <f t="shared" si="1"/>
        <v>172.88888888888889</v>
      </c>
      <c r="J14" s="375">
        <f t="shared" si="1"/>
        <v>38.419753086419753</v>
      </c>
      <c r="K14" s="375">
        <f t="shared" si="1"/>
        <v>211.30864197530863</v>
      </c>
      <c r="L14" s="375">
        <f t="shared" si="1"/>
        <v>192.09876543209876</v>
      </c>
      <c r="M14" s="375">
        <f t="shared" si="1"/>
        <v>19.209876543209877</v>
      </c>
      <c r="N14" s="375">
        <f t="shared" si="1"/>
        <v>288.14814814814815</v>
      </c>
      <c r="O14" s="375">
        <f t="shared" si="1"/>
        <v>211.30864197530863</v>
      </c>
      <c r="P14" s="375">
        <f t="shared" si="1"/>
        <v>326.5679012345679</v>
      </c>
      <c r="Q14" s="375">
        <f t="shared" si="1"/>
        <v>153.67901234567901</v>
      </c>
      <c r="R14" s="109">
        <f t="shared" si="4"/>
        <v>2458.8641975308642</v>
      </c>
      <c r="S14" s="3">
        <f t="shared" si="5"/>
        <v>0</v>
      </c>
    </row>
    <row r="15" spans="1:19" s="3" customFormat="1" x14ac:dyDescent="0.2">
      <c r="A15" s="87">
        <v>31110.073</v>
      </c>
      <c r="B15" s="161" t="s">
        <v>540</v>
      </c>
      <c r="C15" s="293">
        <f>SUM(C8:C14)</f>
        <v>35625.086419753083</v>
      </c>
      <c r="D15" s="293"/>
      <c r="E15" s="293"/>
      <c r="F15" s="369">
        <f>SUM(F8:F14)</f>
        <v>3896.4938271604938</v>
      </c>
      <c r="G15" s="369">
        <f t="shared" ref="G15:Q15" si="6">SUM(G8:G14)</f>
        <v>4453.1358024691353</v>
      </c>
      <c r="H15" s="369">
        <f t="shared" si="6"/>
        <v>3896.4938271604938</v>
      </c>
      <c r="I15" s="369">
        <f t="shared" si="6"/>
        <v>2504.8888888888887</v>
      </c>
      <c r="J15" s="369">
        <f t="shared" si="6"/>
        <v>556.64197530864192</v>
      </c>
      <c r="K15" s="369">
        <f t="shared" si="6"/>
        <v>3061.5308641975312</v>
      </c>
      <c r="L15" s="369">
        <f t="shared" si="6"/>
        <v>2783.2098765432102</v>
      </c>
      <c r="M15" s="369">
        <f t="shared" si="6"/>
        <v>278.32098765432096</v>
      </c>
      <c r="N15" s="369">
        <f t="shared" si="6"/>
        <v>4174.8148148148148</v>
      </c>
      <c r="O15" s="369">
        <f t="shared" si="6"/>
        <v>3061.5308641975312</v>
      </c>
      <c r="P15" s="369">
        <f t="shared" si="6"/>
        <v>4731.4567901234568</v>
      </c>
      <c r="Q15" s="369">
        <f t="shared" si="6"/>
        <v>2226.5679012345677</v>
      </c>
      <c r="R15" s="369">
        <f t="shared" si="4"/>
        <v>35625.086419753083</v>
      </c>
      <c r="S15" s="291">
        <f t="shared" si="5"/>
        <v>0</v>
      </c>
    </row>
    <row r="16" spans="1:19" s="3" customFormat="1" x14ac:dyDescent="0.2">
      <c r="A16" s="16"/>
      <c r="B16" s="29" t="s">
        <v>424</v>
      </c>
      <c r="C16" s="75">
        <f t="shared" ref="C16:C22" si="7">$C$2*D16</f>
        <v>1659.2592592592594</v>
      </c>
      <c r="D16" s="14">
        <f>[5]Pulmonary!$J$21</f>
        <v>12.962962962962964</v>
      </c>
      <c r="E16" s="28"/>
      <c r="F16" s="375">
        <f>$D16*F$2</f>
        <v>181.4814814814815</v>
      </c>
      <c r="G16" s="375">
        <f t="shared" ref="G16:Q22" si="8">$D16*G$2</f>
        <v>207.40740740740742</v>
      </c>
      <c r="H16" s="375">
        <f t="shared" si="8"/>
        <v>181.4814814814815</v>
      </c>
      <c r="I16" s="375">
        <f t="shared" si="8"/>
        <v>116.66666666666667</v>
      </c>
      <c r="J16" s="375">
        <f t="shared" si="8"/>
        <v>25.925925925925927</v>
      </c>
      <c r="K16" s="375">
        <f t="shared" si="8"/>
        <v>142.59259259259261</v>
      </c>
      <c r="L16" s="375">
        <f t="shared" si="8"/>
        <v>129.62962962962965</v>
      </c>
      <c r="M16" s="375">
        <f t="shared" si="8"/>
        <v>12.962962962962964</v>
      </c>
      <c r="N16" s="375">
        <f t="shared" si="8"/>
        <v>194.44444444444446</v>
      </c>
      <c r="O16" s="375">
        <f t="shared" si="8"/>
        <v>142.59259259259261</v>
      </c>
      <c r="P16" s="375">
        <f t="shared" si="8"/>
        <v>220.37037037037038</v>
      </c>
      <c r="Q16" s="375">
        <f t="shared" si="8"/>
        <v>103.70370370370371</v>
      </c>
      <c r="R16" s="109">
        <f t="shared" si="4"/>
        <v>1659.2592592592594</v>
      </c>
      <c r="S16" s="3">
        <f t="shared" si="5"/>
        <v>0</v>
      </c>
    </row>
    <row r="17" spans="1:21" x14ac:dyDescent="0.2">
      <c r="A17" s="16"/>
      <c r="B17" s="29" t="s">
        <v>425</v>
      </c>
      <c r="C17" s="75">
        <f t="shared" si="7"/>
        <v>0</v>
      </c>
      <c r="D17" s="14">
        <f>[9]PULMONARY!$M$22</f>
        <v>0</v>
      </c>
      <c r="E17" s="28"/>
      <c r="F17" s="375">
        <f t="shared" ref="F17:F22" si="9">$D17*F$2</f>
        <v>0</v>
      </c>
      <c r="G17" s="375">
        <f t="shared" si="8"/>
        <v>0</v>
      </c>
      <c r="H17" s="375">
        <f t="shared" si="8"/>
        <v>0</v>
      </c>
      <c r="I17" s="375">
        <f t="shared" si="8"/>
        <v>0</v>
      </c>
      <c r="J17" s="375">
        <f t="shared" si="8"/>
        <v>0</v>
      </c>
      <c r="K17" s="375">
        <f t="shared" si="8"/>
        <v>0</v>
      </c>
      <c r="L17" s="375">
        <f t="shared" si="8"/>
        <v>0</v>
      </c>
      <c r="M17" s="375">
        <f t="shared" si="8"/>
        <v>0</v>
      </c>
      <c r="N17" s="375">
        <f t="shared" si="8"/>
        <v>0</v>
      </c>
      <c r="O17" s="375">
        <f t="shared" si="8"/>
        <v>0</v>
      </c>
      <c r="P17" s="375">
        <f t="shared" si="8"/>
        <v>0</v>
      </c>
      <c r="Q17" s="375">
        <f t="shared" si="8"/>
        <v>0</v>
      </c>
      <c r="R17" s="109">
        <f t="shared" si="4"/>
        <v>0</v>
      </c>
      <c r="S17" s="3">
        <f t="shared" si="5"/>
        <v>0</v>
      </c>
    </row>
    <row r="18" spans="1:21" x14ac:dyDescent="0.2">
      <c r="A18" s="16"/>
      <c r="B18" s="29" t="s">
        <v>426</v>
      </c>
      <c r="C18" s="75">
        <f t="shared" si="7"/>
        <v>0</v>
      </c>
      <c r="D18" s="14">
        <f>[9]PULMONARY!$M$23</f>
        <v>0</v>
      </c>
      <c r="E18" s="28"/>
      <c r="F18" s="375">
        <f t="shared" si="9"/>
        <v>0</v>
      </c>
      <c r="G18" s="375">
        <f t="shared" si="8"/>
        <v>0</v>
      </c>
      <c r="H18" s="375">
        <f t="shared" si="8"/>
        <v>0</v>
      </c>
      <c r="I18" s="375">
        <f t="shared" si="8"/>
        <v>0</v>
      </c>
      <c r="J18" s="375">
        <f t="shared" si="8"/>
        <v>0</v>
      </c>
      <c r="K18" s="375">
        <f t="shared" si="8"/>
        <v>0</v>
      </c>
      <c r="L18" s="375">
        <f t="shared" si="8"/>
        <v>0</v>
      </c>
      <c r="M18" s="375">
        <f t="shared" si="8"/>
        <v>0</v>
      </c>
      <c r="N18" s="375">
        <f t="shared" si="8"/>
        <v>0</v>
      </c>
      <c r="O18" s="375">
        <f t="shared" si="8"/>
        <v>0</v>
      </c>
      <c r="P18" s="375">
        <f t="shared" si="8"/>
        <v>0</v>
      </c>
      <c r="Q18" s="375">
        <f t="shared" si="8"/>
        <v>0</v>
      </c>
      <c r="R18" s="109">
        <f t="shared" si="4"/>
        <v>0</v>
      </c>
      <c r="S18" s="3">
        <f t="shared" si="5"/>
        <v>0</v>
      </c>
    </row>
    <row r="19" spans="1:21" x14ac:dyDescent="0.2">
      <c r="A19" s="16"/>
      <c r="B19" s="29" t="s">
        <v>427</v>
      </c>
      <c r="C19" s="75">
        <f t="shared" si="7"/>
        <v>0</v>
      </c>
      <c r="D19" s="14"/>
      <c r="E19" s="28"/>
      <c r="F19" s="375">
        <f t="shared" si="9"/>
        <v>0</v>
      </c>
      <c r="G19" s="375">
        <f t="shared" si="8"/>
        <v>0</v>
      </c>
      <c r="H19" s="375">
        <f t="shared" si="8"/>
        <v>0</v>
      </c>
      <c r="I19" s="375">
        <f t="shared" si="8"/>
        <v>0</v>
      </c>
      <c r="J19" s="375">
        <f t="shared" si="8"/>
        <v>0</v>
      </c>
      <c r="K19" s="375">
        <f t="shared" si="8"/>
        <v>0</v>
      </c>
      <c r="L19" s="375">
        <f t="shared" si="8"/>
        <v>0</v>
      </c>
      <c r="M19" s="375">
        <f t="shared" si="8"/>
        <v>0</v>
      </c>
      <c r="N19" s="375">
        <f t="shared" si="8"/>
        <v>0</v>
      </c>
      <c r="O19" s="375">
        <f t="shared" si="8"/>
        <v>0</v>
      </c>
      <c r="P19" s="375">
        <f t="shared" si="8"/>
        <v>0</v>
      </c>
      <c r="Q19" s="375">
        <f t="shared" si="8"/>
        <v>0</v>
      </c>
      <c r="R19" s="376">
        <f t="shared" si="4"/>
        <v>0</v>
      </c>
      <c r="S19" s="3">
        <f t="shared" si="5"/>
        <v>0</v>
      </c>
    </row>
    <row r="20" spans="1:21" x14ac:dyDescent="0.2">
      <c r="A20" s="16"/>
      <c r="B20" s="29" t="s">
        <v>428</v>
      </c>
      <c r="C20" s="75">
        <f t="shared" si="7"/>
        <v>0</v>
      </c>
      <c r="D20" s="14">
        <f>[9]PULMONARY!$M$24</f>
        <v>0</v>
      </c>
      <c r="E20" s="28"/>
      <c r="F20" s="375">
        <f t="shared" si="9"/>
        <v>0</v>
      </c>
      <c r="G20" s="375">
        <f t="shared" si="8"/>
        <v>0</v>
      </c>
      <c r="H20" s="375">
        <f t="shared" si="8"/>
        <v>0</v>
      </c>
      <c r="I20" s="375">
        <f t="shared" si="8"/>
        <v>0</v>
      </c>
      <c r="J20" s="375">
        <f t="shared" si="8"/>
        <v>0</v>
      </c>
      <c r="K20" s="375">
        <f t="shared" si="8"/>
        <v>0</v>
      </c>
      <c r="L20" s="375">
        <f t="shared" si="8"/>
        <v>0</v>
      </c>
      <c r="M20" s="375">
        <f t="shared" si="8"/>
        <v>0</v>
      </c>
      <c r="N20" s="375">
        <f t="shared" si="8"/>
        <v>0</v>
      </c>
      <c r="O20" s="375">
        <f t="shared" si="8"/>
        <v>0</v>
      </c>
      <c r="P20" s="375">
        <f t="shared" si="8"/>
        <v>0</v>
      </c>
      <c r="Q20" s="375">
        <f t="shared" si="8"/>
        <v>0</v>
      </c>
      <c r="R20" s="109">
        <f t="shared" si="4"/>
        <v>0</v>
      </c>
      <c r="S20" s="3">
        <f t="shared" si="5"/>
        <v>0</v>
      </c>
    </row>
    <row r="21" spans="1:21" x14ac:dyDescent="0.2">
      <c r="A21" s="16"/>
      <c r="B21" s="29" t="s">
        <v>429</v>
      </c>
      <c r="C21" s="75">
        <f t="shared" si="7"/>
        <v>0</v>
      </c>
      <c r="D21" s="14">
        <f>[9]PULMONARY!$M$25</f>
        <v>0</v>
      </c>
      <c r="E21" s="28"/>
      <c r="F21" s="375">
        <f t="shared" si="9"/>
        <v>0</v>
      </c>
      <c r="G21" s="375">
        <f t="shared" si="8"/>
        <v>0</v>
      </c>
      <c r="H21" s="375">
        <f t="shared" si="8"/>
        <v>0</v>
      </c>
      <c r="I21" s="375">
        <f t="shared" si="8"/>
        <v>0</v>
      </c>
      <c r="J21" s="375">
        <f t="shared" si="8"/>
        <v>0</v>
      </c>
      <c r="K21" s="375">
        <f t="shared" si="8"/>
        <v>0</v>
      </c>
      <c r="L21" s="375">
        <f t="shared" si="8"/>
        <v>0</v>
      </c>
      <c r="M21" s="375">
        <f t="shared" si="8"/>
        <v>0</v>
      </c>
      <c r="N21" s="375">
        <f t="shared" si="8"/>
        <v>0</v>
      </c>
      <c r="O21" s="375">
        <f t="shared" si="8"/>
        <v>0</v>
      </c>
      <c r="P21" s="375">
        <f t="shared" si="8"/>
        <v>0</v>
      </c>
      <c r="Q21" s="375">
        <f t="shared" si="8"/>
        <v>0</v>
      </c>
      <c r="R21" s="109">
        <f t="shared" si="4"/>
        <v>0</v>
      </c>
      <c r="S21" s="3">
        <f t="shared" si="5"/>
        <v>0</v>
      </c>
    </row>
    <row r="22" spans="1:21" x14ac:dyDescent="0.2">
      <c r="A22" s="16"/>
      <c r="B22" s="29" t="s">
        <v>430</v>
      </c>
      <c r="C22" s="75">
        <f t="shared" si="7"/>
        <v>0</v>
      </c>
      <c r="D22" s="14">
        <f>[9]PULMONARY!$M$26</f>
        <v>0</v>
      </c>
      <c r="E22" s="28"/>
      <c r="F22" s="375">
        <f t="shared" si="9"/>
        <v>0</v>
      </c>
      <c r="G22" s="375">
        <f t="shared" si="8"/>
        <v>0</v>
      </c>
      <c r="H22" s="375">
        <f t="shared" si="8"/>
        <v>0</v>
      </c>
      <c r="I22" s="375">
        <f t="shared" si="8"/>
        <v>0</v>
      </c>
      <c r="J22" s="375">
        <f t="shared" si="8"/>
        <v>0</v>
      </c>
      <c r="K22" s="375">
        <f t="shared" si="8"/>
        <v>0</v>
      </c>
      <c r="L22" s="375">
        <f t="shared" si="8"/>
        <v>0</v>
      </c>
      <c r="M22" s="375">
        <f t="shared" si="8"/>
        <v>0</v>
      </c>
      <c r="N22" s="375">
        <f t="shared" si="8"/>
        <v>0</v>
      </c>
      <c r="O22" s="375">
        <f t="shared" si="8"/>
        <v>0</v>
      </c>
      <c r="P22" s="375">
        <f t="shared" si="8"/>
        <v>0</v>
      </c>
      <c r="Q22" s="375">
        <f t="shared" si="8"/>
        <v>0</v>
      </c>
      <c r="R22" s="109">
        <f t="shared" si="4"/>
        <v>0</v>
      </c>
      <c r="S22" s="3">
        <f t="shared" si="5"/>
        <v>0</v>
      </c>
    </row>
    <row r="23" spans="1:21" x14ac:dyDescent="0.2">
      <c r="A23" s="132">
        <v>31111.073</v>
      </c>
      <c r="B23" s="161" t="s">
        <v>541</v>
      </c>
      <c r="C23" s="290">
        <f>SUM(C16:C22)</f>
        <v>1659.2592592592594</v>
      </c>
      <c r="D23" s="290"/>
      <c r="E23" s="290"/>
      <c r="F23" s="372">
        <f>SUM(F16:F22)</f>
        <v>181.4814814814815</v>
      </c>
      <c r="G23" s="372">
        <f t="shared" ref="G23:Q23" si="10">SUM(G16:G22)</f>
        <v>207.40740740740742</v>
      </c>
      <c r="H23" s="372">
        <f t="shared" si="10"/>
        <v>181.4814814814815</v>
      </c>
      <c r="I23" s="372">
        <f t="shared" si="10"/>
        <v>116.66666666666667</v>
      </c>
      <c r="J23" s="372">
        <f t="shared" si="10"/>
        <v>25.925925925925927</v>
      </c>
      <c r="K23" s="372">
        <f t="shared" si="10"/>
        <v>142.59259259259261</v>
      </c>
      <c r="L23" s="372">
        <f t="shared" si="10"/>
        <v>129.62962962962965</v>
      </c>
      <c r="M23" s="372">
        <f t="shared" si="10"/>
        <v>12.962962962962964</v>
      </c>
      <c r="N23" s="372">
        <f t="shared" si="10"/>
        <v>194.44444444444446</v>
      </c>
      <c r="O23" s="372">
        <f t="shared" si="10"/>
        <v>142.59259259259261</v>
      </c>
      <c r="P23" s="372">
        <f t="shared" si="10"/>
        <v>220.37037037037038</v>
      </c>
      <c r="Q23" s="372">
        <f t="shared" si="10"/>
        <v>103.70370370370371</v>
      </c>
      <c r="R23" s="372">
        <f t="shared" si="4"/>
        <v>1659.2592592592594</v>
      </c>
      <c r="S23" s="291">
        <f t="shared" si="5"/>
        <v>0</v>
      </c>
    </row>
    <row r="24" spans="1:21" x14ac:dyDescent="0.2">
      <c r="A24" s="16"/>
      <c r="B24" s="29" t="s">
        <v>358</v>
      </c>
      <c r="C24" s="75">
        <f t="shared" ref="C24:C30" si="11">$C$3*D24</f>
        <v>50814.527272727275</v>
      </c>
      <c r="D24" s="14">
        <f>[5]Pulmonary!$J$31</f>
        <v>315.61818181818182</v>
      </c>
      <c r="E24" s="28"/>
      <c r="F24" s="375">
        <f>$D24*F$3</f>
        <v>2840.5636363636363</v>
      </c>
      <c r="G24" s="375">
        <f t="shared" ref="G24:Q30" si="12">$D24*G$3</f>
        <v>2524.9454545454546</v>
      </c>
      <c r="H24" s="375">
        <f t="shared" si="12"/>
        <v>3471.8</v>
      </c>
      <c r="I24" s="375">
        <f t="shared" si="12"/>
        <v>5365.5090909090914</v>
      </c>
      <c r="J24" s="375">
        <f t="shared" si="12"/>
        <v>3787.4181818181819</v>
      </c>
      <c r="K24" s="375">
        <f t="shared" si="12"/>
        <v>4418.6545454545458</v>
      </c>
      <c r="L24" s="375">
        <f t="shared" si="12"/>
        <v>4418.6545454545458</v>
      </c>
      <c r="M24" s="375">
        <f t="shared" si="12"/>
        <v>2840.5636363636363</v>
      </c>
      <c r="N24" s="375">
        <f t="shared" si="12"/>
        <v>5681.1272727272726</v>
      </c>
      <c r="O24" s="375">
        <f t="shared" si="12"/>
        <v>5365.5090909090914</v>
      </c>
      <c r="P24" s="375">
        <f t="shared" si="12"/>
        <v>5365.5090909090914</v>
      </c>
      <c r="Q24" s="375">
        <f t="shared" si="12"/>
        <v>4734.272727272727</v>
      </c>
      <c r="R24" s="109">
        <f t="shared" si="4"/>
        <v>50814.527272727275</v>
      </c>
      <c r="S24" s="3">
        <f t="shared" si="5"/>
        <v>0</v>
      </c>
    </row>
    <row r="25" spans="1:21" x14ac:dyDescent="0.2">
      <c r="A25" s="16"/>
      <c r="B25" s="29" t="s">
        <v>359</v>
      </c>
      <c r="C25" s="75">
        <f t="shared" si="11"/>
        <v>2005.1818181818182</v>
      </c>
      <c r="D25" s="14">
        <f>[5]Pulmonary!$J$32</f>
        <v>12.454545454545455</v>
      </c>
      <c r="E25" s="28"/>
      <c r="F25" s="375">
        <f t="shared" ref="F25:F30" si="13">$D25*F$3</f>
        <v>112.09090909090909</v>
      </c>
      <c r="G25" s="375">
        <f t="shared" si="12"/>
        <v>99.63636363636364</v>
      </c>
      <c r="H25" s="375">
        <f t="shared" si="12"/>
        <v>137</v>
      </c>
      <c r="I25" s="375">
        <f t="shared" si="12"/>
        <v>211.72727272727275</v>
      </c>
      <c r="J25" s="375">
        <f t="shared" si="12"/>
        <v>149.45454545454547</v>
      </c>
      <c r="K25" s="375">
        <f t="shared" si="12"/>
        <v>174.36363636363637</v>
      </c>
      <c r="L25" s="375">
        <f t="shared" si="12"/>
        <v>174.36363636363637</v>
      </c>
      <c r="M25" s="375">
        <f t="shared" si="12"/>
        <v>112.09090909090909</v>
      </c>
      <c r="N25" s="375">
        <f t="shared" si="12"/>
        <v>224.18181818181819</v>
      </c>
      <c r="O25" s="375">
        <f t="shared" si="12"/>
        <v>211.72727272727275</v>
      </c>
      <c r="P25" s="375">
        <f t="shared" si="12"/>
        <v>211.72727272727275</v>
      </c>
      <c r="Q25" s="375">
        <f t="shared" si="12"/>
        <v>186.81818181818181</v>
      </c>
      <c r="R25" s="109">
        <f t="shared" si="4"/>
        <v>2005.1818181818182</v>
      </c>
      <c r="S25" s="3">
        <f t="shared" si="5"/>
        <v>0</v>
      </c>
    </row>
    <row r="26" spans="1:21" x14ac:dyDescent="0.2">
      <c r="A26" s="16"/>
      <c r="B26" s="29" t="s">
        <v>372</v>
      </c>
      <c r="C26" s="75">
        <f t="shared" si="11"/>
        <v>15251.09090909091</v>
      </c>
      <c r="D26" s="14">
        <f>[5]Pulmonary!$J$33</f>
        <v>94.727272727272734</v>
      </c>
      <c r="E26" s="28"/>
      <c r="F26" s="375">
        <f t="shared" si="13"/>
        <v>852.54545454545462</v>
      </c>
      <c r="G26" s="375">
        <f t="shared" si="12"/>
        <v>757.81818181818187</v>
      </c>
      <c r="H26" s="375">
        <f t="shared" si="12"/>
        <v>1042</v>
      </c>
      <c r="I26" s="375">
        <f t="shared" si="12"/>
        <v>1610.3636363636365</v>
      </c>
      <c r="J26" s="375">
        <f t="shared" si="12"/>
        <v>1136.7272727272727</v>
      </c>
      <c r="K26" s="375">
        <f t="shared" si="12"/>
        <v>1326.1818181818182</v>
      </c>
      <c r="L26" s="375">
        <f t="shared" si="12"/>
        <v>1326.1818181818182</v>
      </c>
      <c r="M26" s="375">
        <f t="shared" si="12"/>
        <v>852.54545454545462</v>
      </c>
      <c r="N26" s="375">
        <f t="shared" si="12"/>
        <v>1705.0909090909092</v>
      </c>
      <c r="O26" s="375">
        <f t="shared" si="12"/>
        <v>1610.3636363636365</v>
      </c>
      <c r="P26" s="375">
        <f t="shared" si="12"/>
        <v>1610.3636363636365</v>
      </c>
      <c r="Q26" s="375">
        <f t="shared" si="12"/>
        <v>1420.909090909091</v>
      </c>
      <c r="R26" s="109">
        <f t="shared" si="4"/>
        <v>15251.090909090908</v>
      </c>
      <c r="S26" s="3">
        <f t="shared" si="5"/>
        <v>0</v>
      </c>
    </row>
    <row r="27" spans="1:21" x14ac:dyDescent="0.2">
      <c r="A27" s="16"/>
      <c r="B27" s="29" t="s">
        <v>373</v>
      </c>
      <c r="C27" s="75">
        <f t="shared" si="11"/>
        <v>0</v>
      </c>
      <c r="D27" s="14"/>
      <c r="E27" s="28"/>
      <c r="F27" s="375">
        <f t="shared" si="13"/>
        <v>0</v>
      </c>
      <c r="G27" s="375">
        <f t="shared" si="12"/>
        <v>0</v>
      </c>
      <c r="H27" s="375">
        <f t="shared" si="12"/>
        <v>0</v>
      </c>
      <c r="I27" s="375">
        <f t="shared" si="12"/>
        <v>0</v>
      </c>
      <c r="J27" s="375">
        <f t="shared" si="12"/>
        <v>0</v>
      </c>
      <c r="K27" s="375">
        <f t="shared" si="12"/>
        <v>0</v>
      </c>
      <c r="L27" s="375">
        <f t="shared" si="12"/>
        <v>0</v>
      </c>
      <c r="M27" s="375">
        <f t="shared" si="12"/>
        <v>0</v>
      </c>
      <c r="N27" s="375">
        <f t="shared" si="12"/>
        <v>0</v>
      </c>
      <c r="O27" s="375">
        <f t="shared" si="12"/>
        <v>0</v>
      </c>
      <c r="P27" s="375">
        <f t="shared" si="12"/>
        <v>0</v>
      </c>
      <c r="Q27" s="375">
        <f t="shared" si="12"/>
        <v>0</v>
      </c>
      <c r="R27" s="109">
        <f t="shared" si="4"/>
        <v>0</v>
      </c>
      <c r="S27" s="3">
        <f t="shared" si="5"/>
        <v>0</v>
      </c>
    </row>
    <row r="28" spans="1:21" x14ac:dyDescent="0.2">
      <c r="A28" s="163"/>
      <c r="B28" s="29" t="s">
        <v>361</v>
      </c>
      <c r="C28" s="75">
        <f t="shared" si="11"/>
        <v>6902.5090909090914</v>
      </c>
      <c r="D28" s="14">
        <f>[5]Pulmonary!$J$35</f>
        <v>42.872727272727275</v>
      </c>
      <c r="E28" s="28"/>
      <c r="F28" s="375">
        <f t="shared" si="13"/>
        <v>385.85454545454547</v>
      </c>
      <c r="G28" s="375">
        <f t="shared" si="12"/>
        <v>342.9818181818182</v>
      </c>
      <c r="H28" s="375">
        <f t="shared" si="12"/>
        <v>471.6</v>
      </c>
      <c r="I28" s="375">
        <f t="shared" si="12"/>
        <v>728.83636363636367</v>
      </c>
      <c r="J28" s="375">
        <f t="shared" si="12"/>
        <v>514.4727272727273</v>
      </c>
      <c r="K28" s="375">
        <f t="shared" si="12"/>
        <v>600.21818181818185</v>
      </c>
      <c r="L28" s="375">
        <f t="shared" si="12"/>
        <v>600.21818181818185</v>
      </c>
      <c r="M28" s="375">
        <f t="shared" si="12"/>
        <v>385.85454545454547</v>
      </c>
      <c r="N28" s="375">
        <f t="shared" si="12"/>
        <v>771.70909090909095</v>
      </c>
      <c r="O28" s="375">
        <f t="shared" si="12"/>
        <v>728.83636363636367</v>
      </c>
      <c r="P28" s="375">
        <f t="shared" si="12"/>
        <v>728.83636363636367</v>
      </c>
      <c r="Q28" s="375">
        <f t="shared" si="12"/>
        <v>643.09090909090912</v>
      </c>
      <c r="R28" s="109">
        <f t="shared" si="4"/>
        <v>6902.5090909090914</v>
      </c>
      <c r="S28" s="3">
        <f t="shared" si="5"/>
        <v>0</v>
      </c>
    </row>
    <row r="29" spans="1:21" x14ac:dyDescent="0.2">
      <c r="A29" s="163"/>
      <c r="B29" s="29" t="s">
        <v>360</v>
      </c>
      <c r="C29" s="75">
        <f t="shared" si="11"/>
        <v>37603.745454545453</v>
      </c>
      <c r="D29" s="14">
        <f>[5]Pulmonary!$J$36</f>
        <v>233.56363636363636</v>
      </c>
      <c r="E29" s="28"/>
      <c r="F29" s="375">
        <f t="shared" si="13"/>
        <v>2102.0727272727272</v>
      </c>
      <c r="G29" s="375">
        <f t="shared" si="12"/>
        <v>1868.5090909090909</v>
      </c>
      <c r="H29" s="375">
        <f t="shared" si="12"/>
        <v>2569.1999999999998</v>
      </c>
      <c r="I29" s="375">
        <f t="shared" si="12"/>
        <v>3970.5818181818181</v>
      </c>
      <c r="J29" s="375">
        <f t="shared" si="12"/>
        <v>2802.7636363636366</v>
      </c>
      <c r="K29" s="375">
        <f t="shared" si="12"/>
        <v>3269.8909090909092</v>
      </c>
      <c r="L29" s="375">
        <f t="shared" si="12"/>
        <v>3269.8909090909092</v>
      </c>
      <c r="M29" s="375">
        <f t="shared" si="12"/>
        <v>2102.0727272727272</v>
      </c>
      <c r="N29" s="375">
        <f t="shared" si="12"/>
        <v>4204.1454545454544</v>
      </c>
      <c r="O29" s="375">
        <f t="shared" si="12"/>
        <v>3970.5818181818181</v>
      </c>
      <c r="P29" s="375">
        <f t="shared" si="12"/>
        <v>3970.5818181818181</v>
      </c>
      <c r="Q29" s="375">
        <f t="shared" si="12"/>
        <v>3503.4545454545455</v>
      </c>
      <c r="R29" s="109">
        <f t="shared" si="4"/>
        <v>37603.745454545453</v>
      </c>
      <c r="S29" s="3">
        <f t="shared" si="5"/>
        <v>0</v>
      </c>
    </row>
    <row r="30" spans="1:21" x14ac:dyDescent="0.2">
      <c r="A30" s="163"/>
      <c r="B30" s="29" t="s">
        <v>362</v>
      </c>
      <c r="C30" s="75">
        <f t="shared" si="11"/>
        <v>3278.5454545454545</v>
      </c>
      <c r="D30" s="14">
        <f>[5]Pulmonary!$J$37</f>
        <v>20.363636363636363</v>
      </c>
      <c r="E30" s="28"/>
      <c r="F30" s="375">
        <f t="shared" si="13"/>
        <v>183.27272727272728</v>
      </c>
      <c r="G30" s="375">
        <f t="shared" si="12"/>
        <v>162.90909090909091</v>
      </c>
      <c r="H30" s="375">
        <f t="shared" si="12"/>
        <v>224</v>
      </c>
      <c r="I30" s="375">
        <f t="shared" si="12"/>
        <v>346.18181818181819</v>
      </c>
      <c r="J30" s="375">
        <f t="shared" si="12"/>
        <v>244.36363636363637</v>
      </c>
      <c r="K30" s="375">
        <f t="shared" si="12"/>
        <v>285.09090909090907</v>
      </c>
      <c r="L30" s="375">
        <f t="shared" si="12"/>
        <v>285.09090909090907</v>
      </c>
      <c r="M30" s="375">
        <f t="shared" si="12"/>
        <v>183.27272727272728</v>
      </c>
      <c r="N30" s="375">
        <f t="shared" si="12"/>
        <v>366.54545454545456</v>
      </c>
      <c r="O30" s="375">
        <f t="shared" si="12"/>
        <v>346.18181818181819</v>
      </c>
      <c r="P30" s="375">
        <f t="shared" si="12"/>
        <v>346.18181818181819</v>
      </c>
      <c r="Q30" s="375">
        <f t="shared" si="12"/>
        <v>305.45454545454544</v>
      </c>
      <c r="R30" s="109">
        <f t="shared" si="4"/>
        <v>3278.5454545454545</v>
      </c>
      <c r="S30" s="3">
        <f t="shared" si="5"/>
        <v>0</v>
      </c>
    </row>
    <row r="31" spans="1:21" x14ac:dyDescent="0.2">
      <c r="A31" s="90">
        <v>31200.073</v>
      </c>
      <c r="B31" s="161" t="s">
        <v>542</v>
      </c>
      <c r="C31" s="293">
        <f>SUM(C24:C30)</f>
        <v>115855.6</v>
      </c>
      <c r="D31" s="293"/>
      <c r="E31" s="293"/>
      <c r="F31" s="369">
        <f>SUM(F24:F30)</f>
        <v>6476.4</v>
      </c>
      <c r="G31" s="369">
        <f t="shared" ref="G31:Q31" si="14">SUM(G24:G30)</f>
        <v>5756.8</v>
      </c>
      <c r="H31" s="369">
        <f t="shared" si="14"/>
        <v>7915.6</v>
      </c>
      <c r="I31" s="369">
        <f t="shared" si="14"/>
        <v>12233.2</v>
      </c>
      <c r="J31" s="369">
        <f t="shared" si="14"/>
        <v>8635.2000000000007</v>
      </c>
      <c r="K31" s="369">
        <f t="shared" si="14"/>
        <v>10074.4</v>
      </c>
      <c r="L31" s="369">
        <f t="shared" si="14"/>
        <v>10074.4</v>
      </c>
      <c r="M31" s="369">
        <f t="shared" si="14"/>
        <v>6476.4</v>
      </c>
      <c r="N31" s="369">
        <f t="shared" si="14"/>
        <v>12952.8</v>
      </c>
      <c r="O31" s="369">
        <f t="shared" si="14"/>
        <v>12233.2</v>
      </c>
      <c r="P31" s="369">
        <f t="shared" si="14"/>
        <v>12233.2</v>
      </c>
      <c r="Q31" s="369">
        <f t="shared" si="14"/>
        <v>10794</v>
      </c>
      <c r="R31" s="369">
        <f t="shared" si="4"/>
        <v>115855.6</v>
      </c>
      <c r="S31" s="291">
        <f t="shared" si="5"/>
        <v>0</v>
      </c>
    </row>
    <row r="32" spans="1:21" s="5" customFormat="1" x14ac:dyDescent="0.2">
      <c r="A32" s="11"/>
      <c r="B32" s="10" t="s">
        <v>0</v>
      </c>
      <c r="C32" s="293">
        <f>C15+C23+C31</f>
        <v>153139.94567901234</v>
      </c>
      <c r="D32" s="293">
        <f>(C32/C$4)</f>
        <v>529.89600580973126</v>
      </c>
      <c r="E32" s="293"/>
      <c r="F32" s="369">
        <f>F15+F23+F31</f>
        <v>10554.375308641975</v>
      </c>
      <c r="G32" s="369">
        <f t="shared" ref="G32:Q32" si="15">G15+G23+G31</f>
        <v>10417.343209876544</v>
      </c>
      <c r="H32" s="369">
        <f t="shared" si="15"/>
        <v>11993.575308641975</v>
      </c>
      <c r="I32" s="369">
        <f t="shared" si="15"/>
        <v>14854.755555555555</v>
      </c>
      <c r="J32" s="369">
        <f t="shared" si="15"/>
        <v>9217.7679012345689</v>
      </c>
      <c r="K32" s="369">
        <f t="shared" si="15"/>
        <v>13278.523456790124</v>
      </c>
      <c r="L32" s="369">
        <f t="shared" si="15"/>
        <v>12987.239506172838</v>
      </c>
      <c r="M32" s="369">
        <f t="shared" si="15"/>
        <v>6767.6839506172837</v>
      </c>
      <c r="N32" s="369">
        <f t="shared" si="15"/>
        <v>17322.059259259258</v>
      </c>
      <c r="O32" s="369">
        <f t="shared" si="15"/>
        <v>15437.323456790124</v>
      </c>
      <c r="P32" s="369">
        <f t="shared" si="15"/>
        <v>17185.027160493828</v>
      </c>
      <c r="Q32" s="369">
        <f t="shared" si="15"/>
        <v>13124.271604938273</v>
      </c>
      <c r="R32" s="369">
        <f t="shared" si="4"/>
        <v>153139.94567901234</v>
      </c>
      <c r="S32" s="291">
        <f t="shared" si="5"/>
        <v>0</v>
      </c>
      <c r="T32" s="3"/>
      <c r="U32" s="3"/>
    </row>
    <row r="33" spans="1:21" x14ac:dyDescent="0.2">
      <c r="A33" s="711" t="s">
        <v>25</v>
      </c>
      <c r="B33" s="711"/>
      <c r="C33" s="711"/>
      <c r="D33" s="711"/>
      <c r="E33" s="195"/>
      <c r="F33" s="375"/>
      <c r="G33" s="375"/>
      <c r="H33" s="375"/>
      <c r="I33" s="375"/>
      <c r="J33" s="375"/>
      <c r="K33" s="375"/>
      <c r="L33" s="376"/>
      <c r="M33" s="376"/>
      <c r="N33" s="376"/>
      <c r="O33" s="376"/>
      <c r="P33" s="376"/>
      <c r="Q33" s="376"/>
      <c r="R33" s="109"/>
    </row>
    <row r="34" spans="1:21" s="151" customFormat="1" x14ac:dyDescent="0.2">
      <c r="A34" s="21"/>
      <c r="B34" s="10" t="s">
        <v>543</v>
      </c>
      <c r="C34" s="20"/>
      <c r="D34" s="78"/>
      <c r="E34" s="78"/>
      <c r="F34" s="377"/>
      <c r="G34" s="377"/>
      <c r="H34" s="377"/>
      <c r="I34" s="377"/>
      <c r="J34" s="377"/>
      <c r="K34" s="377"/>
      <c r="L34" s="378"/>
      <c r="M34" s="378"/>
      <c r="N34" s="378"/>
      <c r="O34" s="378"/>
      <c r="P34" s="378"/>
      <c r="Q34" s="378"/>
      <c r="R34" s="109"/>
      <c r="S34" s="3"/>
      <c r="T34" s="3"/>
      <c r="U34" s="3"/>
    </row>
    <row r="35" spans="1:21" s="92" customFormat="1" x14ac:dyDescent="0.2">
      <c r="A35" s="87">
        <v>41237.072999999997</v>
      </c>
      <c r="B35" s="15" t="s">
        <v>17</v>
      </c>
      <c r="C35" s="14">
        <v>0</v>
      </c>
      <c r="D35" s="14">
        <f t="shared" ref="D35:D36" si="16">$C35/C$4</f>
        <v>0</v>
      </c>
      <c r="E35" s="28"/>
      <c r="F35" s="373">
        <f t="shared" ref="F35:Q36" si="17">$D35*F$4</f>
        <v>0</v>
      </c>
      <c r="G35" s="373">
        <f t="shared" ref="G35:Q35" si="18">$D35*G$4</f>
        <v>0</v>
      </c>
      <c r="H35" s="373">
        <f t="shared" si="18"/>
        <v>0</v>
      </c>
      <c r="I35" s="373">
        <f t="shared" si="18"/>
        <v>0</v>
      </c>
      <c r="J35" s="373">
        <f t="shared" si="18"/>
        <v>0</v>
      </c>
      <c r="K35" s="373">
        <f t="shared" si="18"/>
        <v>0</v>
      </c>
      <c r="L35" s="373">
        <f t="shared" si="18"/>
        <v>0</v>
      </c>
      <c r="M35" s="373">
        <f t="shared" si="18"/>
        <v>0</v>
      </c>
      <c r="N35" s="373">
        <f t="shared" si="18"/>
        <v>0</v>
      </c>
      <c r="O35" s="373">
        <f t="shared" si="18"/>
        <v>0</v>
      </c>
      <c r="P35" s="373">
        <f t="shared" si="18"/>
        <v>0</v>
      </c>
      <c r="Q35" s="373">
        <f t="shared" si="18"/>
        <v>0</v>
      </c>
      <c r="R35" s="109">
        <f t="shared" ref="R35:R37" si="19">SUM(F35:Q35)</f>
        <v>0</v>
      </c>
      <c r="S35" s="3">
        <f t="shared" ref="S35:S37" si="20">C35-R35</f>
        <v>0</v>
      </c>
      <c r="T35" s="3"/>
      <c r="U35" s="3"/>
    </row>
    <row r="36" spans="1:21" s="92" customFormat="1" x14ac:dyDescent="0.2">
      <c r="A36" s="87">
        <v>41365.072999999997</v>
      </c>
      <c r="B36" s="15" t="s">
        <v>1085</v>
      </c>
      <c r="C36" s="14">
        <f>[6]Pulmonary!$I$15</f>
        <v>120</v>
      </c>
      <c r="D36" s="14">
        <f t="shared" si="16"/>
        <v>0.41522491349480967</v>
      </c>
      <c r="E36" s="28"/>
      <c r="F36" s="373">
        <f t="shared" si="17"/>
        <v>9.5501730103806217</v>
      </c>
      <c r="G36" s="373">
        <f t="shared" si="17"/>
        <v>9.9653979238754324</v>
      </c>
      <c r="H36" s="373">
        <f t="shared" si="17"/>
        <v>10.380622837370241</v>
      </c>
      <c r="I36" s="373">
        <f t="shared" si="17"/>
        <v>10.795847750865052</v>
      </c>
      <c r="J36" s="373">
        <f t="shared" si="17"/>
        <v>5.813148788927335</v>
      </c>
      <c r="K36" s="373">
        <f t="shared" si="17"/>
        <v>10.380622837370241</v>
      </c>
      <c r="L36" s="373">
        <f t="shared" si="17"/>
        <v>9.9653979238754324</v>
      </c>
      <c r="M36" s="373">
        <f t="shared" si="17"/>
        <v>4.1522491349480966</v>
      </c>
      <c r="N36" s="373">
        <f t="shared" si="17"/>
        <v>13.702422145328718</v>
      </c>
      <c r="O36" s="373">
        <f t="shared" si="17"/>
        <v>11.62629757785467</v>
      </c>
      <c r="P36" s="373">
        <f t="shared" si="17"/>
        <v>14.117647058823529</v>
      </c>
      <c r="Q36" s="373">
        <f t="shared" si="17"/>
        <v>9.5501730103806217</v>
      </c>
      <c r="R36" s="109">
        <f t="shared" si="19"/>
        <v>119.99999999999999</v>
      </c>
      <c r="S36" s="3">
        <f t="shared" si="20"/>
        <v>0</v>
      </c>
      <c r="T36" s="3"/>
      <c r="U36" s="3"/>
    </row>
    <row r="37" spans="1:21" s="184" customFormat="1" x14ac:dyDescent="0.2">
      <c r="A37" s="111"/>
      <c r="B37" s="77" t="s">
        <v>0</v>
      </c>
      <c r="C37" s="183">
        <f>SUM(C35:C36)</f>
        <v>120</v>
      </c>
      <c r="D37" s="111"/>
      <c r="E37" s="111"/>
      <c r="F37" s="379">
        <f t="shared" ref="F37:Q37" si="21">SUM(F35:F35)</f>
        <v>0</v>
      </c>
      <c r="G37" s="379">
        <f t="shared" si="21"/>
        <v>0</v>
      </c>
      <c r="H37" s="379">
        <f t="shared" si="21"/>
        <v>0</v>
      </c>
      <c r="I37" s="379">
        <f t="shared" si="21"/>
        <v>0</v>
      </c>
      <c r="J37" s="379">
        <f t="shared" si="21"/>
        <v>0</v>
      </c>
      <c r="K37" s="379">
        <f t="shared" si="21"/>
        <v>0</v>
      </c>
      <c r="L37" s="379">
        <f t="shared" si="21"/>
        <v>0</v>
      </c>
      <c r="M37" s="379">
        <f t="shared" si="21"/>
        <v>0</v>
      </c>
      <c r="N37" s="379">
        <f t="shared" si="21"/>
        <v>0</v>
      </c>
      <c r="O37" s="379">
        <f t="shared" si="21"/>
        <v>0</v>
      </c>
      <c r="P37" s="379">
        <f t="shared" si="21"/>
        <v>0</v>
      </c>
      <c r="Q37" s="379">
        <f t="shared" si="21"/>
        <v>0</v>
      </c>
      <c r="R37" s="109">
        <f t="shared" si="19"/>
        <v>0</v>
      </c>
      <c r="S37" s="3">
        <f t="shared" si="20"/>
        <v>120</v>
      </c>
      <c r="T37" s="3"/>
      <c r="U37" s="3"/>
    </row>
    <row r="38" spans="1:21" x14ac:dyDescent="0.2">
      <c r="C38" s="3">
        <f>C37-C32</f>
        <v>-153019.94567901234</v>
      </c>
    </row>
    <row r="40" spans="1:21" ht="15" x14ac:dyDescent="0.2">
      <c r="B40" s="499"/>
      <c r="C40" s="4"/>
      <c r="L40" s="7"/>
      <c r="M40" s="7"/>
      <c r="N40" s="7"/>
      <c r="O40" s="7"/>
      <c r="P40" s="7"/>
    </row>
    <row r="41" spans="1:21" x14ac:dyDescent="0.2">
      <c r="B41" s="4"/>
      <c r="C41" s="4"/>
      <c r="L41" s="7"/>
      <c r="M41" s="7"/>
      <c r="N41" s="7"/>
      <c r="O41" s="7"/>
      <c r="P41" s="7"/>
    </row>
    <row r="42" spans="1:21" x14ac:dyDescent="0.2">
      <c r="B42" s="4"/>
      <c r="C42" s="7"/>
      <c r="L42" s="7"/>
      <c r="M42" s="7"/>
      <c r="N42" s="7"/>
      <c r="O42" s="7"/>
      <c r="P42" s="7"/>
      <c r="Q42" s="7"/>
      <c r="R42" s="7"/>
      <c r="U42" s="2"/>
    </row>
    <row r="43" spans="1:21" x14ac:dyDescent="0.2">
      <c r="C43" s="7"/>
      <c r="L43" s="7"/>
      <c r="M43" s="7"/>
      <c r="N43" s="7"/>
      <c r="O43" s="7"/>
      <c r="P43" s="7"/>
      <c r="Q43" s="7"/>
      <c r="R43" s="7"/>
      <c r="U43" s="2"/>
    </row>
    <row r="44" spans="1:21" x14ac:dyDescent="0.2">
      <c r="C44" s="7"/>
      <c r="L44" s="7"/>
      <c r="M44" s="7"/>
      <c r="N44" s="7"/>
      <c r="O44" s="7"/>
      <c r="P44" s="7"/>
      <c r="Q44" s="7"/>
      <c r="R44" s="7"/>
      <c r="U44" s="2"/>
    </row>
    <row r="45" spans="1:21" x14ac:dyDescent="0.2">
      <c r="C45" s="7"/>
      <c r="U45" s="2"/>
    </row>
    <row r="46" spans="1:21" x14ac:dyDescent="0.2">
      <c r="C46" s="7"/>
      <c r="L46" s="7"/>
      <c r="M46" s="7"/>
      <c r="N46" s="7"/>
      <c r="O46" s="7"/>
      <c r="P46" s="7"/>
      <c r="Q46" s="7"/>
      <c r="R46" s="7"/>
      <c r="U46" s="2"/>
    </row>
    <row r="48" spans="1:21" x14ac:dyDescent="0.2">
      <c r="S48" s="2"/>
      <c r="T48" s="2"/>
      <c r="U48" s="2"/>
    </row>
    <row r="49" spans="19:21" x14ac:dyDescent="0.2">
      <c r="S49" s="2"/>
      <c r="T49" s="2"/>
      <c r="U49" s="2"/>
    </row>
    <row r="50" spans="19:21" x14ac:dyDescent="0.2">
      <c r="S50" s="2"/>
      <c r="T50" s="2"/>
      <c r="U50" s="2"/>
    </row>
    <row r="51" spans="19:21" x14ac:dyDescent="0.2">
      <c r="S51" s="2"/>
      <c r="T51" s="2"/>
      <c r="U51" s="2"/>
    </row>
    <row r="52" spans="19:21" x14ac:dyDescent="0.2">
      <c r="S52" s="2"/>
      <c r="T52" s="2"/>
      <c r="U52" s="2"/>
    </row>
  </sheetData>
  <mergeCells count="2">
    <mergeCell ref="A6:D6"/>
    <mergeCell ref="A33:D33"/>
  </mergeCells>
  <printOptions gridLines="1"/>
  <pageMargins left="0.25" right="0.25" top="0.75" bottom="0.75" header="0.3" footer="0.3"/>
  <pageSetup scale="69" orientation="landscape" r:id="rId1"/>
  <headerFooter alignWithMargins="0">
    <oddHeader xml:space="preserve">&amp;C&amp;"Arial,Bold"&amp;14DOCTORS MEMORIAL HOSPITAL
FY 2017 BUDGET
</oddHeader>
    <oddFooter xml:space="preserve">&amp;R&amp;A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54"/>
  <sheetViews>
    <sheetView zoomScale="80" zoomScaleNormal="80" workbookViewId="0">
      <pane xSplit="2" ySplit="6" topLeftCell="C31" activePane="bottomRight" state="frozen"/>
      <selection pane="topRight" activeCell="C1" sqref="C1"/>
      <selection pane="bottomLeft" activeCell="A7" sqref="A7"/>
      <selection pane="bottomRight" activeCell="R12" sqref="R12"/>
    </sheetView>
  </sheetViews>
  <sheetFormatPr defaultRowHeight="12.75" x14ac:dyDescent="0.2"/>
  <cols>
    <col min="1" max="1" width="10.28515625" style="2" bestFit="1" customWidth="1"/>
    <col min="2" max="2" width="24.140625" style="2" customWidth="1"/>
    <col min="3" max="3" width="13" style="2" customWidth="1"/>
    <col min="4" max="4" width="7.5703125" style="4" customWidth="1"/>
    <col min="5" max="5" width="3.140625" style="4" customWidth="1"/>
    <col min="6" max="11" width="13" style="7" customWidth="1"/>
    <col min="12" max="17" width="13" style="3" customWidth="1"/>
    <col min="18" max="18" width="13.85546875" style="96" bestFit="1" customWidth="1"/>
    <col min="19"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19" x14ac:dyDescent="0.2">
      <c r="A2" s="4"/>
      <c r="B2" s="35" t="s">
        <v>200</v>
      </c>
      <c r="C2" s="189">
        <f>STATS!D75</f>
        <v>5982</v>
      </c>
      <c r="F2" s="131">
        <f>'MO STATS'!E71</f>
        <v>527</v>
      </c>
      <c r="G2" s="131">
        <f>'MO STATS'!F71</f>
        <v>295</v>
      </c>
      <c r="H2" s="131">
        <f>'MO STATS'!G71</f>
        <v>412</v>
      </c>
      <c r="I2" s="131">
        <f>'MO STATS'!H71</f>
        <v>440</v>
      </c>
      <c r="J2" s="131">
        <f>'MO STATS'!I71</f>
        <v>398</v>
      </c>
      <c r="K2" s="131">
        <f>'MO STATS'!J71</f>
        <v>587</v>
      </c>
      <c r="L2" s="131">
        <f>'MO STATS'!K71</f>
        <v>410</v>
      </c>
      <c r="M2" s="131">
        <f>'MO STATS'!L71</f>
        <v>457</v>
      </c>
      <c r="N2" s="131">
        <f>'MO STATS'!M71</f>
        <v>505</v>
      </c>
      <c r="O2" s="131">
        <f>'MO STATS'!N71</f>
        <v>769</v>
      </c>
      <c r="P2" s="131">
        <f>'MO STATS'!O71</f>
        <v>558</v>
      </c>
      <c r="Q2" s="131">
        <f>'MO STATS'!P71</f>
        <v>624</v>
      </c>
      <c r="R2" s="96">
        <f t="shared" ref="R2:R4" si="0">SUM(F2:Q2)</f>
        <v>5982</v>
      </c>
      <c r="S2" s="3">
        <f>C2-R2</f>
        <v>0</v>
      </c>
    </row>
    <row r="3" spans="1:19" ht="12.75" customHeight="1" x14ac:dyDescent="0.2">
      <c r="B3" s="35" t="s">
        <v>202</v>
      </c>
      <c r="C3" s="38">
        <f>STATS!D76</f>
        <v>9830</v>
      </c>
      <c r="D3" s="195"/>
      <c r="E3" s="195"/>
      <c r="F3" s="131">
        <f>'MO STATS'!E72</f>
        <v>789</v>
      </c>
      <c r="G3" s="131">
        <f>'MO STATS'!F72</f>
        <v>834</v>
      </c>
      <c r="H3" s="131">
        <f>'MO STATS'!G72</f>
        <v>755</v>
      </c>
      <c r="I3" s="131">
        <f>'MO STATS'!H72</f>
        <v>913</v>
      </c>
      <c r="J3" s="131">
        <f>'MO STATS'!I72</f>
        <v>771</v>
      </c>
      <c r="K3" s="131">
        <f>'MO STATS'!J72</f>
        <v>832</v>
      </c>
      <c r="L3" s="131">
        <f>'MO STATS'!K72</f>
        <v>764</v>
      </c>
      <c r="M3" s="131">
        <f>'MO STATS'!L72</f>
        <v>823</v>
      </c>
      <c r="N3" s="131">
        <f>'MO STATS'!M72</f>
        <v>922</v>
      </c>
      <c r="O3" s="131">
        <f>'MO STATS'!N72</f>
        <v>686</v>
      </c>
      <c r="P3" s="131">
        <f>'MO STATS'!O72</f>
        <v>924</v>
      </c>
      <c r="Q3" s="131">
        <f>'MO STATS'!P72</f>
        <v>817</v>
      </c>
      <c r="R3" s="96">
        <f t="shared" si="0"/>
        <v>9830</v>
      </c>
      <c r="S3" s="3">
        <f>C3-R3</f>
        <v>0</v>
      </c>
    </row>
    <row r="4" spans="1:19" s="3" customFormat="1" ht="12.75" customHeight="1" x14ac:dyDescent="0.2">
      <c r="A4" s="2"/>
      <c r="B4" s="35" t="s">
        <v>204</v>
      </c>
      <c r="C4" s="38">
        <f>C2+C3</f>
        <v>15812</v>
      </c>
      <c r="D4" s="195"/>
      <c r="E4" s="195"/>
      <c r="F4" s="131">
        <f>'MO STATS'!E73</f>
        <v>1316</v>
      </c>
      <c r="G4" s="131">
        <f>'MO STATS'!F73</f>
        <v>1129</v>
      </c>
      <c r="H4" s="131">
        <f>'MO STATS'!G73</f>
        <v>1167</v>
      </c>
      <c r="I4" s="131">
        <f>'MO STATS'!H73</f>
        <v>1353</v>
      </c>
      <c r="J4" s="131">
        <f>'MO STATS'!I73</f>
        <v>1169</v>
      </c>
      <c r="K4" s="131">
        <f>'MO STATS'!J73</f>
        <v>1419</v>
      </c>
      <c r="L4" s="131">
        <f>'MO STATS'!K73</f>
        <v>1174</v>
      </c>
      <c r="M4" s="131">
        <f>'MO STATS'!L73</f>
        <v>1280</v>
      </c>
      <c r="N4" s="131">
        <f>'MO STATS'!M73</f>
        <v>1427</v>
      </c>
      <c r="O4" s="131">
        <f>'MO STATS'!N73</f>
        <v>1455</v>
      </c>
      <c r="P4" s="131">
        <f>'MO STATS'!O73</f>
        <v>1482</v>
      </c>
      <c r="Q4" s="131">
        <f>'MO STATS'!P73</f>
        <v>1441</v>
      </c>
      <c r="R4" s="96">
        <f t="shared" si="0"/>
        <v>15812</v>
      </c>
      <c r="S4" s="3">
        <f>C4-R4</f>
        <v>0</v>
      </c>
    </row>
    <row r="5" spans="1:19" s="3" customFormat="1" ht="12.75" customHeight="1" x14ac:dyDescent="0.2">
      <c r="A5" s="2"/>
      <c r="B5" s="38" t="s">
        <v>940</v>
      </c>
      <c r="C5" s="479">
        <f>'[4]2017 FTEs'!$AS$29</f>
        <v>2</v>
      </c>
      <c r="D5" s="425"/>
      <c r="E5" s="425"/>
      <c r="F5" s="131"/>
      <c r="G5" s="131"/>
      <c r="H5" s="131"/>
      <c r="I5" s="131"/>
      <c r="J5" s="131"/>
      <c r="K5" s="131"/>
      <c r="L5" s="131"/>
      <c r="M5" s="131"/>
      <c r="N5" s="131"/>
      <c r="O5" s="131"/>
      <c r="P5" s="131"/>
      <c r="Q5" s="131"/>
      <c r="R5" s="96"/>
    </row>
    <row r="6" spans="1:19" s="3" customFormat="1" ht="12.75" customHeight="1" x14ac:dyDescent="0.2">
      <c r="A6" s="2"/>
      <c r="B6" s="38" t="s">
        <v>939</v>
      </c>
      <c r="C6" s="38">
        <f>C5*2080</f>
        <v>4160</v>
      </c>
      <c r="D6" s="425"/>
      <c r="E6" s="425"/>
      <c r="F6" s="426">
        <f>($C6/$R7)*F7</f>
        <v>353.31506849315065</v>
      </c>
      <c r="G6" s="426">
        <f t="shared" ref="G6:Q6" si="1">($C6/$R7)*G7</f>
        <v>341.91780821917808</v>
      </c>
      <c r="H6" s="426">
        <f t="shared" si="1"/>
        <v>353.31506849315065</v>
      </c>
      <c r="I6" s="426">
        <f t="shared" si="1"/>
        <v>353.31506849315065</v>
      </c>
      <c r="J6" s="426">
        <f t="shared" si="1"/>
        <v>319.12328767123284</v>
      </c>
      <c r="K6" s="426">
        <f t="shared" si="1"/>
        <v>353.31506849315065</v>
      </c>
      <c r="L6" s="426">
        <f t="shared" si="1"/>
        <v>341.91780821917808</v>
      </c>
      <c r="M6" s="426">
        <f t="shared" si="1"/>
        <v>353.31506849315065</v>
      </c>
      <c r="N6" s="426">
        <f t="shared" si="1"/>
        <v>341.91780821917808</v>
      </c>
      <c r="O6" s="426">
        <f t="shared" si="1"/>
        <v>353.31506849315065</v>
      </c>
      <c r="P6" s="426">
        <f t="shared" si="1"/>
        <v>353.31506849315065</v>
      </c>
      <c r="Q6" s="426">
        <f t="shared" si="1"/>
        <v>341.91780821917808</v>
      </c>
      <c r="R6" s="6">
        <f>SUM(F6:Q6)</f>
        <v>4160</v>
      </c>
      <c r="S6" s="3">
        <f>C6-R6</f>
        <v>0</v>
      </c>
    </row>
    <row r="7" spans="1:19" s="3" customFormat="1" ht="12.75" customHeight="1" x14ac:dyDescent="0.2">
      <c r="A7" s="2"/>
      <c r="B7" s="35"/>
      <c r="C7" s="38"/>
      <c r="D7" s="195"/>
      <c r="E7" s="195"/>
      <c r="F7" s="2">
        <v>31</v>
      </c>
      <c r="G7" s="2">
        <v>30</v>
      </c>
      <c r="H7" s="2">
        <v>31</v>
      </c>
      <c r="I7" s="2">
        <v>31</v>
      </c>
      <c r="J7" s="2">
        <v>28</v>
      </c>
      <c r="K7" s="2">
        <v>31</v>
      </c>
      <c r="L7" s="2">
        <v>30</v>
      </c>
      <c r="M7" s="2">
        <v>31</v>
      </c>
      <c r="N7" s="2">
        <v>30</v>
      </c>
      <c r="O7" s="2">
        <v>31</v>
      </c>
      <c r="P7" s="2">
        <v>31</v>
      </c>
      <c r="Q7" s="2">
        <v>30</v>
      </c>
      <c r="R7" s="6">
        <f t="shared" ref="R7" si="2">SUM(F7:Q7)</f>
        <v>365</v>
      </c>
    </row>
    <row r="8" spans="1:19" s="3" customFormat="1" ht="11.25" x14ac:dyDescent="0.2">
      <c r="A8" s="711" t="s">
        <v>35</v>
      </c>
      <c r="B8" s="711"/>
      <c r="C8" s="711"/>
      <c r="D8" s="711"/>
      <c r="E8" s="195"/>
      <c r="F8" s="7"/>
      <c r="G8" s="7"/>
      <c r="H8" s="7"/>
      <c r="I8" s="7"/>
      <c r="J8" s="7"/>
      <c r="K8" s="7"/>
      <c r="R8" s="96"/>
    </row>
    <row r="9" spans="1:19" s="3" customFormat="1" x14ac:dyDescent="0.2">
      <c r="A9" s="21"/>
      <c r="B9" s="188" t="s">
        <v>544</v>
      </c>
      <c r="C9" s="1"/>
      <c r="D9" s="180" t="s">
        <v>565</v>
      </c>
      <c r="E9" s="126"/>
      <c r="F9" s="186" t="s">
        <v>49</v>
      </c>
      <c r="G9" s="186" t="s">
        <v>48</v>
      </c>
      <c r="H9" s="186" t="s">
        <v>47</v>
      </c>
      <c r="I9" s="186" t="s">
        <v>46</v>
      </c>
      <c r="J9" s="186" t="s">
        <v>45</v>
      </c>
      <c r="K9" s="186" t="s">
        <v>44</v>
      </c>
      <c r="L9" s="186" t="s">
        <v>43</v>
      </c>
      <c r="M9" s="186" t="s">
        <v>42</v>
      </c>
      <c r="N9" s="186" t="s">
        <v>41</v>
      </c>
      <c r="O9" s="186" t="s">
        <v>40</v>
      </c>
      <c r="P9" s="186" t="s">
        <v>39</v>
      </c>
      <c r="Q9" s="186" t="s">
        <v>38</v>
      </c>
      <c r="R9" s="186" t="s">
        <v>37</v>
      </c>
    </row>
    <row r="10" spans="1:19" s="3" customFormat="1" x14ac:dyDescent="0.2">
      <c r="A10" s="16"/>
      <c r="B10" s="29" t="s">
        <v>352</v>
      </c>
      <c r="C10" s="28">
        <f>$C$2*$D10</f>
        <v>21522.143731700828</v>
      </c>
      <c r="D10" s="14">
        <f>'[5]Physical Therapy'!$J$11</f>
        <v>3.597817407505989</v>
      </c>
      <c r="E10" s="28"/>
      <c r="F10" s="375">
        <f>$D10*F$2</f>
        <v>1896.0497737556561</v>
      </c>
      <c r="G10" s="375">
        <f t="shared" ref="G10:Q16" si="3">$D10*G$2</f>
        <v>1061.3561352142667</v>
      </c>
      <c r="H10" s="375">
        <f t="shared" si="3"/>
        <v>1482.3007718924675</v>
      </c>
      <c r="I10" s="375">
        <f t="shared" si="3"/>
        <v>1583.0396593026351</v>
      </c>
      <c r="J10" s="375">
        <f t="shared" si="3"/>
        <v>1431.9313281873835</v>
      </c>
      <c r="K10" s="375">
        <f t="shared" si="3"/>
        <v>2111.9188182060157</v>
      </c>
      <c r="L10" s="375">
        <f t="shared" si="3"/>
        <v>1475.1051370774555</v>
      </c>
      <c r="M10" s="375">
        <f t="shared" si="3"/>
        <v>1644.2025552302371</v>
      </c>
      <c r="N10" s="375">
        <f t="shared" si="3"/>
        <v>1816.8977907905244</v>
      </c>
      <c r="O10" s="375">
        <f t="shared" si="3"/>
        <v>2766.7215863721053</v>
      </c>
      <c r="P10" s="375">
        <f t="shared" si="3"/>
        <v>2007.5821133883419</v>
      </c>
      <c r="Q10" s="375">
        <f t="shared" si="3"/>
        <v>2245.038062283737</v>
      </c>
      <c r="R10" s="109">
        <f>SUM(F10:Q10)</f>
        <v>21522.143731700828</v>
      </c>
      <c r="S10" s="3">
        <f>C10-R10</f>
        <v>0</v>
      </c>
    </row>
    <row r="11" spans="1:19" s="3" customFormat="1" x14ac:dyDescent="0.2">
      <c r="A11" s="16"/>
      <c r="B11" s="29" t="s">
        <v>353</v>
      </c>
      <c r="C11" s="75">
        <f t="shared" ref="C11:C24" si="4">$C$2*$D11</f>
        <v>0</v>
      </c>
      <c r="D11" s="14">
        <v>0</v>
      </c>
      <c r="E11" s="28"/>
      <c r="F11" s="375">
        <f t="shared" ref="F11:F16" si="5">$D11*F$2</f>
        <v>0</v>
      </c>
      <c r="G11" s="375">
        <f t="shared" si="3"/>
        <v>0</v>
      </c>
      <c r="H11" s="375">
        <f t="shared" si="3"/>
        <v>0</v>
      </c>
      <c r="I11" s="375">
        <f t="shared" si="3"/>
        <v>0</v>
      </c>
      <c r="J11" s="375">
        <f t="shared" si="3"/>
        <v>0</v>
      </c>
      <c r="K11" s="375">
        <f t="shared" si="3"/>
        <v>0</v>
      </c>
      <c r="L11" s="375">
        <f t="shared" si="3"/>
        <v>0</v>
      </c>
      <c r="M11" s="375">
        <f t="shared" si="3"/>
        <v>0</v>
      </c>
      <c r="N11" s="375">
        <f t="shared" si="3"/>
        <v>0</v>
      </c>
      <c r="O11" s="375">
        <f t="shared" si="3"/>
        <v>0</v>
      </c>
      <c r="P11" s="375">
        <f t="shared" si="3"/>
        <v>0</v>
      </c>
      <c r="Q11" s="375">
        <f t="shared" si="3"/>
        <v>0</v>
      </c>
      <c r="R11" s="109">
        <f t="shared" ref="R11:R34" si="6">SUM(F11:Q11)</f>
        <v>0</v>
      </c>
      <c r="S11" s="3">
        <f t="shared" ref="S11:S34" si="7">C11-R11</f>
        <v>0</v>
      </c>
    </row>
    <row r="12" spans="1:19" s="3" customFormat="1" x14ac:dyDescent="0.2">
      <c r="A12" s="16"/>
      <c r="B12" s="29" t="s">
        <v>355</v>
      </c>
      <c r="C12" s="75">
        <f t="shared" si="4"/>
        <v>441.04711205749271</v>
      </c>
      <c r="D12" s="14">
        <f>'[5]Physical Therapy'!$J$13</f>
        <v>7.3729039126963006E-2</v>
      </c>
      <c r="E12" s="28"/>
      <c r="F12" s="375">
        <f t="shared" si="5"/>
        <v>38.855203619909503</v>
      </c>
      <c r="G12" s="375">
        <f t="shared" si="3"/>
        <v>21.750066542454086</v>
      </c>
      <c r="H12" s="375">
        <f t="shared" si="3"/>
        <v>30.376364120308757</v>
      </c>
      <c r="I12" s="375">
        <f t="shared" si="3"/>
        <v>32.440777215863726</v>
      </c>
      <c r="J12" s="375">
        <f t="shared" si="3"/>
        <v>29.344157572531277</v>
      </c>
      <c r="K12" s="375">
        <f t="shared" si="3"/>
        <v>43.278945967527285</v>
      </c>
      <c r="L12" s="375">
        <f t="shared" si="3"/>
        <v>30.228906042054831</v>
      </c>
      <c r="M12" s="375">
        <f t="shared" si="3"/>
        <v>33.694170881022096</v>
      </c>
      <c r="N12" s="375">
        <f t="shared" si="3"/>
        <v>37.23316475911632</v>
      </c>
      <c r="O12" s="375">
        <f t="shared" si="3"/>
        <v>56.697631088634552</v>
      </c>
      <c r="P12" s="375">
        <f t="shared" si="3"/>
        <v>41.140803832845357</v>
      </c>
      <c r="Q12" s="375">
        <f t="shared" si="3"/>
        <v>46.006920415224918</v>
      </c>
      <c r="R12" s="109">
        <f t="shared" si="6"/>
        <v>441.04711205749271</v>
      </c>
      <c r="S12" s="3">
        <f t="shared" si="7"/>
        <v>0</v>
      </c>
    </row>
    <row r="13" spans="1:19" s="3" customFormat="1" x14ac:dyDescent="0.2">
      <c r="A13" s="16"/>
      <c r="B13" s="29" t="s">
        <v>370</v>
      </c>
      <c r="C13" s="75">
        <f t="shared" si="4"/>
        <v>0</v>
      </c>
      <c r="D13" s="14"/>
      <c r="E13" s="28"/>
      <c r="F13" s="375">
        <f t="shared" si="5"/>
        <v>0</v>
      </c>
      <c r="G13" s="375">
        <f t="shared" si="3"/>
        <v>0</v>
      </c>
      <c r="H13" s="375">
        <f t="shared" si="3"/>
        <v>0</v>
      </c>
      <c r="I13" s="375">
        <f t="shared" si="3"/>
        <v>0</v>
      </c>
      <c r="J13" s="375">
        <f t="shared" si="3"/>
        <v>0</v>
      </c>
      <c r="K13" s="375">
        <f t="shared" si="3"/>
        <v>0</v>
      </c>
      <c r="L13" s="375">
        <f t="shared" si="3"/>
        <v>0</v>
      </c>
      <c r="M13" s="375">
        <f t="shared" si="3"/>
        <v>0</v>
      </c>
      <c r="N13" s="375">
        <f t="shared" si="3"/>
        <v>0</v>
      </c>
      <c r="O13" s="375">
        <f t="shared" si="3"/>
        <v>0</v>
      </c>
      <c r="P13" s="375">
        <f t="shared" si="3"/>
        <v>0</v>
      </c>
      <c r="Q13" s="375">
        <f t="shared" si="3"/>
        <v>0</v>
      </c>
      <c r="R13" s="109">
        <f t="shared" si="6"/>
        <v>0</v>
      </c>
      <c r="S13" s="3">
        <f t="shared" si="7"/>
        <v>0</v>
      </c>
    </row>
    <row r="14" spans="1:19" s="3" customFormat="1" x14ac:dyDescent="0.2">
      <c r="A14" s="16"/>
      <c r="B14" s="29" t="s">
        <v>356</v>
      </c>
      <c r="C14" s="75">
        <f t="shared" si="4"/>
        <v>2324.6526483896723</v>
      </c>
      <c r="D14" s="14">
        <f>'[5]Physical Therapy'!$J$15</f>
        <v>0.388607931860527</v>
      </c>
      <c r="E14" s="28"/>
      <c r="F14" s="375">
        <f t="shared" si="5"/>
        <v>204.79638009049773</v>
      </c>
      <c r="G14" s="375">
        <f t="shared" si="3"/>
        <v>114.63933989885547</v>
      </c>
      <c r="H14" s="375">
        <f t="shared" si="3"/>
        <v>160.10646792653714</v>
      </c>
      <c r="I14" s="375">
        <f t="shared" si="3"/>
        <v>170.98749001863189</v>
      </c>
      <c r="J14" s="375">
        <f t="shared" si="3"/>
        <v>154.66595688048974</v>
      </c>
      <c r="K14" s="375">
        <f t="shared" si="3"/>
        <v>228.11285600212935</v>
      </c>
      <c r="L14" s="375">
        <f t="shared" si="3"/>
        <v>159.32925206281607</v>
      </c>
      <c r="M14" s="375">
        <f t="shared" si="3"/>
        <v>177.59382486026084</v>
      </c>
      <c r="N14" s="375">
        <f t="shared" si="3"/>
        <v>196.24700558956613</v>
      </c>
      <c r="O14" s="375">
        <f t="shared" si="3"/>
        <v>298.83949960074528</v>
      </c>
      <c r="P14" s="375">
        <f t="shared" si="3"/>
        <v>216.84322597817408</v>
      </c>
      <c r="Q14" s="375">
        <f t="shared" si="3"/>
        <v>242.49134948096884</v>
      </c>
      <c r="R14" s="109">
        <f t="shared" si="6"/>
        <v>2324.6526483896728</v>
      </c>
      <c r="S14" s="3">
        <f t="shared" si="7"/>
        <v>0</v>
      </c>
    </row>
    <row r="15" spans="1:19" s="3" customFormat="1" x14ac:dyDescent="0.2">
      <c r="A15" s="16"/>
      <c r="B15" s="29" t="s">
        <v>354</v>
      </c>
      <c r="C15" s="28">
        <f>$C$2*$D15</f>
        <v>4291.0540324727181</v>
      </c>
      <c r="D15" s="14">
        <f>'[5]Physical Therapy'!$J$16</f>
        <v>0.71732765504391804</v>
      </c>
      <c r="E15" s="28"/>
      <c r="F15" s="375">
        <f t="shared" si="5"/>
        <v>378.03167420814481</v>
      </c>
      <c r="G15" s="375">
        <f t="shared" si="3"/>
        <v>211.61165823795582</v>
      </c>
      <c r="H15" s="375">
        <f t="shared" si="3"/>
        <v>295.53899387809423</v>
      </c>
      <c r="I15" s="375">
        <f t="shared" si="3"/>
        <v>315.62416821932396</v>
      </c>
      <c r="J15" s="375">
        <f t="shared" si="3"/>
        <v>285.49640670747937</v>
      </c>
      <c r="K15" s="375">
        <f t="shared" si="3"/>
        <v>421.07133351077988</v>
      </c>
      <c r="L15" s="375">
        <f t="shared" si="3"/>
        <v>294.10433856800643</v>
      </c>
      <c r="M15" s="375">
        <f t="shared" si="3"/>
        <v>327.81873835507054</v>
      </c>
      <c r="N15" s="375">
        <f t="shared" si="3"/>
        <v>362.25046579717861</v>
      </c>
      <c r="O15" s="375">
        <f t="shared" si="3"/>
        <v>551.62496672877296</v>
      </c>
      <c r="P15" s="375">
        <f t="shared" si="3"/>
        <v>400.26883151450625</v>
      </c>
      <c r="Q15" s="375">
        <f t="shared" si="3"/>
        <v>447.61245674740485</v>
      </c>
      <c r="R15" s="109">
        <f t="shared" si="6"/>
        <v>4291.0540324727172</v>
      </c>
      <c r="S15" s="3">
        <f t="shared" si="7"/>
        <v>0</v>
      </c>
    </row>
    <row r="16" spans="1:19" s="3" customFormat="1" x14ac:dyDescent="0.2">
      <c r="A16" s="16"/>
      <c r="B16" s="29" t="s">
        <v>357</v>
      </c>
      <c r="C16" s="75">
        <f t="shared" si="4"/>
        <v>4190.7436784668616</v>
      </c>
      <c r="D16" s="14">
        <f>'[5]Physical Therapy'!$J$17</f>
        <v>0.70055895661431988</v>
      </c>
      <c r="E16" s="28"/>
      <c r="F16" s="375">
        <f t="shared" si="5"/>
        <v>369.19457013574657</v>
      </c>
      <c r="G16" s="375">
        <f t="shared" si="3"/>
        <v>206.66489220122438</v>
      </c>
      <c r="H16" s="375">
        <f t="shared" si="3"/>
        <v>288.6302901250998</v>
      </c>
      <c r="I16" s="375">
        <f t="shared" si="3"/>
        <v>308.24594091030076</v>
      </c>
      <c r="J16" s="375">
        <f t="shared" si="3"/>
        <v>278.82246473249933</v>
      </c>
      <c r="K16" s="375">
        <f t="shared" si="3"/>
        <v>411.22810753260575</v>
      </c>
      <c r="L16" s="375">
        <f t="shared" si="3"/>
        <v>287.22917221187117</v>
      </c>
      <c r="M16" s="375">
        <f t="shared" si="3"/>
        <v>320.15544317274419</v>
      </c>
      <c r="N16" s="375">
        <f t="shared" si="3"/>
        <v>353.78227309023151</v>
      </c>
      <c r="O16" s="375">
        <f t="shared" si="3"/>
        <v>538.72983763641196</v>
      </c>
      <c r="P16" s="375">
        <f t="shared" si="3"/>
        <v>390.91189779079048</v>
      </c>
      <c r="Q16" s="375">
        <f t="shared" si="3"/>
        <v>437.1487889273356</v>
      </c>
      <c r="R16" s="109">
        <f t="shared" si="6"/>
        <v>4190.7436784668616</v>
      </c>
      <c r="S16" s="3">
        <f t="shared" si="7"/>
        <v>0</v>
      </c>
    </row>
    <row r="17" spans="1:19" s="3" customFormat="1" x14ac:dyDescent="0.2">
      <c r="A17" s="87">
        <v>31110.081999999999</v>
      </c>
      <c r="B17" s="161" t="s">
        <v>545</v>
      </c>
      <c r="C17" s="293">
        <f>SUM(C10:C16)</f>
        <v>32769.641203087573</v>
      </c>
      <c r="D17" s="293"/>
      <c r="E17" s="293"/>
      <c r="F17" s="369">
        <f>SUM(F10:F16)</f>
        <v>2886.9276018099549</v>
      </c>
      <c r="G17" s="369">
        <f t="shared" ref="G17:Q17" si="8">SUM(G10:G16)</f>
        <v>1616.0220920947565</v>
      </c>
      <c r="H17" s="369">
        <f t="shared" si="8"/>
        <v>2256.9528879425075</v>
      </c>
      <c r="I17" s="369">
        <f t="shared" si="8"/>
        <v>2410.3380356667553</v>
      </c>
      <c r="J17" s="369">
        <f t="shared" si="8"/>
        <v>2180.2603140803831</v>
      </c>
      <c r="K17" s="369">
        <f t="shared" si="8"/>
        <v>3215.610061219058</v>
      </c>
      <c r="L17" s="369">
        <f t="shared" si="8"/>
        <v>2245.9968059622042</v>
      </c>
      <c r="M17" s="369">
        <f t="shared" si="8"/>
        <v>2503.4647324993343</v>
      </c>
      <c r="N17" s="369">
        <f t="shared" si="8"/>
        <v>2766.4107000266172</v>
      </c>
      <c r="O17" s="369">
        <f t="shared" si="8"/>
        <v>4212.6135214266706</v>
      </c>
      <c r="P17" s="369">
        <f t="shared" si="8"/>
        <v>3056.7468725046579</v>
      </c>
      <c r="Q17" s="369">
        <f t="shared" si="8"/>
        <v>3418.2975778546715</v>
      </c>
      <c r="R17" s="369">
        <f t="shared" si="6"/>
        <v>32769.641203087565</v>
      </c>
      <c r="S17" s="291">
        <f t="shared" si="7"/>
        <v>0</v>
      </c>
    </row>
    <row r="18" spans="1:19" s="3" customFormat="1" x14ac:dyDescent="0.2">
      <c r="A18" s="16"/>
      <c r="B18" s="29" t="s">
        <v>424</v>
      </c>
      <c r="C18" s="75">
        <f t="shared" si="4"/>
        <v>569716.63614586112</v>
      </c>
      <c r="D18" s="14">
        <f>'[5]Physical Therapy'!$J$21</f>
        <v>95.238488155443179</v>
      </c>
      <c r="E18" s="28"/>
      <c r="F18" s="375">
        <f>$D18*F$2</f>
        <v>50190.683257918558</v>
      </c>
      <c r="G18" s="375">
        <f t="shared" ref="G18:Q24" si="9">$D18*G$2</f>
        <v>28095.354005855737</v>
      </c>
      <c r="H18" s="375">
        <f t="shared" si="9"/>
        <v>39238.257120042588</v>
      </c>
      <c r="I18" s="375">
        <f t="shared" si="9"/>
        <v>41904.934788394996</v>
      </c>
      <c r="J18" s="375">
        <f t="shared" si="9"/>
        <v>37904.918285866384</v>
      </c>
      <c r="K18" s="375">
        <f t="shared" si="9"/>
        <v>55904.992547245143</v>
      </c>
      <c r="L18" s="375">
        <f t="shared" si="9"/>
        <v>39047.780143731703</v>
      </c>
      <c r="M18" s="375">
        <f t="shared" si="9"/>
        <v>43523.989087037531</v>
      </c>
      <c r="N18" s="375">
        <f t="shared" si="9"/>
        <v>48095.436518498806</v>
      </c>
      <c r="O18" s="375">
        <f t="shared" si="9"/>
        <v>73238.397391535807</v>
      </c>
      <c r="P18" s="375">
        <f t="shared" si="9"/>
        <v>53143.076390737297</v>
      </c>
      <c r="Q18" s="375">
        <f t="shared" si="9"/>
        <v>59428.816608996545</v>
      </c>
      <c r="R18" s="109">
        <f t="shared" si="6"/>
        <v>569716.63614586112</v>
      </c>
      <c r="S18" s="3">
        <f t="shared" si="7"/>
        <v>0</v>
      </c>
    </row>
    <row r="19" spans="1:19" x14ac:dyDescent="0.2">
      <c r="A19" s="16"/>
      <c r="B19" s="29" t="s">
        <v>425</v>
      </c>
      <c r="C19" s="75">
        <f t="shared" si="4"/>
        <v>0</v>
      </c>
      <c r="D19" s="14">
        <v>0</v>
      </c>
      <c r="E19" s="28"/>
      <c r="F19" s="375">
        <f t="shared" ref="F19:F24" si="10">$D19*F$2</f>
        <v>0</v>
      </c>
      <c r="G19" s="375">
        <f t="shared" si="9"/>
        <v>0</v>
      </c>
      <c r="H19" s="375">
        <f t="shared" si="9"/>
        <v>0</v>
      </c>
      <c r="I19" s="375">
        <f t="shared" si="9"/>
        <v>0</v>
      </c>
      <c r="J19" s="375">
        <f t="shared" si="9"/>
        <v>0</v>
      </c>
      <c r="K19" s="375">
        <f t="shared" si="9"/>
        <v>0</v>
      </c>
      <c r="L19" s="375">
        <f t="shared" si="9"/>
        <v>0</v>
      </c>
      <c r="M19" s="375">
        <f t="shared" si="9"/>
        <v>0</v>
      </c>
      <c r="N19" s="375">
        <f t="shared" si="9"/>
        <v>0</v>
      </c>
      <c r="O19" s="375">
        <f t="shared" si="9"/>
        <v>0</v>
      </c>
      <c r="P19" s="375">
        <f t="shared" si="9"/>
        <v>0</v>
      </c>
      <c r="Q19" s="375">
        <f t="shared" si="9"/>
        <v>0</v>
      </c>
      <c r="R19" s="109">
        <f t="shared" si="6"/>
        <v>0</v>
      </c>
      <c r="S19" s="3">
        <f t="shared" si="7"/>
        <v>0</v>
      </c>
    </row>
    <row r="20" spans="1:19" x14ac:dyDescent="0.2">
      <c r="A20" s="16"/>
      <c r="B20" s="29" t="s">
        <v>426</v>
      </c>
      <c r="C20" s="75">
        <f t="shared" si="4"/>
        <v>0</v>
      </c>
      <c r="D20" s="14">
        <f>'[9]PHYSICAL THERAPY'!$M$23</f>
        <v>0</v>
      </c>
      <c r="E20" s="28"/>
      <c r="F20" s="375">
        <f t="shared" si="10"/>
        <v>0</v>
      </c>
      <c r="G20" s="375">
        <f t="shared" si="9"/>
        <v>0</v>
      </c>
      <c r="H20" s="375">
        <f t="shared" si="9"/>
        <v>0</v>
      </c>
      <c r="I20" s="375">
        <f t="shared" si="9"/>
        <v>0</v>
      </c>
      <c r="J20" s="375">
        <f t="shared" si="9"/>
        <v>0</v>
      </c>
      <c r="K20" s="375">
        <f t="shared" si="9"/>
        <v>0</v>
      </c>
      <c r="L20" s="375">
        <f t="shared" si="9"/>
        <v>0</v>
      </c>
      <c r="M20" s="375">
        <f t="shared" si="9"/>
        <v>0</v>
      </c>
      <c r="N20" s="375">
        <f t="shared" si="9"/>
        <v>0</v>
      </c>
      <c r="O20" s="375">
        <f t="shared" si="9"/>
        <v>0</v>
      </c>
      <c r="P20" s="375">
        <f t="shared" si="9"/>
        <v>0</v>
      </c>
      <c r="Q20" s="375">
        <f t="shared" si="9"/>
        <v>0</v>
      </c>
      <c r="R20" s="109">
        <f t="shared" si="6"/>
        <v>0</v>
      </c>
      <c r="S20" s="3">
        <f t="shared" si="7"/>
        <v>0</v>
      </c>
    </row>
    <row r="21" spans="1:19" x14ac:dyDescent="0.2">
      <c r="A21" s="16"/>
      <c r="B21" s="29" t="s">
        <v>427</v>
      </c>
      <c r="C21" s="75">
        <f t="shared" si="4"/>
        <v>0</v>
      </c>
      <c r="D21" s="14"/>
      <c r="E21" s="28"/>
      <c r="F21" s="375">
        <f t="shared" si="10"/>
        <v>0</v>
      </c>
      <c r="G21" s="375">
        <f t="shared" si="9"/>
        <v>0</v>
      </c>
      <c r="H21" s="375">
        <f t="shared" si="9"/>
        <v>0</v>
      </c>
      <c r="I21" s="375">
        <f t="shared" si="9"/>
        <v>0</v>
      </c>
      <c r="J21" s="375">
        <f t="shared" si="9"/>
        <v>0</v>
      </c>
      <c r="K21" s="375">
        <f t="shared" si="9"/>
        <v>0</v>
      </c>
      <c r="L21" s="375">
        <f t="shared" si="9"/>
        <v>0</v>
      </c>
      <c r="M21" s="375">
        <f t="shared" si="9"/>
        <v>0</v>
      </c>
      <c r="N21" s="375">
        <f t="shared" si="9"/>
        <v>0</v>
      </c>
      <c r="O21" s="375">
        <f t="shared" si="9"/>
        <v>0</v>
      </c>
      <c r="P21" s="375">
        <f t="shared" si="9"/>
        <v>0</v>
      </c>
      <c r="Q21" s="375">
        <f t="shared" si="9"/>
        <v>0</v>
      </c>
      <c r="R21" s="376">
        <f t="shared" si="6"/>
        <v>0</v>
      </c>
      <c r="S21" s="3">
        <f t="shared" si="7"/>
        <v>0</v>
      </c>
    </row>
    <row r="22" spans="1:19" x14ac:dyDescent="0.2">
      <c r="A22" s="16"/>
      <c r="B22" s="29" t="s">
        <v>428</v>
      </c>
      <c r="C22" s="75">
        <f t="shared" si="4"/>
        <v>0</v>
      </c>
      <c r="D22" s="14">
        <f>'[9]PHYSICAL THERAPY'!$M$24</f>
        <v>0</v>
      </c>
      <c r="E22" s="28"/>
      <c r="F22" s="375">
        <f t="shared" si="10"/>
        <v>0</v>
      </c>
      <c r="G22" s="375">
        <f t="shared" si="9"/>
        <v>0</v>
      </c>
      <c r="H22" s="375">
        <f t="shared" si="9"/>
        <v>0</v>
      </c>
      <c r="I22" s="375">
        <f t="shared" si="9"/>
        <v>0</v>
      </c>
      <c r="J22" s="375">
        <f t="shared" si="9"/>
        <v>0</v>
      </c>
      <c r="K22" s="375">
        <f t="shared" si="9"/>
        <v>0</v>
      </c>
      <c r="L22" s="375">
        <f t="shared" si="9"/>
        <v>0</v>
      </c>
      <c r="M22" s="375">
        <f t="shared" si="9"/>
        <v>0</v>
      </c>
      <c r="N22" s="375">
        <f t="shared" si="9"/>
        <v>0</v>
      </c>
      <c r="O22" s="375">
        <f t="shared" si="9"/>
        <v>0</v>
      </c>
      <c r="P22" s="375">
        <f t="shared" si="9"/>
        <v>0</v>
      </c>
      <c r="Q22" s="375">
        <f t="shared" si="9"/>
        <v>0</v>
      </c>
      <c r="R22" s="109">
        <f t="shared" si="6"/>
        <v>0</v>
      </c>
      <c r="S22" s="3">
        <f t="shared" si="7"/>
        <v>0</v>
      </c>
    </row>
    <row r="23" spans="1:19" x14ac:dyDescent="0.2">
      <c r="A23" s="16"/>
      <c r="B23" s="29" t="s">
        <v>429</v>
      </c>
      <c r="C23" s="75">
        <f t="shared" si="4"/>
        <v>0</v>
      </c>
      <c r="D23" s="14">
        <v>0</v>
      </c>
      <c r="E23" s="28"/>
      <c r="F23" s="375">
        <f t="shared" si="10"/>
        <v>0</v>
      </c>
      <c r="G23" s="375">
        <f t="shared" si="9"/>
        <v>0</v>
      </c>
      <c r="H23" s="375">
        <f t="shared" si="9"/>
        <v>0</v>
      </c>
      <c r="I23" s="375">
        <f t="shared" si="9"/>
        <v>0</v>
      </c>
      <c r="J23" s="375">
        <f t="shared" si="9"/>
        <v>0</v>
      </c>
      <c r="K23" s="375">
        <f t="shared" si="9"/>
        <v>0</v>
      </c>
      <c r="L23" s="375">
        <f t="shared" si="9"/>
        <v>0</v>
      </c>
      <c r="M23" s="375">
        <f t="shared" si="9"/>
        <v>0</v>
      </c>
      <c r="N23" s="375">
        <f t="shared" si="9"/>
        <v>0</v>
      </c>
      <c r="O23" s="375">
        <f t="shared" si="9"/>
        <v>0</v>
      </c>
      <c r="P23" s="375">
        <f t="shared" si="9"/>
        <v>0</v>
      </c>
      <c r="Q23" s="375">
        <f t="shared" si="9"/>
        <v>0</v>
      </c>
      <c r="R23" s="109">
        <f t="shared" si="6"/>
        <v>0</v>
      </c>
      <c r="S23" s="3">
        <f t="shared" si="7"/>
        <v>0</v>
      </c>
    </row>
    <row r="24" spans="1:19" x14ac:dyDescent="0.2">
      <c r="A24" s="16"/>
      <c r="B24" s="29" t="s">
        <v>430</v>
      </c>
      <c r="C24" s="75">
        <f t="shared" si="4"/>
        <v>0</v>
      </c>
      <c r="D24" s="14">
        <f>'[9]PHYSICAL THERAPY'!$M$26</f>
        <v>0</v>
      </c>
      <c r="E24" s="28"/>
      <c r="F24" s="375">
        <f t="shared" si="10"/>
        <v>0</v>
      </c>
      <c r="G24" s="375">
        <f t="shared" si="9"/>
        <v>0</v>
      </c>
      <c r="H24" s="375">
        <f t="shared" si="9"/>
        <v>0</v>
      </c>
      <c r="I24" s="375">
        <f t="shared" si="9"/>
        <v>0</v>
      </c>
      <c r="J24" s="375">
        <f t="shared" si="9"/>
        <v>0</v>
      </c>
      <c r="K24" s="375">
        <f t="shared" si="9"/>
        <v>0</v>
      </c>
      <c r="L24" s="375">
        <f t="shared" si="9"/>
        <v>0</v>
      </c>
      <c r="M24" s="375">
        <f t="shared" si="9"/>
        <v>0</v>
      </c>
      <c r="N24" s="375">
        <f t="shared" si="9"/>
        <v>0</v>
      </c>
      <c r="O24" s="375">
        <f t="shared" si="9"/>
        <v>0</v>
      </c>
      <c r="P24" s="375">
        <f t="shared" si="9"/>
        <v>0</v>
      </c>
      <c r="Q24" s="375">
        <f t="shared" si="9"/>
        <v>0</v>
      </c>
      <c r="R24" s="109">
        <f t="shared" si="6"/>
        <v>0</v>
      </c>
      <c r="S24" s="3">
        <f t="shared" si="7"/>
        <v>0</v>
      </c>
    </row>
    <row r="25" spans="1:19" x14ac:dyDescent="0.2">
      <c r="A25" s="132">
        <v>31111.081999999999</v>
      </c>
      <c r="B25" s="161" t="s">
        <v>546</v>
      </c>
      <c r="C25" s="293">
        <f>SUM(C18:C24)</f>
        <v>569716.63614586112</v>
      </c>
      <c r="D25" s="293"/>
      <c r="E25" s="293"/>
      <c r="F25" s="369">
        <f>SUM(F18:F24)</f>
        <v>50190.683257918558</v>
      </c>
      <c r="G25" s="369">
        <f t="shared" ref="G25:Q25" si="11">SUM(G18:G24)</f>
        <v>28095.354005855737</v>
      </c>
      <c r="H25" s="369">
        <f t="shared" si="11"/>
        <v>39238.257120042588</v>
      </c>
      <c r="I25" s="369">
        <f t="shared" si="11"/>
        <v>41904.934788394996</v>
      </c>
      <c r="J25" s="369">
        <f t="shared" si="11"/>
        <v>37904.918285866384</v>
      </c>
      <c r="K25" s="369">
        <f t="shared" si="11"/>
        <v>55904.992547245143</v>
      </c>
      <c r="L25" s="369">
        <f t="shared" si="11"/>
        <v>39047.780143731703</v>
      </c>
      <c r="M25" s="369">
        <f t="shared" si="11"/>
        <v>43523.989087037531</v>
      </c>
      <c r="N25" s="369">
        <f t="shared" si="11"/>
        <v>48095.436518498806</v>
      </c>
      <c r="O25" s="369">
        <f t="shared" si="11"/>
        <v>73238.397391535807</v>
      </c>
      <c r="P25" s="369">
        <f t="shared" si="11"/>
        <v>53143.076390737297</v>
      </c>
      <c r="Q25" s="369">
        <f t="shared" si="11"/>
        <v>59428.816608996545</v>
      </c>
      <c r="R25" s="369">
        <f t="shared" si="6"/>
        <v>569716.63614586112</v>
      </c>
      <c r="S25" s="291">
        <f t="shared" si="7"/>
        <v>0</v>
      </c>
    </row>
    <row r="26" spans="1:19" x14ac:dyDescent="0.2">
      <c r="A26" s="16"/>
      <c r="B26" s="29" t="s">
        <v>358</v>
      </c>
      <c r="C26" s="75">
        <f t="shared" ref="C26:C32" si="12">$C$3*D26</f>
        <v>577409.96419019322</v>
      </c>
      <c r="D26" s="14">
        <f>'[5]Physical Therapy'!$J$31</f>
        <v>58.739569093610704</v>
      </c>
      <c r="E26" s="28"/>
      <c r="F26" s="375">
        <f>$D26*F$3</f>
        <v>46345.520014858848</v>
      </c>
      <c r="G26" s="375">
        <f t="shared" ref="G26:Q32" si="13">$D26*G$3</f>
        <v>48988.800624071329</v>
      </c>
      <c r="H26" s="375">
        <f t="shared" si="13"/>
        <v>44348.374665676085</v>
      </c>
      <c r="I26" s="375">
        <f t="shared" si="13"/>
        <v>53629.226582466574</v>
      </c>
      <c r="J26" s="375">
        <f t="shared" si="13"/>
        <v>45288.207771173853</v>
      </c>
      <c r="K26" s="375">
        <f t="shared" si="13"/>
        <v>48871.321485884109</v>
      </c>
      <c r="L26" s="375">
        <f t="shared" si="13"/>
        <v>44877.030787518575</v>
      </c>
      <c r="M26" s="375">
        <f t="shared" si="13"/>
        <v>48342.665364041612</v>
      </c>
      <c r="N26" s="375">
        <f t="shared" si="13"/>
        <v>54157.882704309071</v>
      </c>
      <c r="O26" s="375">
        <f t="shared" si="13"/>
        <v>40295.344398216941</v>
      </c>
      <c r="P26" s="375">
        <f t="shared" si="13"/>
        <v>54275.361842496292</v>
      </c>
      <c r="Q26" s="375">
        <f t="shared" si="13"/>
        <v>47990.227949479944</v>
      </c>
      <c r="R26" s="109">
        <f t="shared" si="6"/>
        <v>577409.96419019322</v>
      </c>
      <c r="S26" s="3">
        <f t="shared" si="7"/>
        <v>0</v>
      </c>
    </row>
    <row r="27" spans="1:19" x14ac:dyDescent="0.2">
      <c r="A27" s="16"/>
      <c r="B27" s="29" t="s">
        <v>359</v>
      </c>
      <c r="C27" s="75">
        <f t="shared" si="12"/>
        <v>6598.0372821828987</v>
      </c>
      <c r="D27" s="14">
        <f>'[5]Physical Therapy'!$J$32</f>
        <v>0.67121437255166827</v>
      </c>
      <c r="E27" s="28"/>
      <c r="F27" s="375">
        <f t="shared" ref="F27:F32" si="14">$D27*F$3</f>
        <v>529.58813994326624</v>
      </c>
      <c r="G27" s="375">
        <f t="shared" si="13"/>
        <v>559.79278670809128</v>
      </c>
      <c r="H27" s="375">
        <f t="shared" si="13"/>
        <v>506.76685127650956</v>
      </c>
      <c r="I27" s="375">
        <f t="shared" si="13"/>
        <v>612.81872213967313</v>
      </c>
      <c r="J27" s="375">
        <f t="shared" si="13"/>
        <v>517.50628123733622</v>
      </c>
      <c r="K27" s="375">
        <f t="shared" si="13"/>
        <v>558.45035796298805</v>
      </c>
      <c r="L27" s="375">
        <f t="shared" si="13"/>
        <v>512.80778062947456</v>
      </c>
      <c r="M27" s="375">
        <f t="shared" si="13"/>
        <v>552.40942861002304</v>
      </c>
      <c r="N27" s="375">
        <f t="shared" si="13"/>
        <v>618.85965149263814</v>
      </c>
      <c r="O27" s="375">
        <f t="shared" si="13"/>
        <v>460.45305957044445</v>
      </c>
      <c r="P27" s="375">
        <f t="shared" si="13"/>
        <v>620.20208023774148</v>
      </c>
      <c r="Q27" s="375">
        <f t="shared" si="13"/>
        <v>548.382142374713</v>
      </c>
      <c r="R27" s="109">
        <f t="shared" si="6"/>
        <v>6598.0372821828996</v>
      </c>
      <c r="S27" s="3">
        <f t="shared" si="7"/>
        <v>0</v>
      </c>
    </row>
    <row r="28" spans="1:19" x14ac:dyDescent="0.2">
      <c r="A28" s="16"/>
      <c r="B28" s="29" t="s">
        <v>372</v>
      </c>
      <c r="C28" s="75">
        <f t="shared" si="12"/>
        <v>177481.90480886126</v>
      </c>
      <c r="D28" s="14">
        <f>'[5]Physical Therapy'!$J$33</f>
        <v>18.055127650952315</v>
      </c>
      <c r="E28" s="28"/>
      <c r="F28" s="375">
        <f t="shared" si="14"/>
        <v>14245.495716601376</v>
      </c>
      <c r="G28" s="375">
        <f t="shared" si="13"/>
        <v>15057.976460894231</v>
      </c>
      <c r="H28" s="375">
        <f t="shared" si="13"/>
        <v>13631.621376468998</v>
      </c>
      <c r="I28" s="375">
        <f t="shared" si="13"/>
        <v>16484.331545319463</v>
      </c>
      <c r="J28" s="375">
        <f t="shared" si="13"/>
        <v>13920.503418884235</v>
      </c>
      <c r="K28" s="375">
        <f t="shared" si="13"/>
        <v>15021.866205592327</v>
      </c>
      <c r="L28" s="375">
        <f t="shared" si="13"/>
        <v>13794.117525327569</v>
      </c>
      <c r="M28" s="375">
        <f t="shared" si="13"/>
        <v>14859.370056733755</v>
      </c>
      <c r="N28" s="375">
        <f t="shared" si="13"/>
        <v>16646.827694178035</v>
      </c>
      <c r="O28" s="375">
        <f t="shared" si="13"/>
        <v>12385.817568553288</v>
      </c>
      <c r="P28" s="375">
        <f t="shared" si="13"/>
        <v>16682.93794947994</v>
      </c>
      <c r="Q28" s="375">
        <f t="shared" si="13"/>
        <v>14751.039290828041</v>
      </c>
      <c r="R28" s="109">
        <f t="shared" si="6"/>
        <v>177481.90480886126</v>
      </c>
      <c r="S28" s="3">
        <f t="shared" si="7"/>
        <v>0</v>
      </c>
    </row>
    <row r="29" spans="1:19" x14ac:dyDescent="0.2">
      <c r="A29" s="16"/>
      <c r="B29" s="29" t="s">
        <v>373</v>
      </c>
      <c r="C29" s="75">
        <f t="shared" si="12"/>
        <v>0</v>
      </c>
      <c r="D29" s="14">
        <v>0</v>
      </c>
      <c r="E29" s="28"/>
      <c r="F29" s="375">
        <f t="shared" si="14"/>
        <v>0</v>
      </c>
      <c r="G29" s="375">
        <f t="shared" si="13"/>
        <v>0</v>
      </c>
      <c r="H29" s="375">
        <f t="shared" si="13"/>
        <v>0</v>
      </c>
      <c r="I29" s="375">
        <f t="shared" si="13"/>
        <v>0</v>
      </c>
      <c r="J29" s="375">
        <f t="shared" si="13"/>
        <v>0</v>
      </c>
      <c r="K29" s="375">
        <f t="shared" si="13"/>
        <v>0</v>
      </c>
      <c r="L29" s="375">
        <f t="shared" si="13"/>
        <v>0</v>
      </c>
      <c r="M29" s="375">
        <f t="shared" si="13"/>
        <v>0</v>
      </c>
      <c r="N29" s="375">
        <f t="shared" si="13"/>
        <v>0</v>
      </c>
      <c r="O29" s="375">
        <f t="shared" si="13"/>
        <v>0</v>
      </c>
      <c r="P29" s="375">
        <f t="shared" si="13"/>
        <v>0</v>
      </c>
      <c r="Q29" s="375">
        <f t="shared" si="13"/>
        <v>0</v>
      </c>
      <c r="R29" s="109">
        <f t="shared" si="6"/>
        <v>0</v>
      </c>
      <c r="S29" s="3">
        <f t="shared" si="7"/>
        <v>0</v>
      </c>
    </row>
    <row r="30" spans="1:19" x14ac:dyDescent="0.2">
      <c r="A30" s="163"/>
      <c r="B30" s="29" t="s">
        <v>361</v>
      </c>
      <c r="C30" s="75">
        <f t="shared" si="12"/>
        <v>116235.29509658247</v>
      </c>
      <c r="D30" s="14">
        <f>'[5]Physical Therapy'!$J$34+'[5]Physical Therapy'!$J$35</f>
        <v>11.824546805349183</v>
      </c>
      <c r="E30" s="28"/>
      <c r="F30" s="375">
        <f t="shared" si="14"/>
        <v>9329.5674294205055</v>
      </c>
      <c r="G30" s="375">
        <f t="shared" si="13"/>
        <v>9861.6720356612186</v>
      </c>
      <c r="H30" s="375">
        <f t="shared" si="13"/>
        <v>8927.5328380386327</v>
      </c>
      <c r="I30" s="375">
        <f t="shared" si="13"/>
        <v>10795.811233283805</v>
      </c>
      <c r="J30" s="375">
        <f t="shared" si="13"/>
        <v>9116.7255869242199</v>
      </c>
      <c r="K30" s="375">
        <f t="shared" si="13"/>
        <v>9838.0229420505202</v>
      </c>
      <c r="L30" s="375">
        <f t="shared" si="13"/>
        <v>9033.9537592867764</v>
      </c>
      <c r="M30" s="375">
        <f t="shared" si="13"/>
        <v>9731.6020208023765</v>
      </c>
      <c r="N30" s="375">
        <f t="shared" si="13"/>
        <v>10902.232154531946</v>
      </c>
      <c r="O30" s="375">
        <f t="shared" si="13"/>
        <v>8111.6391084695397</v>
      </c>
      <c r="P30" s="375">
        <f t="shared" si="13"/>
        <v>10925.881248142645</v>
      </c>
      <c r="Q30" s="375">
        <f t="shared" si="13"/>
        <v>9660.6547399702831</v>
      </c>
      <c r="R30" s="109">
        <f t="shared" si="6"/>
        <v>116235.29509658247</v>
      </c>
      <c r="S30" s="3">
        <f t="shared" si="7"/>
        <v>0</v>
      </c>
    </row>
    <row r="31" spans="1:19" x14ac:dyDescent="0.2">
      <c r="A31" s="163"/>
      <c r="B31" s="29" t="s">
        <v>360</v>
      </c>
      <c r="C31" s="75">
        <f t="shared" si="12"/>
        <v>151409.19416452787</v>
      </c>
      <c r="D31" s="14">
        <f>'[5]Physical Therapy'!$J$36</f>
        <v>15.40276644603539</v>
      </c>
      <c r="E31" s="28"/>
      <c r="F31" s="375">
        <f t="shared" si="14"/>
        <v>12152.782725921923</v>
      </c>
      <c r="G31" s="375">
        <f t="shared" si="13"/>
        <v>12845.907215993515</v>
      </c>
      <c r="H31" s="375">
        <f t="shared" si="13"/>
        <v>11629.088666756719</v>
      </c>
      <c r="I31" s="375">
        <f t="shared" si="13"/>
        <v>14062.725765230311</v>
      </c>
      <c r="J31" s="375">
        <f t="shared" si="13"/>
        <v>11875.532929893285</v>
      </c>
      <c r="K31" s="375">
        <f t="shared" si="13"/>
        <v>12815.101683101444</v>
      </c>
      <c r="L31" s="375">
        <f t="shared" si="13"/>
        <v>11767.713564771038</v>
      </c>
      <c r="M31" s="375">
        <f t="shared" si="13"/>
        <v>12676.476785087125</v>
      </c>
      <c r="N31" s="375">
        <f t="shared" si="13"/>
        <v>14201.35066324463</v>
      </c>
      <c r="O31" s="375">
        <f t="shared" si="13"/>
        <v>10566.297781980278</v>
      </c>
      <c r="P31" s="375">
        <f t="shared" si="13"/>
        <v>14232.156196136701</v>
      </c>
      <c r="Q31" s="375">
        <f t="shared" si="13"/>
        <v>12584.060186410914</v>
      </c>
      <c r="R31" s="109">
        <f t="shared" si="6"/>
        <v>151409.19416452787</v>
      </c>
      <c r="S31" s="3">
        <f t="shared" si="7"/>
        <v>0</v>
      </c>
    </row>
    <row r="32" spans="1:19" x14ac:dyDescent="0.2">
      <c r="A32" s="163"/>
      <c r="B32" s="29" t="s">
        <v>362</v>
      </c>
      <c r="C32" s="75">
        <f t="shared" si="12"/>
        <v>691.80467378089963</v>
      </c>
      <c r="D32" s="14">
        <f>'[5]Physical Therapy'!$J$37</f>
        <v>7.0376874240172901E-2</v>
      </c>
      <c r="E32" s="28"/>
      <c r="F32" s="375">
        <f t="shared" si="14"/>
        <v>55.527353775496422</v>
      </c>
      <c r="G32" s="375">
        <f t="shared" si="13"/>
        <v>58.694313116304201</v>
      </c>
      <c r="H32" s="375">
        <f t="shared" si="13"/>
        <v>53.134540051330539</v>
      </c>
      <c r="I32" s="375">
        <f t="shared" si="13"/>
        <v>64.254086181277856</v>
      </c>
      <c r="J32" s="375">
        <f t="shared" si="13"/>
        <v>54.260570039173309</v>
      </c>
      <c r="K32" s="375">
        <f t="shared" si="13"/>
        <v>58.553559367823851</v>
      </c>
      <c r="L32" s="375">
        <f t="shared" si="13"/>
        <v>53.767931919492099</v>
      </c>
      <c r="M32" s="375">
        <f t="shared" si="13"/>
        <v>57.920167499662298</v>
      </c>
      <c r="N32" s="375">
        <f t="shared" si="13"/>
        <v>64.887478049439409</v>
      </c>
      <c r="O32" s="375">
        <f t="shared" si="13"/>
        <v>48.278535728758612</v>
      </c>
      <c r="P32" s="375">
        <f t="shared" si="13"/>
        <v>65.028231797919759</v>
      </c>
      <c r="Q32" s="375">
        <f t="shared" si="13"/>
        <v>57.497906254221263</v>
      </c>
      <c r="R32" s="109">
        <f t="shared" si="6"/>
        <v>691.80467378089952</v>
      </c>
      <c r="S32" s="3">
        <f t="shared" si="7"/>
        <v>0</v>
      </c>
    </row>
    <row r="33" spans="1:21" x14ac:dyDescent="0.2">
      <c r="A33" s="90">
        <v>31200.081999999999</v>
      </c>
      <c r="B33" s="161" t="s">
        <v>547</v>
      </c>
      <c r="C33" s="293">
        <f>SUM(C26:C32)</f>
        <v>1029826.2002161287</v>
      </c>
      <c r="D33" s="293"/>
      <c r="E33" s="293"/>
      <c r="F33" s="369">
        <f>SUM(F26:F32)</f>
        <v>82658.481380521422</v>
      </c>
      <c r="G33" s="369">
        <f t="shared" ref="G33:Q33" si="15">SUM(G26:G32)</f>
        <v>87372.843436444688</v>
      </c>
      <c r="H33" s="369">
        <f t="shared" si="15"/>
        <v>79096.518938268273</v>
      </c>
      <c r="I33" s="369">
        <f t="shared" si="15"/>
        <v>95649.167934621102</v>
      </c>
      <c r="J33" s="369">
        <f t="shared" si="15"/>
        <v>80772.736558152086</v>
      </c>
      <c r="K33" s="369">
        <f t="shared" si="15"/>
        <v>87163.316233959209</v>
      </c>
      <c r="L33" s="369">
        <f t="shared" si="15"/>
        <v>80039.391349452912</v>
      </c>
      <c r="M33" s="369">
        <f t="shared" si="15"/>
        <v>86220.443822774556</v>
      </c>
      <c r="N33" s="369">
        <f t="shared" si="15"/>
        <v>96592.040345805755</v>
      </c>
      <c r="O33" s="369">
        <f t="shared" si="15"/>
        <v>71867.830452519265</v>
      </c>
      <c r="P33" s="369">
        <f t="shared" si="15"/>
        <v>96801.567548291234</v>
      </c>
      <c r="Q33" s="369">
        <f t="shared" si="15"/>
        <v>85591.86221531812</v>
      </c>
      <c r="R33" s="369">
        <f t="shared" si="6"/>
        <v>1029826.2002161286</v>
      </c>
      <c r="S33" s="291">
        <f t="shared" si="7"/>
        <v>0</v>
      </c>
    </row>
    <row r="34" spans="1:21" s="5" customFormat="1" x14ac:dyDescent="0.2">
      <c r="A34" s="11"/>
      <c r="B34" s="10" t="s">
        <v>0</v>
      </c>
      <c r="C34" s="293">
        <f>C17+C25+C33</f>
        <v>1632312.4775650774</v>
      </c>
      <c r="D34" s="293">
        <f>(C34/C$4)</f>
        <v>103.23251186219817</v>
      </c>
      <c r="E34" s="293"/>
      <c r="F34" s="369">
        <f>F17+F25+F33</f>
        <v>135736.09224024994</v>
      </c>
      <c r="G34" s="369">
        <f t="shared" ref="G34:Q34" si="16">G17+G25+G33</f>
        <v>117084.21953439518</v>
      </c>
      <c r="H34" s="369">
        <f t="shared" si="16"/>
        <v>120591.72894625337</v>
      </c>
      <c r="I34" s="369">
        <f t="shared" si="16"/>
        <v>139964.44075868285</v>
      </c>
      <c r="J34" s="369">
        <f t="shared" si="16"/>
        <v>120857.91515809885</v>
      </c>
      <c r="K34" s="369">
        <f t="shared" si="16"/>
        <v>146283.91884242342</v>
      </c>
      <c r="L34" s="369">
        <f t="shared" si="16"/>
        <v>121333.16829914681</v>
      </c>
      <c r="M34" s="369">
        <f t="shared" si="16"/>
        <v>132247.89764231141</v>
      </c>
      <c r="N34" s="369">
        <f t="shared" si="16"/>
        <v>147453.88756433118</v>
      </c>
      <c r="O34" s="369">
        <f t="shared" si="16"/>
        <v>149318.84136548173</v>
      </c>
      <c r="P34" s="369">
        <f t="shared" si="16"/>
        <v>153001.3908115332</v>
      </c>
      <c r="Q34" s="369">
        <f t="shared" si="16"/>
        <v>148438.97640216933</v>
      </c>
      <c r="R34" s="369">
        <f t="shared" si="6"/>
        <v>1632312.4775650774</v>
      </c>
      <c r="S34" s="291">
        <f t="shared" si="7"/>
        <v>0</v>
      </c>
      <c r="T34" s="3"/>
      <c r="U34" s="3"/>
    </row>
    <row r="35" spans="1:21" x14ac:dyDescent="0.2">
      <c r="A35" s="711" t="s">
        <v>25</v>
      </c>
      <c r="B35" s="711"/>
      <c r="C35" s="711"/>
      <c r="D35" s="711"/>
      <c r="E35" s="195"/>
      <c r="F35" s="375"/>
      <c r="G35" s="375"/>
      <c r="H35" s="375"/>
      <c r="I35" s="375"/>
      <c r="J35" s="375"/>
      <c r="K35" s="375"/>
      <c r="L35" s="376"/>
      <c r="M35" s="376"/>
      <c r="N35" s="376"/>
      <c r="O35" s="376"/>
      <c r="P35" s="376"/>
      <c r="Q35" s="376"/>
      <c r="R35" s="109"/>
    </row>
    <row r="36" spans="1:21" s="151" customFormat="1" x14ac:dyDescent="0.2">
      <c r="A36" s="21"/>
      <c r="B36" s="10" t="s">
        <v>548</v>
      </c>
      <c r="C36" s="20"/>
      <c r="D36" s="78"/>
      <c r="E36" s="78"/>
      <c r="F36" s="377"/>
      <c r="G36" s="377"/>
      <c r="H36" s="377"/>
      <c r="I36" s="377"/>
      <c r="J36" s="377"/>
      <c r="K36" s="377"/>
      <c r="L36" s="378"/>
      <c r="M36" s="378"/>
      <c r="N36" s="378"/>
      <c r="O36" s="378"/>
      <c r="P36" s="378"/>
      <c r="Q36" s="378"/>
      <c r="R36" s="109"/>
      <c r="S36" s="3"/>
      <c r="T36" s="3"/>
      <c r="U36" s="3"/>
    </row>
    <row r="37" spans="1:21" s="92" customFormat="1" x14ac:dyDescent="0.2">
      <c r="A37" s="87">
        <v>41101.082000000002</v>
      </c>
      <c r="B37" s="15" t="s">
        <v>22</v>
      </c>
      <c r="C37" s="428">
        <f>'[6]Physical Therapy'!$J$15</f>
        <v>40050</v>
      </c>
      <c r="D37" s="428">
        <f>$C37/C$6</f>
        <v>9.6274038461538467</v>
      </c>
      <c r="E37" s="28"/>
      <c r="F37" s="373">
        <f>$D37*F$6</f>
        <v>3401.5068493150684</v>
      </c>
      <c r="G37" s="373">
        <f t="shared" ref="G37:Q37" si="17">$D37*G$6</f>
        <v>3291.7808219178082</v>
      </c>
      <c r="H37" s="373">
        <f t="shared" si="17"/>
        <v>3401.5068493150684</v>
      </c>
      <c r="I37" s="373">
        <f t="shared" si="17"/>
        <v>3401.5068493150684</v>
      </c>
      <c r="J37" s="373">
        <f t="shared" si="17"/>
        <v>3072.3287671232874</v>
      </c>
      <c r="K37" s="373">
        <f t="shared" si="17"/>
        <v>3401.5068493150684</v>
      </c>
      <c r="L37" s="373">
        <f t="shared" si="17"/>
        <v>3291.7808219178082</v>
      </c>
      <c r="M37" s="373">
        <f t="shared" si="17"/>
        <v>3401.5068493150684</v>
      </c>
      <c r="N37" s="373">
        <f t="shared" si="17"/>
        <v>3291.7808219178082</v>
      </c>
      <c r="O37" s="373">
        <f t="shared" si="17"/>
        <v>3401.5068493150684</v>
      </c>
      <c r="P37" s="373">
        <f t="shared" si="17"/>
        <v>3401.5068493150684</v>
      </c>
      <c r="Q37" s="373">
        <f t="shared" si="17"/>
        <v>3291.7808219178082</v>
      </c>
      <c r="R37" s="109">
        <f t="shared" ref="R37" si="18">SUM(F37:Q37)</f>
        <v>40050</v>
      </c>
      <c r="S37" s="3">
        <f t="shared" ref="S37" si="19">C37-R37</f>
        <v>0</v>
      </c>
      <c r="T37" s="3"/>
      <c r="U37" s="3"/>
    </row>
    <row r="38" spans="1:21" s="184" customFormat="1" x14ac:dyDescent="0.2">
      <c r="A38" s="87">
        <v>41110.082000000002</v>
      </c>
      <c r="B38" s="15" t="s">
        <v>21</v>
      </c>
      <c r="C38" s="428">
        <f>'[6]Physical Therapy'!$J$16</f>
        <v>4450</v>
      </c>
      <c r="D38" s="428">
        <f t="shared" ref="D38:D40" si="20">$C38/C$6</f>
        <v>1.0697115384615385</v>
      </c>
      <c r="E38" s="111"/>
      <c r="F38" s="373">
        <f t="shared" ref="F38:Q40" si="21">$D38*F$6</f>
        <v>377.94520547945206</v>
      </c>
      <c r="G38" s="373">
        <f t="shared" si="21"/>
        <v>365.75342465753425</v>
      </c>
      <c r="H38" s="373">
        <f t="shared" si="21"/>
        <v>377.94520547945206</v>
      </c>
      <c r="I38" s="373">
        <f t="shared" si="21"/>
        <v>377.94520547945206</v>
      </c>
      <c r="J38" s="373">
        <f t="shared" si="21"/>
        <v>341.36986301369865</v>
      </c>
      <c r="K38" s="373">
        <f t="shared" si="21"/>
        <v>377.94520547945206</v>
      </c>
      <c r="L38" s="373">
        <f t="shared" si="21"/>
        <v>365.75342465753425</v>
      </c>
      <c r="M38" s="373">
        <f t="shared" si="21"/>
        <v>377.94520547945206</v>
      </c>
      <c r="N38" s="373">
        <f t="shared" si="21"/>
        <v>365.75342465753425</v>
      </c>
      <c r="O38" s="373">
        <f t="shared" si="21"/>
        <v>377.94520547945206</v>
      </c>
      <c r="P38" s="373">
        <f t="shared" si="21"/>
        <v>377.94520547945206</v>
      </c>
      <c r="Q38" s="373">
        <f t="shared" si="21"/>
        <v>365.75342465753425</v>
      </c>
      <c r="R38" s="109">
        <f t="shared" ref="R38:R48" si="22">SUM(F38:Q38)</f>
        <v>4450</v>
      </c>
      <c r="S38" s="3">
        <f t="shared" ref="S38:S48" si="23">C38-R38</f>
        <v>0</v>
      </c>
      <c r="T38" s="3"/>
      <c r="U38" s="3"/>
    </row>
    <row r="39" spans="1:21" s="184" customFormat="1" x14ac:dyDescent="0.2">
      <c r="A39" s="87">
        <v>41115.082000000002</v>
      </c>
      <c r="B39" s="15" t="s">
        <v>20</v>
      </c>
      <c r="C39" s="428">
        <f>'[6]Physical Therapy'!$J$17</f>
        <v>200</v>
      </c>
      <c r="D39" s="428">
        <f t="shared" si="20"/>
        <v>4.807692307692308E-2</v>
      </c>
      <c r="E39" s="111"/>
      <c r="F39" s="373">
        <f t="shared" si="21"/>
        <v>16.986301369863014</v>
      </c>
      <c r="G39" s="373">
        <f t="shared" si="21"/>
        <v>16.438356164383563</v>
      </c>
      <c r="H39" s="373">
        <f t="shared" si="21"/>
        <v>16.986301369863014</v>
      </c>
      <c r="I39" s="373">
        <f t="shared" si="21"/>
        <v>16.986301369863014</v>
      </c>
      <c r="J39" s="373">
        <f t="shared" si="21"/>
        <v>15.342465753424657</v>
      </c>
      <c r="K39" s="373">
        <f t="shared" si="21"/>
        <v>16.986301369863014</v>
      </c>
      <c r="L39" s="373">
        <f t="shared" si="21"/>
        <v>16.438356164383563</v>
      </c>
      <c r="M39" s="373">
        <f t="shared" si="21"/>
        <v>16.986301369863014</v>
      </c>
      <c r="N39" s="373">
        <f t="shared" si="21"/>
        <v>16.438356164383563</v>
      </c>
      <c r="O39" s="373">
        <f t="shared" si="21"/>
        <v>16.986301369863014</v>
      </c>
      <c r="P39" s="373">
        <f t="shared" si="21"/>
        <v>16.986301369863014</v>
      </c>
      <c r="Q39" s="373">
        <f t="shared" si="21"/>
        <v>16.438356164383563</v>
      </c>
      <c r="R39" s="109">
        <f t="shared" si="22"/>
        <v>200</v>
      </c>
      <c r="S39" s="3">
        <f t="shared" si="23"/>
        <v>0</v>
      </c>
      <c r="T39" s="3"/>
      <c r="U39" s="3"/>
    </row>
    <row r="40" spans="1:21" x14ac:dyDescent="0.2">
      <c r="A40" s="87">
        <v>41150.082000000002</v>
      </c>
      <c r="B40" s="15" t="s">
        <v>19</v>
      </c>
      <c r="C40" s="428">
        <f>'[6]Physical Therapy'!$J$18</f>
        <v>3419.5499999999997</v>
      </c>
      <c r="D40" s="428">
        <f t="shared" si="20"/>
        <v>0.82200721153846146</v>
      </c>
      <c r="F40" s="373">
        <f t="shared" si="21"/>
        <v>290.42753424657531</v>
      </c>
      <c r="G40" s="373">
        <f t="shared" si="21"/>
        <v>281.05890410958904</v>
      </c>
      <c r="H40" s="373">
        <f t="shared" si="21"/>
        <v>290.42753424657531</v>
      </c>
      <c r="I40" s="373">
        <f t="shared" si="21"/>
        <v>290.42753424657531</v>
      </c>
      <c r="J40" s="373">
        <f t="shared" si="21"/>
        <v>262.32164383561638</v>
      </c>
      <c r="K40" s="373">
        <f t="shared" si="21"/>
        <v>290.42753424657531</v>
      </c>
      <c r="L40" s="373">
        <f t="shared" si="21"/>
        <v>281.05890410958904</v>
      </c>
      <c r="M40" s="373">
        <f t="shared" si="21"/>
        <v>290.42753424657531</v>
      </c>
      <c r="N40" s="373">
        <f t="shared" si="21"/>
        <v>281.05890410958904</v>
      </c>
      <c r="O40" s="373">
        <f t="shared" si="21"/>
        <v>290.42753424657531</v>
      </c>
      <c r="P40" s="373">
        <f t="shared" si="21"/>
        <v>290.42753424657531</v>
      </c>
      <c r="Q40" s="373">
        <f t="shared" si="21"/>
        <v>281.05890410958904</v>
      </c>
      <c r="R40" s="109">
        <f t="shared" si="22"/>
        <v>3419.55</v>
      </c>
      <c r="S40" s="3">
        <f t="shared" si="23"/>
        <v>0</v>
      </c>
    </row>
    <row r="41" spans="1:21" x14ac:dyDescent="0.2">
      <c r="A41" s="87">
        <v>41237.082000000002</v>
      </c>
      <c r="B41" s="15" t="s">
        <v>17</v>
      </c>
      <c r="C41" s="14">
        <f>'[6]Physical Therapy'!$J$19</f>
        <v>2300</v>
      </c>
      <c r="D41" s="14">
        <f t="shared" ref="D41:D48" si="24">$C41/C$4</f>
        <v>0.14545914495320011</v>
      </c>
      <c r="F41" s="373">
        <f t="shared" ref="F41:Q48" si="25">$D41*F$4</f>
        <v>191.42423475841136</v>
      </c>
      <c r="G41" s="373">
        <f t="shared" si="25"/>
        <v>164.22337465216293</v>
      </c>
      <c r="H41" s="373">
        <f t="shared" si="25"/>
        <v>169.75082216038453</v>
      </c>
      <c r="I41" s="373">
        <f t="shared" si="25"/>
        <v>196.80622312167975</v>
      </c>
      <c r="J41" s="373">
        <f t="shared" si="25"/>
        <v>170.04174045029094</v>
      </c>
      <c r="K41" s="373">
        <f t="shared" si="25"/>
        <v>206.40652668859096</v>
      </c>
      <c r="L41" s="373">
        <f t="shared" si="25"/>
        <v>170.76903617505693</v>
      </c>
      <c r="M41" s="373">
        <f t="shared" si="25"/>
        <v>186.18770554009615</v>
      </c>
      <c r="N41" s="373">
        <f t="shared" si="25"/>
        <v>207.57019984821656</v>
      </c>
      <c r="O41" s="373">
        <f t="shared" si="25"/>
        <v>211.64305590690617</v>
      </c>
      <c r="P41" s="373">
        <f t="shared" si="25"/>
        <v>215.57045282064257</v>
      </c>
      <c r="Q41" s="373">
        <f t="shared" si="25"/>
        <v>209.60662787756135</v>
      </c>
      <c r="R41" s="109">
        <f t="shared" si="22"/>
        <v>2300.0000000000005</v>
      </c>
      <c r="S41" s="3">
        <f t="shared" si="23"/>
        <v>0</v>
      </c>
    </row>
    <row r="42" spans="1:21" x14ac:dyDescent="0.2">
      <c r="A42" s="87">
        <v>41246.082000000002</v>
      </c>
      <c r="B42" s="15" t="s">
        <v>16</v>
      </c>
      <c r="C42" s="14">
        <f>'[6]Physical Therapy'!$J$20</f>
        <v>255</v>
      </c>
      <c r="D42" s="14">
        <f t="shared" si="24"/>
        <v>1.6126992157854795E-2</v>
      </c>
      <c r="F42" s="373">
        <f t="shared" si="25"/>
        <v>21.223121679736909</v>
      </c>
      <c r="G42" s="373">
        <f t="shared" si="25"/>
        <v>18.207374146218065</v>
      </c>
      <c r="H42" s="373">
        <f t="shared" si="25"/>
        <v>18.820199848216546</v>
      </c>
      <c r="I42" s="373">
        <f t="shared" si="25"/>
        <v>21.819820389577536</v>
      </c>
      <c r="J42" s="373">
        <f t="shared" si="25"/>
        <v>18.852453832532255</v>
      </c>
      <c r="K42" s="373">
        <f t="shared" si="25"/>
        <v>22.884201871995955</v>
      </c>
      <c r="L42" s="373">
        <f t="shared" si="25"/>
        <v>18.933088793321531</v>
      </c>
      <c r="M42" s="373">
        <f t="shared" si="25"/>
        <v>20.642549962054137</v>
      </c>
      <c r="N42" s="373">
        <f t="shared" si="25"/>
        <v>23.013217809258791</v>
      </c>
      <c r="O42" s="373">
        <f t="shared" si="25"/>
        <v>23.464773589678728</v>
      </c>
      <c r="P42" s="373">
        <f t="shared" si="25"/>
        <v>23.900202377940808</v>
      </c>
      <c r="Q42" s="373">
        <f t="shared" si="25"/>
        <v>23.238995699468759</v>
      </c>
      <c r="R42" s="109">
        <f t="shared" si="22"/>
        <v>255</v>
      </c>
      <c r="S42" s="3">
        <f t="shared" si="23"/>
        <v>0</v>
      </c>
    </row>
    <row r="43" spans="1:21" x14ac:dyDescent="0.2">
      <c r="A43" s="87">
        <v>41250.082000000002</v>
      </c>
      <c r="B43" s="15" t="s">
        <v>15</v>
      </c>
      <c r="C43" s="14"/>
      <c r="D43" s="14">
        <f t="shared" si="24"/>
        <v>0</v>
      </c>
      <c r="F43" s="373">
        <f t="shared" si="25"/>
        <v>0</v>
      </c>
      <c r="G43" s="373">
        <f t="shared" si="25"/>
        <v>0</v>
      </c>
      <c r="H43" s="373">
        <f t="shared" si="25"/>
        <v>0</v>
      </c>
      <c r="I43" s="373">
        <f t="shared" si="25"/>
        <v>0</v>
      </c>
      <c r="J43" s="373">
        <f t="shared" si="25"/>
        <v>0</v>
      </c>
      <c r="K43" s="373">
        <f t="shared" si="25"/>
        <v>0</v>
      </c>
      <c r="L43" s="373">
        <f t="shared" si="25"/>
        <v>0</v>
      </c>
      <c r="M43" s="373">
        <f t="shared" si="25"/>
        <v>0</v>
      </c>
      <c r="N43" s="373">
        <f t="shared" si="25"/>
        <v>0</v>
      </c>
      <c r="O43" s="373">
        <f t="shared" si="25"/>
        <v>0</v>
      </c>
      <c r="P43" s="373">
        <f t="shared" si="25"/>
        <v>0</v>
      </c>
      <c r="Q43" s="373">
        <f t="shared" si="25"/>
        <v>0</v>
      </c>
      <c r="R43" s="109">
        <f t="shared" si="22"/>
        <v>0</v>
      </c>
      <c r="S43" s="3">
        <f t="shared" si="23"/>
        <v>0</v>
      </c>
    </row>
    <row r="44" spans="1:21" x14ac:dyDescent="0.2">
      <c r="A44" s="87">
        <v>41365.082000000002</v>
      </c>
      <c r="B44" s="15" t="s">
        <v>10</v>
      </c>
      <c r="C44" s="14">
        <f>'[6]Physical Therapy'!$J$21</f>
        <v>231125</v>
      </c>
      <c r="D44" s="14">
        <f t="shared" si="24"/>
        <v>14.617062990134075</v>
      </c>
      <c r="F44" s="373">
        <f t="shared" si="25"/>
        <v>19236.054895016441</v>
      </c>
      <c r="G44" s="373">
        <f t="shared" si="25"/>
        <v>16502.664115861371</v>
      </c>
      <c r="H44" s="373">
        <f t="shared" si="25"/>
        <v>17058.112509486466</v>
      </c>
      <c r="I44" s="373">
        <f t="shared" si="25"/>
        <v>19776.886225651404</v>
      </c>
      <c r="J44" s="373">
        <f t="shared" si="25"/>
        <v>17087.346635466733</v>
      </c>
      <c r="K44" s="373">
        <f t="shared" si="25"/>
        <v>20741.612383000251</v>
      </c>
      <c r="L44" s="373">
        <f t="shared" si="25"/>
        <v>17160.431950417405</v>
      </c>
      <c r="M44" s="373">
        <f t="shared" si="25"/>
        <v>18709.840627371617</v>
      </c>
      <c r="N44" s="373">
        <f t="shared" si="25"/>
        <v>20858.548886921326</v>
      </c>
      <c r="O44" s="373">
        <f t="shared" si="25"/>
        <v>21267.826650645078</v>
      </c>
      <c r="P44" s="373">
        <f t="shared" si="25"/>
        <v>21662.487351378699</v>
      </c>
      <c r="Q44" s="373">
        <f t="shared" si="25"/>
        <v>21063.187768783202</v>
      </c>
      <c r="R44" s="109">
        <f t="shared" si="22"/>
        <v>231125</v>
      </c>
      <c r="S44" s="3">
        <f t="shared" si="23"/>
        <v>0</v>
      </c>
      <c r="U44" s="2"/>
    </row>
    <row r="45" spans="1:21" x14ac:dyDescent="0.2">
      <c r="A45" s="87">
        <v>41490.082000000002</v>
      </c>
      <c r="B45" s="15" t="s">
        <v>367</v>
      </c>
      <c r="C45" s="14"/>
      <c r="D45" s="14">
        <f t="shared" si="24"/>
        <v>0</v>
      </c>
      <c r="F45" s="373">
        <f t="shared" si="25"/>
        <v>0</v>
      </c>
      <c r="G45" s="373">
        <f t="shared" si="25"/>
        <v>0</v>
      </c>
      <c r="H45" s="373">
        <f t="shared" si="25"/>
        <v>0</v>
      </c>
      <c r="I45" s="373">
        <f t="shared" si="25"/>
        <v>0</v>
      </c>
      <c r="J45" s="373">
        <f t="shared" si="25"/>
        <v>0</v>
      </c>
      <c r="K45" s="373">
        <f t="shared" si="25"/>
        <v>0</v>
      </c>
      <c r="L45" s="373">
        <f t="shared" si="25"/>
        <v>0</v>
      </c>
      <c r="M45" s="373">
        <f t="shared" si="25"/>
        <v>0</v>
      </c>
      <c r="N45" s="373">
        <f t="shared" si="25"/>
        <v>0</v>
      </c>
      <c r="O45" s="373">
        <f t="shared" si="25"/>
        <v>0</v>
      </c>
      <c r="P45" s="373">
        <f t="shared" si="25"/>
        <v>0</v>
      </c>
      <c r="Q45" s="373">
        <f t="shared" si="25"/>
        <v>0</v>
      </c>
      <c r="R45" s="109">
        <f t="shared" si="22"/>
        <v>0</v>
      </c>
      <c r="S45" s="3">
        <f t="shared" si="23"/>
        <v>0</v>
      </c>
      <c r="U45" s="2"/>
    </row>
    <row r="46" spans="1:21" x14ac:dyDescent="0.2">
      <c r="A46" s="87">
        <v>41509.082000000002</v>
      </c>
      <c r="B46" s="15" t="s">
        <v>3</v>
      </c>
      <c r="C46" s="14">
        <f>'[6]Physical Therapy'!$J$22</f>
        <v>1000</v>
      </c>
      <c r="D46" s="14">
        <f t="shared" si="24"/>
        <v>6.3243106501391352E-2</v>
      </c>
      <c r="F46" s="373">
        <f t="shared" si="25"/>
        <v>83.227928155831023</v>
      </c>
      <c r="G46" s="373">
        <f t="shared" si="25"/>
        <v>71.401467240070843</v>
      </c>
      <c r="H46" s="373">
        <f t="shared" si="25"/>
        <v>73.80470528712371</v>
      </c>
      <c r="I46" s="373">
        <f t="shared" si="25"/>
        <v>85.567923096382501</v>
      </c>
      <c r="J46" s="373">
        <f t="shared" si="25"/>
        <v>73.931191500126488</v>
      </c>
      <c r="K46" s="373">
        <f t="shared" si="25"/>
        <v>89.74196812547433</v>
      </c>
      <c r="L46" s="373">
        <f t="shared" si="25"/>
        <v>74.247407032633447</v>
      </c>
      <c r="M46" s="373">
        <f t="shared" si="25"/>
        <v>80.951176321780935</v>
      </c>
      <c r="N46" s="373">
        <f t="shared" si="25"/>
        <v>90.247912977485456</v>
      </c>
      <c r="O46" s="373">
        <f t="shared" si="25"/>
        <v>92.018719959524418</v>
      </c>
      <c r="P46" s="373">
        <f t="shared" si="25"/>
        <v>93.726283835061977</v>
      </c>
      <c r="Q46" s="373">
        <f t="shared" si="25"/>
        <v>91.133316468504944</v>
      </c>
      <c r="R46" s="109">
        <f t="shared" si="22"/>
        <v>1000.0000000000002</v>
      </c>
      <c r="S46" s="3">
        <f t="shared" si="23"/>
        <v>0</v>
      </c>
      <c r="U46" s="2"/>
    </row>
    <row r="47" spans="1:21" x14ac:dyDescent="0.2">
      <c r="A47" s="87">
        <v>41570.082000000002</v>
      </c>
      <c r="B47" s="15" t="s">
        <v>820</v>
      </c>
      <c r="C47" s="14">
        <f>'[6]Physical Therapy'!$J$23</f>
        <v>175</v>
      </c>
      <c r="D47" s="14">
        <f t="shared" si="24"/>
        <v>1.1067543637743486E-2</v>
      </c>
      <c r="F47" s="373">
        <f t="shared" si="25"/>
        <v>14.564887427270428</v>
      </c>
      <c r="G47" s="373">
        <f t="shared" si="25"/>
        <v>12.495256767012394</v>
      </c>
      <c r="H47" s="373">
        <f t="shared" si="25"/>
        <v>12.915823425246648</v>
      </c>
      <c r="I47" s="373">
        <f t="shared" si="25"/>
        <v>14.974386541866936</v>
      </c>
      <c r="J47" s="373">
        <f t="shared" si="25"/>
        <v>12.937958512522135</v>
      </c>
      <c r="K47" s="373">
        <f t="shared" si="25"/>
        <v>15.704844421958006</v>
      </c>
      <c r="L47" s="373">
        <f t="shared" si="25"/>
        <v>12.993296230710852</v>
      </c>
      <c r="M47" s="373">
        <f t="shared" si="25"/>
        <v>14.166455856311661</v>
      </c>
      <c r="N47" s="373">
        <f t="shared" si="25"/>
        <v>15.793384771059953</v>
      </c>
      <c r="O47" s="373">
        <f t="shared" si="25"/>
        <v>16.103275992916771</v>
      </c>
      <c r="P47" s="373">
        <f t="shared" si="25"/>
        <v>16.402099671135847</v>
      </c>
      <c r="Q47" s="373">
        <f t="shared" si="25"/>
        <v>15.948330381988363</v>
      </c>
      <c r="R47" s="109">
        <f t="shared" ref="R47" si="26">SUM(F47:Q47)</f>
        <v>175</v>
      </c>
      <c r="S47" s="3">
        <f t="shared" ref="S47" si="27">C47-R47</f>
        <v>0</v>
      </c>
      <c r="U47" s="2"/>
    </row>
    <row r="48" spans="1:21" x14ac:dyDescent="0.2">
      <c r="A48" s="87">
        <v>41571.082000000002</v>
      </c>
      <c r="B48" s="15" t="s">
        <v>1</v>
      </c>
      <c r="C48" s="14">
        <f>'[6]Physical Therapy'!$J$24</f>
        <v>1510</v>
      </c>
      <c r="D48" s="14">
        <f t="shared" si="24"/>
        <v>9.5497090817100935E-2</v>
      </c>
      <c r="F48" s="373">
        <f t="shared" si="25"/>
        <v>125.67417151530483</v>
      </c>
      <c r="G48" s="373">
        <f t="shared" si="25"/>
        <v>107.81621553250696</v>
      </c>
      <c r="H48" s="373">
        <f t="shared" si="25"/>
        <v>111.44510498355679</v>
      </c>
      <c r="I48" s="373">
        <f t="shared" si="25"/>
        <v>129.20756387553757</v>
      </c>
      <c r="J48" s="373">
        <f t="shared" si="25"/>
        <v>111.636099165191</v>
      </c>
      <c r="K48" s="373">
        <f t="shared" si="25"/>
        <v>135.51037186946624</v>
      </c>
      <c r="L48" s="373">
        <f t="shared" si="25"/>
        <v>112.11358461927649</v>
      </c>
      <c r="M48" s="373">
        <f t="shared" si="25"/>
        <v>122.2362762458892</v>
      </c>
      <c r="N48" s="373">
        <f t="shared" si="25"/>
        <v>136.27434859600302</v>
      </c>
      <c r="O48" s="373">
        <f t="shared" si="25"/>
        <v>138.94826713888187</v>
      </c>
      <c r="P48" s="373">
        <f t="shared" si="25"/>
        <v>141.52668859094359</v>
      </c>
      <c r="Q48" s="373">
        <f t="shared" si="25"/>
        <v>137.61130786744243</v>
      </c>
      <c r="R48" s="109">
        <f t="shared" si="22"/>
        <v>1510</v>
      </c>
      <c r="S48" s="3">
        <f t="shared" si="23"/>
        <v>0</v>
      </c>
      <c r="U48" s="2"/>
    </row>
    <row r="49" spans="2:21" x14ac:dyDescent="0.2">
      <c r="B49" s="77" t="s">
        <v>0</v>
      </c>
      <c r="C49" s="96">
        <f>SUM(C37:C48)</f>
        <v>284484.55</v>
      </c>
      <c r="D49" s="104">
        <f>$C49/C$4</f>
        <v>17.99168669365039</v>
      </c>
      <c r="F49" s="379">
        <f>SUM(F37:F48)</f>
        <v>23759.035128963951</v>
      </c>
      <c r="G49" s="379">
        <f t="shared" ref="G49:Q49" si="28">SUM(G37:G48)</f>
        <v>20831.839311048658</v>
      </c>
      <c r="H49" s="379">
        <f t="shared" si="28"/>
        <v>21531.715055601951</v>
      </c>
      <c r="I49" s="379">
        <f t="shared" si="28"/>
        <v>24312.128033087411</v>
      </c>
      <c r="J49" s="379">
        <f t="shared" si="28"/>
        <v>21166.108818653425</v>
      </c>
      <c r="K49" s="379">
        <f t="shared" si="28"/>
        <v>25298.726186388696</v>
      </c>
      <c r="L49" s="379">
        <f t="shared" si="28"/>
        <v>21504.519870117721</v>
      </c>
      <c r="M49" s="379">
        <f t="shared" si="28"/>
        <v>23220.890681708712</v>
      </c>
      <c r="N49" s="379">
        <f t="shared" si="28"/>
        <v>25286.479457772661</v>
      </c>
      <c r="O49" s="379">
        <f t="shared" si="28"/>
        <v>25836.870633643946</v>
      </c>
      <c r="P49" s="379">
        <f t="shared" si="28"/>
        <v>26240.478969085383</v>
      </c>
      <c r="Q49" s="379">
        <f t="shared" si="28"/>
        <v>25495.75785392748</v>
      </c>
      <c r="R49" s="109">
        <f>SUM(F49:Q49)</f>
        <v>284484.55</v>
      </c>
      <c r="S49" s="3">
        <f>C49-R49</f>
        <v>0</v>
      </c>
    </row>
    <row r="50" spans="2:21" x14ac:dyDescent="0.2">
      <c r="C50" s="3">
        <f>C49-C34</f>
        <v>-1347827.9275650773</v>
      </c>
      <c r="S50" s="2"/>
      <c r="T50" s="2"/>
      <c r="U50" s="2"/>
    </row>
    <row r="51" spans="2:21" x14ac:dyDescent="0.2">
      <c r="S51" s="2"/>
      <c r="T51" s="2"/>
      <c r="U51" s="2"/>
    </row>
    <row r="52" spans="2:21" x14ac:dyDescent="0.2">
      <c r="S52" s="2"/>
      <c r="T52" s="2"/>
      <c r="U52" s="2"/>
    </row>
    <row r="53" spans="2:21" x14ac:dyDescent="0.2">
      <c r="S53" s="2"/>
      <c r="T53" s="2"/>
      <c r="U53" s="2"/>
    </row>
    <row r="54" spans="2:21" x14ac:dyDescent="0.2">
      <c r="S54" s="2"/>
      <c r="T54" s="2"/>
      <c r="U54" s="2"/>
    </row>
  </sheetData>
  <mergeCells count="2">
    <mergeCell ref="A8:D8"/>
    <mergeCell ref="A35:D35"/>
  </mergeCells>
  <printOptions gridLines="1"/>
  <pageMargins left="0.25" right="0.25" top="0.75" bottom="0.75" header="0.3" footer="0.3"/>
  <pageSetup scale="66" orientation="landscape" r:id="rId1"/>
  <headerFooter alignWithMargins="0">
    <oddHeader xml:space="preserve">&amp;C&amp;"Arial,Bold"&amp;14DOCTORS MEMORIAL HOSPITAL
FY 2017 BUDGET
</oddHeader>
    <oddFooter xml:space="preserve">&amp;R&amp;A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43"/>
  <sheetViews>
    <sheetView topLeftCell="A13" zoomScaleNormal="100" workbookViewId="0">
      <selection activeCell="W37" sqref="W37"/>
    </sheetView>
  </sheetViews>
  <sheetFormatPr defaultRowHeight="12.75" x14ac:dyDescent="0.2"/>
  <cols>
    <col min="1" max="1" width="9.42578125" style="2" bestFit="1" customWidth="1"/>
    <col min="2" max="2" width="23.7109375" style="2" customWidth="1"/>
    <col min="3" max="3" width="11.7109375" style="2" customWidth="1"/>
    <col min="4" max="4" width="9.28515625" style="4" customWidth="1"/>
    <col min="5" max="5" width="3" style="4" customWidth="1"/>
    <col min="6" max="11" width="10.5703125" style="7" customWidth="1"/>
    <col min="12" max="17" width="10.5703125" style="3" customWidth="1"/>
    <col min="18" max="18" width="11.140625" style="96" customWidth="1"/>
    <col min="19"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19" x14ac:dyDescent="0.2">
      <c r="B2" s="35" t="s">
        <v>549</v>
      </c>
      <c r="C2" s="38">
        <f>STATS!D78</f>
        <v>0</v>
      </c>
      <c r="F2" s="131">
        <f>'MO STATS'!E74</f>
        <v>0</v>
      </c>
      <c r="G2" s="131">
        <f>'MO STATS'!F74</f>
        <v>0</v>
      </c>
      <c r="H2" s="131">
        <f>'MO STATS'!G74</f>
        <v>0</v>
      </c>
      <c r="I2" s="131">
        <f>'MO STATS'!H74</f>
        <v>0</v>
      </c>
      <c r="J2" s="131">
        <f>'MO STATS'!I74</f>
        <v>0</v>
      </c>
      <c r="K2" s="131">
        <f>'MO STATS'!J74</f>
        <v>0</v>
      </c>
      <c r="L2" s="131">
        <f>'MO STATS'!K74</f>
        <v>0</v>
      </c>
      <c r="M2" s="131">
        <f>'MO STATS'!L74</f>
        <v>0</v>
      </c>
      <c r="N2" s="131">
        <f>'MO STATS'!M74</f>
        <v>0</v>
      </c>
      <c r="O2" s="131">
        <f>'MO STATS'!N74</f>
        <v>0</v>
      </c>
      <c r="P2" s="131">
        <f>'MO STATS'!O74</f>
        <v>0</v>
      </c>
      <c r="Q2" s="131">
        <f>'MO STATS'!P74</f>
        <v>0</v>
      </c>
      <c r="R2" s="96">
        <f t="shared" ref="R2:R4" si="0">SUM(F2:Q2)</f>
        <v>0</v>
      </c>
      <c r="S2" s="3">
        <f>C2-R2</f>
        <v>0</v>
      </c>
    </row>
    <row r="3" spans="1:19" ht="12.75" customHeight="1" x14ac:dyDescent="0.2">
      <c r="B3" s="35" t="s">
        <v>550</v>
      </c>
      <c r="C3" s="38">
        <f>STATS!D79</f>
        <v>0</v>
      </c>
      <c r="D3" s="195"/>
      <c r="E3" s="195"/>
      <c r="F3" s="131">
        <f>'MO STATS'!E75</f>
        <v>0</v>
      </c>
      <c r="G3" s="131">
        <f>'MO STATS'!F75</f>
        <v>0</v>
      </c>
      <c r="H3" s="131">
        <f>'MO STATS'!G75</f>
        <v>0</v>
      </c>
      <c r="I3" s="131">
        <f>'MO STATS'!H75</f>
        <v>0</v>
      </c>
      <c r="J3" s="131">
        <f>'MO STATS'!I75</f>
        <v>0</v>
      </c>
      <c r="K3" s="131">
        <f>'MO STATS'!J75</f>
        <v>0</v>
      </c>
      <c r="L3" s="131">
        <f>'MO STATS'!K75</f>
        <v>0</v>
      </c>
      <c r="M3" s="131">
        <f>'MO STATS'!L75</f>
        <v>0</v>
      </c>
      <c r="N3" s="131">
        <f>'MO STATS'!M75</f>
        <v>0</v>
      </c>
      <c r="O3" s="131">
        <f>'MO STATS'!N75</f>
        <v>0</v>
      </c>
      <c r="P3" s="131">
        <f>'MO STATS'!O75</f>
        <v>0</v>
      </c>
      <c r="Q3" s="131">
        <f>'MO STATS'!P75</f>
        <v>0</v>
      </c>
      <c r="R3" s="96">
        <f t="shared" si="0"/>
        <v>0</v>
      </c>
      <c r="S3" s="3">
        <f>C3-R3</f>
        <v>0</v>
      </c>
    </row>
    <row r="4" spans="1:19" s="3" customFormat="1" ht="12.75" customHeight="1" x14ac:dyDescent="0.2">
      <c r="A4" s="2"/>
      <c r="B4" s="35" t="s">
        <v>551</v>
      </c>
      <c r="C4" s="38">
        <f>C2+C3</f>
        <v>0</v>
      </c>
      <c r="D4" s="195"/>
      <c r="E4" s="195"/>
      <c r="F4" s="131">
        <f>'MO STATS'!E76</f>
        <v>0</v>
      </c>
      <c r="G4" s="131">
        <f>'MO STATS'!F76</f>
        <v>0</v>
      </c>
      <c r="H4" s="131">
        <f>'MO STATS'!G76</f>
        <v>0</v>
      </c>
      <c r="I4" s="131">
        <f>'MO STATS'!H76</f>
        <v>0</v>
      </c>
      <c r="J4" s="131">
        <f>'MO STATS'!I76</f>
        <v>0</v>
      </c>
      <c r="K4" s="131">
        <f>'MO STATS'!J76</f>
        <v>0</v>
      </c>
      <c r="L4" s="131">
        <f>'MO STATS'!K76</f>
        <v>0</v>
      </c>
      <c r="M4" s="131">
        <f>'MO STATS'!L76</f>
        <v>0</v>
      </c>
      <c r="N4" s="131">
        <f>'MO STATS'!M76</f>
        <v>0</v>
      </c>
      <c r="O4" s="131">
        <f>'MO STATS'!N76</f>
        <v>0</v>
      </c>
      <c r="P4" s="131">
        <f>'MO STATS'!O76</f>
        <v>0</v>
      </c>
      <c r="Q4" s="131">
        <f>'MO STATS'!P76</f>
        <v>0</v>
      </c>
      <c r="R4" s="96">
        <f t="shared" si="0"/>
        <v>0</v>
      </c>
      <c r="S4" s="3">
        <f>C4-R4</f>
        <v>0</v>
      </c>
    </row>
    <row r="5" spans="1:19" s="3" customFormat="1" ht="12.75" customHeight="1" x14ac:dyDescent="0.2">
      <c r="A5" s="2"/>
      <c r="B5" s="35"/>
      <c r="C5" s="38"/>
      <c r="D5" s="195"/>
      <c r="E5" s="195"/>
      <c r="F5" s="100"/>
      <c r="G5" s="100"/>
      <c r="H5" s="100"/>
      <c r="I5" s="100"/>
      <c r="J5" s="100"/>
      <c r="K5" s="100"/>
      <c r="L5" s="100"/>
      <c r="M5" s="100"/>
      <c r="N5" s="100"/>
      <c r="O5" s="100"/>
      <c r="P5" s="100"/>
      <c r="Q5" s="100"/>
      <c r="R5" s="101"/>
    </row>
    <row r="6" spans="1:19" s="3" customFormat="1" ht="11.25" x14ac:dyDescent="0.2">
      <c r="A6" s="711" t="s">
        <v>35</v>
      </c>
      <c r="B6" s="711"/>
      <c r="C6" s="711"/>
      <c r="D6" s="711"/>
      <c r="E6" s="195"/>
      <c r="F6" s="7"/>
      <c r="G6" s="7"/>
      <c r="H6" s="7"/>
      <c r="I6" s="7"/>
      <c r="J6" s="7"/>
      <c r="K6" s="7"/>
      <c r="R6" s="96"/>
    </row>
    <row r="7" spans="1:19" s="3" customFormat="1" x14ac:dyDescent="0.2">
      <c r="A7" s="21"/>
      <c r="B7" s="188" t="s">
        <v>552</v>
      </c>
      <c r="C7" s="1"/>
      <c r="D7" s="180" t="s">
        <v>566</v>
      </c>
      <c r="E7" s="126"/>
      <c r="F7" s="186" t="s">
        <v>49</v>
      </c>
      <c r="G7" s="186" t="s">
        <v>48</v>
      </c>
      <c r="H7" s="186" t="s">
        <v>47</v>
      </c>
      <c r="I7" s="186" t="s">
        <v>46</v>
      </c>
      <c r="J7" s="186" t="s">
        <v>45</v>
      </c>
      <c r="K7" s="186" t="s">
        <v>44</v>
      </c>
      <c r="L7" s="186" t="s">
        <v>43</v>
      </c>
      <c r="M7" s="186" t="s">
        <v>42</v>
      </c>
      <c r="N7" s="186" t="s">
        <v>41</v>
      </c>
      <c r="O7" s="186" t="s">
        <v>40</v>
      </c>
      <c r="P7" s="186" t="s">
        <v>39</v>
      </c>
      <c r="Q7" s="186" t="s">
        <v>38</v>
      </c>
      <c r="R7" s="186" t="s">
        <v>37</v>
      </c>
    </row>
    <row r="8" spans="1:19" s="3" customFormat="1" x14ac:dyDescent="0.2">
      <c r="A8" s="16"/>
      <c r="B8" s="29" t="s">
        <v>352</v>
      </c>
      <c r="C8" s="75">
        <f>$C$2*$D8</f>
        <v>0</v>
      </c>
      <c r="D8" s="14">
        <v>0</v>
      </c>
      <c r="E8" s="28"/>
      <c r="F8" s="375">
        <f>$D8*F$2</f>
        <v>0</v>
      </c>
      <c r="G8" s="375">
        <f t="shared" ref="G8:Q14" si="1">$D8*G$2</f>
        <v>0</v>
      </c>
      <c r="H8" s="375">
        <f t="shared" si="1"/>
        <v>0</v>
      </c>
      <c r="I8" s="375">
        <f t="shared" si="1"/>
        <v>0</v>
      </c>
      <c r="J8" s="375">
        <f t="shared" si="1"/>
        <v>0</v>
      </c>
      <c r="K8" s="375">
        <f t="shared" si="1"/>
        <v>0</v>
      </c>
      <c r="L8" s="375">
        <f t="shared" si="1"/>
        <v>0</v>
      </c>
      <c r="M8" s="375">
        <f t="shared" si="1"/>
        <v>0</v>
      </c>
      <c r="N8" s="375">
        <f t="shared" si="1"/>
        <v>0</v>
      </c>
      <c r="O8" s="375">
        <f t="shared" si="1"/>
        <v>0</v>
      </c>
      <c r="P8" s="375">
        <f t="shared" si="1"/>
        <v>0</v>
      </c>
      <c r="Q8" s="375">
        <f t="shared" si="1"/>
        <v>0</v>
      </c>
      <c r="R8" s="109">
        <f>SUM(F8:Q8)</f>
        <v>0</v>
      </c>
      <c r="S8" s="3">
        <f>C8-R8</f>
        <v>0</v>
      </c>
    </row>
    <row r="9" spans="1:19" s="3" customFormat="1" x14ac:dyDescent="0.2">
      <c r="A9" s="16"/>
      <c r="B9" s="29" t="s">
        <v>353</v>
      </c>
      <c r="C9" s="75">
        <f t="shared" ref="C9:C14" si="2">$C$2*$D9</f>
        <v>0</v>
      </c>
      <c r="D9" s="14">
        <v>0</v>
      </c>
      <c r="E9" s="28"/>
      <c r="F9" s="375">
        <f t="shared" ref="F9:F14" si="3">$D9*F$2</f>
        <v>0</v>
      </c>
      <c r="G9" s="375">
        <f t="shared" si="1"/>
        <v>0</v>
      </c>
      <c r="H9" s="375">
        <f t="shared" si="1"/>
        <v>0</v>
      </c>
      <c r="I9" s="375">
        <f t="shared" si="1"/>
        <v>0</v>
      </c>
      <c r="J9" s="375">
        <f t="shared" si="1"/>
        <v>0</v>
      </c>
      <c r="K9" s="375">
        <f t="shared" si="1"/>
        <v>0</v>
      </c>
      <c r="L9" s="375">
        <f t="shared" si="1"/>
        <v>0</v>
      </c>
      <c r="M9" s="375">
        <f t="shared" si="1"/>
        <v>0</v>
      </c>
      <c r="N9" s="375">
        <f t="shared" si="1"/>
        <v>0</v>
      </c>
      <c r="O9" s="375">
        <f t="shared" si="1"/>
        <v>0</v>
      </c>
      <c r="P9" s="375">
        <f t="shared" si="1"/>
        <v>0</v>
      </c>
      <c r="Q9" s="375">
        <f t="shared" si="1"/>
        <v>0</v>
      </c>
      <c r="R9" s="109">
        <f t="shared" ref="R9:R32" si="4">SUM(F9:Q9)</f>
        <v>0</v>
      </c>
      <c r="S9" s="3">
        <f t="shared" ref="S9:S32" si="5">C9-R9</f>
        <v>0</v>
      </c>
    </row>
    <row r="10" spans="1:19" s="3" customFormat="1" x14ac:dyDescent="0.2">
      <c r="A10" s="16"/>
      <c r="B10" s="29" t="s">
        <v>355</v>
      </c>
      <c r="C10" s="75">
        <f t="shared" si="2"/>
        <v>0</v>
      </c>
      <c r="D10" s="14">
        <v>0</v>
      </c>
      <c r="E10" s="28"/>
      <c r="F10" s="375">
        <f t="shared" si="3"/>
        <v>0</v>
      </c>
      <c r="G10" s="375">
        <f t="shared" si="1"/>
        <v>0</v>
      </c>
      <c r="H10" s="375">
        <f t="shared" si="1"/>
        <v>0</v>
      </c>
      <c r="I10" s="375">
        <f t="shared" si="1"/>
        <v>0</v>
      </c>
      <c r="J10" s="375">
        <f t="shared" si="1"/>
        <v>0</v>
      </c>
      <c r="K10" s="375">
        <f t="shared" si="1"/>
        <v>0</v>
      </c>
      <c r="L10" s="375">
        <f t="shared" si="1"/>
        <v>0</v>
      </c>
      <c r="M10" s="375">
        <f t="shared" si="1"/>
        <v>0</v>
      </c>
      <c r="N10" s="375">
        <f t="shared" si="1"/>
        <v>0</v>
      </c>
      <c r="O10" s="375">
        <f t="shared" si="1"/>
        <v>0</v>
      </c>
      <c r="P10" s="375">
        <f t="shared" si="1"/>
        <v>0</v>
      </c>
      <c r="Q10" s="375">
        <f t="shared" si="1"/>
        <v>0</v>
      </c>
      <c r="R10" s="109">
        <f t="shared" si="4"/>
        <v>0</v>
      </c>
      <c r="S10" s="3">
        <f t="shared" si="5"/>
        <v>0</v>
      </c>
    </row>
    <row r="11" spans="1:19" s="3" customFormat="1" x14ac:dyDescent="0.2">
      <c r="A11" s="16"/>
      <c r="B11" s="29" t="s">
        <v>370</v>
      </c>
      <c r="C11" s="75">
        <f t="shared" si="2"/>
        <v>0</v>
      </c>
      <c r="D11" s="14">
        <v>0</v>
      </c>
      <c r="E11" s="28"/>
      <c r="F11" s="375">
        <f t="shared" si="3"/>
        <v>0</v>
      </c>
      <c r="G11" s="375">
        <f t="shared" si="1"/>
        <v>0</v>
      </c>
      <c r="H11" s="375">
        <f t="shared" si="1"/>
        <v>0</v>
      </c>
      <c r="I11" s="375">
        <f t="shared" si="1"/>
        <v>0</v>
      </c>
      <c r="J11" s="375">
        <f t="shared" si="1"/>
        <v>0</v>
      </c>
      <c r="K11" s="375">
        <f t="shared" si="1"/>
        <v>0</v>
      </c>
      <c r="L11" s="375">
        <f t="shared" si="1"/>
        <v>0</v>
      </c>
      <c r="M11" s="375">
        <f t="shared" si="1"/>
        <v>0</v>
      </c>
      <c r="N11" s="375">
        <f t="shared" si="1"/>
        <v>0</v>
      </c>
      <c r="O11" s="375">
        <f t="shared" si="1"/>
        <v>0</v>
      </c>
      <c r="P11" s="375">
        <f t="shared" si="1"/>
        <v>0</v>
      </c>
      <c r="Q11" s="375">
        <f t="shared" si="1"/>
        <v>0</v>
      </c>
      <c r="R11" s="109">
        <f t="shared" si="4"/>
        <v>0</v>
      </c>
      <c r="S11" s="3">
        <f t="shared" si="5"/>
        <v>0</v>
      </c>
    </row>
    <row r="12" spans="1:19" s="3" customFormat="1" x14ac:dyDescent="0.2">
      <c r="A12" s="16"/>
      <c r="B12" s="29" t="s">
        <v>356</v>
      </c>
      <c r="C12" s="75">
        <f t="shared" si="2"/>
        <v>0</v>
      </c>
      <c r="D12" s="14">
        <v>0</v>
      </c>
      <c r="E12" s="28"/>
      <c r="F12" s="375">
        <f t="shared" si="3"/>
        <v>0</v>
      </c>
      <c r="G12" s="375">
        <f t="shared" si="1"/>
        <v>0</v>
      </c>
      <c r="H12" s="375">
        <f t="shared" si="1"/>
        <v>0</v>
      </c>
      <c r="I12" s="375">
        <f t="shared" si="1"/>
        <v>0</v>
      </c>
      <c r="J12" s="375">
        <f t="shared" si="1"/>
        <v>0</v>
      </c>
      <c r="K12" s="375">
        <f t="shared" si="1"/>
        <v>0</v>
      </c>
      <c r="L12" s="375">
        <f t="shared" si="1"/>
        <v>0</v>
      </c>
      <c r="M12" s="375">
        <f t="shared" si="1"/>
        <v>0</v>
      </c>
      <c r="N12" s="375">
        <f t="shared" si="1"/>
        <v>0</v>
      </c>
      <c r="O12" s="375">
        <f t="shared" si="1"/>
        <v>0</v>
      </c>
      <c r="P12" s="375">
        <f t="shared" si="1"/>
        <v>0</v>
      </c>
      <c r="Q12" s="375">
        <f t="shared" si="1"/>
        <v>0</v>
      </c>
      <c r="R12" s="109">
        <f t="shared" si="4"/>
        <v>0</v>
      </c>
      <c r="S12" s="3">
        <f t="shared" si="5"/>
        <v>0</v>
      </c>
    </row>
    <row r="13" spans="1:19" s="3" customFormat="1" x14ac:dyDescent="0.2">
      <c r="A13" s="16"/>
      <c r="B13" s="29" t="s">
        <v>354</v>
      </c>
      <c r="C13" s="75">
        <f t="shared" si="2"/>
        <v>0</v>
      </c>
      <c r="D13" s="14">
        <v>0</v>
      </c>
      <c r="E13" s="28"/>
      <c r="F13" s="375">
        <f t="shared" si="3"/>
        <v>0</v>
      </c>
      <c r="G13" s="375">
        <f t="shared" si="1"/>
        <v>0</v>
      </c>
      <c r="H13" s="375">
        <f t="shared" si="1"/>
        <v>0</v>
      </c>
      <c r="I13" s="375">
        <f t="shared" si="1"/>
        <v>0</v>
      </c>
      <c r="J13" s="375">
        <f t="shared" si="1"/>
        <v>0</v>
      </c>
      <c r="K13" s="375">
        <f t="shared" si="1"/>
        <v>0</v>
      </c>
      <c r="L13" s="375">
        <f t="shared" si="1"/>
        <v>0</v>
      </c>
      <c r="M13" s="375">
        <f t="shared" si="1"/>
        <v>0</v>
      </c>
      <c r="N13" s="375">
        <f t="shared" si="1"/>
        <v>0</v>
      </c>
      <c r="O13" s="375">
        <f t="shared" si="1"/>
        <v>0</v>
      </c>
      <c r="P13" s="375">
        <f t="shared" si="1"/>
        <v>0</v>
      </c>
      <c r="Q13" s="375">
        <f t="shared" si="1"/>
        <v>0</v>
      </c>
      <c r="R13" s="109">
        <f t="shared" si="4"/>
        <v>0</v>
      </c>
      <c r="S13" s="3">
        <f t="shared" si="5"/>
        <v>0</v>
      </c>
    </row>
    <row r="14" spans="1:19" s="3" customFormat="1" x14ac:dyDescent="0.2">
      <c r="A14" s="16"/>
      <c r="B14" s="29" t="s">
        <v>357</v>
      </c>
      <c r="C14" s="75">
        <f t="shared" si="2"/>
        <v>0</v>
      </c>
      <c r="D14" s="14">
        <v>0</v>
      </c>
      <c r="E14" s="28"/>
      <c r="F14" s="375">
        <f t="shared" si="3"/>
        <v>0</v>
      </c>
      <c r="G14" s="375">
        <f t="shared" si="1"/>
        <v>0</v>
      </c>
      <c r="H14" s="375">
        <f t="shared" si="1"/>
        <v>0</v>
      </c>
      <c r="I14" s="375">
        <f t="shared" si="1"/>
        <v>0</v>
      </c>
      <c r="J14" s="375">
        <f t="shared" si="1"/>
        <v>0</v>
      </c>
      <c r="K14" s="375">
        <f t="shared" si="1"/>
        <v>0</v>
      </c>
      <c r="L14" s="375">
        <f t="shared" si="1"/>
        <v>0</v>
      </c>
      <c r="M14" s="375">
        <f t="shared" si="1"/>
        <v>0</v>
      </c>
      <c r="N14" s="375">
        <f t="shared" si="1"/>
        <v>0</v>
      </c>
      <c r="O14" s="375">
        <f t="shared" si="1"/>
        <v>0</v>
      </c>
      <c r="P14" s="375">
        <f t="shared" si="1"/>
        <v>0</v>
      </c>
      <c r="Q14" s="375">
        <f t="shared" si="1"/>
        <v>0</v>
      </c>
      <c r="R14" s="109">
        <f t="shared" si="4"/>
        <v>0</v>
      </c>
      <c r="S14" s="3">
        <f t="shared" si="5"/>
        <v>0</v>
      </c>
    </row>
    <row r="15" spans="1:19" s="3" customFormat="1" x14ac:dyDescent="0.2">
      <c r="A15" s="87">
        <v>31110.085999999999</v>
      </c>
      <c r="B15" s="161" t="s">
        <v>553</v>
      </c>
      <c r="C15" s="293">
        <f>SUM(C8:C14)</f>
        <v>0</v>
      </c>
      <c r="D15" s="293"/>
      <c r="E15" s="293"/>
      <c r="F15" s="369">
        <f>SUM(F8:F14)</f>
        <v>0</v>
      </c>
      <c r="G15" s="369">
        <f t="shared" ref="G15:Q15" si="6">SUM(G8:G14)</f>
        <v>0</v>
      </c>
      <c r="H15" s="369">
        <f t="shared" si="6"/>
        <v>0</v>
      </c>
      <c r="I15" s="369">
        <f t="shared" si="6"/>
        <v>0</v>
      </c>
      <c r="J15" s="369">
        <f t="shared" si="6"/>
        <v>0</v>
      </c>
      <c r="K15" s="369">
        <f t="shared" si="6"/>
        <v>0</v>
      </c>
      <c r="L15" s="369">
        <f t="shared" si="6"/>
        <v>0</v>
      </c>
      <c r="M15" s="369">
        <f t="shared" si="6"/>
        <v>0</v>
      </c>
      <c r="N15" s="369">
        <f t="shared" si="6"/>
        <v>0</v>
      </c>
      <c r="O15" s="369">
        <f t="shared" si="6"/>
        <v>0</v>
      </c>
      <c r="P15" s="369">
        <f t="shared" si="6"/>
        <v>0</v>
      </c>
      <c r="Q15" s="369">
        <f t="shared" si="6"/>
        <v>0</v>
      </c>
      <c r="R15" s="369">
        <f t="shared" si="4"/>
        <v>0</v>
      </c>
      <c r="S15" s="291">
        <f t="shared" si="5"/>
        <v>0</v>
      </c>
    </row>
    <row r="16" spans="1:19" s="3" customFormat="1" x14ac:dyDescent="0.2">
      <c r="A16" s="16"/>
      <c r="B16" s="29" t="s">
        <v>424</v>
      </c>
      <c r="C16" s="75">
        <f t="shared" ref="C16:C22" si="7">$C$2*D16</f>
        <v>0</v>
      </c>
      <c r="D16" s="14">
        <v>0</v>
      </c>
      <c r="E16" s="28"/>
      <c r="F16" s="375">
        <f>$D16*F$2</f>
        <v>0</v>
      </c>
      <c r="G16" s="375">
        <f t="shared" ref="G16:Q22" si="8">$D16*G$2</f>
        <v>0</v>
      </c>
      <c r="H16" s="375">
        <f t="shared" si="8"/>
        <v>0</v>
      </c>
      <c r="I16" s="375">
        <f t="shared" si="8"/>
        <v>0</v>
      </c>
      <c r="J16" s="375">
        <f t="shared" si="8"/>
        <v>0</v>
      </c>
      <c r="K16" s="375">
        <f t="shared" si="8"/>
        <v>0</v>
      </c>
      <c r="L16" s="375">
        <f t="shared" si="8"/>
        <v>0</v>
      </c>
      <c r="M16" s="375">
        <f t="shared" si="8"/>
        <v>0</v>
      </c>
      <c r="N16" s="375">
        <f t="shared" si="8"/>
        <v>0</v>
      </c>
      <c r="O16" s="375">
        <f t="shared" si="8"/>
        <v>0</v>
      </c>
      <c r="P16" s="375">
        <f t="shared" si="8"/>
        <v>0</v>
      </c>
      <c r="Q16" s="375">
        <f t="shared" si="8"/>
        <v>0</v>
      </c>
      <c r="R16" s="109">
        <f t="shared" si="4"/>
        <v>0</v>
      </c>
      <c r="S16" s="3">
        <f t="shared" si="5"/>
        <v>0</v>
      </c>
    </row>
    <row r="17" spans="1:21" x14ac:dyDescent="0.2">
      <c r="A17" s="16"/>
      <c r="B17" s="29" t="s">
        <v>425</v>
      </c>
      <c r="C17" s="75">
        <f t="shared" si="7"/>
        <v>0</v>
      </c>
      <c r="D17" s="14">
        <f>'[9]OCCUPATIONAL THERAPY'!$M$22</f>
        <v>0</v>
      </c>
      <c r="E17" s="28"/>
      <c r="F17" s="375">
        <f t="shared" ref="F17:F22" si="9">$D17*F$2</f>
        <v>0</v>
      </c>
      <c r="G17" s="375">
        <f t="shared" si="8"/>
        <v>0</v>
      </c>
      <c r="H17" s="375">
        <f t="shared" si="8"/>
        <v>0</v>
      </c>
      <c r="I17" s="375">
        <f t="shared" si="8"/>
        <v>0</v>
      </c>
      <c r="J17" s="375">
        <f t="shared" si="8"/>
        <v>0</v>
      </c>
      <c r="K17" s="375">
        <f t="shared" si="8"/>
        <v>0</v>
      </c>
      <c r="L17" s="375">
        <f t="shared" si="8"/>
        <v>0</v>
      </c>
      <c r="M17" s="375">
        <f t="shared" si="8"/>
        <v>0</v>
      </c>
      <c r="N17" s="375">
        <f t="shared" si="8"/>
        <v>0</v>
      </c>
      <c r="O17" s="375">
        <f t="shared" si="8"/>
        <v>0</v>
      </c>
      <c r="P17" s="375">
        <f t="shared" si="8"/>
        <v>0</v>
      </c>
      <c r="Q17" s="375">
        <f t="shared" si="8"/>
        <v>0</v>
      </c>
      <c r="R17" s="109">
        <f t="shared" si="4"/>
        <v>0</v>
      </c>
      <c r="S17" s="3">
        <f t="shared" si="5"/>
        <v>0</v>
      </c>
    </row>
    <row r="18" spans="1:21" x14ac:dyDescent="0.2">
      <c r="A18" s="16"/>
      <c r="B18" s="29" t="s">
        <v>426</v>
      </c>
      <c r="C18" s="75">
        <f t="shared" si="7"/>
        <v>0</v>
      </c>
      <c r="D18" s="14">
        <f>'[9]OCCUPATIONAL THERAPY'!$M$23</f>
        <v>0</v>
      </c>
      <c r="E18" s="28"/>
      <c r="F18" s="375">
        <f t="shared" si="9"/>
        <v>0</v>
      </c>
      <c r="G18" s="375">
        <f t="shared" si="8"/>
        <v>0</v>
      </c>
      <c r="H18" s="375">
        <f t="shared" si="8"/>
        <v>0</v>
      </c>
      <c r="I18" s="375">
        <f t="shared" si="8"/>
        <v>0</v>
      </c>
      <c r="J18" s="375">
        <f t="shared" si="8"/>
        <v>0</v>
      </c>
      <c r="K18" s="375">
        <f t="shared" si="8"/>
        <v>0</v>
      </c>
      <c r="L18" s="375">
        <f t="shared" si="8"/>
        <v>0</v>
      </c>
      <c r="M18" s="375">
        <f t="shared" si="8"/>
        <v>0</v>
      </c>
      <c r="N18" s="375">
        <f t="shared" si="8"/>
        <v>0</v>
      </c>
      <c r="O18" s="375">
        <f t="shared" si="8"/>
        <v>0</v>
      </c>
      <c r="P18" s="375">
        <f t="shared" si="8"/>
        <v>0</v>
      </c>
      <c r="Q18" s="375">
        <f t="shared" si="8"/>
        <v>0</v>
      </c>
      <c r="R18" s="109">
        <f t="shared" si="4"/>
        <v>0</v>
      </c>
      <c r="S18" s="3">
        <f t="shared" si="5"/>
        <v>0</v>
      </c>
    </row>
    <row r="19" spans="1:21" x14ac:dyDescent="0.2">
      <c r="A19" s="16"/>
      <c r="B19" s="29" t="s">
        <v>427</v>
      </c>
      <c r="C19" s="75">
        <f t="shared" si="7"/>
        <v>0</v>
      </c>
      <c r="D19" s="14">
        <v>0</v>
      </c>
      <c r="E19" s="28"/>
      <c r="F19" s="375">
        <f t="shared" si="9"/>
        <v>0</v>
      </c>
      <c r="G19" s="375">
        <f t="shared" si="8"/>
        <v>0</v>
      </c>
      <c r="H19" s="375">
        <f t="shared" si="8"/>
        <v>0</v>
      </c>
      <c r="I19" s="375">
        <f t="shared" si="8"/>
        <v>0</v>
      </c>
      <c r="J19" s="375">
        <f t="shared" si="8"/>
        <v>0</v>
      </c>
      <c r="K19" s="375">
        <f t="shared" si="8"/>
        <v>0</v>
      </c>
      <c r="L19" s="375">
        <f t="shared" si="8"/>
        <v>0</v>
      </c>
      <c r="M19" s="375">
        <f t="shared" si="8"/>
        <v>0</v>
      </c>
      <c r="N19" s="375">
        <f t="shared" si="8"/>
        <v>0</v>
      </c>
      <c r="O19" s="375">
        <f t="shared" si="8"/>
        <v>0</v>
      </c>
      <c r="P19" s="375">
        <f t="shared" si="8"/>
        <v>0</v>
      </c>
      <c r="Q19" s="375">
        <f t="shared" si="8"/>
        <v>0</v>
      </c>
      <c r="R19" s="376">
        <f t="shared" si="4"/>
        <v>0</v>
      </c>
      <c r="S19" s="3">
        <f t="shared" si="5"/>
        <v>0</v>
      </c>
    </row>
    <row r="20" spans="1:21" x14ac:dyDescent="0.2">
      <c r="A20" s="16"/>
      <c r="B20" s="29" t="s">
        <v>428</v>
      </c>
      <c r="C20" s="75">
        <f t="shared" si="7"/>
        <v>0</v>
      </c>
      <c r="D20" s="14">
        <f>'[9]OCCUPATIONAL THERAPY'!$M$24</f>
        <v>0</v>
      </c>
      <c r="E20" s="28"/>
      <c r="F20" s="375">
        <f t="shared" si="9"/>
        <v>0</v>
      </c>
      <c r="G20" s="375">
        <f t="shared" si="8"/>
        <v>0</v>
      </c>
      <c r="H20" s="375">
        <f t="shared" si="8"/>
        <v>0</v>
      </c>
      <c r="I20" s="375">
        <f t="shared" si="8"/>
        <v>0</v>
      </c>
      <c r="J20" s="375">
        <f t="shared" si="8"/>
        <v>0</v>
      </c>
      <c r="K20" s="375">
        <f t="shared" si="8"/>
        <v>0</v>
      </c>
      <c r="L20" s="375">
        <f t="shared" si="8"/>
        <v>0</v>
      </c>
      <c r="M20" s="375">
        <f t="shared" si="8"/>
        <v>0</v>
      </c>
      <c r="N20" s="375">
        <f t="shared" si="8"/>
        <v>0</v>
      </c>
      <c r="O20" s="375">
        <f t="shared" si="8"/>
        <v>0</v>
      </c>
      <c r="P20" s="375">
        <f t="shared" si="8"/>
        <v>0</v>
      </c>
      <c r="Q20" s="375">
        <f t="shared" si="8"/>
        <v>0</v>
      </c>
      <c r="R20" s="109">
        <f t="shared" si="4"/>
        <v>0</v>
      </c>
      <c r="S20" s="3">
        <f t="shared" si="5"/>
        <v>0</v>
      </c>
    </row>
    <row r="21" spans="1:21" x14ac:dyDescent="0.2">
      <c r="A21" s="16"/>
      <c r="B21" s="29" t="s">
        <v>429</v>
      </c>
      <c r="C21" s="75">
        <f t="shared" si="7"/>
        <v>0</v>
      </c>
      <c r="D21" s="14">
        <v>0</v>
      </c>
      <c r="E21" s="28"/>
      <c r="F21" s="375">
        <f t="shared" si="9"/>
        <v>0</v>
      </c>
      <c r="G21" s="375">
        <f t="shared" si="8"/>
        <v>0</v>
      </c>
      <c r="H21" s="375">
        <f t="shared" si="8"/>
        <v>0</v>
      </c>
      <c r="I21" s="375">
        <f t="shared" si="8"/>
        <v>0</v>
      </c>
      <c r="J21" s="375">
        <f t="shared" si="8"/>
        <v>0</v>
      </c>
      <c r="K21" s="375">
        <f t="shared" si="8"/>
        <v>0</v>
      </c>
      <c r="L21" s="375">
        <f t="shared" si="8"/>
        <v>0</v>
      </c>
      <c r="M21" s="375">
        <f t="shared" si="8"/>
        <v>0</v>
      </c>
      <c r="N21" s="375">
        <f t="shared" si="8"/>
        <v>0</v>
      </c>
      <c r="O21" s="375">
        <f t="shared" si="8"/>
        <v>0</v>
      </c>
      <c r="P21" s="375">
        <f t="shared" si="8"/>
        <v>0</v>
      </c>
      <c r="Q21" s="375">
        <f t="shared" si="8"/>
        <v>0</v>
      </c>
      <c r="R21" s="109">
        <f t="shared" si="4"/>
        <v>0</v>
      </c>
      <c r="S21" s="3">
        <f t="shared" si="5"/>
        <v>0</v>
      </c>
    </row>
    <row r="22" spans="1:21" x14ac:dyDescent="0.2">
      <c r="A22" s="16"/>
      <c r="B22" s="29" t="s">
        <v>430</v>
      </c>
      <c r="C22" s="75">
        <f t="shared" si="7"/>
        <v>0</v>
      </c>
      <c r="D22" s="14">
        <f>'[9]OCCUPATIONAL THERAPY'!$M$26</f>
        <v>0</v>
      </c>
      <c r="E22" s="28"/>
      <c r="F22" s="375">
        <f t="shared" si="9"/>
        <v>0</v>
      </c>
      <c r="G22" s="375">
        <f t="shared" si="8"/>
        <v>0</v>
      </c>
      <c r="H22" s="375">
        <f t="shared" si="8"/>
        <v>0</v>
      </c>
      <c r="I22" s="375">
        <f t="shared" si="8"/>
        <v>0</v>
      </c>
      <c r="J22" s="375">
        <f t="shared" si="8"/>
        <v>0</v>
      </c>
      <c r="K22" s="375">
        <f t="shared" si="8"/>
        <v>0</v>
      </c>
      <c r="L22" s="375">
        <f t="shared" si="8"/>
        <v>0</v>
      </c>
      <c r="M22" s="375">
        <f t="shared" si="8"/>
        <v>0</v>
      </c>
      <c r="N22" s="375">
        <f t="shared" si="8"/>
        <v>0</v>
      </c>
      <c r="O22" s="375">
        <f t="shared" si="8"/>
        <v>0</v>
      </c>
      <c r="P22" s="375">
        <f t="shared" si="8"/>
        <v>0</v>
      </c>
      <c r="Q22" s="375">
        <f t="shared" si="8"/>
        <v>0</v>
      </c>
      <c r="R22" s="109">
        <f t="shared" si="4"/>
        <v>0</v>
      </c>
      <c r="S22" s="3">
        <f t="shared" si="5"/>
        <v>0</v>
      </c>
    </row>
    <row r="23" spans="1:21" x14ac:dyDescent="0.2">
      <c r="A23" s="132">
        <v>31111.085999999999</v>
      </c>
      <c r="B23" s="161" t="s">
        <v>554</v>
      </c>
      <c r="C23" s="293">
        <f>SUM(C16:C22)</f>
        <v>0</v>
      </c>
      <c r="D23" s="293"/>
      <c r="E23" s="293"/>
      <c r="F23" s="369">
        <f>SUM(F16:F22)</f>
        <v>0</v>
      </c>
      <c r="G23" s="369">
        <f t="shared" ref="G23:Q23" si="10">SUM(G16:G22)</f>
        <v>0</v>
      </c>
      <c r="H23" s="369">
        <f t="shared" si="10"/>
        <v>0</v>
      </c>
      <c r="I23" s="369">
        <f t="shared" si="10"/>
        <v>0</v>
      </c>
      <c r="J23" s="369">
        <f t="shared" si="10"/>
        <v>0</v>
      </c>
      <c r="K23" s="369">
        <f t="shared" si="10"/>
        <v>0</v>
      </c>
      <c r="L23" s="369">
        <f t="shared" si="10"/>
        <v>0</v>
      </c>
      <c r="M23" s="369">
        <f t="shared" si="10"/>
        <v>0</v>
      </c>
      <c r="N23" s="369">
        <f t="shared" si="10"/>
        <v>0</v>
      </c>
      <c r="O23" s="369">
        <f t="shared" si="10"/>
        <v>0</v>
      </c>
      <c r="P23" s="369">
        <f t="shared" si="10"/>
        <v>0</v>
      </c>
      <c r="Q23" s="369">
        <f t="shared" si="10"/>
        <v>0</v>
      </c>
      <c r="R23" s="369">
        <f t="shared" si="4"/>
        <v>0</v>
      </c>
      <c r="S23" s="291">
        <f t="shared" si="5"/>
        <v>0</v>
      </c>
    </row>
    <row r="24" spans="1:21" x14ac:dyDescent="0.2">
      <c r="A24" s="16"/>
      <c r="B24" s="29" t="s">
        <v>358</v>
      </c>
      <c r="C24" s="75">
        <f t="shared" ref="C24:C30" si="11">$C$3*D24</f>
        <v>0</v>
      </c>
      <c r="D24" s="14">
        <v>0</v>
      </c>
      <c r="E24" s="28"/>
      <c r="F24" s="375">
        <f>$D24*F$3</f>
        <v>0</v>
      </c>
      <c r="G24" s="375">
        <f t="shared" ref="G24:Q30" si="12">$D24*G$3</f>
        <v>0</v>
      </c>
      <c r="H24" s="375">
        <f t="shared" si="12"/>
        <v>0</v>
      </c>
      <c r="I24" s="375">
        <f t="shared" si="12"/>
        <v>0</v>
      </c>
      <c r="J24" s="375">
        <f t="shared" si="12"/>
        <v>0</v>
      </c>
      <c r="K24" s="375">
        <f t="shared" si="12"/>
        <v>0</v>
      </c>
      <c r="L24" s="375">
        <f t="shared" si="12"/>
        <v>0</v>
      </c>
      <c r="M24" s="375">
        <f t="shared" si="12"/>
        <v>0</v>
      </c>
      <c r="N24" s="375">
        <f t="shared" si="12"/>
        <v>0</v>
      </c>
      <c r="O24" s="375">
        <f t="shared" si="12"/>
        <v>0</v>
      </c>
      <c r="P24" s="375">
        <f t="shared" si="12"/>
        <v>0</v>
      </c>
      <c r="Q24" s="375">
        <f t="shared" si="12"/>
        <v>0</v>
      </c>
      <c r="R24" s="109">
        <f t="shared" si="4"/>
        <v>0</v>
      </c>
      <c r="S24" s="3">
        <f t="shared" si="5"/>
        <v>0</v>
      </c>
    </row>
    <row r="25" spans="1:21" x14ac:dyDescent="0.2">
      <c r="A25" s="16"/>
      <c r="B25" s="29" t="s">
        <v>359</v>
      </c>
      <c r="C25" s="75">
        <f t="shared" si="11"/>
        <v>0</v>
      </c>
      <c r="D25" s="14">
        <f>'[9]OCCUPATIONAL THERAPY'!$M$32</f>
        <v>0</v>
      </c>
      <c r="E25" s="28"/>
      <c r="F25" s="375">
        <f t="shared" ref="F25:F30" si="13">$D25*F$3</f>
        <v>0</v>
      </c>
      <c r="G25" s="375">
        <f t="shared" si="12"/>
        <v>0</v>
      </c>
      <c r="H25" s="375">
        <f t="shared" si="12"/>
        <v>0</v>
      </c>
      <c r="I25" s="375">
        <f t="shared" si="12"/>
        <v>0</v>
      </c>
      <c r="J25" s="375">
        <f t="shared" si="12"/>
        <v>0</v>
      </c>
      <c r="K25" s="375">
        <f t="shared" si="12"/>
        <v>0</v>
      </c>
      <c r="L25" s="375">
        <f t="shared" si="12"/>
        <v>0</v>
      </c>
      <c r="M25" s="375">
        <f t="shared" si="12"/>
        <v>0</v>
      </c>
      <c r="N25" s="375">
        <f t="shared" si="12"/>
        <v>0</v>
      </c>
      <c r="O25" s="375">
        <f t="shared" si="12"/>
        <v>0</v>
      </c>
      <c r="P25" s="375">
        <f t="shared" si="12"/>
        <v>0</v>
      </c>
      <c r="Q25" s="375">
        <f t="shared" si="12"/>
        <v>0</v>
      </c>
      <c r="R25" s="109">
        <f t="shared" si="4"/>
        <v>0</v>
      </c>
      <c r="S25" s="3">
        <f t="shared" si="5"/>
        <v>0</v>
      </c>
    </row>
    <row r="26" spans="1:21" x14ac:dyDescent="0.2">
      <c r="A26" s="16"/>
      <c r="B26" s="29" t="s">
        <v>372</v>
      </c>
      <c r="C26" s="75">
        <f t="shared" si="11"/>
        <v>0</v>
      </c>
      <c r="D26" s="14">
        <f>'[9]OCCUPATIONAL THERAPY'!$M$33</f>
        <v>0</v>
      </c>
      <c r="E26" s="28"/>
      <c r="F26" s="375">
        <f t="shared" si="13"/>
        <v>0</v>
      </c>
      <c r="G26" s="375">
        <f t="shared" si="12"/>
        <v>0</v>
      </c>
      <c r="H26" s="375">
        <f t="shared" si="12"/>
        <v>0</v>
      </c>
      <c r="I26" s="375">
        <f t="shared" si="12"/>
        <v>0</v>
      </c>
      <c r="J26" s="375">
        <f t="shared" si="12"/>
        <v>0</v>
      </c>
      <c r="K26" s="375">
        <f t="shared" si="12"/>
        <v>0</v>
      </c>
      <c r="L26" s="375">
        <f t="shared" si="12"/>
        <v>0</v>
      </c>
      <c r="M26" s="375">
        <f t="shared" si="12"/>
        <v>0</v>
      </c>
      <c r="N26" s="375">
        <f t="shared" si="12"/>
        <v>0</v>
      </c>
      <c r="O26" s="375">
        <f t="shared" si="12"/>
        <v>0</v>
      </c>
      <c r="P26" s="375">
        <f t="shared" si="12"/>
        <v>0</v>
      </c>
      <c r="Q26" s="375">
        <f t="shared" si="12"/>
        <v>0</v>
      </c>
      <c r="R26" s="109">
        <f t="shared" si="4"/>
        <v>0</v>
      </c>
      <c r="S26" s="3">
        <f t="shared" si="5"/>
        <v>0</v>
      </c>
    </row>
    <row r="27" spans="1:21" x14ac:dyDescent="0.2">
      <c r="A27" s="16"/>
      <c r="B27" s="29" t="s">
        <v>373</v>
      </c>
      <c r="C27" s="75">
        <f t="shared" si="11"/>
        <v>0</v>
      </c>
      <c r="D27" s="14">
        <v>0</v>
      </c>
      <c r="E27" s="28"/>
      <c r="F27" s="375">
        <f t="shared" si="13"/>
        <v>0</v>
      </c>
      <c r="G27" s="375">
        <f t="shared" si="12"/>
        <v>0</v>
      </c>
      <c r="H27" s="375">
        <f t="shared" si="12"/>
        <v>0</v>
      </c>
      <c r="I27" s="375">
        <f t="shared" si="12"/>
        <v>0</v>
      </c>
      <c r="J27" s="375">
        <f t="shared" si="12"/>
        <v>0</v>
      </c>
      <c r="K27" s="375">
        <f t="shared" si="12"/>
        <v>0</v>
      </c>
      <c r="L27" s="375">
        <f t="shared" si="12"/>
        <v>0</v>
      </c>
      <c r="M27" s="375">
        <f t="shared" si="12"/>
        <v>0</v>
      </c>
      <c r="N27" s="375">
        <f t="shared" si="12"/>
        <v>0</v>
      </c>
      <c r="O27" s="375">
        <f t="shared" si="12"/>
        <v>0</v>
      </c>
      <c r="P27" s="375">
        <f t="shared" si="12"/>
        <v>0</v>
      </c>
      <c r="Q27" s="375">
        <f t="shared" si="12"/>
        <v>0</v>
      </c>
      <c r="R27" s="109">
        <f t="shared" si="4"/>
        <v>0</v>
      </c>
      <c r="S27" s="3">
        <f t="shared" si="5"/>
        <v>0</v>
      </c>
    </row>
    <row r="28" spans="1:21" x14ac:dyDescent="0.2">
      <c r="A28" s="163"/>
      <c r="B28" s="29" t="s">
        <v>361</v>
      </c>
      <c r="C28" s="75">
        <f t="shared" si="11"/>
        <v>0</v>
      </c>
      <c r="D28" s="14">
        <v>0</v>
      </c>
      <c r="E28" s="28"/>
      <c r="F28" s="375">
        <f t="shared" si="13"/>
        <v>0</v>
      </c>
      <c r="G28" s="375">
        <f t="shared" si="12"/>
        <v>0</v>
      </c>
      <c r="H28" s="375">
        <f t="shared" si="12"/>
        <v>0</v>
      </c>
      <c r="I28" s="375">
        <f t="shared" si="12"/>
        <v>0</v>
      </c>
      <c r="J28" s="375">
        <f t="shared" si="12"/>
        <v>0</v>
      </c>
      <c r="K28" s="375">
        <f t="shared" si="12"/>
        <v>0</v>
      </c>
      <c r="L28" s="375">
        <f t="shared" si="12"/>
        <v>0</v>
      </c>
      <c r="M28" s="375">
        <f t="shared" si="12"/>
        <v>0</v>
      </c>
      <c r="N28" s="375">
        <f t="shared" si="12"/>
        <v>0</v>
      </c>
      <c r="O28" s="375">
        <f t="shared" si="12"/>
        <v>0</v>
      </c>
      <c r="P28" s="375">
        <f t="shared" si="12"/>
        <v>0</v>
      </c>
      <c r="Q28" s="375">
        <f t="shared" si="12"/>
        <v>0</v>
      </c>
      <c r="R28" s="109">
        <f t="shared" si="4"/>
        <v>0</v>
      </c>
      <c r="S28" s="3">
        <f t="shared" si="5"/>
        <v>0</v>
      </c>
    </row>
    <row r="29" spans="1:21" x14ac:dyDescent="0.2">
      <c r="A29" s="163"/>
      <c r="B29" s="29" t="s">
        <v>360</v>
      </c>
      <c r="C29" s="75">
        <f t="shared" si="11"/>
        <v>0</v>
      </c>
      <c r="D29" s="14">
        <v>0</v>
      </c>
      <c r="E29" s="28"/>
      <c r="F29" s="375">
        <f t="shared" si="13"/>
        <v>0</v>
      </c>
      <c r="G29" s="375">
        <f t="shared" si="12"/>
        <v>0</v>
      </c>
      <c r="H29" s="375">
        <f t="shared" si="12"/>
        <v>0</v>
      </c>
      <c r="I29" s="375">
        <f t="shared" si="12"/>
        <v>0</v>
      </c>
      <c r="J29" s="375">
        <f t="shared" si="12"/>
        <v>0</v>
      </c>
      <c r="K29" s="375">
        <f t="shared" si="12"/>
        <v>0</v>
      </c>
      <c r="L29" s="375">
        <f t="shared" si="12"/>
        <v>0</v>
      </c>
      <c r="M29" s="375">
        <f t="shared" si="12"/>
        <v>0</v>
      </c>
      <c r="N29" s="375">
        <f t="shared" si="12"/>
        <v>0</v>
      </c>
      <c r="O29" s="375">
        <f t="shared" si="12"/>
        <v>0</v>
      </c>
      <c r="P29" s="375">
        <f t="shared" si="12"/>
        <v>0</v>
      </c>
      <c r="Q29" s="375">
        <f t="shared" si="12"/>
        <v>0</v>
      </c>
      <c r="R29" s="109">
        <f t="shared" si="4"/>
        <v>0</v>
      </c>
      <c r="S29" s="3">
        <f t="shared" si="5"/>
        <v>0</v>
      </c>
    </row>
    <row r="30" spans="1:21" x14ac:dyDescent="0.2">
      <c r="A30" s="163"/>
      <c r="B30" s="29" t="s">
        <v>362</v>
      </c>
      <c r="C30" s="75">
        <f t="shared" si="11"/>
        <v>0</v>
      </c>
      <c r="D30" s="14">
        <f>'[9]OCCUPATIONAL THERAPY'!$M$36</f>
        <v>0</v>
      </c>
      <c r="E30" s="28"/>
      <c r="F30" s="375">
        <f t="shared" si="13"/>
        <v>0</v>
      </c>
      <c r="G30" s="375">
        <f t="shared" si="12"/>
        <v>0</v>
      </c>
      <c r="H30" s="375">
        <f t="shared" si="12"/>
        <v>0</v>
      </c>
      <c r="I30" s="375">
        <f t="shared" si="12"/>
        <v>0</v>
      </c>
      <c r="J30" s="375">
        <f t="shared" si="12"/>
        <v>0</v>
      </c>
      <c r="K30" s="375">
        <f t="shared" si="12"/>
        <v>0</v>
      </c>
      <c r="L30" s="375">
        <f t="shared" si="12"/>
        <v>0</v>
      </c>
      <c r="M30" s="375">
        <f t="shared" si="12"/>
        <v>0</v>
      </c>
      <c r="N30" s="375">
        <f t="shared" si="12"/>
        <v>0</v>
      </c>
      <c r="O30" s="375">
        <f t="shared" si="12"/>
        <v>0</v>
      </c>
      <c r="P30" s="375">
        <f t="shared" si="12"/>
        <v>0</v>
      </c>
      <c r="Q30" s="375">
        <f t="shared" si="12"/>
        <v>0</v>
      </c>
      <c r="R30" s="109">
        <f t="shared" si="4"/>
        <v>0</v>
      </c>
      <c r="S30" s="3">
        <f t="shared" si="5"/>
        <v>0</v>
      </c>
    </row>
    <row r="31" spans="1:21" x14ac:dyDescent="0.2">
      <c r="A31" s="90">
        <v>31200.085999999999</v>
      </c>
      <c r="B31" s="161" t="s">
        <v>555</v>
      </c>
      <c r="C31" s="293">
        <f>SUM(C24:C30)</f>
        <v>0</v>
      </c>
      <c r="D31" s="293"/>
      <c r="E31" s="293"/>
      <c r="F31" s="369">
        <f>SUM(F24:F30)</f>
        <v>0</v>
      </c>
      <c r="G31" s="369">
        <f t="shared" ref="G31:Q31" si="14">SUM(G24:G30)</f>
        <v>0</v>
      </c>
      <c r="H31" s="369">
        <f t="shared" si="14"/>
        <v>0</v>
      </c>
      <c r="I31" s="369">
        <f t="shared" si="14"/>
        <v>0</v>
      </c>
      <c r="J31" s="369">
        <f t="shared" si="14"/>
        <v>0</v>
      </c>
      <c r="K31" s="369">
        <f t="shared" si="14"/>
        <v>0</v>
      </c>
      <c r="L31" s="369">
        <f t="shared" si="14"/>
        <v>0</v>
      </c>
      <c r="M31" s="369">
        <f t="shared" si="14"/>
        <v>0</v>
      </c>
      <c r="N31" s="369">
        <f t="shared" si="14"/>
        <v>0</v>
      </c>
      <c r="O31" s="369">
        <f t="shared" si="14"/>
        <v>0</v>
      </c>
      <c r="P31" s="369">
        <f t="shared" si="14"/>
        <v>0</v>
      </c>
      <c r="Q31" s="369">
        <f t="shared" si="14"/>
        <v>0</v>
      </c>
      <c r="R31" s="369">
        <f t="shared" si="4"/>
        <v>0</v>
      </c>
      <c r="S31" s="291">
        <f t="shared" si="5"/>
        <v>0</v>
      </c>
    </row>
    <row r="32" spans="1:21" s="5" customFormat="1" x14ac:dyDescent="0.2">
      <c r="A32" s="11"/>
      <c r="B32" s="10" t="s">
        <v>0</v>
      </c>
      <c r="C32" s="293">
        <f>C15+C23+C31</f>
        <v>0</v>
      </c>
      <c r="D32" s="293" t="e">
        <f>(C32/C$4)</f>
        <v>#DIV/0!</v>
      </c>
      <c r="E32" s="293"/>
      <c r="F32" s="369">
        <f>F15+F23+F31</f>
        <v>0</v>
      </c>
      <c r="G32" s="369">
        <f t="shared" ref="G32:Q32" si="15">G15+G23+G31</f>
        <v>0</v>
      </c>
      <c r="H32" s="369">
        <f t="shared" si="15"/>
        <v>0</v>
      </c>
      <c r="I32" s="369">
        <f t="shared" si="15"/>
        <v>0</v>
      </c>
      <c r="J32" s="369">
        <f t="shared" si="15"/>
        <v>0</v>
      </c>
      <c r="K32" s="369">
        <f t="shared" si="15"/>
        <v>0</v>
      </c>
      <c r="L32" s="369">
        <f t="shared" si="15"/>
        <v>0</v>
      </c>
      <c r="M32" s="369">
        <f t="shared" si="15"/>
        <v>0</v>
      </c>
      <c r="N32" s="369">
        <f t="shared" si="15"/>
        <v>0</v>
      </c>
      <c r="O32" s="369">
        <f t="shared" si="15"/>
        <v>0</v>
      </c>
      <c r="P32" s="369">
        <f t="shared" si="15"/>
        <v>0</v>
      </c>
      <c r="Q32" s="369">
        <f t="shared" si="15"/>
        <v>0</v>
      </c>
      <c r="R32" s="369">
        <f t="shared" si="4"/>
        <v>0</v>
      </c>
      <c r="S32" s="291">
        <f t="shared" si="5"/>
        <v>0</v>
      </c>
      <c r="T32" s="3"/>
      <c r="U32" s="3"/>
    </row>
    <row r="33" spans="1:21" x14ac:dyDescent="0.2">
      <c r="A33" s="711" t="s">
        <v>25</v>
      </c>
      <c r="B33" s="711"/>
      <c r="C33" s="711"/>
      <c r="D33" s="711"/>
      <c r="E33" s="195"/>
      <c r="F33" s="375"/>
      <c r="G33" s="375"/>
      <c r="H33" s="375"/>
      <c r="I33" s="375"/>
      <c r="J33" s="375"/>
      <c r="K33" s="375"/>
      <c r="L33" s="376"/>
      <c r="M33" s="376"/>
      <c r="N33" s="376"/>
      <c r="O33" s="376"/>
      <c r="P33" s="376"/>
      <c r="Q33" s="376"/>
      <c r="R33" s="109"/>
    </row>
    <row r="34" spans="1:21" s="151" customFormat="1" x14ac:dyDescent="0.2">
      <c r="A34" s="21"/>
      <c r="B34" s="10" t="s">
        <v>556</v>
      </c>
      <c r="C34" s="20"/>
      <c r="D34" s="78"/>
      <c r="E34" s="78"/>
      <c r="F34" s="377"/>
      <c r="G34" s="377"/>
      <c r="H34" s="377"/>
      <c r="I34" s="377"/>
      <c r="J34" s="377"/>
      <c r="K34" s="377"/>
      <c r="L34" s="378"/>
      <c r="M34" s="378"/>
      <c r="N34" s="378"/>
      <c r="O34" s="378"/>
      <c r="P34" s="378"/>
      <c r="Q34" s="378"/>
      <c r="R34" s="109"/>
      <c r="S34" s="3"/>
      <c r="T34" s="3"/>
      <c r="U34" s="3"/>
    </row>
    <row r="35" spans="1:21" s="151" customFormat="1" x14ac:dyDescent="0.2">
      <c r="A35" s="87">
        <v>41237.086000000003</v>
      </c>
      <c r="B35" s="15" t="s">
        <v>456</v>
      </c>
      <c r="C35" s="14"/>
      <c r="D35" s="14">
        <f>IF(C$4=0,0,$C35/C$4)</f>
        <v>0</v>
      </c>
      <c r="E35" s="78"/>
      <c r="F35" s="373">
        <f t="shared" ref="F35:Q37" si="16">$D35*F$4</f>
        <v>0</v>
      </c>
      <c r="G35" s="373">
        <f t="shared" si="16"/>
        <v>0</v>
      </c>
      <c r="H35" s="373">
        <f t="shared" si="16"/>
        <v>0</v>
      </c>
      <c r="I35" s="373">
        <f t="shared" si="16"/>
        <v>0</v>
      </c>
      <c r="J35" s="373">
        <f t="shared" si="16"/>
        <v>0</v>
      </c>
      <c r="K35" s="373">
        <f t="shared" si="16"/>
        <v>0</v>
      </c>
      <c r="L35" s="373">
        <f t="shared" si="16"/>
        <v>0</v>
      </c>
      <c r="M35" s="373">
        <f t="shared" si="16"/>
        <v>0</v>
      </c>
      <c r="N35" s="373">
        <f t="shared" si="16"/>
        <v>0</v>
      </c>
      <c r="O35" s="373">
        <f t="shared" si="16"/>
        <v>0</v>
      </c>
      <c r="P35" s="373">
        <f t="shared" si="16"/>
        <v>0</v>
      </c>
      <c r="Q35" s="373">
        <f t="shared" si="16"/>
        <v>0</v>
      </c>
      <c r="R35" s="109">
        <f t="shared" ref="R35" si="17">SUM(F35:Q35)</f>
        <v>0</v>
      </c>
      <c r="S35" s="3">
        <f t="shared" ref="S35" si="18">C35-R35</f>
        <v>0</v>
      </c>
      <c r="T35" s="3"/>
      <c r="U35" s="3"/>
    </row>
    <row r="36" spans="1:21" s="92" customFormat="1" x14ac:dyDescent="0.2">
      <c r="A36" s="87">
        <v>41365.086000000003</v>
      </c>
      <c r="B36" s="15" t="s">
        <v>10</v>
      </c>
      <c r="C36" s="14">
        <f t="array" ref="C36">[11]!'!Occupational Therapy!R14C9'</f>
        <v>0</v>
      </c>
      <c r="D36" s="14">
        <f>IF(C$4=0,0,$C36/C$4)</f>
        <v>0</v>
      </c>
      <c r="E36" s="28"/>
      <c r="F36" s="373">
        <f t="shared" si="16"/>
        <v>0</v>
      </c>
      <c r="G36" s="373">
        <f t="shared" si="16"/>
        <v>0</v>
      </c>
      <c r="H36" s="373">
        <f t="shared" si="16"/>
        <v>0</v>
      </c>
      <c r="I36" s="373">
        <f t="shared" si="16"/>
        <v>0</v>
      </c>
      <c r="J36" s="373">
        <f t="shared" si="16"/>
        <v>0</v>
      </c>
      <c r="K36" s="373">
        <f t="shared" si="16"/>
        <v>0</v>
      </c>
      <c r="L36" s="373">
        <f t="shared" si="16"/>
        <v>0</v>
      </c>
      <c r="M36" s="373">
        <f t="shared" si="16"/>
        <v>0</v>
      </c>
      <c r="N36" s="373">
        <f t="shared" si="16"/>
        <v>0</v>
      </c>
      <c r="O36" s="373">
        <f t="shared" si="16"/>
        <v>0</v>
      </c>
      <c r="P36" s="373">
        <f t="shared" si="16"/>
        <v>0</v>
      </c>
      <c r="Q36" s="373">
        <f t="shared" si="16"/>
        <v>0</v>
      </c>
      <c r="R36" s="109">
        <f t="shared" ref="R36:R37" si="19">SUM(F36:Q36)</f>
        <v>0</v>
      </c>
      <c r="S36" s="3">
        <f t="shared" ref="S36:S37" si="20">C36-R36</f>
        <v>0</v>
      </c>
      <c r="T36" s="3"/>
      <c r="U36" s="3"/>
    </row>
    <row r="37" spans="1:21" s="184" customFormat="1" x14ac:dyDescent="0.2">
      <c r="A37" s="87">
        <v>41570.086000000003</v>
      </c>
      <c r="B37" s="15" t="s">
        <v>2</v>
      </c>
      <c r="C37" s="14"/>
      <c r="D37" s="14">
        <f>IF(C$4=0,0,$C37/C$4)</f>
        <v>0</v>
      </c>
      <c r="E37" s="111"/>
      <c r="F37" s="373">
        <f t="shared" si="16"/>
        <v>0</v>
      </c>
      <c r="G37" s="373">
        <f t="shared" si="16"/>
        <v>0</v>
      </c>
      <c r="H37" s="373">
        <f t="shared" si="16"/>
        <v>0</v>
      </c>
      <c r="I37" s="373">
        <f t="shared" si="16"/>
        <v>0</v>
      </c>
      <c r="J37" s="373">
        <f t="shared" si="16"/>
        <v>0</v>
      </c>
      <c r="K37" s="373">
        <f t="shared" si="16"/>
        <v>0</v>
      </c>
      <c r="L37" s="373">
        <f t="shared" si="16"/>
        <v>0</v>
      </c>
      <c r="M37" s="373">
        <f t="shared" si="16"/>
        <v>0</v>
      </c>
      <c r="N37" s="373">
        <f t="shared" si="16"/>
        <v>0</v>
      </c>
      <c r="O37" s="373">
        <f t="shared" si="16"/>
        <v>0</v>
      </c>
      <c r="P37" s="373">
        <f t="shared" si="16"/>
        <v>0</v>
      </c>
      <c r="Q37" s="373">
        <f t="shared" si="16"/>
        <v>0</v>
      </c>
      <c r="R37" s="109">
        <f t="shared" si="19"/>
        <v>0</v>
      </c>
      <c r="S37" s="3">
        <f t="shared" si="20"/>
        <v>0</v>
      </c>
      <c r="T37" s="3"/>
      <c r="U37" s="3"/>
    </row>
    <row r="38" spans="1:21" x14ac:dyDescent="0.2">
      <c r="B38" s="77" t="s">
        <v>0</v>
      </c>
      <c r="C38" s="96">
        <f>SUM(C35:C37)</f>
        <v>0</v>
      </c>
      <c r="D38" s="104">
        <f>IF(C$4=0,0,$C38/C$4)</f>
        <v>0</v>
      </c>
      <c r="F38" s="379">
        <f>SUM(F35:F37)</f>
        <v>0</v>
      </c>
      <c r="G38" s="379">
        <f t="shared" ref="G38:Q38" si="21">SUM(G35:G37)</f>
        <v>0</v>
      </c>
      <c r="H38" s="379">
        <f t="shared" si="21"/>
        <v>0</v>
      </c>
      <c r="I38" s="379">
        <f t="shared" si="21"/>
        <v>0</v>
      </c>
      <c r="J38" s="379">
        <f t="shared" si="21"/>
        <v>0</v>
      </c>
      <c r="K38" s="379">
        <f t="shared" si="21"/>
        <v>0</v>
      </c>
      <c r="L38" s="379">
        <f t="shared" si="21"/>
        <v>0</v>
      </c>
      <c r="M38" s="379">
        <f t="shared" si="21"/>
        <v>0</v>
      </c>
      <c r="N38" s="379">
        <f t="shared" si="21"/>
        <v>0</v>
      </c>
      <c r="O38" s="379">
        <f t="shared" si="21"/>
        <v>0</v>
      </c>
      <c r="P38" s="379">
        <f t="shared" si="21"/>
        <v>0</v>
      </c>
      <c r="Q38" s="379">
        <f t="shared" si="21"/>
        <v>0</v>
      </c>
      <c r="R38" s="109">
        <f>SUM(F38:Q38)</f>
        <v>0</v>
      </c>
      <c r="S38" s="3">
        <f>C38-R38</f>
        <v>0</v>
      </c>
    </row>
    <row r="39" spans="1:21" x14ac:dyDescent="0.2">
      <c r="S39" s="2"/>
      <c r="T39" s="2"/>
      <c r="U39" s="2"/>
    </row>
    <row r="40" spans="1:21" x14ac:dyDescent="0.2">
      <c r="S40" s="2"/>
      <c r="T40" s="2"/>
      <c r="U40" s="2"/>
    </row>
    <row r="41" spans="1:21" x14ac:dyDescent="0.2">
      <c r="S41" s="2"/>
      <c r="T41" s="2"/>
      <c r="U41" s="2"/>
    </row>
    <row r="42" spans="1:21" x14ac:dyDescent="0.2">
      <c r="S42" s="2"/>
      <c r="T42" s="2"/>
      <c r="U42" s="2"/>
    </row>
    <row r="43" spans="1:21" x14ac:dyDescent="0.2">
      <c r="S43" s="2"/>
      <c r="T43" s="2"/>
      <c r="U43" s="2"/>
    </row>
  </sheetData>
  <mergeCells count="2">
    <mergeCell ref="A6:D6"/>
    <mergeCell ref="A33:D33"/>
  </mergeCells>
  <printOptions gridLines="1"/>
  <pageMargins left="0.25" right="0.25" top="0.75" bottom="0.75" header="0.3" footer="0.3"/>
  <pageSetup scale="70" orientation="landscape" r:id="rId1"/>
  <headerFooter alignWithMargins="0">
    <oddHeader xml:space="preserve">&amp;C&amp;"Arial,Bold"&amp;14DOCTORS MEMORIAL HOSPITAL
FY 2017 BUDGET
</oddHeader>
    <oddFooter xml:space="preserve">&amp;R&amp;A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42"/>
  <sheetViews>
    <sheetView zoomScale="80" zoomScaleNormal="80" workbookViewId="0">
      <pane xSplit="2" ySplit="4" topLeftCell="C5" activePane="bottomRight" state="frozen"/>
      <selection pane="topRight" activeCell="C1" sqref="C1"/>
      <selection pane="bottomLeft" activeCell="A5" sqref="A5"/>
      <selection pane="bottomRight" activeCell="B39" sqref="B39"/>
    </sheetView>
  </sheetViews>
  <sheetFormatPr defaultRowHeight="12.75" x14ac:dyDescent="0.2"/>
  <cols>
    <col min="1" max="1" width="10.28515625" style="2" bestFit="1" customWidth="1"/>
    <col min="2" max="2" width="22.7109375" style="2" customWidth="1"/>
    <col min="3" max="3" width="10.140625" style="2" customWidth="1"/>
    <col min="4" max="4" width="8" style="4" customWidth="1"/>
    <col min="5" max="5" width="3" style="4" customWidth="1"/>
    <col min="6" max="11" width="10.5703125" style="7" customWidth="1"/>
    <col min="12" max="17" width="10.5703125" style="3" customWidth="1"/>
    <col min="18" max="18" width="11.140625" style="96" customWidth="1"/>
    <col min="19"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19" x14ac:dyDescent="0.2">
      <c r="B2" s="35" t="s">
        <v>205</v>
      </c>
      <c r="C2" s="38">
        <f>STATS!D81</f>
        <v>25</v>
      </c>
      <c r="F2" s="131">
        <f>'MO STATS'!E77</f>
        <v>0</v>
      </c>
      <c r="G2" s="131">
        <f>'MO STATS'!F77</f>
        <v>10</v>
      </c>
      <c r="H2" s="131">
        <f>'MO STATS'!G77</f>
        <v>4</v>
      </c>
      <c r="I2" s="131">
        <f>'MO STATS'!H77</f>
        <v>0</v>
      </c>
      <c r="J2" s="131">
        <f>'MO STATS'!I77</f>
        <v>2</v>
      </c>
      <c r="K2" s="131">
        <f>'MO STATS'!J77</f>
        <v>0</v>
      </c>
      <c r="L2" s="131">
        <f>'MO STATS'!K77</f>
        <v>2</v>
      </c>
      <c r="M2" s="131">
        <f>'MO STATS'!L77</f>
        <v>0</v>
      </c>
      <c r="N2" s="131">
        <f>'MO STATS'!M77</f>
        <v>0</v>
      </c>
      <c r="O2" s="131">
        <f>'MO STATS'!N77</f>
        <v>2</v>
      </c>
      <c r="P2" s="131">
        <f>'MO STATS'!O77</f>
        <v>0</v>
      </c>
      <c r="Q2" s="131">
        <f>'MO STATS'!P77</f>
        <v>5</v>
      </c>
      <c r="R2" s="96">
        <f t="shared" ref="R2:R4" si="0">SUM(F2:Q2)</f>
        <v>25</v>
      </c>
      <c r="S2" s="3">
        <f>C2-R2</f>
        <v>0</v>
      </c>
    </row>
    <row r="3" spans="1:19" ht="12.75" customHeight="1" x14ac:dyDescent="0.2">
      <c r="B3" s="35" t="s">
        <v>557</v>
      </c>
      <c r="C3" s="38">
        <f>STATS!D82</f>
        <v>18</v>
      </c>
      <c r="D3" s="195"/>
      <c r="E3" s="195"/>
      <c r="F3" s="131">
        <f>'MO STATS'!E78</f>
        <v>4</v>
      </c>
      <c r="G3" s="131">
        <f>'MO STATS'!F78</f>
        <v>3</v>
      </c>
      <c r="H3" s="131">
        <f>'MO STATS'!G78</f>
        <v>0</v>
      </c>
      <c r="I3" s="131">
        <f>'MO STATS'!H78</f>
        <v>0</v>
      </c>
      <c r="J3" s="131">
        <f>'MO STATS'!I78</f>
        <v>0</v>
      </c>
      <c r="K3" s="131">
        <f>'MO STATS'!J78</f>
        <v>0</v>
      </c>
      <c r="L3" s="131">
        <f>'MO STATS'!K78</f>
        <v>0</v>
      </c>
      <c r="M3" s="131">
        <f>'MO STATS'!L78</f>
        <v>1</v>
      </c>
      <c r="N3" s="131">
        <f>'MO STATS'!M78</f>
        <v>3</v>
      </c>
      <c r="O3" s="131">
        <f>'MO STATS'!N78</f>
        <v>0</v>
      </c>
      <c r="P3" s="131">
        <f>'MO STATS'!O78</f>
        <v>4</v>
      </c>
      <c r="Q3" s="131">
        <f>'MO STATS'!P78</f>
        <v>3</v>
      </c>
      <c r="R3" s="96">
        <f t="shared" si="0"/>
        <v>18</v>
      </c>
      <c r="S3" s="3">
        <f>C3-R3</f>
        <v>0</v>
      </c>
    </row>
    <row r="4" spans="1:19" s="3" customFormat="1" ht="12.75" customHeight="1" x14ac:dyDescent="0.2">
      <c r="A4" s="2"/>
      <c r="B4" s="35" t="s">
        <v>558</v>
      </c>
      <c r="C4" s="38">
        <f>C2+C3</f>
        <v>43</v>
      </c>
      <c r="D4" s="195"/>
      <c r="E4" s="195"/>
      <c r="F4" s="131">
        <f>'MO STATS'!E79</f>
        <v>4</v>
      </c>
      <c r="G4" s="131">
        <f>'MO STATS'!F79</f>
        <v>13</v>
      </c>
      <c r="H4" s="131">
        <f>'MO STATS'!G79</f>
        <v>4</v>
      </c>
      <c r="I4" s="131">
        <f>'MO STATS'!H79</f>
        <v>0</v>
      </c>
      <c r="J4" s="131">
        <f>'MO STATS'!I79</f>
        <v>2</v>
      </c>
      <c r="K4" s="131">
        <f>'MO STATS'!J79</f>
        <v>0</v>
      </c>
      <c r="L4" s="131">
        <f>'MO STATS'!K79</f>
        <v>2</v>
      </c>
      <c r="M4" s="131">
        <f>'MO STATS'!L79</f>
        <v>1</v>
      </c>
      <c r="N4" s="131">
        <f>'MO STATS'!M79</f>
        <v>3</v>
      </c>
      <c r="O4" s="131">
        <f>'MO STATS'!N79</f>
        <v>2</v>
      </c>
      <c r="P4" s="131">
        <f>'MO STATS'!O79</f>
        <v>4</v>
      </c>
      <c r="Q4" s="131">
        <f>'MO STATS'!P79</f>
        <v>8</v>
      </c>
      <c r="R4" s="96">
        <f t="shared" si="0"/>
        <v>43</v>
      </c>
      <c r="S4" s="3">
        <f>C4-R4</f>
        <v>0</v>
      </c>
    </row>
    <row r="5" spans="1:19" s="3" customFormat="1" ht="12.75" customHeight="1" x14ac:dyDescent="0.2">
      <c r="A5" s="2"/>
      <c r="B5" s="35"/>
      <c r="C5" s="38"/>
      <c r="D5" s="195"/>
      <c r="E5" s="195"/>
      <c r="F5" s="100"/>
      <c r="G5" s="100"/>
      <c r="H5" s="100"/>
      <c r="I5" s="100"/>
      <c r="J5" s="100"/>
      <c r="K5" s="100"/>
      <c r="L5" s="100"/>
      <c r="M5" s="100"/>
      <c r="N5" s="100"/>
      <c r="O5" s="100"/>
      <c r="P5" s="100"/>
      <c r="Q5" s="100"/>
      <c r="R5" s="101"/>
    </row>
    <row r="6" spans="1:19" s="3" customFormat="1" ht="11.25" x14ac:dyDescent="0.2">
      <c r="A6" s="711" t="s">
        <v>35</v>
      </c>
      <c r="B6" s="711"/>
      <c r="C6" s="711"/>
      <c r="D6" s="711"/>
      <c r="E6" s="195"/>
      <c r="F6" s="7"/>
      <c r="G6" s="7"/>
      <c r="H6" s="7"/>
      <c r="I6" s="7"/>
      <c r="J6" s="7"/>
      <c r="K6" s="7"/>
      <c r="R6" s="96"/>
    </row>
    <row r="7" spans="1:19" s="3" customFormat="1" x14ac:dyDescent="0.2">
      <c r="A7" s="21"/>
      <c r="B7" s="188" t="s">
        <v>559</v>
      </c>
      <c r="C7" s="1"/>
      <c r="D7" s="180" t="s">
        <v>564</v>
      </c>
      <c r="E7" s="126"/>
      <c r="F7" s="186" t="s">
        <v>49</v>
      </c>
      <c r="G7" s="186" t="s">
        <v>48</v>
      </c>
      <c r="H7" s="186" t="s">
        <v>47</v>
      </c>
      <c r="I7" s="186" t="s">
        <v>46</v>
      </c>
      <c r="J7" s="186" t="s">
        <v>45</v>
      </c>
      <c r="K7" s="186" t="s">
        <v>44</v>
      </c>
      <c r="L7" s="186" t="s">
        <v>43</v>
      </c>
      <c r="M7" s="186" t="s">
        <v>42</v>
      </c>
      <c r="N7" s="186" t="s">
        <v>41</v>
      </c>
      <c r="O7" s="186" t="s">
        <v>40</v>
      </c>
      <c r="P7" s="186" t="s">
        <v>39</v>
      </c>
      <c r="Q7" s="186" t="s">
        <v>38</v>
      </c>
      <c r="R7" s="186" t="s">
        <v>37</v>
      </c>
    </row>
    <row r="8" spans="1:19" s="3" customFormat="1" x14ac:dyDescent="0.2">
      <c r="A8" s="16"/>
      <c r="B8" s="29" t="s">
        <v>352</v>
      </c>
      <c r="C8" s="75">
        <f>$C$2*$D8</f>
        <v>0</v>
      </c>
      <c r="D8" s="14">
        <v>0</v>
      </c>
      <c r="E8" s="28"/>
      <c r="F8" s="375">
        <f>$D8*F$2</f>
        <v>0</v>
      </c>
      <c r="G8" s="375">
        <f t="shared" ref="G8:Q14" si="1">$D8*G$2</f>
        <v>0</v>
      </c>
      <c r="H8" s="375">
        <f t="shared" si="1"/>
        <v>0</v>
      </c>
      <c r="I8" s="375">
        <f t="shared" si="1"/>
        <v>0</v>
      </c>
      <c r="J8" s="375">
        <f t="shared" si="1"/>
        <v>0</v>
      </c>
      <c r="K8" s="375">
        <f t="shared" si="1"/>
        <v>0</v>
      </c>
      <c r="L8" s="375">
        <f t="shared" si="1"/>
        <v>0</v>
      </c>
      <c r="M8" s="375">
        <f t="shared" si="1"/>
        <v>0</v>
      </c>
      <c r="N8" s="375">
        <f t="shared" si="1"/>
        <v>0</v>
      </c>
      <c r="O8" s="375">
        <f t="shared" si="1"/>
        <v>0</v>
      </c>
      <c r="P8" s="375">
        <f t="shared" si="1"/>
        <v>0</v>
      </c>
      <c r="Q8" s="375">
        <f t="shared" si="1"/>
        <v>0</v>
      </c>
      <c r="R8" s="109">
        <f>SUM(F8:Q8)</f>
        <v>0</v>
      </c>
      <c r="S8" s="3">
        <f>C8-R8</f>
        <v>0</v>
      </c>
    </row>
    <row r="9" spans="1:19" s="3" customFormat="1" x14ac:dyDescent="0.2">
      <c r="A9" s="16"/>
      <c r="B9" s="29" t="s">
        <v>353</v>
      </c>
      <c r="C9" s="75">
        <f t="shared" ref="C9:C14" si="2">$C$2*$D9</f>
        <v>0</v>
      </c>
      <c r="D9" s="14">
        <f>'[9]SPEECH THERAPY'!$M$12</f>
        <v>0</v>
      </c>
      <c r="E9" s="28"/>
      <c r="F9" s="375">
        <f t="shared" ref="F9:F14" si="3">$D9*F$2</f>
        <v>0</v>
      </c>
      <c r="G9" s="375">
        <f t="shared" si="1"/>
        <v>0</v>
      </c>
      <c r="H9" s="375">
        <f t="shared" si="1"/>
        <v>0</v>
      </c>
      <c r="I9" s="375">
        <f t="shared" si="1"/>
        <v>0</v>
      </c>
      <c r="J9" s="375">
        <f t="shared" si="1"/>
        <v>0</v>
      </c>
      <c r="K9" s="375">
        <f t="shared" si="1"/>
        <v>0</v>
      </c>
      <c r="L9" s="375">
        <f t="shared" si="1"/>
        <v>0</v>
      </c>
      <c r="M9" s="375">
        <f t="shared" si="1"/>
        <v>0</v>
      </c>
      <c r="N9" s="375">
        <f t="shared" si="1"/>
        <v>0</v>
      </c>
      <c r="O9" s="375">
        <f t="shared" si="1"/>
        <v>0</v>
      </c>
      <c r="P9" s="375">
        <f t="shared" si="1"/>
        <v>0</v>
      </c>
      <c r="Q9" s="375">
        <f t="shared" si="1"/>
        <v>0</v>
      </c>
      <c r="R9" s="109">
        <f t="shared" ref="R9:R32" si="4">SUM(F9:Q9)</f>
        <v>0</v>
      </c>
      <c r="S9" s="3">
        <f t="shared" ref="S9:S32" si="5">C9-R9</f>
        <v>0</v>
      </c>
    </row>
    <row r="10" spans="1:19" s="3" customFormat="1" x14ac:dyDescent="0.2">
      <c r="A10" s="16"/>
      <c r="B10" s="29" t="s">
        <v>355</v>
      </c>
      <c r="C10" s="75">
        <f t="shared" si="2"/>
        <v>0</v>
      </c>
      <c r="D10" s="14">
        <f>'[9]SPEECH THERAPY'!$M$13</f>
        <v>0</v>
      </c>
      <c r="E10" s="28"/>
      <c r="F10" s="375">
        <f t="shared" si="3"/>
        <v>0</v>
      </c>
      <c r="G10" s="375">
        <f t="shared" si="1"/>
        <v>0</v>
      </c>
      <c r="H10" s="375">
        <f t="shared" si="1"/>
        <v>0</v>
      </c>
      <c r="I10" s="375">
        <f t="shared" si="1"/>
        <v>0</v>
      </c>
      <c r="J10" s="375">
        <f t="shared" si="1"/>
        <v>0</v>
      </c>
      <c r="K10" s="375">
        <f t="shared" si="1"/>
        <v>0</v>
      </c>
      <c r="L10" s="375">
        <f t="shared" si="1"/>
        <v>0</v>
      </c>
      <c r="M10" s="375">
        <f t="shared" si="1"/>
        <v>0</v>
      </c>
      <c r="N10" s="375">
        <f t="shared" si="1"/>
        <v>0</v>
      </c>
      <c r="O10" s="375">
        <f t="shared" si="1"/>
        <v>0</v>
      </c>
      <c r="P10" s="375">
        <f t="shared" si="1"/>
        <v>0</v>
      </c>
      <c r="Q10" s="375">
        <f t="shared" si="1"/>
        <v>0</v>
      </c>
      <c r="R10" s="109">
        <f t="shared" si="4"/>
        <v>0</v>
      </c>
      <c r="S10" s="3">
        <f t="shared" si="5"/>
        <v>0</v>
      </c>
    </row>
    <row r="11" spans="1:19" s="3" customFormat="1" x14ac:dyDescent="0.2">
      <c r="A11" s="16"/>
      <c r="B11" s="29" t="s">
        <v>370</v>
      </c>
      <c r="C11" s="75">
        <f t="shared" si="2"/>
        <v>0</v>
      </c>
      <c r="D11" s="14"/>
      <c r="E11" s="28"/>
      <c r="F11" s="375">
        <f t="shared" si="3"/>
        <v>0</v>
      </c>
      <c r="G11" s="375">
        <f t="shared" si="1"/>
        <v>0</v>
      </c>
      <c r="H11" s="375">
        <f t="shared" si="1"/>
        <v>0</v>
      </c>
      <c r="I11" s="375">
        <f t="shared" si="1"/>
        <v>0</v>
      </c>
      <c r="J11" s="375">
        <f t="shared" si="1"/>
        <v>0</v>
      </c>
      <c r="K11" s="375">
        <f t="shared" si="1"/>
        <v>0</v>
      </c>
      <c r="L11" s="375">
        <f t="shared" si="1"/>
        <v>0</v>
      </c>
      <c r="M11" s="375">
        <f t="shared" si="1"/>
        <v>0</v>
      </c>
      <c r="N11" s="375">
        <f t="shared" si="1"/>
        <v>0</v>
      </c>
      <c r="O11" s="375">
        <f t="shared" si="1"/>
        <v>0</v>
      </c>
      <c r="P11" s="375">
        <f t="shared" si="1"/>
        <v>0</v>
      </c>
      <c r="Q11" s="375">
        <f t="shared" si="1"/>
        <v>0</v>
      </c>
      <c r="R11" s="109">
        <f t="shared" si="4"/>
        <v>0</v>
      </c>
      <c r="S11" s="3">
        <f t="shared" si="5"/>
        <v>0</v>
      </c>
    </row>
    <row r="12" spans="1:19" s="3" customFormat="1" x14ac:dyDescent="0.2">
      <c r="A12" s="16"/>
      <c r="B12" s="29" t="s">
        <v>356</v>
      </c>
      <c r="C12" s="75">
        <f t="shared" si="2"/>
        <v>0</v>
      </c>
      <c r="D12" s="14">
        <f>'[9]SPEECH THERAPY'!$M$14</f>
        <v>0</v>
      </c>
      <c r="E12" s="28"/>
      <c r="F12" s="375">
        <f t="shared" si="3"/>
        <v>0</v>
      </c>
      <c r="G12" s="375">
        <f t="shared" si="1"/>
        <v>0</v>
      </c>
      <c r="H12" s="375">
        <f t="shared" si="1"/>
        <v>0</v>
      </c>
      <c r="I12" s="375">
        <f t="shared" si="1"/>
        <v>0</v>
      </c>
      <c r="J12" s="375">
        <f t="shared" si="1"/>
        <v>0</v>
      </c>
      <c r="K12" s="375">
        <f t="shared" si="1"/>
        <v>0</v>
      </c>
      <c r="L12" s="375">
        <f t="shared" si="1"/>
        <v>0</v>
      </c>
      <c r="M12" s="375">
        <f t="shared" si="1"/>
        <v>0</v>
      </c>
      <c r="N12" s="375">
        <f t="shared" si="1"/>
        <v>0</v>
      </c>
      <c r="O12" s="375">
        <f t="shared" si="1"/>
        <v>0</v>
      </c>
      <c r="P12" s="375">
        <f t="shared" si="1"/>
        <v>0</v>
      </c>
      <c r="Q12" s="375">
        <f t="shared" si="1"/>
        <v>0</v>
      </c>
      <c r="R12" s="109">
        <f t="shared" si="4"/>
        <v>0</v>
      </c>
      <c r="S12" s="3">
        <f t="shared" si="5"/>
        <v>0</v>
      </c>
    </row>
    <row r="13" spans="1:19" s="3" customFormat="1" x14ac:dyDescent="0.2">
      <c r="A13" s="16"/>
      <c r="B13" s="29" t="s">
        <v>354</v>
      </c>
      <c r="C13" s="75">
        <f t="shared" si="2"/>
        <v>722.22222222222229</v>
      </c>
      <c r="D13" s="14">
        <f>'[5]Speech Therapy'!$J$16</f>
        <v>28.888888888888889</v>
      </c>
      <c r="E13" s="28"/>
      <c r="F13" s="375">
        <f t="shared" si="3"/>
        <v>0</v>
      </c>
      <c r="G13" s="375">
        <f t="shared" si="1"/>
        <v>288.88888888888891</v>
      </c>
      <c r="H13" s="375">
        <f t="shared" si="1"/>
        <v>115.55555555555556</v>
      </c>
      <c r="I13" s="375">
        <f t="shared" si="1"/>
        <v>0</v>
      </c>
      <c r="J13" s="375">
        <f t="shared" si="1"/>
        <v>57.777777777777779</v>
      </c>
      <c r="K13" s="375">
        <f t="shared" si="1"/>
        <v>0</v>
      </c>
      <c r="L13" s="375">
        <f t="shared" si="1"/>
        <v>57.777777777777779</v>
      </c>
      <c r="M13" s="375">
        <f t="shared" si="1"/>
        <v>0</v>
      </c>
      <c r="N13" s="375">
        <f t="shared" si="1"/>
        <v>0</v>
      </c>
      <c r="O13" s="375">
        <f t="shared" si="1"/>
        <v>57.777777777777779</v>
      </c>
      <c r="P13" s="375">
        <f t="shared" si="1"/>
        <v>0</v>
      </c>
      <c r="Q13" s="375">
        <f t="shared" si="1"/>
        <v>144.44444444444446</v>
      </c>
      <c r="R13" s="109">
        <f t="shared" si="4"/>
        <v>722.22222222222229</v>
      </c>
      <c r="S13" s="3">
        <f t="shared" si="5"/>
        <v>0</v>
      </c>
    </row>
    <row r="14" spans="1:19" s="3" customFormat="1" x14ac:dyDescent="0.2">
      <c r="A14" s="16"/>
      <c r="B14" s="29" t="s">
        <v>357</v>
      </c>
      <c r="C14" s="75">
        <f t="shared" si="2"/>
        <v>0</v>
      </c>
      <c r="D14" s="14">
        <f>'[9]SPEECH THERAPY'!$M$16</f>
        <v>0</v>
      </c>
      <c r="E14" s="28"/>
      <c r="F14" s="375">
        <f t="shared" si="3"/>
        <v>0</v>
      </c>
      <c r="G14" s="375">
        <f t="shared" si="1"/>
        <v>0</v>
      </c>
      <c r="H14" s="375">
        <f t="shared" si="1"/>
        <v>0</v>
      </c>
      <c r="I14" s="375">
        <f t="shared" si="1"/>
        <v>0</v>
      </c>
      <c r="J14" s="375">
        <f t="shared" si="1"/>
        <v>0</v>
      </c>
      <c r="K14" s="375">
        <f t="shared" si="1"/>
        <v>0</v>
      </c>
      <c r="L14" s="375">
        <f t="shared" si="1"/>
        <v>0</v>
      </c>
      <c r="M14" s="375">
        <f t="shared" si="1"/>
        <v>0</v>
      </c>
      <c r="N14" s="375">
        <f t="shared" si="1"/>
        <v>0</v>
      </c>
      <c r="O14" s="375">
        <f t="shared" si="1"/>
        <v>0</v>
      </c>
      <c r="P14" s="375">
        <f t="shared" si="1"/>
        <v>0</v>
      </c>
      <c r="Q14" s="375">
        <f t="shared" si="1"/>
        <v>0</v>
      </c>
      <c r="R14" s="109">
        <f t="shared" si="4"/>
        <v>0</v>
      </c>
      <c r="S14" s="3">
        <f t="shared" si="5"/>
        <v>0</v>
      </c>
    </row>
    <row r="15" spans="1:19" s="3" customFormat="1" x14ac:dyDescent="0.2">
      <c r="A15" s="87">
        <v>31110.087</v>
      </c>
      <c r="B15" s="161" t="s">
        <v>560</v>
      </c>
      <c r="C15" s="293">
        <f>SUM(C8:C14)</f>
        <v>722.22222222222229</v>
      </c>
      <c r="D15" s="293"/>
      <c r="E15" s="293"/>
      <c r="F15" s="369">
        <f>SUM(F8:F14)</f>
        <v>0</v>
      </c>
      <c r="G15" s="369">
        <f t="shared" ref="G15:Q15" si="6">SUM(G8:G14)</f>
        <v>288.88888888888891</v>
      </c>
      <c r="H15" s="369">
        <f t="shared" si="6"/>
        <v>115.55555555555556</v>
      </c>
      <c r="I15" s="369">
        <f t="shared" si="6"/>
        <v>0</v>
      </c>
      <c r="J15" s="369">
        <f t="shared" si="6"/>
        <v>57.777777777777779</v>
      </c>
      <c r="K15" s="369">
        <f t="shared" si="6"/>
        <v>0</v>
      </c>
      <c r="L15" s="369">
        <f t="shared" si="6"/>
        <v>57.777777777777779</v>
      </c>
      <c r="M15" s="369">
        <f t="shared" si="6"/>
        <v>0</v>
      </c>
      <c r="N15" s="369">
        <f t="shared" si="6"/>
        <v>0</v>
      </c>
      <c r="O15" s="369">
        <f t="shared" si="6"/>
        <v>57.777777777777779</v>
      </c>
      <c r="P15" s="369">
        <f t="shared" si="6"/>
        <v>0</v>
      </c>
      <c r="Q15" s="369">
        <f t="shared" si="6"/>
        <v>144.44444444444446</v>
      </c>
      <c r="R15" s="369">
        <f t="shared" si="4"/>
        <v>722.22222222222229</v>
      </c>
      <c r="S15" s="291">
        <f t="shared" si="5"/>
        <v>0</v>
      </c>
    </row>
    <row r="16" spans="1:19" s="3" customFormat="1" x14ac:dyDescent="0.2">
      <c r="A16" s="16"/>
      <c r="B16" s="29" t="s">
        <v>424</v>
      </c>
      <c r="C16" s="75">
        <f t="shared" ref="C16:C22" si="7">$C$2*D16</f>
        <v>4436.1111111111113</v>
      </c>
      <c r="D16" s="14">
        <f>'[5]Speech Therapy'!$J$21</f>
        <v>177.44444444444446</v>
      </c>
      <c r="E16" s="28"/>
      <c r="F16" s="375">
        <f>$D16*F$2</f>
        <v>0</v>
      </c>
      <c r="G16" s="375">
        <f t="shared" ref="G16:Q22" si="8">$D16*G$2</f>
        <v>1774.4444444444446</v>
      </c>
      <c r="H16" s="375">
        <f t="shared" si="8"/>
        <v>709.77777777777783</v>
      </c>
      <c r="I16" s="375">
        <f t="shared" si="8"/>
        <v>0</v>
      </c>
      <c r="J16" s="375">
        <f t="shared" si="8"/>
        <v>354.88888888888891</v>
      </c>
      <c r="K16" s="375">
        <f t="shared" si="8"/>
        <v>0</v>
      </c>
      <c r="L16" s="375">
        <f t="shared" si="8"/>
        <v>354.88888888888891</v>
      </c>
      <c r="M16" s="375">
        <f t="shared" si="8"/>
        <v>0</v>
      </c>
      <c r="N16" s="375">
        <f t="shared" si="8"/>
        <v>0</v>
      </c>
      <c r="O16" s="375">
        <f t="shared" si="8"/>
        <v>354.88888888888891</v>
      </c>
      <c r="P16" s="375">
        <f t="shared" si="8"/>
        <v>0</v>
      </c>
      <c r="Q16" s="375">
        <f t="shared" si="8"/>
        <v>887.22222222222229</v>
      </c>
      <c r="R16" s="109">
        <f t="shared" si="4"/>
        <v>4436.1111111111113</v>
      </c>
      <c r="S16" s="3">
        <f t="shared" si="5"/>
        <v>0</v>
      </c>
    </row>
    <row r="17" spans="1:21" x14ac:dyDescent="0.2">
      <c r="A17" s="16"/>
      <c r="B17" s="29" t="s">
        <v>425</v>
      </c>
      <c r="C17" s="75">
        <f t="shared" si="7"/>
        <v>0</v>
      </c>
      <c r="D17" s="14">
        <f>'[9]SPEECH THERAPY'!$M$22</f>
        <v>0</v>
      </c>
      <c r="E17" s="28"/>
      <c r="F17" s="375">
        <f t="shared" ref="F17:F22" si="9">$D17*F$2</f>
        <v>0</v>
      </c>
      <c r="G17" s="375">
        <f t="shared" si="8"/>
        <v>0</v>
      </c>
      <c r="H17" s="375">
        <f t="shared" si="8"/>
        <v>0</v>
      </c>
      <c r="I17" s="375">
        <f t="shared" si="8"/>
        <v>0</v>
      </c>
      <c r="J17" s="375">
        <f t="shared" si="8"/>
        <v>0</v>
      </c>
      <c r="K17" s="375">
        <f t="shared" si="8"/>
        <v>0</v>
      </c>
      <c r="L17" s="375">
        <f t="shared" si="8"/>
        <v>0</v>
      </c>
      <c r="M17" s="375">
        <f t="shared" si="8"/>
        <v>0</v>
      </c>
      <c r="N17" s="375">
        <f t="shared" si="8"/>
        <v>0</v>
      </c>
      <c r="O17" s="375">
        <f t="shared" si="8"/>
        <v>0</v>
      </c>
      <c r="P17" s="375">
        <f t="shared" si="8"/>
        <v>0</v>
      </c>
      <c r="Q17" s="375">
        <f t="shared" si="8"/>
        <v>0</v>
      </c>
      <c r="R17" s="109">
        <f t="shared" si="4"/>
        <v>0</v>
      </c>
      <c r="S17" s="3">
        <f t="shared" si="5"/>
        <v>0</v>
      </c>
    </row>
    <row r="18" spans="1:21" x14ac:dyDescent="0.2">
      <c r="A18" s="16"/>
      <c r="B18" s="29" t="s">
        <v>426</v>
      </c>
      <c r="C18" s="75">
        <f t="shared" si="7"/>
        <v>0</v>
      </c>
      <c r="D18" s="14">
        <f>'[9]SPEECH THERAPY'!$M$23</f>
        <v>0</v>
      </c>
      <c r="E18" s="28"/>
      <c r="F18" s="375">
        <f t="shared" si="9"/>
        <v>0</v>
      </c>
      <c r="G18" s="375">
        <f t="shared" si="8"/>
        <v>0</v>
      </c>
      <c r="H18" s="375">
        <f t="shared" si="8"/>
        <v>0</v>
      </c>
      <c r="I18" s="375">
        <f t="shared" si="8"/>
        <v>0</v>
      </c>
      <c r="J18" s="375">
        <f t="shared" si="8"/>
        <v>0</v>
      </c>
      <c r="K18" s="375">
        <f t="shared" si="8"/>
        <v>0</v>
      </c>
      <c r="L18" s="375">
        <f t="shared" si="8"/>
        <v>0</v>
      </c>
      <c r="M18" s="375">
        <f t="shared" si="8"/>
        <v>0</v>
      </c>
      <c r="N18" s="375">
        <f t="shared" si="8"/>
        <v>0</v>
      </c>
      <c r="O18" s="375">
        <f t="shared" si="8"/>
        <v>0</v>
      </c>
      <c r="P18" s="375">
        <f t="shared" si="8"/>
        <v>0</v>
      </c>
      <c r="Q18" s="375">
        <f t="shared" si="8"/>
        <v>0</v>
      </c>
      <c r="R18" s="109">
        <f t="shared" si="4"/>
        <v>0</v>
      </c>
      <c r="S18" s="3">
        <f t="shared" si="5"/>
        <v>0</v>
      </c>
    </row>
    <row r="19" spans="1:21" x14ac:dyDescent="0.2">
      <c r="A19" s="16"/>
      <c r="B19" s="29" t="s">
        <v>427</v>
      </c>
      <c r="C19" s="75">
        <f t="shared" si="7"/>
        <v>0</v>
      </c>
      <c r="D19" s="14"/>
      <c r="E19" s="28"/>
      <c r="F19" s="375">
        <f t="shared" si="9"/>
        <v>0</v>
      </c>
      <c r="G19" s="375">
        <f t="shared" si="8"/>
        <v>0</v>
      </c>
      <c r="H19" s="375">
        <f t="shared" si="8"/>
        <v>0</v>
      </c>
      <c r="I19" s="375">
        <f t="shared" si="8"/>
        <v>0</v>
      </c>
      <c r="J19" s="375">
        <f t="shared" si="8"/>
        <v>0</v>
      </c>
      <c r="K19" s="375">
        <f t="shared" si="8"/>
        <v>0</v>
      </c>
      <c r="L19" s="375">
        <f t="shared" si="8"/>
        <v>0</v>
      </c>
      <c r="M19" s="375">
        <f t="shared" si="8"/>
        <v>0</v>
      </c>
      <c r="N19" s="375">
        <f t="shared" si="8"/>
        <v>0</v>
      </c>
      <c r="O19" s="375">
        <f t="shared" si="8"/>
        <v>0</v>
      </c>
      <c r="P19" s="375">
        <f t="shared" si="8"/>
        <v>0</v>
      </c>
      <c r="Q19" s="375">
        <f t="shared" si="8"/>
        <v>0</v>
      </c>
      <c r="R19" s="376">
        <f t="shared" si="4"/>
        <v>0</v>
      </c>
      <c r="S19" s="3">
        <f t="shared" si="5"/>
        <v>0</v>
      </c>
    </row>
    <row r="20" spans="1:21" x14ac:dyDescent="0.2">
      <c r="A20" s="16"/>
      <c r="B20" s="29" t="s">
        <v>428</v>
      </c>
      <c r="C20" s="75">
        <f t="shared" si="7"/>
        <v>0</v>
      </c>
      <c r="D20" s="14">
        <f>'[9]SPEECH THERAPY'!$M$24</f>
        <v>0</v>
      </c>
      <c r="E20" s="28"/>
      <c r="F20" s="375">
        <f t="shared" si="9"/>
        <v>0</v>
      </c>
      <c r="G20" s="375">
        <f t="shared" si="8"/>
        <v>0</v>
      </c>
      <c r="H20" s="375">
        <f t="shared" si="8"/>
        <v>0</v>
      </c>
      <c r="I20" s="375">
        <f t="shared" si="8"/>
        <v>0</v>
      </c>
      <c r="J20" s="375">
        <f t="shared" si="8"/>
        <v>0</v>
      </c>
      <c r="K20" s="375">
        <f t="shared" si="8"/>
        <v>0</v>
      </c>
      <c r="L20" s="375">
        <f t="shared" si="8"/>
        <v>0</v>
      </c>
      <c r="M20" s="375">
        <f t="shared" si="8"/>
        <v>0</v>
      </c>
      <c r="N20" s="375">
        <f t="shared" si="8"/>
        <v>0</v>
      </c>
      <c r="O20" s="375">
        <f t="shared" si="8"/>
        <v>0</v>
      </c>
      <c r="P20" s="375">
        <f t="shared" si="8"/>
        <v>0</v>
      </c>
      <c r="Q20" s="375">
        <f t="shared" si="8"/>
        <v>0</v>
      </c>
      <c r="R20" s="109">
        <f t="shared" si="4"/>
        <v>0</v>
      </c>
      <c r="S20" s="3">
        <f t="shared" si="5"/>
        <v>0</v>
      </c>
    </row>
    <row r="21" spans="1:21" x14ac:dyDescent="0.2">
      <c r="A21" s="16"/>
      <c r="B21" s="29" t="s">
        <v>429</v>
      </c>
      <c r="C21" s="75">
        <f t="shared" si="7"/>
        <v>0</v>
      </c>
      <c r="D21" s="14">
        <f>'[9]SPEECH THERAPY'!$M$25</f>
        <v>0</v>
      </c>
      <c r="E21" s="28"/>
      <c r="F21" s="375">
        <f t="shared" si="9"/>
        <v>0</v>
      </c>
      <c r="G21" s="375">
        <f t="shared" si="8"/>
        <v>0</v>
      </c>
      <c r="H21" s="375">
        <f t="shared" si="8"/>
        <v>0</v>
      </c>
      <c r="I21" s="375">
        <f t="shared" si="8"/>
        <v>0</v>
      </c>
      <c r="J21" s="375">
        <f t="shared" si="8"/>
        <v>0</v>
      </c>
      <c r="K21" s="375">
        <f t="shared" si="8"/>
        <v>0</v>
      </c>
      <c r="L21" s="375">
        <f t="shared" si="8"/>
        <v>0</v>
      </c>
      <c r="M21" s="375">
        <f t="shared" si="8"/>
        <v>0</v>
      </c>
      <c r="N21" s="375">
        <f t="shared" si="8"/>
        <v>0</v>
      </c>
      <c r="O21" s="375">
        <f t="shared" si="8"/>
        <v>0</v>
      </c>
      <c r="P21" s="375">
        <f t="shared" si="8"/>
        <v>0</v>
      </c>
      <c r="Q21" s="375">
        <f t="shared" si="8"/>
        <v>0</v>
      </c>
      <c r="R21" s="109">
        <f t="shared" si="4"/>
        <v>0</v>
      </c>
      <c r="S21" s="3">
        <f t="shared" si="5"/>
        <v>0</v>
      </c>
    </row>
    <row r="22" spans="1:21" x14ac:dyDescent="0.2">
      <c r="A22" s="16"/>
      <c r="B22" s="29" t="s">
        <v>430</v>
      </c>
      <c r="C22" s="75">
        <f t="shared" si="7"/>
        <v>0</v>
      </c>
      <c r="D22" s="14">
        <f>'[9]SPEECH THERAPY'!$M$26</f>
        <v>0</v>
      </c>
      <c r="E22" s="28"/>
      <c r="F22" s="375">
        <f t="shared" si="9"/>
        <v>0</v>
      </c>
      <c r="G22" s="375">
        <f t="shared" si="8"/>
        <v>0</v>
      </c>
      <c r="H22" s="375">
        <f t="shared" si="8"/>
        <v>0</v>
      </c>
      <c r="I22" s="375">
        <f t="shared" si="8"/>
        <v>0</v>
      </c>
      <c r="J22" s="375">
        <f t="shared" si="8"/>
        <v>0</v>
      </c>
      <c r="K22" s="375">
        <f t="shared" si="8"/>
        <v>0</v>
      </c>
      <c r="L22" s="375">
        <f t="shared" si="8"/>
        <v>0</v>
      </c>
      <c r="M22" s="375">
        <f t="shared" si="8"/>
        <v>0</v>
      </c>
      <c r="N22" s="375">
        <f t="shared" si="8"/>
        <v>0</v>
      </c>
      <c r="O22" s="375">
        <f t="shared" si="8"/>
        <v>0</v>
      </c>
      <c r="P22" s="375">
        <f t="shared" si="8"/>
        <v>0</v>
      </c>
      <c r="Q22" s="375">
        <f t="shared" si="8"/>
        <v>0</v>
      </c>
      <c r="R22" s="109">
        <f t="shared" si="4"/>
        <v>0</v>
      </c>
      <c r="S22" s="3">
        <f t="shared" si="5"/>
        <v>0</v>
      </c>
    </row>
    <row r="23" spans="1:21" x14ac:dyDescent="0.2">
      <c r="A23" s="132">
        <v>31111.087</v>
      </c>
      <c r="B23" s="161" t="s">
        <v>561</v>
      </c>
      <c r="C23" s="293">
        <f>SUM(C16:C22)</f>
        <v>4436.1111111111113</v>
      </c>
      <c r="D23" s="293"/>
      <c r="E23" s="293"/>
      <c r="F23" s="369">
        <f>SUM(F16:F22)</f>
        <v>0</v>
      </c>
      <c r="G23" s="369">
        <f t="shared" ref="G23:Q23" si="10">SUM(G16:G22)</f>
        <v>1774.4444444444446</v>
      </c>
      <c r="H23" s="369">
        <f t="shared" si="10"/>
        <v>709.77777777777783</v>
      </c>
      <c r="I23" s="369">
        <f t="shared" si="10"/>
        <v>0</v>
      </c>
      <c r="J23" s="369">
        <f t="shared" si="10"/>
        <v>354.88888888888891</v>
      </c>
      <c r="K23" s="369">
        <f t="shared" si="10"/>
        <v>0</v>
      </c>
      <c r="L23" s="369">
        <f t="shared" si="10"/>
        <v>354.88888888888891</v>
      </c>
      <c r="M23" s="369">
        <f t="shared" si="10"/>
        <v>0</v>
      </c>
      <c r="N23" s="369">
        <f t="shared" si="10"/>
        <v>0</v>
      </c>
      <c r="O23" s="369">
        <f t="shared" si="10"/>
        <v>354.88888888888891</v>
      </c>
      <c r="P23" s="369">
        <f t="shared" si="10"/>
        <v>0</v>
      </c>
      <c r="Q23" s="369">
        <f t="shared" si="10"/>
        <v>887.22222222222229</v>
      </c>
      <c r="R23" s="369">
        <f t="shared" si="4"/>
        <v>4436.1111111111113</v>
      </c>
      <c r="S23" s="291">
        <f t="shared" si="5"/>
        <v>0</v>
      </c>
    </row>
    <row r="24" spans="1:21" x14ac:dyDescent="0.2">
      <c r="A24" s="16"/>
      <c r="B24" s="29" t="s">
        <v>358</v>
      </c>
      <c r="C24" s="75">
        <f t="shared" ref="C24:C30" si="11">$C$3*D24</f>
        <v>4285.8163636363643</v>
      </c>
      <c r="D24" s="14">
        <f>'[5]Speech Therapy'!$J$31</f>
        <v>238.10090909090911</v>
      </c>
      <c r="E24" s="28"/>
      <c r="F24" s="375">
        <f>$D24*F$3</f>
        <v>952.40363636363645</v>
      </c>
      <c r="G24" s="375">
        <f t="shared" ref="G24:Q30" si="12">$D24*G$3</f>
        <v>714.30272727272734</v>
      </c>
      <c r="H24" s="375">
        <f t="shared" si="12"/>
        <v>0</v>
      </c>
      <c r="I24" s="375">
        <f t="shared" si="12"/>
        <v>0</v>
      </c>
      <c r="J24" s="375">
        <f t="shared" si="12"/>
        <v>0</v>
      </c>
      <c r="K24" s="375">
        <f t="shared" si="12"/>
        <v>0</v>
      </c>
      <c r="L24" s="375">
        <f t="shared" si="12"/>
        <v>0</v>
      </c>
      <c r="M24" s="375">
        <f t="shared" si="12"/>
        <v>238.10090909090911</v>
      </c>
      <c r="N24" s="375">
        <f t="shared" si="12"/>
        <v>714.30272727272734</v>
      </c>
      <c r="O24" s="375">
        <f t="shared" si="12"/>
        <v>0</v>
      </c>
      <c r="P24" s="375">
        <f t="shared" si="12"/>
        <v>952.40363636363645</v>
      </c>
      <c r="Q24" s="375">
        <f t="shared" si="12"/>
        <v>714.30272727272734</v>
      </c>
      <c r="R24" s="109">
        <f t="shared" si="4"/>
        <v>4285.8163636363643</v>
      </c>
      <c r="S24" s="3">
        <f t="shared" si="5"/>
        <v>0</v>
      </c>
    </row>
    <row r="25" spans="1:21" x14ac:dyDescent="0.2">
      <c r="A25" s="16"/>
      <c r="B25" s="29" t="s">
        <v>359</v>
      </c>
      <c r="C25" s="75">
        <f t="shared" si="11"/>
        <v>0</v>
      </c>
      <c r="D25" s="14">
        <f>'[9]SPEECH THERAPY'!$M$32</f>
        <v>0</v>
      </c>
      <c r="E25" s="28"/>
      <c r="F25" s="375">
        <f t="shared" ref="F25:F30" si="13">$D25*F$3</f>
        <v>0</v>
      </c>
      <c r="G25" s="375">
        <f t="shared" si="12"/>
        <v>0</v>
      </c>
      <c r="H25" s="375">
        <f t="shared" si="12"/>
        <v>0</v>
      </c>
      <c r="I25" s="375">
        <f t="shared" si="12"/>
        <v>0</v>
      </c>
      <c r="J25" s="375">
        <f t="shared" si="12"/>
        <v>0</v>
      </c>
      <c r="K25" s="375">
        <f t="shared" si="12"/>
        <v>0</v>
      </c>
      <c r="L25" s="375">
        <f t="shared" si="12"/>
        <v>0</v>
      </c>
      <c r="M25" s="375">
        <f t="shared" si="12"/>
        <v>0</v>
      </c>
      <c r="N25" s="375">
        <f t="shared" si="12"/>
        <v>0</v>
      </c>
      <c r="O25" s="375">
        <f t="shared" si="12"/>
        <v>0</v>
      </c>
      <c r="P25" s="375">
        <f t="shared" si="12"/>
        <v>0</v>
      </c>
      <c r="Q25" s="375">
        <f t="shared" si="12"/>
        <v>0</v>
      </c>
      <c r="R25" s="109">
        <f t="shared" si="4"/>
        <v>0</v>
      </c>
      <c r="S25" s="3">
        <f t="shared" si="5"/>
        <v>0</v>
      </c>
    </row>
    <row r="26" spans="1:21" x14ac:dyDescent="0.2">
      <c r="A26" s="16"/>
      <c r="B26" s="29" t="s">
        <v>372</v>
      </c>
      <c r="C26" s="75">
        <f t="shared" si="11"/>
        <v>0</v>
      </c>
      <c r="D26" s="14">
        <f>'[9]SPEECH THERAPY'!$M$33</f>
        <v>0</v>
      </c>
      <c r="E26" s="28"/>
      <c r="F26" s="375">
        <f t="shared" si="13"/>
        <v>0</v>
      </c>
      <c r="G26" s="375">
        <f t="shared" si="12"/>
        <v>0</v>
      </c>
      <c r="H26" s="375">
        <f t="shared" si="12"/>
        <v>0</v>
      </c>
      <c r="I26" s="375">
        <f t="shared" si="12"/>
        <v>0</v>
      </c>
      <c r="J26" s="375">
        <f t="shared" si="12"/>
        <v>0</v>
      </c>
      <c r="K26" s="375">
        <f t="shared" si="12"/>
        <v>0</v>
      </c>
      <c r="L26" s="375">
        <f t="shared" si="12"/>
        <v>0</v>
      </c>
      <c r="M26" s="375">
        <f t="shared" si="12"/>
        <v>0</v>
      </c>
      <c r="N26" s="375">
        <f t="shared" si="12"/>
        <v>0</v>
      </c>
      <c r="O26" s="375">
        <f t="shared" si="12"/>
        <v>0</v>
      </c>
      <c r="P26" s="375">
        <f t="shared" si="12"/>
        <v>0</v>
      </c>
      <c r="Q26" s="375">
        <f t="shared" si="12"/>
        <v>0</v>
      </c>
      <c r="R26" s="109">
        <f t="shared" si="4"/>
        <v>0</v>
      </c>
      <c r="S26" s="3">
        <f t="shared" si="5"/>
        <v>0</v>
      </c>
    </row>
    <row r="27" spans="1:21" x14ac:dyDescent="0.2">
      <c r="A27" s="16"/>
      <c r="B27" s="29" t="s">
        <v>373</v>
      </c>
      <c r="C27" s="75">
        <f t="shared" si="11"/>
        <v>0</v>
      </c>
      <c r="D27" s="14"/>
      <c r="E27" s="28"/>
      <c r="F27" s="375">
        <f t="shared" si="13"/>
        <v>0</v>
      </c>
      <c r="G27" s="375">
        <f t="shared" si="12"/>
        <v>0</v>
      </c>
      <c r="H27" s="375">
        <f t="shared" si="12"/>
        <v>0</v>
      </c>
      <c r="I27" s="375">
        <f t="shared" si="12"/>
        <v>0</v>
      </c>
      <c r="J27" s="375">
        <f t="shared" si="12"/>
        <v>0</v>
      </c>
      <c r="K27" s="375">
        <f t="shared" si="12"/>
        <v>0</v>
      </c>
      <c r="L27" s="375">
        <f t="shared" si="12"/>
        <v>0</v>
      </c>
      <c r="M27" s="375">
        <f t="shared" si="12"/>
        <v>0</v>
      </c>
      <c r="N27" s="375">
        <f t="shared" si="12"/>
        <v>0</v>
      </c>
      <c r="O27" s="375">
        <f t="shared" si="12"/>
        <v>0</v>
      </c>
      <c r="P27" s="375">
        <f t="shared" si="12"/>
        <v>0</v>
      </c>
      <c r="Q27" s="375">
        <f t="shared" si="12"/>
        <v>0</v>
      </c>
      <c r="R27" s="109">
        <f t="shared" si="4"/>
        <v>0</v>
      </c>
      <c r="S27" s="3">
        <f t="shared" si="5"/>
        <v>0</v>
      </c>
    </row>
    <row r="28" spans="1:21" x14ac:dyDescent="0.2">
      <c r="A28" s="163"/>
      <c r="B28" s="29" t="s">
        <v>361</v>
      </c>
      <c r="C28" s="75">
        <f t="shared" si="11"/>
        <v>245.45454545454547</v>
      </c>
      <c r="D28" s="14">
        <f>'[5]Speech Therapy'!$J$35</f>
        <v>13.636363636363637</v>
      </c>
      <c r="E28" s="28"/>
      <c r="F28" s="375">
        <f t="shared" si="13"/>
        <v>54.545454545454547</v>
      </c>
      <c r="G28" s="375">
        <f t="shared" si="12"/>
        <v>40.909090909090907</v>
      </c>
      <c r="H28" s="375">
        <f t="shared" si="12"/>
        <v>0</v>
      </c>
      <c r="I28" s="375">
        <f t="shared" si="12"/>
        <v>0</v>
      </c>
      <c r="J28" s="375">
        <f t="shared" si="12"/>
        <v>0</v>
      </c>
      <c r="K28" s="375">
        <f t="shared" si="12"/>
        <v>0</v>
      </c>
      <c r="L28" s="375">
        <f t="shared" si="12"/>
        <v>0</v>
      </c>
      <c r="M28" s="375">
        <f t="shared" si="12"/>
        <v>13.636363636363637</v>
      </c>
      <c r="N28" s="375">
        <f t="shared" si="12"/>
        <v>40.909090909090907</v>
      </c>
      <c r="O28" s="375">
        <f t="shared" si="12"/>
        <v>0</v>
      </c>
      <c r="P28" s="375">
        <f t="shared" si="12"/>
        <v>54.545454545454547</v>
      </c>
      <c r="Q28" s="375">
        <f t="shared" si="12"/>
        <v>40.909090909090907</v>
      </c>
      <c r="R28" s="109">
        <f t="shared" si="4"/>
        <v>245.45454545454547</v>
      </c>
      <c r="S28" s="3">
        <f t="shared" si="5"/>
        <v>0</v>
      </c>
    </row>
    <row r="29" spans="1:21" x14ac:dyDescent="0.2">
      <c r="A29" s="163"/>
      <c r="B29" s="29" t="s">
        <v>360</v>
      </c>
      <c r="C29" s="75">
        <f t="shared" si="11"/>
        <v>0</v>
      </c>
      <c r="D29" s="14">
        <f>'[9]SPEECH THERAPY'!$M$35</f>
        <v>0</v>
      </c>
      <c r="E29" s="28"/>
      <c r="F29" s="375">
        <f t="shared" si="13"/>
        <v>0</v>
      </c>
      <c r="G29" s="375">
        <f t="shared" si="12"/>
        <v>0</v>
      </c>
      <c r="H29" s="375">
        <f t="shared" si="12"/>
        <v>0</v>
      </c>
      <c r="I29" s="375">
        <f t="shared" si="12"/>
        <v>0</v>
      </c>
      <c r="J29" s="375">
        <f t="shared" si="12"/>
        <v>0</v>
      </c>
      <c r="K29" s="375">
        <f t="shared" si="12"/>
        <v>0</v>
      </c>
      <c r="L29" s="375">
        <f t="shared" si="12"/>
        <v>0</v>
      </c>
      <c r="M29" s="375">
        <f t="shared" si="12"/>
        <v>0</v>
      </c>
      <c r="N29" s="375">
        <f t="shared" si="12"/>
        <v>0</v>
      </c>
      <c r="O29" s="375">
        <f t="shared" si="12"/>
        <v>0</v>
      </c>
      <c r="P29" s="375">
        <f t="shared" si="12"/>
        <v>0</v>
      </c>
      <c r="Q29" s="375">
        <f t="shared" si="12"/>
        <v>0</v>
      </c>
      <c r="R29" s="109">
        <f t="shared" si="4"/>
        <v>0</v>
      </c>
      <c r="S29" s="3">
        <f t="shared" si="5"/>
        <v>0</v>
      </c>
    </row>
    <row r="30" spans="1:21" x14ac:dyDescent="0.2">
      <c r="A30" s="163"/>
      <c r="B30" s="29" t="s">
        <v>362</v>
      </c>
      <c r="C30" s="75">
        <f t="shared" si="11"/>
        <v>0</v>
      </c>
      <c r="D30" s="14">
        <f>'[9]SPEECH THERAPY'!$M$36</f>
        <v>0</v>
      </c>
      <c r="E30" s="28"/>
      <c r="F30" s="375">
        <f t="shared" si="13"/>
        <v>0</v>
      </c>
      <c r="G30" s="375">
        <f t="shared" si="12"/>
        <v>0</v>
      </c>
      <c r="H30" s="375">
        <f t="shared" si="12"/>
        <v>0</v>
      </c>
      <c r="I30" s="375">
        <f t="shared" si="12"/>
        <v>0</v>
      </c>
      <c r="J30" s="375">
        <f t="shared" si="12"/>
        <v>0</v>
      </c>
      <c r="K30" s="375">
        <f t="shared" si="12"/>
        <v>0</v>
      </c>
      <c r="L30" s="375">
        <f t="shared" si="12"/>
        <v>0</v>
      </c>
      <c r="M30" s="375">
        <f t="shared" si="12"/>
        <v>0</v>
      </c>
      <c r="N30" s="375">
        <f t="shared" si="12"/>
        <v>0</v>
      </c>
      <c r="O30" s="375">
        <f t="shared" si="12"/>
        <v>0</v>
      </c>
      <c r="P30" s="375">
        <f t="shared" si="12"/>
        <v>0</v>
      </c>
      <c r="Q30" s="375">
        <f t="shared" si="12"/>
        <v>0</v>
      </c>
      <c r="R30" s="109">
        <f t="shared" si="4"/>
        <v>0</v>
      </c>
      <c r="S30" s="3">
        <f t="shared" si="5"/>
        <v>0</v>
      </c>
    </row>
    <row r="31" spans="1:21" x14ac:dyDescent="0.2">
      <c r="A31" s="90">
        <v>31200.087</v>
      </c>
      <c r="B31" s="161" t="s">
        <v>562</v>
      </c>
      <c r="C31" s="293">
        <f>SUM(C24:C30)</f>
        <v>4531.2709090909093</v>
      </c>
      <c r="D31" s="290"/>
      <c r="E31" s="290"/>
      <c r="F31" s="369">
        <f>SUM(F24:F30)</f>
        <v>1006.949090909091</v>
      </c>
      <c r="G31" s="369">
        <f t="shared" ref="G31:Q31" si="14">SUM(G24:G30)</f>
        <v>755.21181818181822</v>
      </c>
      <c r="H31" s="369">
        <f t="shared" si="14"/>
        <v>0</v>
      </c>
      <c r="I31" s="369">
        <f t="shared" si="14"/>
        <v>0</v>
      </c>
      <c r="J31" s="369">
        <f t="shared" si="14"/>
        <v>0</v>
      </c>
      <c r="K31" s="369">
        <f t="shared" si="14"/>
        <v>0</v>
      </c>
      <c r="L31" s="369">
        <f t="shared" si="14"/>
        <v>0</v>
      </c>
      <c r="M31" s="369">
        <f t="shared" si="14"/>
        <v>251.73727272727274</v>
      </c>
      <c r="N31" s="369">
        <f t="shared" si="14"/>
        <v>755.21181818181822</v>
      </c>
      <c r="O31" s="369">
        <f t="shared" si="14"/>
        <v>0</v>
      </c>
      <c r="P31" s="369">
        <f t="shared" si="14"/>
        <v>1006.949090909091</v>
      </c>
      <c r="Q31" s="369">
        <f t="shared" si="14"/>
        <v>755.21181818181822</v>
      </c>
      <c r="R31" s="369">
        <f t="shared" si="4"/>
        <v>4531.2709090909093</v>
      </c>
      <c r="S31" s="291">
        <f t="shared" si="5"/>
        <v>0</v>
      </c>
    </row>
    <row r="32" spans="1:21" s="5" customFormat="1" x14ac:dyDescent="0.2">
      <c r="A32" s="11"/>
      <c r="B32" s="10" t="s">
        <v>0</v>
      </c>
      <c r="C32" s="293">
        <f>C15+C23+C31</f>
        <v>9689.6042424242441</v>
      </c>
      <c r="D32" s="293">
        <f>(C32/C$4)</f>
        <v>225.33963354474986</v>
      </c>
      <c r="E32" s="293"/>
      <c r="F32" s="369">
        <f>F15+F23+F31</f>
        <v>1006.949090909091</v>
      </c>
      <c r="G32" s="369">
        <f t="shared" ref="G32:Q32" si="15">G15+G23+G31</f>
        <v>2818.5451515151517</v>
      </c>
      <c r="H32" s="369">
        <f t="shared" si="15"/>
        <v>825.33333333333337</v>
      </c>
      <c r="I32" s="369">
        <f t="shared" si="15"/>
        <v>0</v>
      </c>
      <c r="J32" s="369">
        <f t="shared" si="15"/>
        <v>412.66666666666669</v>
      </c>
      <c r="K32" s="369">
        <f t="shared" si="15"/>
        <v>0</v>
      </c>
      <c r="L32" s="369">
        <f t="shared" si="15"/>
        <v>412.66666666666669</v>
      </c>
      <c r="M32" s="369">
        <f t="shared" si="15"/>
        <v>251.73727272727274</v>
      </c>
      <c r="N32" s="369">
        <f t="shared" si="15"/>
        <v>755.21181818181822</v>
      </c>
      <c r="O32" s="369">
        <f t="shared" si="15"/>
        <v>412.66666666666669</v>
      </c>
      <c r="P32" s="369">
        <f t="shared" si="15"/>
        <v>1006.949090909091</v>
      </c>
      <c r="Q32" s="369">
        <f t="shared" si="15"/>
        <v>1786.878484848485</v>
      </c>
      <c r="R32" s="369">
        <f t="shared" si="4"/>
        <v>9689.6042424242441</v>
      </c>
      <c r="S32" s="291">
        <f t="shared" si="5"/>
        <v>0</v>
      </c>
      <c r="T32" s="3"/>
      <c r="U32" s="3"/>
    </row>
    <row r="33" spans="1:21" x14ac:dyDescent="0.2">
      <c r="A33" s="711" t="s">
        <v>25</v>
      </c>
      <c r="B33" s="711"/>
      <c r="C33" s="711"/>
      <c r="D33" s="711"/>
      <c r="E33" s="195"/>
      <c r="F33" s="375"/>
      <c r="G33" s="375"/>
      <c r="H33" s="375"/>
      <c r="I33" s="375"/>
      <c r="J33" s="375"/>
      <c r="K33" s="375"/>
      <c r="L33" s="376"/>
      <c r="M33" s="376"/>
      <c r="N33" s="376"/>
      <c r="O33" s="376"/>
      <c r="P33" s="376"/>
      <c r="Q33" s="376"/>
      <c r="R33" s="109"/>
    </row>
    <row r="34" spans="1:21" s="151" customFormat="1" x14ac:dyDescent="0.2">
      <c r="A34" s="21"/>
      <c r="B34" s="10" t="s">
        <v>563</v>
      </c>
      <c r="C34" s="20"/>
      <c r="D34" s="78"/>
      <c r="E34" s="78"/>
      <c r="F34" s="377"/>
      <c r="G34" s="377"/>
      <c r="H34" s="377"/>
      <c r="I34" s="377"/>
      <c r="J34" s="377"/>
      <c r="K34" s="377"/>
      <c r="L34" s="378"/>
      <c r="M34" s="378"/>
      <c r="N34" s="378"/>
      <c r="O34" s="378"/>
      <c r="P34" s="378"/>
      <c r="Q34" s="378"/>
      <c r="R34" s="109"/>
      <c r="S34" s="3"/>
      <c r="T34" s="3"/>
      <c r="U34" s="3"/>
    </row>
    <row r="35" spans="1:21" s="151" customFormat="1" x14ac:dyDescent="0.2">
      <c r="A35" s="87">
        <v>41237.087</v>
      </c>
      <c r="B35" s="15" t="s">
        <v>456</v>
      </c>
      <c r="C35" s="14"/>
      <c r="D35" s="14">
        <f t="shared" ref="D35:D36" si="16">$C35/C$4</f>
        <v>0</v>
      </c>
      <c r="E35" s="78"/>
      <c r="F35" s="373">
        <f t="shared" ref="F35:Q36" si="17">$D35*F$4</f>
        <v>0</v>
      </c>
      <c r="G35" s="373">
        <f t="shared" si="17"/>
        <v>0</v>
      </c>
      <c r="H35" s="373">
        <f t="shared" si="17"/>
        <v>0</v>
      </c>
      <c r="I35" s="373">
        <f t="shared" si="17"/>
        <v>0</v>
      </c>
      <c r="J35" s="373">
        <f t="shared" si="17"/>
        <v>0</v>
      </c>
      <c r="K35" s="373">
        <f t="shared" si="17"/>
        <v>0</v>
      </c>
      <c r="L35" s="373">
        <f t="shared" si="17"/>
        <v>0</v>
      </c>
      <c r="M35" s="373">
        <f t="shared" si="17"/>
        <v>0</v>
      </c>
      <c r="N35" s="373">
        <f t="shared" si="17"/>
        <v>0</v>
      </c>
      <c r="O35" s="373">
        <f t="shared" si="17"/>
        <v>0</v>
      </c>
      <c r="P35" s="373">
        <f t="shared" si="17"/>
        <v>0</v>
      </c>
      <c r="Q35" s="373">
        <f t="shared" si="17"/>
        <v>0</v>
      </c>
      <c r="R35" s="109">
        <f t="shared" ref="R35:R36" si="18">SUM(F35:Q35)</f>
        <v>0</v>
      </c>
      <c r="S35" s="3">
        <f t="shared" ref="S35:S36" si="19">C35-R35</f>
        <v>0</v>
      </c>
      <c r="T35" s="3"/>
      <c r="U35" s="3"/>
    </row>
    <row r="36" spans="1:21" s="92" customFormat="1" x14ac:dyDescent="0.2">
      <c r="A36" s="87">
        <v>41365.087</v>
      </c>
      <c r="B36" s="15" t="s">
        <v>10</v>
      </c>
      <c r="C36" s="14">
        <f>'[6]Speech Therapy'!$I$15</f>
        <v>1750</v>
      </c>
      <c r="D36" s="14">
        <f t="shared" si="16"/>
        <v>40.697674418604649</v>
      </c>
      <c r="E36" s="28"/>
      <c r="F36" s="373">
        <f t="shared" si="17"/>
        <v>162.7906976744186</v>
      </c>
      <c r="G36" s="373">
        <f t="shared" si="17"/>
        <v>529.06976744186045</v>
      </c>
      <c r="H36" s="373">
        <f t="shared" si="17"/>
        <v>162.7906976744186</v>
      </c>
      <c r="I36" s="373">
        <f t="shared" si="17"/>
        <v>0</v>
      </c>
      <c r="J36" s="373">
        <f t="shared" si="17"/>
        <v>81.395348837209298</v>
      </c>
      <c r="K36" s="373">
        <f t="shared" si="17"/>
        <v>0</v>
      </c>
      <c r="L36" s="373">
        <f t="shared" si="17"/>
        <v>81.395348837209298</v>
      </c>
      <c r="M36" s="373">
        <f t="shared" si="17"/>
        <v>40.697674418604649</v>
      </c>
      <c r="N36" s="373">
        <f t="shared" si="17"/>
        <v>122.09302325581395</v>
      </c>
      <c r="O36" s="373">
        <f t="shared" si="17"/>
        <v>81.395348837209298</v>
      </c>
      <c r="P36" s="373">
        <f t="shared" si="17"/>
        <v>162.7906976744186</v>
      </c>
      <c r="Q36" s="373">
        <f t="shared" si="17"/>
        <v>325.58139534883719</v>
      </c>
      <c r="R36" s="109">
        <f t="shared" si="18"/>
        <v>1750</v>
      </c>
      <c r="S36" s="3">
        <f t="shared" si="19"/>
        <v>0</v>
      </c>
      <c r="T36" s="3"/>
      <c r="U36" s="3"/>
    </row>
    <row r="37" spans="1:21" x14ac:dyDescent="0.2">
      <c r="B37" s="77" t="s">
        <v>0</v>
      </c>
      <c r="C37" s="96">
        <f>SUM(C35:C36)</f>
        <v>1750</v>
      </c>
      <c r="D37" s="104">
        <f>$C37/C$4</f>
        <v>40.697674418604649</v>
      </c>
      <c r="F37" s="379">
        <f t="shared" ref="F37:Q37" si="20">SUM(F35:F36)</f>
        <v>162.7906976744186</v>
      </c>
      <c r="G37" s="379">
        <f t="shared" si="20"/>
        <v>529.06976744186045</v>
      </c>
      <c r="H37" s="379">
        <f t="shared" si="20"/>
        <v>162.7906976744186</v>
      </c>
      <c r="I37" s="379">
        <f t="shared" si="20"/>
        <v>0</v>
      </c>
      <c r="J37" s="379">
        <f t="shared" si="20"/>
        <v>81.395348837209298</v>
      </c>
      <c r="K37" s="379">
        <f t="shared" si="20"/>
        <v>0</v>
      </c>
      <c r="L37" s="379">
        <f t="shared" si="20"/>
        <v>81.395348837209298</v>
      </c>
      <c r="M37" s="379">
        <f t="shared" si="20"/>
        <v>40.697674418604649</v>
      </c>
      <c r="N37" s="379">
        <f t="shared" si="20"/>
        <v>122.09302325581395</v>
      </c>
      <c r="O37" s="379">
        <f t="shared" si="20"/>
        <v>81.395348837209298</v>
      </c>
      <c r="P37" s="379">
        <f t="shared" si="20"/>
        <v>162.7906976744186</v>
      </c>
      <c r="Q37" s="379">
        <f t="shared" si="20"/>
        <v>325.58139534883719</v>
      </c>
      <c r="R37" s="109">
        <f>SUM(F37:Q37)</f>
        <v>1750</v>
      </c>
      <c r="S37" s="3">
        <f>C37-R37</f>
        <v>0</v>
      </c>
    </row>
    <row r="38" spans="1:21" x14ac:dyDescent="0.2">
      <c r="C38" s="3">
        <f>C37-C32</f>
        <v>-7939.6042424242441</v>
      </c>
      <c r="S38" s="2"/>
      <c r="T38" s="2"/>
      <c r="U38" s="2"/>
    </row>
    <row r="39" spans="1:21" x14ac:dyDescent="0.2">
      <c r="S39" s="2"/>
      <c r="T39" s="2"/>
      <c r="U39" s="2"/>
    </row>
    <row r="40" spans="1:21" x14ac:dyDescent="0.2">
      <c r="S40" s="2"/>
      <c r="T40" s="2"/>
      <c r="U40" s="2"/>
    </row>
    <row r="41" spans="1:21" x14ac:dyDescent="0.2">
      <c r="S41" s="2"/>
      <c r="T41" s="2"/>
      <c r="U41" s="2"/>
    </row>
    <row r="42" spans="1:21" x14ac:dyDescent="0.2">
      <c r="S42" s="2"/>
      <c r="T42" s="2"/>
      <c r="U42" s="2"/>
    </row>
  </sheetData>
  <mergeCells count="2">
    <mergeCell ref="A6:D6"/>
    <mergeCell ref="A33:D33"/>
  </mergeCells>
  <printOptions gridLines="1"/>
  <pageMargins left="0.25" right="0.25" top="0.75" bottom="0.75" header="0.3" footer="0.3"/>
  <pageSetup scale="71" orientation="landscape" r:id="rId1"/>
  <headerFooter alignWithMargins="0">
    <oddHeader xml:space="preserve">&amp;C&amp;"Arial,Bold"&amp;14DOCTORS MEMORIAL HOSPITAL
FY 2017 BUDGET
</oddHeader>
    <oddFooter xml:space="preserve">&amp;R&amp;A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42"/>
  <sheetViews>
    <sheetView zoomScaleNormal="100" workbookViewId="0">
      <selection activeCell="D38" sqref="D38"/>
    </sheetView>
  </sheetViews>
  <sheetFormatPr defaultRowHeight="12.75" x14ac:dyDescent="0.2"/>
  <cols>
    <col min="1" max="1" width="9.42578125" style="2" bestFit="1" customWidth="1"/>
    <col min="2" max="2" width="22.85546875" style="2" customWidth="1"/>
    <col min="3" max="3" width="12.42578125" style="2" customWidth="1"/>
    <col min="4" max="4" width="8.28515625" style="4" customWidth="1"/>
    <col min="5" max="5" width="4" style="4" customWidth="1"/>
    <col min="6" max="8" width="11.28515625" style="7" bestFit="1" customWidth="1"/>
    <col min="9" max="11" width="10.5703125" style="7" customWidth="1"/>
    <col min="12" max="12" width="10.5703125" style="3" customWidth="1"/>
    <col min="13" max="13" width="11.28515625" style="3" bestFit="1" customWidth="1"/>
    <col min="14" max="14" width="10.5703125" style="3" customWidth="1"/>
    <col min="15" max="15" width="11.28515625" style="3" bestFit="1" customWidth="1"/>
    <col min="16" max="17" width="10.28515625" style="3" bestFit="1" customWidth="1"/>
    <col min="18" max="18" width="12.85546875" style="96" bestFit="1" customWidth="1"/>
    <col min="19"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19" x14ac:dyDescent="0.2">
      <c r="B2" s="35" t="s">
        <v>567</v>
      </c>
      <c r="C2" s="38">
        <f>STATS!D84</f>
        <v>0</v>
      </c>
      <c r="F2" s="131">
        <f>'MO STATS'!E80</f>
        <v>0</v>
      </c>
      <c r="G2" s="131">
        <f>'MO STATS'!F80</f>
        <v>0</v>
      </c>
      <c r="H2" s="131">
        <f>'MO STATS'!G80</f>
        <v>0</v>
      </c>
      <c r="I2" s="131">
        <f>'MO STATS'!H80</f>
        <v>0</v>
      </c>
      <c r="J2" s="131">
        <f>'MO STATS'!I80</f>
        <v>0</v>
      </c>
      <c r="K2" s="131">
        <f>'MO STATS'!J80</f>
        <v>0</v>
      </c>
      <c r="L2" s="131">
        <f>'MO STATS'!K80</f>
        <v>0</v>
      </c>
      <c r="M2" s="131">
        <f>'MO STATS'!L80</f>
        <v>0</v>
      </c>
      <c r="N2" s="131">
        <f>'MO STATS'!M80</f>
        <v>0</v>
      </c>
      <c r="O2" s="131">
        <f>'MO STATS'!N80</f>
        <v>0</v>
      </c>
      <c r="P2" s="131">
        <f>'MO STATS'!O80</f>
        <v>0</v>
      </c>
      <c r="Q2" s="131">
        <f>'MO STATS'!P80</f>
        <v>0</v>
      </c>
      <c r="R2" s="96">
        <f t="shared" ref="R2:R4" si="0">SUM(F2:Q2)</f>
        <v>0</v>
      </c>
      <c r="S2" s="3">
        <f>C2-R2</f>
        <v>0</v>
      </c>
    </row>
    <row r="3" spans="1:19" ht="12.75" customHeight="1" x14ac:dyDescent="0.2">
      <c r="B3" s="35" t="s">
        <v>568</v>
      </c>
      <c r="C3" s="38">
        <f>STATS!D85</f>
        <v>0</v>
      </c>
      <c r="D3" s="195"/>
      <c r="E3" s="195"/>
      <c r="F3" s="131">
        <f>'MO STATS'!E81</f>
        <v>0</v>
      </c>
      <c r="G3" s="131">
        <f>'MO STATS'!F81</f>
        <v>0</v>
      </c>
      <c r="H3" s="131">
        <f>'MO STATS'!G81</f>
        <v>0</v>
      </c>
      <c r="I3" s="131">
        <f>'MO STATS'!H81</f>
        <v>0</v>
      </c>
      <c r="J3" s="131">
        <f>'MO STATS'!I81</f>
        <v>0</v>
      </c>
      <c r="K3" s="131">
        <f>'MO STATS'!J81</f>
        <v>0</v>
      </c>
      <c r="L3" s="131">
        <f>'MO STATS'!K81</f>
        <v>0</v>
      </c>
      <c r="M3" s="131">
        <f>'MO STATS'!L81</f>
        <v>0</v>
      </c>
      <c r="N3" s="131">
        <f>'MO STATS'!M81</f>
        <v>0</v>
      </c>
      <c r="O3" s="131">
        <f>'MO STATS'!N81</f>
        <v>0</v>
      </c>
      <c r="P3" s="131">
        <f>'MO STATS'!O81</f>
        <v>0</v>
      </c>
      <c r="Q3" s="131">
        <f>'MO STATS'!P81</f>
        <v>0</v>
      </c>
      <c r="R3" s="96">
        <f t="shared" si="0"/>
        <v>0</v>
      </c>
      <c r="S3" s="3">
        <f>C3-R3</f>
        <v>0</v>
      </c>
    </row>
    <row r="4" spans="1:19" s="3" customFormat="1" ht="12.75" customHeight="1" x14ac:dyDescent="0.2">
      <c r="A4" s="2"/>
      <c r="B4" s="35" t="s">
        <v>569</v>
      </c>
      <c r="C4" s="38">
        <f>C2+C3</f>
        <v>0</v>
      </c>
      <c r="D4" s="195"/>
      <c r="E4" s="195"/>
      <c r="F4" s="131">
        <f>'MO STATS'!E82</f>
        <v>0</v>
      </c>
      <c r="G4" s="131">
        <f>'MO STATS'!F82</f>
        <v>0</v>
      </c>
      <c r="H4" s="131">
        <f>'MO STATS'!G82</f>
        <v>0</v>
      </c>
      <c r="I4" s="131">
        <f>'MO STATS'!H82</f>
        <v>0</v>
      </c>
      <c r="J4" s="131">
        <f>'MO STATS'!I82</f>
        <v>0</v>
      </c>
      <c r="K4" s="131">
        <f>'MO STATS'!J82</f>
        <v>0</v>
      </c>
      <c r="L4" s="131">
        <f>'MO STATS'!K82</f>
        <v>0</v>
      </c>
      <c r="M4" s="131">
        <f>'MO STATS'!L82</f>
        <v>0</v>
      </c>
      <c r="N4" s="131">
        <f>'MO STATS'!M82</f>
        <v>0</v>
      </c>
      <c r="O4" s="131">
        <f>'MO STATS'!N82</f>
        <v>0</v>
      </c>
      <c r="P4" s="131">
        <f>'MO STATS'!O82</f>
        <v>0</v>
      </c>
      <c r="Q4" s="131">
        <f>'MO STATS'!P82</f>
        <v>0</v>
      </c>
      <c r="R4" s="96">
        <f t="shared" si="0"/>
        <v>0</v>
      </c>
      <c r="S4" s="3">
        <f>C4-R4</f>
        <v>0</v>
      </c>
    </row>
    <row r="5" spans="1:19" s="3" customFormat="1" ht="12.75" customHeight="1" x14ac:dyDescent="0.2">
      <c r="A5" s="2"/>
      <c r="B5" s="35"/>
      <c r="C5" s="38"/>
      <c r="D5" s="195"/>
      <c r="E5" s="195"/>
      <c r="F5" s="100"/>
      <c r="G5" s="100"/>
      <c r="H5" s="100"/>
      <c r="I5" s="100"/>
      <c r="J5" s="100"/>
      <c r="K5" s="100"/>
      <c r="L5" s="100"/>
      <c r="M5" s="100"/>
      <c r="N5" s="100"/>
      <c r="O5" s="100"/>
      <c r="P5" s="100"/>
      <c r="Q5" s="100"/>
      <c r="R5" s="101"/>
    </row>
    <row r="6" spans="1:19" s="3" customFormat="1" ht="11.25" x14ac:dyDescent="0.2">
      <c r="A6" s="711" t="s">
        <v>35</v>
      </c>
      <c r="B6" s="711"/>
      <c r="C6" s="711"/>
      <c r="D6" s="711"/>
      <c r="E6" s="195"/>
      <c r="F6" s="7"/>
      <c r="G6" s="7"/>
      <c r="H6" s="7"/>
      <c r="I6" s="7"/>
      <c r="J6" s="7"/>
      <c r="K6" s="7"/>
      <c r="R6" s="96"/>
    </row>
    <row r="7" spans="1:19" s="3" customFormat="1" x14ac:dyDescent="0.2">
      <c r="A7" s="21"/>
      <c r="B7" s="188" t="s">
        <v>570</v>
      </c>
      <c r="C7" s="1"/>
      <c r="D7" s="180" t="s">
        <v>575</v>
      </c>
      <c r="E7" s="126"/>
      <c r="F7" s="186" t="s">
        <v>49</v>
      </c>
      <c r="G7" s="186" t="s">
        <v>48</v>
      </c>
      <c r="H7" s="186" t="s">
        <v>47</v>
      </c>
      <c r="I7" s="186" t="s">
        <v>46</v>
      </c>
      <c r="J7" s="186" t="s">
        <v>45</v>
      </c>
      <c r="K7" s="186" t="s">
        <v>44</v>
      </c>
      <c r="L7" s="186" t="s">
        <v>43</v>
      </c>
      <c r="M7" s="186" t="s">
        <v>42</v>
      </c>
      <c r="N7" s="186" t="s">
        <v>41</v>
      </c>
      <c r="O7" s="186" t="s">
        <v>40</v>
      </c>
      <c r="P7" s="186" t="s">
        <v>39</v>
      </c>
      <c r="Q7" s="186" t="s">
        <v>38</v>
      </c>
      <c r="R7" s="186" t="s">
        <v>37</v>
      </c>
    </row>
    <row r="8" spans="1:19" s="3" customFormat="1" x14ac:dyDescent="0.2">
      <c r="A8" s="16"/>
      <c r="B8" s="29" t="s">
        <v>352</v>
      </c>
      <c r="C8" s="75">
        <f>$C$2*$D8</f>
        <v>0</v>
      </c>
      <c r="D8" s="14">
        <v>0</v>
      </c>
      <c r="E8" s="28"/>
      <c r="F8" s="375">
        <f>$D8*F$2</f>
        <v>0</v>
      </c>
      <c r="G8" s="375">
        <f t="shared" ref="G8:Q14" si="1">$D8*G$2</f>
        <v>0</v>
      </c>
      <c r="H8" s="375">
        <f t="shared" si="1"/>
        <v>0</v>
      </c>
      <c r="I8" s="375">
        <f t="shared" si="1"/>
        <v>0</v>
      </c>
      <c r="J8" s="375">
        <f t="shared" si="1"/>
        <v>0</v>
      </c>
      <c r="K8" s="375">
        <f t="shared" si="1"/>
        <v>0</v>
      </c>
      <c r="L8" s="375">
        <f t="shared" si="1"/>
        <v>0</v>
      </c>
      <c r="M8" s="375">
        <f t="shared" si="1"/>
        <v>0</v>
      </c>
      <c r="N8" s="375">
        <f t="shared" si="1"/>
        <v>0</v>
      </c>
      <c r="O8" s="375">
        <f t="shared" si="1"/>
        <v>0</v>
      </c>
      <c r="P8" s="375">
        <f t="shared" si="1"/>
        <v>0</v>
      </c>
      <c r="Q8" s="375">
        <f t="shared" si="1"/>
        <v>0</v>
      </c>
      <c r="R8" s="109">
        <f>SUM(F8:Q8)</f>
        <v>0</v>
      </c>
      <c r="S8" s="3">
        <f>C8-R8</f>
        <v>0</v>
      </c>
    </row>
    <row r="9" spans="1:19" s="3" customFormat="1" x14ac:dyDescent="0.2">
      <c r="A9" s="16"/>
      <c r="B9" s="29" t="s">
        <v>353</v>
      </c>
      <c r="C9" s="75">
        <f t="shared" ref="C9:C14" si="2">$C$2*$D9</f>
        <v>0</v>
      </c>
      <c r="D9" s="14">
        <v>0</v>
      </c>
      <c r="E9" s="28"/>
      <c r="F9" s="375">
        <f t="shared" ref="F9:F14" si="3">$D9*F$2</f>
        <v>0</v>
      </c>
      <c r="G9" s="375">
        <f t="shared" si="1"/>
        <v>0</v>
      </c>
      <c r="H9" s="375">
        <f t="shared" si="1"/>
        <v>0</v>
      </c>
      <c r="I9" s="375">
        <f t="shared" si="1"/>
        <v>0</v>
      </c>
      <c r="J9" s="375">
        <f t="shared" si="1"/>
        <v>0</v>
      </c>
      <c r="K9" s="375">
        <f t="shared" si="1"/>
        <v>0</v>
      </c>
      <c r="L9" s="375">
        <f t="shared" si="1"/>
        <v>0</v>
      </c>
      <c r="M9" s="375">
        <f t="shared" si="1"/>
        <v>0</v>
      </c>
      <c r="N9" s="375">
        <f t="shared" si="1"/>
        <v>0</v>
      </c>
      <c r="O9" s="375">
        <f t="shared" si="1"/>
        <v>0</v>
      </c>
      <c r="P9" s="375">
        <f t="shared" si="1"/>
        <v>0</v>
      </c>
      <c r="Q9" s="375">
        <f t="shared" si="1"/>
        <v>0</v>
      </c>
      <c r="R9" s="109">
        <f t="shared" ref="R9:R32" si="4">SUM(F9:Q9)</f>
        <v>0</v>
      </c>
      <c r="S9" s="3">
        <f t="shared" ref="S9:S32" si="5">C9-R9</f>
        <v>0</v>
      </c>
    </row>
    <row r="10" spans="1:19" s="3" customFormat="1" x14ac:dyDescent="0.2">
      <c r="A10" s="16"/>
      <c r="B10" s="29" t="s">
        <v>355</v>
      </c>
      <c r="C10" s="75">
        <f t="shared" si="2"/>
        <v>0</v>
      </c>
      <c r="D10" s="14">
        <v>0</v>
      </c>
      <c r="E10" s="28"/>
      <c r="F10" s="375">
        <f t="shared" si="3"/>
        <v>0</v>
      </c>
      <c r="G10" s="375">
        <f t="shared" si="1"/>
        <v>0</v>
      </c>
      <c r="H10" s="375">
        <f t="shared" si="1"/>
        <v>0</v>
      </c>
      <c r="I10" s="375">
        <f t="shared" si="1"/>
        <v>0</v>
      </c>
      <c r="J10" s="375">
        <f t="shared" si="1"/>
        <v>0</v>
      </c>
      <c r="K10" s="375">
        <f t="shared" si="1"/>
        <v>0</v>
      </c>
      <c r="L10" s="375">
        <f t="shared" si="1"/>
        <v>0</v>
      </c>
      <c r="M10" s="375">
        <f t="shared" si="1"/>
        <v>0</v>
      </c>
      <c r="N10" s="375">
        <f t="shared" si="1"/>
        <v>0</v>
      </c>
      <c r="O10" s="375">
        <f t="shared" si="1"/>
        <v>0</v>
      </c>
      <c r="P10" s="375">
        <f t="shared" si="1"/>
        <v>0</v>
      </c>
      <c r="Q10" s="375">
        <f t="shared" si="1"/>
        <v>0</v>
      </c>
      <c r="R10" s="109">
        <f t="shared" si="4"/>
        <v>0</v>
      </c>
      <c r="S10" s="3">
        <f t="shared" si="5"/>
        <v>0</v>
      </c>
    </row>
    <row r="11" spans="1:19" s="3" customFormat="1" x14ac:dyDescent="0.2">
      <c r="A11" s="16"/>
      <c r="B11" s="29" t="s">
        <v>370</v>
      </c>
      <c r="C11" s="75">
        <f t="shared" si="2"/>
        <v>0</v>
      </c>
      <c r="D11" s="14">
        <v>0</v>
      </c>
      <c r="E11" s="28"/>
      <c r="F11" s="375">
        <f t="shared" si="3"/>
        <v>0</v>
      </c>
      <c r="G11" s="375">
        <f t="shared" si="1"/>
        <v>0</v>
      </c>
      <c r="H11" s="375">
        <f t="shared" si="1"/>
        <v>0</v>
      </c>
      <c r="I11" s="375">
        <f t="shared" si="1"/>
        <v>0</v>
      </c>
      <c r="J11" s="375">
        <f t="shared" si="1"/>
        <v>0</v>
      </c>
      <c r="K11" s="375">
        <f t="shared" si="1"/>
        <v>0</v>
      </c>
      <c r="L11" s="375">
        <f t="shared" si="1"/>
        <v>0</v>
      </c>
      <c r="M11" s="375">
        <f t="shared" si="1"/>
        <v>0</v>
      </c>
      <c r="N11" s="375">
        <f t="shared" si="1"/>
        <v>0</v>
      </c>
      <c r="O11" s="375">
        <f t="shared" si="1"/>
        <v>0</v>
      </c>
      <c r="P11" s="375">
        <f t="shared" si="1"/>
        <v>0</v>
      </c>
      <c r="Q11" s="375">
        <f t="shared" si="1"/>
        <v>0</v>
      </c>
      <c r="R11" s="109">
        <f t="shared" si="4"/>
        <v>0</v>
      </c>
      <c r="S11" s="3">
        <f t="shared" si="5"/>
        <v>0</v>
      </c>
    </row>
    <row r="12" spans="1:19" s="3" customFormat="1" x14ac:dyDescent="0.2">
      <c r="A12" s="16"/>
      <c r="B12" s="29" t="s">
        <v>356</v>
      </c>
      <c r="C12" s="75">
        <f t="shared" si="2"/>
        <v>0</v>
      </c>
      <c r="D12" s="14">
        <v>0</v>
      </c>
      <c r="E12" s="28"/>
      <c r="F12" s="375">
        <f t="shared" si="3"/>
        <v>0</v>
      </c>
      <c r="G12" s="375">
        <f t="shared" si="1"/>
        <v>0</v>
      </c>
      <c r="H12" s="375">
        <f t="shared" si="1"/>
        <v>0</v>
      </c>
      <c r="I12" s="375">
        <f t="shared" si="1"/>
        <v>0</v>
      </c>
      <c r="J12" s="375">
        <f t="shared" si="1"/>
        <v>0</v>
      </c>
      <c r="K12" s="375">
        <f t="shared" si="1"/>
        <v>0</v>
      </c>
      <c r="L12" s="375">
        <f t="shared" si="1"/>
        <v>0</v>
      </c>
      <c r="M12" s="375">
        <f t="shared" si="1"/>
        <v>0</v>
      </c>
      <c r="N12" s="375">
        <f t="shared" si="1"/>
        <v>0</v>
      </c>
      <c r="O12" s="375">
        <f t="shared" si="1"/>
        <v>0</v>
      </c>
      <c r="P12" s="375">
        <f t="shared" si="1"/>
        <v>0</v>
      </c>
      <c r="Q12" s="375">
        <f t="shared" si="1"/>
        <v>0</v>
      </c>
      <c r="R12" s="109">
        <f t="shared" si="4"/>
        <v>0</v>
      </c>
      <c r="S12" s="3">
        <f t="shared" si="5"/>
        <v>0</v>
      </c>
    </row>
    <row r="13" spans="1:19" s="3" customFormat="1" x14ac:dyDescent="0.2">
      <c r="A13" s="16"/>
      <c r="B13" s="29" t="s">
        <v>354</v>
      </c>
      <c r="C13" s="75">
        <f t="shared" si="2"/>
        <v>0</v>
      </c>
      <c r="D13" s="14">
        <v>0</v>
      </c>
      <c r="E13" s="28"/>
      <c r="F13" s="375">
        <f t="shared" si="3"/>
        <v>0</v>
      </c>
      <c r="G13" s="375">
        <f t="shared" si="1"/>
        <v>0</v>
      </c>
      <c r="H13" s="375">
        <f t="shared" si="1"/>
        <v>0</v>
      </c>
      <c r="I13" s="375">
        <f t="shared" si="1"/>
        <v>0</v>
      </c>
      <c r="J13" s="375">
        <f t="shared" si="1"/>
        <v>0</v>
      </c>
      <c r="K13" s="375">
        <f t="shared" si="1"/>
        <v>0</v>
      </c>
      <c r="L13" s="375">
        <f t="shared" si="1"/>
        <v>0</v>
      </c>
      <c r="M13" s="375">
        <f t="shared" si="1"/>
        <v>0</v>
      </c>
      <c r="N13" s="375">
        <f t="shared" si="1"/>
        <v>0</v>
      </c>
      <c r="O13" s="375">
        <f t="shared" si="1"/>
        <v>0</v>
      </c>
      <c r="P13" s="375">
        <f t="shared" si="1"/>
        <v>0</v>
      </c>
      <c r="Q13" s="375">
        <f t="shared" si="1"/>
        <v>0</v>
      </c>
      <c r="R13" s="109">
        <f t="shared" si="4"/>
        <v>0</v>
      </c>
      <c r="S13" s="3">
        <f t="shared" si="5"/>
        <v>0</v>
      </c>
    </row>
    <row r="14" spans="1:19" s="3" customFormat="1" x14ac:dyDescent="0.2">
      <c r="A14" s="16"/>
      <c r="B14" s="29" t="s">
        <v>357</v>
      </c>
      <c r="C14" s="75">
        <f t="shared" si="2"/>
        <v>0</v>
      </c>
      <c r="D14" s="14">
        <v>0</v>
      </c>
      <c r="E14" s="28"/>
      <c r="F14" s="375">
        <f t="shared" si="3"/>
        <v>0</v>
      </c>
      <c r="G14" s="375">
        <f t="shared" si="1"/>
        <v>0</v>
      </c>
      <c r="H14" s="375">
        <f t="shared" si="1"/>
        <v>0</v>
      </c>
      <c r="I14" s="375">
        <f t="shared" si="1"/>
        <v>0</v>
      </c>
      <c r="J14" s="375">
        <f t="shared" si="1"/>
        <v>0</v>
      </c>
      <c r="K14" s="375">
        <f t="shared" si="1"/>
        <v>0</v>
      </c>
      <c r="L14" s="375">
        <f t="shared" si="1"/>
        <v>0</v>
      </c>
      <c r="M14" s="375">
        <f t="shared" si="1"/>
        <v>0</v>
      </c>
      <c r="N14" s="375">
        <f t="shared" si="1"/>
        <v>0</v>
      </c>
      <c r="O14" s="375">
        <f t="shared" si="1"/>
        <v>0</v>
      </c>
      <c r="P14" s="375">
        <f t="shared" si="1"/>
        <v>0</v>
      </c>
      <c r="Q14" s="375">
        <f t="shared" si="1"/>
        <v>0</v>
      </c>
      <c r="R14" s="109">
        <f t="shared" si="4"/>
        <v>0</v>
      </c>
      <c r="S14" s="3">
        <f t="shared" si="5"/>
        <v>0</v>
      </c>
    </row>
    <row r="15" spans="1:19" s="3" customFormat="1" x14ac:dyDescent="0.2">
      <c r="A15" s="87">
        <v>31110.089</v>
      </c>
      <c r="B15" s="161" t="s">
        <v>571</v>
      </c>
      <c r="C15" s="290">
        <f>SUM(C8:C14)</f>
        <v>0</v>
      </c>
      <c r="D15" s="290"/>
      <c r="E15" s="290"/>
      <c r="F15" s="369">
        <f>SUM(F8:F14)</f>
        <v>0</v>
      </c>
      <c r="G15" s="369">
        <f t="shared" ref="G15:Q15" si="6">SUM(G8:G14)</f>
        <v>0</v>
      </c>
      <c r="H15" s="369">
        <f t="shared" si="6"/>
        <v>0</v>
      </c>
      <c r="I15" s="369">
        <f t="shared" si="6"/>
        <v>0</v>
      </c>
      <c r="J15" s="369">
        <f t="shared" si="6"/>
        <v>0</v>
      </c>
      <c r="K15" s="369">
        <f t="shared" si="6"/>
        <v>0</v>
      </c>
      <c r="L15" s="369">
        <f t="shared" si="6"/>
        <v>0</v>
      </c>
      <c r="M15" s="369">
        <f t="shared" si="6"/>
        <v>0</v>
      </c>
      <c r="N15" s="369">
        <f t="shared" si="6"/>
        <v>0</v>
      </c>
      <c r="O15" s="369">
        <f t="shared" si="6"/>
        <v>0</v>
      </c>
      <c r="P15" s="369">
        <f t="shared" si="6"/>
        <v>0</v>
      </c>
      <c r="Q15" s="369">
        <f t="shared" si="6"/>
        <v>0</v>
      </c>
      <c r="R15" s="369">
        <f t="shared" si="4"/>
        <v>0</v>
      </c>
      <c r="S15" s="291">
        <f t="shared" si="5"/>
        <v>0</v>
      </c>
    </row>
    <row r="16" spans="1:19" s="3" customFormat="1" x14ac:dyDescent="0.2">
      <c r="A16" s="16"/>
      <c r="B16" s="29" t="s">
        <v>424</v>
      </c>
      <c r="C16" s="75">
        <f t="shared" ref="C16:C22" si="7">$C$2*D16</f>
        <v>0</v>
      </c>
      <c r="D16" s="14">
        <v>0</v>
      </c>
      <c r="E16" s="28"/>
      <c r="F16" s="375">
        <f>$D16*F$2</f>
        <v>0</v>
      </c>
      <c r="G16" s="375">
        <f t="shared" ref="G16:Q22" si="8">$D16*G$2</f>
        <v>0</v>
      </c>
      <c r="H16" s="375">
        <f t="shared" si="8"/>
        <v>0</v>
      </c>
      <c r="I16" s="375">
        <f t="shared" si="8"/>
        <v>0</v>
      </c>
      <c r="J16" s="375">
        <f t="shared" si="8"/>
        <v>0</v>
      </c>
      <c r="K16" s="375">
        <f t="shared" si="8"/>
        <v>0</v>
      </c>
      <c r="L16" s="375">
        <f t="shared" si="8"/>
        <v>0</v>
      </c>
      <c r="M16" s="375">
        <f t="shared" si="8"/>
        <v>0</v>
      </c>
      <c r="N16" s="375">
        <f t="shared" si="8"/>
        <v>0</v>
      </c>
      <c r="O16" s="375">
        <f t="shared" si="8"/>
        <v>0</v>
      </c>
      <c r="P16" s="375">
        <f t="shared" si="8"/>
        <v>0</v>
      </c>
      <c r="Q16" s="375">
        <f t="shared" si="8"/>
        <v>0</v>
      </c>
      <c r="R16" s="109">
        <f t="shared" si="4"/>
        <v>0</v>
      </c>
      <c r="S16" s="3">
        <f t="shared" si="5"/>
        <v>0</v>
      </c>
    </row>
    <row r="17" spans="1:21" x14ac:dyDescent="0.2">
      <c r="A17" s="16"/>
      <c r="B17" s="29" t="s">
        <v>425</v>
      </c>
      <c r="C17" s="75">
        <f t="shared" si="7"/>
        <v>0</v>
      </c>
      <c r="D17" s="14">
        <v>0</v>
      </c>
      <c r="E17" s="28"/>
      <c r="F17" s="375">
        <f t="shared" ref="F17:F22" si="9">$D17*F$2</f>
        <v>0</v>
      </c>
      <c r="G17" s="375">
        <f t="shared" si="8"/>
        <v>0</v>
      </c>
      <c r="H17" s="375">
        <f t="shared" si="8"/>
        <v>0</v>
      </c>
      <c r="I17" s="375">
        <f t="shared" si="8"/>
        <v>0</v>
      </c>
      <c r="J17" s="375">
        <f t="shared" si="8"/>
        <v>0</v>
      </c>
      <c r="K17" s="375">
        <f t="shared" si="8"/>
        <v>0</v>
      </c>
      <c r="L17" s="375">
        <f t="shared" si="8"/>
        <v>0</v>
      </c>
      <c r="M17" s="375">
        <f t="shared" si="8"/>
        <v>0</v>
      </c>
      <c r="N17" s="375">
        <f t="shared" si="8"/>
        <v>0</v>
      </c>
      <c r="O17" s="375">
        <f t="shared" si="8"/>
        <v>0</v>
      </c>
      <c r="P17" s="375">
        <f t="shared" si="8"/>
        <v>0</v>
      </c>
      <c r="Q17" s="375">
        <f t="shared" si="8"/>
        <v>0</v>
      </c>
      <c r="R17" s="109">
        <f t="shared" si="4"/>
        <v>0</v>
      </c>
      <c r="S17" s="3">
        <f t="shared" si="5"/>
        <v>0</v>
      </c>
    </row>
    <row r="18" spans="1:21" x14ac:dyDescent="0.2">
      <c r="A18" s="16"/>
      <c r="B18" s="29" t="s">
        <v>426</v>
      </c>
      <c r="C18" s="75">
        <f t="shared" si="7"/>
        <v>0</v>
      </c>
      <c r="D18" s="14">
        <v>0</v>
      </c>
      <c r="E18" s="28"/>
      <c r="F18" s="375">
        <f t="shared" si="9"/>
        <v>0</v>
      </c>
      <c r="G18" s="375">
        <f t="shared" si="8"/>
        <v>0</v>
      </c>
      <c r="H18" s="375">
        <f t="shared" si="8"/>
        <v>0</v>
      </c>
      <c r="I18" s="375">
        <f t="shared" si="8"/>
        <v>0</v>
      </c>
      <c r="J18" s="375">
        <f t="shared" si="8"/>
        <v>0</v>
      </c>
      <c r="K18" s="375">
        <f t="shared" si="8"/>
        <v>0</v>
      </c>
      <c r="L18" s="375">
        <f t="shared" si="8"/>
        <v>0</v>
      </c>
      <c r="M18" s="375">
        <f t="shared" si="8"/>
        <v>0</v>
      </c>
      <c r="N18" s="375">
        <f t="shared" si="8"/>
        <v>0</v>
      </c>
      <c r="O18" s="375">
        <f t="shared" si="8"/>
        <v>0</v>
      </c>
      <c r="P18" s="375">
        <f t="shared" si="8"/>
        <v>0</v>
      </c>
      <c r="Q18" s="375">
        <f t="shared" si="8"/>
        <v>0</v>
      </c>
      <c r="R18" s="109">
        <f t="shared" si="4"/>
        <v>0</v>
      </c>
      <c r="S18" s="3">
        <f t="shared" si="5"/>
        <v>0</v>
      </c>
    </row>
    <row r="19" spans="1:21" x14ac:dyDescent="0.2">
      <c r="A19" s="16"/>
      <c r="B19" s="29" t="s">
        <v>427</v>
      </c>
      <c r="C19" s="75">
        <f t="shared" si="7"/>
        <v>0</v>
      </c>
      <c r="D19" s="14">
        <v>0</v>
      </c>
      <c r="E19" s="28"/>
      <c r="F19" s="375">
        <f t="shared" si="9"/>
        <v>0</v>
      </c>
      <c r="G19" s="375">
        <f t="shared" si="8"/>
        <v>0</v>
      </c>
      <c r="H19" s="375">
        <f t="shared" si="8"/>
        <v>0</v>
      </c>
      <c r="I19" s="375">
        <f t="shared" si="8"/>
        <v>0</v>
      </c>
      <c r="J19" s="375">
        <f t="shared" si="8"/>
        <v>0</v>
      </c>
      <c r="K19" s="375">
        <f t="shared" si="8"/>
        <v>0</v>
      </c>
      <c r="L19" s="375">
        <f t="shared" si="8"/>
        <v>0</v>
      </c>
      <c r="M19" s="375">
        <f t="shared" si="8"/>
        <v>0</v>
      </c>
      <c r="N19" s="375">
        <f t="shared" si="8"/>
        <v>0</v>
      </c>
      <c r="O19" s="375">
        <f t="shared" si="8"/>
        <v>0</v>
      </c>
      <c r="P19" s="375">
        <f t="shared" si="8"/>
        <v>0</v>
      </c>
      <c r="Q19" s="375">
        <f t="shared" si="8"/>
        <v>0</v>
      </c>
      <c r="R19" s="376">
        <f t="shared" si="4"/>
        <v>0</v>
      </c>
      <c r="S19" s="3">
        <f t="shared" si="5"/>
        <v>0</v>
      </c>
    </row>
    <row r="20" spans="1:21" x14ac:dyDescent="0.2">
      <c r="A20" s="16"/>
      <c r="B20" s="29" t="s">
        <v>428</v>
      </c>
      <c r="C20" s="75">
        <f t="shared" si="7"/>
        <v>0</v>
      </c>
      <c r="D20" s="14">
        <v>0</v>
      </c>
      <c r="E20" s="28"/>
      <c r="F20" s="375">
        <f t="shared" si="9"/>
        <v>0</v>
      </c>
      <c r="G20" s="375">
        <f t="shared" si="8"/>
        <v>0</v>
      </c>
      <c r="H20" s="375">
        <f t="shared" si="8"/>
        <v>0</v>
      </c>
      <c r="I20" s="375">
        <f t="shared" si="8"/>
        <v>0</v>
      </c>
      <c r="J20" s="375">
        <f t="shared" si="8"/>
        <v>0</v>
      </c>
      <c r="K20" s="375">
        <f t="shared" si="8"/>
        <v>0</v>
      </c>
      <c r="L20" s="375">
        <f t="shared" si="8"/>
        <v>0</v>
      </c>
      <c r="M20" s="375">
        <f t="shared" si="8"/>
        <v>0</v>
      </c>
      <c r="N20" s="375">
        <f t="shared" si="8"/>
        <v>0</v>
      </c>
      <c r="O20" s="375">
        <f t="shared" si="8"/>
        <v>0</v>
      </c>
      <c r="P20" s="375">
        <f t="shared" si="8"/>
        <v>0</v>
      </c>
      <c r="Q20" s="375">
        <f t="shared" si="8"/>
        <v>0</v>
      </c>
      <c r="R20" s="109">
        <f t="shared" si="4"/>
        <v>0</v>
      </c>
      <c r="S20" s="3">
        <f t="shared" si="5"/>
        <v>0</v>
      </c>
    </row>
    <row r="21" spans="1:21" x14ac:dyDescent="0.2">
      <c r="A21" s="16"/>
      <c r="B21" s="29" t="s">
        <v>429</v>
      </c>
      <c r="C21" s="75">
        <f t="shared" si="7"/>
        <v>0</v>
      </c>
      <c r="D21" s="14">
        <v>0</v>
      </c>
      <c r="E21" s="28"/>
      <c r="F21" s="375">
        <f t="shared" si="9"/>
        <v>0</v>
      </c>
      <c r="G21" s="375">
        <f t="shared" si="8"/>
        <v>0</v>
      </c>
      <c r="H21" s="375">
        <f t="shared" si="8"/>
        <v>0</v>
      </c>
      <c r="I21" s="375">
        <f t="shared" si="8"/>
        <v>0</v>
      </c>
      <c r="J21" s="375">
        <f t="shared" si="8"/>
        <v>0</v>
      </c>
      <c r="K21" s="375">
        <f t="shared" si="8"/>
        <v>0</v>
      </c>
      <c r="L21" s="375">
        <f t="shared" si="8"/>
        <v>0</v>
      </c>
      <c r="M21" s="375">
        <f t="shared" si="8"/>
        <v>0</v>
      </c>
      <c r="N21" s="375">
        <f t="shared" si="8"/>
        <v>0</v>
      </c>
      <c r="O21" s="375">
        <f t="shared" si="8"/>
        <v>0</v>
      </c>
      <c r="P21" s="375">
        <f t="shared" si="8"/>
        <v>0</v>
      </c>
      <c r="Q21" s="375">
        <f t="shared" si="8"/>
        <v>0</v>
      </c>
      <c r="R21" s="109">
        <f t="shared" si="4"/>
        <v>0</v>
      </c>
      <c r="S21" s="3">
        <f t="shared" si="5"/>
        <v>0</v>
      </c>
    </row>
    <row r="22" spans="1:21" x14ac:dyDescent="0.2">
      <c r="A22" s="16"/>
      <c r="B22" s="29" t="s">
        <v>430</v>
      </c>
      <c r="C22" s="75">
        <f t="shared" si="7"/>
        <v>0</v>
      </c>
      <c r="D22" s="14">
        <v>0</v>
      </c>
      <c r="E22" s="28"/>
      <c r="F22" s="375">
        <f t="shared" si="9"/>
        <v>0</v>
      </c>
      <c r="G22" s="375">
        <f t="shared" si="8"/>
        <v>0</v>
      </c>
      <c r="H22" s="375">
        <f t="shared" si="8"/>
        <v>0</v>
      </c>
      <c r="I22" s="375">
        <f t="shared" si="8"/>
        <v>0</v>
      </c>
      <c r="J22" s="375">
        <f t="shared" si="8"/>
        <v>0</v>
      </c>
      <c r="K22" s="375">
        <f t="shared" si="8"/>
        <v>0</v>
      </c>
      <c r="L22" s="375">
        <f t="shared" si="8"/>
        <v>0</v>
      </c>
      <c r="M22" s="375">
        <f t="shared" si="8"/>
        <v>0</v>
      </c>
      <c r="N22" s="375">
        <f t="shared" si="8"/>
        <v>0</v>
      </c>
      <c r="O22" s="375">
        <f t="shared" si="8"/>
        <v>0</v>
      </c>
      <c r="P22" s="375">
        <f t="shared" si="8"/>
        <v>0</v>
      </c>
      <c r="Q22" s="375">
        <f t="shared" si="8"/>
        <v>0</v>
      </c>
      <c r="R22" s="109">
        <f t="shared" si="4"/>
        <v>0</v>
      </c>
      <c r="S22" s="3">
        <f t="shared" si="5"/>
        <v>0</v>
      </c>
    </row>
    <row r="23" spans="1:21" x14ac:dyDescent="0.2">
      <c r="A23" s="132">
        <v>31111.089</v>
      </c>
      <c r="B23" s="161" t="s">
        <v>572</v>
      </c>
      <c r="C23" s="290">
        <f>SUM(C16:C22)</f>
        <v>0</v>
      </c>
      <c r="D23" s="290"/>
      <c r="E23" s="290"/>
      <c r="F23" s="369">
        <f>SUM(F16:F22)</f>
        <v>0</v>
      </c>
      <c r="G23" s="369">
        <f t="shared" ref="G23:Q23" si="10">SUM(G16:G22)</f>
        <v>0</v>
      </c>
      <c r="H23" s="369">
        <f t="shared" si="10"/>
        <v>0</v>
      </c>
      <c r="I23" s="369">
        <f t="shared" si="10"/>
        <v>0</v>
      </c>
      <c r="J23" s="369">
        <f t="shared" si="10"/>
        <v>0</v>
      </c>
      <c r="K23" s="369">
        <f t="shared" si="10"/>
        <v>0</v>
      </c>
      <c r="L23" s="369">
        <f t="shared" si="10"/>
        <v>0</v>
      </c>
      <c r="M23" s="369">
        <f t="shared" si="10"/>
        <v>0</v>
      </c>
      <c r="N23" s="369">
        <f t="shared" si="10"/>
        <v>0</v>
      </c>
      <c r="O23" s="369">
        <f t="shared" si="10"/>
        <v>0</v>
      </c>
      <c r="P23" s="369">
        <f t="shared" si="10"/>
        <v>0</v>
      </c>
      <c r="Q23" s="369">
        <f t="shared" si="10"/>
        <v>0</v>
      </c>
      <c r="R23" s="369">
        <f t="shared" si="4"/>
        <v>0</v>
      </c>
      <c r="S23" s="291">
        <f t="shared" si="5"/>
        <v>0</v>
      </c>
    </row>
    <row r="24" spans="1:21" x14ac:dyDescent="0.2">
      <c r="A24" s="16"/>
      <c r="B24" s="29" t="s">
        <v>358</v>
      </c>
      <c r="C24" s="75">
        <f t="shared" ref="C24:C30" si="11">$C$3*D24</f>
        <v>0</v>
      </c>
      <c r="D24" s="14">
        <v>0</v>
      </c>
      <c r="E24" s="28"/>
      <c r="F24" s="375">
        <f>$D24*F$3</f>
        <v>0</v>
      </c>
      <c r="G24" s="375">
        <f t="shared" ref="G24:Q30" si="12">$D24*G$3</f>
        <v>0</v>
      </c>
      <c r="H24" s="375">
        <f t="shared" si="12"/>
        <v>0</v>
      </c>
      <c r="I24" s="375">
        <f t="shared" si="12"/>
        <v>0</v>
      </c>
      <c r="J24" s="375">
        <f t="shared" si="12"/>
        <v>0</v>
      </c>
      <c r="K24" s="375">
        <f t="shared" si="12"/>
        <v>0</v>
      </c>
      <c r="L24" s="375">
        <f t="shared" si="12"/>
        <v>0</v>
      </c>
      <c r="M24" s="375">
        <f t="shared" si="12"/>
        <v>0</v>
      </c>
      <c r="N24" s="375">
        <f t="shared" si="12"/>
        <v>0</v>
      </c>
      <c r="O24" s="375">
        <f t="shared" si="12"/>
        <v>0</v>
      </c>
      <c r="P24" s="375">
        <f t="shared" si="12"/>
        <v>0</v>
      </c>
      <c r="Q24" s="375">
        <f t="shared" si="12"/>
        <v>0</v>
      </c>
      <c r="R24" s="109">
        <f t="shared" si="4"/>
        <v>0</v>
      </c>
      <c r="S24" s="3">
        <f t="shared" si="5"/>
        <v>0</v>
      </c>
    </row>
    <row r="25" spans="1:21" x14ac:dyDescent="0.2">
      <c r="A25" s="16"/>
      <c r="B25" s="29" t="s">
        <v>359</v>
      </c>
      <c r="C25" s="75">
        <f t="shared" si="11"/>
        <v>0</v>
      </c>
      <c r="D25" s="14">
        <v>0</v>
      </c>
      <c r="E25" s="28"/>
      <c r="F25" s="375">
        <f t="shared" ref="F25:F30" si="13">$D25*F$3</f>
        <v>0</v>
      </c>
      <c r="G25" s="375">
        <f t="shared" si="12"/>
        <v>0</v>
      </c>
      <c r="H25" s="375">
        <f t="shared" si="12"/>
        <v>0</v>
      </c>
      <c r="I25" s="375">
        <f t="shared" si="12"/>
        <v>0</v>
      </c>
      <c r="J25" s="375">
        <f t="shared" si="12"/>
        <v>0</v>
      </c>
      <c r="K25" s="375">
        <f t="shared" si="12"/>
        <v>0</v>
      </c>
      <c r="L25" s="375">
        <f t="shared" si="12"/>
        <v>0</v>
      </c>
      <c r="M25" s="375">
        <f t="shared" si="12"/>
        <v>0</v>
      </c>
      <c r="N25" s="375">
        <f t="shared" si="12"/>
        <v>0</v>
      </c>
      <c r="O25" s="375">
        <f t="shared" si="12"/>
        <v>0</v>
      </c>
      <c r="P25" s="375">
        <f t="shared" si="12"/>
        <v>0</v>
      </c>
      <c r="Q25" s="375">
        <f t="shared" si="12"/>
        <v>0</v>
      </c>
      <c r="R25" s="109">
        <f t="shared" si="4"/>
        <v>0</v>
      </c>
      <c r="S25" s="3">
        <f t="shared" si="5"/>
        <v>0</v>
      </c>
    </row>
    <row r="26" spans="1:21" x14ac:dyDescent="0.2">
      <c r="A26" s="16"/>
      <c r="B26" s="29" t="s">
        <v>372</v>
      </c>
      <c r="C26" s="75">
        <f t="shared" si="11"/>
        <v>0</v>
      </c>
      <c r="D26" s="14">
        <v>0</v>
      </c>
      <c r="E26" s="28"/>
      <c r="F26" s="375">
        <f t="shared" si="13"/>
        <v>0</v>
      </c>
      <c r="G26" s="375">
        <f t="shared" si="12"/>
        <v>0</v>
      </c>
      <c r="H26" s="375">
        <f t="shared" si="12"/>
        <v>0</v>
      </c>
      <c r="I26" s="375">
        <f t="shared" si="12"/>
        <v>0</v>
      </c>
      <c r="J26" s="375">
        <f t="shared" si="12"/>
        <v>0</v>
      </c>
      <c r="K26" s="375">
        <f t="shared" si="12"/>
        <v>0</v>
      </c>
      <c r="L26" s="375">
        <f t="shared" si="12"/>
        <v>0</v>
      </c>
      <c r="M26" s="375">
        <f t="shared" si="12"/>
        <v>0</v>
      </c>
      <c r="N26" s="375">
        <f t="shared" si="12"/>
        <v>0</v>
      </c>
      <c r="O26" s="375">
        <f t="shared" si="12"/>
        <v>0</v>
      </c>
      <c r="P26" s="375">
        <f t="shared" si="12"/>
        <v>0</v>
      </c>
      <c r="Q26" s="375">
        <f t="shared" si="12"/>
        <v>0</v>
      </c>
      <c r="R26" s="109">
        <f t="shared" si="4"/>
        <v>0</v>
      </c>
      <c r="S26" s="3">
        <f t="shared" si="5"/>
        <v>0</v>
      </c>
    </row>
    <row r="27" spans="1:21" x14ac:dyDescent="0.2">
      <c r="A27" s="16"/>
      <c r="B27" s="29" t="s">
        <v>373</v>
      </c>
      <c r="C27" s="75">
        <f t="shared" si="11"/>
        <v>0</v>
      </c>
      <c r="D27" s="14"/>
      <c r="E27" s="28"/>
      <c r="F27" s="375">
        <f t="shared" si="13"/>
        <v>0</v>
      </c>
      <c r="G27" s="375">
        <f t="shared" si="12"/>
        <v>0</v>
      </c>
      <c r="H27" s="375">
        <f t="shared" si="12"/>
        <v>0</v>
      </c>
      <c r="I27" s="375">
        <f t="shared" si="12"/>
        <v>0</v>
      </c>
      <c r="J27" s="375">
        <f t="shared" si="12"/>
        <v>0</v>
      </c>
      <c r="K27" s="375">
        <f t="shared" si="12"/>
        <v>0</v>
      </c>
      <c r="L27" s="375">
        <f t="shared" si="12"/>
        <v>0</v>
      </c>
      <c r="M27" s="375">
        <f t="shared" si="12"/>
        <v>0</v>
      </c>
      <c r="N27" s="375">
        <f t="shared" si="12"/>
        <v>0</v>
      </c>
      <c r="O27" s="375">
        <f t="shared" si="12"/>
        <v>0</v>
      </c>
      <c r="P27" s="375">
        <f t="shared" si="12"/>
        <v>0</v>
      </c>
      <c r="Q27" s="375">
        <f t="shared" si="12"/>
        <v>0</v>
      </c>
      <c r="R27" s="109">
        <f t="shared" si="4"/>
        <v>0</v>
      </c>
      <c r="S27" s="3">
        <f t="shared" si="5"/>
        <v>0</v>
      </c>
    </row>
    <row r="28" spans="1:21" x14ac:dyDescent="0.2">
      <c r="A28" s="163"/>
      <c r="B28" s="29" t="s">
        <v>361</v>
      </c>
      <c r="C28" s="75">
        <f t="shared" si="11"/>
        <v>0</v>
      </c>
      <c r="D28" s="14">
        <f>'[9]WOUND CARE'!$M$34</f>
        <v>0</v>
      </c>
      <c r="E28" s="28"/>
      <c r="F28" s="375">
        <f t="shared" si="13"/>
        <v>0</v>
      </c>
      <c r="G28" s="375">
        <f t="shared" si="12"/>
        <v>0</v>
      </c>
      <c r="H28" s="375">
        <f t="shared" si="12"/>
        <v>0</v>
      </c>
      <c r="I28" s="375">
        <f t="shared" si="12"/>
        <v>0</v>
      </c>
      <c r="J28" s="375">
        <f t="shared" si="12"/>
        <v>0</v>
      </c>
      <c r="K28" s="375">
        <f t="shared" si="12"/>
        <v>0</v>
      </c>
      <c r="L28" s="375">
        <f t="shared" si="12"/>
        <v>0</v>
      </c>
      <c r="M28" s="375">
        <f t="shared" si="12"/>
        <v>0</v>
      </c>
      <c r="N28" s="375">
        <f t="shared" si="12"/>
        <v>0</v>
      </c>
      <c r="O28" s="375">
        <f t="shared" si="12"/>
        <v>0</v>
      </c>
      <c r="P28" s="375">
        <f t="shared" si="12"/>
        <v>0</v>
      </c>
      <c r="Q28" s="375">
        <f t="shared" si="12"/>
        <v>0</v>
      </c>
      <c r="R28" s="109">
        <f t="shared" si="4"/>
        <v>0</v>
      </c>
      <c r="S28" s="3">
        <f t="shared" si="5"/>
        <v>0</v>
      </c>
    </row>
    <row r="29" spans="1:21" x14ac:dyDescent="0.2">
      <c r="A29" s="163"/>
      <c r="B29" s="29" t="s">
        <v>360</v>
      </c>
      <c r="C29" s="75">
        <f t="shared" si="11"/>
        <v>0</v>
      </c>
      <c r="D29" s="14">
        <v>0</v>
      </c>
      <c r="E29" s="28"/>
      <c r="F29" s="375">
        <f t="shared" si="13"/>
        <v>0</v>
      </c>
      <c r="G29" s="375">
        <f t="shared" si="12"/>
        <v>0</v>
      </c>
      <c r="H29" s="375">
        <f t="shared" si="12"/>
        <v>0</v>
      </c>
      <c r="I29" s="375">
        <f t="shared" si="12"/>
        <v>0</v>
      </c>
      <c r="J29" s="375">
        <f t="shared" si="12"/>
        <v>0</v>
      </c>
      <c r="K29" s="375">
        <f t="shared" si="12"/>
        <v>0</v>
      </c>
      <c r="L29" s="375">
        <f t="shared" si="12"/>
        <v>0</v>
      </c>
      <c r="M29" s="375">
        <f t="shared" si="12"/>
        <v>0</v>
      </c>
      <c r="N29" s="375">
        <f t="shared" si="12"/>
        <v>0</v>
      </c>
      <c r="O29" s="375">
        <f t="shared" si="12"/>
        <v>0</v>
      </c>
      <c r="P29" s="375">
        <f t="shared" si="12"/>
        <v>0</v>
      </c>
      <c r="Q29" s="375">
        <f t="shared" si="12"/>
        <v>0</v>
      </c>
      <c r="R29" s="109">
        <f t="shared" si="4"/>
        <v>0</v>
      </c>
      <c r="S29" s="3">
        <f t="shared" si="5"/>
        <v>0</v>
      </c>
    </row>
    <row r="30" spans="1:21" x14ac:dyDescent="0.2">
      <c r="A30" s="163"/>
      <c r="B30" s="29" t="s">
        <v>362</v>
      </c>
      <c r="C30" s="75">
        <f t="shared" si="11"/>
        <v>0</v>
      </c>
      <c r="D30" s="14">
        <v>0</v>
      </c>
      <c r="E30" s="28"/>
      <c r="F30" s="375">
        <f t="shared" si="13"/>
        <v>0</v>
      </c>
      <c r="G30" s="375">
        <f t="shared" si="12"/>
        <v>0</v>
      </c>
      <c r="H30" s="375">
        <f t="shared" si="12"/>
        <v>0</v>
      </c>
      <c r="I30" s="375">
        <f t="shared" si="12"/>
        <v>0</v>
      </c>
      <c r="J30" s="375">
        <f t="shared" si="12"/>
        <v>0</v>
      </c>
      <c r="K30" s="375">
        <f t="shared" si="12"/>
        <v>0</v>
      </c>
      <c r="L30" s="375">
        <f t="shared" si="12"/>
        <v>0</v>
      </c>
      <c r="M30" s="375">
        <f t="shared" si="12"/>
        <v>0</v>
      </c>
      <c r="N30" s="375">
        <f t="shared" si="12"/>
        <v>0</v>
      </c>
      <c r="O30" s="375">
        <f t="shared" si="12"/>
        <v>0</v>
      </c>
      <c r="P30" s="375">
        <f t="shared" si="12"/>
        <v>0</v>
      </c>
      <c r="Q30" s="375">
        <f t="shared" si="12"/>
        <v>0</v>
      </c>
      <c r="R30" s="109">
        <f t="shared" si="4"/>
        <v>0</v>
      </c>
      <c r="S30" s="3">
        <f t="shared" si="5"/>
        <v>0</v>
      </c>
    </row>
    <row r="31" spans="1:21" x14ac:dyDescent="0.2">
      <c r="A31" s="90">
        <v>31200.089</v>
      </c>
      <c r="B31" s="161" t="s">
        <v>573</v>
      </c>
      <c r="C31" s="293">
        <f>SUM(C24:C30)</f>
        <v>0</v>
      </c>
      <c r="D31" s="290"/>
      <c r="E31" s="290"/>
      <c r="F31" s="369">
        <f>SUM(F24:F30)</f>
        <v>0</v>
      </c>
      <c r="G31" s="369">
        <f t="shared" ref="G31:Q31" si="14">SUM(G24:G30)</f>
        <v>0</v>
      </c>
      <c r="H31" s="369">
        <f t="shared" si="14"/>
        <v>0</v>
      </c>
      <c r="I31" s="369">
        <f t="shared" si="14"/>
        <v>0</v>
      </c>
      <c r="J31" s="369">
        <f t="shared" si="14"/>
        <v>0</v>
      </c>
      <c r="K31" s="369">
        <f t="shared" si="14"/>
        <v>0</v>
      </c>
      <c r="L31" s="369">
        <f t="shared" si="14"/>
        <v>0</v>
      </c>
      <c r="M31" s="369">
        <f t="shared" si="14"/>
        <v>0</v>
      </c>
      <c r="N31" s="369">
        <f t="shared" si="14"/>
        <v>0</v>
      </c>
      <c r="O31" s="369">
        <f t="shared" si="14"/>
        <v>0</v>
      </c>
      <c r="P31" s="369">
        <f t="shared" si="14"/>
        <v>0</v>
      </c>
      <c r="Q31" s="369">
        <f t="shared" si="14"/>
        <v>0</v>
      </c>
      <c r="R31" s="369">
        <f t="shared" si="4"/>
        <v>0</v>
      </c>
      <c r="S31" s="291">
        <f t="shared" si="5"/>
        <v>0</v>
      </c>
    </row>
    <row r="32" spans="1:21" s="5" customFormat="1" x14ac:dyDescent="0.2">
      <c r="A32" s="11"/>
      <c r="B32" s="10" t="s">
        <v>0</v>
      </c>
      <c r="C32" s="293">
        <f>C15+C23+C31</f>
        <v>0</v>
      </c>
      <c r="D32" s="293" t="e">
        <f>(C32/C$4)</f>
        <v>#DIV/0!</v>
      </c>
      <c r="E32" s="293"/>
      <c r="F32" s="369">
        <f>F15+F23+F31</f>
        <v>0</v>
      </c>
      <c r="G32" s="369">
        <f t="shared" ref="G32:Q32" si="15">G15+G23+G31</f>
        <v>0</v>
      </c>
      <c r="H32" s="369">
        <f t="shared" si="15"/>
        <v>0</v>
      </c>
      <c r="I32" s="369">
        <f t="shared" si="15"/>
        <v>0</v>
      </c>
      <c r="J32" s="369">
        <f t="shared" si="15"/>
        <v>0</v>
      </c>
      <c r="K32" s="369">
        <f t="shared" si="15"/>
        <v>0</v>
      </c>
      <c r="L32" s="369">
        <f t="shared" si="15"/>
        <v>0</v>
      </c>
      <c r="M32" s="369">
        <f t="shared" si="15"/>
        <v>0</v>
      </c>
      <c r="N32" s="369">
        <f t="shared" si="15"/>
        <v>0</v>
      </c>
      <c r="O32" s="369">
        <f t="shared" si="15"/>
        <v>0</v>
      </c>
      <c r="P32" s="369">
        <f t="shared" si="15"/>
        <v>0</v>
      </c>
      <c r="Q32" s="369">
        <f t="shared" si="15"/>
        <v>0</v>
      </c>
      <c r="R32" s="369">
        <f t="shared" si="4"/>
        <v>0</v>
      </c>
      <c r="S32" s="291">
        <f t="shared" si="5"/>
        <v>0</v>
      </c>
      <c r="T32" s="3"/>
      <c r="U32" s="3"/>
    </row>
    <row r="33" spans="1:21" x14ac:dyDescent="0.2">
      <c r="A33" s="711" t="s">
        <v>25</v>
      </c>
      <c r="B33" s="711"/>
      <c r="C33" s="711"/>
      <c r="D33" s="711"/>
      <c r="E33" s="195"/>
      <c r="F33" s="375"/>
      <c r="G33" s="375"/>
      <c r="H33" s="375"/>
      <c r="I33" s="375"/>
      <c r="J33" s="375"/>
      <c r="K33" s="375"/>
      <c r="L33" s="376"/>
      <c r="M33" s="376"/>
      <c r="N33" s="376"/>
      <c r="O33" s="376"/>
      <c r="P33" s="376"/>
      <c r="Q33" s="376"/>
      <c r="R33" s="109"/>
    </row>
    <row r="34" spans="1:21" s="151" customFormat="1" x14ac:dyDescent="0.2">
      <c r="A34" s="21"/>
      <c r="B34" s="10" t="s">
        <v>574</v>
      </c>
      <c r="C34" s="20"/>
      <c r="D34" s="78"/>
      <c r="E34" s="78"/>
      <c r="F34" s="377"/>
      <c r="G34" s="377"/>
      <c r="H34" s="377"/>
      <c r="I34" s="377"/>
      <c r="J34" s="377"/>
      <c r="K34" s="377"/>
      <c r="L34" s="378"/>
      <c r="M34" s="378"/>
      <c r="N34" s="378"/>
      <c r="O34" s="378"/>
      <c r="P34" s="378"/>
      <c r="Q34" s="378"/>
      <c r="R34" s="109"/>
      <c r="S34" s="3"/>
      <c r="T34" s="3"/>
      <c r="U34" s="3"/>
    </row>
    <row r="35" spans="1:21" s="151" customFormat="1" x14ac:dyDescent="0.2">
      <c r="A35" s="87">
        <v>41237.089</v>
      </c>
      <c r="B35" s="15" t="s">
        <v>456</v>
      </c>
      <c r="C35" s="14">
        <v>0</v>
      </c>
      <c r="D35" s="14">
        <v>0</v>
      </c>
      <c r="E35" s="78"/>
      <c r="F35" s="373">
        <f t="shared" ref="F35:Q36" si="16">$D35*F$4</f>
        <v>0</v>
      </c>
      <c r="G35" s="373">
        <f t="shared" si="16"/>
        <v>0</v>
      </c>
      <c r="H35" s="373">
        <f t="shared" si="16"/>
        <v>0</v>
      </c>
      <c r="I35" s="373">
        <f t="shared" si="16"/>
        <v>0</v>
      </c>
      <c r="J35" s="373">
        <f t="shared" si="16"/>
        <v>0</v>
      </c>
      <c r="K35" s="373">
        <f t="shared" si="16"/>
        <v>0</v>
      </c>
      <c r="L35" s="373">
        <f t="shared" si="16"/>
        <v>0</v>
      </c>
      <c r="M35" s="373">
        <f t="shared" si="16"/>
        <v>0</v>
      </c>
      <c r="N35" s="373">
        <f t="shared" si="16"/>
        <v>0</v>
      </c>
      <c r="O35" s="373">
        <f t="shared" si="16"/>
        <v>0</v>
      </c>
      <c r="P35" s="373">
        <f t="shared" si="16"/>
        <v>0</v>
      </c>
      <c r="Q35" s="373">
        <f t="shared" si="16"/>
        <v>0</v>
      </c>
      <c r="R35" s="109">
        <f t="shared" ref="R35:R36" si="17">SUM(F35:Q35)</f>
        <v>0</v>
      </c>
      <c r="S35" s="3">
        <f t="shared" ref="S35:S36" si="18">C35-R35</f>
        <v>0</v>
      </c>
      <c r="T35" s="3"/>
      <c r="U35" s="3"/>
    </row>
    <row r="36" spans="1:21" s="92" customFormat="1" x14ac:dyDescent="0.2">
      <c r="A36" s="87">
        <v>41365.089</v>
      </c>
      <c r="B36" s="15" t="s">
        <v>10</v>
      </c>
      <c r="C36" s="14">
        <v>0</v>
      </c>
      <c r="D36" s="14">
        <v>0</v>
      </c>
      <c r="E36" s="28"/>
      <c r="F36" s="373">
        <f t="shared" si="16"/>
        <v>0</v>
      </c>
      <c r="G36" s="373">
        <f t="shared" si="16"/>
        <v>0</v>
      </c>
      <c r="H36" s="373">
        <f t="shared" si="16"/>
        <v>0</v>
      </c>
      <c r="I36" s="373">
        <f t="shared" si="16"/>
        <v>0</v>
      </c>
      <c r="J36" s="373">
        <f t="shared" si="16"/>
        <v>0</v>
      </c>
      <c r="K36" s="373">
        <f t="shared" si="16"/>
        <v>0</v>
      </c>
      <c r="L36" s="373">
        <f t="shared" si="16"/>
        <v>0</v>
      </c>
      <c r="M36" s="373">
        <f t="shared" si="16"/>
        <v>0</v>
      </c>
      <c r="N36" s="373">
        <f t="shared" si="16"/>
        <v>0</v>
      </c>
      <c r="O36" s="373">
        <f t="shared" si="16"/>
        <v>0</v>
      </c>
      <c r="P36" s="373">
        <f t="shared" si="16"/>
        <v>0</v>
      </c>
      <c r="Q36" s="373">
        <f t="shared" si="16"/>
        <v>0</v>
      </c>
      <c r="R36" s="109">
        <f t="shared" si="17"/>
        <v>0</v>
      </c>
      <c r="S36" s="3">
        <f t="shared" si="18"/>
        <v>0</v>
      </c>
      <c r="T36" s="3"/>
      <c r="U36" s="3"/>
    </row>
    <row r="37" spans="1:21" x14ac:dyDescent="0.2">
      <c r="B37" s="77" t="s">
        <v>0</v>
      </c>
      <c r="C37" s="96">
        <f>SUM(C35:C36)</f>
        <v>0</v>
      </c>
      <c r="D37" s="104">
        <v>0</v>
      </c>
      <c r="F37" s="379">
        <f t="shared" ref="F37:Q37" si="19">SUM(F35:F36)</f>
        <v>0</v>
      </c>
      <c r="G37" s="379">
        <f t="shared" si="19"/>
        <v>0</v>
      </c>
      <c r="H37" s="379">
        <f t="shared" si="19"/>
        <v>0</v>
      </c>
      <c r="I37" s="379">
        <f t="shared" si="19"/>
        <v>0</v>
      </c>
      <c r="J37" s="379">
        <f t="shared" si="19"/>
        <v>0</v>
      </c>
      <c r="K37" s="379">
        <f t="shared" si="19"/>
        <v>0</v>
      </c>
      <c r="L37" s="379">
        <f t="shared" si="19"/>
        <v>0</v>
      </c>
      <c r="M37" s="379">
        <f t="shared" si="19"/>
        <v>0</v>
      </c>
      <c r="N37" s="379">
        <f t="shared" si="19"/>
        <v>0</v>
      </c>
      <c r="O37" s="379">
        <f t="shared" si="19"/>
        <v>0</v>
      </c>
      <c r="P37" s="379">
        <f t="shared" si="19"/>
        <v>0</v>
      </c>
      <c r="Q37" s="379">
        <f t="shared" si="19"/>
        <v>0</v>
      </c>
      <c r="R37" s="109">
        <f>SUM(F37:Q37)</f>
        <v>0</v>
      </c>
      <c r="S37" s="3">
        <f>C37-R37</f>
        <v>0</v>
      </c>
    </row>
    <row r="38" spans="1:21" x14ac:dyDescent="0.2">
      <c r="C38" s="3">
        <f>C37-C32</f>
        <v>0</v>
      </c>
      <c r="S38" s="2"/>
      <c r="T38" s="2"/>
      <c r="U38" s="2"/>
    </row>
    <row r="39" spans="1:21" x14ac:dyDescent="0.2">
      <c r="S39" s="2"/>
      <c r="T39" s="2"/>
      <c r="U39" s="2"/>
    </row>
    <row r="40" spans="1:21" x14ac:dyDescent="0.2">
      <c r="S40" s="2"/>
      <c r="T40" s="2"/>
      <c r="U40" s="2"/>
    </row>
    <row r="41" spans="1:21" x14ac:dyDescent="0.2">
      <c r="S41" s="2"/>
      <c r="T41" s="2"/>
      <c r="U41" s="2"/>
    </row>
    <row r="42" spans="1:21" x14ac:dyDescent="0.2">
      <c r="S42" s="2"/>
      <c r="T42" s="2"/>
      <c r="U42" s="2"/>
    </row>
  </sheetData>
  <mergeCells count="2">
    <mergeCell ref="A6:D6"/>
    <mergeCell ref="A33:D33"/>
  </mergeCells>
  <printOptions gridLines="1"/>
  <pageMargins left="0.25" right="0.25" top="0.75" bottom="0.75" header="0.3" footer="0.3"/>
  <pageSetup scale="68" orientation="landscape" r:id="rId1"/>
  <headerFooter alignWithMargins="0">
    <oddHeader xml:space="preserve">&amp;C&amp;"Arial,Bold"&amp;14DOCTORS MEMORIAL HOSPITAL
FY 2017 BUDGET
</oddHeader>
    <oddFooter xml:space="preserve">&amp;R&amp;A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76"/>
  <sheetViews>
    <sheetView zoomScale="80" zoomScaleNormal="80" workbookViewId="0">
      <pane xSplit="2" ySplit="7" topLeftCell="C34" activePane="bottomRight" state="frozen"/>
      <selection pane="topRight" activeCell="C1" sqref="C1"/>
      <selection pane="bottomLeft" activeCell="A8" sqref="A8"/>
      <selection pane="bottomRight" activeCell="C68" sqref="C68"/>
    </sheetView>
  </sheetViews>
  <sheetFormatPr defaultRowHeight="12.75" x14ac:dyDescent="0.2"/>
  <cols>
    <col min="1" max="1" width="10.85546875" style="2" bestFit="1" customWidth="1"/>
    <col min="2" max="2" width="23.5703125" style="2" customWidth="1"/>
    <col min="3" max="3" width="13.5703125" style="2" customWidth="1"/>
    <col min="4" max="4" width="8" style="4" customWidth="1"/>
    <col min="5" max="5" width="3.140625" style="4" customWidth="1"/>
    <col min="6" max="11" width="12.28515625" style="7" bestFit="1" customWidth="1"/>
    <col min="12" max="17" width="12.28515625" style="3" bestFit="1" customWidth="1"/>
    <col min="18" max="18" width="13.85546875" style="96" bestFit="1" customWidth="1"/>
    <col min="19"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19" x14ac:dyDescent="0.2">
      <c r="B2" s="35" t="s">
        <v>176</v>
      </c>
      <c r="C2" s="38">
        <f>STATS!D87</f>
        <v>6906</v>
      </c>
      <c r="F2" s="131">
        <f>'MO STATS'!E83</f>
        <v>566</v>
      </c>
      <c r="G2" s="131">
        <f>'MO STATS'!F83</f>
        <v>543</v>
      </c>
      <c r="H2" s="131">
        <f>'MO STATS'!G83</f>
        <v>562</v>
      </c>
      <c r="I2" s="131">
        <f>'MO STATS'!H83</f>
        <v>574</v>
      </c>
      <c r="J2" s="131">
        <f>'MO STATS'!I83</f>
        <v>553</v>
      </c>
      <c r="K2" s="131">
        <f>'MO STATS'!J83</f>
        <v>609</v>
      </c>
      <c r="L2" s="131">
        <f>'MO STATS'!K83</f>
        <v>588</v>
      </c>
      <c r="M2" s="131">
        <f>'MO STATS'!L83</f>
        <v>632</v>
      </c>
      <c r="N2" s="131">
        <f>'MO STATS'!M83</f>
        <v>562</v>
      </c>
      <c r="O2" s="131">
        <f>'MO STATS'!N83</f>
        <v>534</v>
      </c>
      <c r="P2" s="131">
        <f>'MO STATS'!O83</f>
        <v>574</v>
      </c>
      <c r="Q2" s="131">
        <f>'MO STATS'!P83</f>
        <v>609</v>
      </c>
      <c r="R2" s="96">
        <f t="shared" ref="R2:R5" si="0">SUM(F2:Q2)</f>
        <v>6906</v>
      </c>
      <c r="S2" s="3">
        <f>C2-R2</f>
        <v>0</v>
      </c>
    </row>
    <row r="3" spans="1:19" ht="12.75" customHeight="1" x14ac:dyDescent="0.2">
      <c r="B3" s="35" t="s">
        <v>178</v>
      </c>
      <c r="C3" s="38">
        <f>STATS!D88</f>
        <v>298</v>
      </c>
      <c r="D3" s="195"/>
      <c r="E3" s="195"/>
      <c r="F3" s="131">
        <f>'MO STATS'!E84</f>
        <v>19</v>
      </c>
      <c r="G3" s="131">
        <f>'MO STATS'!F84</f>
        <v>20</v>
      </c>
      <c r="H3" s="131">
        <f>'MO STATS'!G84</f>
        <v>25</v>
      </c>
      <c r="I3" s="131">
        <f>'MO STATS'!H84</f>
        <v>29</v>
      </c>
      <c r="J3" s="131">
        <f>'MO STATS'!I84</f>
        <v>26</v>
      </c>
      <c r="K3" s="131">
        <f>'MO STATS'!J84</f>
        <v>34</v>
      </c>
      <c r="L3" s="131">
        <f>'MO STATS'!K84</f>
        <v>23</v>
      </c>
      <c r="M3" s="131">
        <f>'MO STATS'!L84</f>
        <v>15</v>
      </c>
      <c r="N3" s="131">
        <f>'MO STATS'!M84</f>
        <v>26</v>
      </c>
      <c r="O3" s="131">
        <f>'MO STATS'!N84</f>
        <v>18</v>
      </c>
      <c r="P3" s="131">
        <f>'MO STATS'!O84</f>
        <v>35</v>
      </c>
      <c r="Q3" s="131">
        <f>'MO STATS'!P84</f>
        <v>28</v>
      </c>
      <c r="R3" s="96">
        <f t="shared" si="0"/>
        <v>298</v>
      </c>
      <c r="S3" s="3">
        <f>C3-R3</f>
        <v>0</v>
      </c>
    </row>
    <row r="4" spans="1:19" ht="12.75" customHeight="1" x14ac:dyDescent="0.2">
      <c r="B4" s="35" t="s">
        <v>932</v>
      </c>
      <c r="C4" s="38">
        <f>STATS!D89</f>
        <v>129</v>
      </c>
      <c r="D4" s="476"/>
      <c r="E4" s="476"/>
      <c r="F4" s="131">
        <f>'MO STATS'!E85</f>
        <v>7</v>
      </c>
      <c r="G4" s="131">
        <f>'MO STATS'!F85</f>
        <v>10</v>
      </c>
      <c r="H4" s="131">
        <f>'MO STATS'!G85</f>
        <v>12</v>
      </c>
      <c r="I4" s="131">
        <f>'MO STATS'!H85</f>
        <v>12</v>
      </c>
      <c r="J4" s="131">
        <f>'MO STATS'!I85</f>
        <v>14</v>
      </c>
      <c r="K4" s="131">
        <f>'MO STATS'!J85</f>
        <v>7</v>
      </c>
      <c r="L4" s="131">
        <f>'MO STATS'!K85</f>
        <v>16</v>
      </c>
      <c r="M4" s="131">
        <f>'MO STATS'!L85</f>
        <v>21</v>
      </c>
      <c r="N4" s="131">
        <f>'MO STATS'!M85</f>
        <v>12</v>
      </c>
      <c r="O4" s="131">
        <f>'MO STATS'!N85</f>
        <v>7</v>
      </c>
      <c r="P4" s="131">
        <f>'MO STATS'!O85</f>
        <v>6</v>
      </c>
      <c r="Q4" s="131">
        <f>'MO STATS'!P85</f>
        <v>5</v>
      </c>
      <c r="R4" s="96">
        <f t="shared" si="0"/>
        <v>129</v>
      </c>
      <c r="S4" s="3">
        <f>C4-R4</f>
        <v>0</v>
      </c>
    </row>
    <row r="5" spans="1:19" ht="12.75" customHeight="1" x14ac:dyDescent="0.2">
      <c r="B5" s="35" t="s">
        <v>180</v>
      </c>
      <c r="C5" s="38">
        <f>C2+C3+C4</f>
        <v>7333</v>
      </c>
      <c r="D5" s="195"/>
      <c r="E5" s="195"/>
      <c r="F5" s="131">
        <f>'MO STATS'!E86</f>
        <v>592</v>
      </c>
      <c r="G5" s="131">
        <f>'MO STATS'!F86</f>
        <v>573</v>
      </c>
      <c r="H5" s="131">
        <f>'MO STATS'!G86</f>
        <v>599</v>
      </c>
      <c r="I5" s="131">
        <f>'MO STATS'!H86</f>
        <v>615</v>
      </c>
      <c r="J5" s="131">
        <f>'MO STATS'!I86</f>
        <v>593</v>
      </c>
      <c r="K5" s="131">
        <f>'MO STATS'!J86</f>
        <v>650</v>
      </c>
      <c r="L5" s="131">
        <f>'MO STATS'!K86</f>
        <v>627</v>
      </c>
      <c r="M5" s="131">
        <f>'MO STATS'!L86</f>
        <v>668</v>
      </c>
      <c r="N5" s="131">
        <f>'MO STATS'!M86</f>
        <v>600</v>
      </c>
      <c r="O5" s="131">
        <f>'MO STATS'!N86</f>
        <v>559</v>
      </c>
      <c r="P5" s="131">
        <f>'MO STATS'!O86</f>
        <v>615</v>
      </c>
      <c r="Q5" s="131">
        <f>'MO STATS'!P86</f>
        <v>642</v>
      </c>
      <c r="R5" s="96">
        <f t="shared" si="0"/>
        <v>7333</v>
      </c>
      <c r="S5" s="3">
        <f>C5-R5</f>
        <v>0</v>
      </c>
    </row>
    <row r="6" spans="1:19" ht="12.75" customHeight="1" x14ac:dyDescent="0.2">
      <c r="B6" s="38" t="s">
        <v>940</v>
      </c>
      <c r="C6" s="479">
        <f>'[4]2017 FTEs'!$AS$14</f>
        <v>10</v>
      </c>
      <c r="D6" s="425"/>
      <c r="E6" s="425"/>
      <c r="F6" s="131"/>
      <c r="G6" s="131"/>
      <c r="H6" s="131"/>
      <c r="I6" s="131"/>
      <c r="J6" s="131"/>
      <c r="K6" s="131"/>
      <c r="L6" s="131"/>
      <c r="M6" s="131"/>
      <c r="N6" s="131"/>
      <c r="O6" s="131"/>
      <c r="P6" s="131"/>
      <c r="Q6" s="131"/>
    </row>
    <row r="7" spans="1:19" ht="12.75" customHeight="1" x14ac:dyDescent="0.2">
      <c r="B7" s="38" t="s">
        <v>939</v>
      </c>
      <c r="C7" s="38">
        <f>C6*2080</f>
        <v>20800</v>
      </c>
      <c r="D7" s="425"/>
      <c r="E7" s="425"/>
      <c r="F7" s="426">
        <f>($C7/$R8)*F8</f>
        <v>1766.5753424657535</v>
      </c>
      <c r="G7" s="426">
        <f t="shared" ref="G7:Q7" si="1">($C7/$R8)*G8</f>
        <v>1709.5890410958905</v>
      </c>
      <c r="H7" s="426">
        <f t="shared" si="1"/>
        <v>1766.5753424657535</v>
      </c>
      <c r="I7" s="426">
        <f t="shared" si="1"/>
        <v>1766.5753424657535</v>
      </c>
      <c r="J7" s="426">
        <f t="shared" si="1"/>
        <v>1595.6164383561645</v>
      </c>
      <c r="K7" s="426">
        <f t="shared" si="1"/>
        <v>1766.5753424657535</v>
      </c>
      <c r="L7" s="426">
        <f t="shared" si="1"/>
        <v>1709.5890410958905</v>
      </c>
      <c r="M7" s="426">
        <f t="shared" si="1"/>
        <v>1766.5753424657535</v>
      </c>
      <c r="N7" s="426">
        <f t="shared" si="1"/>
        <v>1709.5890410958905</v>
      </c>
      <c r="O7" s="426">
        <f t="shared" si="1"/>
        <v>1766.5753424657535</v>
      </c>
      <c r="P7" s="426">
        <f t="shared" si="1"/>
        <v>1766.5753424657535</v>
      </c>
      <c r="Q7" s="426">
        <f t="shared" si="1"/>
        <v>1709.5890410958905</v>
      </c>
      <c r="R7" s="6">
        <f>SUM(F7:Q7)</f>
        <v>20800</v>
      </c>
      <c r="S7" s="3">
        <f>C7-R7</f>
        <v>0</v>
      </c>
    </row>
    <row r="8" spans="1:19" ht="12.75" customHeight="1" x14ac:dyDescent="0.2">
      <c r="B8" s="72"/>
      <c r="C8" s="38"/>
      <c r="D8" s="195"/>
      <c r="E8" s="195"/>
      <c r="F8" s="2">
        <v>31</v>
      </c>
      <c r="G8" s="2">
        <v>30</v>
      </c>
      <c r="H8" s="2">
        <v>31</v>
      </c>
      <c r="I8" s="2">
        <v>31</v>
      </c>
      <c r="J8" s="2">
        <v>28</v>
      </c>
      <c r="K8" s="2">
        <v>31</v>
      </c>
      <c r="L8" s="2">
        <v>30</v>
      </c>
      <c r="M8" s="2">
        <v>31</v>
      </c>
      <c r="N8" s="2">
        <v>30</v>
      </c>
      <c r="O8" s="2">
        <v>31</v>
      </c>
      <c r="P8" s="2">
        <v>31</v>
      </c>
      <c r="Q8" s="2">
        <v>30</v>
      </c>
      <c r="R8" s="6">
        <f t="shared" ref="R8" si="2">SUM(F8:Q8)</f>
        <v>365</v>
      </c>
    </row>
    <row r="9" spans="1:19" x14ac:dyDescent="0.2">
      <c r="A9" s="711" t="s">
        <v>35</v>
      </c>
      <c r="B9" s="711"/>
      <c r="C9" s="711"/>
      <c r="D9" s="711"/>
      <c r="E9" s="195"/>
    </row>
    <row r="10" spans="1:19" x14ac:dyDescent="0.2">
      <c r="A10" s="21"/>
      <c r="B10" s="188" t="s">
        <v>577</v>
      </c>
      <c r="C10" s="1"/>
      <c r="D10" s="180" t="s">
        <v>576</v>
      </c>
      <c r="E10" s="126"/>
      <c r="F10" s="186" t="s">
        <v>49</v>
      </c>
      <c r="G10" s="186" t="s">
        <v>48</v>
      </c>
      <c r="H10" s="186" t="s">
        <v>47</v>
      </c>
      <c r="I10" s="186" t="s">
        <v>46</v>
      </c>
      <c r="J10" s="186" t="s">
        <v>45</v>
      </c>
      <c r="K10" s="186" t="s">
        <v>44</v>
      </c>
      <c r="L10" s="186" t="s">
        <v>43</v>
      </c>
      <c r="M10" s="186" t="s">
        <v>42</v>
      </c>
      <c r="N10" s="186" t="s">
        <v>41</v>
      </c>
      <c r="O10" s="186" t="s">
        <v>40</v>
      </c>
      <c r="P10" s="186" t="s">
        <v>39</v>
      </c>
      <c r="Q10" s="186" t="s">
        <v>38</v>
      </c>
      <c r="R10" s="186" t="s">
        <v>37</v>
      </c>
    </row>
    <row r="11" spans="1:19" x14ac:dyDescent="0.2">
      <c r="A11" s="16"/>
      <c r="B11" s="29" t="s">
        <v>352</v>
      </c>
      <c r="C11" s="75">
        <f>$C$3*$D11</f>
        <v>4509.1919431279621</v>
      </c>
      <c r="D11" s="14">
        <f>'[5]Energency Services'!$P$13</f>
        <v>15.131516587677726</v>
      </c>
      <c r="E11" s="28"/>
      <c r="F11" s="375">
        <f>$D11*F$3</f>
        <v>287.49881516587681</v>
      </c>
      <c r="G11" s="375">
        <f t="shared" ref="G11:Q25" si="3">$D11*G$3</f>
        <v>302.63033175355451</v>
      </c>
      <c r="H11" s="375">
        <f t="shared" si="3"/>
        <v>378.28791469194317</v>
      </c>
      <c r="I11" s="375">
        <f t="shared" si="3"/>
        <v>438.81398104265406</v>
      </c>
      <c r="J11" s="375">
        <f t="shared" si="3"/>
        <v>393.41943127962088</v>
      </c>
      <c r="K11" s="375">
        <f t="shared" si="3"/>
        <v>514.47156398104266</v>
      </c>
      <c r="L11" s="375">
        <f t="shared" si="3"/>
        <v>348.0248815165877</v>
      </c>
      <c r="M11" s="375">
        <f t="shared" si="3"/>
        <v>226.97274881516589</v>
      </c>
      <c r="N11" s="375">
        <f t="shared" si="3"/>
        <v>393.41943127962088</v>
      </c>
      <c r="O11" s="375">
        <f t="shared" si="3"/>
        <v>272.3672985781991</v>
      </c>
      <c r="P11" s="375">
        <f t="shared" si="3"/>
        <v>529.60308056872043</v>
      </c>
      <c r="Q11" s="375">
        <f t="shared" si="3"/>
        <v>423.68246445497635</v>
      </c>
      <c r="R11" s="109">
        <f>SUM(F11:Q11)</f>
        <v>4509.1919431279621</v>
      </c>
      <c r="S11" s="3">
        <f>C11-R11</f>
        <v>0</v>
      </c>
    </row>
    <row r="12" spans="1:19" x14ac:dyDescent="0.2">
      <c r="A12" s="16"/>
      <c r="B12" s="29" t="s">
        <v>353</v>
      </c>
      <c r="C12" s="75">
        <f t="shared" ref="C12:C25" si="4">$C$3*$D12</f>
        <v>2818.6421800947869</v>
      </c>
      <c r="D12" s="14">
        <f>'[5]Energency Services'!$P$14</f>
        <v>9.4585308056872037</v>
      </c>
      <c r="E12" s="28"/>
      <c r="F12" s="375">
        <f t="shared" ref="F12:F25" si="5">$D12*F$3</f>
        <v>179.71208530805688</v>
      </c>
      <c r="G12" s="375">
        <f t="shared" si="3"/>
        <v>189.17061611374407</v>
      </c>
      <c r="H12" s="375">
        <f t="shared" si="3"/>
        <v>236.46327014218008</v>
      </c>
      <c r="I12" s="375">
        <f t="shared" si="3"/>
        <v>274.29739336492889</v>
      </c>
      <c r="J12" s="375">
        <f t="shared" si="3"/>
        <v>245.9218009478673</v>
      </c>
      <c r="K12" s="375">
        <f t="shared" si="3"/>
        <v>321.5900473933649</v>
      </c>
      <c r="L12" s="375">
        <f t="shared" si="3"/>
        <v>217.5462085308057</v>
      </c>
      <c r="M12" s="375">
        <f t="shared" si="3"/>
        <v>141.87796208530807</v>
      </c>
      <c r="N12" s="375">
        <f t="shared" si="3"/>
        <v>245.9218009478673</v>
      </c>
      <c r="O12" s="375">
        <f t="shared" si="3"/>
        <v>170.25355450236967</v>
      </c>
      <c r="P12" s="375">
        <f t="shared" si="3"/>
        <v>331.04857819905214</v>
      </c>
      <c r="Q12" s="375">
        <f t="shared" si="3"/>
        <v>264.8388625592417</v>
      </c>
      <c r="R12" s="109">
        <f t="shared" ref="R12:R35" si="6">SUM(F12:Q12)</f>
        <v>2818.6421800947865</v>
      </c>
      <c r="S12" s="3">
        <f t="shared" ref="S12:S35" si="7">C12-R12</f>
        <v>0</v>
      </c>
    </row>
    <row r="13" spans="1:19" x14ac:dyDescent="0.2">
      <c r="A13" s="16"/>
      <c r="B13" s="29" t="s">
        <v>355</v>
      </c>
      <c r="C13" s="75">
        <f t="shared" si="4"/>
        <v>15256.258293838862</v>
      </c>
      <c r="D13" s="14">
        <f>'[5]Energency Services'!$P$15</f>
        <v>51.195497630331751</v>
      </c>
      <c r="E13" s="28"/>
      <c r="F13" s="375">
        <f t="shared" si="5"/>
        <v>972.71445497630327</v>
      </c>
      <c r="G13" s="375">
        <f t="shared" si="3"/>
        <v>1023.909952606635</v>
      </c>
      <c r="H13" s="375">
        <f t="shared" si="3"/>
        <v>1279.8874407582937</v>
      </c>
      <c r="I13" s="375">
        <f t="shared" si="3"/>
        <v>1484.6694312796208</v>
      </c>
      <c r="J13" s="375">
        <f t="shared" si="3"/>
        <v>1331.0829383886255</v>
      </c>
      <c r="K13" s="375">
        <f t="shared" si="3"/>
        <v>1740.6469194312795</v>
      </c>
      <c r="L13" s="375">
        <f t="shared" si="3"/>
        <v>1177.4964454976302</v>
      </c>
      <c r="M13" s="375">
        <f t="shared" si="3"/>
        <v>767.9324644549763</v>
      </c>
      <c r="N13" s="375">
        <f t="shared" si="3"/>
        <v>1331.0829383886255</v>
      </c>
      <c r="O13" s="375">
        <f t="shared" si="3"/>
        <v>921.51895734597156</v>
      </c>
      <c r="P13" s="375">
        <f t="shared" si="3"/>
        <v>1791.8424170616113</v>
      </c>
      <c r="Q13" s="375">
        <f t="shared" si="3"/>
        <v>1433.4739336492889</v>
      </c>
      <c r="R13" s="109">
        <f t="shared" si="6"/>
        <v>15256.25829383886</v>
      </c>
      <c r="S13" s="3">
        <f t="shared" si="7"/>
        <v>0</v>
      </c>
    </row>
    <row r="14" spans="1:19" x14ac:dyDescent="0.2">
      <c r="A14" s="16"/>
      <c r="B14" s="29" t="s">
        <v>370</v>
      </c>
      <c r="C14" s="75">
        <f t="shared" si="4"/>
        <v>0</v>
      </c>
      <c r="D14" s="14"/>
      <c r="E14" s="28"/>
      <c r="F14" s="375">
        <f t="shared" si="5"/>
        <v>0</v>
      </c>
      <c r="G14" s="375">
        <f t="shared" si="3"/>
        <v>0</v>
      </c>
      <c r="H14" s="375">
        <f t="shared" si="3"/>
        <v>0</v>
      </c>
      <c r="I14" s="375">
        <f t="shared" si="3"/>
        <v>0</v>
      </c>
      <c r="J14" s="375">
        <f t="shared" si="3"/>
        <v>0</v>
      </c>
      <c r="K14" s="375">
        <f t="shared" si="3"/>
        <v>0</v>
      </c>
      <c r="L14" s="375">
        <f t="shared" si="3"/>
        <v>0</v>
      </c>
      <c r="M14" s="375">
        <f t="shared" si="3"/>
        <v>0</v>
      </c>
      <c r="N14" s="375">
        <f t="shared" si="3"/>
        <v>0</v>
      </c>
      <c r="O14" s="375">
        <f t="shared" si="3"/>
        <v>0</v>
      </c>
      <c r="P14" s="375">
        <f t="shared" si="3"/>
        <v>0</v>
      </c>
      <c r="Q14" s="375">
        <f t="shared" si="3"/>
        <v>0</v>
      </c>
      <c r="R14" s="109">
        <f t="shared" si="6"/>
        <v>0</v>
      </c>
      <c r="S14" s="3">
        <f t="shared" si="7"/>
        <v>0</v>
      </c>
    </row>
    <row r="15" spans="1:19" x14ac:dyDescent="0.2">
      <c r="A15" s="16"/>
      <c r="B15" s="29" t="s">
        <v>356</v>
      </c>
      <c r="C15" s="75">
        <f t="shared" si="4"/>
        <v>26057.345971563984</v>
      </c>
      <c r="D15" s="14">
        <f>'[5]Energency Services'!$P$16+'[5]Energency Services'!$P$17</f>
        <v>87.440758293838869</v>
      </c>
      <c r="E15" s="28"/>
      <c r="F15" s="375">
        <f t="shared" si="5"/>
        <v>1661.3744075829386</v>
      </c>
      <c r="G15" s="375">
        <f t="shared" si="3"/>
        <v>1748.8151658767774</v>
      </c>
      <c r="H15" s="375">
        <f t="shared" si="3"/>
        <v>2186.0189573459716</v>
      </c>
      <c r="I15" s="375">
        <f t="shared" si="3"/>
        <v>2535.7819905213273</v>
      </c>
      <c r="J15" s="375">
        <f t="shared" si="3"/>
        <v>2273.4597156398104</v>
      </c>
      <c r="K15" s="375">
        <f t="shared" si="3"/>
        <v>2972.9857819905214</v>
      </c>
      <c r="L15" s="375">
        <f t="shared" si="3"/>
        <v>2011.1374407582939</v>
      </c>
      <c r="M15" s="375">
        <f t="shared" si="3"/>
        <v>1311.6113744075831</v>
      </c>
      <c r="N15" s="375">
        <f t="shared" si="3"/>
        <v>2273.4597156398104</v>
      </c>
      <c r="O15" s="375">
        <f t="shared" si="3"/>
        <v>1573.9336492890995</v>
      </c>
      <c r="P15" s="375">
        <f t="shared" si="3"/>
        <v>3060.4265402843603</v>
      </c>
      <c r="Q15" s="375">
        <f t="shared" si="3"/>
        <v>2448.3412322274885</v>
      </c>
      <c r="R15" s="109">
        <f t="shared" si="6"/>
        <v>26057.34597156398</v>
      </c>
      <c r="S15" s="3">
        <f t="shared" si="7"/>
        <v>0</v>
      </c>
    </row>
    <row r="16" spans="1:19" x14ac:dyDescent="0.2">
      <c r="A16" s="16"/>
      <c r="B16" s="29" t="s">
        <v>354</v>
      </c>
      <c r="C16" s="75">
        <f t="shared" si="4"/>
        <v>99380.175355450236</v>
      </c>
      <c r="D16" s="14">
        <f>'[5]Energency Services'!$P$18</f>
        <v>333.49052132701422</v>
      </c>
      <c r="E16" s="28"/>
      <c r="F16" s="375">
        <f t="shared" si="5"/>
        <v>6336.3199052132704</v>
      </c>
      <c r="G16" s="375">
        <f t="shared" si="3"/>
        <v>6669.8104265402844</v>
      </c>
      <c r="H16" s="375">
        <f t="shared" si="3"/>
        <v>8337.2630331753553</v>
      </c>
      <c r="I16" s="375">
        <f t="shared" si="3"/>
        <v>9671.2251184834131</v>
      </c>
      <c r="J16" s="375">
        <f t="shared" si="3"/>
        <v>8670.7535545023693</v>
      </c>
      <c r="K16" s="375">
        <f t="shared" si="3"/>
        <v>11338.677725118483</v>
      </c>
      <c r="L16" s="375">
        <f t="shared" si="3"/>
        <v>7670.2819905213273</v>
      </c>
      <c r="M16" s="375">
        <f t="shared" si="3"/>
        <v>5002.3578199052135</v>
      </c>
      <c r="N16" s="375">
        <f t="shared" si="3"/>
        <v>8670.7535545023693</v>
      </c>
      <c r="O16" s="375">
        <f t="shared" si="3"/>
        <v>6002.8293838862555</v>
      </c>
      <c r="P16" s="375">
        <f t="shared" si="3"/>
        <v>11672.168246445497</v>
      </c>
      <c r="Q16" s="375">
        <f t="shared" si="3"/>
        <v>9337.7345971563991</v>
      </c>
      <c r="R16" s="109">
        <f t="shared" si="6"/>
        <v>99380.175355450221</v>
      </c>
      <c r="S16" s="3">
        <f t="shared" si="7"/>
        <v>0</v>
      </c>
    </row>
    <row r="17" spans="1:19" x14ac:dyDescent="0.2">
      <c r="A17" s="16"/>
      <c r="B17" s="29" t="s">
        <v>357</v>
      </c>
      <c r="C17" s="75">
        <f t="shared" si="4"/>
        <v>29364.298578199057</v>
      </c>
      <c r="D17" s="14">
        <f>'[5]Energency Services'!$P$19</f>
        <v>98.537914691943143</v>
      </c>
      <c r="E17" s="28"/>
      <c r="F17" s="375">
        <f t="shared" si="5"/>
        <v>1872.2203791469196</v>
      </c>
      <c r="G17" s="375">
        <f t="shared" si="3"/>
        <v>1970.7582938388628</v>
      </c>
      <c r="H17" s="375">
        <f t="shared" si="3"/>
        <v>2463.4478672985788</v>
      </c>
      <c r="I17" s="375">
        <f t="shared" si="3"/>
        <v>2857.5995260663512</v>
      </c>
      <c r="J17" s="375">
        <f t="shared" si="3"/>
        <v>2561.9857819905219</v>
      </c>
      <c r="K17" s="375">
        <f t="shared" si="3"/>
        <v>3350.2890995260668</v>
      </c>
      <c r="L17" s="375">
        <f t="shared" si="3"/>
        <v>2266.3720379146921</v>
      </c>
      <c r="M17" s="375">
        <f t="shared" si="3"/>
        <v>1478.0687203791472</v>
      </c>
      <c r="N17" s="375">
        <f t="shared" si="3"/>
        <v>2561.9857819905219</v>
      </c>
      <c r="O17" s="375">
        <f t="shared" si="3"/>
        <v>1773.6824644549765</v>
      </c>
      <c r="P17" s="375">
        <f t="shared" si="3"/>
        <v>3448.8270142180099</v>
      </c>
      <c r="Q17" s="375">
        <f t="shared" si="3"/>
        <v>2759.0616113744081</v>
      </c>
      <c r="R17" s="109">
        <f t="shared" si="6"/>
        <v>29364.298578199054</v>
      </c>
      <c r="S17" s="3">
        <f t="shared" si="7"/>
        <v>0</v>
      </c>
    </row>
    <row r="18" spans="1:19" x14ac:dyDescent="0.2">
      <c r="A18" s="87">
        <v>31110.091</v>
      </c>
      <c r="B18" s="161" t="s">
        <v>578</v>
      </c>
      <c r="C18" s="293">
        <f>SUM(C11:C17)</f>
        <v>177385.91232227487</v>
      </c>
      <c r="D18" s="290"/>
      <c r="E18" s="290"/>
      <c r="F18" s="369">
        <f>SUM(F11:F17)</f>
        <v>11309.840047393367</v>
      </c>
      <c r="G18" s="369">
        <f t="shared" ref="G18:Q18" si="8">SUM(G11:G17)</f>
        <v>11905.094786729858</v>
      </c>
      <c r="H18" s="369">
        <f t="shared" si="8"/>
        <v>14881.368483412323</v>
      </c>
      <c r="I18" s="369">
        <f t="shared" si="8"/>
        <v>17262.387440758295</v>
      </c>
      <c r="J18" s="369">
        <f t="shared" si="8"/>
        <v>15476.623222748814</v>
      </c>
      <c r="K18" s="369">
        <f t="shared" si="8"/>
        <v>20238.661137440758</v>
      </c>
      <c r="L18" s="369">
        <f t="shared" si="8"/>
        <v>13690.859004739337</v>
      </c>
      <c r="M18" s="369">
        <f t="shared" si="8"/>
        <v>8928.8210900473932</v>
      </c>
      <c r="N18" s="369">
        <f t="shared" si="8"/>
        <v>15476.623222748814</v>
      </c>
      <c r="O18" s="369">
        <f t="shared" si="8"/>
        <v>10714.585308056872</v>
      </c>
      <c r="P18" s="369">
        <f t="shared" si="8"/>
        <v>20833.915876777253</v>
      </c>
      <c r="Q18" s="369">
        <f t="shared" si="8"/>
        <v>16667.132701421804</v>
      </c>
      <c r="R18" s="369">
        <f t="shared" si="6"/>
        <v>177385.9123222749</v>
      </c>
      <c r="S18" s="291">
        <f t="shared" si="7"/>
        <v>0</v>
      </c>
    </row>
    <row r="19" spans="1:19" x14ac:dyDescent="0.2">
      <c r="A19" s="16"/>
      <c r="B19" s="29" t="s">
        <v>424</v>
      </c>
      <c r="C19" s="75">
        <f t="shared" si="4"/>
        <v>0</v>
      </c>
      <c r="D19" s="14">
        <v>0</v>
      </c>
      <c r="E19" s="28"/>
      <c r="F19" s="375">
        <f t="shared" si="5"/>
        <v>0</v>
      </c>
      <c r="G19" s="375">
        <f t="shared" si="3"/>
        <v>0</v>
      </c>
      <c r="H19" s="375">
        <f t="shared" si="3"/>
        <v>0</v>
      </c>
      <c r="I19" s="375">
        <f t="shared" si="3"/>
        <v>0</v>
      </c>
      <c r="J19" s="375">
        <f t="shared" si="3"/>
        <v>0</v>
      </c>
      <c r="K19" s="375">
        <f t="shared" si="3"/>
        <v>0</v>
      </c>
      <c r="L19" s="375">
        <f t="shared" si="3"/>
        <v>0</v>
      </c>
      <c r="M19" s="375">
        <f t="shared" si="3"/>
        <v>0</v>
      </c>
      <c r="N19" s="375">
        <f t="shared" si="3"/>
        <v>0</v>
      </c>
      <c r="O19" s="375">
        <f t="shared" si="3"/>
        <v>0</v>
      </c>
      <c r="P19" s="375">
        <f t="shared" si="3"/>
        <v>0</v>
      </c>
      <c r="Q19" s="375">
        <f t="shared" si="3"/>
        <v>0</v>
      </c>
      <c r="R19" s="109">
        <f t="shared" si="6"/>
        <v>0</v>
      </c>
      <c r="S19" s="3">
        <f t="shared" si="7"/>
        <v>0</v>
      </c>
    </row>
    <row r="20" spans="1:19" x14ac:dyDescent="0.2">
      <c r="A20" s="16"/>
      <c r="B20" s="29" t="s">
        <v>425</v>
      </c>
      <c r="C20" s="75">
        <f t="shared" si="4"/>
        <v>0</v>
      </c>
      <c r="D20" s="14">
        <v>0</v>
      </c>
      <c r="E20" s="28"/>
      <c r="F20" s="375">
        <f t="shared" si="5"/>
        <v>0</v>
      </c>
      <c r="G20" s="375">
        <f t="shared" si="3"/>
        <v>0</v>
      </c>
      <c r="H20" s="375">
        <f t="shared" si="3"/>
        <v>0</v>
      </c>
      <c r="I20" s="375">
        <f t="shared" si="3"/>
        <v>0</v>
      </c>
      <c r="J20" s="375">
        <f t="shared" si="3"/>
        <v>0</v>
      </c>
      <c r="K20" s="375">
        <f t="shared" si="3"/>
        <v>0</v>
      </c>
      <c r="L20" s="375">
        <f t="shared" si="3"/>
        <v>0</v>
      </c>
      <c r="M20" s="375">
        <f t="shared" si="3"/>
        <v>0</v>
      </c>
      <c r="N20" s="375">
        <f t="shared" si="3"/>
        <v>0</v>
      </c>
      <c r="O20" s="375">
        <f t="shared" si="3"/>
        <v>0</v>
      </c>
      <c r="P20" s="375">
        <f t="shared" si="3"/>
        <v>0</v>
      </c>
      <c r="Q20" s="375">
        <f t="shared" si="3"/>
        <v>0</v>
      </c>
      <c r="R20" s="109">
        <f t="shared" si="6"/>
        <v>0</v>
      </c>
      <c r="S20" s="3">
        <f t="shared" si="7"/>
        <v>0</v>
      </c>
    </row>
    <row r="21" spans="1:19" x14ac:dyDescent="0.2">
      <c r="A21" s="16"/>
      <c r="B21" s="29" t="s">
        <v>426</v>
      </c>
      <c r="C21" s="75">
        <f t="shared" si="4"/>
        <v>0</v>
      </c>
      <c r="D21" s="14">
        <v>0</v>
      </c>
      <c r="E21" s="28"/>
      <c r="F21" s="375">
        <f t="shared" si="5"/>
        <v>0</v>
      </c>
      <c r="G21" s="375">
        <f t="shared" si="3"/>
        <v>0</v>
      </c>
      <c r="H21" s="375">
        <f t="shared" si="3"/>
        <v>0</v>
      </c>
      <c r="I21" s="375">
        <f t="shared" si="3"/>
        <v>0</v>
      </c>
      <c r="J21" s="375">
        <f t="shared" si="3"/>
        <v>0</v>
      </c>
      <c r="K21" s="375">
        <f t="shared" si="3"/>
        <v>0</v>
      </c>
      <c r="L21" s="375">
        <f t="shared" si="3"/>
        <v>0</v>
      </c>
      <c r="M21" s="375">
        <f t="shared" si="3"/>
        <v>0</v>
      </c>
      <c r="N21" s="375">
        <f t="shared" si="3"/>
        <v>0</v>
      </c>
      <c r="O21" s="375">
        <f t="shared" si="3"/>
        <v>0</v>
      </c>
      <c r="P21" s="375">
        <f t="shared" si="3"/>
        <v>0</v>
      </c>
      <c r="Q21" s="375">
        <f t="shared" si="3"/>
        <v>0</v>
      </c>
      <c r="R21" s="109">
        <f t="shared" si="6"/>
        <v>0</v>
      </c>
      <c r="S21" s="3">
        <f t="shared" si="7"/>
        <v>0</v>
      </c>
    </row>
    <row r="22" spans="1:19" x14ac:dyDescent="0.2">
      <c r="A22" s="16"/>
      <c r="B22" s="29" t="s">
        <v>427</v>
      </c>
      <c r="C22" s="75">
        <f t="shared" si="4"/>
        <v>0</v>
      </c>
      <c r="D22" s="14">
        <v>0</v>
      </c>
      <c r="E22" s="28"/>
      <c r="F22" s="375">
        <f t="shared" si="5"/>
        <v>0</v>
      </c>
      <c r="G22" s="375">
        <f t="shared" si="3"/>
        <v>0</v>
      </c>
      <c r="H22" s="375">
        <f t="shared" si="3"/>
        <v>0</v>
      </c>
      <c r="I22" s="375">
        <f t="shared" si="3"/>
        <v>0</v>
      </c>
      <c r="J22" s="375">
        <f t="shared" si="3"/>
        <v>0</v>
      </c>
      <c r="K22" s="375">
        <f t="shared" si="3"/>
        <v>0</v>
      </c>
      <c r="L22" s="375">
        <f t="shared" si="3"/>
        <v>0</v>
      </c>
      <c r="M22" s="375">
        <f t="shared" si="3"/>
        <v>0</v>
      </c>
      <c r="N22" s="375">
        <f t="shared" si="3"/>
        <v>0</v>
      </c>
      <c r="O22" s="375">
        <f t="shared" si="3"/>
        <v>0</v>
      </c>
      <c r="P22" s="375">
        <f t="shared" si="3"/>
        <v>0</v>
      </c>
      <c r="Q22" s="375">
        <f t="shared" si="3"/>
        <v>0</v>
      </c>
      <c r="R22" s="376">
        <f t="shared" si="6"/>
        <v>0</v>
      </c>
      <c r="S22" s="3">
        <f t="shared" si="7"/>
        <v>0</v>
      </c>
    </row>
    <row r="23" spans="1:19" x14ac:dyDescent="0.2">
      <c r="A23" s="16"/>
      <c r="B23" s="29" t="s">
        <v>428</v>
      </c>
      <c r="C23" s="75">
        <f t="shared" si="4"/>
        <v>0</v>
      </c>
      <c r="D23" s="14">
        <f>'[9]EMERGENCY SERVICES'!$M$24</f>
        <v>0</v>
      </c>
      <c r="E23" s="28"/>
      <c r="F23" s="375">
        <f t="shared" si="5"/>
        <v>0</v>
      </c>
      <c r="G23" s="375">
        <f t="shared" si="3"/>
        <v>0</v>
      </c>
      <c r="H23" s="375">
        <f t="shared" si="3"/>
        <v>0</v>
      </c>
      <c r="I23" s="375">
        <f t="shared" si="3"/>
        <v>0</v>
      </c>
      <c r="J23" s="375">
        <f t="shared" si="3"/>
        <v>0</v>
      </c>
      <c r="K23" s="375">
        <f t="shared" si="3"/>
        <v>0</v>
      </c>
      <c r="L23" s="375">
        <f t="shared" si="3"/>
        <v>0</v>
      </c>
      <c r="M23" s="375">
        <f t="shared" si="3"/>
        <v>0</v>
      </c>
      <c r="N23" s="375">
        <f t="shared" si="3"/>
        <v>0</v>
      </c>
      <c r="O23" s="375">
        <f t="shared" si="3"/>
        <v>0</v>
      </c>
      <c r="P23" s="375">
        <f t="shared" si="3"/>
        <v>0</v>
      </c>
      <c r="Q23" s="375">
        <f t="shared" si="3"/>
        <v>0</v>
      </c>
      <c r="R23" s="109">
        <f t="shared" si="6"/>
        <v>0</v>
      </c>
      <c r="S23" s="3">
        <f t="shared" si="7"/>
        <v>0</v>
      </c>
    </row>
    <row r="24" spans="1:19" x14ac:dyDescent="0.2">
      <c r="A24" s="16"/>
      <c r="B24" s="29" t="s">
        <v>429</v>
      </c>
      <c r="C24" s="75">
        <f t="shared" si="4"/>
        <v>0</v>
      </c>
      <c r="D24" s="14">
        <f>'[9]EMERGENCY SERVICES'!$M$25</f>
        <v>0</v>
      </c>
      <c r="E24" s="28"/>
      <c r="F24" s="375">
        <f t="shared" si="5"/>
        <v>0</v>
      </c>
      <c r="G24" s="375">
        <f t="shared" si="3"/>
        <v>0</v>
      </c>
      <c r="H24" s="375">
        <f t="shared" si="3"/>
        <v>0</v>
      </c>
      <c r="I24" s="375">
        <f t="shared" si="3"/>
        <v>0</v>
      </c>
      <c r="J24" s="375">
        <f t="shared" si="3"/>
        <v>0</v>
      </c>
      <c r="K24" s="375">
        <f t="shared" si="3"/>
        <v>0</v>
      </c>
      <c r="L24" s="375">
        <f t="shared" si="3"/>
        <v>0</v>
      </c>
      <c r="M24" s="375">
        <f t="shared" si="3"/>
        <v>0</v>
      </c>
      <c r="N24" s="375">
        <f t="shared" si="3"/>
        <v>0</v>
      </c>
      <c r="O24" s="375">
        <f t="shared" si="3"/>
        <v>0</v>
      </c>
      <c r="P24" s="375">
        <f t="shared" si="3"/>
        <v>0</v>
      </c>
      <c r="Q24" s="375">
        <f t="shared" si="3"/>
        <v>0</v>
      </c>
      <c r="R24" s="109">
        <f t="shared" si="6"/>
        <v>0</v>
      </c>
      <c r="S24" s="3">
        <f t="shared" si="7"/>
        <v>0</v>
      </c>
    </row>
    <row r="25" spans="1:19" x14ac:dyDescent="0.2">
      <c r="A25" s="16"/>
      <c r="B25" s="29" t="s">
        <v>430</v>
      </c>
      <c r="C25" s="75">
        <f t="shared" si="4"/>
        <v>0</v>
      </c>
      <c r="D25" s="14">
        <f>'[9]EMERGENCY SERVICES'!$M$26</f>
        <v>0</v>
      </c>
      <c r="E25" s="28"/>
      <c r="F25" s="375">
        <f t="shared" si="5"/>
        <v>0</v>
      </c>
      <c r="G25" s="375">
        <f t="shared" si="3"/>
        <v>0</v>
      </c>
      <c r="H25" s="375">
        <f t="shared" si="3"/>
        <v>0</v>
      </c>
      <c r="I25" s="375">
        <f t="shared" si="3"/>
        <v>0</v>
      </c>
      <c r="J25" s="375">
        <f t="shared" si="3"/>
        <v>0</v>
      </c>
      <c r="K25" s="375">
        <f t="shared" si="3"/>
        <v>0</v>
      </c>
      <c r="L25" s="375">
        <f t="shared" si="3"/>
        <v>0</v>
      </c>
      <c r="M25" s="375">
        <f t="shared" si="3"/>
        <v>0</v>
      </c>
      <c r="N25" s="375">
        <f t="shared" si="3"/>
        <v>0</v>
      </c>
      <c r="O25" s="375">
        <f t="shared" si="3"/>
        <v>0</v>
      </c>
      <c r="P25" s="375">
        <f t="shared" si="3"/>
        <v>0</v>
      </c>
      <c r="Q25" s="375">
        <f t="shared" si="3"/>
        <v>0</v>
      </c>
      <c r="R25" s="109">
        <f t="shared" si="6"/>
        <v>0</v>
      </c>
      <c r="S25" s="3">
        <f t="shared" si="7"/>
        <v>0</v>
      </c>
    </row>
    <row r="26" spans="1:19" x14ac:dyDescent="0.2">
      <c r="A26" s="132">
        <v>31111.091</v>
      </c>
      <c r="B26" s="161" t="s">
        <v>579</v>
      </c>
      <c r="C26" s="293">
        <f>SUM(C19:C25)</f>
        <v>0</v>
      </c>
      <c r="D26" s="290"/>
      <c r="E26" s="290"/>
      <c r="F26" s="369">
        <f>SUM(F19:F25)</f>
        <v>0</v>
      </c>
      <c r="G26" s="369">
        <f t="shared" ref="G26:Q26" si="9">SUM(G19:G25)</f>
        <v>0</v>
      </c>
      <c r="H26" s="369">
        <f t="shared" si="9"/>
        <v>0</v>
      </c>
      <c r="I26" s="369">
        <f t="shared" si="9"/>
        <v>0</v>
      </c>
      <c r="J26" s="369">
        <f t="shared" si="9"/>
        <v>0</v>
      </c>
      <c r="K26" s="369">
        <f t="shared" si="9"/>
        <v>0</v>
      </c>
      <c r="L26" s="369">
        <f t="shared" si="9"/>
        <v>0</v>
      </c>
      <c r="M26" s="369">
        <f t="shared" si="9"/>
        <v>0</v>
      </c>
      <c r="N26" s="369">
        <f t="shared" si="9"/>
        <v>0</v>
      </c>
      <c r="O26" s="369">
        <f t="shared" si="9"/>
        <v>0</v>
      </c>
      <c r="P26" s="369">
        <f t="shared" si="9"/>
        <v>0</v>
      </c>
      <c r="Q26" s="369">
        <f t="shared" si="9"/>
        <v>0</v>
      </c>
      <c r="R26" s="369">
        <f t="shared" si="6"/>
        <v>0</v>
      </c>
      <c r="S26" s="291">
        <f t="shared" si="7"/>
        <v>0</v>
      </c>
    </row>
    <row r="27" spans="1:19" x14ac:dyDescent="0.2">
      <c r="A27" s="16"/>
      <c r="B27" s="29" t="s">
        <v>358</v>
      </c>
      <c r="C27" s="75">
        <f>($C$2+$C$4)*D27</f>
        <v>1531300.1797864295</v>
      </c>
      <c r="D27" s="14">
        <f>'[5]Energency Services'!$P$33</f>
        <v>217.66882441882439</v>
      </c>
      <c r="E27" s="28"/>
      <c r="F27" s="375">
        <f>$D27*(F$2+F$4)</f>
        <v>124724.23639198637</v>
      </c>
      <c r="G27" s="375">
        <f t="shared" ref="G27:Q27" si="10">$D27*(G$2+G$4)</f>
        <v>120370.85990360989</v>
      </c>
      <c r="H27" s="375">
        <f t="shared" si="10"/>
        <v>124941.9052164052</v>
      </c>
      <c r="I27" s="375">
        <f t="shared" si="10"/>
        <v>127553.93110943108</v>
      </c>
      <c r="J27" s="375">
        <f t="shared" si="10"/>
        <v>123418.22344547343</v>
      </c>
      <c r="K27" s="375">
        <f t="shared" si="10"/>
        <v>134083.99584199581</v>
      </c>
      <c r="L27" s="375">
        <f t="shared" si="10"/>
        <v>131471.96994896993</v>
      </c>
      <c r="M27" s="375">
        <f t="shared" si="10"/>
        <v>142137.74234549233</v>
      </c>
      <c r="N27" s="375">
        <f t="shared" si="10"/>
        <v>124941.9052164052</v>
      </c>
      <c r="O27" s="375">
        <f t="shared" si="10"/>
        <v>117758.83401058399</v>
      </c>
      <c r="P27" s="375">
        <f t="shared" si="10"/>
        <v>126247.91816291814</v>
      </c>
      <c r="Q27" s="375">
        <f t="shared" si="10"/>
        <v>133648.65819315816</v>
      </c>
      <c r="R27" s="109">
        <f t="shared" si="6"/>
        <v>1531300.1797864297</v>
      </c>
      <c r="S27" s="3">
        <f t="shared" si="7"/>
        <v>0</v>
      </c>
    </row>
    <row r="28" spans="1:19" x14ac:dyDescent="0.2">
      <c r="A28" s="16"/>
      <c r="B28" s="29" t="s">
        <v>359</v>
      </c>
      <c r="C28" s="75">
        <f t="shared" ref="C28:C33" si="11">($C$2+$C$4)*D28</f>
        <v>146597.18082593085</v>
      </c>
      <c r="D28" s="14">
        <f>'[5]Energency Services'!$P$34</f>
        <v>20.838263088263091</v>
      </c>
      <c r="E28" s="28"/>
      <c r="F28" s="375">
        <f t="shared" ref="F28:Q33" si="12">$D28*(F$2+F$4)</f>
        <v>11940.324749574751</v>
      </c>
      <c r="G28" s="375">
        <f t="shared" si="12"/>
        <v>11523.559487809489</v>
      </c>
      <c r="H28" s="375">
        <f t="shared" si="12"/>
        <v>11961.163012663013</v>
      </c>
      <c r="I28" s="375">
        <f t="shared" si="12"/>
        <v>12211.22216972217</v>
      </c>
      <c r="J28" s="375">
        <f t="shared" si="12"/>
        <v>11815.295171045173</v>
      </c>
      <c r="K28" s="375">
        <f t="shared" si="12"/>
        <v>12836.370062370064</v>
      </c>
      <c r="L28" s="375">
        <f t="shared" si="12"/>
        <v>12586.310905310907</v>
      </c>
      <c r="M28" s="375">
        <f t="shared" si="12"/>
        <v>13607.385796635797</v>
      </c>
      <c r="N28" s="375">
        <f t="shared" si="12"/>
        <v>11961.163012663013</v>
      </c>
      <c r="O28" s="375">
        <f t="shared" si="12"/>
        <v>11273.500330750332</v>
      </c>
      <c r="P28" s="375">
        <f t="shared" si="12"/>
        <v>12086.192591192592</v>
      </c>
      <c r="Q28" s="375">
        <f t="shared" si="12"/>
        <v>12794.693536193538</v>
      </c>
      <c r="R28" s="109">
        <f t="shared" si="6"/>
        <v>146597.18082593085</v>
      </c>
      <c r="S28" s="3">
        <f t="shared" si="7"/>
        <v>0</v>
      </c>
    </row>
    <row r="29" spans="1:19" x14ac:dyDescent="0.2">
      <c r="A29" s="16"/>
      <c r="B29" s="29" t="s">
        <v>372</v>
      </c>
      <c r="C29" s="75">
        <f t="shared" si="11"/>
        <v>568836.79054054047</v>
      </c>
      <c r="D29" s="14">
        <f>'[5]Energency Services'!$P$35</f>
        <v>80.858108108108098</v>
      </c>
      <c r="E29" s="28"/>
      <c r="F29" s="375">
        <f t="shared" si="12"/>
        <v>46331.695945945939</v>
      </c>
      <c r="G29" s="375">
        <f t="shared" si="12"/>
        <v>44714.53378378378</v>
      </c>
      <c r="H29" s="375">
        <f t="shared" si="12"/>
        <v>46412.554054054046</v>
      </c>
      <c r="I29" s="375">
        <f t="shared" si="12"/>
        <v>47382.851351351346</v>
      </c>
      <c r="J29" s="375">
        <f t="shared" si="12"/>
        <v>45846.547297297293</v>
      </c>
      <c r="K29" s="375">
        <f t="shared" si="12"/>
        <v>49808.594594594586</v>
      </c>
      <c r="L29" s="375">
        <f t="shared" si="12"/>
        <v>48838.297297297293</v>
      </c>
      <c r="M29" s="375">
        <f t="shared" si="12"/>
        <v>52800.344594594586</v>
      </c>
      <c r="N29" s="375">
        <f t="shared" si="12"/>
        <v>46412.554054054046</v>
      </c>
      <c r="O29" s="375">
        <f t="shared" si="12"/>
        <v>43744.236486486479</v>
      </c>
      <c r="P29" s="375">
        <f t="shared" si="12"/>
        <v>46897.7027027027</v>
      </c>
      <c r="Q29" s="375">
        <f t="shared" si="12"/>
        <v>49646.878378378373</v>
      </c>
      <c r="R29" s="109">
        <f t="shared" si="6"/>
        <v>568836.79054054036</v>
      </c>
      <c r="S29" s="3">
        <f t="shared" si="7"/>
        <v>0</v>
      </c>
    </row>
    <row r="30" spans="1:19" x14ac:dyDescent="0.2">
      <c r="A30" s="16"/>
      <c r="B30" s="29" t="s">
        <v>373</v>
      </c>
      <c r="C30" s="75">
        <f t="shared" si="11"/>
        <v>0</v>
      </c>
      <c r="D30" s="14">
        <v>0</v>
      </c>
      <c r="E30" s="28"/>
      <c r="F30" s="375">
        <f t="shared" si="12"/>
        <v>0</v>
      </c>
      <c r="G30" s="375">
        <f t="shared" si="12"/>
        <v>0</v>
      </c>
      <c r="H30" s="375">
        <f t="shared" si="12"/>
        <v>0</v>
      </c>
      <c r="I30" s="375">
        <f t="shared" si="12"/>
        <v>0</v>
      </c>
      <c r="J30" s="375">
        <f t="shared" si="12"/>
        <v>0</v>
      </c>
      <c r="K30" s="375">
        <f t="shared" si="12"/>
        <v>0</v>
      </c>
      <c r="L30" s="375">
        <f t="shared" si="12"/>
        <v>0</v>
      </c>
      <c r="M30" s="375">
        <f t="shared" si="12"/>
        <v>0</v>
      </c>
      <c r="N30" s="375">
        <f t="shared" si="12"/>
        <v>0</v>
      </c>
      <c r="O30" s="375">
        <f t="shared" si="12"/>
        <v>0</v>
      </c>
      <c r="P30" s="375">
        <f t="shared" si="12"/>
        <v>0</v>
      </c>
      <c r="Q30" s="375">
        <f t="shared" si="12"/>
        <v>0</v>
      </c>
      <c r="R30" s="109">
        <f t="shared" si="6"/>
        <v>0</v>
      </c>
      <c r="S30" s="3">
        <f t="shared" si="7"/>
        <v>0</v>
      </c>
    </row>
    <row r="31" spans="1:19" x14ac:dyDescent="0.2">
      <c r="A31" s="163"/>
      <c r="B31" s="29" t="s">
        <v>361</v>
      </c>
      <c r="C31" s="75">
        <f t="shared" si="11"/>
        <v>621578.34908334911</v>
      </c>
      <c r="D31" s="14">
        <f>'[5]Energency Services'!$P$36+'[5]Energency Services'!$P$37</f>
        <v>88.355131355131363</v>
      </c>
      <c r="E31" s="28"/>
      <c r="F31" s="375">
        <f t="shared" si="12"/>
        <v>50627.490266490269</v>
      </c>
      <c r="G31" s="375">
        <f t="shared" si="12"/>
        <v>48860.387639387642</v>
      </c>
      <c r="H31" s="375">
        <f t="shared" si="12"/>
        <v>50715.845397845405</v>
      </c>
      <c r="I31" s="375">
        <f t="shared" si="12"/>
        <v>51776.10697410698</v>
      </c>
      <c r="J31" s="375">
        <f t="shared" si="12"/>
        <v>50097.359478359482</v>
      </c>
      <c r="K31" s="375">
        <f t="shared" si="12"/>
        <v>54426.760914760918</v>
      </c>
      <c r="L31" s="375">
        <f t="shared" si="12"/>
        <v>53366.499338499343</v>
      </c>
      <c r="M31" s="375">
        <f t="shared" si="12"/>
        <v>57695.90077490078</v>
      </c>
      <c r="N31" s="375">
        <f t="shared" si="12"/>
        <v>50715.845397845405</v>
      </c>
      <c r="O31" s="375">
        <f t="shared" si="12"/>
        <v>47800.126063126067</v>
      </c>
      <c r="P31" s="375">
        <f t="shared" si="12"/>
        <v>51245.976185976193</v>
      </c>
      <c r="Q31" s="375">
        <f t="shared" si="12"/>
        <v>54250.050652050653</v>
      </c>
      <c r="R31" s="109">
        <f t="shared" si="6"/>
        <v>621578.34908334923</v>
      </c>
      <c r="S31" s="3">
        <f t="shared" si="7"/>
        <v>0</v>
      </c>
    </row>
    <row r="32" spans="1:19" x14ac:dyDescent="0.2">
      <c r="A32" s="163"/>
      <c r="B32" s="29" t="s">
        <v>360</v>
      </c>
      <c r="C32" s="75">
        <f t="shared" si="11"/>
        <v>1442789.615148365</v>
      </c>
      <c r="D32" s="14">
        <f>'[5]Energency Services'!$P$38</f>
        <v>205.08736533736533</v>
      </c>
      <c r="E32" s="28"/>
      <c r="F32" s="375">
        <f t="shared" si="12"/>
        <v>117515.06033831033</v>
      </c>
      <c r="G32" s="375">
        <f t="shared" si="12"/>
        <v>113413.31303156303</v>
      </c>
      <c r="H32" s="375">
        <f t="shared" si="12"/>
        <v>117720.1477036477</v>
      </c>
      <c r="I32" s="375">
        <f t="shared" si="12"/>
        <v>120181.19608769608</v>
      </c>
      <c r="J32" s="375">
        <f t="shared" si="12"/>
        <v>116284.53614628615</v>
      </c>
      <c r="K32" s="375">
        <f t="shared" si="12"/>
        <v>126333.81704781704</v>
      </c>
      <c r="L32" s="375">
        <f t="shared" si="12"/>
        <v>123872.76866376866</v>
      </c>
      <c r="M32" s="375">
        <f t="shared" si="12"/>
        <v>133922.04956529956</v>
      </c>
      <c r="N32" s="375">
        <f t="shared" si="12"/>
        <v>117720.1477036477</v>
      </c>
      <c r="O32" s="375">
        <f t="shared" si="12"/>
        <v>110952.26464751465</v>
      </c>
      <c r="P32" s="375">
        <f t="shared" si="12"/>
        <v>118950.67189567188</v>
      </c>
      <c r="Q32" s="375">
        <f t="shared" si="12"/>
        <v>125923.64231714231</v>
      </c>
      <c r="R32" s="109">
        <f t="shared" si="6"/>
        <v>1442789.615148365</v>
      </c>
      <c r="S32" s="3">
        <f t="shared" si="7"/>
        <v>0</v>
      </c>
    </row>
    <row r="33" spans="1:21" x14ac:dyDescent="0.2">
      <c r="A33" s="163"/>
      <c r="B33" s="29" t="s">
        <v>362</v>
      </c>
      <c r="C33" s="75">
        <f t="shared" si="11"/>
        <v>666884.69311094307</v>
      </c>
      <c r="D33" s="14">
        <f>'[5]Energency Services'!$P$39</f>
        <v>94.795265545265536</v>
      </c>
      <c r="E33" s="28"/>
      <c r="F33" s="375">
        <f t="shared" si="12"/>
        <v>54317.687157437154</v>
      </c>
      <c r="G33" s="375">
        <f t="shared" si="12"/>
        <v>52421.781846531841</v>
      </c>
      <c r="H33" s="375">
        <f t="shared" si="12"/>
        <v>54412.482422982415</v>
      </c>
      <c r="I33" s="375">
        <f t="shared" si="12"/>
        <v>55550.025609525605</v>
      </c>
      <c r="J33" s="375">
        <f t="shared" si="12"/>
        <v>53748.91556416556</v>
      </c>
      <c r="K33" s="375">
        <f t="shared" si="12"/>
        <v>58393.88357588357</v>
      </c>
      <c r="L33" s="375">
        <f t="shared" si="12"/>
        <v>57256.340389340381</v>
      </c>
      <c r="M33" s="375">
        <f t="shared" si="12"/>
        <v>61901.308401058399</v>
      </c>
      <c r="N33" s="375">
        <f t="shared" si="12"/>
        <v>54412.482422982415</v>
      </c>
      <c r="O33" s="375">
        <f t="shared" si="12"/>
        <v>51284.238659988652</v>
      </c>
      <c r="P33" s="375">
        <f t="shared" si="12"/>
        <v>54981.25401625401</v>
      </c>
      <c r="Q33" s="375">
        <f t="shared" si="12"/>
        <v>58204.293044793041</v>
      </c>
      <c r="R33" s="109">
        <f t="shared" si="6"/>
        <v>666884.69311094307</v>
      </c>
      <c r="S33" s="3">
        <f t="shared" si="7"/>
        <v>0</v>
      </c>
    </row>
    <row r="34" spans="1:21" x14ac:dyDescent="0.2">
      <c r="A34" s="90">
        <v>31200.091</v>
      </c>
      <c r="B34" s="161" t="s">
        <v>580</v>
      </c>
      <c r="C34" s="293">
        <f>SUM(C27:C33)</f>
        <v>4977986.8084955579</v>
      </c>
      <c r="D34" s="290"/>
      <c r="E34" s="290"/>
      <c r="F34" s="369">
        <f>SUM(F27:F33)</f>
        <v>405456.49484974483</v>
      </c>
      <c r="G34" s="369">
        <f t="shared" ref="G34:Q34" si="13">SUM(G27:G33)</f>
        <v>391304.43569268566</v>
      </c>
      <c r="H34" s="369">
        <f t="shared" si="13"/>
        <v>406164.09780759778</v>
      </c>
      <c r="I34" s="369">
        <f t="shared" si="13"/>
        <v>414655.33330183325</v>
      </c>
      <c r="J34" s="369">
        <f t="shared" si="13"/>
        <v>401210.87710262707</v>
      </c>
      <c r="K34" s="369">
        <f t="shared" si="13"/>
        <v>435883.42203742202</v>
      </c>
      <c r="L34" s="369">
        <f t="shared" si="13"/>
        <v>427392.18654318649</v>
      </c>
      <c r="M34" s="369">
        <f t="shared" si="13"/>
        <v>462064.73147798143</v>
      </c>
      <c r="N34" s="369">
        <f t="shared" si="13"/>
        <v>406164.09780759778</v>
      </c>
      <c r="O34" s="369">
        <f t="shared" si="13"/>
        <v>382813.20019845013</v>
      </c>
      <c r="P34" s="369">
        <f t="shared" si="13"/>
        <v>410409.71555471548</v>
      </c>
      <c r="Q34" s="369">
        <f t="shared" si="13"/>
        <v>434468.21612171608</v>
      </c>
      <c r="R34" s="369">
        <f t="shared" si="6"/>
        <v>4977986.8084955588</v>
      </c>
      <c r="S34" s="291">
        <f t="shared" si="7"/>
        <v>0</v>
      </c>
    </row>
    <row r="35" spans="1:21" s="5" customFormat="1" x14ac:dyDescent="0.2">
      <c r="A35" s="11"/>
      <c r="B35" s="10" t="s">
        <v>0</v>
      </c>
      <c r="C35" s="293">
        <f>C18+C26+C34</f>
        <v>5155372.7208178323</v>
      </c>
      <c r="D35" s="293">
        <f>(C35/C$5)</f>
        <v>703.03732726276178</v>
      </c>
      <c r="E35" s="293"/>
      <c r="F35" s="369">
        <f>F18+F26+F34</f>
        <v>416766.33489713818</v>
      </c>
      <c r="G35" s="369">
        <f t="shared" ref="G35:Q35" si="14">G18+G26+G34</f>
        <v>403209.53047941549</v>
      </c>
      <c r="H35" s="369">
        <f t="shared" si="14"/>
        <v>421045.46629101009</v>
      </c>
      <c r="I35" s="369">
        <f t="shared" si="14"/>
        <v>431917.72074259154</v>
      </c>
      <c r="J35" s="369">
        <f t="shared" si="14"/>
        <v>416687.50032537588</v>
      </c>
      <c r="K35" s="369">
        <f t="shared" si="14"/>
        <v>456122.08317486278</v>
      </c>
      <c r="L35" s="369">
        <f t="shared" si="14"/>
        <v>441083.04554792581</v>
      </c>
      <c r="M35" s="369">
        <f t="shared" si="14"/>
        <v>470993.5525680288</v>
      </c>
      <c r="N35" s="369">
        <f t="shared" si="14"/>
        <v>421640.72103034658</v>
      </c>
      <c r="O35" s="369">
        <f t="shared" si="14"/>
        <v>393527.78550650697</v>
      </c>
      <c r="P35" s="369">
        <f t="shared" si="14"/>
        <v>431243.63143149274</v>
      </c>
      <c r="Q35" s="369">
        <f t="shared" si="14"/>
        <v>451135.34882313787</v>
      </c>
      <c r="R35" s="369">
        <f t="shared" si="6"/>
        <v>5155372.7208178332</v>
      </c>
      <c r="S35" s="291">
        <f t="shared" si="7"/>
        <v>0</v>
      </c>
      <c r="T35" s="3"/>
      <c r="U35" s="3"/>
    </row>
    <row r="36" spans="1:21" x14ac:dyDescent="0.2">
      <c r="A36" s="711" t="s">
        <v>25</v>
      </c>
      <c r="B36" s="711"/>
      <c r="C36" s="711"/>
      <c r="D36" s="711"/>
      <c r="E36" s="195"/>
      <c r="F36" s="375"/>
      <c r="G36" s="375"/>
      <c r="H36" s="375"/>
      <c r="I36" s="375"/>
      <c r="J36" s="375"/>
      <c r="K36" s="375"/>
      <c r="L36" s="376"/>
      <c r="M36" s="376"/>
      <c r="N36" s="376"/>
      <c r="O36" s="376"/>
      <c r="P36" s="376"/>
      <c r="Q36" s="376"/>
      <c r="R36" s="109"/>
    </row>
    <row r="37" spans="1:21" s="151" customFormat="1" x14ac:dyDescent="0.2">
      <c r="A37" s="21"/>
      <c r="B37" s="10" t="s">
        <v>581</v>
      </c>
      <c r="C37" s="20"/>
      <c r="D37" s="78"/>
      <c r="E37" s="78"/>
      <c r="F37" s="377"/>
      <c r="G37" s="377"/>
      <c r="H37" s="377"/>
      <c r="I37" s="377"/>
      <c r="J37" s="377"/>
      <c r="K37" s="377"/>
      <c r="L37" s="378"/>
      <c r="M37" s="378"/>
      <c r="N37" s="378"/>
      <c r="O37" s="378"/>
      <c r="P37" s="378"/>
      <c r="Q37" s="378"/>
      <c r="R37" s="109"/>
      <c r="S37" s="3"/>
      <c r="T37" s="3"/>
      <c r="U37" s="3"/>
    </row>
    <row r="38" spans="1:21" s="92" customFormat="1" x14ac:dyDescent="0.2">
      <c r="A38" s="204">
        <v>41101.091</v>
      </c>
      <c r="B38" s="201" t="s">
        <v>22</v>
      </c>
      <c r="C38" s="428">
        <f>'[6]Emergency Services'!$J$15</f>
        <v>520810.641</v>
      </c>
      <c r="D38" s="428">
        <f>$C38/C$7</f>
        <v>25.038973125000002</v>
      </c>
      <c r="E38" s="28"/>
      <c r="F38" s="373">
        <f>$D38*F$7</f>
        <v>44233.232523287676</v>
      </c>
      <c r="G38" s="373">
        <f t="shared" ref="G38:Q38" si="15">$D38*G$7</f>
        <v>42806.354054794523</v>
      </c>
      <c r="H38" s="373">
        <f t="shared" si="15"/>
        <v>44233.232523287676</v>
      </c>
      <c r="I38" s="373">
        <f t="shared" si="15"/>
        <v>44233.232523287676</v>
      </c>
      <c r="J38" s="373">
        <f t="shared" si="15"/>
        <v>39952.597117808225</v>
      </c>
      <c r="K38" s="373">
        <f t="shared" si="15"/>
        <v>44233.232523287676</v>
      </c>
      <c r="L38" s="373">
        <f t="shared" si="15"/>
        <v>42806.354054794523</v>
      </c>
      <c r="M38" s="373">
        <f t="shared" si="15"/>
        <v>44233.232523287676</v>
      </c>
      <c r="N38" s="373">
        <f t="shared" si="15"/>
        <v>42806.354054794523</v>
      </c>
      <c r="O38" s="373">
        <f t="shared" si="15"/>
        <v>44233.232523287676</v>
      </c>
      <c r="P38" s="373">
        <f t="shared" si="15"/>
        <v>44233.232523287676</v>
      </c>
      <c r="Q38" s="373">
        <f t="shared" si="15"/>
        <v>42806.354054794523</v>
      </c>
      <c r="R38" s="109">
        <f t="shared" ref="R38:R61" si="16">SUM(F38:Q38)</f>
        <v>520810.64099999995</v>
      </c>
      <c r="S38" s="3">
        <f>C38-R38</f>
        <v>0</v>
      </c>
      <c r="T38" s="3"/>
      <c r="U38" s="3"/>
    </row>
    <row r="39" spans="1:21" s="92" customFormat="1" x14ac:dyDescent="0.2">
      <c r="A39" s="204">
        <v>41110.091</v>
      </c>
      <c r="B39" s="201" t="s">
        <v>21</v>
      </c>
      <c r="C39" s="428">
        <f>'[6]Emergency Services'!$J$16</f>
        <v>57867.849000000002</v>
      </c>
      <c r="D39" s="428">
        <f t="shared" ref="D39:D42" si="17">$C39/C$7</f>
        <v>2.7821081250000002</v>
      </c>
      <c r="E39" s="28"/>
      <c r="F39" s="373">
        <f t="shared" ref="F39:Q42" si="18">$D39*F$7</f>
        <v>4914.8036136986302</v>
      </c>
      <c r="G39" s="373">
        <f t="shared" si="18"/>
        <v>4756.2615616438361</v>
      </c>
      <c r="H39" s="373">
        <f t="shared" si="18"/>
        <v>4914.8036136986302</v>
      </c>
      <c r="I39" s="373">
        <f t="shared" si="18"/>
        <v>4914.8036136986302</v>
      </c>
      <c r="J39" s="373">
        <f t="shared" si="18"/>
        <v>4439.177457534247</v>
      </c>
      <c r="K39" s="373">
        <f t="shared" si="18"/>
        <v>4914.8036136986302</v>
      </c>
      <c r="L39" s="373">
        <f t="shared" si="18"/>
        <v>4756.2615616438361</v>
      </c>
      <c r="M39" s="373">
        <f t="shared" si="18"/>
        <v>4914.8036136986302</v>
      </c>
      <c r="N39" s="373">
        <f t="shared" si="18"/>
        <v>4756.2615616438361</v>
      </c>
      <c r="O39" s="373">
        <f t="shared" si="18"/>
        <v>4914.8036136986302</v>
      </c>
      <c r="P39" s="373">
        <f t="shared" si="18"/>
        <v>4914.8036136986302</v>
      </c>
      <c r="Q39" s="373">
        <f t="shared" si="18"/>
        <v>4756.2615616438361</v>
      </c>
      <c r="R39" s="109">
        <f t="shared" si="16"/>
        <v>57867.848999999995</v>
      </c>
      <c r="S39" s="3">
        <f t="shared" ref="S39:S61" si="19">C39-R39</f>
        <v>0</v>
      </c>
      <c r="T39" s="3"/>
      <c r="U39" s="3"/>
    </row>
    <row r="40" spans="1:21" s="92" customFormat="1" x14ac:dyDescent="0.2">
      <c r="A40" s="204">
        <v>41115.091</v>
      </c>
      <c r="B40" s="201" t="s">
        <v>20</v>
      </c>
      <c r="C40" s="428">
        <f>'[6]Emergency Services'!$J$17</f>
        <v>1050</v>
      </c>
      <c r="D40" s="428">
        <f t="shared" si="17"/>
        <v>5.0480769230769232E-2</v>
      </c>
      <c r="E40" s="28"/>
      <c r="F40" s="373">
        <f t="shared" si="18"/>
        <v>89.178082191780831</v>
      </c>
      <c r="G40" s="373">
        <f t="shared" si="18"/>
        <v>86.301369863013704</v>
      </c>
      <c r="H40" s="373">
        <f t="shared" si="18"/>
        <v>89.178082191780831</v>
      </c>
      <c r="I40" s="373">
        <f t="shared" si="18"/>
        <v>89.178082191780831</v>
      </c>
      <c r="J40" s="373">
        <f t="shared" si="18"/>
        <v>80.547945205479465</v>
      </c>
      <c r="K40" s="373">
        <f t="shared" si="18"/>
        <v>89.178082191780831</v>
      </c>
      <c r="L40" s="373">
        <f t="shared" si="18"/>
        <v>86.301369863013704</v>
      </c>
      <c r="M40" s="373">
        <f t="shared" si="18"/>
        <v>89.178082191780831</v>
      </c>
      <c r="N40" s="373">
        <f t="shared" si="18"/>
        <v>86.301369863013704</v>
      </c>
      <c r="O40" s="373">
        <f t="shared" si="18"/>
        <v>89.178082191780831</v>
      </c>
      <c r="P40" s="373">
        <f t="shared" si="18"/>
        <v>89.178082191780831</v>
      </c>
      <c r="Q40" s="373">
        <f t="shared" si="18"/>
        <v>86.301369863013704</v>
      </c>
      <c r="R40" s="109">
        <f t="shared" ref="R40" si="20">SUM(F40:Q40)</f>
        <v>1050.0000000000002</v>
      </c>
      <c r="S40" s="3">
        <f t="shared" ref="S40" si="21">C40-R40</f>
        <v>0</v>
      </c>
      <c r="T40" s="3"/>
      <c r="U40" s="3"/>
    </row>
    <row r="41" spans="1:21" s="92" customFormat="1" x14ac:dyDescent="0.2">
      <c r="A41" s="204">
        <v>41150.091</v>
      </c>
      <c r="B41" s="201" t="s">
        <v>19</v>
      </c>
      <c r="C41" s="428">
        <f>'[6]Emergency Services'!$J$18</f>
        <v>44349.229484999996</v>
      </c>
      <c r="D41" s="428">
        <f t="shared" si="17"/>
        <v>2.1321744944711538</v>
      </c>
      <c r="E41" s="28"/>
      <c r="F41" s="373">
        <f t="shared" si="18"/>
        <v>3766.6468877671232</v>
      </c>
      <c r="G41" s="373">
        <f t="shared" si="18"/>
        <v>3645.142149452055</v>
      </c>
      <c r="H41" s="373">
        <f t="shared" si="18"/>
        <v>3766.6468877671232</v>
      </c>
      <c r="I41" s="373">
        <f t="shared" si="18"/>
        <v>3766.6468877671232</v>
      </c>
      <c r="J41" s="373">
        <f t="shared" si="18"/>
        <v>3402.1326728219178</v>
      </c>
      <c r="K41" s="373">
        <f t="shared" si="18"/>
        <v>3766.6468877671232</v>
      </c>
      <c r="L41" s="373">
        <f t="shared" si="18"/>
        <v>3645.142149452055</v>
      </c>
      <c r="M41" s="373">
        <f t="shared" si="18"/>
        <v>3766.6468877671232</v>
      </c>
      <c r="N41" s="373">
        <f t="shared" si="18"/>
        <v>3645.142149452055</v>
      </c>
      <c r="O41" s="373">
        <f t="shared" si="18"/>
        <v>3766.6468877671232</v>
      </c>
      <c r="P41" s="373">
        <f t="shared" si="18"/>
        <v>3766.6468877671232</v>
      </c>
      <c r="Q41" s="373">
        <f t="shared" si="18"/>
        <v>3645.142149452055</v>
      </c>
      <c r="R41" s="109">
        <f t="shared" si="16"/>
        <v>44349.229484999996</v>
      </c>
      <c r="S41" s="3">
        <f t="shared" si="19"/>
        <v>0</v>
      </c>
      <c r="T41" s="3"/>
      <c r="U41" s="3"/>
    </row>
    <row r="42" spans="1:21" s="92" customFormat="1" x14ac:dyDescent="0.2">
      <c r="A42" s="204">
        <v>41152.091</v>
      </c>
      <c r="B42" s="201" t="s">
        <v>986</v>
      </c>
      <c r="C42" s="428"/>
      <c r="D42" s="428">
        <f t="shared" si="17"/>
        <v>0</v>
      </c>
      <c r="E42" s="28"/>
      <c r="F42" s="373">
        <f t="shared" si="18"/>
        <v>0</v>
      </c>
      <c r="G42" s="373">
        <f t="shared" si="18"/>
        <v>0</v>
      </c>
      <c r="H42" s="373">
        <f t="shared" si="18"/>
        <v>0</v>
      </c>
      <c r="I42" s="373">
        <f t="shared" si="18"/>
        <v>0</v>
      </c>
      <c r="J42" s="373">
        <f t="shared" si="18"/>
        <v>0</v>
      </c>
      <c r="K42" s="373">
        <f t="shared" si="18"/>
        <v>0</v>
      </c>
      <c r="L42" s="373">
        <f t="shared" si="18"/>
        <v>0</v>
      </c>
      <c r="M42" s="373">
        <f t="shared" si="18"/>
        <v>0</v>
      </c>
      <c r="N42" s="373">
        <f t="shared" si="18"/>
        <v>0</v>
      </c>
      <c r="O42" s="373">
        <f t="shared" si="18"/>
        <v>0</v>
      </c>
      <c r="P42" s="373">
        <f t="shared" si="18"/>
        <v>0</v>
      </c>
      <c r="Q42" s="373">
        <f t="shared" si="18"/>
        <v>0</v>
      </c>
      <c r="R42" s="379">
        <f t="shared" ref="R42" si="22">SUM(F42:Q42)</f>
        <v>0</v>
      </c>
      <c r="S42" s="7">
        <f t="shared" ref="S42" si="23">C42-R42</f>
        <v>0</v>
      </c>
      <c r="T42" s="3"/>
      <c r="U42" s="3"/>
    </row>
    <row r="43" spans="1:21" s="92" customFormat="1" x14ac:dyDescent="0.2">
      <c r="A43" s="204">
        <v>41237.091</v>
      </c>
      <c r="B43" s="201" t="s">
        <v>17</v>
      </c>
      <c r="C43" s="14">
        <f>'[6]Emergency Services'!$J$20</f>
        <v>15800</v>
      </c>
      <c r="D43" s="14">
        <f t="shared" ref="D43:D60" si="24">$C43/C$5</f>
        <v>2.1546433928814945</v>
      </c>
      <c r="E43" s="28"/>
      <c r="F43" s="373">
        <f t="shared" ref="F43:Q60" si="25">$D43*F$5</f>
        <v>1275.5488885858447</v>
      </c>
      <c r="G43" s="373">
        <f t="shared" ref="G43:Q56" si="26">$D43*G$5</f>
        <v>1234.6106641210963</v>
      </c>
      <c r="H43" s="373">
        <f t="shared" si="26"/>
        <v>1290.6313923360153</v>
      </c>
      <c r="I43" s="373">
        <f t="shared" si="26"/>
        <v>1325.105686622119</v>
      </c>
      <c r="J43" s="373">
        <f t="shared" si="26"/>
        <v>1277.7035319787262</v>
      </c>
      <c r="K43" s="373">
        <f t="shared" si="26"/>
        <v>1400.5182053729714</v>
      </c>
      <c r="L43" s="373">
        <f t="shared" si="26"/>
        <v>1350.961407336697</v>
      </c>
      <c r="M43" s="373">
        <f t="shared" si="26"/>
        <v>1439.3017864448384</v>
      </c>
      <c r="N43" s="373">
        <f t="shared" si="26"/>
        <v>1292.7860357288966</v>
      </c>
      <c r="O43" s="373">
        <f t="shared" si="26"/>
        <v>1204.4456566207555</v>
      </c>
      <c r="P43" s="373">
        <f t="shared" si="26"/>
        <v>1325.105686622119</v>
      </c>
      <c r="Q43" s="373">
        <f t="shared" si="26"/>
        <v>1383.2810582299194</v>
      </c>
      <c r="R43" s="109">
        <f t="shared" si="16"/>
        <v>15800</v>
      </c>
      <c r="S43" s="3">
        <f t="shared" si="19"/>
        <v>0</v>
      </c>
      <c r="T43" s="3"/>
      <c r="U43" s="3"/>
    </row>
    <row r="44" spans="1:21" s="92" customFormat="1" x14ac:dyDescent="0.2">
      <c r="A44" s="204">
        <v>41246.091</v>
      </c>
      <c r="B44" s="201" t="s">
        <v>16</v>
      </c>
      <c r="C44" s="14">
        <f>'[6]Emergency Services'!$J$21</f>
        <v>255</v>
      </c>
      <c r="D44" s="14">
        <f t="shared" si="24"/>
        <v>3.4774307923087416E-2</v>
      </c>
      <c r="E44" s="28"/>
      <c r="F44" s="373">
        <f t="shared" si="25"/>
        <v>20.586390290467751</v>
      </c>
      <c r="G44" s="373">
        <f t="shared" si="26"/>
        <v>19.92567843992909</v>
      </c>
      <c r="H44" s="373">
        <f t="shared" si="26"/>
        <v>20.829810445929361</v>
      </c>
      <c r="I44" s="373">
        <f t="shared" si="26"/>
        <v>21.386199372698762</v>
      </c>
      <c r="J44" s="373">
        <f t="shared" si="26"/>
        <v>20.621164598390838</v>
      </c>
      <c r="K44" s="373">
        <f t="shared" si="26"/>
        <v>22.60330015000682</v>
      </c>
      <c r="L44" s="373">
        <f t="shared" si="26"/>
        <v>21.803491067775809</v>
      </c>
      <c r="M44" s="373">
        <f t="shared" si="26"/>
        <v>23.229237692622394</v>
      </c>
      <c r="N44" s="373">
        <f t="shared" si="26"/>
        <v>20.864584753852451</v>
      </c>
      <c r="O44" s="373">
        <f t="shared" si="26"/>
        <v>19.438838129005866</v>
      </c>
      <c r="P44" s="373">
        <f t="shared" si="26"/>
        <v>21.386199372698762</v>
      </c>
      <c r="Q44" s="373">
        <f t="shared" si="26"/>
        <v>22.32510568662212</v>
      </c>
      <c r="R44" s="109">
        <f t="shared" si="16"/>
        <v>255.00000000000003</v>
      </c>
      <c r="S44" s="3">
        <f t="shared" si="19"/>
        <v>0</v>
      </c>
      <c r="T44" s="3"/>
      <c r="U44" s="3"/>
    </row>
    <row r="45" spans="1:21" s="92" customFormat="1" x14ac:dyDescent="0.2">
      <c r="A45" s="204">
        <v>41250.091</v>
      </c>
      <c r="B45" s="201" t="s">
        <v>15</v>
      </c>
      <c r="C45" s="14">
        <f>'[6]Emergency Services'!$J$22</f>
        <v>275</v>
      </c>
      <c r="D45" s="14">
        <f t="shared" si="24"/>
        <v>3.7501704622937407E-2</v>
      </c>
      <c r="E45" s="28"/>
      <c r="F45" s="373">
        <f t="shared" si="25"/>
        <v>22.201009136778946</v>
      </c>
      <c r="G45" s="373">
        <f t="shared" si="26"/>
        <v>21.488476748943135</v>
      </c>
      <c r="H45" s="373">
        <f t="shared" si="26"/>
        <v>22.463521069139507</v>
      </c>
      <c r="I45" s="373">
        <f t="shared" si="26"/>
        <v>23.063548343106504</v>
      </c>
      <c r="J45" s="373">
        <f t="shared" si="26"/>
        <v>22.238510841401883</v>
      </c>
      <c r="K45" s="373">
        <f t="shared" si="26"/>
        <v>24.376108004909316</v>
      </c>
      <c r="L45" s="373">
        <f t="shared" si="26"/>
        <v>23.513568798581755</v>
      </c>
      <c r="M45" s="373">
        <f t="shared" si="26"/>
        <v>25.051138688122187</v>
      </c>
      <c r="N45" s="373">
        <f t="shared" si="26"/>
        <v>22.501022773762443</v>
      </c>
      <c r="O45" s="373">
        <f t="shared" si="26"/>
        <v>20.963452884222011</v>
      </c>
      <c r="P45" s="373">
        <f t="shared" si="26"/>
        <v>23.063548343106504</v>
      </c>
      <c r="Q45" s="373">
        <f t="shared" si="26"/>
        <v>24.076094367925815</v>
      </c>
      <c r="R45" s="109">
        <f t="shared" si="16"/>
        <v>275</v>
      </c>
      <c r="S45" s="3">
        <f t="shared" si="19"/>
        <v>0</v>
      </c>
      <c r="T45" s="3"/>
      <c r="U45" s="3"/>
    </row>
    <row r="46" spans="1:21" s="92" customFormat="1" x14ac:dyDescent="0.2">
      <c r="A46" s="204">
        <v>41253.091</v>
      </c>
      <c r="B46" s="201" t="s">
        <v>877</v>
      </c>
      <c r="C46" s="14"/>
      <c r="D46" s="14">
        <f t="shared" si="24"/>
        <v>0</v>
      </c>
      <c r="E46" s="28"/>
      <c r="F46" s="373">
        <f t="shared" si="25"/>
        <v>0</v>
      </c>
      <c r="G46" s="373">
        <f t="shared" si="25"/>
        <v>0</v>
      </c>
      <c r="H46" s="373">
        <f t="shared" si="25"/>
        <v>0</v>
      </c>
      <c r="I46" s="373">
        <f t="shared" si="25"/>
        <v>0</v>
      </c>
      <c r="J46" s="373">
        <f t="shared" si="25"/>
        <v>0</v>
      </c>
      <c r="K46" s="373">
        <f t="shared" si="25"/>
        <v>0</v>
      </c>
      <c r="L46" s="373">
        <f t="shared" si="25"/>
        <v>0</v>
      </c>
      <c r="M46" s="373">
        <f t="shared" si="25"/>
        <v>0</v>
      </c>
      <c r="N46" s="373">
        <f t="shared" si="25"/>
        <v>0</v>
      </c>
      <c r="O46" s="373">
        <f t="shared" si="25"/>
        <v>0</v>
      </c>
      <c r="P46" s="373">
        <f t="shared" si="25"/>
        <v>0</v>
      </c>
      <c r="Q46" s="373">
        <f t="shared" si="25"/>
        <v>0</v>
      </c>
      <c r="R46" s="109">
        <f t="shared" ref="R46" si="27">SUM(F46:Q46)</f>
        <v>0</v>
      </c>
      <c r="S46" s="3">
        <f t="shared" ref="S46" si="28">C46-R46</f>
        <v>0</v>
      </c>
      <c r="T46" s="3"/>
      <c r="U46" s="3"/>
    </row>
    <row r="47" spans="1:21" s="92" customFormat="1" x14ac:dyDescent="0.2">
      <c r="A47" s="204">
        <v>41237.093000000001</v>
      </c>
      <c r="B47" s="201" t="s">
        <v>582</v>
      </c>
      <c r="C47" s="14">
        <f>'[6]Emergency Services'!$J$19</f>
        <v>6890</v>
      </c>
      <c r="D47" s="14">
        <f t="shared" si="24"/>
        <v>0.9395881630983226</v>
      </c>
      <c r="E47" s="28"/>
      <c r="F47" s="373">
        <f t="shared" si="25"/>
        <v>556.23619255420704</v>
      </c>
      <c r="G47" s="373">
        <f t="shared" si="26"/>
        <v>538.38401745533884</v>
      </c>
      <c r="H47" s="373">
        <f t="shared" si="26"/>
        <v>562.81330969589521</v>
      </c>
      <c r="I47" s="373">
        <f t="shared" si="26"/>
        <v>577.84672030546835</v>
      </c>
      <c r="J47" s="373">
        <f t="shared" si="26"/>
        <v>557.17578071730532</v>
      </c>
      <c r="K47" s="373">
        <f t="shared" si="26"/>
        <v>610.73230601390969</v>
      </c>
      <c r="L47" s="373">
        <f t="shared" si="26"/>
        <v>589.12177826264826</v>
      </c>
      <c r="M47" s="373">
        <f t="shared" si="26"/>
        <v>627.6448929496795</v>
      </c>
      <c r="N47" s="373">
        <f t="shared" si="26"/>
        <v>563.75289785899361</v>
      </c>
      <c r="O47" s="373">
        <f t="shared" si="26"/>
        <v>525.22978317196237</v>
      </c>
      <c r="P47" s="373">
        <f t="shared" si="26"/>
        <v>577.84672030546835</v>
      </c>
      <c r="Q47" s="373">
        <f t="shared" si="26"/>
        <v>603.21560070912312</v>
      </c>
      <c r="R47" s="109">
        <f t="shared" si="16"/>
        <v>6890</v>
      </c>
      <c r="S47" s="3">
        <f t="shared" si="19"/>
        <v>0</v>
      </c>
      <c r="T47" s="3"/>
      <c r="U47" s="3"/>
    </row>
    <row r="48" spans="1:21" s="92" customFormat="1" x14ac:dyDescent="0.2">
      <c r="A48" s="204">
        <v>41300.091</v>
      </c>
      <c r="B48" s="201" t="s">
        <v>1056</v>
      </c>
      <c r="C48" s="14"/>
      <c r="D48" s="14">
        <f t="shared" si="24"/>
        <v>0</v>
      </c>
      <c r="E48" s="28"/>
      <c r="F48" s="373">
        <f t="shared" si="25"/>
        <v>0</v>
      </c>
      <c r="G48" s="373">
        <f t="shared" si="26"/>
        <v>0</v>
      </c>
      <c r="H48" s="373">
        <f t="shared" si="26"/>
        <v>0</v>
      </c>
      <c r="I48" s="373">
        <f t="shared" si="26"/>
        <v>0</v>
      </c>
      <c r="J48" s="373">
        <f t="shared" si="26"/>
        <v>0</v>
      </c>
      <c r="K48" s="373">
        <f t="shared" si="26"/>
        <v>0</v>
      </c>
      <c r="L48" s="373">
        <f t="shared" si="26"/>
        <v>0</v>
      </c>
      <c r="M48" s="373">
        <f t="shared" si="26"/>
        <v>0</v>
      </c>
      <c r="N48" s="373">
        <f t="shared" si="26"/>
        <v>0</v>
      </c>
      <c r="O48" s="373">
        <f t="shared" si="26"/>
        <v>0</v>
      </c>
      <c r="P48" s="373">
        <f t="shared" si="26"/>
        <v>0</v>
      </c>
      <c r="Q48" s="373">
        <f t="shared" si="26"/>
        <v>0</v>
      </c>
      <c r="R48" s="109">
        <f t="shared" si="16"/>
        <v>0</v>
      </c>
      <c r="S48" s="3">
        <f t="shared" si="19"/>
        <v>0</v>
      </c>
      <c r="T48" s="3"/>
      <c r="U48" s="3"/>
    </row>
    <row r="49" spans="1:21" s="92" customFormat="1" x14ac:dyDescent="0.2">
      <c r="A49" s="204">
        <v>41301.091</v>
      </c>
      <c r="B49" s="201" t="s">
        <v>1108</v>
      </c>
      <c r="C49" s="14">
        <f>'[6]Emergency Services'!$J$23</f>
        <v>39000</v>
      </c>
      <c r="D49" s="14">
        <f t="shared" si="24"/>
        <v>5.3184235647074871</v>
      </c>
      <c r="E49" s="28"/>
      <c r="F49" s="373">
        <f t="shared" si="25"/>
        <v>3148.5067503068321</v>
      </c>
      <c r="G49" s="373">
        <f t="shared" si="26"/>
        <v>3047.4567025773899</v>
      </c>
      <c r="H49" s="373">
        <f t="shared" si="26"/>
        <v>3185.7357152597847</v>
      </c>
      <c r="I49" s="373">
        <f t="shared" si="26"/>
        <v>3270.8304922951047</v>
      </c>
      <c r="J49" s="373">
        <f t="shared" si="26"/>
        <v>3153.8251738715398</v>
      </c>
      <c r="K49" s="373">
        <f t="shared" si="26"/>
        <v>3456.9753170598665</v>
      </c>
      <c r="L49" s="373">
        <f t="shared" si="26"/>
        <v>3334.6515750715944</v>
      </c>
      <c r="M49" s="373">
        <f t="shared" si="26"/>
        <v>3552.7069412246015</v>
      </c>
      <c r="N49" s="373">
        <f t="shared" si="26"/>
        <v>3191.0541388244924</v>
      </c>
      <c r="O49" s="373">
        <f t="shared" si="26"/>
        <v>2972.9987726714853</v>
      </c>
      <c r="P49" s="373">
        <f t="shared" si="26"/>
        <v>3270.8304922951047</v>
      </c>
      <c r="Q49" s="373">
        <f t="shared" si="26"/>
        <v>3414.4279285422067</v>
      </c>
      <c r="R49" s="109">
        <f t="shared" ref="R49" si="29">SUM(F49:Q49)</f>
        <v>39000.000000000007</v>
      </c>
      <c r="S49" s="3"/>
      <c r="T49" s="3"/>
      <c r="U49" s="3"/>
    </row>
    <row r="50" spans="1:21" s="92" customFormat="1" x14ac:dyDescent="0.2">
      <c r="A50" s="204">
        <v>41342.091</v>
      </c>
      <c r="B50" s="201" t="s">
        <v>584</v>
      </c>
      <c r="C50" s="14">
        <f>'[6]Emergency Services'!$J$24</f>
        <v>2645</v>
      </c>
      <c r="D50" s="14">
        <f t="shared" si="24"/>
        <v>0.36069821355516157</v>
      </c>
      <c r="E50" s="28"/>
      <c r="F50" s="373">
        <f t="shared" si="25"/>
        <v>213.53334242465564</v>
      </c>
      <c r="G50" s="373">
        <f t="shared" si="26"/>
        <v>206.68007636710757</v>
      </c>
      <c r="H50" s="373">
        <f t="shared" si="26"/>
        <v>216.05822991954179</v>
      </c>
      <c r="I50" s="373">
        <f t="shared" si="26"/>
        <v>221.82940133642435</v>
      </c>
      <c r="J50" s="373">
        <f t="shared" si="26"/>
        <v>213.89404063821081</v>
      </c>
      <c r="K50" s="373">
        <f t="shared" si="26"/>
        <v>234.45383881085502</v>
      </c>
      <c r="L50" s="373">
        <f t="shared" si="26"/>
        <v>226.15777989908631</v>
      </c>
      <c r="M50" s="373">
        <f t="shared" si="26"/>
        <v>240.94640665484792</v>
      </c>
      <c r="N50" s="373">
        <f t="shared" si="26"/>
        <v>216.41892813309695</v>
      </c>
      <c r="O50" s="373">
        <f t="shared" si="26"/>
        <v>201.63030137733531</v>
      </c>
      <c r="P50" s="373">
        <f t="shared" si="26"/>
        <v>221.82940133642435</v>
      </c>
      <c r="Q50" s="373">
        <f t="shared" si="26"/>
        <v>231.56825310241373</v>
      </c>
      <c r="R50" s="109">
        <f t="shared" si="16"/>
        <v>2644.9999999999995</v>
      </c>
      <c r="S50" s="3">
        <f t="shared" si="19"/>
        <v>0</v>
      </c>
      <c r="T50" s="3"/>
      <c r="U50" s="3"/>
    </row>
    <row r="51" spans="1:21" s="92" customFormat="1" x14ac:dyDescent="0.2">
      <c r="A51" s="204">
        <v>41365.091</v>
      </c>
      <c r="B51" s="201" t="s">
        <v>10</v>
      </c>
      <c r="C51" s="14">
        <f>'[6]Emergency Services'!$J$25</f>
        <v>560</v>
      </c>
      <c r="D51" s="14">
        <f t="shared" si="24"/>
        <v>7.6367107595799816E-2</v>
      </c>
      <c r="E51" s="28"/>
      <c r="F51" s="373">
        <f t="shared" si="25"/>
        <v>45.209327696713494</v>
      </c>
      <c r="G51" s="373">
        <f t="shared" si="26"/>
        <v>43.758352652393292</v>
      </c>
      <c r="H51" s="373">
        <f t="shared" si="26"/>
        <v>45.743897449884088</v>
      </c>
      <c r="I51" s="373">
        <f t="shared" si="26"/>
        <v>46.96577117141689</v>
      </c>
      <c r="J51" s="373">
        <f t="shared" si="26"/>
        <v>45.285694804309294</v>
      </c>
      <c r="K51" s="373">
        <f t="shared" si="26"/>
        <v>49.63861993726988</v>
      </c>
      <c r="L51" s="373">
        <f t="shared" si="26"/>
        <v>47.882176462566484</v>
      </c>
      <c r="M51" s="373">
        <f t="shared" si="26"/>
        <v>51.013227873994275</v>
      </c>
      <c r="N51" s="373">
        <f t="shared" si="26"/>
        <v>45.820264557479888</v>
      </c>
      <c r="O51" s="373">
        <f t="shared" si="26"/>
        <v>42.689213146052097</v>
      </c>
      <c r="P51" s="373">
        <f t="shared" si="26"/>
        <v>46.96577117141689</v>
      </c>
      <c r="Q51" s="373">
        <f t="shared" si="26"/>
        <v>49.027683076503479</v>
      </c>
      <c r="R51" s="109">
        <f t="shared" si="16"/>
        <v>560</v>
      </c>
      <c r="S51" s="3">
        <f t="shared" si="19"/>
        <v>0</v>
      </c>
      <c r="T51" s="3"/>
      <c r="U51" s="3"/>
    </row>
    <row r="52" spans="1:21" s="92" customFormat="1" x14ac:dyDescent="0.2">
      <c r="A52" s="204">
        <v>41423.091</v>
      </c>
      <c r="B52" s="201" t="s">
        <v>419</v>
      </c>
      <c r="C52" s="14"/>
      <c r="D52" s="14">
        <f t="shared" si="24"/>
        <v>0</v>
      </c>
      <c r="E52" s="28"/>
      <c r="F52" s="373">
        <f t="shared" si="25"/>
        <v>0</v>
      </c>
      <c r="G52" s="373">
        <f t="shared" si="26"/>
        <v>0</v>
      </c>
      <c r="H52" s="373">
        <f t="shared" si="26"/>
        <v>0</v>
      </c>
      <c r="I52" s="373">
        <f t="shared" si="26"/>
        <v>0</v>
      </c>
      <c r="J52" s="373">
        <f t="shared" si="26"/>
        <v>0</v>
      </c>
      <c r="K52" s="373">
        <f t="shared" si="26"/>
        <v>0</v>
      </c>
      <c r="L52" s="373">
        <f t="shared" si="26"/>
        <v>0</v>
      </c>
      <c r="M52" s="373">
        <f t="shared" si="26"/>
        <v>0</v>
      </c>
      <c r="N52" s="373">
        <f t="shared" si="26"/>
        <v>0</v>
      </c>
      <c r="O52" s="373">
        <f t="shared" si="26"/>
        <v>0</v>
      </c>
      <c r="P52" s="373">
        <f t="shared" si="26"/>
        <v>0</v>
      </c>
      <c r="Q52" s="373">
        <f t="shared" si="26"/>
        <v>0</v>
      </c>
      <c r="R52" s="109">
        <f t="shared" si="16"/>
        <v>0</v>
      </c>
      <c r="S52" s="3">
        <f t="shared" si="19"/>
        <v>0</v>
      </c>
      <c r="T52" s="3"/>
      <c r="U52" s="3"/>
    </row>
    <row r="53" spans="1:21" s="92" customFormat="1" x14ac:dyDescent="0.2">
      <c r="A53" s="204">
        <v>41426.091</v>
      </c>
      <c r="B53" s="201" t="s">
        <v>8</v>
      </c>
      <c r="C53" s="14">
        <f>'[6]Emergency Services'!$J$26</f>
        <v>2250</v>
      </c>
      <c r="D53" s="14">
        <f t="shared" si="24"/>
        <v>0.30683212873312421</v>
      </c>
      <c r="E53" s="28"/>
      <c r="F53" s="373">
        <f t="shared" si="25"/>
        <v>181.64462021000952</v>
      </c>
      <c r="G53" s="373">
        <f t="shared" si="26"/>
        <v>175.81480976408017</v>
      </c>
      <c r="H53" s="373">
        <f t="shared" si="26"/>
        <v>183.7924451111414</v>
      </c>
      <c r="I53" s="373">
        <f t="shared" si="26"/>
        <v>188.70175917087138</v>
      </c>
      <c r="J53" s="373">
        <f t="shared" si="26"/>
        <v>181.95145233874266</v>
      </c>
      <c r="K53" s="373">
        <f t="shared" si="26"/>
        <v>199.44088367653075</v>
      </c>
      <c r="L53" s="373">
        <f t="shared" si="26"/>
        <v>192.38374471566888</v>
      </c>
      <c r="M53" s="373">
        <f t="shared" si="26"/>
        <v>204.96386199372697</v>
      </c>
      <c r="N53" s="373">
        <f t="shared" si="26"/>
        <v>184.09927723987454</v>
      </c>
      <c r="O53" s="373">
        <f t="shared" si="26"/>
        <v>171.51915996181643</v>
      </c>
      <c r="P53" s="373">
        <f t="shared" si="26"/>
        <v>188.70175917087138</v>
      </c>
      <c r="Q53" s="373">
        <f t="shared" si="26"/>
        <v>196.98622664666576</v>
      </c>
      <c r="R53" s="109">
        <f t="shared" si="16"/>
        <v>2250</v>
      </c>
      <c r="S53" s="3">
        <f t="shared" si="19"/>
        <v>0</v>
      </c>
      <c r="T53" s="3"/>
      <c r="U53" s="3"/>
    </row>
    <row r="54" spans="1:21" s="92" customFormat="1" x14ac:dyDescent="0.2">
      <c r="A54" s="204">
        <v>41439.091</v>
      </c>
      <c r="B54" s="201" t="s">
        <v>366</v>
      </c>
      <c r="C54" s="14">
        <f>'[6]Emergency Services'!$J$27</f>
        <v>17</v>
      </c>
      <c r="D54" s="14">
        <f t="shared" si="24"/>
        <v>2.318287194872494E-3</v>
      </c>
      <c r="E54" s="28"/>
      <c r="F54" s="373">
        <f t="shared" si="25"/>
        <v>1.3724260193645166</v>
      </c>
      <c r="G54" s="373">
        <f t="shared" si="26"/>
        <v>1.3283785626619391</v>
      </c>
      <c r="H54" s="373">
        <f t="shared" si="26"/>
        <v>1.3886540297286238</v>
      </c>
      <c r="I54" s="373">
        <f t="shared" si="26"/>
        <v>1.4257466248465838</v>
      </c>
      <c r="J54" s="373">
        <f t="shared" si="26"/>
        <v>1.374744306559389</v>
      </c>
      <c r="K54" s="373">
        <f t="shared" si="26"/>
        <v>1.5068866766671212</v>
      </c>
      <c r="L54" s="373">
        <f t="shared" si="26"/>
        <v>1.4535660711850538</v>
      </c>
      <c r="M54" s="373">
        <f t="shared" si="26"/>
        <v>1.5486158461748261</v>
      </c>
      <c r="N54" s="373">
        <f t="shared" si="26"/>
        <v>1.3909723169234964</v>
      </c>
      <c r="O54" s="373">
        <f t="shared" si="26"/>
        <v>1.2959225419337241</v>
      </c>
      <c r="P54" s="373">
        <f t="shared" si="26"/>
        <v>1.4257466248465838</v>
      </c>
      <c r="Q54" s="373">
        <f t="shared" si="26"/>
        <v>1.4883403791081411</v>
      </c>
      <c r="R54" s="109">
        <f t="shared" si="16"/>
        <v>17</v>
      </c>
      <c r="S54" s="3">
        <f t="shared" si="19"/>
        <v>0</v>
      </c>
      <c r="T54" s="3"/>
      <c r="U54" s="3"/>
    </row>
    <row r="55" spans="1:21" s="92" customFormat="1" x14ac:dyDescent="0.2">
      <c r="A55" s="204">
        <v>41440.091</v>
      </c>
      <c r="B55" s="201" t="s">
        <v>7</v>
      </c>
      <c r="C55" s="14"/>
      <c r="D55" s="14">
        <f t="shared" si="24"/>
        <v>0</v>
      </c>
      <c r="E55" s="28"/>
      <c r="F55" s="373">
        <f t="shared" si="25"/>
        <v>0</v>
      </c>
      <c r="G55" s="373">
        <f t="shared" si="26"/>
        <v>0</v>
      </c>
      <c r="H55" s="373">
        <f t="shared" si="26"/>
        <v>0</v>
      </c>
      <c r="I55" s="373">
        <f t="shared" si="26"/>
        <v>0</v>
      </c>
      <c r="J55" s="373">
        <f t="shared" si="26"/>
        <v>0</v>
      </c>
      <c r="K55" s="373">
        <f t="shared" si="26"/>
        <v>0</v>
      </c>
      <c r="L55" s="373">
        <f t="shared" si="26"/>
        <v>0</v>
      </c>
      <c r="M55" s="373">
        <f t="shared" si="26"/>
        <v>0</v>
      </c>
      <c r="N55" s="373">
        <f t="shared" si="26"/>
        <v>0</v>
      </c>
      <c r="O55" s="373">
        <f t="shared" si="26"/>
        <v>0</v>
      </c>
      <c r="P55" s="373">
        <f t="shared" si="26"/>
        <v>0</v>
      </c>
      <c r="Q55" s="373">
        <f t="shared" si="26"/>
        <v>0</v>
      </c>
      <c r="R55" s="109">
        <f t="shared" si="16"/>
        <v>0</v>
      </c>
      <c r="S55" s="3">
        <f t="shared" si="19"/>
        <v>0</v>
      </c>
      <c r="T55" s="3"/>
      <c r="U55" s="3"/>
    </row>
    <row r="56" spans="1:21" s="92" customFormat="1" x14ac:dyDescent="0.2">
      <c r="A56" s="204">
        <v>41461.091</v>
      </c>
      <c r="B56" s="201" t="s">
        <v>5</v>
      </c>
      <c r="C56" s="14">
        <f>'[6]Emergency Services'!$J$28</f>
        <v>1400</v>
      </c>
      <c r="D56" s="14">
        <f t="shared" si="24"/>
        <v>0.19091776898949953</v>
      </c>
      <c r="E56" s="28"/>
      <c r="F56" s="373">
        <f t="shared" si="25"/>
        <v>113.02331924178372</v>
      </c>
      <c r="G56" s="373">
        <f t="shared" si="26"/>
        <v>109.39588163098323</v>
      </c>
      <c r="H56" s="373">
        <f t="shared" si="26"/>
        <v>114.35974362471022</v>
      </c>
      <c r="I56" s="373">
        <f t="shared" si="26"/>
        <v>117.41442792854221</v>
      </c>
      <c r="J56" s="373">
        <f t="shared" si="26"/>
        <v>113.21423701077322</v>
      </c>
      <c r="K56" s="373">
        <f t="shared" si="26"/>
        <v>124.09654984317469</v>
      </c>
      <c r="L56" s="373">
        <f t="shared" si="26"/>
        <v>119.7054411564162</v>
      </c>
      <c r="M56" s="373">
        <f t="shared" si="26"/>
        <v>127.53306968498568</v>
      </c>
      <c r="N56" s="373">
        <f t="shared" si="26"/>
        <v>114.55066139369971</v>
      </c>
      <c r="O56" s="373">
        <f t="shared" si="26"/>
        <v>106.72303286513024</v>
      </c>
      <c r="P56" s="373">
        <f t="shared" si="26"/>
        <v>117.41442792854221</v>
      </c>
      <c r="Q56" s="373">
        <f t="shared" si="26"/>
        <v>122.5692076912587</v>
      </c>
      <c r="R56" s="109">
        <f t="shared" si="16"/>
        <v>1400.0000000000002</v>
      </c>
      <c r="S56" s="3">
        <f t="shared" si="19"/>
        <v>0</v>
      </c>
      <c r="T56" s="3"/>
      <c r="U56" s="3"/>
    </row>
    <row r="57" spans="1:21" s="92" customFormat="1" x14ac:dyDescent="0.2">
      <c r="A57" s="204">
        <v>41490.091</v>
      </c>
      <c r="B57" s="201" t="s">
        <v>367</v>
      </c>
      <c r="C57" s="14"/>
      <c r="D57" s="14">
        <f t="shared" si="24"/>
        <v>0</v>
      </c>
      <c r="E57" s="28"/>
      <c r="F57" s="373">
        <f t="shared" si="25"/>
        <v>0</v>
      </c>
      <c r="G57" s="373">
        <f t="shared" si="25"/>
        <v>0</v>
      </c>
      <c r="H57" s="373">
        <f t="shared" si="25"/>
        <v>0</v>
      </c>
      <c r="I57" s="373">
        <f t="shared" si="25"/>
        <v>0</v>
      </c>
      <c r="J57" s="373">
        <f t="shared" si="25"/>
        <v>0</v>
      </c>
      <c r="K57" s="373">
        <f t="shared" si="25"/>
        <v>0</v>
      </c>
      <c r="L57" s="373">
        <f t="shared" si="25"/>
        <v>0</v>
      </c>
      <c r="M57" s="373">
        <f t="shared" si="25"/>
        <v>0</v>
      </c>
      <c r="N57" s="373">
        <f t="shared" si="25"/>
        <v>0</v>
      </c>
      <c r="O57" s="373">
        <f t="shared" si="25"/>
        <v>0</v>
      </c>
      <c r="P57" s="373">
        <f t="shared" si="25"/>
        <v>0</v>
      </c>
      <c r="Q57" s="373">
        <f t="shared" si="25"/>
        <v>0</v>
      </c>
      <c r="R57" s="109">
        <f t="shared" si="16"/>
        <v>0</v>
      </c>
      <c r="S57" s="3">
        <f t="shared" si="19"/>
        <v>0</v>
      </c>
      <c r="T57" s="3"/>
      <c r="U57" s="3"/>
    </row>
    <row r="58" spans="1:21" s="92" customFormat="1" x14ac:dyDescent="0.2">
      <c r="A58" s="204">
        <v>41509.091</v>
      </c>
      <c r="B58" s="201" t="s">
        <v>585</v>
      </c>
      <c r="C58" s="14">
        <f>'[6]Emergency Services'!$J$29</f>
        <v>275</v>
      </c>
      <c r="D58" s="14">
        <f t="shared" ref="D58:D59" si="30">$C58/C$5</f>
        <v>3.7501704622937407E-2</v>
      </c>
      <c r="E58" s="28"/>
      <c r="F58" s="373">
        <f t="shared" si="25"/>
        <v>22.201009136778946</v>
      </c>
      <c r="G58" s="373">
        <f t="shared" si="25"/>
        <v>21.488476748943135</v>
      </c>
      <c r="H58" s="373">
        <f t="shared" si="25"/>
        <v>22.463521069139507</v>
      </c>
      <c r="I58" s="373">
        <f t="shared" si="25"/>
        <v>23.063548343106504</v>
      </c>
      <c r="J58" s="373">
        <f t="shared" si="25"/>
        <v>22.238510841401883</v>
      </c>
      <c r="K58" s="373">
        <f t="shared" si="25"/>
        <v>24.376108004909316</v>
      </c>
      <c r="L58" s="373">
        <f t="shared" si="25"/>
        <v>23.513568798581755</v>
      </c>
      <c r="M58" s="373">
        <f t="shared" si="25"/>
        <v>25.051138688122187</v>
      </c>
      <c r="N58" s="373">
        <f t="shared" si="25"/>
        <v>22.501022773762443</v>
      </c>
      <c r="O58" s="373">
        <f t="shared" si="25"/>
        <v>20.963452884222011</v>
      </c>
      <c r="P58" s="373">
        <f t="shared" si="25"/>
        <v>23.063548343106504</v>
      </c>
      <c r="Q58" s="373">
        <f t="shared" si="25"/>
        <v>24.076094367925815</v>
      </c>
      <c r="R58" s="109">
        <f t="shared" ref="R58:R59" si="31">SUM(F58:Q58)</f>
        <v>275</v>
      </c>
      <c r="S58" s="3">
        <f t="shared" ref="S58:S59" si="32">C58-R58</f>
        <v>0</v>
      </c>
      <c r="T58" s="3"/>
      <c r="U58" s="3"/>
    </row>
    <row r="59" spans="1:21" s="92" customFormat="1" x14ac:dyDescent="0.2">
      <c r="A59" s="204">
        <v>41570.091</v>
      </c>
      <c r="B59" s="201" t="s">
        <v>586</v>
      </c>
      <c r="C59" s="14">
        <f>'[6]Emergency Services'!$J$30</f>
        <v>415</v>
      </c>
      <c r="D59" s="14">
        <f t="shared" si="30"/>
        <v>5.6593481521887361E-2</v>
      </c>
      <c r="E59" s="28"/>
      <c r="F59" s="373">
        <f t="shared" si="25"/>
        <v>33.503341060957318</v>
      </c>
      <c r="G59" s="373">
        <f t="shared" si="25"/>
        <v>32.428064912041457</v>
      </c>
      <c r="H59" s="373">
        <f t="shared" si="25"/>
        <v>33.899495431610532</v>
      </c>
      <c r="I59" s="373">
        <f t="shared" si="25"/>
        <v>34.804991135960726</v>
      </c>
      <c r="J59" s="373">
        <f t="shared" si="25"/>
        <v>33.559934542479205</v>
      </c>
      <c r="K59" s="373">
        <f t="shared" si="25"/>
        <v>36.785762989226782</v>
      </c>
      <c r="L59" s="373">
        <f t="shared" si="25"/>
        <v>35.484112914223374</v>
      </c>
      <c r="M59" s="373">
        <f t="shared" si="25"/>
        <v>37.804445656620757</v>
      </c>
      <c r="N59" s="373">
        <f t="shared" si="25"/>
        <v>33.956088913132419</v>
      </c>
      <c r="O59" s="373">
        <f t="shared" si="25"/>
        <v>31.635756170735036</v>
      </c>
      <c r="P59" s="373">
        <f t="shared" si="25"/>
        <v>34.804991135960726</v>
      </c>
      <c r="Q59" s="373">
        <f t="shared" si="25"/>
        <v>36.333015137051689</v>
      </c>
      <c r="R59" s="109">
        <f t="shared" si="31"/>
        <v>415</v>
      </c>
      <c r="S59" s="3">
        <f t="shared" si="32"/>
        <v>0</v>
      </c>
      <c r="T59" s="3"/>
      <c r="U59" s="3"/>
    </row>
    <row r="60" spans="1:21" s="92" customFormat="1" x14ac:dyDescent="0.2">
      <c r="A60" s="204">
        <v>41571.091</v>
      </c>
      <c r="B60" s="201" t="s">
        <v>1</v>
      </c>
      <c r="C60" s="14">
        <f>'[6]Emergency Services'!$J$31</f>
        <v>2390</v>
      </c>
      <c r="D60" s="14">
        <f t="shared" si="24"/>
        <v>0.32592390563207418</v>
      </c>
      <c r="E60" s="28"/>
      <c r="F60" s="373">
        <f t="shared" si="25"/>
        <v>192.94695213418791</v>
      </c>
      <c r="G60" s="373">
        <f t="shared" si="25"/>
        <v>186.7543979271785</v>
      </c>
      <c r="H60" s="373">
        <f t="shared" si="25"/>
        <v>195.22841947361243</v>
      </c>
      <c r="I60" s="373">
        <f t="shared" si="25"/>
        <v>200.44320196372561</v>
      </c>
      <c r="J60" s="373">
        <f t="shared" si="25"/>
        <v>193.27287603982001</v>
      </c>
      <c r="K60" s="373">
        <f t="shared" si="25"/>
        <v>211.85053866084823</v>
      </c>
      <c r="L60" s="373">
        <f t="shared" si="25"/>
        <v>204.35428883131053</v>
      </c>
      <c r="M60" s="373">
        <f t="shared" si="25"/>
        <v>217.71716896222554</v>
      </c>
      <c r="N60" s="373">
        <f t="shared" si="25"/>
        <v>195.5543433792445</v>
      </c>
      <c r="O60" s="373">
        <f t="shared" si="25"/>
        <v>182.19146324832946</v>
      </c>
      <c r="P60" s="373">
        <f t="shared" si="25"/>
        <v>200.44320196372561</v>
      </c>
      <c r="Q60" s="373">
        <f t="shared" si="25"/>
        <v>209.24314741579164</v>
      </c>
      <c r="R60" s="109">
        <f t="shared" si="16"/>
        <v>2390</v>
      </c>
      <c r="S60" s="3">
        <f t="shared" si="19"/>
        <v>0</v>
      </c>
      <c r="T60" s="3"/>
      <c r="U60" s="3"/>
    </row>
    <row r="61" spans="1:21" s="184" customFormat="1" x14ac:dyDescent="0.2">
      <c r="A61" s="202"/>
      <c r="B61" s="203" t="s">
        <v>0</v>
      </c>
      <c r="C61" s="183">
        <f>SUM(C37:C60)</f>
        <v>696249.71948500001</v>
      </c>
      <c r="D61" s="104">
        <f>$C61/C$5</f>
        <v>94.947459359743632</v>
      </c>
      <c r="E61" s="111"/>
      <c r="F61" s="379">
        <f>SUM(F38:F60)</f>
        <v>58830.374675743791</v>
      </c>
      <c r="G61" s="379">
        <f t="shared" ref="G61:Q61" si="33">SUM(G38:G60)</f>
        <v>56933.573113661507</v>
      </c>
      <c r="H61" s="379">
        <f t="shared" si="33"/>
        <v>58899.269261861344</v>
      </c>
      <c r="I61" s="379">
        <f t="shared" si="33"/>
        <v>59056.742601558588</v>
      </c>
      <c r="J61" s="379">
        <f t="shared" si="33"/>
        <v>53710.810845899534</v>
      </c>
      <c r="K61" s="379">
        <f t="shared" si="33"/>
        <v>59401.215532146343</v>
      </c>
      <c r="L61" s="379">
        <f t="shared" si="33"/>
        <v>57465.045635139759</v>
      </c>
      <c r="M61" s="379">
        <f t="shared" si="33"/>
        <v>59578.373039305749</v>
      </c>
      <c r="N61" s="379">
        <f t="shared" si="33"/>
        <v>57199.309374400633</v>
      </c>
      <c r="O61" s="379">
        <f t="shared" si="33"/>
        <v>58505.585912618197</v>
      </c>
      <c r="P61" s="379">
        <f t="shared" si="33"/>
        <v>59056.742601558588</v>
      </c>
      <c r="Q61" s="379">
        <f t="shared" si="33"/>
        <v>57612.676891105963</v>
      </c>
      <c r="R61" s="109">
        <f t="shared" si="16"/>
        <v>696249.71948499989</v>
      </c>
      <c r="S61" s="3">
        <f t="shared" si="19"/>
        <v>0</v>
      </c>
      <c r="T61" s="3"/>
      <c r="U61" s="3"/>
    </row>
    <row r="62" spans="1:21" x14ac:dyDescent="0.2">
      <c r="C62" s="3">
        <f>C61-C35</f>
        <v>-4459123.0013328325</v>
      </c>
    </row>
    <row r="66" spans="3:21" x14ac:dyDescent="0.2">
      <c r="C66" s="7"/>
      <c r="L66" s="7"/>
      <c r="M66" s="7"/>
      <c r="N66" s="7"/>
      <c r="O66" s="7"/>
      <c r="P66" s="7"/>
      <c r="Q66" s="7"/>
      <c r="R66" s="7"/>
      <c r="U66" s="2"/>
    </row>
    <row r="67" spans="3:21" x14ac:dyDescent="0.2">
      <c r="C67" s="7"/>
      <c r="L67" s="7"/>
      <c r="M67" s="7"/>
      <c r="N67" s="7"/>
      <c r="O67" s="7"/>
      <c r="P67" s="7"/>
      <c r="Q67" s="7"/>
      <c r="R67" s="7"/>
      <c r="U67" s="2"/>
    </row>
    <row r="68" spans="3:21" x14ac:dyDescent="0.2">
      <c r="C68" s="7"/>
      <c r="L68" s="7"/>
      <c r="M68" s="7"/>
      <c r="N68" s="7"/>
      <c r="O68" s="7"/>
      <c r="P68" s="7"/>
      <c r="Q68" s="7"/>
      <c r="R68" s="7"/>
      <c r="U68" s="2"/>
    </row>
    <row r="69" spans="3:21" x14ac:dyDescent="0.2">
      <c r="C69" s="7"/>
      <c r="U69" s="2"/>
    </row>
    <row r="70" spans="3:21" x14ac:dyDescent="0.2">
      <c r="C70" s="7"/>
      <c r="L70" s="7"/>
      <c r="M70" s="7"/>
      <c r="N70" s="7"/>
      <c r="O70" s="7"/>
      <c r="P70" s="7"/>
      <c r="Q70" s="7"/>
      <c r="R70" s="7"/>
      <c r="U70" s="2"/>
    </row>
    <row r="72" spans="3:21" x14ac:dyDescent="0.2">
      <c r="S72" s="2"/>
      <c r="T72" s="2"/>
      <c r="U72" s="2"/>
    </row>
    <row r="73" spans="3:21" x14ac:dyDescent="0.2">
      <c r="S73" s="2"/>
      <c r="T73" s="2"/>
      <c r="U73" s="2"/>
    </row>
    <row r="74" spans="3:21" x14ac:dyDescent="0.2">
      <c r="S74" s="2"/>
      <c r="T74" s="2"/>
      <c r="U74" s="2"/>
    </row>
    <row r="75" spans="3:21" x14ac:dyDescent="0.2">
      <c r="S75" s="2"/>
      <c r="T75" s="2"/>
      <c r="U75" s="2"/>
    </row>
    <row r="76" spans="3:21" x14ac:dyDescent="0.2">
      <c r="S76" s="2"/>
      <c r="T76" s="2"/>
      <c r="U76" s="2"/>
    </row>
  </sheetData>
  <mergeCells count="2">
    <mergeCell ref="A9:D9"/>
    <mergeCell ref="A36:D36"/>
  </mergeCells>
  <printOptions gridLines="1"/>
  <pageMargins left="0.25" right="0.25" top="0.75" bottom="0.75" header="0.3" footer="0.3"/>
  <pageSetup scale="65" orientation="landscape" r:id="rId1"/>
  <headerFooter alignWithMargins="0">
    <oddHeader xml:space="preserve">&amp;C&amp;"Arial,Bold"&amp;14DOCTORS MEMORIAL HOSPITAL
FY 2017 BUDGET
</oddHeader>
    <oddFooter xml:space="preserve">&amp;R&amp;A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66"/>
  <sheetViews>
    <sheetView zoomScale="80" zoomScaleNormal="80" workbookViewId="0">
      <pane xSplit="2" ySplit="7" topLeftCell="C35" activePane="bottomRight" state="frozen"/>
      <selection pane="topRight" activeCell="C1" sqref="C1"/>
      <selection pane="bottomLeft" activeCell="A8" sqref="A8"/>
      <selection pane="bottomRight" activeCell="U18" sqref="U18"/>
    </sheetView>
  </sheetViews>
  <sheetFormatPr defaultRowHeight="12.75" x14ac:dyDescent="0.2"/>
  <cols>
    <col min="1" max="1" width="10.85546875" style="2" bestFit="1" customWidth="1"/>
    <col min="2" max="2" width="25.5703125" style="2" customWidth="1"/>
    <col min="3" max="3" width="13.7109375" style="2" customWidth="1"/>
    <col min="4" max="4" width="9.28515625" style="4" customWidth="1"/>
    <col min="5" max="5" width="1.7109375" style="4" customWidth="1"/>
    <col min="6" max="11" width="14" style="7" customWidth="1"/>
    <col min="12" max="17" width="14" style="3" customWidth="1"/>
    <col min="18" max="18" width="14" style="96" customWidth="1"/>
    <col min="19" max="21" width="11.7109375" style="3" customWidth="1"/>
    <col min="22" max="182" width="9.140625" style="1"/>
    <col min="183" max="183" width="34.85546875" style="1" bestFit="1" customWidth="1"/>
    <col min="184" max="184" width="16" style="1" customWidth="1"/>
    <col min="185" max="185" width="9.28515625" style="1" customWidth="1"/>
    <col min="186" max="186" width="12.28515625" style="1" customWidth="1"/>
    <col min="187" max="187" width="10.140625" style="1" customWidth="1"/>
    <col min="188" max="188" width="10.28515625" style="1" customWidth="1"/>
    <col min="189" max="189" width="9.5703125" style="1" customWidth="1"/>
    <col min="190" max="190" width="12.7109375" style="1" customWidth="1"/>
    <col min="191" max="191" width="9.42578125" style="1" customWidth="1"/>
    <col min="192" max="192" width="15.28515625" style="1" customWidth="1"/>
    <col min="193" max="194" width="11.7109375" style="1" customWidth="1"/>
    <col min="195" max="206" width="10.5703125" style="1" customWidth="1"/>
    <col min="207" max="207" width="11.140625" style="1" customWidth="1"/>
    <col min="208" max="210" width="11.7109375" style="1" customWidth="1"/>
    <col min="211" max="212" width="9.140625" style="1" customWidth="1"/>
    <col min="213" max="224" width="9.85546875" style="1" customWidth="1"/>
    <col min="225" max="225" width="12.85546875" style="1" customWidth="1"/>
    <col min="226" max="229" width="9.140625" style="1" customWidth="1"/>
    <col min="230" max="230" width="9.28515625" style="1" customWidth="1"/>
    <col min="231" max="231" width="10.28515625" style="1" customWidth="1"/>
    <col min="232" max="242" width="9.140625" style="1" customWidth="1"/>
    <col min="243" max="243" width="9.85546875" style="1" customWidth="1"/>
    <col min="244" max="244" width="10.28515625" style="1" customWidth="1"/>
    <col min="245" max="248" width="9.140625" style="1" customWidth="1"/>
    <col min="249" max="249" width="10.28515625" style="1" bestFit="1" customWidth="1"/>
    <col min="250" max="260" width="9.85546875" style="1" bestFit="1" customWidth="1"/>
    <col min="261" max="261" width="11.28515625" style="1" bestFit="1" customWidth="1"/>
    <col min="262" max="438" width="9.140625" style="1"/>
    <col min="439" max="439" width="34.85546875" style="1" bestFit="1" customWidth="1"/>
    <col min="440" max="440" width="16" style="1" customWidth="1"/>
    <col min="441" max="441" width="9.28515625" style="1" customWidth="1"/>
    <col min="442" max="442" width="12.28515625" style="1" customWidth="1"/>
    <col min="443" max="443" width="10.140625" style="1" customWidth="1"/>
    <col min="444" max="444" width="10.28515625" style="1" customWidth="1"/>
    <col min="445" max="445" width="9.5703125" style="1" customWidth="1"/>
    <col min="446" max="446" width="12.7109375" style="1" customWidth="1"/>
    <col min="447" max="447" width="9.42578125" style="1" customWidth="1"/>
    <col min="448" max="448" width="15.28515625" style="1" customWidth="1"/>
    <col min="449" max="450" width="11.7109375" style="1" customWidth="1"/>
    <col min="451" max="462" width="10.5703125" style="1" customWidth="1"/>
    <col min="463" max="463" width="11.140625" style="1" customWidth="1"/>
    <col min="464" max="466" width="11.7109375" style="1" customWidth="1"/>
    <col min="467" max="468" width="9.140625" style="1" customWidth="1"/>
    <col min="469" max="480" width="9.85546875" style="1" customWidth="1"/>
    <col min="481" max="481" width="12.85546875" style="1" customWidth="1"/>
    <col min="482" max="485" width="9.140625" style="1" customWidth="1"/>
    <col min="486" max="486" width="9.28515625" style="1" customWidth="1"/>
    <col min="487" max="487" width="10.28515625" style="1" customWidth="1"/>
    <col min="488" max="498" width="9.140625" style="1" customWidth="1"/>
    <col min="499" max="499" width="9.85546875" style="1" customWidth="1"/>
    <col min="500" max="500" width="10.28515625" style="1" customWidth="1"/>
    <col min="501" max="504" width="9.140625" style="1" customWidth="1"/>
    <col min="505" max="505" width="10.28515625" style="1" bestFit="1" customWidth="1"/>
    <col min="506" max="516" width="9.85546875" style="1" bestFit="1" customWidth="1"/>
    <col min="517" max="517" width="11.28515625" style="1" bestFit="1" customWidth="1"/>
    <col min="518" max="694" width="9.140625" style="1"/>
    <col min="695" max="695" width="34.85546875" style="1" bestFit="1" customWidth="1"/>
    <col min="696" max="696" width="16" style="1" customWidth="1"/>
    <col min="697" max="697" width="9.28515625" style="1" customWidth="1"/>
    <col min="698" max="698" width="12.28515625" style="1" customWidth="1"/>
    <col min="699" max="699" width="10.140625" style="1" customWidth="1"/>
    <col min="700" max="700" width="10.28515625" style="1" customWidth="1"/>
    <col min="701" max="701" width="9.5703125" style="1" customWidth="1"/>
    <col min="702" max="702" width="12.7109375" style="1" customWidth="1"/>
    <col min="703" max="703" width="9.42578125" style="1" customWidth="1"/>
    <col min="704" max="704" width="15.28515625" style="1" customWidth="1"/>
    <col min="705" max="706" width="11.7109375" style="1" customWidth="1"/>
    <col min="707" max="718" width="10.5703125" style="1" customWidth="1"/>
    <col min="719" max="719" width="11.140625" style="1" customWidth="1"/>
    <col min="720" max="722" width="11.7109375" style="1" customWidth="1"/>
    <col min="723" max="724" width="9.140625" style="1" customWidth="1"/>
    <col min="725" max="736" width="9.85546875" style="1" customWidth="1"/>
    <col min="737" max="737" width="12.85546875" style="1" customWidth="1"/>
    <col min="738" max="741" width="9.140625" style="1" customWidth="1"/>
    <col min="742" max="742" width="9.28515625" style="1" customWidth="1"/>
    <col min="743" max="743" width="10.28515625" style="1" customWidth="1"/>
    <col min="744" max="754" width="9.140625" style="1" customWidth="1"/>
    <col min="755" max="755" width="9.85546875" style="1" customWidth="1"/>
    <col min="756" max="756" width="10.28515625" style="1" customWidth="1"/>
    <col min="757" max="760" width="9.140625" style="1" customWidth="1"/>
    <col min="761" max="761" width="10.28515625" style="1" bestFit="1" customWidth="1"/>
    <col min="762" max="772" width="9.85546875" style="1" bestFit="1" customWidth="1"/>
    <col min="773" max="773" width="11.28515625" style="1" bestFit="1" customWidth="1"/>
    <col min="774" max="950" width="9.140625" style="1"/>
    <col min="951" max="951" width="34.85546875" style="1" bestFit="1" customWidth="1"/>
    <col min="952" max="952" width="16" style="1" customWidth="1"/>
    <col min="953" max="953" width="9.28515625" style="1" customWidth="1"/>
    <col min="954" max="954" width="12.28515625" style="1" customWidth="1"/>
    <col min="955" max="955" width="10.140625" style="1" customWidth="1"/>
    <col min="956" max="956" width="10.28515625" style="1" customWidth="1"/>
    <col min="957" max="957" width="9.5703125" style="1" customWidth="1"/>
    <col min="958" max="958" width="12.7109375" style="1" customWidth="1"/>
    <col min="959" max="959" width="9.42578125" style="1" customWidth="1"/>
    <col min="960" max="960" width="15.28515625" style="1" customWidth="1"/>
    <col min="961" max="962" width="11.7109375" style="1" customWidth="1"/>
    <col min="963" max="974" width="10.5703125" style="1" customWidth="1"/>
    <col min="975" max="975" width="11.140625" style="1" customWidth="1"/>
    <col min="976" max="978" width="11.7109375" style="1" customWidth="1"/>
    <col min="979" max="980" width="9.140625" style="1" customWidth="1"/>
    <col min="981" max="992" width="9.85546875" style="1" customWidth="1"/>
    <col min="993" max="993" width="12.85546875" style="1" customWidth="1"/>
    <col min="994" max="997" width="9.140625" style="1" customWidth="1"/>
    <col min="998" max="998" width="9.28515625" style="1" customWidth="1"/>
    <col min="999" max="999" width="10.28515625" style="1" customWidth="1"/>
    <col min="1000" max="1010" width="9.140625" style="1" customWidth="1"/>
    <col min="1011" max="1011" width="9.85546875" style="1" customWidth="1"/>
    <col min="1012" max="1012" width="10.28515625" style="1" customWidth="1"/>
    <col min="1013" max="1016" width="9.140625" style="1" customWidth="1"/>
    <col min="1017" max="1017" width="10.28515625" style="1" bestFit="1" customWidth="1"/>
    <col min="1018" max="1028" width="9.85546875" style="1" bestFit="1" customWidth="1"/>
    <col min="1029" max="1029" width="11.28515625" style="1" bestFit="1" customWidth="1"/>
    <col min="1030" max="1206" width="9.140625" style="1"/>
    <col min="1207" max="1207" width="34.85546875" style="1" bestFit="1" customWidth="1"/>
    <col min="1208" max="1208" width="16" style="1" customWidth="1"/>
    <col min="1209" max="1209" width="9.28515625" style="1" customWidth="1"/>
    <col min="1210" max="1210" width="12.28515625" style="1" customWidth="1"/>
    <col min="1211" max="1211" width="10.140625" style="1" customWidth="1"/>
    <col min="1212" max="1212" width="10.28515625" style="1" customWidth="1"/>
    <col min="1213" max="1213" width="9.5703125" style="1" customWidth="1"/>
    <col min="1214" max="1214" width="12.7109375" style="1" customWidth="1"/>
    <col min="1215" max="1215" width="9.42578125" style="1" customWidth="1"/>
    <col min="1216" max="1216" width="15.28515625" style="1" customWidth="1"/>
    <col min="1217" max="1218" width="11.7109375" style="1" customWidth="1"/>
    <col min="1219" max="1230" width="10.5703125" style="1" customWidth="1"/>
    <col min="1231" max="1231" width="11.140625" style="1" customWidth="1"/>
    <col min="1232" max="1234" width="11.7109375" style="1" customWidth="1"/>
    <col min="1235" max="1236" width="9.140625" style="1" customWidth="1"/>
    <col min="1237" max="1248" width="9.85546875" style="1" customWidth="1"/>
    <col min="1249" max="1249" width="12.85546875" style="1" customWidth="1"/>
    <col min="1250" max="1253" width="9.140625" style="1" customWidth="1"/>
    <col min="1254" max="1254" width="9.28515625" style="1" customWidth="1"/>
    <col min="1255" max="1255" width="10.28515625" style="1" customWidth="1"/>
    <col min="1256" max="1266" width="9.140625" style="1" customWidth="1"/>
    <col min="1267" max="1267" width="9.85546875" style="1" customWidth="1"/>
    <col min="1268" max="1268" width="10.28515625" style="1" customWidth="1"/>
    <col min="1269" max="1272" width="9.140625" style="1" customWidth="1"/>
    <col min="1273" max="1273" width="10.28515625" style="1" bestFit="1" customWidth="1"/>
    <col min="1274" max="1284" width="9.85546875" style="1" bestFit="1" customWidth="1"/>
    <col min="1285" max="1285" width="11.28515625" style="1" bestFit="1" customWidth="1"/>
    <col min="1286" max="1462" width="9.140625" style="1"/>
    <col min="1463" max="1463" width="34.85546875" style="1" bestFit="1" customWidth="1"/>
    <col min="1464" max="1464" width="16" style="1" customWidth="1"/>
    <col min="1465" max="1465" width="9.28515625" style="1" customWidth="1"/>
    <col min="1466" max="1466" width="12.28515625" style="1" customWidth="1"/>
    <col min="1467" max="1467" width="10.140625" style="1" customWidth="1"/>
    <col min="1468" max="1468" width="10.28515625" style="1" customWidth="1"/>
    <col min="1469" max="1469" width="9.5703125" style="1" customWidth="1"/>
    <col min="1470" max="1470" width="12.7109375" style="1" customWidth="1"/>
    <col min="1471" max="1471" width="9.42578125" style="1" customWidth="1"/>
    <col min="1472" max="1472" width="15.28515625" style="1" customWidth="1"/>
    <col min="1473" max="1474" width="11.7109375" style="1" customWidth="1"/>
    <col min="1475" max="1486" width="10.5703125" style="1" customWidth="1"/>
    <col min="1487" max="1487" width="11.140625" style="1" customWidth="1"/>
    <col min="1488" max="1490" width="11.7109375" style="1" customWidth="1"/>
    <col min="1491" max="1492" width="9.140625" style="1" customWidth="1"/>
    <col min="1493" max="1504" width="9.85546875" style="1" customWidth="1"/>
    <col min="1505" max="1505" width="12.85546875" style="1" customWidth="1"/>
    <col min="1506" max="1509" width="9.140625" style="1" customWidth="1"/>
    <col min="1510" max="1510" width="9.28515625" style="1" customWidth="1"/>
    <col min="1511" max="1511" width="10.28515625" style="1" customWidth="1"/>
    <col min="1512" max="1522" width="9.140625" style="1" customWidth="1"/>
    <col min="1523" max="1523" width="9.85546875" style="1" customWidth="1"/>
    <col min="1524" max="1524" width="10.28515625" style="1" customWidth="1"/>
    <col min="1525" max="1528" width="9.140625" style="1" customWidth="1"/>
    <col min="1529" max="1529" width="10.28515625" style="1" bestFit="1" customWidth="1"/>
    <col min="1530" max="1540" width="9.85546875" style="1" bestFit="1" customWidth="1"/>
    <col min="1541" max="1541" width="11.28515625" style="1" bestFit="1" customWidth="1"/>
    <col min="1542" max="1718" width="9.140625" style="1"/>
    <col min="1719" max="1719" width="34.85546875" style="1" bestFit="1" customWidth="1"/>
    <col min="1720" max="1720" width="16" style="1" customWidth="1"/>
    <col min="1721" max="1721" width="9.28515625" style="1" customWidth="1"/>
    <col min="1722" max="1722" width="12.28515625" style="1" customWidth="1"/>
    <col min="1723" max="1723" width="10.140625" style="1" customWidth="1"/>
    <col min="1724" max="1724" width="10.28515625" style="1" customWidth="1"/>
    <col min="1725" max="1725" width="9.5703125" style="1" customWidth="1"/>
    <col min="1726" max="1726" width="12.7109375" style="1" customWidth="1"/>
    <col min="1727" max="1727" width="9.42578125" style="1" customWidth="1"/>
    <col min="1728" max="1728" width="15.28515625" style="1" customWidth="1"/>
    <col min="1729" max="1730" width="11.7109375" style="1" customWidth="1"/>
    <col min="1731" max="1742" width="10.5703125" style="1" customWidth="1"/>
    <col min="1743" max="1743" width="11.140625" style="1" customWidth="1"/>
    <col min="1744" max="1746" width="11.7109375" style="1" customWidth="1"/>
    <col min="1747" max="1748" width="9.140625" style="1" customWidth="1"/>
    <col min="1749" max="1760" width="9.85546875" style="1" customWidth="1"/>
    <col min="1761" max="1761" width="12.85546875" style="1" customWidth="1"/>
    <col min="1762" max="1765" width="9.140625" style="1" customWidth="1"/>
    <col min="1766" max="1766" width="9.28515625" style="1" customWidth="1"/>
    <col min="1767" max="1767" width="10.28515625" style="1" customWidth="1"/>
    <col min="1768" max="1778" width="9.140625" style="1" customWidth="1"/>
    <col min="1779" max="1779" width="9.85546875" style="1" customWidth="1"/>
    <col min="1780" max="1780" width="10.28515625" style="1" customWidth="1"/>
    <col min="1781" max="1784" width="9.140625" style="1" customWidth="1"/>
    <col min="1785" max="1785" width="10.28515625" style="1" bestFit="1" customWidth="1"/>
    <col min="1786" max="1796" width="9.85546875" style="1" bestFit="1" customWidth="1"/>
    <col min="1797" max="1797" width="11.28515625" style="1" bestFit="1" customWidth="1"/>
    <col min="1798" max="1974" width="9.140625" style="1"/>
    <col min="1975" max="1975" width="34.85546875" style="1" bestFit="1" customWidth="1"/>
    <col min="1976" max="1976" width="16" style="1" customWidth="1"/>
    <col min="1977" max="1977" width="9.28515625" style="1" customWidth="1"/>
    <col min="1978" max="1978" width="12.28515625" style="1" customWidth="1"/>
    <col min="1979" max="1979" width="10.140625" style="1" customWidth="1"/>
    <col min="1980" max="1980" width="10.28515625" style="1" customWidth="1"/>
    <col min="1981" max="1981" width="9.5703125" style="1" customWidth="1"/>
    <col min="1982" max="1982" width="12.7109375" style="1" customWidth="1"/>
    <col min="1983" max="1983" width="9.42578125" style="1" customWidth="1"/>
    <col min="1984" max="1984" width="15.28515625" style="1" customWidth="1"/>
    <col min="1985" max="1986" width="11.7109375" style="1" customWidth="1"/>
    <col min="1987" max="1998" width="10.5703125" style="1" customWidth="1"/>
    <col min="1999" max="1999" width="11.140625" style="1" customWidth="1"/>
    <col min="2000" max="2002" width="11.7109375" style="1" customWidth="1"/>
    <col min="2003" max="2004" width="9.140625" style="1" customWidth="1"/>
    <col min="2005" max="2016" width="9.85546875" style="1" customWidth="1"/>
    <col min="2017" max="2017" width="12.85546875" style="1" customWidth="1"/>
    <col min="2018" max="2021" width="9.140625" style="1" customWidth="1"/>
    <col min="2022" max="2022" width="9.28515625" style="1" customWidth="1"/>
    <col min="2023" max="2023" width="10.28515625" style="1" customWidth="1"/>
    <col min="2024" max="2034" width="9.140625" style="1" customWidth="1"/>
    <col min="2035" max="2035" width="9.85546875" style="1" customWidth="1"/>
    <col min="2036" max="2036" width="10.28515625" style="1" customWidth="1"/>
    <col min="2037" max="2040" width="9.140625" style="1" customWidth="1"/>
    <col min="2041" max="2041" width="10.28515625" style="1" bestFit="1" customWidth="1"/>
    <col min="2042" max="2052" width="9.85546875" style="1" bestFit="1" customWidth="1"/>
    <col min="2053" max="2053" width="11.28515625" style="1" bestFit="1" customWidth="1"/>
    <col min="2054" max="2230" width="9.140625" style="1"/>
    <col min="2231" max="2231" width="34.85546875" style="1" bestFit="1" customWidth="1"/>
    <col min="2232" max="2232" width="16" style="1" customWidth="1"/>
    <col min="2233" max="2233" width="9.28515625" style="1" customWidth="1"/>
    <col min="2234" max="2234" width="12.28515625" style="1" customWidth="1"/>
    <col min="2235" max="2235" width="10.140625" style="1" customWidth="1"/>
    <col min="2236" max="2236" width="10.28515625" style="1" customWidth="1"/>
    <col min="2237" max="2237" width="9.5703125" style="1" customWidth="1"/>
    <col min="2238" max="2238" width="12.7109375" style="1" customWidth="1"/>
    <col min="2239" max="2239" width="9.42578125" style="1" customWidth="1"/>
    <col min="2240" max="2240" width="15.28515625" style="1" customWidth="1"/>
    <col min="2241" max="2242" width="11.7109375" style="1" customWidth="1"/>
    <col min="2243" max="2254" width="10.5703125" style="1" customWidth="1"/>
    <col min="2255" max="2255" width="11.140625" style="1" customWidth="1"/>
    <col min="2256" max="2258" width="11.7109375" style="1" customWidth="1"/>
    <col min="2259" max="2260" width="9.140625" style="1" customWidth="1"/>
    <col min="2261" max="2272" width="9.85546875" style="1" customWidth="1"/>
    <col min="2273" max="2273" width="12.85546875" style="1" customWidth="1"/>
    <col min="2274" max="2277" width="9.140625" style="1" customWidth="1"/>
    <col min="2278" max="2278" width="9.28515625" style="1" customWidth="1"/>
    <col min="2279" max="2279" width="10.28515625" style="1" customWidth="1"/>
    <col min="2280" max="2290" width="9.140625" style="1" customWidth="1"/>
    <col min="2291" max="2291" width="9.85546875" style="1" customWidth="1"/>
    <col min="2292" max="2292" width="10.28515625" style="1" customWidth="1"/>
    <col min="2293" max="2296" width="9.140625" style="1" customWidth="1"/>
    <col min="2297" max="2297" width="10.28515625" style="1" bestFit="1" customWidth="1"/>
    <col min="2298" max="2308" width="9.85546875" style="1" bestFit="1" customWidth="1"/>
    <col min="2309" max="2309" width="11.28515625" style="1" bestFit="1" customWidth="1"/>
    <col min="2310" max="2486" width="9.140625" style="1"/>
    <col min="2487" max="2487" width="34.85546875" style="1" bestFit="1" customWidth="1"/>
    <col min="2488" max="2488" width="16" style="1" customWidth="1"/>
    <col min="2489" max="2489" width="9.28515625" style="1" customWidth="1"/>
    <col min="2490" max="2490" width="12.28515625" style="1" customWidth="1"/>
    <col min="2491" max="2491" width="10.140625" style="1" customWidth="1"/>
    <col min="2492" max="2492" width="10.28515625" style="1" customWidth="1"/>
    <col min="2493" max="2493" width="9.5703125" style="1" customWidth="1"/>
    <col min="2494" max="2494" width="12.7109375" style="1" customWidth="1"/>
    <col min="2495" max="2495" width="9.42578125" style="1" customWidth="1"/>
    <col min="2496" max="2496" width="15.28515625" style="1" customWidth="1"/>
    <col min="2497" max="2498" width="11.7109375" style="1" customWidth="1"/>
    <col min="2499" max="2510" width="10.5703125" style="1" customWidth="1"/>
    <col min="2511" max="2511" width="11.140625" style="1" customWidth="1"/>
    <col min="2512" max="2514" width="11.7109375" style="1" customWidth="1"/>
    <col min="2515" max="2516" width="9.140625" style="1" customWidth="1"/>
    <col min="2517" max="2528" width="9.85546875" style="1" customWidth="1"/>
    <col min="2529" max="2529" width="12.85546875" style="1" customWidth="1"/>
    <col min="2530" max="2533" width="9.140625" style="1" customWidth="1"/>
    <col min="2534" max="2534" width="9.28515625" style="1" customWidth="1"/>
    <col min="2535" max="2535" width="10.28515625" style="1" customWidth="1"/>
    <col min="2536" max="2546" width="9.140625" style="1" customWidth="1"/>
    <col min="2547" max="2547" width="9.85546875" style="1" customWidth="1"/>
    <col min="2548" max="2548" width="10.28515625" style="1" customWidth="1"/>
    <col min="2549" max="2552" width="9.140625" style="1" customWidth="1"/>
    <col min="2553" max="2553" width="10.28515625" style="1" bestFit="1" customWidth="1"/>
    <col min="2554" max="2564" width="9.85546875" style="1" bestFit="1" customWidth="1"/>
    <col min="2565" max="2565" width="11.28515625" style="1" bestFit="1" customWidth="1"/>
    <col min="2566" max="2742" width="9.140625" style="1"/>
    <col min="2743" max="2743" width="34.85546875" style="1" bestFit="1" customWidth="1"/>
    <col min="2744" max="2744" width="16" style="1" customWidth="1"/>
    <col min="2745" max="2745" width="9.28515625" style="1" customWidth="1"/>
    <col min="2746" max="2746" width="12.28515625" style="1" customWidth="1"/>
    <col min="2747" max="2747" width="10.140625" style="1" customWidth="1"/>
    <col min="2748" max="2748" width="10.28515625" style="1" customWidth="1"/>
    <col min="2749" max="2749" width="9.5703125" style="1" customWidth="1"/>
    <col min="2750" max="2750" width="12.7109375" style="1" customWidth="1"/>
    <col min="2751" max="2751" width="9.42578125" style="1" customWidth="1"/>
    <col min="2752" max="2752" width="15.28515625" style="1" customWidth="1"/>
    <col min="2753" max="2754" width="11.7109375" style="1" customWidth="1"/>
    <col min="2755" max="2766" width="10.5703125" style="1" customWidth="1"/>
    <col min="2767" max="2767" width="11.140625" style="1" customWidth="1"/>
    <col min="2768" max="2770" width="11.7109375" style="1" customWidth="1"/>
    <col min="2771" max="2772" width="9.140625" style="1" customWidth="1"/>
    <col min="2773" max="2784" width="9.85546875" style="1" customWidth="1"/>
    <col min="2785" max="2785" width="12.85546875" style="1" customWidth="1"/>
    <col min="2786" max="2789" width="9.140625" style="1" customWidth="1"/>
    <col min="2790" max="2790" width="9.28515625" style="1" customWidth="1"/>
    <col min="2791" max="2791" width="10.28515625" style="1" customWidth="1"/>
    <col min="2792" max="2802" width="9.140625" style="1" customWidth="1"/>
    <col min="2803" max="2803" width="9.85546875" style="1" customWidth="1"/>
    <col min="2804" max="2804" width="10.28515625" style="1" customWidth="1"/>
    <col min="2805" max="2808" width="9.140625" style="1" customWidth="1"/>
    <col min="2809" max="2809" width="10.28515625" style="1" bestFit="1" customWidth="1"/>
    <col min="2810" max="2820" width="9.85546875" style="1" bestFit="1" customWidth="1"/>
    <col min="2821" max="2821" width="11.28515625" style="1" bestFit="1" customWidth="1"/>
    <col min="2822" max="2998" width="9.140625" style="1"/>
    <col min="2999" max="2999" width="34.85546875" style="1" bestFit="1" customWidth="1"/>
    <col min="3000" max="3000" width="16" style="1" customWidth="1"/>
    <col min="3001" max="3001" width="9.28515625" style="1" customWidth="1"/>
    <col min="3002" max="3002" width="12.28515625" style="1" customWidth="1"/>
    <col min="3003" max="3003" width="10.140625" style="1" customWidth="1"/>
    <col min="3004" max="3004" width="10.28515625" style="1" customWidth="1"/>
    <col min="3005" max="3005" width="9.5703125" style="1" customWidth="1"/>
    <col min="3006" max="3006" width="12.7109375" style="1" customWidth="1"/>
    <col min="3007" max="3007" width="9.42578125" style="1" customWidth="1"/>
    <col min="3008" max="3008" width="15.28515625" style="1" customWidth="1"/>
    <col min="3009" max="3010" width="11.7109375" style="1" customWidth="1"/>
    <col min="3011" max="3022" width="10.5703125" style="1" customWidth="1"/>
    <col min="3023" max="3023" width="11.140625" style="1" customWidth="1"/>
    <col min="3024" max="3026" width="11.7109375" style="1" customWidth="1"/>
    <col min="3027" max="3028" width="9.140625" style="1" customWidth="1"/>
    <col min="3029" max="3040" width="9.85546875" style="1" customWidth="1"/>
    <col min="3041" max="3041" width="12.85546875" style="1" customWidth="1"/>
    <col min="3042" max="3045" width="9.140625" style="1" customWidth="1"/>
    <col min="3046" max="3046" width="9.28515625" style="1" customWidth="1"/>
    <col min="3047" max="3047" width="10.28515625" style="1" customWidth="1"/>
    <col min="3048" max="3058" width="9.140625" style="1" customWidth="1"/>
    <col min="3059" max="3059" width="9.85546875" style="1" customWidth="1"/>
    <col min="3060" max="3060" width="10.28515625" style="1" customWidth="1"/>
    <col min="3061" max="3064" width="9.140625" style="1" customWidth="1"/>
    <col min="3065" max="3065" width="10.28515625" style="1" bestFit="1" customWidth="1"/>
    <col min="3066" max="3076" width="9.85546875" style="1" bestFit="1" customWidth="1"/>
    <col min="3077" max="3077" width="11.28515625" style="1" bestFit="1" customWidth="1"/>
    <col min="3078" max="3254" width="9.140625" style="1"/>
    <col min="3255" max="3255" width="34.85546875" style="1" bestFit="1" customWidth="1"/>
    <col min="3256" max="3256" width="16" style="1" customWidth="1"/>
    <col min="3257" max="3257" width="9.28515625" style="1" customWidth="1"/>
    <col min="3258" max="3258" width="12.28515625" style="1" customWidth="1"/>
    <col min="3259" max="3259" width="10.140625" style="1" customWidth="1"/>
    <col min="3260" max="3260" width="10.28515625" style="1" customWidth="1"/>
    <col min="3261" max="3261" width="9.5703125" style="1" customWidth="1"/>
    <col min="3262" max="3262" width="12.7109375" style="1" customWidth="1"/>
    <col min="3263" max="3263" width="9.42578125" style="1" customWidth="1"/>
    <col min="3264" max="3264" width="15.28515625" style="1" customWidth="1"/>
    <col min="3265" max="3266" width="11.7109375" style="1" customWidth="1"/>
    <col min="3267" max="3278" width="10.5703125" style="1" customWidth="1"/>
    <col min="3279" max="3279" width="11.140625" style="1" customWidth="1"/>
    <col min="3280" max="3282" width="11.7109375" style="1" customWidth="1"/>
    <col min="3283" max="3284" width="9.140625" style="1" customWidth="1"/>
    <col min="3285" max="3296" width="9.85546875" style="1" customWidth="1"/>
    <col min="3297" max="3297" width="12.85546875" style="1" customWidth="1"/>
    <col min="3298" max="3301" width="9.140625" style="1" customWidth="1"/>
    <col min="3302" max="3302" width="9.28515625" style="1" customWidth="1"/>
    <col min="3303" max="3303" width="10.28515625" style="1" customWidth="1"/>
    <col min="3304" max="3314" width="9.140625" style="1" customWidth="1"/>
    <col min="3315" max="3315" width="9.85546875" style="1" customWidth="1"/>
    <col min="3316" max="3316" width="10.28515625" style="1" customWidth="1"/>
    <col min="3317" max="3320" width="9.140625" style="1" customWidth="1"/>
    <col min="3321" max="3321" width="10.28515625" style="1" bestFit="1" customWidth="1"/>
    <col min="3322" max="3332" width="9.85546875" style="1" bestFit="1" customWidth="1"/>
    <col min="3333" max="3333" width="11.28515625" style="1" bestFit="1" customWidth="1"/>
    <col min="3334" max="3510" width="9.140625" style="1"/>
    <col min="3511" max="3511" width="34.85546875" style="1" bestFit="1" customWidth="1"/>
    <col min="3512" max="3512" width="16" style="1" customWidth="1"/>
    <col min="3513" max="3513" width="9.28515625" style="1" customWidth="1"/>
    <col min="3514" max="3514" width="12.28515625" style="1" customWidth="1"/>
    <col min="3515" max="3515" width="10.140625" style="1" customWidth="1"/>
    <col min="3516" max="3516" width="10.28515625" style="1" customWidth="1"/>
    <col min="3517" max="3517" width="9.5703125" style="1" customWidth="1"/>
    <col min="3518" max="3518" width="12.7109375" style="1" customWidth="1"/>
    <col min="3519" max="3519" width="9.42578125" style="1" customWidth="1"/>
    <col min="3520" max="3520" width="15.28515625" style="1" customWidth="1"/>
    <col min="3521" max="3522" width="11.7109375" style="1" customWidth="1"/>
    <col min="3523" max="3534" width="10.5703125" style="1" customWidth="1"/>
    <col min="3535" max="3535" width="11.140625" style="1" customWidth="1"/>
    <col min="3536" max="3538" width="11.7109375" style="1" customWidth="1"/>
    <col min="3539" max="3540" width="9.140625" style="1" customWidth="1"/>
    <col min="3541" max="3552" width="9.85546875" style="1" customWidth="1"/>
    <col min="3553" max="3553" width="12.85546875" style="1" customWidth="1"/>
    <col min="3554" max="3557" width="9.140625" style="1" customWidth="1"/>
    <col min="3558" max="3558" width="9.28515625" style="1" customWidth="1"/>
    <col min="3559" max="3559" width="10.28515625" style="1" customWidth="1"/>
    <col min="3560" max="3570" width="9.140625" style="1" customWidth="1"/>
    <col min="3571" max="3571" width="9.85546875" style="1" customWidth="1"/>
    <col min="3572" max="3572" width="10.28515625" style="1" customWidth="1"/>
    <col min="3573" max="3576" width="9.140625" style="1" customWidth="1"/>
    <col min="3577" max="3577" width="10.28515625" style="1" bestFit="1" customWidth="1"/>
    <col min="3578" max="3588" width="9.85546875" style="1" bestFit="1" customWidth="1"/>
    <col min="3589" max="3589" width="11.28515625" style="1" bestFit="1" customWidth="1"/>
    <col min="3590" max="3766" width="9.140625" style="1"/>
    <col min="3767" max="3767" width="34.85546875" style="1" bestFit="1" customWidth="1"/>
    <col min="3768" max="3768" width="16" style="1" customWidth="1"/>
    <col min="3769" max="3769" width="9.28515625" style="1" customWidth="1"/>
    <col min="3770" max="3770" width="12.28515625" style="1" customWidth="1"/>
    <col min="3771" max="3771" width="10.140625" style="1" customWidth="1"/>
    <col min="3772" max="3772" width="10.28515625" style="1" customWidth="1"/>
    <col min="3773" max="3773" width="9.5703125" style="1" customWidth="1"/>
    <col min="3774" max="3774" width="12.7109375" style="1" customWidth="1"/>
    <col min="3775" max="3775" width="9.42578125" style="1" customWidth="1"/>
    <col min="3776" max="3776" width="15.28515625" style="1" customWidth="1"/>
    <col min="3777" max="3778" width="11.7109375" style="1" customWidth="1"/>
    <col min="3779" max="3790" width="10.5703125" style="1" customWidth="1"/>
    <col min="3791" max="3791" width="11.140625" style="1" customWidth="1"/>
    <col min="3792" max="3794" width="11.7109375" style="1" customWidth="1"/>
    <col min="3795" max="3796" width="9.140625" style="1" customWidth="1"/>
    <col min="3797" max="3808" width="9.85546875" style="1" customWidth="1"/>
    <col min="3809" max="3809" width="12.85546875" style="1" customWidth="1"/>
    <col min="3810" max="3813" width="9.140625" style="1" customWidth="1"/>
    <col min="3814" max="3814" width="9.28515625" style="1" customWidth="1"/>
    <col min="3815" max="3815" width="10.28515625" style="1" customWidth="1"/>
    <col min="3816" max="3826" width="9.140625" style="1" customWidth="1"/>
    <col min="3827" max="3827" width="9.85546875" style="1" customWidth="1"/>
    <col min="3828" max="3828" width="10.28515625" style="1" customWidth="1"/>
    <col min="3829" max="3832" width="9.140625" style="1" customWidth="1"/>
    <col min="3833" max="3833" width="10.28515625" style="1" bestFit="1" customWidth="1"/>
    <col min="3834" max="3844" width="9.85546875" style="1" bestFit="1" customWidth="1"/>
    <col min="3845" max="3845" width="11.28515625" style="1" bestFit="1" customWidth="1"/>
    <col min="3846" max="4022" width="9.140625" style="1"/>
    <col min="4023" max="4023" width="34.85546875" style="1" bestFit="1" customWidth="1"/>
    <col min="4024" max="4024" width="16" style="1" customWidth="1"/>
    <col min="4025" max="4025" width="9.28515625" style="1" customWidth="1"/>
    <col min="4026" max="4026" width="12.28515625" style="1" customWidth="1"/>
    <col min="4027" max="4027" width="10.140625" style="1" customWidth="1"/>
    <col min="4028" max="4028" width="10.28515625" style="1" customWidth="1"/>
    <col min="4029" max="4029" width="9.5703125" style="1" customWidth="1"/>
    <col min="4030" max="4030" width="12.7109375" style="1" customWidth="1"/>
    <col min="4031" max="4031" width="9.42578125" style="1" customWidth="1"/>
    <col min="4032" max="4032" width="15.28515625" style="1" customWidth="1"/>
    <col min="4033" max="4034" width="11.7109375" style="1" customWidth="1"/>
    <col min="4035" max="4046" width="10.5703125" style="1" customWidth="1"/>
    <col min="4047" max="4047" width="11.140625" style="1" customWidth="1"/>
    <col min="4048" max="4050" width="11.7109375" style="1" customWidth="1"/>
    <col min="4051" max="4052" width="9.140625" style="1" customWidth="1"/>
    <col min="4053" max="4064" width="9.85546875" style="1" customWidth="1"/>
    <col min="4065" max="4065" width="12.85546875" style="1" customWidth="1"/>
    <col min="4066" max="4069" width="9.140625" style="1" customWidth="1"/>
    <col min="4070" max="4070" width="9.28515625" style="1" customWidth="1"/>
    <col min="4071" max="4071" width="10.28515625" style="1" customWidth="1"/>
    <col min="4072" max="4082" width="9.140625" style="1" customWidth="1"/>
    <col min="4083" max="4083" width="9.85546875" style="1" customWidth="1"/>
    <col min="4084" max="4084" width="10.28515625" style="1" customWidth="1"/>
    <col min="4085" max="4088" width="9.140625" style="1" customWidth="1"/>
    <col min="4089" max="4089" width="10.28515625" style="1" bestFit="1" customWidth="1"/>
    <col min="4090" max="4100" width="9.85546875" style="1" bestFit="1" customWidth="1"/>
    <col min="4101" max="4101" width="11.28515625" style="1" bestFit="1" customWidth="1"/>
    <col min="4102" max="4278" width="9.140625" style="1"/>
    <col min="4279" max="4279" width="34.85546875" style="1" bestFit="1" customWidth="1"/>
    <col min="4280" max="4280" width="16" style="1" customWidth="1"/>
    <col min="4281" max="4281" width="9.28515625" style="1" customWidth="1"/>
    <col min="4282" max="4282" width="12.28515625" style="1" customWidth="1"/>
    <col min="4283" max="4283" width="10.140625" style="1" customWidth="1"/>
    <col min="4284" max="4284" width="10.28515625" style="1" customWidth="1"/>
    <col min="4285" max="4285" width="9.5703125" style="1" customWidth="1"/>
    <col min="4286" max="4286" width="12.7109375" style="1" customWidth="1"/>
    <col min="4287" max="4287" width="9.42578125" style="1" customWidth="1"/>
    <col min="4288" max="4288" width="15.28515625" style="1" customWidth="1"/>
    <col min="4289" max="4290" width="11.7109375" style="1" customWidth="1"/>
    <col min="4291" max="4302" width="10.5703125" style="1" customWidth="1"/>
    <col min="4303" max="4303" width="11.140625" style="1" customWidth="1"/>
    <col min="4304" max="4306" width="11.7109375" style="1" customWidth="1"/>
    <col min="4307" max="4308" width="9.140625" style="1" customWidth="1"/>
    <col min="4309" max="4320" width="9.85546875" style="1" customWidth="1"/>
    <col min="4321" max="4321" width="12.85546875" style="1" customWidth="1"/>
    <col min="4322" max="4325" width="9.140625" style="1" customWidth="1"/>
    <col min="4326" max="4326" width="9.28515625" style="1" customWidth="1"/>
    <col min="4327" max="4327" width="10.28515625" style="1" customWidth="1"/>
    <col min="4328" max="4338" width="9.140625" style="1" customWidth="1"/>
    <col min="4339" max="4339" width="9.85546875" style="1" customWidth="1"/>
    <col min="4340" max="4340" width="10.28515625" style="1" customWidth="1"/>
    <col min="4341" max="4344" width="9.140625" style="1" customWidth="1"/>
    <col min="4345" max="4345" width="10.28515625" style="1" bestFit="1" customWidth="1"/>
    <col min="4346" max="4356" width="9.85546875" style="1" bestFit="1" customWidth="1"/>
    <col min="4357" max="4357" width="11.28515625" style="1" bestFit="1" customWidth="1"/>
    <col min="4358" max="4534" width="9.140625" style="1"/>
    <col min="4535" max="4535" width="34.85546875" style="1" bestFit="1" customWidth="1"/>
    <col min="4536" max="4536" width="16" style="1" customWidth="1"/>
    <col min="4537" max="4537" width="9.28515625" style="1" customWidth="1"/>
    <col min="4538" max="4538" width="12.28515625" style="1" customWidth="1"/>
    <col min="4539" max="4539" width="10.140625" style="1" customWidth="1"/>
    <col min="4540" max="4540" width="10.28515625" style="1" customWidth="1"/>
    <col min="4541" max="4541" width="9.5703125" style="1" customWidth="1"/>
    <col min="4542" max="4542" width="12.7109375" style="1" customWidth="1"/>
    <col min="4543" max="4543" width="9.42578125" style="1" customWidth="1"/>
    <col min="4544" max="4544" width="15.28515625" style="1" customWidth="1"/>
    <col min="4545" max="4546" width="11.7109375" style="1" customWidth="1"/>
    <col min="4547" max="4558" width="10.5703125" style="1" customWidth="1"/>
    <col min="4559" max="4559" width="11.140625" style="1" customWidth="1"/>
    <col min="4560" max="4562" width="11.7109375" style="1" customWidth="1"/>
    <col min="4563" max="4564" width="9.140625" style="1" customWidth="1"/>
    <col min="4565" max="4576" width="9.85546875" style="1" customWidth="1"/>
    <col min="4577" max="4577" width="12.85546875" style="1" customWidth="1"/>
    <col min="4578" max="4581" width="9.140625" style="1" customWidth="1"/>
    <col min="4582" max="4582" width="9.28515625" style="1" customWidth="1"/>
    <col min="4583" max="4583" width="10.28515625" style="1" customWidth="1"/>
    <col min="4584" max="4594" width="9.140625" style="1" customWidth="1"/>
    <col min="4595" max="4595" width="9.85546875" style="1" customWidth="1"/>
    <col min="4596" max="4596" width="10.28515625" style="1" customWidth="1"/>
    <col min="4597" max="4600" width="9.140625" style="1" customWidth="1"/>
    <col min="4601" max="4601" width="10.28515625" style="1" bestFit="1" customWidth="1"/>
    <col min="4602" max="4612" width="9.85546875" style="1" bestFit="1" customWidth="1"/>
    <col min="4613" max="4613" width="11.28515625" style="1" bestFit="1" customWidth="1"/>
    <col min="4614" max="4790" width="9.140625" style="1"/>
    <col min="4791" max="4791" width="34.85546875" style="1" bestFit="1" customWidth="1"/>
    <col min="4792" max="4792" width="16" style="1" customWidth="1"/>
    <col min="4793" max="4793" width="9.28515625" style="1" customWidth="1"/>
    <col min="4794" max="4794" width="12.28515625" style="1" customWidth="1"/>
    <col min="4795" max="4795" width="10.140625" style="1" customWidth="1"/>
    <col min="4796" max="4796" width="10.28515625" style="1" customWidth="1"/>
    <col min="4797" max="4797" width="9.5703125" style="1" customWidth="1"/>
    <col min="4798" max="4798" width="12.7109375" style="1" customWidth="1"/>
    <col min="4799" max="4799" width="9.42578125" style="1" customWidth="1"/>
    <col min="4800" max="4800" width="15.28515625" style="1" customWidth="1"/>
    <col min="4801" max="4802" width="11.7109375" style="1" customWidth="1"/>
    <col min="4803" max="4814" width="10.5703125" style="1" customWidth="1"/>
    <col min="4815" max="4815" width="11.140625" style="1" customWidth="1"/>
    <col min="4816" max="4818" width="11.7109375" style="1" customWidth="1"/>
    <col min="4819" max="4820" width="9.140625" style="1" customWidth="1"/>
    <col min="4821" max="4832" width="9.85546875" style="1" customWidth="1"/>
    <col min="4833" max="4833" width="12.85546875" style="1" customWidth="1"/>
    <col min="4834" max="4837" width="9.140625" style="1" customWidth="1"/>
    <col min="4838" max="4838" width="9.28515625" style="1" customWidth="1"/>
    <col min="4839" max="4839" width="10.28515625" style="1" customWidth="1"/>
    <col min="4840" max="4850" width="9.140625" style="1" customWidth="1"/>
    <col min="4851" max="4851" width="9.85546875" style="1" customWidth="1"/>
    <col min="4852" max="4852" width="10.28515625" style="1" customWidth="1"/>
    <col min="4853" max="4856" width="9.140625" style="1" customWidth="1"/>
    <col min="4857" max="4857" width="10.28515625" style="1" bestFit="1" customWidth="1"/>
    <col min="4858" max="4868" width="9.85546875" style="1" bestFit="1" customWidth="1"/>
    <col min="4869" max="4869" width="11.28515625" style="1" bestFit="1" customWidth="1"/>
    <col min="4870" max="5046" width="9.140625" style="1"/>
    <col min="5047" max="5047" width="34.85546875" style="1" bestFit="1" customWidth="1"/>
    <col min="5048" max="5048" width="16" style="1" customWidth="1"/>
    <col min="5049" max="5049" width="9.28515625" style="1" customWidth="1"/>
    <col min="5050" max="5050" width="12.28515625" style="1" customWidth="1"/>
    <col min="5051" max="5051" width="10.140625" style="1" customWidth="1"/>
    <col min="5052" max="5052" width="10.28515625" style="1" customWidth="1"/>
    <col min="5053" max="5053" width="9.5703125" style="1" customWidth="1"/>
    <col min="5054" max="5054" width="12.7109375" style="1" customWidth="1"/>
    <col min="5055" max="5055" width="9.42578125" style="1" customWidth="1"/>
    <col min="5056" max="5056" width="15.28515625" style="1" customWidth="1"/>
    <col min="5057" max="5058" width="11.7109375" style="1" customWidth="1"/>
    <col min="5059" max="5070" width="10.5703125" style="1" customWidth="1"/>
    <col min="5071" max="5071" width="11.140625" style="1" customWidth="1"/>
    <col min="5072" max="5074" width="11.7109375" style="1" customWidth="1"/>
    <col min="5075" max="5076" width="9.140625" style="1" customWidth="1"/>
    <col min="5077" max="5088" width="9.85546875" style="1" customWidth="1"/>
    <col min="5089" max="5089" width="12.85546875" style="1" customWidth="1"/>
    <col min="5090" max="5093" width="9.140625" style="1" customWidth="1"/>
    <col min="5094" max="5094" width="9.28515625" style="1" customWidth="1"/>
    <col min="5095" max="5095" width="10.28515625" style="1" customWidth="1"/>
    <col min="5096" max="5106" width="9.140625" style="1" customWidth="1"/>
    <col min="5107" max="5107" width="9.85546875" style="1" customWidth="1"/>
    <col min="5108" max="5108" width="10.28515625" style="1" customWidth="1"/>
    <col min="5109" max="5112" width="9.140625" style="1" customWidth="1"/>
    <col min="5113" max="5113" width="10.28515625" style="1" bestFit="1" customWidth="1"/>
    <col min="5114" max="5124" width="9.85546875" style="1" bestFit="1" customWidth="1"/>
    <col min="5125" max="5125" width="11.28515625" style="1" bestFit="1" customWidth="1"/>
    <col min="5126" max="5302" width="9.140625" style="1"/>
    <col min="5303" max="5303" width="34.85546875" style="1" bestFit="1" customWidth="1"/>
    <col min="5304" max="5304" width="16" style="1" customWidth="1"/>
    <col min="5305" max="5305" width="9.28515625" style="1" customWidth="1"/>
    <col min="5306" max="5306" width="12.28515625" style="1" customWidth="1"/>
    <col min="5307" max="5307" width="10.140625" style="1" customWidth="1"/>
    <col min="5308" max="5308" width="10.28515625" style="1" customWidth="1"/>
    <col min="5309" max="5309" width="9.5703125" style="1" customWidth="1"/>
    <col min="5310" max="5310" width="12.7109375" style="1" customWidth="1"/>
    <col min="5311" max="5311" width="9.42578125" style="1" customWidth="1"/>
    <col min="5312" max="5312" width="15.28515625" style="1" customWidth="1"/>
    <col min="5313" max="5314" width="11.7109375" style="1" customWidth="1"/>
    <col min="5315" max="5326" width="10.5703125" style="1" customWidth="1"/>
    <col min="5327" max="5327" width="11.140625" style="1" customWidth="1"/>
    <col min="5328" max="5330" width="11.7109375" style="1" customWidth="1"/>
    <col min="5331" max="5332" width="9.140625" style="1" customWidth="1"/>
    <col min="5333" max="5344" width="9.85546875" style="1" customWidth="1"/>
    <col min="5345" max="5345" width="12.85546875" style="1" customWidth="1"/>
    <col min="5346" max="5349" width="9.140625" style="1" customWidth="1"/>
    <col min="5350" max="5350" width="9.28515625" style="1" customWidth="1"/>
    <col min="5351" max="5351" width="10.28515625" style="1" customWidth="1"/>
    <col min="5352" max="5362" width="9.140625" style="1" customWidth="1"/>
    <col min="5363" max="5363" width="9.85546875" style="1" customWidth="1"/>
    <col min="5364" max="5364" width="10.28515625" style="1" customWidth="1"/>
    <col min="5365" max="5368" width="9.140625" style="1" customWidth="1"/>
    <col min="5369" max="5369" width="10.28515625" style="1" bestFit="1" customWidth="1"/>
    <col min="5370" max="5380" width="9.85546875" style="1" bestFit="1" customWidth="1"/>
    <col min="5381" max="5381" width="11.28515625" style="1" bestFit="1" customWidth="1"/>
    <col min="5382" max="5558" width="9.140625" style="1"/>
    <col min="5559" max="5559" width="34.85546875" style="1" bestFit="1" customWidth="1"/>
    <col min="5560" max="5560" width="16" style="1" customWidth="1"/>
    <col min="5561" max="5561" width="9.28515625" style="1" customWidth="1"/>
    <col min="5562" max="5562" width="12.28515625" style="1" customWidth="1"/>
    <col min="5563" max="5563" width="10.140625" style="1" customWidth="1"/>
    <col min="5564" max="5564" width="10.28515625" style="1" customWidth="1"/>
    <col min="5565" max="5565" width="9.5703125" style="1" customWidth="1"/>
    <col min="5566" max="5566" width="12.7109375" style="1" customWidth="1"/>
    <col min="5567" max="5567" width="9.42578125" style="1" customWidth="1"/>
    <col min="5568" max="5568" width="15.28515625" style="1" customWidth="1"/>
    <col min="5569" max="5570" width="11.7109375" style="1" customWidth="1"/>
    <col min="5571" max="5582" width="10.5703125" style="1" customWidth="1"/>
    <col min="5583" max="5583" width="11.140625" style="1" customWidth="1"/>
    <col min="5584" max="5586" width="11.7109375" style="1" customWidth="1"/>
    <col min="5587" max="5588" width="9.140625" style="1" customWidth="1"/>
    <col min="5589" max="5600" width="9.85546875" style="1" customWidth="1"/>
    <col min="5601" max="5601" width="12.85546875" style="1" customWidth="1"/>
    <col min="5602" max="5605" width="9.140625" style="1" customWidth="1"/>
    <col min="5606" max="5606" width="9.28515625" style="1" customWidth="1"/>
    <col min="5607" max="5607" width="10.28515625" style="1" customWidth="1"/>
    <col min="5608" max="5618" width="9.140625" style="1" customWidth="1"/>
    <col min="5619" max="5619" width="9.85546875" style="1" customWidth="1"/>
    <col min="5620" max="5620" width="10.28515625" style="1" customWidth="1"/>
    <col min="5621" max="5624" width="9.140625" style="1" customWidth="1"/>
    <col min="5625" max="5625" width="10.28515625" style="1" bestFit="1" customWidth="1"/>
    <col min="5626" max="5636" width="9.85546875" style="1" bestFit="1" customWidth="1"/>
    <col min="5637" max="5637" width="11.28515625" style="1" bestFit="1" customWidth="1"/>
    <col min="5638" max="5814" width="9.140625" style="1"/>
    <col min="5815" max="5815" width="34.85546875" style="1" bestFit="1" customWidth="1"/>
    <col min="5816" max="5816" width="16" style="1" customWidth="1"/>
    <col min="5817" max="5817" width="9.28515625" style="1" customWidth="1"/>
    <col min="5818" max="5818" width="12.28515625" style="1" customWidth="1"/>
    <col min="5819" max="5819" width="10.140625" style="1" customWidth="1"/>
    <col min="5820" max="5820" width="10.28515625" style="1" customWidth="1"/>
    <col min="5821" max="5821" width="9.5703125" style="1" customWidth="1"/>
    <col min="5822" max="5822" width="12.7109375" style="1" customWidth="1"/>
    <col min="5823" max="5823" width="9.42578125" style="1" customWidth="1"/>
    <col min="5824" max="5824" width="15.28515625" style="1" customWidth="1"/>
    <col min="5825" max="5826" width="11.7109375" style="1" customWidth="1"/>
    <col min="5827" max="5838" width="10.5703125" style="1" customWidth="1"/>
    <col min="5839" max="5839" width="11.140625" style="1" customWidth="1"/>
    <col min="5840" max="5842" width="11.7109375" style="1" customWidth="1"/>
    <col min="5843" max="5844" width="9.140625" style="1" customWidth="1"/>
    <col min="5845" max="5856" width="9.85546875" style="1" customWidth="1"/>
    <col min="5857" max="5857" width="12.85546875" style="1" customWidth="1"/>
    <col min="5858" max="5861" width="9.140625" style="1" customWidth="1"/>
    <col min="5862" max="5862" width="9.28515625" style="1" customWidth="1"/>
    <col min="5863" max="5863" width="10.28515625" style="1" customWidth="1"/>
    <col min="5864" max="5874" width="9.140625" style="1" customWidth="1"/>
    <col min="5875" max="5875" width="9.85546875" style="1" customWidth="1"/>
    <col min="5876" max="5876" width="10.28515625" style="1" customWidth="1"/>
    <col min="5877" max="5880" width="9.140625" style="1" customWidth="1"/>
    <col min="5881" max="5881" width="10.28515625" style="1" bestFit="1" customWidth="1"/>
    <col min="5882" max="5892" width="9.85546875" style="1" bestFit="1" customWidth="1"/>
    <col min="5893" max="5893" width="11.28515625" style="1" bestFit="1" customWidth="1"/>
    <col min="5894" max="6070" width="9.140625" style="1"/>
    <col min="6071" max="6071" width="34.85546875" style="1" bestFit="1" customWidth="1"/>
    <col min="6072" max="6072" width="16" style="1" customWidth="1"/>
    <col min="6073" max="6073" width="9.28515625" style="1" customWidth="1"/>
    <col min="6074" max="6074" width="12.28515625" style="1" customWidth="1"/>
    <col min="6075" max="6075" width="10.140625" style="1" customWidth="1"/>
    <col min="6076" max="6076" width="10.28515625" style="1" customWidth="1"/>
    <col min="6077" max="6077" width="9.5703125" style="1" customWidth="1"/>
    <col min="6078" max="6078" width="12.7109375" style="1" customWidth="1"/>
    <col min="6079" max="6079" width="9.42578125" style="1" customWidth="1"/>
    <col min="6080" max="6080" width="15.28515625" style="1" customWidth="1"/>
    <col min="6081" max="6082" width="11.7109375" style="1" customWidth="1"/>
    <col min="6083" max="6094" width="10.5703125" style="1" customWidth="1"/>
    <col min="6095" max="6095" width="11.140625" style="1" customWidth="1"/>
    <col min="6096" max="6098" width="11.7109375" style="1" customWidth="1"/>
    <col min="6099" max="6100" width="9.140625" style="1" customWidth="1"/>
    <col min="6101" max="6112" width="9.85546875" style="1" customWidth="1"/>
    <col min="6113" max="6113" width="12.85546875" style="1" customWidth="1"/>
    <col min="6114" max="6117" width="9.140625" style="1" customWidth="1"/>
    <col min="6118" max="6118" width="9.28515625" style="1" customWidth="1"/>
    <col min="6119" max="6119" width="10.28515625" style="1" customWidth="1"/>
    <col min="6120" max="6130" width="9.140625" style="1" customWidth="1"/>
    <col min="6131" max="6131" width="9.85546875" style="1" customWidth="1"/>
    <col min="6132" max="6132" width="10.28515625" style="1" customWidth="1"/>
    <col min="6133" max="6136" width="9.140625" style="1" customWidth="1"/>
    <col min="6137" max="6137" width="10.28515625" style="1" bestFit="1" customWidth="1"/>
    <col min="6138" max="6148" width="9.85546875" style="1" bestFit="1" customWidth="1"/>
    <col min="6149" max="6149" width="11.28515625" style="1" bestFit="1" customWidth="1"/>
    <col min="6150" max="6326" width="9.140625" style="1"/>
    <col min="6327" max="6327" width="34.85546875" style="1" bestFit="1" customWidth="1"/>
    <col min="6328" max="6328" width="16" style="1" customWidth="1"/>
    <col min="6329" max="6329" width="9.28515625" style="1" customWidth="1"/>
    <col min="6330" max="6330" width="12.28515625" style="1" customWidth="1"/>
    <col min="6331" max="6331" width="10.140625" style="1" customWidth="1"/>
    <col min="6332" max="6332" width="10.28515625" style="1" customWidth="1"/>
    <col min="6333" max="6333" width="9.5703125" style="1" customWidth="1"/>
    <col min="6334" max="6334" width="12.7109375" style="1" customWidth="1"/>
    <col min="6335" max="6335" width="9.42578125" style="1" customWidth="1"/>
    <col min="6336" max="6336" width="15.28515625" style="1" customWidth="1"/>
    <col min="6337" max="6338" width="11.7109375" style="1" customWidth="1"/>
    <col min="6339" max="6350" width="10.5703125" style="1" customWidth="1"/>
    <col min="6351" max="6351" width="11.140625" style="1" customWidth="1"/>
    <col min="6352" max="6354" width="11.7109375" style="1" customWidth="1"/>
    <col min="6355" max="6356" width="9.140625" style="1" customWidth="1"/>
    <col min="6357" max="6368" width="9.85546875" style="1" customWidth="1"/>
    <col min="6369" max="6369" width="12.85546875" style="1" customWidth="1"/>
    <col min="6370" max="6373" width="9.140625" style="1" customWidth="1"/>
    <col min="6374" max="6374" width="9.28515625" style="1" customWidth="1"/>
    <col min="6375" max="6375" width="10.28515625" style="1" customWidth="1"/>
    <col min="6376" max="6386" width="9.140625" style="1" customWidth="1"/>
    <col min="6387" max="6387" width="9.85546875" style="1" customWidth="1"/>
    <col min="6388" max="6388" width="10.28515625" style="1" customWidth="1"/>
    <col min="6389" max="6392" width="9.140625" style="1" customWidth="1"/>
    <col min="6393" max="6393" width="10.28515625" style="1" bestFit="1" customWidth="1"/>
    <col min="6394" max="6404" width="9.85546875" style="1" bestFit="1" customWidth="1"/>
    <col min="6405" max="6405" width="11.28515625" style="1" bestFit="1" customWidth="1"/>
    <col min="6406" max="6582" width="9.140625" style="1"/>
    <col min="6583" max="6583" width="34.85546875" style="1" bestFit="1" customWidth="1"/>
    <col min="6584" max="6584" width="16" style="1" customWidth="1"/>
    <col min="6585" max="6585" width="9.28515625" style="1" customWidth="1"/>
    <col min="6586" max="6586" width="12.28515625" style="1" customWidth="1"/>
    <col min="6587" max="6587" width="10.140625" style="1" customWidth="1"/>
    <col min="6588" max="6588" width="10.28515625" style="1" customWidth="1"/>
    <col min="6589" max="6589" width="9.5703125" style="1" customWidth="1"/>
    <col min="6590" max="6590" width="12.7109375" style="1" customWidth="1"/>
    <col min="6591" max="6591" width="9.42578125" style="1" customWidth="1"/>
    <col min="6592" max="6592" width="15.28515625" style="1" customWidth="1"/>
    <col min="6593" max="6594" width="11.7109375" style="1" customWidth="1"/>
    <col min="6595" max="6606" width="10.5703125" style="1" customWidth="1"/>
    <col min="6607" max="6607" width="11.140625" style="1" customWidth="1"/>
    <col min="6608" max="6610" width="11.7109375" style="1" customWidth="1"/>
    <col min="6611" max="6612" width="9.140625" style="1" customWidth="1"/>
    <col min="6613" max="6624" width="9.85546875" style="1" customWidth="1"/>
    <col min="6625" max="6625" width="12.85546875" style="1" customWidth="1"/>
    <col min="6626" max="6629" width="9.140625" style="1" customWidth="1"/>
    <col min="6630" max="6630" width="9.28515625" style="1" customWidth="1"/>
    <col min="6631" max="6631" width="10.28515625" style="1" customWidth="1"/>
    <col min="6632" max="6642" width="9.140625" style="1" customWidth="1"/>
    <col min="6643" max="6643" width="9.85546875" style="1" customWidth="1"/>
    <col min="6644" max="6644" width="10.28515625" style="1" customWidth="1"/>
    <col min="6645" max="6648" width="9.140625" style="1" customWidth="1"/>
    <col min="6649" max="6649" width="10.28515625" style="1" bestFit="1" customWidth="1"/>
    <col min="6650" max="6660" width="9.85546875" style="1" bestFit="1" customWidth="1"/>
    <col min="6661" max="6661" width="11.28515625" style="1" bestFit="1" customWidth="1"/>
    <col min="6662" max="6838" width="9.140625" style="1"/>
    <col min="6839" max="6839" width="34.85546875" style="1" bestFit="1" customWidth="1"/>
    <col min="6840" max="6840" width="16" style="1" customWidth="1"/>
    <col min="6841" max="6841" width="9.28515625" style="1" customWidth="1"/>
    <col min="6842" max="6842" width="12.28515625" style="1" customWidth="1"/>
    <col min="6843" max="6843" width="10.140625" style="1" customWidth="1"/>
    <col min="6844" max="6844" width="10.28515625" style="1" customWidth="1"/>
    <col min="6845" max="6845" width="9.5703125" style="1" customWidth="1"/>
    <col min="6846" max="6846" width="12.7109375" style="1" customWidth="1"/>
    <col min="6847" max="6847" width="9.42578125" style="1" customWidth="1"/>
    <col min="6848" max="6848" width="15.28515625" style="1" customWidth="1"/>
    <col min="6849" max="6850" width="11.7109375" style="1" customWidth="1"/>
    <col min="6851" max="6862" width="10.5703125" style="1" customWidth="1"/>
    <col min="6863" max="6863" width="11.140625" style="1" customWidth="1"/>
    <col min="6864" max="6866" width="11.7109375" style="1" customWidth="1"/>
    <col min="6867" max="6868" width="9.140625" style="1" customWidth="1"/>
    <col min="6869" max="6880" width="9.85546875" style="1" customWidth="1"/>
    <col min="6881" max="6881" width="12.85546875" style="1" customWidth="1"/>
    <col min="6882" max="6885" width="9.140625" style="1" customWidth="1"/>
    <col min="6886" max="6886" width="9.28515625" style="1" customWidth="1"/>
    <col min="6887" max="6887" width="10.28515625" style="1" customWidth="1"/>
    <col min="6888" max="6898" width="9.140625" style="1" customWidth="1"/>
    <col min="6899" max="6899" width="9.85546875" style="1" customWidth="1"/>
    <col min="6900" max="6900" width="10.28515625" style="1" customWidth="1"/>
    <col min="6901" max="6904" width="9.140625" style="1" customWidth="1"/>
    <col min="6905" max="6905" width="10.28515625" style="1" bestFit="1" customWidth="1"/>
    <col min="6906" max="6916" width="9.85546875" style="1" bestFit="1" customWidth="1"/>
    <col min="6917" max="6917" width="11.28515625" style="1" bestFit="1" customWidth="1"/>
    <col min="6918" max="7094" width="9.140625" style="1"/>
    <col min="7095" max="7095" width="34.85546875" style="1" bestFit="1" customWidth="1"/>
    <col min="7096" max="7096" width="16" style="1" customWidth="1"/>
    <col min="7097" max="7097" width="9.28515625" style="1" customWidth="1"/>
    <col min="7098" max="7098" width="12.28515625" style="1" customWidth="1"/>
    <col min="7099" max="7099" width="10.140625" style="1" customWidth="1"/>
    <col min="7100" max="7100" width="10.28515625" style="1" customWidth="1"/>
    <col min="7101" max="7101" width="9.5703125" style="1" customWidth="1"/>
    <col min="7102" max="7102" width="12.7109375" style="1" customWidth="1"/>
    <col min="7103" max="7103" width="9.42578125" style="1" customWidth="1"/>
    <col min="7104" max="7104" width="15.28515625" style="1" customWidth="1"/>
    <col min="7105" max="7106" width="11.7109375" style="1" customWidth="1"/>
    <col min="7107" max="7118" width="10.5703125" style="1" customWidth="1"/>
    <col min="7119" max="7119" width="11.140625" style="1" customWidth="1"/>
    <col min="7120" max="7122" width="11.7109375" style="1" customWidth="1"/>
    <col min="7123" max="7124" width="9.140625" style="1" customWidth="1"/>
    <col min="7125" max="7136" width="9.85546875" style="1" customWidth="1"/>
    <col min="7137" max="7137" width="12.85546875" style="1" customWidth="1"/>
    <col min="7138" max="7141" width="9.140625" style="1" customWidth="1"/>
    <col min="7142" max="7142" width="9.28515625" style="1" customWidth="1"/>
    <col min="7143" max="7143" width="10.28515625" style="1" customWidth="1"/>
    <col min="7144" max="7154" width="9.140625" style="1" customWidth="1"/>
    <col min="7155" max="7155" width="9.85546875" style="1" customWidth="1"/>
    <col min="7156" max="7156" width="10.28515625" style="1" customWidth="1"/>
    <col min="7157" max="7160" width="9.140625" style="1" customWidth="1"/>
    <col min="7161" max="7161" width="10.28515625" style="1" bestFit="1" customWidth="1"/>
    <col min="7162" max="7172" width="9.85546875" style="1" bestFit="1" customWidth="1"/>
    <col min="7173" max="7173" width="11.28515625" style="1" bestFit="1" customWidth="1"/>
    <col min="7174" max="7350" width="9.140625" style="1"/>
    <col min="7351" max="7351" width="34.85546875" style="1" bestFit="1" customWidth="1"/>
    <col min="7352" max="7352" width="16" style="1" customWidth="1"/>
    <col min="7353" max="7353" width="9.28515625" style="1" customWidth="1"/>
    <col min="7354" max="7354" width="12.28515625" style="1" customWidth="1"/>
    <col min="7355" max="7355" width="10.140625" style="1" customWidth="1"/>
    <col min="7356" max="7356" width="10.28515625" style="1" customWidth="1"/>
    <col min="7357" max="7357" width="9.5703125" style="1" customWidth="1"/>
    <col min="7358" max="7358" width="12.7109375" style="1" customWidth="1"/>
    <col min="7359" max="7359" width="9.42578125" style="1" customWidth="1"/>
    <col min="7360" max="7360" width="15.28515625" style="1" customWidth="1"/>
    <col min="7361" max="7362" width="11.7109375" style="1" customWidth="1"/>
    <col min="7363" max="7374" width="10.5703125" style="1" customWidth="1"/>
    <col min="7375" max="7375" width="11.140625" style="1" customWidth="1"/>
    <col min="7376" max="7378" width="11.7109375" style="1" customWidth="1"/>
    <col min="7379" max="7380" width="9.140625" style="1" customWidth="1"/>
    <col min="7381" max="7392" width="9.85546875" style="1" customWidth="1"/>
    <col min="7393" max="7393" width="12.85546875" style="1" customWidth="1"/>
    <col min="7394" max="7397" width="9.140625" style="1" customWidth="1"/>
    <col min="7398" max="7398" width="9.28515625" style="1" customWidth="1"/>
    <col min="7399" max="7399" width="10.28515625" style="1" customWidth="1"/>
    <col min="7400" max="7410" width="9.140625" style="1" customWidth="1"/>
    <col min="7411" max="7411" width="9.85546875" style="1" customWidth="1"/>
    <col min="7412" max="7412" width="10.28515625" style="1" customWidth="1"/>
    <col min="7413" max="7416" width="9.140625" style="1" customWidth="1"/>
    <col min="7417" max="7417" width="10.28515625" style="1" bestFit="1" customWidth="1"/>
    <col min="7418" max="7428" width="9.85546875" style="1" bestFit="1" customWidth="1"/>
    <col min="7429" max="7429" width="11.28515625" style="1" bestFit="1" customWidth="1"/>
    <col min="7430" max="7606" width="9.140625" style="1"/>
    <col min="7607" max="7607" width="34.85546875" style="1" bestFit="1" customWidth="1"/>
    <col min="7608" max="7608" width="16" style="1" customWidth="1"/>
    <col min="7609" max="7609" width="9.28515625" style="1" customWidth="1"/>
    <col min="7610" max="7610" width="12.28515625" style="1" customWidth="1"/>
    <col min="7611" max="7611" width="10.140625" style="1" customWidth="1"/>
    <col min="7612" max="7612" width="10.28515625" style="1" customWidth="1"/>
    <col min="7613" max="7613" width="9.5703125" style="1" customWidth="1"/>
    <col min="7614" max="7614" width="12.7109375" style="1" customWidth="1"/>
    <col min="7615" max="7615" width="9.42578125" style="1" customWidth="1"/>
    <col min="7616" max="7616" width="15.28515625" style="1" customWidth="1"/>
    <col min="7617" max="7618" width="11.7109375" style="1" customWidth="1"/>
    <col min="7619" max="7630" width="10.5703125" style="1" customWidth="1"/>
    <col min="7631" max="7631" width="11.140625" style="1" customWidth="1"/>
    <col min="7632" max="7634" width="11.7109375" style="1" customWidth="1"/>
    <col min="7635" max="7636" width="9.140625" style="1" customWidth="1"/>
    <col min="7637" max="7648" width="9.85546875" style="1" customWidth="1"/>
    <col min="7649" max="7649" width="12.85546875" style="1" customWidth="1"/>
    <col min="7650" max="7653" width="9.140625" style="1" customWidth="1"/>
    <col min="7654" max="7654" width="9.28515625" style="1" customWidth="1"/>
    <col min="7655" max="7655" width="10.28515625" style="1" customWidth="1"/>
    <col min="7656" max="7666" width="9.140625" style="1" customWidth="1"/>
    <col min="7667" max="7667" width="9.85546875" style="1" customWidth="1"/>
    <col min="7668" max="7668" width="10.28515625" style="1" customWidth="1"/>
    <col min="7669" max="7672" width="9.140625" style="1" customWidth="1"/>
    <col min="7673" max="7673" width="10.28515625" style="1" bestFit="1" customWidth="1"/>
    <col min="7674" max="7684" width="9.85546875" style="1" bestFit="1" customWidth="1"/>
    <col min="7685" max="7685" width="11.28515625" style="1" bestFit="1" customWidth="1"/>
    <col min="7686" max="7862" width="9.140625" style="1"/>
    <col min="7863" max="7863" width="34.85546875" style="1" bestFit="1" customWidth="1"/>
    <col min="7864" max="7864" width="16" style="1" customWidth="1"/>
    <col min="7865" max="7865" width="9.28515625" style="1" customWidth="1"/>
    <col min="7866" max="7866" width="12.28515625" style="1" customWidth="1"/>
    <col min="7867" max="7867" width="10.140625" style="1" customWidth="1"/>
    <col min="7868" max="7868" width="10.28515625" style="1" customWidth="1"/>
    <col min="7869" max="7869" width="9.5703125" style="1" customWidth="1"/>
    <col min="7870" max="7870" width="12.7109375" style="1" customWidth="1"/>
    <col min="7871" max="7871" width="9.42578125" style="1" customWidth="1"/>
    <col min="7872" max="7872" width="15.28515625" style="1" customWidth="1"/>
    <col min="7873" max="7874" width="11.7109375" style="1" customWidth="1"/>
    <col min="7875" max="7886" width="10.5703125" style="1" customWidth="1"/>
    <col min="7887" max="7887" width="11.140625" style="1" customWidth="1"/>
    <col min="7888" max="7890" width="11.7109375" style="1" customWidth="1"/>
    <col min="7891" max="7892" width="9.140625" style="1" customWidth="1"/>
    <col min="7893" max="7904" width="9.85546875" style="1" customWidth="1"/>
    <col min="7905" max="7905" width="12.85546875" style="1" customWidth="1"/>
    <col min="7906" max="7909" width="9.140625" style="1" customWidth="1"/>
    <col min="7910" max="7910" width="9.28515625" style="1" customWidth="1"/>
    <col min="7911" max="7911" width="10.28515625" style="1" customWidth="1"/>
    <col min="7912" max="7922" width="9.140625" style="1" customWidth="1"/>
    <col min="7923" max="7923" width="9.85546875" style="1" customWidth="1"/>
    <col min="7924" max="7924" width="10.28515625" style="1" customWidth="1"/>
    <col min="7925" max="7928" width="9.140625" style="1" customWidth="1"/>
    <col min="7929" max="7929" width="10.28515625" style="1" bestFit="1" customWidth="1"/>
    <col min="7930" max="7940" width="9.85546875" style="1" bestFit="1" customWidth="1"/>
    <col min="7941" max="7941" width="11.28515625" style="1" bestFit="1" customWidth="1"/>
    <col min="7942" max="8118" width="9.140625" style="1"/>
    <col min="8119" max="8119" width="34.85546875" style="1" bestFit="1" customWidth="1"/>
    <col min="8120" max="8120" width="16" style="1" customWidth="1"/>
    <col min="8121" max="8121" width="9.28515625" style="1" customWidth="1"/>
    <col min="8122" max="8122" width="12.28515625" style="1" customWidth="1"/>
    <col min="8123" max="8123" width="10.140625" style="1" customWidth="1"/>
    <col min="8124" max="8124" width="10.28515625" style="1" customWidth="1"/>
    <col min="8125" max="8125" width="9.5703125" style="1" customWidth="1"/>
    <col min="8126" max="8126" width="12.7109375" style="1" customWidth="1"/>
    <col min="8127" max="8127" width="9.42578125" style="1" customWidth="1"/>
    <col min="8128" max="8128" width="15.28515625" style="1" customWidth="1"/>
    <col min="8129" max="8130" width="11.7109375" style="1" customWidth="1"/>
    <col min="8131" max="8142" width="10.5703125" style="1" customWidth="1"/>
    <col min="8143" max="8143" width="11.140625" style="1" customWidth="1"/>
    <col min="8144" max="8146" width="11.7109375" style="1" customWidth="1"/>
    <col min="8147" max="8148" width="9.140625" style="1" customWidth="1"/>
    <col min="8149" max="8160" width="9.85546875" style="1" customWidth="1"/>
    <col min="8161" max="8161" width="12.85546875" style="1" customWidth="1"/>
    <col min="8162" max="8165" width="9.140625" style="1" customWidth="1"/>
    <col min="8166" max="8166" width="9.28515625" style="1" customWidth="1"/>
    <col min="8167" max="8167" width="10.28515625" style="1" customWidth="1"/>
    <col min="8168" max="8178" width="9.140625" style="1" customWidth="1"/>
    <col min="8179" max="8179" width="9.85546875" style="1" customWidth="1"/>
    <col min="8180" max="8180" width="10.28515625" style="1" customWidth="1"/>
    <col min="8181" max="8184" width="9.140625" style="1" customWidth="1"/>
    <col min="8185" max="8185" width="10.28515625" style="1" bestFit="1" customWidth="1"/>
    <col min="8186" max="8196" width="9.85546875" style="1" bestFit="1" customWidth="1"/>
    <col min="8197" max="8197" width="11.28515625" style="1" bestFit="1" customWidth="1"/>
    <col min="8198" max="8374" width="9.140625" style="1"/>
    <col min="8375" max="8375" width="34.85546875" style="1" bestFit="1" customWidth="1"/>
    <col min="8376" max="8376" width="16" style="1" customWidth="1"/>
    <col min="8377" max="8377" width="9.28515625" style="1" customWidth="1"/>
    <col min="8378" max="8378" width="12.28515625" style="1" customWidth="1"/>
    <col min="8379" max="8379" width="10.140625" style="1" customWidth="1"/>
    <col min="8380" max="8380" width="10.28515625" style="1" customWidth="1"/>
    <col min="8381" max="8381" width="9.5703125" style="1" customWidth="1"/>
    <col min="8382" max="8382" width="12.7109375" style="1" customWidth="1"/>
    <col min="8383" max="8383" width="9.42578125" style="1" customWidth="1"/>
    <col min="8384" max="8384" width="15.28515625" style="1" customWidth="1"/>
    <col min="8385" max="8386" width="11.7109375" style="1" customWidth="1"/>
    <col min="8387" max="8398" width="10.5703125" style="1" customWidth="1"/>
    <col min="8399" max="8399" width="11.140625" style="1" customWidth="1"/>
    <col min="8400" max="8402" width="11.7109375" style="1" customWidth="1"/>
    <col min="8403" max="8404" width="9.140625" style="1" customWidth="1"/>
    <col min="8405" max="8416" width="9.85546875" style="1" customWidth="1"/>
    <col min="8417" max="8417" width="12.85546875" style="1" customWidth="1"/>
    <col min="8418" max="8421" width="9.140625" style="1" customWidth="1"/>
    <col min="8422" max="8422" width="9.28515625" style="1" customWidth="1"/>
    <col min="8423" max="8423" width="10.28515625" style="1" customWidth="1"/>
    <col min="8424" max="8434" width="9.140625" style="1" customWidth="1"/>
    <col min="8435" max="8435" width="9.85546875" style="1" customWidth="1"/>
    <col min="8436" max="8436" width="10.28515625" style="1" customWidth="1"/>
    <col min="8437" max="8440" width="9.140625" style="1" customWidth="1"/>
    <col min="8441" max="8441" width="10.28515625" style="1" bestFit="1" customWidth="1"/>
    <col min="8442" max="8452" width="9.85546875" style="1" bestFit="1" customWidth="1"/>
    <col min="8453" max="8453" width="11.28515625" style="1" bestFit="1" customWidth="1"/>
    <col min="8454" max="8630" width="9.140625" style="1"/>
    <col min="8631" max="8631" width="34.85546875" style="1" bestFit="1" customWidth="1"/>
    <col min="8632" max="8632" width="16" style="1" customWidth="1"/>
    <col min="8633" max="8633" width="9.28515625" style="1" customWidth="1"/>
    <col min="8634" max="8634" width="12.28515625" style="1" customWidth="1"/>
    <col min="8635" max="8635" width="10.140625" style="1" customWidth="1"/>
    <col min="8636" max="8636" width="10.28515625" style="1" customWidth="1"/>
    <col min="8637" max="8637" width="9.5703125" style="1" customWidth="1"/>
    <col min="8638" max="8638" width="12.7109375" style="1" customWidth="1"/>
    <col min="8639" max="8639" width="9.42578125" style="1" customWidth="1"/>
    <col min="8640" max="8640" width="15.28515625" style="1" customWidth="1"/>
    <col min="8641" max="8642" width="11.7109375" style="1" customWidth="1"/>
    <col min="8643" max="8654" width="10.5703125" style="1" customWidth="1"/>
    <col min="8655" max="8655" width="11.140625" style="1" customWidth="1"/>
    <col min="8656" max="8658" width="11.7109375" style="1" customWidth="1"/>
    <col min="8659" max="8660" width="9.140625" style="1" customWidth="1"/>
    <col min="8661" max="8672" width="9.85546875" style="1" customWidth="1"/>
    <col min="8673" max="8673" width="12.85546875" style="1" customWidth="1"/>
    <col min="8674" max="8677" width="9.140625" style="1" customWidth="1"/>
    <col min="8678" max="8678" width="9.28515625" style="1" customWidth="1"/>
    <col min="8679" max="8679" width="10.28515625" style="1" customWidth="1"/>
    <col min="8680" max="8690" width="9.140625" style="1" customWidth="1"/>
    <col min="8691" max="8691" width="9.85546875" style="1" customWidth="1"/>
    <col min="8692" max="8692" width="10.28515625" style="1" customWidth="1"/>
    <col min="8693" max="8696" width="9.140625" style="1" customWidth="1"/>
    <col min="8697" max="8697" width="10.28515625" style="1" bestFit="1" customWidth="1"/>
    <col min="8698" max="8708" width="9.85546875" style="1" bestFit="1" customWidth="1"/>
    <col min="8709" max="8709" width="11.28515625" style="1" bestFit="1" customWidth="1"/>
    <col min="8710" max="8886" width="9.140625" style="1"/>
    <col min="8887" max="8887" width="34.85546875" style="1" bestFit="1" customWidth="1"/>
    <col min="8888" max="8888" width="16" style="1" customWidth="1"/>
    <col min="8889" max="8889" width="9.28515625" style="1" customWidth="1"/>
    <col min="8890" max="8890" width="12.28515625" style="1" customWidth="1"/>
    <col min="8891" max="8891" width="10.140625" style="1" customWidth="1"/>
    <col min="8892" max="8892" width="10.28515625" style="1" customWidth="1"/>
    <col min="8893" max="8893" width="9.5703125" style="1" customWidth="1"/>
    <col min="8894" max="8894" width="12.7109375" style="1" customWidth="1"/>
    <col min="8895" max="8895" width="9.42578125" style="1" customWidth="1"/>
    <col min="8896" max="8896" width="15.28515625" style="1" customWidth="1"/>
    <col min="8897" max="8898" width="11.7109375" style="1" customWidth="1"/>
    <col min="8899" max="8910" width="10.5703125" style="1" customWidth="1"/>
    <col min="8911" max="8911" width="11.140625" style="1" customWidth="1"/>
    <col min="8912" max="8914" width="11.7109375" style="1" customWidth="1"/>
    <col min="8915" max="8916" width="9.140625" style="1" customWidth="1"/>
    <col min="8917" max="8928" width="9.85546875" style="1" customWidth="1"/>
    <col min="8929" max="8929" width="12.85546875" style="1" customWidth="1"/>
    <col min="8930" max="8933" width="9.140625" style="1" customWidth="1"/>
    <col min="8934" max="8934" width="9.28515625" style="1" customWidth="1"/>
    <col min="8935" max="8935" width="10.28515625" style="1" customWidth="1"/>
    <col min="8936" max="8946" width="9.140625" style="1" customWidth="1"/>
    <col min="8947" max="8947" width="9.85546875" style="1" customWidth="1"/>
    <col min="8948" max="8948" width="10.28515625" style="1" customWidth="1"/>
    <col min="8949" max="8952" width="9.140625" style="1" customWidth="1"/>
    <col min="8953" max="8953" width="10.28515625" style="1" bestFit="1" customWidth="1"/>
    <col min="8954" max="8964" width="9.85546875" style="1" bestFit="1" customWidth="1"/>
    <col min="8965" max="8965" width="11.28515625" style="1" bestFit="1" customWidth="1"/>
    <col min="8966" max="9142" width="9.140625" style="1"/>
    <col min="9143" max="9143" width="34.85546875" style="1" bestFit="1" customWidth="1"/>
    <col min="9144" max="9144" width="16" style="1" customWidth="1"/>
    <col min="9145" max="9145" width="9.28515625" style="1" customWidth="1"/>
    <col min="9146" max="9146" width="12.28515625" style="1" customWidth="1"/>
    <col min="9147" max="9147" width="10.140625" style="1" customWidth="1"/>
    <col min="9148" max="9148" width="10.28515625" style="1" customWidth="1"/>
    <col min="9149" max="9149" width="9.5703125" style="1" customWidth="1"/>
    <col min="9150" max="9150" width="12.7109375" style="1" customWidth="1"/>
    <col min="9151" max="9151" width="9.42578125" style="1" customWidth="1"/>
    <col min="9152" max="9152" width="15.28515625" style="1" customWidth="1"/>
    <col min="9153" max="9154" width="11.7109375" style="1" customWidth="1"/>
    <col min="9155" max="9166" width="10.5703125" style="1" customWidth="1"/>
    <col min="9167" max="9167" width="11.140625" style="1" customWidth="1"/>
    <col min="9168" max="9170" width="11.7109375" style="1" customWidth="1"/>
    <col min="9171" max="9172" width="9.140625" style="1" customWidth="1"/>
    <col min="9173" max="9184" width="9.85546875" style="1" customWidth="1"/>
    <col min="9185" max="9185" width="12.85546875" style="1" customWidth="1"/>
    <col min="9186" max="9189" width="9.140625" style="1" customWidth="1"/>
    <col min="9190" max="9190" width="9.28515625" style="1" customWidth="1"/>
    <col min="9191" max="9191" width="10.28515625" style="1" customWidth="1"/>
    <col min="9192" max="9202" width="9.140625" style="1" customWidth="1"/>
    <col min="9203" max="9203" width="9.85546875" style="1" customWidth="1"/>
    <col min="9204" max="9204" width="10.28515625" style="1" customWidth="1"/>
    <col min="9205" max="9208" width="9.140625" style="1" customWidth="1"/>
    <col min="9209" max="9209" width="10.28515625" style="1" bestFit="1" customWidth="1"/>
    <col min="9210" max="9220" width="9.85546875" style="1" bestFit="1" customWidth="1"/>
    <col min="9221" max="9221" width="11.28515625" style="1" bestFit="1" customWidth="1"/>
    <col min="9222" max="9398" width="9.140625" style="1"/>
    <col min="9399" max="9399" width="34.85546875" style="1" bestFit="1" customWidth="1"/>
    <col min="9400" max="9400" width="16" style="1" customWidth="1"/>
    <col min="9401" max="9401" width="9.28515625" style="1" customWidth="1"/>
    <col min="9402" max="9402" width="12.28515625" style="1" customWidth="1"/>
    <col min="9403" max="9403" width="10.140625" style="1" customWidth="1"/>
    <col min="9404" max="9404" width="10.28515625" style="1" customWidth="1"/>
    <col min="9405" max="9405" width="9.5703125" style="1" customWidth="1"/>
    <col min="9406" max="9406" width="12.7109375" style="1" customWidth="1"/>
    <col min="9407" max="9407" width="9.42578125" style="1" customWidth="1"/>
    <col min="9408" max="9408" width="15.28515625" style="1" customWidth="1"/>
    <col min="9409" max="9410" width="11.7109375" style="1" customWidth="1"/>
    <col min="9411" max="9422" width="10.5703125" style="1" customWidth="1"/>
    <col min="9423" max="9423" width="11.140625" style="1" customWidth="1"/>
    <col min="9424" max="9426" width="11.7109375" style="1" customWidth="1"/>
    <col min="9427" max="9428" width="9.140625" style="1" customWidth="1"/>
    <col min="9429" max="9440" width="9.85546875" style="1" customWidth="1"/>
    <col min="9441" max="9441" width="12.85546875" style="1" customWidth="1"/>
    <col min="9442" max="9445" width="9.140625" style="1" customWidth="1"/>
    <col min="9446" max="9446" width="9.28515625" style="1" customWidth="1"/>
    <col min="9447" max="9447" width="10.28515625" style="1" customWidth="1"/>
    <col min="9448" max="9458" width="9.140625" style="1" customWidth="1"/>
    <col min="9459" max="9459" width="9.85546875" style="1" customWidth="1"/>
    <col min="9460" max="9460" width="10.28515625" style="1" customWidth="1"/>
    <col min="9461" max="9464" width="9.140625" style="1" customWidth="1"/>
    <col min="9465" max="9465" width="10.28515625" style="1" bestFit="1" customWidth="1"/>
    <col min="9466" max="9476" width="9.85546875" style="1" bestFit="1" customWidth="1"/>
    <col min="9477" max="9477" width="11.28515625" style="1" bestFit="1" customWidth="1"/>
    <col min="9478" max="9654" width="9.140625" style="1"/>
    <col min="9655" max="9655" width="34.85546875" style="1" bestFit="1" customWidth="1"/>
    <col min="9656" max="9656" width="16" style="1" customWidth="1"/>
    <col min="9657" max="9657" width="9.28515625" style="1" customWidth="1"/>
    <col min="9658" max="9658" width="12.28515625" style="1" customWidth="1"/>
    <col min="9659" max="9659" width="10.140625" style="1" customWidth="1"/>
    <col min="9660" max="9660" width="10.28515625" style="1" customWidth="1"/>
    <col min="9661" max="9661" width="9.5703125" style="1" customWidth="1"/>
    <col min="9662" max="9662" width="12.7109375" style="1" customWidth="1"/>
    <col min="9663" max="9663" width="9.42578125" style="1" customWidth="1"/>
    <col min="9664" max="9664" width="15.28515625" style="1" customWidth="1"/>
    <col min="9665" max="9666" width="11.7109375" style="1" customWidth="1"/>
    <col min="9667" max="9678" width="10.5703125" style="1" customWidth="1"/>
    <col min="9679" max="9679" width="11.140625" style="1" customWidth="1"/>
    <col min="9680" max="9682" width="11.7109375" style="1" customWidth="1"/>
    <col min="9683" max="9684" width="9.140625" style="1" customWidth="1"/>
    <col min="9685" max="9696" width="9.85546875" style="1" customWidth="1"/>
    <col min="9697" max="9697" width="12.85546875" style="1" customWidth="1"/>
    <col min="9698" max="9701" width="9.140625" style="1" customWidth="1"/>
    <col min="9702" max="9702" width="9.28515625" style="1" customWidth="1"/>
    <col min="9703" max="9703" width="10.28515625" style="1" customWidth="1"/>
    <col min="9704" max="9714" width="9.140625" style="1" customWidth="1"/>
    <col min="9715" max="9715" width="9.85546875" style="1" customWidth="1"/>
    <col min="9716" max="9716" width="10.28515625" style="1" customWidth="1"/>
    <col min="9717" max="9720" width="9.140625" style="1" customWidth="1"/>
    <col min="9721" max="9721" width="10.28515625" style="1" bestFit="1" customWidth="1"/>
    <col min="9722" max="9732" width="9.85546875" style="1" bestFit="1" customWidth="1"/>
    <col min="9733" max="9733" width="11.28515625" style="1" bestFit="1" customWidth="1"/>
    <col min="9734" max="9910" width="9.140625" style="1"/>
    <col min="9911" max="9911" width="34.85546875" style="1" bestFit="1" customWidth="1"/>
    <col min="9912" max="9912" width="16" style="1" customWidth="1"/>
    <col min="9913" max="9913" width="9.28515625" style="1" customWidth="1"/>
    <col min="9914" max="9914" width="12.28515625" style="1" customWidth="1"/>
    <col min="9915" max="9915" width="10.140625" style="1" customWidth="1"/>
    <col min="9916" max="9916" width="10.28515625" style="1" customWidth="1"/>
    <col min="9917" max="9917" width="9.5703125" style="1" customWidth="1"/>
    <col min="9918" max="9918" width="12.7109375" style="1" customWidth="1"/>
    <col min="9919" max="9919" width="9.42578125" style="1" customWidth="1"/>
    <col min="9920" max="9920" width="15.28515625" style="1" customWidth="1"/>
    <col min="9921" max="9922" width="11.7109375" style="1" customWidth="1"/>
    <col min="9923" max="9934" width="10.5703125" style="1" customWidth="1"/>
    <col min="9935" max="9935" width="11.140625" style="1" customWidth="1"/>
    <col min="9936" max="9938" width="11.7109375" style="1" customWidth="1"/>
    <col min="9939" max="9940" width="9.140625" style="1" customWidth="1"/>
    <col min="9941" max="9952" width="9.85546875" style="1" customWidth="1"/>
    <col min="9953" max="9953" width="12.85546875" style="1" customWidth="1"/>
    <col min="9954" max="9957" width="9.140625" style="1" customWidth="1"/>
    <col min="9958" max="9958" width="9.28515625" style="1" customWidth="1"/>
    <col min="9959" max="9959" width="10.28515625" style="1" customWidth="1"/>
    <col min="9960" max="9970" width="9.140625" style="1" customWidth="1"/>
    <col min="9971" max="9971" width="9.85546875" style="1" customWidth="1"/>
    <col min="9972" max="9972" width="10.28515625" style="1" customWidth="1"/>
    <col min="9973" max="9976" width="9.140625" style="1" customWidth="1"/>
    <col min="9977" max="9977" width="10.28515625" style="1" bestFit="1" customWidth="1"/>
    <col min="9978" max="9988" width="9.85546875" style="1" bestFit="1" customWidth="1"/>
    <col min="9989" max="9989" width="11.28515625" style="1" bestFit="1" customWidth="1"/>
    <col min="9990" max="10166" width="9.140625" style="1"/>
    <col min="10167" max="10167" width="34.85546875" style="1" bestFit="1" customWidth="1"/>
    <col min="10168" max="10168" width="16" style="1" customWidth="1"/>
    <col min="10169" max="10169" width="9.28515625" style="1" customWidth="1"/>
    <col min="10170" max="10170" width="12.28515625" style="1" customWidth="1"/>
    <col min="10171" max="10171" width="10.140625" style="1" customWidth="1"/>
    <col min="10172" max="10172" width="10.28515625" style="1" customWidth="1"/>
    <col min="10173" max="10173" width="9.5703125" style="1" customWidth="1"/>
    <col min="10174" max="10174" width="12.7109375" style="1" customWidth="1"/>
    <col min="10175" max="10175" width="9.42578125" style="1" customWidth="1"/>
    <col min="10176" max="10176" width="15.28515625" style="1" customWidth="1"/>
    <col min="10177" max="10178" width="11.7109375" style="1" customWidth="1"/>
    <col min="10179" max="10190" width="10.5703125" style="1" customWidth="1"/>
    <col min="10191" max="10191" width="11.140625" style="1" customWidth="1"/>
    <col min="10192" max="10194" width="11.7109375" style="1" customWidth="1"/>
    <col min="10195" max="10196" width="9.140625" style="1" customWidth="1"/>
    <col min="10197" max="10208" width="9.85546875" style="1" customWidth="1"/>
    <col min="10209" max="10209" width="12.85546875" style="1" customWidth="1"/>
    <col min="10210" max="10213" width="9.140625" style="1" customWidth="1"/>
    <col min="10214" max="10214" width="9.28515625" style="1" customWidth="1"/>
    <col min="10215" max="10215" width="10.28515625" style="1" customWidth="1"/>
    <col min="10216" max="10226" width="9.140625" style="1" customWidth="1"/>
    <col min="10227" max="10227" width="9.85546875" style="1" customWidth="1"/>
    <col min="10228" max="10228" width="10.28515625" style="1" customWidth="1"/>
    <col min="10229" max="10232" width="9.140625" style="1" customWidth="1"/>
    <col min="10233" max="10233" width="10.28515625" style="1" bestFit="1" customWidth="1"/>
    <col min="10234" max="10244" width="9.85546875" style="1" bestFit="1" customWidth="1"/>
    <col min="10245" max="10245" width="11.28515625" style="1" bestFit="1" customWidth="1"/>
    <col min="10246" max="10422" width="9.140625" style="1"/>
    <col min="10423" max="10423" width="34.85546875" style="1" bestFit="1" customWidth="1"/>
    <col min="10424" max="10424" width="16" style="1" customWidth="1"/>
    <col min="10425" max="10425" width="9.28515625" style="1" customWidth="1"/>
    <col min="10426" max="10426" width="12.28515625" style="1" customWidth="1"/>
    <col min="10427" max="10427" width="10.140625" style="1" customWidth="1"/>
    <col min="10428" max="10428" width="10.28515625" style="1" customWidth="1"/>
    <col min="10429" max="10429" width="9.5703125" style="1" customWidth="1"/>
    <col min="10430" max="10430" width="12.7109375" style="1" customWidth="1"/>
    <col min="10431" max="10431" width="9.42578125" style="1" customWidth="1"/>
    <col min="10432" max="10432" width="15.28515625" style="1" customWidth="1"/>
    <col min="10433" max="10434" width="11.7109375" style="1" customWidth="1"/>
    <col min="10435" max="10446" width="10.5703125" style="1" customWidth="1"/>
    <col min="10447" max="10447" width="11.140625" style="1" customWidth="1"/>
    <col min="10448" max="10450" width="11.7109375" style="1" customWidth="1"/>
    <col min="10451" max="10452" width="9.140625" style="1" customWidth="1"/>
    <col min="10453" max="10464" width="9.85546875" style="1" customWidth="1"/>
    <col min="10465" max="10465" width="12.85546875" style="1" customWidth="1"/>
    <col min="10466" max="10469" width="9.140625" style="1" customWidth="1"/>
    <col min="10470" max="10470" width="9.28515625" style="1" customWidth="1"/>
    <col min="10471" max="10471" width="10.28515625" style="1" customWidth="1"/>
    <col min="10472" max="10482" width="9.140625" style="1" customWidth="1"/>
    <col min="10483" max="10483" width="9.85546875" style="1" customWidth="1"/>
    <col min="10484" max="10484" width="10.28515625" style="1" customWidth="1"/>
    <col min="10485" max="10488" width="9.140625" style="1" customWidth="1"/>
    <col min="10489" max="10489" width="10.28515625" style="1" bestFit="1" customWidth="1"/>
    <col min="10490" max="10500" width="9.85546875" style="1" bestFit="1" customWidth="1"/>
    <col min="10501" max="10501" width="11.28515625" style="1" bestFit="1" customWidth="1"/>
    <col min="10502" max="10678" width="9.140625" style="1"/>
    <col min="10679" max="10679" width="34.85546875" style="1" bestFit="1" customWidth="1"/>
    <col min="10680" max="10680" width="16" style="1" customWidth="1"/>
    <col min="10681" max="10681" width="9.28515625" style="1" customWidth="1"/>
    <col min="10682" max="10682" width="12.28515625" style="1" customWidth="1"/>
    <col min="10683" max="10683" width="10.140625" style="1" customWidth="1"/>
    <col min="10684" max="10684" width="10.28515625" style="1" customWidth="1"/>
    <col min="10685" max="10685" width="9.5703125" style="1" customWidth="1"/>
    <col min="10686" max="10686" width="12.7109375" style="1" customWidth="1"/>
    <col min="10687" max="10687" width="9.42578125" style="1" customWidth="1"/>
    <col min="10688" max="10688" width="15.28515625" style="1" customWidth="1"/>
    <col min="10689" max="10690" width="11.7109375" style="1" customWidth="1"/>
    <col min="10691" max="10702" width="10.5703125" style="1" customWidth="1"/>
    <col min="10703" max="10703" width="11.140625" style="1" customWidth="1"/>
    <col min="10704" max="10706" width="11.7109375" style="1" customWidth="1"/>
    <col min="10707" max="10708" width="9.140625" style="1" customWidth="1"/>
    <col min="10709" max="10720" width="9.85546875" style="1" customWidth="1"/>
    <col min="10721" max="10721" width="12.85546875" style="1" customWidth="1"/>
    <col min="10722" max="10725" width="9.140625" style="1" customWidth="1"/>
    <col min="10726" max="10726" width="9.28515625" style="1" customWidth="1"/>
    <col min="10727" max="10727" width="10.28515625" style="1" customWidth="1"/>
    <col min="10728" max="10738" width="9.140625" style="1" customWidth="1"/>
    <col min="10739" max="10739" width="9.85546875" style="1" customWidth="1"/>
    <col min="10740" max="10740" width="10.28515625" style="1" customWidth="1"/>
    <col min="10741" max="10744" width="9.140625" style="1" customWidth="1"/>
    <col min="10745" max="10745" width="10.28515625" style="1" bestFit="1" customWidth="1"/>
    <col min="10746" max="10756" width="9.85546875" style="1" bestFit="1" customWidth="1"/>
    <col min="10757" max="10757" width="11.28515625" style="1" bestFit="1" customWidth="1"/>
    <col min="10758" max="10934" width="9.140625" style="1"/>
    <col min="10935" max="10935" width="34.85546875" style="1" bestFit="1" customWidth="1"/>
    <col min="10936" max="10936" width="16" style="1" customWidth="1"/>
    <col min="10937" max="10937" width="9.28515625" style="1" customWidth="1"/>
    <col min="10938" max="10938" width="12.28515625" style="1" customWidth="1"/>
    <col min="10939" max="10939" width="10.140625" style="1" customWidth="1"/>
    <col min="10940" max="10940" width="10.28515625" style="1" customWidth="1"/>
    <col min="10941" max="10941" width="9.5703125" style="1" customWidth="1"/>
    <col min="10942" max="10942" width="12.7109375" style="1" customWidth="1"/>
    <col min="10943" max="10943" width="9.42578125" style="1" customWidth="1"/>
    <col min="10944" max="10944" width="15.28515625" style="1" customWidth="1"/>
    <col min="10945" max="10946" width="11.7109375" style="1" customWidth="1"/>
    <col min="10947" max="10958" width="10.5703125" style="1" customWidth="1"/>
    <col min="10959" max="10959" width="11.140625" style="1" customWidth="1"/>
    <col min="10960" max="10962" width="11.7109375" style="1" customWidth="1"/>
    <col min="10963" max="10964" width="9.140625" style="1" customWidth="1"/>
    <col min="10965" max="10976" width="9.85546875" style="1" customWidth="1"/>
    <col min="10977" max="10977" width="12.85546875" style="1" customWidth="1"/>
    <col min="10978" max="10981" width="9.140625" style="1" customWidth="1"/>
    <col min="10982" max="10982" width="9.28515625" style="1" customWidth="1"/>
    <col min="10983" max="10983" width="10.28515625" style="1" customWidth="1"/>
    <col min="10984" max="10994" width="9.140625" style="1" customWidth="1"/>
    <col min="10995" max="10995" width="9.85546875" style="1" customWidth="1"/>
    <col min="10996" max="10996" width="10.28515625" style="1" customWidth="1"/>
    <col min="10997" max="11000" width="9.140625" style="1" customWidth="1"/>
    <col min="11001" max="11001" width="10.28515625" style="1" bestFit="1" customWidth="1"/>
    <col min="11002" max="11012" width="9.85546875" style="1" bestFit="1" customWidth="1"/>
    <col min="11013" max="11013" width="11.28515625" style="1" bestFit="1" customWidth="1"/>
    <col min="11014" max="11190" width="9.140625" style="1"/>
    <col min="11191" max="11191" width="34.85546875" style="1" bestFit="1" customWidth="1"/>
    <col min="11192" max="11192" width="16" style="1" customWidth="1"/>
    <col min="11193" max="11193" width="9.28515625" style="1" customWidth="1"/>
    <col min="11194" max="11194" width="12.28515625" style="1" customWidth="1"/>
    <col min="11195" max="11195" width="10.140625" style="1" customWidth="1"/>
    <col min="11196" max="11196" width="10.28515625" style="1" customWidth="1"/>
    <col min="11197" max="11197" width="9.5703125" style="1" customWidth="1"/>
    <col min="11198" max="11198" width="12.7109375" style="1" customWidth="1"/>
    <col min="11199" max="11199" width="9.42578125" style="1" customWidth="1"/>
    <col min="11200" max="11200" width="15.28515625" style="1" customWidth="1"/>
    <col min="11201" max="11202" width="11.7109375" style="1" customWidth="1"/>
    <col min="11203" max="11214" width="10.5703125" style="1" customWidth="1"/>
    <col min="11215" max="11215" width="11.140625" style="1" customWidth="1"/>
    <col min="11216" max="11218" width="11.7109375" style="1" customWidth="1"/>
    <col min="11219" max="11220" width="9.140625" style="1" customWidth="1"/>
    <col min="11221" max="11232" width="9.85546875" style="1" customWidth="1"/>
    <col min="11233" max="11233" width="12.85546875" style="1" customWidth="1"/>
    <col min="11234" max="11237" width="9.140625" style="1" customWidth="1"/>
    <col min="11238" max="11238" width="9.28515625" style="1" customWidth="1"/>
    <col min="11239" max="11239" width="10.28515625" style="1" customWidth="1"/>
    <col min="11240" max="11250" width="9.140625" style="1" customWidth="1"/>
    <col min="11251" max="11251" width="9.85546875" style="1" customWidth="1"/>
    <col min="11252" max="11252" width="10.28515625" style="1" customWidth="1"/>
    <col min="11253" max="11256" width="9.140625" style="1" customWidth="1"/>
    <col min="11257" max="11257" width="10.28515625" style="1" bestFit="1" customWidth="1"/>
    <col min="11258" max="11268" width="9.85546875" style="1" bestFit="1" customWidth="1"/>
    <col min="11269" max="11269" width="11.28515625" style="1" bestFit="1" customWidth="1"/>
    <col min="11270" max="11446" width="9.140625" style="1"/>
    <col min="11447" max="11447" width="34.85546875" style="1" bestFit="1" customWidth="1"/>
    <col min="11448" max="11448" width="16" style="1" customWidth="1"/>
    <col min="11449" max="11449" width="9.28515625" style="1" customWidth="1"/>
    <col min="11450" max="11450" width="12.28515625" style="1" customWidth="1"/>
    <col min="11451" max="11451" width="10.140625" style="1" customWidth="1"/>
    <col min="11452" max="11452" width="10.28515625" style="1" customWidth="1"/>
    <col min="11453" max="11453" width="9.5703125" style="1" customWidth="1"/>
    <col min="11454" max="11454" width="12.7109375" style="1" customWidth="1"/>
    <col min="11455" max="11455" width="9.42578125" style="1" customWidth="1"/>
    <col min="11456" max="11456" width="15.28515625" style="1" customWidth="1"/>
    <col min="11457" max="11458" width="11.7109375" style="1" customWidth="1"/>
    <col min="11459" max="11470" width="10.5703125" style="1" customWidth="1"/>
    <col min="11471" max="11471" width="11.140625" style="1" customWidth="1"/>
    <col min="11472" max="11474" width="11.7109375" style="1" customWidth="1"/>
    <col min="11475" max="11476" width="9.140625" style="1" customWidth="1"/>
    <col min="11477" max="11488" width="9.85546875" style="1" customWidth="1"/>
    <col min="11489" max="11489" width="12.85546875" style="1" customWidth="1"/>
    <col min="11490" max="11493" width="9.140625" style="1" customWidth="1"/>
    <col min="11494" max="11494" width="9.28515625" style="1" customWidth="1"/>
    <col min="11495" max="11495" width="10.28515625" style="1" customWidth="1"/>
    <col min="11496" max="11506" width="9.140625" style="1" customWidth="1"/>
    <col min="11507" max="11507" width="9.85546875" style="1" customWidth="1"/>
    <col min="11508" max="11508" width="10.28515625" style="1" customWidth="1"/>
    <col min="11509" max="11512" width="9.140625" style="1" customWidth="1"/>
    <col min="11513" max="11513" width="10.28515625" style="1" bestFit="1" customWidth="1"/>
    <col min="11514" max="11524" width="9.85546875" style="1" bestFit="1" customWidth="1"/>
    <col min="11525" max="11525" width="11.28515625" style="1" bestFit="1" customWidth="1"/>
    <col min="11526" max="11702" width="9.140625" style="1"/>
    <col min="11703" max="11703" width="34.85546875" style="1" bestFit="1" customWidth="1"/>
    <col min="11704" max="11704" width="16" style="1" customWidth="1"/>
    <col min="11705" max="11705" width="9.28515625" style="1" customWidth="1"/>
    <col min="11706" max="11706" width="12.28515625" style="1" customWidth="1"/>
    <col min="11707" max="11707" width="10.140625" style="1" customWidth="1"/>
    <col min="11708" max="11708" width="10.28515625" style="1" customWidth="1"/>
    <col min="11709" max="11709" width="9.5703125" style="1" customWidth="1"/>
    <col min="11710" max="11710" width="12.7109375" style="1" customWidth="1"/>
    <col min="11711" max="11711" width="9.42578125" style="1" customWidth="1"/>
    <col min="11712" max="11712" width="15.28515625" style="1" customWidth="1"/>
    <col min="11713" max="11714" width="11.7109375" style="1" customWidth="1"/>
    <col min="11715" max="11726" width="10.5703125" style="1" customWidth="1"/>
    <col min="11727" max="11727" width="11.140625" style="1" customWidth="1"/>
    <col min="11728" max="11730" width="11.7109375" style="1" customWidth="1"/>
    <col min="11731" max="11732" width="9.140625" style="1" customWidth="1"/>
    <col min="11733" max="11744" width="9.85546875" style="1" customWidth="1"/>
    <col min="11745" max="11745" width="12.85546875" style="1" customWidth="1"/>
    <col min="11746" max="11749" width="9.140625" style="1" customWidth="1"/>
    <col min="11750" max="11750" width="9.28515625" style="1" customWidth="1"/>
    <col min="11751" max="11751" width="10.28515625" style="1" customWidth="1"/>
    <col min="11752" max="11762" width="9.140625" style="1" customWidth="1"/>
    <col min="11763" max="11763" width="9.85546875" style="1" customWidth="1"/>
    <col min="11764" max="11764" width="10.28515625" style="1" customWidth="1"/>
    <col min="11765" max="11768" width="9.140625" style="1" customWidth="1"/>
    <col min="11769" max="11769" width="10.28515625" style="1" bestFit="1" customWidth="1"/>
    <col min="11770" max="11780" width="9.85546875" style="1" bestFit="1" customWidth="1"/>
    <col min="11781" max="11781" width="11.28515625" style="1" bestFit="1" customWidth="1"/>
    <col min="11782" max="11958" width="9.140625" style="1"/>
    <col min="11959" max="11959" width="34.85546875" style="1" bestFit="1" customWidth="1"/>
    <col min="11960" max="11960" width="16" style="1" customWidth="1"/>
    <col min="11961" max="11961" width="9.28515625" style="1" customWidth="1"/>
    <col min="11962" max="11962" width="12.28515625" style="1" customWidth="1"/>
    <col min="11963" max="11963" width="10.140625" style="1" customWidth="1"/>
    <col min="11964" max="11964" width="10.28515625" style="1" customWidth="1"/>
    <col min="11965" max="11965" width="9.5703125" style="1" customWidth="1"/>
    <col min="11966" max="11966" width="12.7109375" style="1" customWidth="1"/>
    <col min="11967" max="11967" width="9.42578125" style="1" customWidth="1"/>
    <col min="11968" max="11968" width="15.28515625" style="1" customWidth="1"/>
    <col min="11969" max="11970" width="11.7109375" style="1" customWidth="1"/>
    <col min="11971" max="11982" width="10.5703125" style="1" customWidth="1"/>
    <col min="11983" max="11983" width="11.140625" style="1" customWidth="1"/>
    <col min="11984" max="11986" width="11.7109375" style="1" customWidth="1"/>
    <col min="11987" max="11988" width="9.140625" style="1" customWidth="1"/>
    <col min="11989" max="12000" width="9.85546875" style="1" customWidth="1"/>
    <col min="12001" max="12001" width="12.85546875" style="1" customWidth="1"/>
    <col min="12002" max="12005" width="9.140625" style="1" customWidth="1"/>
    <col min="12006" max="12006" width="9.28515625" style="1" customWidth="1"/>
    <col min="12007" max="12007" width="10.28515625" style="1" customWidth="1"/>
    <col min="12008" max="12018" width="9.140625" style="1" customWidth="1"/>
    <col min="12019" max="12019" width="9.85546875" style="1" customWidth="1"/>
    <col min="12020" max="12020" width="10.28515625" style="1" customWidth="1"/>
    <col min="12021" max="12024" width="9.140625" style="1" customWidth="1"/>
    <col min="12025" max="12025" width="10.28515625" style="1" bestFit="1" customWidth="1"/>
    <col min="12026" max="12036" width="9.85546875" style="1" bestFit="1" customWidth="1"/>
    <col min="12037" max="12037" width="11.28515625" style="1" bestFit="1" customWidth="1"/>
    <col min="12038" max="12214" width="9.140625" style="1"/>
    <col min="12215" max="12215" width="34.85546875" style="1" bestFit="1" customWidth="1"/>
    <col min="12216" max="12216" width="16" style="1" customWidth="1"/>
    <col min="12217" max="12217" width="9.28515625" style="1" customWidth="1"/>
    <col min="12218" max="12218" width="12.28515625" style="1" customWidth="1"/>
    <col min="12219" max="12219" width="10.140625" style="1" customWidth="1"/>
    <col min="12220" max="12220" width="10.28515625" style="1" customWidth="1"/>
    <col min="12221" max="12221" width="9.5703125" style="1" customWidth="1"/>
    <col min="12222" max="12222" width="12.7109375" style="1" customWidth="1"/>
    <col min="12223" max="12223" width="9.42578125" style="1" customWidth="1"/>
    <col min="12224" max="12224" width="15.28515625" style="1" customWidth="1"/>
    <col min="12225" max="12226" width="11.7109375" style="1" customWidth="1"/>
    <col min="12227" max="12238" width="10.5703125" style="1" customWidth="1"/>
    <col min="12239" max="12239" width="11.140625" style="1" customWidth="1"/>
    <col min="12240" max="12242" width="11.7109375" style="1" customWidth="1"/>
    <col min="12243" max="12244" width="9.140625" style="1" customWidth="1"/>
    <col min="12245" max="12256" width="9.85546875" style="1" customWidth="1"/>
    <col min="12257" max="12257" width="12.85546875" style="1" customWidth="1"/>
    <col min="12258" max="12261" width="9.140625" style="1" customWidth="1"/>
    <col min="12262" max="12262" width="9.28515625" style="1" customWidth="1"/>
    <col min="12263" max="12263" width="10.28515625" style="1" customWidth="1"/>
    <col min="12264" max="12274" width="9.140625" style="1" customWidth="1"/>
    <col min="12275" max="12275" width="9.85546875" style="1" customWidth="1"/>
    <col min="12276" max="12276" width="10.28515625" style="1" customWidth="1"/>
    <col min="12277" max="12280" width="9.140625" style="1" customWidth="1"/>
    <col min="12281" max="12281" width="10.28515625" style="1" bestFit="1" customWidth="1"/>
    <col min="12282" max="12292" width="9.85546875" style="1" bestFit="1" customWidth="1"/>
    <col min="12293" max="12293" width="11.28515625" style="1" bestFit="1" customWidth="1"/>
    <col min="12294" max="12470" width="9.140625" style="1"/>
    <col min="12471" max="12471" width="34.85546875" style="1" bestFit="1" customWidth="1"/>
    <col min="12472" max="12472" width="16" style="1" customWidth="1"/>
    <col min="12473" max="12473" width="9.28515625" style="1" customWidth="1"/>
    <col min="12474" max="12474" width="12.28515625" style="1" customWidth="1"/>
    <col min="12475" max="12475" width="10.140625" style="1" customWidth="1"/>
    <col min="12476" max="12476" width="10.28515625" style="1" customWidth="1"/>
    <col min="12477" max="12477" width="9.5703125" style="1" customWidth="1"/>
    <col min="12478" max="12478" width="12.7109375" style="1" customWidth="1"/>
    <col min="12479" max="12479" width="9.42578125" style="1" customWidth="1"/>
    <col min="12480" max="12480" width="15.28515625" style="1" customWidth="1"/>
    <col min="12481" max="12482" width="11.7109375" style="1" customWidth="1"/>
    <col min="12483" max="12494" width="10.5703125" style="1" customWidth="1"/>
    <col min="12495" max="12495" width="11.140625" style="1" customWidth="1"/>
    <col min="12496" max="12498" width="11.7109375" style="1" customWidth="1"/>
    <col min="12499" max="12500" width="9.140625" style="1" customWidth="1"/>
    <col min="12501" max="12512" width="9.85546875" style="1" customWidth="1"/>
    <col min="12513" max="12513" width="12.85546875" style="1" customWidth="1"/>
    <col min="12514" max="12517" width="9.140625" style="1" customWidth="1"/>
    <col min="12518" max="12518" width="9.28515625" style="1" customWidth="1"/>
    <col min="12519" max="12519" width="10.28515625" style="1" customWidth="1"/>
    <col min="12520" max="12530" width="9.140625" style="1" customWidth="1"/>
    <col min="12531" max="12531" width="9.85546875" style="1" customWidth="1"/>
    <col min="12532" max="12532" width="10.28515625" style="1" customWidth="1"/>
    <col min="12533" max="12536" width="9.140625" style="1" customWidth="1"/>
    <col min="12537" max="12537" width="10.28515625" style="1" bestFit="1" customWidth="1"/>
    <col min="12538" max="12548" width="9.85546875" style="1" bestFit="1" customWidth="1"/>
    <col min="12549" max="12549" width="11.28515625" style="1" bestFit="1" customWidth="1"/>
    <col min="12550" max="12726" width="9.140625" style="1"/>
    <col min="12727" max="12727" width="34.85546875" style="1" bestFit="1" customWidth="1"/>
    <col min="12728" max="12728" width="16" style="1" customWidth="1"/>
    <col min="12729" max="12729" width="9.28515625" style="1" customWidth="1"/>
    <col min="12730" max="12730" width="12.28515625" style="1" customWidth="1"/>
    <col min="12731" max="12731" width="10.140625" style="1" customWidth="1"/>
    <col min="12732" max="12732" width="10.28515625" style="1" customWidth="1"/>
    <col min="12733" max="12733" width="9.5703125" style="1" customWidth="1"/>
    <col min="12734" max="12734" width="12.7109375" style="1" customWidth="1"/>
    <col min="12735" max="12735" width="9.42578125" style="1" customWidth="1"/>
    <col min="12736" max="12736" width="15.28515625" style="1" customWidth="1"/>
    <col min="12737" max="12738" width="11.7109375" style="1" customWidth="1"/>
    <col min="12739" max="12750" width="10.5703125" style="1" customWidth="1"/>
    <col min="12751" max="12751" width="11.140625" style="1" customWidth="1"/>
    <col min="12752" max="12754" width="11.7109375" style="1" customWidth="1"/>
    <col min="12755" max="12756" width="9.140625" style="1" customWidth="1"/>
    <col min="12757" max="12768" width="9.85546875" style="1" customWidth="1"/>
    <col min="12769" max="12769" width="12.85546875" style="1" customWidth="1"/>
    <col min="12770" max="12773" width="9.140625" style="1" customWidth="1"/>
    <col min="12774" max="12774" width="9.28515625" style="1" customWidth="1"/>
    <col min="12775" max="12775" width="10.28515625" style="1" customWidth="1"/>
    <col min="12776" max="12786" width="9.140625" style="1" customWidth="1"/>
    <col min="12787" max="12787" width="9.85546875" style="1" customWidth="1"/>
    <col min="12788" max="12788" width="10.28515625" style="1" customWidth="1"/>
    <col min="12789" max="12792" width="9.140625" style="1" customWidth="1"/>
    <col min="12793" max="12793" width="10.28515625" style="1" bestFit="1" customWidth="1"/>
    <col min="12794" max="12804" width="9.85546875" style="1" bestFit="1" customWidth="1"/>
    <col min="12805" max="12805" width="11.28515625" style="1" bestFit="1" customWidth="1"/>
    <col min="12806" max="12982" width="9.140625" style="1"/>
    <col min="12983" max="12983" width="34.85546875" style="1" bestFit="1" customWidth="1"/>
    <col min="12984" max="12984" width="16" style="1" customWidth="1"/>
    <col min="12985" max="12985" width="9.28515625" style="1" customWidth="1"/>
    <col min="12986" max="12986" width="12.28515625" style="1" customWidth="1"/>
    <col min="12987" max="12987" width="10.140625" style="1" customWidth="1"/>
    <col min="12988" max="12988" width="10.28515625" style="1" customWidth="1"/>
    <col min="12989" max="12989" width="9.5703125" style="1" customWidth="1"/>
    <col min="12990" max="12990" width="12.7109375" style="1" customWidth="1"/>
    <col min="12991" max="12991" width="9.42578125" style="1" customWidth="1"/>
    <col min="12992" max="12992" width="15.28515625" style="1" customWidth="1"/>
    <col min="12993" max="12994" width="11.7109375" style="1" customWidth="1"/>
    <col min="12995" max="13006" width="10.5703125" style="1" customWidth="1"/>
    <col min="13007" max="13007" width="11.140625" style="1" customWidth="1"/>
    <col min="13008" max="13010" width="11.7109375" style="1" customWidth="1"/>
    <col min="13011" max="13012" width="9.140625" style="1" customWidth="1"/>
    <col min="13013" max="13024" width="9.85546875" style="1" customWidth="1"/>
    <col min="13025" max="13025" width="12.85546875" style="1" customWidth="1"/>
    <col min="13026" max="13029" width="9.140625" style="1" customWidth="1"/>
    <col min="13030" max="13030" width="9.28515625" style="1" customWidth="1"/>
    <col min="13031" max="13031" width="10.28515625" style="1" customWidth="1"/>
    <col min="13032" max="13042" width="9.140625" style="1" customWidth="1"/>
    <col min="13043" max="13043" width="9.85546875" style="1" customWidth="1"/>
    <col min="13044" max="13044" width="10.28515625" style="1" customWidth="1"/>
    <col min="13045" max="13048" width="9.140625" style="1" customWidth="1"/>
    <col min="13049" max="13049" width="10.28515625" style="1" bestFit="1" customWidth="1"/>
    <col min="13050" max="13060" width="9.85546875" style="1" bestFit="1" customWidth="1"/>
    <col min="13061" max="13061" width="11.28515625" style="1" bestFit="1" customWidth="1"/>
    <col min="13062" max="13238" width="9.140625" style="1"/>
    <col min="13239" max="13239" width="34.85546875" style="1" bestFit="1" customWidth="1"/>
    <col min="13240" max="13240" width="16" style="1" customWidth="1"/>
    <col min="13241" max="13241" width="9.28515625" style="1" customWidth="1"/>
    <col min="13242" max="13242" width="12.28515625" style="1" customWidth="1"/>
    <col min="13243" max="13243" width="10.140625" style="1" customWidth="1"/>
    <col min="13244" max="13244" width="10.28515625" style="1" customWidth="1"/>
    <col min="13245" max="13245" width="9.5703125" style="1" customWidth="1"/>
    <col min="13246" max="13246" width="12.7109375" style="1" customWidth="1"/>
    <col min="13247" max="13247" width="9.42578125" style="1" customWidth="1"/>
    <col min="13248" max="13248" width="15.28515625" style="1" customWidth="1"/>
    <col min="13249" max="13250" width="11.7109375" style="1" customWidth="1"/>
    <col min="13251" max="13262" width="10.5703125" style="1" customWidth="1"/>
    <col min="13263" max="13263" width="11.140625" style="1" customWidth="1"/>
    <col min="13264" max="13266" width="11.7109375" style="1" customWidth="1"/>
    <col min="13267" max="13268" width="9.140625" style="1" customWidth="1"/>
    <col min="13269" max="13280" width="9.85546875" style="1" customWidth="1"/>
    <col min="13281" max="13281" width="12.85546875" style="1" customWidth="1"/>
    <col min="13282" max="13285" width="9.140625" style="1" customWidth="1"/>
    <col min="13286" max="13286" width="9.28515625" style="1" customWidth="1"/>
    <col min="13287" max="13287" width="10.28515625" style="1" customWidth="1"/>
    <col min="13288" max="13298" width="9.140625" style="1" customWidth="1"/>
    <col min="13299" max="13299" width="9.85546875" style="1" customWidth="1"/>
    <col min="13300" max="13300" width="10.28515625" style="1" customWidth="1"/>
    <col min="13301" max="13304" width="9.140625" style="1" customWidth="1"/>
    <col min="13305" max="13305" width="10.28515625" style="1" bestFit="1" customWidth="1"/>
    <col min="13306" max="13316" width="9.85546875" style="1" bestFit="1" customWidth="1"/>
    <col min="13317" max="13317" width="11.28515625" style="1" bestFit="1" customWidth="1"/>
    <col min="13318" max="13494" width="9.140625" style="1"/>
    <col min="13495" max="13495" width="34.85546875" style="1" bestFit="1" customWidth="1"/>
    <col min="13496" max="13496" width="16" style="1" customWidth="1"/>
    <col min="13497" max="13497" width="9.28515625" style="1" customWidth="1"/>
    <col min="13498" max="13498" width="12.28515625" style="1" customWidth="1"/>
    <col min="13499" max="13499" width="10.140625" style="1" customWidth="1"/>
    <col min="13500" max="13500" width="10.28515625" style="1" customWidth="1"/>
    <col min="13501" max="13501" width="9.5703125" style="1" customWidth="1"/>
    <col min="13502" max="13502" width="12.7109375" style="1" customWidth="1"/>
    <col min="13503" max="13503" width="9.42578125" style="1" customWidth="1"/>
    <col min="13504" max="13504" width="15.28515625" style="1" customWidth="1"/>
    <col min="13505" max="13506" width="11.7109375" style="1" customWidth="1"/>
    <col min="13507" max="13518" width="10.5703125" style="1" customWidth="1"/>
    <col min="13519" max="13519" width="11.140625" style="1" customWidth="1"/>
    <col min="13520" max="13522" width="11.7109375" style="1" customWidth="1"/>
    <col min="13523" max="13524" width="9.140625" style="1" customWidth="1"/>
    <col min="13525" max="13536" width="9.85546875" style="1" customWidth="1"/>
    <col min="13537" max="13537" width="12.85546875" style="1" customWidth="1"/>
    <col min="13538" max="13541" width="9.140625" style="1" customWidth="1"/>
    <col min="13542" max="13542" width="9.28515625" style="1" customWidth="1"/>
    <col min="13543" max="13543" width="10.28515625" style="1" customWidth="1"/>
    <col min="13544" max="13554" width="9.140625" style="1" customWidth="1"/>
    <col min="13555" max="13555" width="9.85546875" style="1" customWidth="1"/>
    <col min="13556" max="13556" width="10.28515625" style="1" customWidth="1"/>
    <col min="13557" max="13560" width="9.140625" style="1" customWidth="1"/>
    <col min="13561" max="13561" width="10.28515625" style="1" bestFit="1" customWidth="1"/>
    <col min="13562" max="13572" width="9.85546875" style="1" bestFit="1" customWidth="1"/>
    <col min="13573" max="13573" width="11.28515625" style="1" bestFit="1" customWidth="1"/>
    <col min="13574" max="13750" width="9.140625" style="1"/>
    <col min="13751" max="13751" width="34.85546875" style="1" bestFit="1" customWidth="1"/>
    <col min="13752" max="13752" width="16" style="1" customWidth="1"/>
    <col min="13753" max="13753" width="9.28515625" style="1" customWidth="1"/>
    <col min="13754" max="13754" width="12.28515625" style="1" customWidth="1"/>
    <col min="13755" max="13755" width="10.140625" style="1" customWidth="1"/>
    <col min="13756" max="13756" width="10.28515625" style="1" customWidth="1"/>
    <col min="13757" max="13757" width="9.5703125" style="1" customWidth="1"/>
    <col min="13758" max="13758" width="12.7109375" style="1" customWidth="1"/>
    <col min="13759" max="13759" width="9.42578125" style="1" customWidth="1"/>
    <col min="13760" max="13760" width="15.28515625" style="1" customWidth="1"/>
    <col min="13761" max="13762" width="11.7109375" style="1" customWidth="1"/>
    <col min="13763" max="13774" width="10.5703125" style="1" customWidth="1"/>
    <col min="13775" max="13775" width="11.140625" style="1" customWidth="1"/>
    <col min="13776" max="13778" width="11.7109375" style="1" customWidth="1"/>
    <col min="13779" max="13780" width="9.140625" style="1" customWidth="1"/>
    <col min="13781" max="13792" width="9.85546875" style="1" customWidth="1"/>
    <col min="13793" max="13793" width="12.85546875" style="1" customWidth="1"/>
    <col min="13794" max="13797" width="9.140625" style="1" customWidth="1"/>
    <col min="13798" max="13798" width="9.28515625" style="1" customWidth="1"/>
    <col min="13799" max="13799" width="10.28515625" style="1" customWidth="1"/>
    <col min="13800" max="13810" width="9.140625" style="1" customWidth="1"/>
    <col min="13811" max="13811" width="9.85546875" style="1" customWidth="1"/>
    <col min="13812" max="13812" width="10.28515625" style="1" customWidth="1"/>
    <col min="13813" max="13816" width="9.140625" style="1" customWidth="1"/>
    <col min="13817" max="13817" width="10.28515625" style="1" bestFit="1" customWidth="1"/>
    <col min="13818" max="13828" width="9.85546875" style="1" bestFit="1" customWidth="1"/>
    <col min="13829" max="13829" width="11.28515625" style="1" bestFit="1" customWidth="1"/>
    <col min="13830" max="14006" width="9.140625" style="1"/>
    <col min="14007" max="14007" width="34.85546875" style="1" bestFit="1" customWidth="1"/>
    <col min="14008" max="14008" width="16" style="1" customWidth="1"/>
    <col min="14009" max="14009" width="9.28515625" style="1" customWidth="1"/>
    <col min="14010" max="14010" width="12.28515625" style="1" customWidth="1"/>
    <col min="14011" max="14011" width="10.140625" style="1" customWidth="1"/>
    <col min="14012" max="14012" width="10.28515625" style="1" customWidth="1"/>
    <col min="14013" max="14013" width="9.5703125" style="1" customWidth="1"/>
    <col min="14014" max="14014" width="12.7109375" style="1" customWidth="1"/>
    <col min="14015" max="14015" width="9.42578125" style="1" customWidth="1"/>
    <col min="14016" max="14016" width="15.28515625" style="1" customWidth="1"/>
    <col min="14017" max="14018" width="11.7109375" style="1" customWidth="1"/>
    <col min="14019" max="14030" width="10.5703125" style="1" customWidth="1"/>
    <col min="14031" max="14031" width="11.140625" style="1" customWidth="1"/>
    <col min="14032" max="14034" width="11.7109375" style="1" customWidth="1"/>
    <col min="14035" max="14036" width="9.140625" style="1" customWidth="1"/>
    <col min="14037" max="14048" width="9.85546875" style="1" customWidth="1"/>
    <col min="14049" max="14049" width="12.85546875" style="1" customWidth="1"/>
    <col min="14050" max="14053" width="9.140625" style="1" customWidth="1"/>
    <col min="14054" max="14054" width="9.28515625" style="1" customWidth="1"/>
    <col min="14055" max="14055" width="10.28515625" style="1" customWidth="1"/>
    <col min="14056" max="14066" width="9.140625" style="1" customWidth="1"/>
    <col min="14067" max="14067" width="9.85546875" style="1" customWidth="1"/>
    <col min="14068" max="14068" width="10.28515625" style="1" customWidth="1"/>
    <col min="14069" max="14072" width="9.140625" style="1" customWidth="1"/>
    <col min="14073" max="14073" width="10.28515625" style="1" bestFit="1" customWidth="1"/>
    <col min="14074" max="14084" width="9.85546875" style="1" bestFit="1" customWidth="1"/>
    <col min="14085" max="14085" width="11.28515625" style="1" bestFit="1" customWidth="1"/>
    <col min="14086" max="14262" width="9.140625" style="1"/>
    <col min="14263" max="14263" width="34.85546875" style="1" bestFit="1" customWidth="1"/>
    <col min="14264" max="14264" width="16" style="1" customWidth="1"/>
    <col min="14265" max="14265" width="9.28515625" style="1" customWidth="1"/>
    <col min="14266" max="14266" width="12.28515625" style="1" customWidth="1"/>
    <col min="14267" max="14267" width="10.140625" style="1" customWidth="1"/>
    <col min="14268" max="14268" width="10.28515625" style="1" customWidth="1"/>
    <col min="14269" max="14269" width="9.5703125" style="1" customWidth="1"/>
    <col min="14270" max="14270" width="12.7109375" style="1" customWidth="1"/>
    <col min="14271" max="14271" width="9.42578125" style="1" customWidth="1"/>
    <col min="14272" max="14272" width="15.28515625" style="1" customWidth="1"/>
    <col min="14273" max="14274" width="11.7109375" style="1" customWidth="1"/>
    <col min="14275" max="14286" width="10.5703125" style="1" customWidth="1"/>
    <col min="14287" max="14287" width="11.140625" style="1" customWidth="1"/>
    <col min="14288" max="14290" width="11.7109375" style="1" customWidth="1"/>
    <col min="14291" max="14292" width="9.140625" style="1" customWidth="1"/>
    <col min="14293" max="14304" width="9.85546875" style="1" customWidth="1"/>
    <col min="14305" max="14305" width="12.85546875" style="1" customWidth="1"/>
    <col min="14306" max="14309" width="9.140625" style="1" customWidth="1"/>
    <col min="14310" max="14310" width="9.28515625" style="1" customWidth="1"/>
    <col min="14311" max="14311" width="10.28515625" style="1" customWidth="1"/>
    <col min="14312" max="14322" width="9.140625" style="1" customWidth="1"/>
    <col min="14323" max="14323" width="9.85546875" style="1" customWidth="1"/>
    <col min="14324" max="14324" width="10.28515625" style="1" customWidth="1"/>
    <col min="14325" max="14328" width="9.140625" style="1" customWidth="1"/>
    <col min="14329" max="14329" width="10.28515625" style="1" bestFit="1" customWidth="1"/>
    <col min="14330" max="14340" width="9.85546875" style="1" bestFit="1" customWidth="1"/>
    <col min="14341" max="14341" width="11.28515625" style="1" bestFit="1" customWidth="1"/>
    <col min="14342" max="14518" width="9.140625" style="1"/>
    <col min="14519" max="14519" width="34.85546875" style="1" bestFit="1" customWidth="1"/>
    <col min="14520" max="14520" width="16" style="1" customWidth="1"/>
    <col min="14521" max="14521" width="9.28515625" style="1" customWidth="1"/>
    <col min="14522" max="14522" width="12.28515625" style="1" customWidth="1"/>
    <col min="14523" max="14523" width="10.140625" style="1" customWidth="1"/>
    <col min="14524" max="14524" width="10.28515625" style="1" customWidth="1"/>
    <col min="14525" max="14525" width="9.5703125" style="1" customWidth="1"/>
    <col min="14526" max="14526" width="12.7109375" style="1" customWidth="1"/>
    <col min="14527" max="14527" width="9.42578125" style="1" customWidth="1"/>
    <col min="14528" max="14528" width="15.28515625" style="1" customWidth="1"/>
    <col min="14529" max="14530" width="11.7109375" style="1" customWidth="1"/>
    <col min="14531" max="14542" width="10.5703125" style="1" customWidth="1"/>
    <col min="14543" max="14543" width="11.140625" style="1" customWidth="1"/>
    <col min="14544" max="14546" width="11.7109375" style="1" customWidth="1"/>
    <col min="14547" max="14548" width="9.140625" style="1" customWidth="1"/>
    <col min="14549" max="14560" width="9.85546875" style="1" customWidth="1"/>
    <col min="14561" max="14561" width="12.85546875" style="1" customWidth="1"/>
    <col min="14562" max="14565" width="9.140625" style="1" customWidth="1"/>
    <col min="14566" max="14566" width="9.28515625" style="1" customWidth="1"/>
    <col min="14567" max="14567" width="10.28515625" style="1" customWidth="1"/>
    <col min="14568" max="14578" width="9.140625" style="1" customWidth="1"/>
    <col min="14579" max="14579" width="9.85546875" style="1" customWidth="1"/>
    <col min="14580" max="14580" width="10.28515625" style="1" customWidth="1"/>
    <col min="14581" max="14584" width="9.140625" style="1" customWidth="1"/>
    <col min="14585" max="14585" width="10.28515625" style="1" bestFit="1" customWidth="1"/>
    <col min="14586" max="14596" width="9.85546875" style="1" bestFit="1" customWidth="1"/>
    <col min="14597" max="14597" width="11.28515625" style="1" bestFit="1" customWidth="1"/>
    <col min="14598" max="14774" width="9.140625" style="1"/>
    <col min="14775" max="14775" width="34.85546875" style="1" bestFit="1" customWidth="1"/>
    <col min="14776" max="14776" width="16" style="1" customWidth="1"/>
    <col min="14777" max="14777" width="9.28515625" style="1" customWidth="1"/>
    <col min="14778" max="14778" width="12.28515625" style="1" customWidth="1"/>
    <col min="14779" max="14779" width="10.140625" style="1" customWidth="1"/>
    <col min="14780" max="14780" width="10.28515625" style="1" customWidth="1"/>
    <col min="14781" max="14781" width="9.5703125" style="1" customWidth="1"/>
    <col min="14782" max="14782" width="12.7109375" style="1" customWidth="1"/>
    <col min="14783" max="14783" width="9.42578125" style="1" customWidth="1"/>
    <col min="14784" max="14784" width="15.28515625" style="1" customWidth="1"/>
    <col min="14785" max="14786" width="11.7109375" style="1" customWidth="1"/>
    <col min="14787" max="14798" width="10.5703125" style="1" customWidth="1"/>
    <col min="14799" max="14799" width="11.140625" style="1" customWidth="1"/>
    <col min="14800" max="14802" width="11.7109375" style="1" customWidth="1"/>
    <col min="14803" max="14804" width="9.140625" style="1" customWidth="1"/>
    <col min="14805" max="14816" width="9.85546875" style="1" customWidth="1"/>
    <col min="14817" max="14817" width="12.85546875" style="1" customWidth="1"/>
    <col min="14818" max="14821" width="9.140625" style="1" customWidth="1"/>
    <col min="14822" max="14822" width="9.28515625" style="1" customWidth="1"/>
    <col min="14823" max="14823" width="10.28515625" style="1" customWidth="1"/>
    <col min="14824" max="14834" width="9.140625" style="1" customWidth="1"/>
    <col min="14835" max="14835" width="9.85546875" style="1" customWidth="1"/>
    <col min="14836" max="14836" width="10.28515625" style="1" customWidth="1"/>
    <col min="14837" max="14840" width="9.140625" style="1" customWidth="1"/>
    <col min="14841" max="14841" width="10.28515625" style="1" bestFit="1" customWidth="1"/>
    <col min="14842" max="14852" width="9.85546875" style="1" bestFit="1" customWidth="1"/>
    <col min="14853" max="14853" width="11.28515625" style="1" bestFit="1" customWidth="1"/>
    <col min="14854" max="15030" width="9.140625" style="1"/>
    <col min="15031" max="15031" width="34.85546875" style="1" bestFit="1" customWidth="1"/>
    <col min="15032" max="15032" width="16" style="1" customWidth="1"/>
    <col min="15033" max="15033" width="9.28515625" style="1" customWidth="1"/>
    <col min="15034" max="15034" width="12.28515625" style="1" customWidth="1"/>
    <col min="15035" max="15035" width="10.140625" style="1" customWidth="1"/>
    <col min="15036" max="15036" width="10.28515625" style="1" customWidth="1"/>
    <col min="15037" max="15037" width="9.5703125" style="1" customWidth="1"/>
    <col min="15038" max="15038" width="12.7109375" style="1" customWidth="1"/>
    <col min="15039" max="15039" width="9.42578125" style="1" customWidth="1"/>
    <col min="15040" max="15040" width="15.28515625" style="1" customWidth="1"/>
    <col min="15041" max="15042" width="11.7109375" style="1" customWidth="1"/>
    <col min="15043" max="15054" width="10.5703125" style="1" customWidth="1"/>
    <col min="15055" max="15055" width="11.140625" style="1" customWidth="1"/>
    <col min="15056" max="15058" width="11.7109375" style="1" customWidth="1"/>
    <col min="15059" max="15060" width="9.140625" style="1" customWidth="1"/>
    <col min="15061" max="15072" width="9.85546875" style="1" customWidth="1"/>
    <col min="15073" max="15073" width="12.85546875" style="1" customWidth="1"/>
    <col min="15074" max="15077" width="9.140625" style="1" customWidth="1"/>
    <col min="15078" max="15078" width="9.28515625" style="1" customWidth="1"/>
    <col min="15079" max="15079" width="10.28515625" style="1" customWidth="1"/>
    <col min="15080" max="15090" width="9.140625" style="1" customWidth="1"/>
    <col min="15091" max="15091" width="9.85546875" style="1" customWidth="1"/>
    <col min="15092" max="15092" width="10.28515625" style="1" customWidth="1"/>
    <col min="15093" max="15096" width="9.140625" style="1" customWidth="1"/>
    <col min="15097" max="15097" width="10.28515625" style="1" bestFit="1" customWidth="1"/>
    <col min="15098" max="15108" width="9.85546875" style="1" bestFit="1" customWidth="1"/>
    <col min="15109" max="15109" width="11.28515625" style="1" bestFit="1" customWidth="1"/>
    <col min="15110" max="15286" width="9.140625" style="1"/>
    <col min="15287" max="15287" width="34.85546875" style="1" bestFit="1" customWidth="1"/>
    <col min="15288" max="15288" width="16" style="1" customWidth="1"/>
    <col min="15289" max="15289" width="9.28515625" style="1" customWidth="1"/>
    <col min="15290" max="15290" width="12.28515625" style="1" customWidth="1"/>
    <col min="15291" max="15291" width="10.140625" style="1" customWidth="1"/>
    <col min="15292" max="15292" width="10.28515625" style="1" customWidth="1"/>
    <col min="15293" max="15293" width="9.5703125" style="1" customWidth="1"/>
    <col min="15294" max="15294" width="12.7109375" style="1" customWidth="1"/>
    <col min="15295" max="15295" width="9.42578125" style="1" customWidth="1"/>
    <col min="15296" max="15296" width="15.28515625" style="1" customWidth="1"/>
    <col min="15297" max="15298" width="11.7109375" style="1" customWidth="1"/>
    <col min="15299" max="15310" width="10.5703125" style="1" customWidth="1"/>
    <col min="15311" max="15311" width="11.140625" style="1" customWidth="1"/>
    <col min="15312" max="15314" width="11.7109375" style="1" customWidth="1"/>
    <col min="15315" max="15316" width="9.140625" style="1" customWidth="1"/>
    <col min="15317" max="15328" width="9.85546875" style="1" customWidth="1"/>
    <col min="15329" max="15329" width="12.85546875" style="1" customWidth="1"/>
    <col min="15330" max="15333" width="9.140625" style="1" customWidth="1"/>
    <col min="15334" max="15334" width="9.28515625" style="1" customWidth="1"/>
    <col min="15335" max="15335" width="10.28515625" style="1" customWidth="1"/>
    <col min="15336" max="15346" width="9.140625" style="1" customWidth="1"/>
    <col min="15347" max="15347" width="9.85546875" style="1" customWidth="1"/>
    <col min="15348" max="15348" width="10.28515625" style="1" customWidth="1"/>
    <col min="15349" max="15352" width="9.140625" style="1" customWidth="1"/>
    <col min="15353" max="15353" width="10.28515625" style="1" bestFit="1" customWidth="1"/>
    <col min="15354" max="15364" width="9.85546875" style="1" bestFit="1" customWidth="1"/>
    <col min="15365" max="15365" width="11.28515625" style="1" bestFit="1" customWidth="1"/>
    <col min="15366" max="15542" width="9.140625" style="1"/>
    <col min="15543" max="15543" width="34.85546875" style="1" bestFit="1" customWidth="1"/>
    <col min="15544" max="15544" width="16" style="1" customWidth="1"/>
    <col min="15545" max="15545" width="9.28515625" style="1" customWidth="1"/>
    <col min="15546" max="15546" width="12.28515625" style="1" customWidth="1"/>
    <col min="15547" max="15547" width="10.140625" style="1" customWidth="1"/>
    <col min="15548" max="15548" width="10.28515625" style="1" customWidth="1"/>
    <col min="15549" max="15549" width="9.5703125" style="1" customWidth="1"/>
    <col min="15550" max="15550" width="12.7109375" style="1" customWidth="1"/>
    <col min="15551" max="15551" width="9.42578125" style="1" customWidth="1"/>
    <col min="15552" max="15552" width="15.28515625" style="1" customWidth="1"/>
    <col min="15553" max="15554" width="11.7109375" style="1" customWidth="1"/>
    <col min="15555" max="15566" width="10.5703125" style="1" customWidth="1"/>
    <col min="15567" max="15567" width="11.140625" style="1" customWidth="1"/>
    <col min="15568" max="15570" width="11.7109375" style="1" customWidth="1"/>
    <col min="15571" max="15572" width="9.140625" style="1" customWidth="1"/>
    <col min="15573" max="15584" width="9.85546875" style="1" customWidth="1"/>
    <col min="15585" max="15585" width="12.85546875" style="1" customWidth="1"/>
    <col min="15586" max="15589" width="9.140625" style="1" customWidth="1"/>
    <col min="15590" max="15590" width="9.28515625" style="1" customWidth="1"/>
    <col min="15591" max="15591" width="10.28515625" style="1" customWidth="1"/>
    <col min="15592" max="15602" width="9.140625" style="1" customWidth="1"/>
    <col min="15603" max="15603" width="9.85546875" style="1" customWidth="1"/>
    <col min="15604" max="15604" width="10.28515625" style="1" customWidth="1"/>
    <col min="15605" max="15608" width="9.140625" style="1" customWidth="1"/>
    <col min="15609" max="15609" width="10.28515625" style="1" bestFit="1" customWidth="1"/>
    <col min="15610" max="15620" width="9.85546875" style="1" bestFit="1" customWidth="1"/>
    <col min="15621" max="15621" width="11.28515625" style="1" bestFit="1" customWidth="1"/>
    <col min="15622" max="15798" width="9.140625" style="1"/>
    <col min="15799" max="15799" width="34.85546875" style="1" bestFit="1" customWidth="1"/>
    <col min="15800" max="15800" width="16" style="1" customWidth="1"/>
    <col min="15801" max="15801" width="9.28515625" style="1" customWidth="1"/>
    <col min="15802" max="15802" width="12.28515625" style="1" customWidth="1"/>
    <col min="15803" max="15803" width="10.140625" style="1" customWidth="1"/>
    <col min="15804" max="15804" width="10.28515625" style="1" customWidth="1"/>
    <col min="15805" max="15805" width="9.5703125" style="1" customWidth="1"/>
    <col min="15806" max="15806" width="12.7109375" style="1" customWidth="1"/>
    <col min="15807" max="15807" width="9.42578125" style="1" customWidth="1"/>
    <col min="15808" max="15808" width="15.28515625" style="1" customWidth="1"/>
    <col min="15809" max="15810" width="11.7109375" style="1" customWidth="1"/>
    <col min="15811" max="15822" width="10.5703125" style="1" customWidth="1"/>
    <col min="15823" max="15823" width="11.140625" style="1" customWidth="1"/>
    <col min="15824" max="15826" width="11.7109375" style="1" customWidth="1"/>
    <col min="15827" max="15828" width="9.140625" style="1" customWidth="1"/>
    <col min="15829" max="15840" width="9.85546875" style="1" customWidth="1"/>
    <col min="15841" max="15841" width="12.85546875" style="1" customWidth="1"/>
    <col min="15842" max="15845" width="9.140625" style="1" customWidth="1"/>
    <col min="15846" max="15846" width="9.28515625" style="1" customWidth="1"/>
    <col min="15847" max="15847" width="10.28515625" style="1" customWidth="1"/>
    <col min="15848" max="15858" width="9.140625" style="1" customWidth="1"/>
    <col min="15859" max="15859" width="9.85546875" style="1" customWidth="1"/>
    <col min="15860" max="15860" width="10.28515625" style="1" customWidth="1"/>
    <col min="15861" max="15864" width="9.140625" style="1" customWidth="1"/>
    <col min="15865" max="15865" width="10.28515625" style="1" bestFit="1" customWidth="1"/>
    <col min="15866" max="15876" width="9.85546875" style="1" bestFit="1" customWidth="1"/>
    <col min="15877" max="15877" width="11.28515625" style="1" bestFit="1" customWidth="1"/>
    <col min="15878" max="16054" width="9.140625" style="1"/>
    <col min="16055" max="16055" width="34.85546875" style="1" bestFit="1" customWidth="1"/>
    <col min="16056" max="16056" width="16" style="1" customWidth="1"/>
    <col min="16057" max="16057" width="9.28515625" style="1" customWidth="1"/>
    <col min="16058" max="16058" width="12.28515625" style="1" customWidth="1"/>
    <col min="16059" max="16059" width="10.140625" style="1" customWidth="1"/>
    <col min="16060" max="16060" width="10.28515625" style="1" customWidth="1"/>
    <col min="16061" max="16061" width="9.5703125" style="1" customWidth="1"/>
    <col min="16062" max="16062" width="12.7109375" style="1" customWidth="1"/>
    <col min="16063" max="16063" width="9.42578125" style="1" customWidth="1"/>
    <col min="16064" max="16064" width="15.28515625" style="1" customWidth="1"/>
    <col min="16065" max="16066" width="11.7109375" style="1" customWidth="1"/>
    <col min="16067" max="16078" width="10.5703125" style="1" customWidth="1"/>
    <col min="16079" max="16079" width="11.140625" style="1" customWidth="1"/>
    <col min="16080" max="16082" width="11.7109375" style="1" customWidth="1"/>
    <col min="16083" max="16084" width="9.140625" style="1" customWidth="1"/>
    <col min="16085" max="16096" width="9.85546875" style="1" customWidth="1"/>
    <col min="16097" max="16097" width="12.85546875" style="1" customWidth="1"/>
    <col min="16098" max="16101" width="9.140625" style="1" customWidth="1"/>
    <col min="16102" max="16102" width="9.28515625" style="1" customWidth="1"/>
    <col min="16103" max="16103" width="10.28515625" style="1" customWidth="1"/>
    <col min="16104" max="16114" width="9.140625" style="1" customWidth="1"/>
    <col min="16115" max="16115" width="9.85546875" style="1" customWidth="1"/>
    <col min="16116" max="16116" width="10.28515625" style="1" customWidth="1"/>
    <col min="16117" max="16120" width="9.140625" style="1" customWidth="1"/>
    <col min="16121" max="16121" width="10.28515625" style="1" bestFit="1" customWidth="1"/>
    <col min="16122" max="16132" width="9.85546875" style="1" bestFit="1" customWidth="1"/>
    <col min="16133" max="16133" width="11.28515625" style="1" bestFit="1" customWidth="1"/>
    <col min="16134" max="16384" width="9.140625" style="1"/>
  </cols>
  <sheetData>
    <row r="1" spans="1:19" x14ac:dyDescent="0.2">
      <c r="F1" s="186" t="s">
        <v>49</v>
      </c>
      <c r="G1" s="186" t="s">
        <v>48</v>
      </c>
      <c r="H1" s="186" t="s">
        <v>47</v>
      </c>
      <c r="I1" s="186" t="s">
        <v>46</v>
      </c>
      <c r="J1" s="186" t="s">
        <v>45</v>
      </c>
      <c r="K1" s="186" t="s">
        <v>44</v>
      </c>
      <c r="L1" s="186" t="s">
        <v>43</v>
      </c>
      <c r="M1" s="186" t="s">
        <v>42</v>
      </c>
      <c r="N1" s="186" t="s">
        <v>41</v>
      </c>
      <c r="O1" s="186" t="s">
        <v>40</v>
      </c>
      <c r="P1" s="186" t="s">
        <v>39</v>
      </c>
      <c r="Q1" s="186" t="s">
        <v>38</v>
      </c>
      <c r="R1" s="186" t="s">
        <v>37</v>
      </c>
    </row>
    <row r="2" spans="1:19" x14ac:dyDescent="0.2">
      <c r="B2" s="35" t="s">
        <v>176</v>
      </c>
      <c r="C2" s="38">
        <f>STATS!D87</f>
        <v>6906</v>
      </c>
      <c r="F2" s="131">
        <f>'MO STATS'!E83</f>
        <v>566</v>
      </c>
      <c r="G2" s="131">
        <f>'MO STATS'!F83</f>
        <v>543</v>
      </c>
      <c r="H2" s="131">
        <f>'MO STATS'!G83</f>
        <v>562</v>
      </c>
      <c r="I2" s="131">
        <f>'MO STATS'!H83</f>
        <v>574</v>
      </c>
      <c r="J2" s="131">
        <f>'MO STATS'!I83</f>
        <v>553</v>
      </c>
      <c r="K2" s="131">
        <f>'MO STATS'!J83</f>
        <v>609</v>
      </c>
      <c r="L2" s="131">
        <f>'MO STATS'!K83</f>
        <v>588</v>
      </c>
      <c r="M2" s="131">
        <f>'MO STATS'!L83</f>
        <v>632</v>
      </c>
      <c r="N2" s="131">
        <f>'MO STATS'!M83</f>
        <v>562</v>
      </c>
      <c r="O2" s="131">
        <f>'MO STATS'!N83</f>
        <v>534</v>
      </c>
      <c r="P2" s="131">
        <f>'MO STATS'!O83</f>
        <v>574</v>
      </c>
      <c r="Q2" s="131">
        <f>'MO STATS'!P83</f>
        <v>609</v>
      </c>
      <c r="R2" s="101">
        <f t="shared" ref="R2:R5" si="0">SUM(F2:Q2)</f>
        <v>6906</v>
      </c>
      <c r="S2" s="3">
        <f>C2-R2</f>
        <v>0</v>
      </c>
    </row>
    <row r="3" spans="1:19" ht="12.75" customHeight="1" x14ac:dyDescent="0.2">
      <c r="B3" s="35" t="s">
        <v>178</v>
      </c>
      <c r="C3" s="38">
        <f>STATS!D88</f>
        <v>298</v>
      </c>
      <c r="D3" s="195"/>
      <c r="E3" s="195"/>
      <c r="F3" s="131">
        <f>'MO STATS'!E84</f>
        <v>19</v>
      </c>
      <c r="G3" s="131">
        <f>'MO STATS'!F84</f>
        <v>20</v>
      </c>
      <c r="H3" s="131">
        <f>'MO STATS'!G84</f>
        <v>25</v>
      </c>
      <c r="I3" s="131">
        <f>'MO STATS'!H84</f>
        <v>29</v>
      </c>
      <c r="J3" s="131">
        <f>'MO STATS'!I84</f>
        <v>26</v>
      </c>
      <c r="K3" s="131">
        <f>'MO STATS'!J84</f>
        <v>34</v>
      </c>
      <c r="L3" s="131">
        <f>'MO STATS'!K84</f>
        <v>23</v>
      </c>
      <c r="M3" s="131">
        <f>'MO STATS'!L84</f>
        <v>15</v>
      </c>
      <c r="N3" s="131">
        <f>'MO STATS'!M84</f>
        <v>26</v>
      </c>
      <c r="O3" s="131">
        <f>'MO STATS'!N84</f>
        <v>18</v>
      </c>
      <c r="P3" s="131">
        <f>'MO STATS'!O84</f>
        <v>35</v>
      </c>
      <c r="Q3" s="131">
        <f>'MO STATS'!P84</f>
        <v>28</v>
      </c>
      <c r="R3" s="101">
        <f t="shared" si="0"/>
        <v>298</v>
      </c>
      <c r="S3" s="3">
        <f>C3-R3</f>
        <v>0</v>
      </c>
    </row>
    <row r="4" spans="1:19" ht="12.75" customHeight="1" x14ac:dyDescent="0.2">
      <c r="B4" s="35" t="s">
        <v>977</v>
      </c>
      <c r="C4" s="38">
        <f>STATS!D89</f>
        <v>129</v>
      </c>
      <c r="D4" s="485"/>
      <c r="E4" s="485"/>
      <c r="F4" s="131">
        <f>'MO STATS'!E85</f>
        <v>7</v>
      </c>
      <c r="G4" s="131">
        <f>'MO STATS'!F85</f>
        <v>10</v>
      </c>
      <c r="H4" s="131">
        <f>'MO STATS'!G85</f>
        <v>12</v>
      </c>
      <c r="I4" s="131">
        <f>'MO STATS'!H85</f>
        <v>12</v>
      </c>
      <c r="J4" s="131">
        <f>'MO STATS'!I85</f>
        <v>14</v>
      </c>
      <c r="K4" s="131">
        <f>'MO STATS'!J85</f>
        <v>7</v>
      </c>
      <c r="L4" s="131">
        <f>'MO STATS'!K85</f>
        <v>16</v>
      </c>
      <c r="M4" s="131">
        <f>'MO STATS'!L85</f>
        <v>21</v>
      </c>
      <c r="N4" s="131">
        <f>'MO STATS'!M85</f>
        <v>12</v>
      </c>
      <c r="O4" s="131">
        <f>'MO STATS'!N85</f>
        <v>7</v>
      </c>
      <c r="P4" s="131">
        <f>'MO STATS'!O85</f>
        <v>6</v>
      </c>
      <c r="Q4" s="131">
        <f>'MO STATS'!P85</f>
        <v>5</v>
      </c>
      <c r="R4" s="101">
        <f t="shared" si="0"/>
        <v>129</v>
      </c>
    </row>
    <row r="5" spans="1:19" ht="12.75" customHeight="1" x14ac:dyDescent="0.2">
      <c r="B5" s="35" t="s">
        <v>180</v>
      </c>
      <c r="C5" s="38">
        <f>C2+C3+C4</f>
        <v>7333</v>
      </c>
      <c r="D5" s="195"/>
      <c r="E5" s="195"/>
      <c r="F5" s="131">
        <f>'MO STATS'!E86</f>
        <v>592</v>
      </c>
      <c r="G5" s="131">
        <f>'MO STATS'!F86</f>
        <v>573</v>
      </c>
      <c r="H5" s="131">
        <f>'MO STATS'!G86</f>
        <v>599</v>
      </c>
      <c r="I5" s="131">
        <f>'MO STATS'!H86</f>
        <v>615</v>
      </c>
      <c r="J5" s="131">
        <f>'MO STATS'!I86</f>
        <v>593</v>
      </c>
      <c r="K5" s="131">
        <f>'MO STATS'!J86</f>
        <v>650</v>
      </c>
      <c r="L5" s="131">
        <f>'MO STATS'!K86</f>
        <v>627</v>
      </c>
      <c r="M5" s="131">
        <f>'MO STATS'!L86</f>
        <v>668</v>
      </c>
      <c r="N5" s="131">
        <f>'MO STATS'!M86</f>
        <v>600</v>
      </c>
      <c r="O5" s="131">
        <f>'MO STATS'!N86</f>
        <v>559</v>
      </c>
      <c r="P5" s="131">
        <f>'MO STATS'!O86</f>
        <v>615</v>
      </c>
      <c r="Q5" s="131">
        <f>'MO STATS'!P86</f>
        <v>642</v>
      </c>
      <c r="R5" s="101">
        <f t="shared" si="0"/>
        <v>7333</v>
      </c>
      <c r="S5" s="3">
        <f>C5-R5</f>
        <v>0</v>
      </c>
    </row>
    <row r="6" spans="1:19" ht="12.75" customHeight="1" x14ac:dyDescent="0.2">
      <c r="B6" s="38" t="s">
        <v>940</v>
      </c>
      <c r="C6" s="479">
        <f>'[4]2017 FTEs'!$AS$31</f>
        <v>2.25</v>
      </c>
      <c r="D6" s="425"/>
      <c r="E6" s="425"/>
      <c r="F6" s="131"/>
      <c r="G6" s="131"/>
      <c r="H6" s="131"/>
      <c r="I6" s="131"/>
      <c r="J6" s="131"/>
      <c r="K6" s="131"/>
      <c r="L6" s="131"/>
      <c r="M6" s="131"/>
      <c r="N6" s="131"/>
      <c r="O6" s="131"/>
      <c r="P6" s="131"/>
      <c r="Q6" s="131"/>
      <c r="R6" s="101"/>
    </row>
    <row r="7" spans="1:19" ht="12.75" customHeight="1" x14ac:dyDescent="0.2">
      <c r="B7" s="38" t="s">
        <v>939</v>
      </c>
      <c r="C7" s="38">
        <f>C6*2080</f>
        <v>4680</v>
      </c>
      <c r="D7" s="425"/>
      <c r="E7" s="425"/>
      <c r="F7" s="426">
        <f>($C7/$R8)*F8</f>
        <v>397.47945205479454</v>
      </c>
      <c r="G7" s="426">
        <f t="shared" ref="G7:Q7" si="1">($C7/$R8)*G8</f>
        <v>384.65753424657532</v>
      </c>
      <c r="H7" s="426">
        <f t="shared" si="1"/>
        <v>397.47945205479454</v>
      </c>
      <c r="I7" s="426">
        <f t="shared" si="1"/>
        <v>397.47945205479454</v>
      </c>
      <c r="J7" s="426">
        <f t="shared" si="1"/>
        <v>359.01369863013696</v>
      </c>
      <c r="K7" s="426">
        <f t="shared" si="1"/>
        <v>397.47945205479454</v>
      </c>
      <c r="L7" s="426">
        <f t="shared" si="1"/>
        <v>384.65753424657532</v>
      </c>
      <c r="M7" s="426">
        <f t="shared" si="1"/>
        <v>397.47945205479454</v>
      </c>
      <c r="N7" s="426">
        <f t="shared" si="1"/>
        <v>384.65753424657532</v>
      </c>
      <c r="O7" s="426">
        <f t="shared" si="1"/>
        <v>397.47945205479454</v>
      </c>
      <c r="P7" s="426">
        <f t="shared" si="1"/>
        <v>397.47945205479454</v>
      </c>
      <c r="Q7" s="426">
        <f t="shared" si="1"/>
        <v>384.65753424657532</v>
      </c>
      <c r="R7" s="6">
        <f>SUM(F7:Q7)</f>
        <v>4680</v>
      </c>
      <c r="S7" s="3">
        <f>C7-R7</f>
        <v>0</v>
      </c>
    </row>
    <row r="8" spans="1:19" ht="12.75" customHeight="1" x14ac:dyDescent="0.2">
      <c r="B8" s="72"/>
      <c r="C8" s="38"/>
      <c r="D8" s="195"/>
      <c r="E8" s="195"/>
      <c r="F8" s="2">
        <v>31</v>
      </c>
      <c r="G8" s="2">
        <v>30</v>
      </c>
      <c r="H8" s="2">
        <v>31</v>
      </c>
      <c r="I8" s="2">
        <v>31</v>
      </c>
      <c r="J8" s="2">
        <v>28</v>
      </c>
      <c r="K8" s="2">
        <v>31</v>
      </c>
      <c r="L8" s="2">
        <v>30</v>
      </c>
      <c r="M8" s="2">
        <v>31</v>
      </c>
      <c r="N8" s="2">
        <v>30</v>
      </c>
      <c r="O8" s="2">
        <v>31</v>
      </c>
      <c r="P8" s="2">
        <v>31</v>
      </c>
      <c r="Q8" s="2">
        <v>30</v>
      </c>
      <c r="R8" s="6">
        <f t="shared" ref="R8" si="2">SUM(F8:Q8)</f>
        <v>365</v>
      </c>
    </row>
    <row r="9" spans="1:19" x14ac:dyDescent="0.2">
      <c r="A9" s="711" t="s">
        <v>35</v>
      </c>
      <c r="B9" s="711"/>
      <c r="C9" s="711"/>
      <c r="D9" s="711"/>
      <c r="E9" s="195"/>
    </row>
    <row r="10" spans="1:19" x14ac:dyDescent="0.2">
      <c r="A10" s="21"/>
      <c r="B10" s="188" t="s">
        <v>587</v>
      </c>
      <c r="C10" s="1"/>
      <c r="D10" s="180" t="s">
        <v>576</v>
      </c>
      <c r="E10" s="126"/>
      <c r="F10" s="186" t="s">
        <v>49</v>
      </c>
      <c r="G10" s="186" t="s">
        <v>48</v>
      </c>
      <c r="H10" s="186" t="s">
        <v>47</v>
      </c>
      <c r="I10" s="186" t="s">
        <v>46</v>
      </c>
      <c r="J10" s="186" t="s">
        <v>45</v>
      </c>
      <c r="K10" s="186" t="s">
        <v>44</v>
      </c>
      <c r="L10" s="186" t="s">
        <v>43</v>
      </c>
      <c r="M10" s="186" t="s">
        <v>42</v>
      </c>
      <c r="N10" s="186" t="s">
        <v>41</v>
      </c>
      <c r="O10" s="186" t="s">
        <v>40</v>
      </c>
      <c r="P10" s="186" t="s">
        <v>39</v>
      </c>
      <c r="Q10" s="186" t="s">
        <v>38</v>
      </c>
      <c r="R10" s="186" t="s">
        <v>37</v>
      </c>
    </row>
    <row r="11" spans="1:19" x14ac:dyDescent="0.2">
      <c r="A11" s="16"/>
      <c r="B11" s="29" t="s">
        <v>352</v>
      </c>
      <c r="C11" s="75">
        <f>$C$3*$D11</f>
        <v>0</v>
      </c>
      <c r="D11" s="14">
        <v>0</v>
      </c>
      <c r="E11" s="28"/>
      <c r="F11" s="375">
        <f>$D11*F$3</f>
        <v>0</v>
      </c>
      <c r="G11" s="375">
        <f t="shared" ref="G11:Q25" si="3">$D11*G$3</f>
        <v>0</v>
      </c>
      <c r="H11" s="375">
        <f t="shared" si="3"/>
        <v>0</v>
      </c>
      <c r="I11" s="375">
        <f t="shared" si="3"/>
        <v>0</v>
      </c>
      <c r="J11" s="375">
        <f t="shared" si="3"/>
        <v>0</v>
      </c>
      <c r="K11" s="375">
        <f t="shared" si="3"/>
        <v>0</v>
      </c>
      <c r="L11" s="375">
        <f t="shared" si="3"/>
        <v>0</v>
      </c>
      <c r="M11" s="375">
        <f t="shared" si="3"/>
        <v>0</v>
      </c>
      <c r="N11" s="375">
        <f t="shared" si="3"/>
        <v>0</v>
      </c>
      <c r="O11" s="375">
        <f t="shared" si="3"/>
        <v>0</v>
      </c>
      <c r="P11" s="375">
        <f t="shared" si="3"/>
        <v>0</v>
      </c>
      <c r="Q11" s="375">
        <f t="shared" si="3"/>
        <v>0</v>
      </c>
      <c r="R11" s="109">
        <f>SUM(F11:Q11)</f>
        <v>0</v>
      </c>
      <c r="S11" s="3">
        <f>C11-R11</f>
        <v>0</v>
      </c>
    </row>
    <row r="12" spans="1:19" x14ac:dyDescent="0.2">
      <c r="A12" s="16"/>
      <c r="B12" s="29" t="s">
        <v>353</v>
      </c>
      <c r="C12" s="75">
        <f t="shared" ref="C12:C25" si="4">$C$3*$D12</f>
        <v>0</v>
      </c>
      <c r="D12" s="14">
        <v>0</v>
      </c>
      <c r="E12" s="28"/>
      <c r="F12" s="375">
        <f t="shared" ref="F12:F17" si="5">$D12*F$3</f>
        <v>0</v>
      </c>
      <c r="G12" s="375">
        <f t="shared" si="3"/>
        <v>0</v>
      </c>
      <c r="H12" s="375">
        <f t="shared" si="3"/>
        <v>0</v>
      </c>
      <c r="I12" s="375">
        <f t="shared" si="3"/>
        <v>0</v>
      </c>
      <c r="J12" s="375">
        <f t="shared" si="3"/>
        <v>0</v>
      </c>
      <c r="K12" s="375">
        <f t="shared" si="3"/>
        <v>0</v>
      </c>
      <c r="L12" s="375">
        <f t="shared" si="3"/>
        <v>0</v>
      </c>
      <c r="M12" s="375">
        <f t="shared" si="3"/>
        <v>0</v>
      </c>
      <c r="N12" s="375">
        <f t="shared" si="3"/>
        <v>0</v>
      </c>
      <c r="O12" s="375">
        <f t="shared" si="3"/>
        <v>0</v>
      </c>
      <c r="P12" s="375">
        <f t="shared" si="3"/>
        <v>0</v>
      </c>
      <c r="Q12" s="375">
        <f t="shared" si="3"/>
        <v>0</v>
      </c>
      <c r="R12" s="109">
        <f t="shared" ref="R12:R35" si="6">SUM(F12:Q12)</f>
        <v>0</v>
      </c>
      <c r="S12" s="3">
        <f t="shared" ref="S12:S35" si="7">C12-R12</f>
        <v>0</v>
      </c>
    </row>
    <row r="13" spans="1:19" x14ac:dyDescent="0.2">
      <c r="A13" s="16"/>
      <c r="B13" s="29" t="s">
        <v>355</v>
      </c>
      <c r="C13" s="75">
        <f t="shared" si="4"/>
        <v>0</v>
      </c>
      <c r="D13" s="14">
        <v>0</v>
      </c>
      <c r="E13" s="28"/>
      <c r="F13" s="375">
        <f t="shared" si="5"/>
        <v>0</v>
      </c>
      <c r="G13" s="375">
        <f t="shared" si="3"/>
        <v>0</v>
      </c>
      <c r="H13" s="375">
        <f t="shared" si="3"/>
        <v>0</v>
      </c>
      <c r="I13" s="375">
        <f t="shared" si="3"/>
        <v>0</v>
      </c>
      <c r="J13" s="375">
        <f t="shared" si="3"/>
        <v>0</v>
      </c>
      <c r="K13" s="375">
        <f t="shared" si="3"/>
        <v>0</v>
      </c>
      <c r="L13" s="375">
        <f t="shared" si="3"/>
        <v>0</v>
      </c>
      <c r="M13" s="375">
        <f t="shared" si="3"/>
        <v>0</v>
      </c>
      <c r="N13" s="375">
        <f t="shared" si="3"/>
        <v>0</v>
      </c>
      <c r="O13" s="375">
        <f t="shared" si="3"/>
        <v>0</v>
      </c>
      <c r="P13" s="375">
        <f t="shared" si="3"/>
        <v>0</v>
      </c>
      <c r="Q13" s="375">
        <f t="shared" si="3"/>
        <v>0</v>
      </c>
      <c r="R13" s="109">
        <f t="shared" si="6"/>
        <v>0</v>
      </c>
      <c r="S13" s="3">
        <f t="shared" si="7"/>
        <v>0</v>
      </c>
    </row>
    <row r="14" spans="1:19" x14ac:dyDescent="0.2">
      <c r="A14" s="16"/>
      <c r="B14" s="29" t="s">
        <v>370</v>
      </c>
      <c r="C14" s="75">
        <f t="shared" si="4"/>
        <v>0</v>
      </c>
      <c r="D14" s="14">
        <v>0</v>
      </c>
      <c r="E14" s="28"/>
      <c r="F14" s="375">
        <f t="shared" si="5"/>
        <v>0</v>
      </c>
      <c r="G14" s="375">
        <f t="shared" si="3"/>
        <v>0</v>
      </c>
      <c r="H14" s="375">
        <f t="shared" si="3"/>
        <v>0</v>
      </c>
      <c r="I14" s="375">
        <f t="shared" si="3"/>
        <v>0</v>
      </c>
      <c r="J14" s="375">
        <f t="shared" si="3"/>
        <v>0</v>
      </c>
      <c r="K14" s="375">
        <f t="shared" si="3"/>
        <v>0</v>
      </c>
      <c r="L14" s="375">
        <f t="shared" si="3"/>
        <v>0</v>
      </c>
      <c r="M14" s="375">
        <f t="shared" si="3"/>
        <v>0</v>
      </c>
      <c r="N14" s="375">
        <f t="shared" si="3"/>
        <v>0</v>
      </c>
      <c r="O14" s="375">
        <f t="shared" si="3"/>
        <v>0</v>
      </c>
      <c r="P14" s="375">
        <f t="shared" si="3"/>
        <v>0</v>
      </c>
      <c r="Q14" s="375">
        <f t="shared" si="3"/>
        <v>0</v>
      </c>
      <c r="R14" s="109">
        <f t="shared" si="6"/>
        <v>0</v>
      </c>
      <c r="S14" s="3">
        <f t="shared" si="7"/>
        <v>0</v>
      </c>
    </row>
    <row r="15" spans="1:19" x14ac:dyDescent="0.2">
      <c r="A15" s="16"/>
      <c r="B15" s="29" t="s">
        <v>356</v>
      </c>
      <c r="C15" s="75">
        <f t="shared" si="4"/>
        <v>0</v>
      </c>
      <c r="D15" s="14">
        <v>0</v>
      </c>
      <c r="E15" s="28"/>
      <c r="F15" s="375">
        <f t="shared" si="5"/>
        <v>0</v>
      </c>
      <c r="G15" s="375">
        <f t="shared" si="3"/>
        <v>0</v>
      </c>
      <c r="H15" s="375">
        <f t="shared" si="3"/>
        <v>0</v>
      </c>
      <c r="I15" s="375">
        <f t="shared" si="3"/>
        <v>0</v>
      </c>
      <c r="J15" s="375">
        <f t="shared" si="3"/>
        <v>0</v>
      </c>
      <c r="K15" s="375">
        <f t="shared" si="3"/>
        <v>0</v>
      </c>
      <c r="L15" s="375">
        <f t="shared" si="3"/>
        <v>0</v>
      </c>
      <c r="M15" s="375">
        <f t="shared" si="3"/>
        <v>0</v>
      </c>
      <c r="N15" s="375">
        <f t="shared" si="3"/>
        <v>0</v>
      </c>
      <c r="O15" s="375">
        <f t="shared" si="3"/>
        <v>0</v>
      </c>
      <c r="P15" s="375">
        <f t="shared" si="3"/>
        <v>0</v>
      </c>
      <c r="Q15" s="375">
        <f t="shared" si="3"/>
        <v>0</v>
      </c>
      <c r="R15" s="109">
        <f t="shared" si="6"/>
        <v>0</v>
      </c>
      <c r="S15" s="3">
        <f t="shared" si="7"/>
        <v>0</v>
      </c>
    </row>
    <row r="16" spans="1:19" x14ac:dyDescent="0.2">
      <c r="A16" s="16"/>
      <c r="B16" s="29" t="s">
        <v>354</v>
      </c>
      <c r="C16" s="75">
        <f t="shared" si="4"/>
        <v>0</v>
      </c>
      <c r="D16" s="14">
        <v>0</v>
      </c>
      <c r="E16" s="28"/>
      <c r="F16" s="375">
        <f t="shared" si="5"/>
        <v>0</v>
      </c>
      <c r="G16" s="375">
        <f t="shared" si="3"/>
        <v>0</v>
      </c>
      <c r="H16" s="375">
        <f t="shared" si="3"/>
        <v>0</v>
      </c>
      <c r="I16" s="375">
        <f t="shared" si="3"/>
        <v>0</v>
      </c>
      <c r="J16" s="375">
        <f t="shared" si="3"/>
        <v>0</v>
      </c>
      <c r="K16" s="375">
        <f t="shared" si="3"/>
        <v>0</v>
      </c>
      <c r="L16" s="375">
        <f t="shared" si="3"/>
        <v>0</v>
      </c>
      <c r="M16" s="375">
        <f t="shared" si="3"/>
        <v>0</v>
      </c>
      <c r="N16" s="375">
        <f t="shared" si="3"/>
        <v>0</v>
      </c>
      <c r="O16" s="375">
        <f t="shared" si="3"/>
        <v>0</v>
      </c>
      <c r="P16" s="375">
        <f t="shared" si="3"/>
        <v>0</v>
      </c>
      <c r="Q16" s="375">
        <f t="shared" si="3"/>
        <v>0</v>
      </c>
      <c r="R16" s="109">
        <f t="shared" si="6"/>
        <v>0</v>
      </c>
      <c r="S16" s="3">
        <f t="shared" si="7"/>
        <v>0</v>
      </c>
    </row>
    <row r="17" spans="1:19" x14ac:dyDescent="0.2">
      <c r="A17" s="16"/>
      <c r="B17" s="29" t="s">
        <v>357</v>
      </c>
      <c r="C17" s="75">
        <f t="shared" si="4"/>
        <v>0</v>
      </c>
      <c r="D17" s="14">
        <v>0</v>
      </c>
      <c r="E17" s="28"/>
      <c r="F17" s="375">
        <f t="shared" si="5"/>
        <v>0</v>
      </c>
      <c r="G17" s="375">
        <f t="shared" si="3"/>
        <v>0</v>
      </c>
      <c r="H17" s="375">
        <f t="shared" si="3"/>
        <v>0</v>
      </c>
      <c r="I17" s="375">
        <f t="shared" si="3"/>
        <v>0</v>
      </c>
      <c r="J17" s="375">
        <f t="shared" si="3"/>
        <v>0</v>
      </c>
      <c r="K17" s="375">
        <f t="shared" si="3"/>
        <v>0</v>
      </c>
      <c r="L17" s="375">
        <f t="shared" si="3"/>
        <v>0</v>
      </c>
      <c r="M17" s="375">
        <f t="shared" si="3"/>
        <v>0</v>
      </c>
      <c r="N17" s="375">
        <f t="shared" si="3"/>
        <v>0</v>
      </c>
      <c r="O17" s="375">
        <f t="shared" si="3"/>
        <v>0</v>
      </c>
      <c r="P17" s="375">
        <f t="shared" si="3"/>
        <v>0</v>
      </c>
      <c r="Q17" s="375">
        <f t="shared" si="3"/>
        <v>0</v>
      </c>
      <c r="R17" s="109">
        <f t="shared" si="6"/>
        <v>0</v>
      </c>
      <c r="S17" s="3">
        <f t="shared" si="7"/>
        <v>0</v>
      </c>
    </row>
    <row r="18" spans="1:19" x14ac:dyDescent="0.2">
      <c r="A18" s="132" t="s">
        <v>537</v>
      </c>
      <c r="B18" s="161" t="s">
        <v>588</v>
      </c>
      <c r="C18" s="290">
        <f>SUM(C11:C17)</f>
        <v>0</v>
      </c>
      <c r="D18" s="290"/>
      <c r="E18" s="290"/>
      <c r="F18" s="369">
        <f>SUM(F11:F17)</f>
        <v>0</v>
      </c>
      <c r="G18" s="369">
        <f t="shared" ref="G18:Q18" si="8">SUM(G11:G17)</f>
        <v>0</v>
      </c>
      <c r="H18" s="369">
        <f t="shared" si="8"/>
        <v>0</v>
      </c>
      <c r="I18" s="369">
        <f t="shared" si="8"/>
        <v>0</v>
      </c>
      <c r="J18" s="369">
        <f t="shared" si="8"/>
        <v>0</v>
      </c>
      <c r="K18" s="369">
        <f t="shared" si="8"/>
        <v>0</v>
      </c>
      <c r="L18" s="369">
        <f t="shared" si="8"/>
        <v>0</v>
      </c>
      <c r="M18" s="369">
        <f t="shared" si="8"/>
        <v>0</v>
      </c>
      <c r="N18" s="369">
        <f t="shared" si="8"/>
        <v>0</v>
      </c>
      <c r="O18" s="369">
        <f t="shared" si="8"/>
        <v>0</v>
      </c>
      <c r="P18" s="369">
        <f t="shared" si="8"/>
        <v>0</v>
      </c>
      <c r="Q18" s="369">
        <f t="shared" si="8"/>
        <v>0</v>
      </c>
      <c r="R18" s="369">
        <f t="shared" si="6"/>
        <v>0</v>
      </c>
      <c r="S18" s="291">
        <f t="shared" si="7"/>
        <v>0</v>
      </c>
    </row>
    <row r="19" spans="1:19" x14ac:dyDescent="0.2">
      <c r="A19" s="16"/>
      <c r="B19" s="29" t="s">
        <v>424</v>
      </c>
      <c r="C19" s="75">
        <f t="shared" si="4"/>
        <v>0</v>
      </c>
      <c r="D19" s="14">
        <v>0</v>
      </c>
      <c r="E19" s="28"/>
      <c r="F19" s="375">
        <f t="shared" ref="F19:F25" si="9">$D19*F$3</f>
        <v>0</v>
      </c>
      <c r="G19" s="375">
        <f t="shared" si="3"/>
        <v>0</v>
      </c>
      <c r="H19" s="375">
        <f t="shared" si="3"/>
        <v>0</v>
      </c>
      <c r="I19" s="375">
        <f t="shared" si="3"/>
        <v>0</v>
      </c>
      <c r="J19" s="375">
        <f t="shared" si="3"/>
        <v>0</v>
      </c>
      <c r="K19" s="375">
        <f t="shared" si="3"/>
        <v>0</v>
      </c>
      <c r="L19" s="375">
        <f t="shared" si="3"/>
        <v>0</v>
      </c>
      <c r="M19" s="375">
        <f t="shared" si="3"/>
        <v>0</v>
      </c>
      <c r="N19" s="375">
        <f t="shared" si="3"/>
        <v>0</v>
      </c>
      <c r="O19" s="375">
        <f t="shared" si="3"/>
        <v>0</v>
      </c>
      <c r="P19" s="375">
        <f t="shared" si="3"/>
        <v>0</v>
      </c>
      <c r="Q19" s="375">
        <f t="shared" si="3"/>
        <v>0</v>
      </c>
      <c r="R19" s="109">
        <f t="shared" si="6"/>
        <v>0</v>
      </c>
      <c r="S19" s="3">
        <f t="shared" si="7"/>
        <v>0</v>
      </c>
    </row>
    <row r="20" spans="1:19" x14ac:dyDescent="0.2">
      <c r="A20" s="16"/>
      <c r="B20" s="29" t="s">
        <v>425</v>
      </c>
      <c r="C20" s="75">
        <f t="shared" si="4"/>
        <v>0</v>
      </c>
      <c r="D20" s="14">
        <v>0</v>
      </c>
      <c r="E20" s="28"/>
      <c r="F20" s="375">
        <f t="shared" si="9"/>
        <v>0</v>
      </c>
      <c r="G20" s="375">
        <f t="shared" si="3"/>
        <v>0</v>
      </c>
      <c r="H20" s="375">
        <f t="shared" si="3"/>
        <v>0</v>
      </c>
      <c r="I20" s="375">
        <f t="shared" si="3"/>
        <v>0</v>
      </c>
      <c r="J20" s="375">
        <f t="shared" si="3"/>
        <v>0</v>
      </c>
      <c r="K20" s="375">
        <f t="shared" si="3"/>
        <v>0</v>
      </c>
      <c r="L20" s="375">
        <f t="shared" si="3"/>
        <v>0</v>
      </c>
      <c r="M20" s="375">
        <f t="shared" si="3"/>
        <v>0</v>
      </c>
      <c r="N20" s="375">
        <f t="shared" si="3"/>
        <v>0</v>
      </c>
      <c r="O20" s="375">
        <f t="shared" si="3"/>
        <v>0</v>
      </c>
      <c r="P20" s="375">
        <f t="shared" si="3"/>
        <v>0</v>
      </c>
      <c r="Q20" s="375">
        <f t="shared" si="3"/>
        <v>0</v>
      </c>
      <c r="R20" s="109">
        <f t="shared" si="6"/>
        <v>0</v>
      </c>
      <c r="S20" s="3">
        <f t="shared" si="7"/>
        <v>0</v>
      </c>
    </row>
    <row r="21" spans="1:19" x14ac:dyDescent="0.2">
      <c r="A21" s="16"/>
      <c r="B21" s="29" t="s">
        <v>426</v>
      </c>
      <c r="C21" s="75">
        <f t="shared" si="4"/>
        <v>0</v>
      </c>
      <c r="D21" s="14">
        <v>0</v>
      </c>
      <c r="E21" s="28"/>
      <c r="F21" s="375">
        <f t="shared" si="9"/>
        <v>0</v>
      </c>
      <c r="G21" s="375">
        <f t="shared" si="3"/>
        <v>0</v>
      </c>
      <c r="H21" s="375">
        <f t="shared" si="3"/>
        <v>0</v>
      </c>
      <c r="I21" s="375">
        <f t="shared" si="3"/>
        <v>0</v>
      </c>
      <c r="J21" s="375">
        <f t="shared" si="3"/>
        <v>0</v>
      </c>
      <c r="K21" s="375">
        <f t="shared" si="3"/>
        <v>0</v>
      </c>
      <c r="L21" s="375">
        <f t="shared" si="3"/>
        <v>0</v>
      </c>
      <c r="M21" s="375">
        <f t="shared" si="3"/>
        <v>0</v>
      </c>
      <c r="N21" s="375">
        <f t="shared" si="3"/>
        <v>0</v>
      </c>
      <c r="O21" s="375">
        <f t="shared" si="3"/>
        <v>0</v>
      </c>
      <c r="P21" s="375">
        <f t="shared" si="3"/>
        <v>0</v>
      </c>
      <c r="Q21" s="375">
        <f t="shared" si="3"/>
        <v>0</v>
      </c>
      <c r="R21" s="109">
        <f t="shared" si="6"/>
        <v>0</v>
      </c>
      <c r="S21" s="3">
        <f t="shared" si="7"/>
        <v>0</v>
      </c>
    </row>
    <row r="22" spans="1:19" x14ac:dyDescent="0.2">
      <c r="A22" s="16"/>
      <c r="B22" s="29" t="s">
        <v>427</v>
      </c>
      <c r="C22" s="75">
        <f t="shared" si="4"/>
        <v>0</v>
      </c>
      <c r="D22" s="14">
        <v>0</v>
      </c>
      <c r="E22" s="28"/>
      <c r="F22" s="375">
        <f t="shared" si="9"/>
        <v>0</v>
      </c>
      <c r="G22" s="375">
        <f t="shared" si="3"/>
        <v>0</v>
      </c>
      <c r="H22" s="375">
        <f t="shared" si="3"/>
        <v>0</v>
      </c>
      <c r="I22" s="375">
        <f t="shared" si="3"/>
        <v>0</v>
      </c>
      <c r="J22" s="375">
        <f t="shared" si="3"/>
        <v>0</v>
      </c>
      <c r="K22" s="375">
        <f t="shared" si="3"/>
        <v>0</v>
      </c>
      <c r="L22" s="375">
        <f t="shared" si="3"/>
        <v>0</v>
      </c>
      <c r="M22" s="375">
        <f t="shared" si="3"/>
        <v>0</v>
      </c>
      <c r="N22" s="375">
        <f t="shared" si="3"/>
        <v>0</v>
      </c>
      <c r="O22" s="375">
        <f t="shared" si="3"/>
        <v>0</v>
      </c>
      <c r="P22" s="375">
        <f t="shared" si="3"/>
        <v>0</v>
      </c>
      <c r="Q22" s="375">
        <f t="shared" si="3"/>
        <v>0</v>
      </c>
      <c r="R22" s="376">
        <f t="shared" si="6"/>
        <v>0</v>
      </c>
      <c r="S22" s="3">
        <f t="shared" si="7"/>
        <v>0</v>
      </c>
    </row>
    <row r="23" spans="1:19" x14ac:dyDescent="0.2">
      <c r="A23" s="16"/>
      <c r="B23" s="29" t="s">
        <v>428</v>
      </c>
      <c r="C23" s="75">
        <f t="shared" si="4"/>
        <v>0</v>
      </c>
      <c r="D23" s="14">
        <v>0</v>
      </c>
      <c r="E23" s="28"/>
      <c r="F23" s="375">
        <f t="shared" si="9"/>
        <v>0</v>
      </c>
      <c r="G23" s="375">
        <f t="shared" si="3"/>
        <v>0</v>
      </c>
      <c r="H23" s="375">
        <f t="shared" si="3"/>
        <v>0</v>
      </c>
      <c r="I23" s="375">
        <f t="shared" si="3"/>
        <v>0</v>
      </c>
      <c r="J23" s="375">
        <f t="shared" si="3"/>
        <v>0</v>
      </c>
      <c r="K23" s="375">
        <f t="shared" si="3"/>
        <v>0</v>
      </c>
      <c r="L23" s="375">
        <f t="shared" si="3"/>
        <v>0</v>
      </c>
      <c r="M23" s="375">
        <f t="shared" si="3"/>
        <v>0</v>
      </c>
      <c r="N23" s="375">
        <f t="shared" si="3"/>
        <v>0</v>
      </c>
      <c r="O23" s="375">
        <f t="shared" si="3"/>
        <v>0</v>
      </c>
      <c r="P23" s="375">
        <f t="shared" si="3"/>
        <v>0</v>
      </c>
      <c r="Q23" s="375">
        <f t="shared" si="3"/>
        <v>0</v>
      </c>
      <c r="R23" s="109">
        <f t="shared" si="6"/>
        <v>0</v>
      </c>
      <c r="S23" s="3">
        <f t="shared" si="7"/>
        <v>0</v>
      </c>
    </row>
    <row r="24" spans="1:19" x14ac:dyDescent="0.2">
      <c r="A24" s="16"/>
      <c r="B24" s="29" t="s">
        <v>429</v>
      </c>
      <c r="C24" s="75">
        <f t="shared" si="4"/>
        <v>0</v>
      </c>
      <c r="D24" s="14">
        <v>0</v>
      </c>
      <c r="E24" s="28"/>
      <c r="F24" s="375">
        <f t="shared" si="9"/>
        <v>0</v>
      </c>
      <c r="G24" s="375">
        <f t="shared" si="3"/>
        <v>0</v>
      </c>
      <c r="H24" s="375">
        <f t="shared" si="3"/>
        <v>0</v>
      </c>
      <c r="I24" s="375">
        <f t="shared" si="3"/>
        <v>0</v>
      </c>
      <c r="J24" s="375">
        <f t="shared" si="3"/>
        <v>0</v>
      </c>
      <c r="K24" s="375">
        <f t="shared" si="3"/>
        <v>0</v>
      </c>
      <c r="L24" s="375">
        <f t="shared" si="3"/>
        <v>0</v>
      </c>
      <c r="M24" s="375">
        <f t="shared" si="3"/>
        <v>0</v>
      </c>
      <c r="N24" s="375">
        <f t="shared" si="3"/>
        <v>0</v>
      </c>
      <c r="O24" s="375">
        <f t="shared" si="3"/>
        <v>0</v>
      </c>
      <c r="P24" s="375">
        <f t="shared" si="3"/>
        <v>0</v>
      </c>
      <c r="Q24" s="375">
        <f t="shared" si="3"/>
        <v>0</v>
      </c>
      <c r="R24" s="109">
        <f t="shared" si="6"/>
        <v>0</v>
      </c>
      <c r="S24" s="3">
        <f t="shared" si="7"/>
        <v>0</v>
      </c>
    </row>
    <row r="25" spans="1:19" x14ac:dyDescent="0.2">
      <c r="A25" s="16"/>
      <c r="B25" s="29" t="s">
        <v>430</v>
      </c>
      <c r="C25" s="75">
        <f t="shared" si="4"/>
        <v>0</v>
      </c>
      <c r="D25" s="14">
        <v>0</v>
      </c>
      <c r="E25" s="28"/>
      <c r="F25" s="375">
        <f t="shared" si="9"/>
        <v>0</v>
      </c>
      <c r="G25" s="375">
        <f t="shared" si="3"/>
        <v>0</v>
      </c>
      <c r="H25" s="375">
        <f t="shared" si="3"/>
        <v>0</v>
      </c>
      <c r="I25" s="375">
        <f t="shared" si="3"/>
        <v>0</v>
      </c>
      <c r="J25" s="375">
        <f t="shared" si="3"/>
        <v>0</v>
      </c>
      <c r="K25" s="375">
        <f t="shared" si="3"/>
        <v>0</v>
      </c>
      <c r="L25" s="375">
        <f t="shared" si="3"/>
        <v>0</v>
      </c>
      <c r="M25" s="375">
        <f t="shared" si="3"/>
        <v>0</v>
      </c>
      <c r="N25" s="375">
        <f t="shared" si="3"/>
        <v>0</v>
      </c>
      <c r="O25" s="375">
        <f t="shared" si="3"/>
        <v>0</v>
      </c>
      <c r="P25" s="375">
        <f t="shared" si="3"/>
        <v>0</v>
      </c>
      <c r="Q25" s="375">
        <f t="shared" si="3"/>
        <v>0</v>
      </c>
      <c r="R25" s="109">
        <f t="shared" si="6"/>
        <v>0</v>
      </c>
      <c r="S25" s="3">
        <f t="shared" si="7"/>
        <v>0</v>
      </c>
    </row>
    <row r="26" spans="1:19" x14ac:dyDescent="0.2">
      <c r="A26" s="132" t="s">
        <v>537</v>
      </c>
      <c r="B26" s="161" t="s">
        <v>589</v>
      </c>
      <c r="C26" s="290">
        <f>SUM(C19:C25)</f>
        <v>0</v>
      </c>
      <c r="D26" s="290"/>
      <c r="E26" s="290"/>
      <c r="F26" s="369">
        <f>SUM(F19:F25)</f>
        <v>0</v>
      </c>
      <c r="G26" s="369">
        <f t="shared" ref="G26:Q26" si="10">SUM(G19:G25)</f>
        <v>0</v>
      </c>
      <c r="H26" s="369">
        <f t="shared" si="10"/>
        <v>0</v>
      </c>
      <c r="I26" s="369">
        <f t="shared" si="10"/>
        <v>0</v>
      </c>
      <c r="J26" s="369">
        <f t="shared" si="10"/>
        <v>0</v>
      </c>
      <c r="K26" s="369">
        <f t="shared" si="10"/>
        <v>0</v>
      </c>
      <c r="L26" s="369">
        <f t="shared" si="10"/>
        <v>0</v>
      </c>
      <c r="M26" s="369">
        <f t="shared" si="10"/>
        <v>0</v>
      </c>
      <c r="N26" s="369">
        <f t="shared" si="10"/>
        <v>0</v>
      </c>
      <c r="O26" s="369">
        <f t="shared" si="10"/>
        <v>0</v>
      </c>
      <c r="P26" s="369">
        <f t="shared" si="10"/>
        <v>0</v>
      </c>
      <c r="Q26" s="369">
        <f t="shared" si="10"/>
        <v>0</v>
      </c>
      <c r="R26" s="369">
        <f t="shared" si="6"/>
        <v>0</v>
      </c>
      <c r="S26" s="291">
        <f t="shared" si="7"/>
        <v>0</v>
      </c>
    </row>
    <row r="27" spans="1:19" x14ac:dyDescent="0.2">
      <c r="A27" s="16"/>
      <c r="B27" s="29" t="s">
        <v>358</v>
      </c>
      <c r="C27" s="75">
        <f>$C$2*D27</f>
        <v>492691.01653159206</v>
      </c>
      <c r="D27" s="14">
        <f>[5]ProFee!$J$28</f>
        <v>71.3424582293067</v>
      </c>
      <c r="E27" s="28"/>
      <c r="F27" s="375">
        <f>$D27*F$2</f>
        <v>40379.831357787596</v>
      </c>
      <c r="G27" s="375">
        <f t="shared" ref="G27:Q33" si="11">$D27*G$2</f>
        <v>38738.954818513535</v>
      </c>
      <c r="H27" s="375">
        <f t="shared" si="11"/>
        <v>40094.461524870363</v>
      </c>
      <c r="I27" s="375">
        <f t="shared" si="11"/>
        <v>40950.571023622048</v>
      </c>
      <c r="J27" s="375">
        <f t="shared" si="11"/>
        <v>39452.379400806603</v>
      </c>
      <c r="K27" s="375">
        <f t="shared" si="11"/>
        <v>43447.557061647778</v>
      </c>
      <c r="L27" s="375">
        <f t="shared" si="11"/>
        <v>41949.365438832341</v>
      </c>
      <c r="M27" s="375">
        <f t="shared" si="11"/>
        <v>45088.433600921831</v>
      </c>
      <c r="N27" s="375">
        <f t="shared" si="11"/>
        <v>40094.461524870363</v>
      </c>
      <c r="O27" s="375">
        <f t="shared" si="11"/>
        <v>38096.872694449776</v>
      </c>
      <c r="P27" s="375">
        <f t="shared" si="11"/>
        <v>40950.571023622048</v>
      </c>
      <c r="Q27" s="375">
        <f t="shared" si="11"/>
        <v>43447.557061647778</v>
      </c>
      <c r="R27" s="109">
        <f t="shared" si="6"/>
        <v>492691.01653159206</v>
      </c>
      <c r="S27" s="3">
        <f t="shared" si="7"/>
        <v>0</v>
      </c>
    </row>
    <row r="28" spans="1:19" x14ac:dyDescent="0.2">
      <c r="A28" s="16"/>
      <c r="B28" s="29" t="s">
        <v>359</v>
      </c>
      <c r="C28" s="75">
        <f t="shared" ref="C28:C33" si="12">$C$2*D28</f>
        <v>68764.236988669101</v>
      </c>
      <c r="D28" s="14">
        <f>[5]ProFee!$J$29</f>
        <v>9.9571730362972914</v>
      </c>
      <c r="E28" s="28"/>
      <c r="F28" s="375">
        <f t="shared" ref="F28:F33" si="13">$D28*F$2</f>
        <v>5635.7599385442672</v>
      </c>
      <c r="G28" s="375">
        <f t="shared" si="11"/>
        <v>5406.7449587094288</v>
      </c>
      <c r="H28" s="375">
        <f t="shared" si="11"/>
        <v>5595.9312463990782</v>
      </c>
      <c r="I28" s="375">
        <f t="shared" si="11"/>
        <v>5715.4173228346453</v>
      </c>
      <c r="J28" s="375">
        <f t="shared" si="11"/>
        <v>5506.3166890724024</v>
      </c>
      <c r="K28" s="375">
        <f t="shared" si="11"/>
        <v>6063.9183791050509</v>
      </c>
      <c r="L28" s="375">
        <f t="shared" si="11"/>
        <v>5854.817745342807</v>
      </c>
      <c r="M28" s="375">
        <f t="shared" si="11"/>
        <v>6292.9333589398884</v>
      </c>
      <c r="N28" s="375">
        <f t="shared" si="11"/>
        <v>5595.9312463990782</v>
      </c>
      <c r="O28" s="375">
        <f t="shared" si="11"/>
        <v>5317.1304013827539</v>
      </c>
      <c r="P28" s="375">
        <f t="shared" si="11"/>
        <v>5715.4173228346453</v>
      </c>
      <c r="Q28" s="375">
        <f t="shared" si="11"/>
        <v>6063.9183791050509</v>
      </c>
      <c r="R28" s="109">
        <f t="shared" si="6"/>
        <v>68764.236988669101</v>
      </c>
      <c r="S28" s="3">
        <f t="shared" si="7"/>
        <v>0</v>
      </c>
    </row>
    <row r="29" spans="1:19" x14ac:dyDescent="0.2">
      <c r="A29" s="16"/>
      <c r="B29" s="29" t="s">
        <v>372</v>
      </c>
      <c r="C29" s="75">
        <f t="shared" si="12"/>
        <v>206664.73574034951</v>
      </c>
      <c r="D29" s="14">
        <f>[5]ProFee!$J$30</f>
        <v>29.925388899558286</v>
      </c>
      <c r="E29" s="28"/>
      <c r="F29" s="375">
        <f t="shared" si="13"/>
        <v>16937.77011714999</v>
      </c>
      <c r="G29" s="375">
        <f t="shared" si="11"/>
        <v>16249.486172460149</v>
      </c>
      <c r="H29" s="375">
        <f t="shared" si="11"/>
        <v>16818.068561551758</v>
      </c>
      <c r="I29" s="375">
        <f t="shared" si="11"/>
        <v>17177.173228346455</v>
      </c>
      <c r="J29" s="375">
        <f t="shared" si="11"/>
        <v>16548.740061455734</v>
      </c>
      <c r="K29" s="375">
        <f t="shared" si="11"/>
        <v>18224.561839830996</v>
      </c>
      <c r="L29" s="375">
        <f t="shared" si="11"/>
        <v>17596.128672940271</v>
      </c>
      <c r="M29" s="375">
        <f t="shared" si="11"/>
        <v>18912.845784520836</v>
      </c>
      <c r="N29" s="375">
        <f t="shared" si="11"/>
        <v>16818.068561551758</v>
      </c>
      <c r="O29" s="375">
        <f t="shared" si="11"/>
        <v>15980.157672364125</v>
      </c>
      <c r="P29" s="375">
        <f t="shared" si="11"/>
        <v>17177.173228346455</v>
      </c>
      <c r="Q29" s="375">
        <f t="shared" si="11"/>
        <v>18224.561839830996</v>
      </c>
      <c r="R29" s="109">
        <f t="shared" si="6"/>
        <v>206664.73574034954</v>
      </c>
      <c r="S29" s="3">
        <f t="shared" si="7"/>
        <v>0</v>
      </c>
    </row>
    <row r="30" spans="1:19" x14ac:dyDescent="0.2">
      <c r="A30" s="16"/>
      <c r="B30" s="29" t="s">
        <v>373</v>
      </c>
      <c r="C30" s="75">
        <f t="shared" si="12"/>
        <v>0</v>
      </c>
      <c r="D30" s="14">
        <v>0</v>
      </c>
      <c r="E30" s="28"/>
      <c r="F30" s="375">
        <f t="shared" si="13"/>
        <v>0</v>
      </c>
      <c r="G30" s="375">
        <f t="shared" si="11"/>
        <v>0</v>
      </c>
      <c r="H30" s="375">
        <f t="shared" si="11"/>
        <v>0</v>
      </c>
      <c r="I30" s="375">
        <f t="shared" si="11"/>
        <v>0</v>
      </c>
      <c r="J30" s="375">
        <f t="shared" si="11"/>
        <v>0</v>
      </c>
      <c r="K30" s="375">
        <f t="shared" si="11"/>
        <v>0</v>
      </c>
      <c r="L30" s="375">
        <f t="shared" si="11"/>
        <v>0</v>
      </c>
      <c r="M30" s="375">
        <f t="shared" si="11"/>
        <v>0</v>
      </c>
      <c r="N30" s="375">
        <f t="shared" si="11"/>
        <v>0</v>
      </c>
      <c r="O30" s="375">
        <f t="shared" si="11"/>
        <v>0</v>
      </c>
      <c r="P30" s="375">
        <f t="shared" si="11"/>
        <v>0</v>
      </c>
      <c r="Q30" s="375">
        <f t="shared" si="11"/>
        <v>0</v>
      </c>
      <c r="R30" s="109">
        <f t="shared" si="6"/>
        <v>0</v>
      </c>
      <c r="S30" s="3">
        <f t="shared" si="7"/>
        <v>0</v>
      </c>
    </row>
    <row r="31" spans="1:19" x14ac:dyDescent="0.2">
      <c r="A31" s="163"/>
      <c r="B31" s="29" t="s">
        <v>361</v>
      </c>
      <c r="C31" s="75">
        <f t="shared" si="12"/>
        <v>220854.80840407143</v>
      </c>
      <c r="D31" s="14">
        <f>[5]ProFee!$J$31+[5]ProFee!$J$32</f>
        <v>31.980134434415209</v>
      </c>
      <c r="E31" s="28"/>
      <c r="F31" s="375">
        <f t="shared" si="13"/>
        <v>18100.756089879007</v>
      </c>
      <c r="G31" s="375">
        <f t="shared" si="11"/>
        <v>17365.212997887458</v>
      </c>
      <c r="H31" s="375">
        <f t="shared" si="11"/>
        <v>17972.835552141347</v>
      </c>
      <c r="I31" s="375">
        <f t="shared" si="11"/>
        <v>18356.597165354331</v>
      </c>
      <c r="J31" s="375">
        <f t="shared" si="11"/>
        <v>17685.01434223161</v>
      </c>
      <c r="K31" s="375">
        <f t="shared" si="11"/>
        <v>19475.901870558864</v>
      </c>
      <c r="L31" s="375">
        <f t="shared" si="11"/>
        <v>18804.319047436144</v>
      </c>
      <c r="M31" s="375">
        <f t="shared" si="11"/>
        <v>20211.444962550413</v>
      </c>
      <c r="N31" s="375">
        <f t="shared" si="11"/>
        <v>17972.835552141347</v>
      </c>
      <c r="O31" s="375">
        <f t="shared" si="11"/>
        <v>17077.391787977722</v>
      </c>
      <c r="P31" s="375">
        <f t="shared" si="11"/>
        <v>18356.597165354331</v>
      </c>
      <c r="Q31" s="375">
        <f t="shared" si="11"/>
        <v>19475.901870558864</v>
      </c>
      <c r="R31" s="109">
        <f t="shared" si="6"/>
        <v>220854.8084040714</v>
      </c>
      <c r="S31" s="3">
        <f t="shared" si="7"/>
        <v>0</v>
      </c>
    </row>
    <row r="32" spans="1:19" x14ac:dyDescent="0.2">
      <c r="A32" s="163"/>
      <c r="B32" s="29" t="s">
        <v>360</v>
      </c>
      <c r="C32" s="75">
        <f t="shared" si="12"/>
        <v>668477.0063299404</v>
      </c>
      <c r="D32" s="14">
        <f>[5]ProFee!$J$33</f>
        <v>96.796554637987313</v>
      </c>
      <c r="E32" s="28"/>
      <c r="F32" s="375">
        <f t="shared" si="13"/>
        <v>54786.849925100818</v>
      </c>
      <c r="G32" s="375">
        <f t="shared" si="11"/>
        <v>52560.529168427114</v>
      </c>
      <c r="H32" s="375">
        <f t="shared" si="11"/>
        <v>54399.663706548869</v>
      </c>
      <c r="I32" s="375">
        <f t="shared" si="11"/>
        <v>55561.222362204717</v>
      </c>
      <c r="J32" s="375">
        <f t="shared" si="11"/>
        <v>53528.494714806984</v>
      </c>
      <c r="K32" s="375">
        <f t="shared" si="11"/>
        <v>58949.101774534276</v>
      </c>
      <c r="L32" s="375">
        <f t="shared" si="11"/>
        <v>56916.374127136543</v>
      </c>
      <c r="M32" s="375">
        <f t="shared" si="11"/>
        <v>61175.42253120798</v>
      </c>
      <c r="N32" s="375">
        <f t="shared" si="11"/>
        <v>54399.663706548869</v>
      </c>
      <c r="O32" s="375">
        <f t="shared" si="11"/>
        <v>51689.360176685223</v>
      </c>
      <c r="P32" s="375">
        <f t="shared" si="11"/>
        <v>55561.222362204717</v>
      </c>
      <c r="Q32" s="375">
        <f t="shared" si="11"/>
        <v>58949.101774534276</v>
      </c>
      <c r="R32" s="109">
        <f t="shared" si="6"/>
        <v>668477.0063299404</v>
      </c>
      <c r="S32" s="3">
        <f t="shared" si="7"/>
        <v>0</v>
      </c>
    </row>
    <row r="33" spans="1:21" x14ac:dyDescent="0.2">
      <c r="A33" s="163"/>
      <c r="B33" s="29" t="s">
        <v>362</v>
      </c>
      <c r="C33" s="75">
        <f t="shared" si="12"/>
        <v>289849.10392164392</v>
      </c>
      <c r="D33" s="14">
        <f>[5]ProFee!$J$34</f>
        <v>41.970620318801615</v>
      </c>
      <c r="E33" s="28"/>
      <c r="F33" s="375">
        <f t="shared" si="13"/>
        <v>23755.371100441713</v>
      </c>
      <c r="G33" s="375">
        <f t="shared" si="11"/>
        <v>22790.046833109278</v>
      </c>
      <c r="H33" s="375">
        <f t="shared" si="11"/>
        <v>23587.488619166506</v>
      </c>
      <c r="I33" s="375">
        <f t="shared" si="11"/>
        <v>24091.136062992126</v>
      </c>
      <c r="J33" s="375">
        <f t="shared" si="11"/>
        <v>23209.753036297294</v>
      </c>
      <c r="K33" s="375">
        <f t="shared" si="11"/>
        <v>25560.107774150183</v>
      </c>
      <c r="L33" s="375">
        <f t="shared" si="11"/>
        <v>24678.724747455348</v>
      </c>
      <c r="M33" s="375">
        <f t="shared" si="11"/>
        <v>26525.432041482622</v>
      </c>
      <c r="N33" s="375">
        <f t="shared" si="11"/>
        <v>23587.488619166506</v>
      </c>
      <c r="O33" s="375">
        <f t="shared" si="11"/>
        <v>22412.311250240062</v>
      </c>
      <c r="P33" s="375">
        <f t="shared" si="11"/>
        <v>24091.136062992126</v>
      </c>
      <c r="Q33" s="375">
        <f t="shared" si="11"/>
        <v>25560.107774150183</v>
      </c>
      <c r="R33" s="109">
        <f t="shared" si="6"/>
        <v>289849.10392164404</v>
      </c>
      <c r="S33" s="3">
        <f t="shared" si="7"/>
        <v>0</v>
      </c>
    </row>
    <row r="34" spans="1:21" x14ac:dyDescent="0.2">
      <c r="A34" s="90">
        <v>31200.092000000001</v>
      </c>
      <c r="B34" s="161" t="s">
        <v>590</v>
      </c>
      <c r="C34" s="293">
        <f>SUM(C27:C33)</f>
        <v>1947300.9079162665</v>
      </c>
      <c r="D34" s="290"/>
      <c r="E34" s="290"/>
      <c r="F34" s="369">
        <f>SUM(F27:F33)</f>
        <v>159596.33852890338</v>
      </c>
      <c r="G34" s="369">
        <f t="shared" ref="G34:Q34" si="14">SUM(G27:G33)</f>
        <v>153110.97494910698</v>
      </c>
      <c r="H34" s="369">
        <f t="shared" si="14"/>
        <v>158468.44921067794</v>
      </c>
      <c r="I34" s="369">
        <f t="shared" si="14"/>
        <v>161852.11716535431</v>
      </c>
      <c r="J34" s="369">
        <f t="shared" si="14"/>
        <v>155930.69824467064</v>
      </c>
      <c r="K34" s="369">
        <f t="shared" si="14"/>
        <v>171721.14869982714</v>
      </c>
      <c r="L34" s="369">
        <f t="shared" si="14"/>
        <v>165799.72977914347</v>
      </c>
      <c r="M34" s="369">
        <f t="shared" si="14"/>
        <v>178206.51227962357</v>
      </c>
      <c r="N34" s="369">
        <f t="shared" si="14"/>
        <v>158468.44921067794</v>
      </c>
      <c r="O34" s="369">
        <f t="shared" si="14"/>
        <v>150573.22398309966</v>
      </c>
      <c r="P34" s="369">
        <f t="shared" si="14"/>
        <v>161852.11716535431</v>
      </c>
      <c r="Q34" s="369">
        <f t="shared" si="14"/>
        <v>171721.14869982714</v>
      </c>
      <c r="R34" s="369">
        <f t="shared" si="6"/>
        <v>1947300.9079162665</v>
      </c>
      <c r="S34" s="291">
        <f t="shared" si="7"/>
        <v>0</v>
      </c>
    </row>
    <row r="35" spans="1:21" s="5" customFormat="1" x14ac:dyDescent="0.2">
      <c r="A35" s="11"/>
      <c r="B35" s="10" t="s">
        <v>0</v>
      </c>
      <c r="C35" s="293">
        <f>C18+C26+C34</f>
        <v>1947300.9079162665</v>
      </c>
      <c r="D35" s="293">
        <f>(C35/C$5)</f>
        <v>265.55310349328602</v>
      </c>
      <c r="E35" s="293"/>
      <c r="F35" s="369">
        <f>F18+F26+F34</f>
        <v>159596.33852890338</v>
      </c>
      <c r="G35" s="369">
        <f t="shared" ref="G35:Q35" si="15">G18+G26+G34</f>
        <v>153110.97494910698</v>
      </c>
      <c r="H35" s="369">
        <f t="shared" si="15"/>
        <v>158468.44921067794</v>
      </c>
      <c r="I35" s="369">
        <f t="shared" si="15"/>
        <v>161852.11716535431</v>
      </c>
      <c r="J35" s="369">
        <f t="shared" si="15"/>
        <v>155930.69824467064</v>
      </c>
      <c r="K35" s="369">
        <f t="shared" si="15"/>
        <v>171721.14869982714</v>
      </c>
      <c r="L35" s="369">
        <f t="shared" si="15"/>
        <v>165799.72977914347</v>
      </c>
      <c r="M35" s="369">
        <f t="shared" si="15"/>
        <v>178206.51227962357</v>
      </c>
      <c r="N35" s="369">
        <f t="shared" si="15"/>
        <v>158468.44921067794</v>
      </c>
      <c r="O35" s="369">
        <f t="shared" si="15"/>
        <v>150573.22398309966</v>
      </c>
      <c r="P35" s="369">
        <f t="shared" si="15"/>
        <v>161852.11716535431</v>
      </c>
      <c r="Q35" s="369">
        <f t="shared" si="15"/>
        <v>171721.14869982714</v>
      </c>
      <c r="R35" s="369">
        <f t="shared" si="6"/>
        <v>1947300.9079162665</v>
      </c>
      <c r="S35" s="291">
        <f t="shared" si="7"/>
        <v>0</v>
      </c>
      <c r="T35" s="3"/>
      <c r="U35" s="3"/>
    </row>
    <row r="36" spans="1:21" x14ac:dyDescent="0.2">
      <c r="A36" s="711" t="s">
        <v>25</v>
      </c>
      <c r="B36" s="711"/>
      <c r="C36" s="711"/>
      <c r="D36" s="711"/>
      <c r="E36" s="420"/>
      <c r="F36" s="375"/>
      <c r="G36" s="375"/>
      <c r="H36" s="375"/>
      <c r="I36" s="375"/>
      <c r="J36" s="375"/>
      <c r="K36" s="375"/>
      <c r="L36" s="376"/>
      <c r="M36" s="376"/>
      <c r="N36" s="376"/>
      <c r="O36" s="376"/>
      <c r="P36" s="376"/>
      <c r="Q36" s="376"/>
      <c r="R36" s="109"/>
    </row>
    <row r="37" spans="1:21" x14ac:dyDescent="0.2">
      <c r="A37" s="21"/>
      <c r="B37" s="10" t="s">
        <v>581</v>
      </c>
      <c r="C37" s="20"/>
      <c r="D37" s="78"/>
      <c r="E37" s="78"/>
      <c r="F37" s="377"/>
    </row>
    <row r="38" spans="1:21" x14ac:dyDescent="0.2">
      <c r="A38" s="204">
        <v>41101.091999999997</v>
      </c>
      <c r="B38" s="201" t="s">
        <v>22</v>
      </c>
      <c r="C38" s="428">
        <f>[6]ProFee!$J$17</f>
        <v>275823.15299999999</v>
      </c>
      <c r="D38" s="428">
        <f>$C38/C$7</f>
        <v>58.936571153846153</v>
      </c>
      <c r="E38" s="28"/>
      <c r="F38" s="373">
        <f>$D38*F$7</f>
        <v>23426.076008219177</v>
      </c>
      <c r="G38" s="373">
        <f t="shared" ref="G38:Q38" si="16">$D38*G$7</f>
        <v>22670.396136986299</v>
      </c>
      <c r="H38" s="373">
        <f t="shared" si="16"/>
        <v>23426.076008219177</v>
      </c>
      <c r="I38" s="373">
        <f t="shared" si="16"/>
        <v>23426.076008219177</v>
      </c>
      <c r="J38" s="373">
        <f t="shared" si="16"/>
        <v>21159.036394520546</v>
      </c>
      <c r="K38" s="373">
        <f t="shared" si="16"/>
        <v>23426.076008219177</v>
      </c>
      <c r="L38" s="373">
        <f t="shared" si="16"/>
        <v>22670.396136986299</v>
      </c>
      <c r="M38" s="373">
        <f t="shared" si="16"/>
        <v>23426.076008219177</v>
      </c>
      <c r="N38" s="373">
        <f t="shared" si="16"/>
        <v>22670.396136986299</v>
      </c>
      <c r="O38" s="373">
        <f t="shared" si="16"/>
        <v>23426.076008219177</v>
      </c>
      <c r="P38" s="373">
        <f t="shared" si="16"/>
        <v>23426.076008219177</v>
      </c>
      <c r="Q38" s="373">
        <f t="shared" si="16"/>
        <v>22670.396136986299</v>
      </c>
      <c r="R38" s="96">
        <f>SUM(F38:Q38)</f>
        <v>275823.15300000005</v>
      </c>
      <c r="S38" s="3">
        <f>C38-R38</f>
        <v>0</v>
      </c>
    </row>
    <row r="39" spans="1:21" x14ac:dyDescent="0.2">
      <c r="A39" s="204">
        <v>41110.091999999997</v>
      </c>
      <c r="B39" s="201" t="s">
        <v>21</v>
      </c>
      <c r="C39" s="428">
        <f>[6]ProFee!$J$18</f>
        <v>30647.017</v>
      </c>
      <c r="D39" s="428">
        <f t="shared" ref="D39:D41" si="17">$C39/C$7</f>
        <v>6.5485079059829063</v>
      </c>
      <c r="E39" s="28"/>
      <c r="F39" s="373">
        <f t="shared" ref="F39:Q41" si="18">$D39*F$7</f>
        <v>2602.8973342465756</v>
      </c>
      <c r="G39" s="373">
        <f t="shared" si="18"/>
        <v>2518.9329041095889</v>
      </c>
      <c r="H39" s="373">
        <f t="shared" si="18"/>
        <v>2602.8973342465756</v>
      </c>
      <c r="I39" s="373">
        <f t="shared" si="18"/>
        <v>2602.8973342465756</v>
      </c>
      <c r="J39" s="373">
        <f t="shared" si="18"/>
        <v>2351.0040438356164</v>
      </c>
      <c r="K39" s="373">
        <f t="shared" si="18"/>
        <v>2602.8973342465756</v>
      </c>
      <c r="L39" s="373">
        <f t="shared" si="18"/>
        <v>2518.9329041095889</v>
      </c>
      <c r="M39" s="373">
        <f t="shared" si="18"/>
        <v>2602.8973342465756</v>
      </c>
      <c r="N39" s="373">
        <f t="shared" si="18"/>
        <v>2518.9329041095889</v>
      </c>
      <c r="O39" s="373">
        <f t="shared" si="18"/>
        <v>2602.8973342465756</v>
      </c>
      <c r="P39" s="373">
        <f t="shared" si="18"/>
        <v>2602.8973342465756</v>
      </c>
      <c r="Q39" s="373">
        <f t="shared" si="18"/>
        <v>2518.9329041095889</v>
      </c>
      <c r="R39" s="96">
        <f t="shared" ref="R39:R62" si="19">SUM(F39:Q39)</f>
        <v>30647.017</v>
      </c>
      <c r="S39" s="3">
        <f t="shared" ref="S39:S62" si="20">C39-R39</f>
        <v>0</v>
      </c>
    </row>
    <row r="40" spans="1:21" x14ac:dyDescent="0.2">
      <c r="A40" s="204">
        <v>41115.091999999997</v>
      </c>
      <c r="B40" s="201" t="s">
        <v>20</v>
      </c>
      <c r="C40" s="428">
        <f>[6]ProFee!$J$19</f>
        <v>250</v>
      </c>
      <c r="D40" s="428">
        <f t="shared" si="17"/>
        <v>5.3418803418803416E-2</v>
      </c>
      <c r="E40" s="28"/>
      <c r="F40" s="373">
        <f t="shared" si="18"/>
        <v>21.232876712328768</v>
      </c>
      <c r="G40" s="373">
        <f t="shared" si="18"/>
        <v>20.547945205479451</v>
      </c>
      <c r="H40" s="373">
        <f t="shared" si="18"/>
        <v>21.232876712328768</v>
      </c>
      <c r="I40" s="373">
        <f t="shared" si="18"/>
        <v>21.232876712328768</v>
      </c>
      <c r="J40" s="373">
        <f t="shared" si="18"/>
        <v>19.17808219178082</v>
      </c>
      <c r="K40" s="373">
        <f t="shared" si="18"/>
        <v>21.232876712328768</v>
      </c>
      <c r="L40" s="373">
        <f t="shared" si="18"/>
        <v>20.547945205479451</v>
      </c>
      <c r="M40" s="373">
        <f t="shared" si="18"/>
        <v>21.232876712328768</v>
      </c>
      <c r="N40" s="373">
        <f t="shared" si="18"/>
        <v>20.547945205479451</v>
      </c>
      <c r="O40" s="373">
        <f t="shared" si="18"/>
        <v>21.232876712328768</v>
      </c>
      <c r="P40" s="373">
        <f t="shared" si="18"/>
        <v>21.232876712328768</v>
      </c>
      <c r="Q40" s="373">
        <f t="shared" si="18"/>
        <v>20.547945205479451</v>
      </c>
      <c r="R40" s="96">
        <f t="shared" si="19"/>
        <v>249.99999999999994</v>
      </c>
      <c r="S40" s="3">
        <f t="shared" si="20"/>
        <v>0</v>
      </c>
    </row>
    <row r="41" spans="1:21" x14ac:dyDescent="0.2">
      <c r="A41" s="204">
        <v>41150.091999999997</v>
      </c>
      <c r="B41" s="201" t="s">
        <v>19</v>
      </c>
      <c r="C41" s="428">
        <f>[6]ProFee!$J$20</f>
        <v>23464.093004999999</v>
      </c>
      <c r="D41" s="428">
        <f t="shared" si="17"/>
        <v>5.0136950865384611</v>
      </c>
      <c r="E41" s="28"/>
      <c r="F41" s="373">
        <f t="shared" si="18"/>
        <v>1992.8407757671232</v>
      </c>
      <c r="G41" s="373">
        <f t="shared" si="18"/>
        <v>1928.5555894520546</v>
      </c>
      <c r="H41" s="373">
        <f t="shared" si="18"/>
        <v>1992.8407757671232</v>
      </c>
      <c r="I41" s="373">
        <f t="shared" si="18"/>
        <v>1992.8407757671232</v>
      </c>
      <c r="J41" s="373">
        <f t="shared" si="18"/>
        <v>1799.9852168219174</v>
      </c>
      <c r="K41" s="373">
        <f t="shared" si="18"/>
        <v>1992.8407757671232</v>
      </c>
      <c r="L41" s="373">
        <f t="shared" si="18"/>
        <v>1928.5555894520546</v>
      </c>
      <c r="M41" s="373">
        <f t="shared" si="18"/>
        <v>1992.8407757671232</v>
      </c>
      <c r="N41" s="373">
        <f t="shared" si="18"/>
        <v>1928.5555894520546</v>
      </c>
      <c r="O41" s="373">
        <f t="shared" si="18"/>
        <v>1992.8407757671232</v>
      </c>
      <c r="P41" s="373">
        <f t="shared" si="18"/>
        <v>1992.8407757671232</v>
      </c>
      <c r="Q41" s="373">
        <f t="shared" si="18"/>
        <v>1928.5555894520546</v>
      </c>
      <c r="R41" s="96">
        <f t="shared" si="19"/>
        <v>23464.093004999995</v>
      </c>
      <c r="S41" s="3">
        <f t="shared" si="20"/>
        <v>0</v>
      </c>
      <c r="U41" s="2"/>
    </row>
    <row r="42" spans="1:21" x14ac:dyDescent="0.2">
      <c r="A42" s="204">
        <v>41237.091999999997</v>
      </c>
      <c r="B42" s="201" t="s">
        <v>17</v>
      </c>
      <c r="C42" s="14"/>
      <c r="D42" s="14">
        <f t="shared" ref="D42:D61" si="21">$C42/C$5</f>
        <v>0</v>
      </c>
      <c r="E42" s="28"/>
      <c r="F42" s="373">
        <f t="shared" ref="F42:Q61" si="22">$D42*F$5</f>
        <v>0</v>
      </c>
      <c r="G42" s="373">
        <f t="shared" si="22"/>
        <v>0</v>
      </c>
      <c r="H42" s="373">
        <f t="shared" si="22"/>
        <v>0</v>
      </c>
      <c r="I42" s="373">
        <f t="shared" si="22"/>
        <v>0</v>
      </c>
      <c r="J42" s="373">
        <f t="shared" si="22"/>
        <v>0</v>
      </c>
      <c r="K42" s="373">
        <f t="shared" si="22"/>
        <v>0</v>
      </c>
      <c r="L42" s="373">
        <f t="shared" si="22"/>
        <v>0</v>
      </c>
      <c r="M42" s="373">
        <f t="shared" si="22"/>
        <v>0</v>
      </c>
      <c r="N42" s="373">
        <f t="shared" si="22"/>
        <v>0</v>
      </c>
      <c r="O42" s="373">
        <f t="shared" si="22"/>
        <v>0</v>
      </c>
      <c r="P42" s="373">
        <f t="shared" si="22"/>
        <v>0</v>
      </c>
      <c r="Q42" s="373">
        <f t="shared" si="22"/>
        <v>0</v>
      </c>
      <c r="R42" s="96">
        <f t="shared" si="19"/>
        <v>0</v>
      </c>
      <c r="S42" s="3">
        <f t="shared" si="20"/>
        <v>0</v>
      </c>
      <c r="U42" s="2"/>
    </row>
    <row r="43" spans="1:21" x14ac:dyDescent="0.2">
      <c r="A43" s="204">
        <v>41246.091999999997</v>
      </c>
      <c r="B43" s="201" t="s">
        <v>16</v>
      </c>
      <c r="C43" s="14"/>
      <c r="D43" s="14">
        <f t="shared" si="21"/>
        <v>0</v>
      </c>
      <c r="E43" s="28"/>
      <c r="F43" s="373">
        <f t="shared" si="22"/>
        <v>0</v>
      </c>
      <c r="G43" s="373">
        <f t="shared" si="22"/>
        <v>0</v>
      </c>
      <c r="H43" s="373">
        <f t="shared" si="22"/>
        <v>0</v>
      </c>
      <c r="I43" s="373">
        <f t="shared" si="22"/>
        <v>0</v>
      </c>
      <c r="J43" s="373">
        <f t="shared" si="22"/>
        <v>0</v>
      </c>
      <c r="K43" s="373">
        <f t="shared" si="22"/>
        <v>0</v>
      </c>
      <c r="L43" s="373">
        <f t="shared" si="22"/>
        <v>0</v>
      </c>
      <c r="M43" s="373">
        <f t="shared" si="22"/>
        <v>0</v>
      </c>
      <c r="N43" s="373">
        <f t="shared" si="22"/>
        <v>0</v>
      </c>
      <c r="O43" s="373">
        <f t="shared" si="22"/>
        <v>0</v>
      </c>
      <c r="P43" s="373">
        <f t="shared" si="22"/>
        <v>0</v>
      </c>
      <c r="Q43" s="373">
        <f t="shared" si="22"/>
        <v>0</v>
      </c>
      <c r="R43" s="96">
        <f t="shared" si="19"/>
        <v>0</v>
      </c>
      <c r="S43" s="3">
        <f t="shared" si="20"/>
        <v>0</v>
      </c>
      <c r="U43" s="2"/>
    </row>
    <row r="44" spans="1:21" x14ac:dyDescent="0.2">
      <c r="A44" s="204">
        <v>41250.091999999997</v>
      </c>
      <c r="B44" s="201" t="s">
        <v>15</v>
      </c>
      <c r="C44" s="14"/>
      <c r="D44" s="14">
        <f t="shared" si="21"/>
        <v>0</v>
      </c>
      <c r="E44" s="28"/>
      <c r="F44" s="373">
        <f t="shared" si="22"/>
        <v>0</v>
      </c>
      <c r="G44" s="373">
        <f t="shared" si="22"/>
        <v>0</v>
      </c>
      <c r="H44" s="373">
        <f t="shared" si="22"/>
        <v>0</v>
      </c>
      <c r="I44" s="373">
        <f t="shared" si="22"/>
        <v>0</v>
      </c>
      <c r="J44" s="373">
        <f t="shared" si="22"/>
        <v>0</v>
      </c>
      <c r="K44" s="373">
        <f t="shared" si="22"/>
        <v>0</v>
      </c>
      <c r="L44" s="373">
        <f t="shared" si="22"/>
        <v>0</v>
      </c>
      <c r="M44" s="373">
        <f t="shared" si="22"/>
        <v>0</v>
      </c>
      <c r="N44" s="373">
        <f t="shared" si="22"/>
        <v>0</v>
      </c>
      <c r="O44" s="373">
        <f t="shared" si="22"/>
        <v>0</v>
      </c>
      <c r="P44" s="373">
        <f t="shared" si="22"/>
        <v>0</v>
      </c>
      <c r="Q44" s="373">
        <f t="shared" si="22"/>
        <v>0</v>
      </c>
      <c r="R44" s="96">
        <f t="shared" si="19"/>
        <v>0</v>
      </c>
      <c r="S44" s="3">
        <f t="shared" si="20"/>
        <v>0</v>
      </c>
      <c r="U44" s="2"/>
    </row>
    <row r="45" spans="1:21" x14ac:dyDescent="0.2">
      <c r="A45" s="204">
        <v>41253.091999999997</v>
      </c>
      <c r="B45" s="201" t="s">
        <v>877</v>
      </c>
      <c r="C45" s="14"/>
      <c r="D45" s="14">
        <f t="shared" si="21"/>
        <v>0</v>
      </c>
      <c r="E45" s="28"/>
      <c r="F45" s="373">
        <f t="shared" si="22"/>
        <v>0</v>
      </c>
      <c r="G45" s="373">
        <f t="shared" si="22"/>
        <v>0</v>
      </c>
      <c r="H45" s="373">
        <f t="shared" si="22"/>
        <v>0</v>
      </c>
      <c r="I45" s="373">
        <f t="shared" si="22"/>
        <v>0</v>
      </c>
      <c r="J45" s="373">
        <f t="shared" si="22"/>
        <v>0</v>
      </c>
      <c r="K45" s="373">
        <f t="shared" si="22"/>
        <v>0</v>
      </c>
      <c r="L45" s="373">
        <f t="shared" si="22"/>
        <v>0</v>
      </c>
      <c r="M45" s="373">
        <f t="shared" si="22"/>
        <v>0</v>
      </c>
      <c r="N45" s="373">
        <f t="shared" si="22"/>
        <v>0</v>
      </c>
      <c r="O45" s="373">
        <f t="shared" si="22"/>
        <v>0</v>
      </c>
      <c r="P45" s="373">
        <f t="shared" si="22"/>
        <v>0</v>
      </c>
      <c r="Q45" s="373">
        <f t="shared" si="22"/>
        <v>0</v>
      </c>
      <c r="R45" s="96">
        <f t="shared" si="19"/>
        <v>0</v>
      </c>
      <c r="S45" s="3">
        <f t="shared" si="20"/>
        <v>0</v>
      </c>
      <c r="U45" s="2"/>
    </row>
    <row r="46" spans="1:21" x14ac:dyDescent="0.2">
      <c r="A46" s="204">
        <v>41237.091999999997</v>
      </c>
      <c r="B46" s="201" t="s">
        <v>582</v>
      </c>
      <c r="C46" s="14"/>
      <c r="D46" s="14">
        <f t="shared" si="21"/>
        <v>0</v>
      </c>
      <c r="E46" s="28"/>
      <c r="F46" s="373">
        <f t="shared" si="22"/>
        <v>0</v>
      </c>
      <c r="G46" s="373">
        <f t="shared" si="22"/>
        <v>0</v>
      </c>
      <c r="H46" s="373">
        <f t="shared" si="22"/>
        <v>0</v>
      </c>
      <c r="I46" s="373">
        <f t="shared" si="22"/>
        <v>0</v>
      </c>
      <c r="J46" s="373">
        <f t="shared" si="22"/>
        <v>0</v>
      </c>
      <c r="K46" s="373">
        <f t="shared" si="22"/>
        <v>0</v>
      </c>
      <c r="L46" s="373">
        <f t="shared" si="22"/>
        <v>0</v>
      </c>
      <c r="M46" s="373">
        <f t="shared" si="22"/>
        <v>0</v>
      </c>
      <c r="N46" s="373">
        <f t="shared" si="22"/>
        <v>0</v>
      </c>
      <c r="O46" s="373">
        <f t="shared" si="22"/>
        <v>0</v>
      </c>
      <c r="P46" s="373">
        <f t="shared" si="22"/>
        <v>0</v>
      </c>
      <c r="Q46" s="373">
        <f t="shared" si="22"/>
        <v>0</v>
      </c>
      <c r="R46" s="96">
        <f t="shared" si="19"/>
        <v>0</v>
      </c>
      <c r="S46" s="3">
        <f t="shared" si="20"/>
        <v>0</v>
      </c>
    </row>
    <row r="47" spans="1:21" x14ac:dyDescent="0.2">
      <c r="A47" s="204">
        <v>41300.091</v>
      </c>
      <c r="B47" s="201" t="s">
        <v>583</v>
      </c>
      <c r="C47" s="14">
        <f>[6]ProFee!$J$16</f>
        <v>323700</v>
      </c>
      <c r="D47" s="14">
        <f t="shared" si="21"/>
        <v>44.142915587072139</v>
      </c>
      <c r="E47" s="28"/>
      <c r="F47" s="373">
        <f t="shared" si="22"/>
        <v>26132.606027546706</v>
      </c>
      <c r="G47" s="373">
        <f t="shared" si="22"/>
        <v>25293.890631392336</v>
      </c>
      <c r="H47" s="373">
        <f t="shared" si="22"/>
        <v>26441.60643665621</v>
      </c>
      <c r="I47" s="373">
        <f t="shared" si="22"/>
        <v>27147.893086049364</v>
      </c>
      <c r="J47" s="373">
        <f t="shared" si="22"/>
        <v>26176.748943133778</v>
      </c>
      <c r="K47" s="373">
        <f t="shared" si="22"/>
        <v>28692.895131596892</v>
      </c>
      <c r="L47" s="373">
        <f t="shared" si="22"/>
        <v>27677.60807309423</v>
      </c>
      <c r="M47" s="373">
        <f t="shared" si="22"/>
        <v>29487.46761216419</v>
      </c>
      <c r="N47" s="373">
        <f t="shared" si="22"/>
        <v>26485.749352243285</v>
      </c>
      <c r="O47" s="373">
        <f t="shared" si="22"/>
        <v>24675.889813173326</v>
      </c>
      <c r="P47" s="373">
        <f t="shared" si="22"/>
        <v>27147.893086049364</v>
      </c>
      <c r="Q47" s="373">
        <f t="shared" si="22"/>
        <v>28339.751806900313</v>
      </c>
      <c r="R47" s="96">
        <f t="shared" si="19"/>
        <v>323699.99999999994</v>
      </c>
    </row>
    <row r="48" spans="1:21" x14ac:dyDescent="0.2">
      <c r="A48" s="204">
        <v>41301.091999999997</v>
      </c>
      <c r="B48" s="201" t="s">
        <v>953</v>
      </c>
      <c r="C48" s="14">
        <f>[6]ProFee!$J$21</f>
        <v>49430</v>
      </c>
      <c r="D48" s="14">
        <f t="shared" si="21"/>
        <v>6.7407609436792582</v>
      </c>
      <c r="E48" s="28"/>
      <c r="F48" s="373">
        <f t="shared" si="22"/>
        <v>3990.530478658121</v>
      </c>
      <c r="G48" s="373">
        <f t="shared" si="22"/>
        <v>3862.4560207282148</v>
      </c>
      <c r="H48" s="373">
        <f t="shared" si="22"/>
        <v>4037.7158052638756</v>
      </c>
      <c r="I48" s="373">
        <f t="shared" si="22"/>
        <v>4145.5679803627436</v>
      </c>
      <c r="J48" s="373">
        <f t="shared" si="22"/>
        <v>3997.2712396018001</v>
      </c>
      <c r="K48" s="373">
        <f t="shared" si="22"/>
        <v>4381.4946133915182</v>
      </c>
      <c r="L48" s="373">
        <f t="shared" si="22"/>
        <v>4226.4571116868947</v>
      </c>
      <c r="M48" s="373">
        <f t="shared" si="22"/>
        <v>4502.8283103777449</v>
      </c>
      <c r="N48" s="373">
        <f t="shared" si="22"/>
        <v>4044.4565662075547</v>
      </c>
      <c r="O48" s="373">
        <f t="shared" si="22"/>
        <v>3768.0853675167054</v>
      </c>
      <c r="P48" s="373">
        <f t="shared" si="22"/>
        <v>4145.5679803627436</v>
      </c>
      <c r="Q48" s="373">
        <f t="shared" si="22"/>
        <v>4327.5685258420835</v>
      </c>
      <c r="R48" s="96">
        <f t="shared" si="19"/>
        <v>49430</v>
      </c>
      <c r="S48" s="3">
        <f t="shared" si="20"/>
        <v>0</v>
      </c>
      <c r="T48" s="2"/>
      <c r="U48" s="2"/>
    </row>
    <row r="49" spans="1:21" x14ac:dyDescent="0.2">
      <c r="A49" s="204">
        <v>41313.091999999997</v>
      </c>
      <c r="B49" s="201" t="s">
        <v>949</v>
      </c>
      <c r="C49" s="14">
        <f>[6]ProFee!$J$22</f>
        <v>66020</v>
      </c>
      <c r="D49" s="14">
        <f t="shared" si="21"/>
        <v>9.003136506204827</v>
      </c>
      <c r="E49" s="28"/>
      <c r="F49" s="373">
        <f t="shared" si="22"/>
        <v>5329.8568116732577</v>
      </c>
      <c r="G49" s="373">
        <f t="shared" si="22"/>
        <v>5158.7972180553661</v>
      </c>
      <c r="H49" s="373">
        <f t="shared" si="22"/>
        <v>5392.8787672166909</v>
      </c>
      <c r="I49" s="373">
        <f t="shared" si="22"/>
        <v>5536.9289513159683</v>
      </c>
      <c r="J49" s="373">
        <f t="shared" si="22"/>
        <v>5338.8599481794627</v>
      </c>
      <c r="K49" s="373">
        <f t="shared" si="22"/>
        <v>5852.0387290331373</v>
      </c>
      <c r="L49" s="373">
        <f t="shared" si="22"/>
        <v>5644.9665893904266</v>
      </c>
      <c r="M49" s="373">
        <f t="shared" si="22"/>
        <v>6014.0951861448248</v>
      </c>
      <c r="N49" s="373">
        <f t="shared" si="22"/>
        <v>5401.8819037228959</v>
      </c>
      <c r="O49" s="373">
        <f t="shared" si="22"/>
        <v>5032.7533069684987</v>
      </c>
      <c r="P49" s="373">
        <f t="shared" si="22"/>
        <v>5536.9289513159683</v>
      </c>
      <c r="Q49" s="373">
        <f t="shared" si="22"/>
        <v>5780.0136369834991</v>
      </c>
      <c r="R49" s="104">
        <f t="shared" ref="R49" si="23">SUM(F49:Q49)</f>
        <v>66020</v>
      </c>
      <c r="S49" s="7">
        <f t="shared" ref="S49" si="24">C49-R49</f>
        <v>0</v>
      </c>
      <c r="T49" s="2"/>
      <c r="U49" s="2"/>
    </row>
    <row r="50" spans="1:21" x14ac:dyDescent="0.2">
      <c r="A50" s="204">
        <v>41342.091999999997</v>
      </c>
      <c r="B50" s="201" t="s">
        <v>584</v>
      </c>
      <c r="C50" s="14"/>
      <c r="D50" s="14">
        <f t="shared" si="21"/>
        <v>0</v>
      </c>
      <c r="E50" s="28"/>
      <c r="F50" s="373">
        <f t="shared" si="22"/>
        <v>0</v>
      </c>
      <c r="G50" s="373">
        <f t="shared" si="22"/>
        <v>0</v>
      </c>
      <c r="H50" s="373">
        <f t="shared" si="22"/>
        <v>0</v>
      </c>
      <c r="I50" s="373">
        <f t="shared" si="22"/>
        <v>0</v>
      </c>
      <c r="J50" s="373">
        <f t="shared" si="22"/>
        <v>0</v>
      </c>
      <c r="K50" s="373">
        <f t="shared" si="22"/>
        <v>0</v>
      </c>
      <c r="L50" s="373">
        <f t="shared" si="22"/>
        <v>0</v>
      </c>
      <c r="M50" s="373">
        <f t="shared" si="22"/>
        <v>0</v>
      </c>
      <c r="N50" s="373">
        <f t="shared" si="22"/>
        <v>0</v>
      </c>
      <c r="O50" s="373">
        <f t="shared" si="22"/>
        <v>0</v>
      </c>
      <c r="P50" s="373">
        <f t="shared" si="22"/>
        <v>0</v>
      </c>
      <c r="Q50" s="373">
        <f t="shared" si="22"/>
        <v>0</v>
      </c>
      <c r="R50" s="96">
        <f t="shared" si="19"/>
        <v>0</v>
      </c>
      <c r="S50" s="3">
        <f t="shared" si="20"/>
        <v>0</v>
      </c>
      <c r="T50" s="2"/>
      <c r="U50" s="2"/>
    </row>
    <row r="51" spans="1:21" x14ac:dyDescent="0.2">
      <c r="A51" s="204">
        <v>41365.091999999997</v>
      </c>
      <c r="B51" s="201" t="s">
        <v>10</v>
      </c>
      <c r="C51" s="14"/>
      <c r="D51" s="14">
        <f t="shared" si="21"/>
        <v>0</v>
      </c>
      <c r="E51" s="28"/>
      <c r="F51" s="373">
        <f t="shared" si="22"/>
        <v>0</v>
      </c>
      <c r="G51" s="373">
        <f t="shared" si="22"/>
        <v>0</v>
      </c>
      <c r="H51" s="373">
        <f t="shared" si="22"/>
        <v>0</v>
      </c>
      <c r="I51" s="373">
        <f t="shared" si="22"/>
        <v>0</v>
      </c>
      <c r="J51" s="373">
        <f t="shared" si="22"/>
        <v>0</v>
      </c>
      <c r="K51" s="373">
        <f t="shared" si="22"/>
        <v>0</v>
      </c>
      <c r="L51" s="373">
        <f t="shared" si="22"/>
        <v>0</v>
      </c>
      <c r="M51" s="373">
        <f t="shared" si="22"/>
        <v>0</v>
      </c>
      <c r="N51" s="373">
        <f t="shared" si="22"/>
        <v>0</v>
      </c>
      <c r="O51" s="373">
        <f t="shared" si="22"/>
        <v>0</v>
      </c>
      <c r="P51" s="373">
        <f t="shared" si="22"/>
        <v>0</v>
      </c>
      <c r="Q51" s="373">
        <f t="shared" si="22"/>
        <v>0</v>
      </c>
      <c r="R51" s="96">
        <f t="shared" si="19"/>
        <v>0</v>
      </c>
      <c r="S51" s="3">
        <f t="shared" si="20"/>
        <v>0</v>
      </c>
      <c r="T51" s="2"/>
      <c r="U51" s="2"/>
    </row>
    <row r="52" spans="1:21" x14ac:dyDescent="0.2">
      <c r="A52" s="204">
        <v>41423.091999999997</v>
      </c>
      <c r="B52" s="201" t="s">
        <v>419</v>
      </c>
      <c r="C52" s="14"/>
      <c r="D52" s="14">
        <f t="shared" si="21"/>
        <v>0</v>
      </c>
      <c r="E52" s="28"/>
      <c r="F52" s="373">
        <f t="shared" si="22"/>
        <v>0</v>
      </c>
      <c r="G52" s="373">
        <f t="shared" si="22"/>
        <v>0</v>
      </c>
      <c r="H52" s="373">
        <f t="shared" si="22"/>
        <v>0</v>
      </c>
      <c r="I52" s="373">
        <f t="shared" si="22"/>
        <v>0</v>
      </c>
      <c r="J52" s="373">
        <f t="shared" si="22"/>
        <v>0</v>
      </c>
      <c r="K52" s="373">
        <f t="shared" si="22"/>
        <v>0</v>
      </c>
      <c r="L52" s="373">
        <f t="shared" si="22"/>
        <v>0</v>
      </c>
      <c r="M52" s="373">
        <f t="shared" si="22"/>
        <v>0</v>
      </c>
      <c r="N52" s="373">
        <f t="shared" si="22"/>
        <v>0</v>
      </c>
      <c r="O52" s="373">
        <f t="shared" si="22"/>
        <v>0</v>
      </c>
      <c r="P52" s="373">
        <f t="shared" si="22"/>
        <v>0</v>
      </c>
      <c r="Q52" s="373">
        <f t="shared" si="22"/>
        <v>0</v>
      </c>
      <c r="R52" s="96">
        <f t="shared" si="19"/>
        <v>0</v>
      </c>
      <c r="S52" s="3">
        <f t="shared" si="20"/>
        <v>0</v>
      </c>
      <c r="T52" s="2"/>
      <c r="U52" s="2"/>
    </row>
    <row r="53" spans="1:21" x14ac:dyDescent="0.2">
      <c r="A53" s="204">
        <v>41426.091999999997</v>
      </c>
      <c r="B53" s="201" t="s">
        <v>8</v>
      </c>
      <c r="C53" s="14"/>
      <c r="D53" s="14">
        <f t="shared" si="21"/>
        <v>0</v>
      </c>
      <c r="E53" s="28"/>
      <c r="F53" s="373">
        <f t="shared" si="22"/>
        <v>0</v>
      </c>
      <c r="G53" s="373">
        <f t="shared" si="22"/>
        <v>0</v>
      </c>
      <c r="H53" s="373">
        <f t="shared" si="22"/>
        <v>0</v>
      </c>
      <c r="I53" s="373">
        <f t="shared" si="22"/>
        <v>0</v>
      </c>
      <c r="J53" s="373">
        <f t="shared" si="22"/>
        <v>0</v>
      </c>
      <c r="K53" s="373">
        <f t="shared" si="22"/>
        <v>0</v>
      </c>
      <c r="L53" s="373">
        <f t="shared" si="22"/>
        <v>0</v>
      </c>
      <c r="M53" s="373">
        <f t="shared" si="22"/>
        <v>0</v>
      </c>
      <c r="N53" s="373">
        <f t="shared" si="22"/>
        <v>0</v>
      </c>
      <c r="O53" s="373">
        <f t="shared" si="22"/>
        <v>0</v>
      </c>
      <c r="P53" s="373">
        <f t="shared" si="22"/>
        <v>0</v>
      </c>
      <c r="Q53" s="373">
        <f t="shared" si="22"/>
        <v>0</v>
      </c>
      <c r="R53" s="96">
        <f t="shared" si="19"/>
        <v>0</v>
      </c>
      <c r="S53" s="3">
        <f t="shared" si="20"/>
        <v>0</v>
      </c>
      <c r="T53" s="2"/>
      <c r="U53" s="2"/>
    </row>
    <row r="54" spans="1:21" x14ac:dyDescent="0.2">
      <c r="A54" s="204">
        <v>41439.091999999997</v>
      </c>
      <c r="B54" s="201" t="s">
        <v>366</v>
      </c>
      <c r="C54" s="14"/>
      <c r="D54" s="14">
        <f t="shared" si="21"/>
        <v>0</v>
      </c>
      <c r="E54" s="28"/>
      <c r="F54" s="373">
        <f t="shared" si="22"/>
        <v>0</v>
      </c>
      <c r="G54" s="373">
        <f t="shared" si="22"/>
        <v>0</v>
      </c>
      <c r="H54" s="373">
        <f t="shared" si="22"/>
        <v>0</v>
      </c>
      <c r="I54" s="373">
        <f t="shared" si="22"/>
        <v>0</v>
      </c>
      <c r="J54" s="373">
        <f t="shared" si="22"/>
        <v>0</v>
      </c>
      <c r="K54" s="373">
        <f t="shared" si="22"/>
        <v>0</v>
      </c>
      <c r="L54" s="373">
        <f t="shared" si="22"/>
        <v>0</v>
      </c>
      <c r="M54" s="373">
        <f t="shared" si="22"/>
        <v>0</v>
      </c>
      <c r="N54" s="373">
        <f t="shared" si="22"/>
        <v>0</v>
      </c>
      <c r="O54" s="373">
        <f t="shared" si="22"/>
        <v>0</v>
      </c>
      <c r="P54" s="373">
        <f t="shared" si="22"/>
        <v>0</v>
      </c>
      <c r="Q54" s="373">
        <f t="shared" si="22"/>
        <v>0</v>
      </c>
      <c r="R54" s="96">
        <f t="shared" si="19"/>
        <v>0</v>
      </c>
      <c r="S54" s="3">
        <f t="shared" si="20"/>
        <v>0</v>
      </c>
    </row>
    <row r="55" spans="1:21" x14ac:dyDescent="0.2">
      <c r="A55" s="204">
        <v>41440.091999999997</v>
      </c>
      <c r="B55" s="201" t="s">
        <v>7</v>
      </c>
      <c r="C55" s="14"/>
      <c r="D55" s="14">
        <f t="shared" si="21"/>
        <v>0</v>
      </c>
      <c r="E55" s="28"/>
      <c r="F55" s="373">
        <f t="shared" si="22"/>
        <v>0</v>
      </c>
      <c r="G55" s="373">
        <f t="shared" si="22"/>
        <v>0</v>
      </c>
      <c r="H55" s="373">
        <f t="shared" si="22"/>
        <v>0</v>
      </c>
      <c r="I55" s="373">
        <f t="shared" si="22"/>
        <v>0</v>
      </c>
      <c r="J55" s="373">
        <f t="shared" si="22"/>
        <v>0</v>
      </c>
      <c r="K55" s="373">
        <f t="shared" si="22"/>
        <v>0</v>
      </c>
      <c r="L55" s="373">
        <f t="shared" si="22"/>
        <v>0</v>
      </c>
      <c r="M55" s="373">
        <f t="shared" si="22"/>
        <v>0</v>
      </c>
      <c r="N55" s="373">
        <f t="shared" si="22"/>
        <v>0</v>
      </c>
      <c r="O55" s="373">
        <f t="shared" si="22"/>
        <v>0</v>
      </c>
      <c r="P55" s="373">
        <f t="shared" si="22"/>
        <v>0</v>
      </c>
      <c r="Q55" s="373">
        <f t="shared" si="22"/>
        <v>0</v>
      </c>
      <c r="R55" s="96">
        <f t="shared" si="19"/>
        <v>0</v>
      </c>
      <c r="S55" s="3">
        <f t="shared" si="20"/>
        <v>0</v>
      </c>
    </row>
    <row r="56" spans="1:21" x14ac:dyDescent="0.2">
      <c r="A56" s="204">
        <v>41460.091999999997</v>
      </c>
      <c r="B56" s="201" t="s">
        <v>6</v>
      </c>
      <c r="C56" s="14"/>
      <c r="D56" s="14">
        <f t="shared" si="21"/>
        <v>0</v>
      </c>
      <c r="E56" s="28"/>
      <c r="F56" s="373">
        <f t="shared" si="22"/>
        <v>0</v>
      </c>
      <c r="G56" s="373">
        <f t="shared" si="22"/>
        <v>0</v>
      </c>
      <c r="H56" s="373">
        <f t="shared" si="22"/>
        <v>0</v>
      </c>
      <c r="I56" s="373">
        <f t="shared" si="22"/>
        <v>0</v>
      </c>
      <c r="J56" s="373">
        <f t="shared" si="22"/>
        <v>0</v>
      </c>
      <c r="K56" s="373">
        <f t="shared" si="22"/>
        <v>0</v>
      </c>
      <c r="L56" s="373">
        <f t="shared" si="22"/>
        <v>0</v>
      </c>
      <c r="M56" s="373">
        <f t="shared" si="22"/>
        <v>0</v>
      </c>
      <c r="N56" s="373">
        <f t="shared" si="22"/>
        <v>0</v>
      </c>
      <c r="O56" s="373">
        <f t="shared" si="22"/>
        <v>0</v>
      </c>
      <c r="P56" s="373">
        <f t="shared" si="22"/>
        <v>0</v>
      </c>
      <c r="Q56" s="373">
        <f t="shared" si="22"/>
        <v>0</v>
      </c>
      <c r="R56" s="96">
        <f t="shared" si="19"/>
        <v>0</v>
      </c>
      <c r="S56" s="3">
        <f t="shared" si="20"/>
        <v>0</v>
      </c>
    </row>
    <row r="57" spans="1:21" x14ac:dyDescent="0.2">
      <c r="A57" s="204">
        <v>41490.091999999997</v>
      </c>
      <c r="B57" s="201" t="s">
        <v>367</v>
      </c>
      <c r="C57" s="14"/>
      <c r="D57" s="14">
        <f t="shared" si="21"/>
        <v>0</v>
      </c>
      <c r="E57" s="28"/>
      <c r="F57" s="373">
        <f t="shared" si="22"/>
        <v>0</v>
      </c>
      <c r="G57" s="373">
        <f t="shared" si="22"/>
        <v>0</v>
      </c>
      <c r="H57" s="373">
        <f t="shared" si="22"/>
        <v>0</v>
      </c>
      <c r="I57" s="373">
        <f t="shared" si="22"/>
        <v>0</v>
      </c>
      <c r="J57" s="373">
        <f t="shared" si="22"/>
        <v>0</v>
      </c>
      <c r="K57" s="373">
        <f t="shared" si="22"/>
        <v>0</v>
      </c>
      <c r="L57" s="373">
        <f t="shared" si="22"/>
        <v>0</v>
      </c>
      <c r="M57" s="373">
        <f t="shared" si="22"/>
        <v>0</v>
      </c>
      <c r="N57" s="373">
        <f t="shared" si="22"/>
        <v>0</v>
      </c>
      <c r="O57" s="373">
        <f t="shared" si="22"/>
        <v>0</v>
      </c>
      <c r="P57" s="373">
        <f t="shared" si="22"/>
        <v>0</v>
      </c>
      <c r="Q57" s="373">
        <f t="shared" si="22"/>
        <v>0</v>
      </c>
      <c r="R57" s="96">
        <f t="shared" si="19"/>
        <v>0</v>
      </c>
      <c r="S57" s="3">
        <f t="shared" si="20"/>
        <v>0</v>
      </c>
    </row>
    <row r="58" spans="1:21" x14ac:dyDescent="0.2">
      <c r="A58" s="204">
        <v>41509.091999999997</v>
      </c>
      <c r="B58" s="201" t="s">
        <v>585</v>
      </c>
      <c r="C58" s="14"/>
      <c r="D58" s="14">
        <f t="shared" si="21"/>
        <v>0</v>
      </c>
      <c r="E58" s="28"/>
      <c r="F58" s="373">
        <f t="shared" si="22"/>
        <v>0</v>
      </c>
      <c r="G58" s="373">
        <f t="shared" si="22"/>
        <v>0</v>
      </c>
      <c r="H58" s="373">
        <f t="shared" si="22"/>
        <v>0</v>
      </c>
      <c r="I58" s="373">
        <f t="shared" si="22"/>
        <v>0</v>
      </c>
      <c r="J58" s="373">
        <f t="shared" si="22"/>
        <v>0</v>
      </c>
      <c r="K58" s="373">
        <f t="shared" si="22"/>
        <v>0</v>
      </c>
      <c r="L58" s="373">
        <f t="shared" si="22"/>
        <v>0</v>
      </c>
      <c r="M58" s="373">
        <f t="shared" si="22"/>
        <v>0</v>
      </c>
      <c r="N58" s="373">
        <f t="shared" si="22"/>
        <v>0</v>
      </c>
      <c r="O58" s="373">
        <f t="shared" si="22"/>
        <v>0</v>
      </c>
      <c r="P58" s="373">
        <f t="shared" si="22"/>
        <v>0</v>
      </c>
      <c r="Q58" s="373">
        <f t="shared" si="22"/>
        <v>0</v>
      </c>
      <c r="R58" s="96">
        <f t="shared" si="19"/>
        <v>0</v>
      </c>
      <c r="S58" s="3">
        <f t="shared" si="20"/>
        <v>0</v>
      </c>
    </row>
    <row r="59" spans="1:21" x14ac:dyDescent="0.2">
      <c r="A59" s="204">
        <v>41560.091999999997</v>
      </c>
      <c r="B59" s="201" t="s">
        <v>420</v>
      </c>
      <c r="C59" s="14">
        <f>[6]ProFee!$J$23</f>
        <v>750</v>
      </c>
      <c r="D59" s="14">
        <f t="shared" si="21"/>
        <v>0.10227737624437475</v>
      </c>
      <c r="E59" s="28"/>
      <c r="F59" s="373">
        <f t="shared" si="22"/>
        <v>60.548206736669847</v>
      </c>
      <c r="G59" s="373">
        <f t="shared" si="22"/>
        <v>58.604936588026732</v>
      </c>
      <c r="H59" s="373">
        <f t="shared" si="22"/>
        <v>61.264148370380475</v>
      </c>
      <c r="I59" s="373">
        <f t="shared" si="22"/>
        <v>62.900586390290471</v>
      </c>
      <c r="J59" s="373">
        <f t="shared" si="22"/>
        <v>60.650484112914228</v>
      </c>
      <c r="K59" s="373">
        <f t="shared" si="22"/>
        <v>66.480294558843582</v>
      </c>
      <c r="L59" s="373">
        <f t="shared" si="22"/>
        <v>64.127914905222966</v>
      </c>
      <c r="M59" s="373">
        <f t="shared" si="22"/>
        <v>68.321287331242331</v>
      </c>
      <c r="N59" s="373">
        <f t="shared" si="22"/>
        <v>61.366425746624849</v>
      </c>
      <c r="O59" s="373">
        <f t="shared" si="22"/>
        <v>57.173053320605483</v>
      </c>
      <c r="P59" s="373">
        <f t="shared" si="22"/>
        <v>62.900586390290471</v>
      </c>
      <c r="Q59" s="373">
        <f t="shared" si="22"/>
        <v>65.662075548888581</v>
      </c>
      <c r="R59" s="96">
        <f t="shared" si="19"/>
        <v>749.99999999999989</v>
      </c>
      <c r="S59" s="3">
        <f t="shared" si="20"/>
        <v>0</v>
      </c>
    </row>
    <row r="60" spans="1:21" x14ac:dyDescent="0.2">
      <c r="A60" s="204">
        <v>41570.091999999997</v>
      </c>
      <c r="B60" s="201" t="s">
        <v>586</v>
      </c>
      <c r="C60" s="14"/>
      <c r="D60" s="14">
        <f t="shared" si="21"/>
        <v>0</v>
      </c>
      <c r="E60" s="28"/>
      <c r="F60" s="373">
        <f t="shared" si="22"/>
        <v>0</v>
      </c>
      <c r="G60" s="373">
        <f t="shared" si="22"/>
        <v>0</v>
      </c>
      <c r="H60" s="373">
        <f t="shared" si="22"/>
        <v>0</v>
      </c>
      <c r="I60" s="373">
        <f t="shared" si="22"/>
        <v>0</v>
      </c>
      <c r="J60" s="373">
        <f t="shared" si="22"/>
        <v>0</v>
      </c>
      <c r="K60" s="373">
        <f t="shared" si="22"/>
        <v>0</v>
      </c>
      <c r="L60" s="373">
        <f t="shared" si="22"/>
        <v>0</v>
      </c>
      <c r="M60" s="373">
        <f t="shared" si="22"/>
        <v>0</v>
      </c>
      <c r="N60" s="373">
        <f t="shared" si="22"/>
        <v>0</v>
      </c>
      <c r="O60" s="373">
        <f t="shared" si="22"/>
        <v>0</v>
      </c>
      <c r="P60" s="373">
        <f t="shared" si="22"/>
        <v>0</v>
      </c>
      <c r="Q60" s="373">
        <f t="shared" si="22"/>
        <v>0</v>
      </c>
      <c r="R60" s="96">
        <f t="shared" si="19"/>
        <v>0</v>
      </c>
      <c r="S60" s="3">
        <f t="shared" si="20"/>
        <v>0</v>
      </c>
    </row>
    <row r="61" spans="1:21" x14ac:dyDescent="0.2">
      <c r="A61" s="204">
        <v>41571.091999999997</v>
      </c>
      <c r="B61" s="201" t="s">
        <v>1</v>
      </c>
      <c r="C61" s="14"/>
      <c r="D61" s="14">
        <f t="shared" si="21"/>
        <v>0</v>
      </c>
      <c r="E61" s="28"/>
      <c r="F61" s="373">
        <f t="shared" si="22"/>
        <v>0</v>
      </c>
      <c r="G61" s="373">
        <f t="shared" si="22"/>
        <v>0</v>
      </c>
      <c r="H61" s="373">
        <f t="shared" si="22"/>
        <v>0</v>
      </c>
      <c r="I61" s="373">
        <f t="shared" si="22"/>
        <v>0</v>
      </c>
      <c r="J61" s="373">
        <f t="shared" si="22"/>
        <v>0</v>
      </c>
      <c r="K61" s="373">
        <f t="shared" si="22"/>
        <v>0</v>
      </c>
      <c r="L61" s="373">
        <f t="shared" si="22"/>
        <v>0</v>
      </c>
      <c r="M61" s="373">
        <f t="shared" si="22"/>
        <v>0</v>
      </c>
      <c r="N61" s="373">
        <f t="shared" si="22"/>
        <v>0</v>
      </c>
      <c r="O61" s="373">
        <f t="shared" si="22"/>
        <v>0</v>
      </c>
      <c r="P61" s="373">
        <f t="shared" si="22"/>
        <v>0</v>
      </c>
      <c r="Q61" s="373">
        <f t="shared" si="22"/>
        <v>0</v>
      </c>
      <c r="R61" s="96">
        <f t="shared" si="19"/>
        <v>0</v>
      </c>
      <c r="S61" s="3">
        <f t="shared" si="20"/>
        <v>0</v>
      </c>
    </row>
    <row r="62" spans="1:21" x14ac:dyDescent="0.2">
      <c r="A62" s="202"/>
      <c r="B62" s="203" t="s">
        <v>0</v>
      </c>
      <c r="C62" s="183">
        <f>SUM(C37:C61)</f>
        <v>770084.26300499996</v>
      </c>
      <c r="D62" s="104">
        <f>$C62/C$5</f>
        <v>105.01626387631255</v>
      </c>
      <c r="E62" s="111"/>
      <c r="F62" s="379">
        <f>SUM(F38:F61)</f>
        <v>63556.588519559955</v>
      </c>
      <c r="G62" s="379">
        <f t="shared" ref="G62:Q62" si="25">SUM(G38:G61)</f>
        <v>61512.181382517367</v>
      </c>
      <c r="H62" s="379">
        <f t="shared" si="25"/>
        <v>63976.512152452357</v>
      </c>
      <c r="I62" s="379">
        <f t="shared" si="25"/>
        <v>64936.337599063569</v>
      </c>
      <c r="J62" s="379">
        <f t="shared" si="25"/>
        <v>60902.734352397827</v>
      </c>
      <c r="K62" s="379">
        <f t="shared" si="25"/>
        <v>67035.955763525606</v>
      </c>
      <c r="L62" s="379">
        <f t="shared" si="25"/>
        <v>64751.592264830193</v>
      </c>
      <c r="M62" s="379">
        <f t="shared" si="25"/>
        <v>68115.759390963198</v>
      </c>
      <c r="N62" s="379">
        <f t="shared" si="25"/>
        <v>63131.886823673776</v>
      </c>
      <c r="O62" s="379">
        <f t="shared" si="25"/>
        <v>61576.948535924348</v>
      </c>
      <c r="P62" s="379">
        <f t="shared" si="25"/>
        <v>64936.337599063569</v>
      </c>
      <c r="Q62" s="379">
        <f t="shared" si="25"/>
        <v>65651.428621028201</v>
      </c>
      <c r="R62" s="96">
        <f t="shared" si="19"/>
        <v>770084.26300499996</v>
      </c>
      <c r="S62" s="3">
        <f t="shared" si="20"/>
        <v>0</v>
      </c>
    </row>
    <row r="63" spans="1:21" x14ac:dyDescent="0.2">
      <c r="C63" s="3">
        <f>C62-C35</f>
        <v>-1177216.6449112664</v>
      </c>
    </row>
    <row r="65" spans="1:3" x14ac:dyDescent="0.2">
      <c r="A65" s="171"/>
      <c r="B65" s="4"/>
      <c r="C65" s="4"/>
    </row>
    <row r="66" spans="1:3" x14ac:dyDescent="0.2">
      <c r="A66" s="171"/>
      <c r="B66" s="4"/>
      <c r="C66" s="4"/>
    </row>
  </sheetData>
  <mergeCells count="2">
    <mergeCell ref="A9:D9"/>
    <mergeCell ref="A36:D36"/>
  </mergeCells>
  <printOptions gridLines="1"/>
  <pageMargins left="0.25" right="0.25" top="0.75" bottom="0.75" header="0.3" footer="0.3"/>
  <pageSetup scale="60" orientation="landscape" r:id="rId1"/>
  <headerFooter alignWithMargins="0">
    <oddHeader xml:space="preserve">&amp;C&amp;"Arial,Bold"&amp;14DOCTORS MEMORIAL HOSPITAL
FY 2017 BUDGET
</oddHeader>
    <oddFooter xml:space="preserve">&amp;R&amp;A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H32"/>
  <sheetViews>
    <sheetView zoomScale="80" zoomScaleNormal="80" workbookViewId="0">
      <pane xSplit="2" ySplit="4" topLeftCell="F5" activePane="bottomRight" state="frozen"/>
      <selection pane="topRight" activeCell="C1" sqref="C1"/>
      <selection pane="bottomLeft" activeCell="A5" sqref="A5"/>
      <selection pane="bottomRight" activeCell="K40" sqref="K40"/>
    </sheetView>
  </sheetViews>
  <sheetFormatPr defaultRowHeight="12.75" x14ac:dyDescent="0.2"/>
  <cols>
    <col min="1" max="1" width="12.140625" style="213" customWidth="1"/>
    <col min="2" max="2" width="31.5703125" style="214" customWidth="1"/>
    <col min="3" max="3" width="12.7109375" style="215" bestFit="1" customWidth="1"/>
    <col min="4" max="4" width="10.28515625" style="216" bestFit="1" customWidth="1"/>
    <col min="5" max="5" width="2.42578125" style="216" customWidth="1"/>
    <col min="6" max="6" width="11.28515625" style="216" bestFit="1" customWidth="1"/>
    <col min="7" max="8" width="11.28515625" style="214" bestFit="1" customWidth="1"/>
    <col min="9" max="17" width="11.28515625" style="218" bestFit="1" customWidth="1"/>
    <col min="18" max="18" width="12.28515625" style="218" bestFit="1" customWidth="1"/>
    <col min="19" max="32" width="10.5703125" style="218" customWidth="1"/>
    <col min="33" max="34" width="10.5703125" style="151" customWidth="1"/>
    <col min="35" max="256" width="9.140625" style="151"/>
    <col min="257" max="257" width="12.140625" style="151" customWidth="1"/>
    <col min="258" max="258" width="37" style="151" customWidth="1"/>
    <col min="259" max="259" width="12.42578125" style="151" customWidth="1"/>
    <col min="260" max="260" width="9.28515625" style="151" customWidth="1"/>
    <col min="261" max="261" width="8.85546875" style="151" customWidth="1"/>
    <col min="262" max="290" width="10.5703125" style="151" customWidth="1"/>
    <col min="291" max="512" width="9.140625" style="151"/>
    <col min="513" max="513" width="12.140625" style="151" customWidth="1"/>
    <col min="514" max="514" width="37" style="151" customWidth="1"/>
    <col min="515" max="515" width="12.42578125" style="151" customWidth="1"/>
    <col min="516" max="516" width="9.28515625" style="151" customWidth="1"/>
    <col min="517" max="517" width="8.85546875" style="151" customWidth="1"/>
    <col min="518" max="546" width="10.5703125" style="151" customWidth="1"/>
    <col min="547" max="768" width="9.140625" style="151"/>
    <col min="769" max="769" width="12.140625" style="151" customWidth="1"/>
    <col min="770" max="770" width="37" style="151" customWidth="1"/>
    <col min="771" max="771" width="12.42578125" style="151" customWidth="1"/>
    <col min="772" max="772" width="9.28515625" style="151" customWidth="1"/>
    <col min="773" max="773" width="8.85546875" style="151" customWidth="1"/>
    <col min="774" max="802" width="10.5703125" style="151" customWidth="1"/>
    <col min="803" max="1024" width="9.140625" style="151"/>
    <col min="1025" max="1025" width="12.140625" style="151" customWidth="1"/>
    <col min="1026" max="1026" width="37" style="151" customWidth="1"/>
    <col min="1027" max="1027" width="12.42578125" style="151" customWidth="1"/>
    <col min="1028" max="1028" width="9.28515625" style="151" customWidth="1"/>
    <col min="1029" max="1029" width="8.85546875" style="151" customWidth="1"/>
    <col min="1030" max="1058" width="10.5703125" style="151" customWidth="1"/>
    <col min="1059" max="1280" width="9.140625" style="151"/>
    <col min="1281" max="1281" width="12.140625" style="151" customWidth="1"/>
    <col min="1282" max="1282" width="37" style="151" customWidth="1"/>
    <col min="1283" max="1283" width="12.42578125" style="151" customWidth="1"/>
    <col min="1284" max="1284" width="9.28515625" style="151" customWidth="1"/>
    <col min="1285" max="1285" width="8.85546875" style="151" customWidth="1"/>
    <col min="1286" max="1314" width="10.5703125" style="151" customWidth="1"/>
    <col min="1315" max="1536" width="9.140625" style="151"/>
    <col min="1537" max="1537" width="12.140625" style="151" customWidth="1"/>
    <col min="1538" max="1538" width="37" style="151" customWidth="1"/>
    <col min="1539" max="1539" width="12.42578125" style="151" customWidth="1"/>
    <col min="1540" max="1540" width="9.28515625" style="151" customWidth="1"/>
    <col min="1541" max="1541" width="8.85546875" style="151" customWidth="1"/>
    <col min="1542" max="1570" width="10.5703125" style="151" customWidth="1"/>
    <col min="1571" max="1792" width="9.140625" style="151"/>
    <col min="1793" max="1793" width="12.140625" style="151" customWidth="1"/>
    <col min="1794" max="1794" width="37" style="151" customWidth="1"/>
    <col min="1795" max="1795" width="12.42578125" style="151" customWidth="1"/>
    <col min="1796" max="1796" width="9.28515625" style="151" customWidth="1"/>
    <col min="1797" max="1797" width="8.85546875" style="151" customWidth="1"/>
    <col min="1798" max="1826" width="10.5703125" style="151" customWidth="1"/>
    <col min="1827" max="2048" width="9.140625" style="151"/>
    <col min="2049" max="2049" width="12.140625" style="151" customWidth="1"/>
    <col min="2050" max="2050" width="37" style="151" customWidth="1"/>
    <col min="2051" max="2051" width="12.42578125" style="151" customWidth="1"/>
    <col min="2052" max="2052" width="9.28515625" style="151" customWidth="1"/>
    <col min="2053" max="2053" width="8.85546875" style="151" customWidth="1"/>
    <col min="2054" max="2082" width="10.5703125" style="151" customWidth="1"/>
    <col min="2083" max="2304" width="9.140625" style="151"/>
    <col min="2305" max="2305" width="12.140625" style="151" customWidth="1"/>
    <col min="2306" max="2306" width="37" style="151" customWidth="1"/>
    <col min="2307" max="2307" width="12.42578125" style="151" customWidth="1"/>
    <col min="2308" max="2308" width="9.28515625" style="151" customWidth="1"/>
    <col min="2309" max="2309" width="8.85546875" style="151" customWidth="1"/>
    <col min="2310" max="2338" width="10.5703125" style="151" customWidth="1"/>
    <col min="2339" max="2560" width="9.140625" style="151"/>
    <col min="2561" max="2561" width="12.140625" style="151" customWidth="1"/>
    <col min="2562" max="2562" width="37" style="151" customWidth="1"/>
    <col min="2563" max="2563" width="12.42578125" style="151" customWidth="1"/>
    <col min="2564" max="2564" width="9.28515625" style="151" customWidth="1"/>
    <col min="2565" max="2565" width="8.85546875" style="151" customWidth="1"/>
    <col min="2566" max="2594" width="10.5703125" style="151" customWidth="1"/>
    <col min="2595" max="2816" width="9.140625" style="151"/>
    <col min="2817" max="2817" width="12.140625" style="151" customWidth="1"/>
    <col min="2818" max="2818" width="37" style="151" customWidth="1"/>
    <col min="2819" max="2819" width="12.42578125" style="151" customWidth="1"/>
    <col min="2820" max="2820" width="9.28515625" style="151" customWidth="1"/>
    <col min="2821" max="2821" width="8.85546875" style="151" customWidth="1"/>
    <col min="2822" max="2850" width="10.5703125" style="151" customWidth="1"/>
    <col min="2851" max="3072" width="9.140625" style="151"/>
    <col min="3073" max="3073" width="12.140625" style="151" customWidth="1"/>
    <col min="3074" max="3074" width="37" style="151" customWidth="1"/>
    <col min="3075" max="3075" width="12.42578125" style="151" customWidth="1"/>
    <col min="3076" max="3076" width="9.28515625" style="151" customWidth="1"/>
    <col min="3077" max="3077" width="8.85546875" style="151" customWidth="1"/>
    <col min="3078" max="3106" width="10.5703125" style="151" customWidth="1"/>
    <col min="3107" max="3328" width="9.140625" style="151"/>
    <col min="3329" max="3329" width="12.140625" style="151" customWidth="1"/>
    <col min="3330" max="3330" width="37" style="151" customWidth="1"/>
    <col min="3331" max="3331" width="12.42578125" style="151" customWidth="1"/>
    <col min="3332" max="3332" width="9.28515625" style="151" customWidth="1"/>
    <col min="3333" max="3333" width="8.85546875" style="151" customWidth="1"/>
    <col min="3334" max="3362" width="10.5703125" style="151" customWidth="1"/>
    <col min="3363" max="3584" width="9.140625" style="151"/>
    <col min="3585" max="3585" width="12.140625" style="151" customWidth="1"/>
    <col min="3586" max="3586" width="37" style="151" customWidth="1"/>
    <col min="3587" max="3587" width="12.42578125" style="151" customWidth="1"/>
    <col min="3588" max="3588" width="9.28515625" style="151" customWidth="1"/>
    <col min="3589" max="3589" width="8.85546875" style="151" customWidth="1"/>
    <col min="3590" max="3618" width="10.5703125" style="151" customWidth="1"/>
    <col min="3619" max="3840" width="9.140625" style="151"/>
    <col min="3841" max="3841" width="12.140625" style="151" customWidth="1"/>
    <col min="3842" max="3842" width="37" style="151" customWidth="1"/>
    <col min="3843" max="3843" width="12.42578125" style="151" customWidth="1"/>
    <col min="3844" max="3844" width="9.28515625" style="151" customWidth="1"/>
    <col min="3845" max="3845" width="8.85546875" style="151" customWidth="1"/>
    <col min="3846" max="3874" width="10.5703125" style="151" customWidth="1"/>
    <col min="3875" max="4096" width="9.140625" style="151"/>
    <col min="4097" max="4097" width="12.140625" style="151" customWidth="1"/>
    <col min="4098" max="4098" width="37" style="151" customWidth="1"/>
    <col min="4099" max="4099" width="12.42578125" style="151" customWidth="1"/>
    <col min="4100" max="4100" width="9.28515625" style="151" customWidth="1"/>
    <col min="4101" max="4101" width="8.85546875" style="151" customWidth="1"/>
    <col min="4102" max="4130" width="10.5703125" style="151" customWidth="1"/>
    <col min="4131" max="4352" width="9.140625" style="151"/>
    <col min="4353" max="4353" width="12.140625" style="151" customWidth="1"/>
    <col min="4354" max="4354" width="37" style="151" customWidth="1"/>
    <col min="4355" max="4355" width="12.42578125" style="151" customWidth="1"/>
    <col min="4356" max="4356" width="9.28515625" style="151" customWidth="1"/>
    <col min="4357" max="4357" width="8.85546875" style="151" customWidth="1"/>
    <col min="4358" max="4386" width="10.5703125" style="151" customWidth="1"/>
    <col min="4387" max="4608" width="9.140625" style="151"/>
    <col min="4609" max="4609" width="12.140625" style="151" customWidth="1"/>
    <col min="4610" max="4610" width="37" style="151" customWidth="1"/>
    <col min="4611" max="4611" width="12.42578125" style="151" customWidth="1"/>
    <col min="4612" max="4612" width="9.28515625" style="151" customWidth="1"/>
    <col min="4613" max="4613" width="8.85546875" style="151" customWidth="1"/>
    <col min="4614" max="4642" width="10.5703125" style="151" customWidth="1"/>
    <col min="4643" max="4864" width="9.140625" style="151"/>
    <col min="4865" max="4865" width="12.140625" style="151" customWidth="1"/>
    <col min="4866" max="4866" width="37" style="151" customWidth="1"/>
    <col min="4867" max="4867" width="12.42578125" style="151" customWidth="1"/>
    <col min="4868" max="4868" width="9.28515625" style="151" customWidth="1"/>
    <col min="4869" max="4869" width="8.85546875" style="151" customWidth="1"/>
    <col min="4870" max="4898" width="10.5703125" style="151" customWidth="1"/>
    <col min="4899" max="5120" width="9.140625" style="151"/>
    <col min="5121" max="5121" width="12.140625" style="151" customWidth="1"/>
    <col min="5122" max="5122" width="37" style="151" customWidth="1"/>
    <col min="5123" max="5123" width="12.42578125" style="151" customWidth="1"/>
    <col min="5124" max="5124" width="9.28515625" style="151" customWidth="1"/>
    <col min="5125" max="5125" width="8.85546875" style="151" customWidth="1"/>
    <col min="5126" max="5154" width="10.5703125" style="151" customWidth="1"/>
    <col min="5155" max="5376" width="9.140625" style="151"/>
    <col min="5377" max="5377" width="12.140625" style="151" customWidth="1"/>
    <col min="5378" max="5378" width="37" style="151" customWidth="1"/>
    <col min="5379" max="5379" width="12.42578125" style="151" customWidth="1"/>
    <col min="5380" max="5380" width="9.28515625" style="151" customWidth="1"/>
    <col min="5381" max="5381" width="8.85546875" style="151" customWidth="1"/>
    <col min="5382" max="5410" width="10.5703125" style="151" customWidth="1"/>
    <col min="5411" max="5632" width="9.140625" style="151"/>
    <col min="5633" max="5633" width="12.140625" style="151" customWidth="1"/>
    <col min="5634" max="5634" width="37" style="151" customWidth="1"/>
    <col min="5635" max="5635" width="12.42578125" style="151" customWidth="1"/>
    <col min="5636" max="5636" width="9.28515625" style="151" customWidth="1"/>
    <col min="5637" max="5637" width="8.85546875" style="151" customWidth="1"/>
    <col min="5638" max="5666" width="10.5703125" style="151" customWidth="1"/>
    <col min="5667" max="5888" width="9.140625" style="151"/>
    <col min="5889" max="5889" width="12.140625" style="151" customWidth="1"/>
    <col min="5890" max="5890" width="37" style="151" customWidth="1"/>
    <col min="5891" max="5891" width="12.42578125" style="151" customWidth="1"/>
    <col min="5892" max="5892" width="9.28515625" style="151" customWidth="1"/>
    <col min="5893" max="5893" width="8.85546875" style="151" customWidth="1"/>
    <col min="5894" max="5922" width="10.5703125" style="151" customWidth="1"/>
    <col min="5923" max="6144" width="9.140625" style="151"/>
    <col min="6145" max="6145" width="12.140625" style="151" customWidth="1"/>
    <col min="6146" max="6146" width="37" style="151" customWidth="1"/>
    <col min="6147" max="6147" width="12.42578125" style="151" customWidth="1"/>
    <col min="6148" max="6148" width="9.28515625" style="151" customWidth="1"/>
    <col min="6149" max="6149" width="8.85546875" style="151" customWidth="1"/>
    <col min="6150" max="6178" width="10.5703125" style="151" customWidth="1"/>
    <col min="6179" max="6400" width="9.140625" style="151"/>
    <col min="6401" max="6401" width="12.140625" style="151" customWidth="1"/>
    <col min="6402" max="6402" width="37" style="151" customWidth="1"/>
    <col min="6403" max="6403" width="12.42578125" style="151" customWidth="1"/>
    <col min="6404" max="6404" width="9.28515625" style="151" customWidth="1"/>
    <col min="6405" max="6405" width="8.85546875" style="151" customWidth="1"/>
    <col min="6406" max="6434" width="10.5703125" style="151" customWidth="1"/>
    <col min="6435" max="6656" width="9.140625" style="151"/>
    <col min="6657" max="6657" width="12.140625" style="151" customWidth="1"/>
    <col min="6658" max="6658" width="37" style="151" customWidth="1"/>
    <col min="6659" max="6659" width="12.42578125" style="151" customWidth="1"/>
    <col min="6660" max="6660" width="9.28515625" style="151" customWidth="1"/>
    <col min="6661" max="6661" width="8.85546875" style="151" customWidth="1"/>
    <col min="6662" max="6690" width="10.5703125" style="151" customWidth="1"/>
    <col min="6691" max="6912" width="9.140625" style="151"/>
    <col min="6913" max="6913" width="12.140625" style="151" customWidth="1"/>
    <col min="6914" max="6914" width="37" style="151" customWidth="1"/>
    <col min="6915" max="6915" width="12.42578125" style="151" customWidth="1"/>
    <col min="6916" max="6916" width="9.28515625" style="151" customWidth="1"/>
    <col min="6917" max="6917" width="8.85546875" style="151" customWidth="1"/>
    <col min="6918" max="6946" width="10.5703125" style="151" customWidth="1"/>
    <col min="6947" max="7168" width="9.140625" style="151"/>
    <col min="7169" max="7169" width="12.140625" style="151" customWidth="1"/>
    <col min="7170" max="7170" width="37" style="151" customWidth="1"/>
    <col min="7171" max="7171" width="12.42578125" style="151" customWidth="1"/>
    <col min="7172" max="7172" width="9.28515625" style="151" customWidth="1"/>
    <col min="7173" max="7173" width="8.85546875" style="151" customWidth="1"/>
    <col min="7174" max="7202" width="10.5703125" style="151" customWidth="1"/>
    <col min="7203" max="7424" width="9.140625" style="151"/>
    <col min="7425" max="7425" width="12.140625" style="151" customWidth="1"/>
    <col min="7426" max="7426" width="37" style="151" customWidth="1"/>
    <col min="7427" max="7427" width="12.42578125" style="151" customWidth="1"/>
    <col min="7428" max="7428" width="9.28515625" style="151" customWidth="1"/>
    <col min="7429" max="7429" width="8.85546875" style="151" customWidth="1"/>
    <col min="7430" max="7458" width="10.5703125" style="151" customWidth="1"/>
    <col min="7459" max="7680" width="9.140625" style="151"/>
    <col min="7681" max="7681" width="12.140625" style="151" customWidth="1"/>
    <col min="7682" max="7682" width="37" style="151" customWidth="1"/>
    <col min="7683" max="7683" width="12.42578125" style="151" customWidth="1"/>
    <col min="7684" max="7684" width="9.28515625" style="151" customWidth="1"/>
    <col min="7685" max="7685" width="8.85546875" style="151" customWidth="1"/>
    <col min="7686" max="7714" width="10.5703125" style="151" customWidth="1"/>
    <col min="7715" max="7936" width="9.140625" style="151"/>
    <col min="7937" max="7937" width="12.140625" style="151" customWidth="1"/>
    <col min="7938" max="7938" width="37" style="151" customWidth="1"/>
    <col min="7939" max="7939" width="12.42578125" style="151" customWidth="1"/>
    <col min="7940" max="7940" width="9.28515625" style="151" customWidth="1"/>
    <col min="7941" max="7941" width="8.85546875" style="151" customWidth="1"/>
    <col min="7942" max="7970" width="10.5703125" style="151" customWidth="1"/>
    <col min="7971" max="8192" width="9.140625" style="151"/>
    <col min="8193" max="8193" width="12.140625" style="151" customWidth="1"/>
    <col min="8194" max="8194" width="37" style="151" customWidth="1"/>
    <col min="8195" max="8195" width="12.42578125" style="151" customWidth="1"/>
    <col min="8196" max="8196" width="9.28515625" style="151" customWidth="1"/>
    <col min="8197" max="8197" width="8.85546875" style="151" customWidth="1"/>
    <col min="8198" max="8226" width="10.5703125" style="151" customWidth="1"/>
    <col min="8227" max="8448" width="9.140625" style="151"/>
    <col min="8449" max="8449" width="12.140625" style="151" customWidth="1"/>
    <col min="8450" max="8450" width="37" style="151" customWidth="1"/>
    <col min="8451" max="8451" width="12.42578125" style="151" customWidth="1"/>
    <col min="8452" max="8452" width="9.28515625" style="151" customWidth="1"/>
    <col min="8453" max="8453" width="8.85546875" style="151" customWidth="1"/>
    <col min="8454" max="8482" width="10.5703125" style="151" customWidth="1"/>
    <col min="8483" max="8704" width="9.140625" style="151"/>
    <col min="8705" max="8705" width="12.140625" style="151" customWidth="1"/>
    <col min="8706" max="8706" width="37" style="151" customWidth="1"/>
    <col min="8707" max="8707" width="12.42578125" style="151" customWidth="1"/>
    <col min="8708" max="8708" width="9.28515625" style="151" customWidth="1"/>
    <col min="8709" max="8709" width="8.85546875" style="151" customWidth="1"/>
    <col min="8710" max="8738" width="10.5703125" style="151" customWidth="1"/>
    <col min="8739" max="8960" width="9.140625" style="151"/>
    <col min="8961" max="8961" width="12.140625" style="151" customWidth="1"/>
    <col min="8962" max="8962" width="37" style="151" customWidth="1"/>
    <col min="8963" max="8963" width="12.42578125" style="151" customWidth="1"/>
    <col min="8964" max="8964" width="9.28515625" style="151" customWidth="1"/>
    <col min="8965" max="8965" width="8.85546875" style="151" customWidth="1"/>
    <col min="8966" max="8994" width="10.5703125" style="151" customWidth="1"/>
    <col min="8995" max="9216" width="9.140625" style="151"/>
    <col min="9217" max="9217" width="12.140625" style="151" customWidth="1"/>
    <col min="9218" max="9218" width="37" style="151" customWidth="1"/>
    <col min="9219" max="9219" width="12.42578125" style="151" customWidth="1"/>
    <col min="9220" max="9220" width="9.28515625" style="151" customWidth="1"/>
    <col min="9221" max="9221" width="8.85546875" style="151" customWidth="1"/>
    <col min="9222" max="9250" width="10.5703125" style="151" customWidth="1"/>
    <col min="9251" max="9472" width="9.140625" style="151"/>
    <col min="9473" max="9473" width="12.140625" style="151" customWidth="1"/>
    <col min="9474" max="9474" width="37" style="151" customWidth="1"/>
    <col min="9475" max="9475" width="12.42578125" style="151" customWidth="1"/>
    <col min="9476" max="9476" width="9.28515625" style="151" customWidth="1"/>
    <col min="9477" max="9477" width="8.85546875" style="151" customWidth="1"/>
    <col min="9478" max="9506" width="10.5703125" style="151" customWidth="1"/>
    <col min="9507" max="9728" width="9.140625" style="151"/>
    <col min="9729" max="9729" width="12.140625" style="151" customWidth="1"/>
    <col min="9730" max="9730" width="37" style="151" customWidth="1"/>
    <col min="9731" max="9731" width="12.42578125" style="151" customWidth="1"/>
    <col min="9732" max="9732" width="9.28515625" style="151" customWidth="1"/>
    <col min="9733" max="9733" width="8.85546875" style="151" customWidth="1"/>
    <col min="9734" max="9762" width="10.5703125" style="151" customWidth="1"/>
    <col min="9763" max="9984" width="9.140625" style="151"/>
    <col min="9985" max="9985" width="12.140625" style="151" customWidth="1"/>
    <col min="9986" max="9986" width="37" style="151" customWidth="1"/>
    <col min="9987" max="9987" width="12.42578125" style="151" customWidth="1"/>
    <col min="9988" max="9988" width="9.28515625" style="151" customWidth="1"/>
    <col min="9989" max="9989" width="8.85546875" style="151" customWidth="1"/>
    <col min="9990" max="10018" width="10.5703125" style="151" customWidth="1"/>
    <col min="10019" max="10240" width="9.140625" style="151"/>
    <col min="10241" max="10241" width="12.140625" style="151" customWidth="1"/>
    <col min="10242" max="10242" width="37" style="151" customWidth="1"/>
    <col min="10243" max="10243" width="12.42578125" style="151" customWidth="1"/>
    <col min="10244" max="10244" width="9.28515625" style="151" customWidth="1"/>
    <col min="10245" max="10245" width="8.85546875" style="151" customWidth="1"/>
    <col min="10246" max="10274" width="10.5703125" style="151" customWidth="1"/>
    <col min="10275" max="10496" width="9.140625" style="151"/>
    <col min="10497" max="10497" width="12.140625" style="151" customWidth="1"/>
    <col min="10498" max="10498" width="37" style="151" customWidth="1"/>
    <col min="10499" max="10499" width="12.42578125" style="151" customWidth="1"/>
    <col min="10500" max="10500" width="9.28515625" style="151" customWidth="1"/>
    <col min="10501" max="10501" width="8.85546875" style="151" customWidth="1"/>
    <col min="10502" max="10530" width="10.5703125" style="151" customWidth="1"/>
    <col min="10531" max="10752" width="9.140625" style="151"/>
    <col min="10753" max="10753" width="12.140625" style="151" customWidth="1"/>
    <col min="10754" max="10754" width="37" style="151" customWidth="1"/>
    <col min="10755" max="10755" width="12.42578125" style="151" customWidth="1"/>
    <col min="10756" max="10756" width="9.28515625" style="151" customWidth="1"/>
    <col min="10757" max="10757" width="8.85546875" style="151" customWidth="1"/>
    <col min="10758" max="10786" width="10.5703125" style="151" customWidth="1"/>
    <col min="10787" max="11008" width="9.140625" style="151"/>
    <col min="11009" max="11009" width="12.140625" style="151" customWidth="1"/>
    <col min="11010" max="11010" width="37" style="151" customWidth="1"/>
    <col min="11011" max="11011" width="12.42578125" style="151" customWidth="1"/>
    <col min="11012" max="11012" width="9.28515625" style="151" customWidth="1"/>
    <col min="11013" max="11013" width="8.85546875" style="151" customWidth="1"/>
    <col min="11014" max="11042" width="10.5703125" style="151" customWidth="1"/>
    <col min="11043" max="11264" width="9.140625" style="151"/>
    <col min="11265" max="11265" width="12.140625" style="151" customWidth="1"/>
    <col min="11266" max="11266" width="37" style="151" customWidth="1"/>
    <col min="11267" max="11267" width="12.42578125" style="151" customWidth="1"/>
    <col min="11268" max="11268" width="9.28515625" style="151" customWidth="1"/>
    <col min="11269" max="11269" width="8.85546875" style="151" customWidth="1"/>
    <col min="11270" max="11298" width="10.5703125" style="151" customWidth="1"/>
    <col min="11299" max="11520" width="9.140625" style="151"/>
    <col min="11521" max="11521" width="12.140625" style="151" customWidth="1"/>
    <col min="11522" max="11522" width="37" style="151" customWidth="1"/>
    <col min="11523" max="11523" width="12.42578125" style="151" customWidth="1"/>
    <col min="11524" max="11524" width="9.28515625" style="151" customWidth="1"/>
    <col min="11525" max="11525" width="8.85546875" style="151" customWidth="1"/>
    <col min="11526" max="11554" width="10.5703125" style="151" customWidth="1"/>
    <col min="11555" max="11776" width="9.140625" style="151"/>
    <col min="11777" max="11777" width="12.140625" style="151" customWidth="1"/>
    <col min="11778" max="11778" width="37" style="151" customWidth="1"/>
    <col min="11779" max="11779" width="12.42578125" style="151" customWidth="1"/>
    <col min="11780" max="11780" width="9.28515625" style="151" customWidth="1"/>
    <col min="11781" max="11781" width="8.85546875" style="151" customWidth="1"/>
    <col min="11782" max="11810" width="10.5703125" style="151" customWidth="1"/>
    <col min="11811" max="12032" width="9.140625" style="151"/>
    <col min="12033" max="12033" width="12.140625" style="151" customWidth="1"/>
    <col min="12034" max="12034" width="37" style="151" customWidth="1"/>
    <col min="12035" max="12035" width="12.42578125" style="151" customWidth="1"/>
    <col min="12036" max="12036" width="9.28515625" style="151" customWidth="1"/>
    <col min="12037" max="12037" width="8.85546875" style="151" customWidth="1"/>
    <col min="12038" max="12066" width="10.5703125" style="151" customWidth="1"/>
    <col min="12067" max="12288" width="9.140625" style="151"/>
    <col min="12289" max="12289" width="12.140625" style="151" customWidth="1"/>
    <col min="12290" max="12290" width="37" style="151" customWidth="1"/>
    <col min="12291" max="12291" width="12.42578125" style="151" customWidth="1"/>
    <col min="12292" max="12292" width="9.28515625" style="151" customWidth="1"/>
    <col min="12293" max="12293" width="8.85546875" style="151" customWidth="1"/>
    <col min="12294" max="12322" width="10.5703125" style="151" customWidth="1"/>
    <col min="12323" max="12544" width="9.140625" style="151"/>
    <col min="12545" max="12545" width="12.140625" style="151" customWidth="1"/>
    <col min="12546" max="12546" width="37" style="151" customWidth="1"/>
    <col min="12547" max="12547" width="12.42578125" style="151" customWidth="1"/>
    <col min="12548" max="12548" width="9.28515625" style="151" customWidth="1"/>
    <col min="12549" max="12549" width="8.85546875" style="151" customWidth="1"/>
    <col min="12550" max="12578" width="10.5703125" style="151" customWidth="1"/>
    <col min="12579" max="12800" width="9.140625" style="151"/>
    <col min="12801" max="12801" width="12.140625" style="151" customWidth="1"/>
    <col min="12802" max="12802" width="37" style="151" customWidth="1"/>
    <col min="12803" max="12803" width="12.42578125" style="151" customWidth="1"/>
    <col min="12804" max="12804" width="9.28515625" style="151" customWidth="1"/>
    <col min="12805" max="12805" width="8.85546875" style="151" customWidth="1"/>
    <col min="12806" max="12834" width="10.5703125" style="151" customWidth="1"/>
    <col min="12835" max="13056" width="9.140625" style="151"/>
    <col min="13057" max="13057" width="12.140625" style="151" customWidth="1"/>
    <col min="13058" max="13058" width="37" style="151" customWidth="1"/>
    <col min="13059" max="13059" width="12.42578125" style="151" customWidth="1"/>
    <col min="13060" max="13060" width="9.28515625" style="151" customWidth="1"/>
    <col min="13061" max="13061" width="8.85546875" style="151" customWidth="1"/>
    <col min="13062" max="13090" width="10.5703125" style="151" customWidth="1"/>
    <col min="13091" max="13312" width="9.140625" style="151"/>
    <col min="13313" max="13313" width="12.140625" style="151" customWidth="1"/>
    <col min="13314" max="13314" width="37" style="151" customWidth="1"/>
    <col min="13315" max="13315" width="12.42578125" style="151" customWidth="1"/>
    <col min="13316" max="13316" width="9.28515625" style="151" customWidth="1"/>
    <col min="13317" max="13317" width="8.85546875" style="151" customWidth="1"/>
    <col min="13318" max="13346" width="10.5703125" style="151" customWidth="1"/>
    <col min="13347" max="13568" width="9.140625" style="151"/>
    <col min="13569" max="13569" width="12.140625" style="151" customWidth="1"/>
    <col min="13570" max="13570" width="37" style="151" customWidth="1"/>
    <col min="13571" max="13571" width="12.42578125" style="151" customWidth="1"/>
    <col min="13572" max="13572" width="9.28515625" style="151" customWidth="1"/>
    <col min="13573" max="13573" width="8.85546875" style="151" customWidth="1"/>
    <col min="13574" max="13602" width="10.5703125" style="151" customWidth="1"/>
    <col min="13603" max="13824" width="9.140625" style="151"/>
    <col min="13825" max="13825" width="12.140625" style="151" customWidth="1"/>
    <col min="13826" max="13826" width="37" style="151" customWidth="1"/>
    <col min="13827" max="13827" width="12.42578125" style="151" customWidth="1"/>
    <col min="13828" max="13828" width="9.28515625" style="151" customWidth="1"/>
    <col min="13829" max="13829" width="8.85546875" style="151" customWidth="1"/>
    <col min="13830" max="13858" width="10.5703125" style="151" customWidth="1"/>
    <col min="13859" max="14080" width="9.140625" style="151"/>
    <col min="14081" max="14081" width="12.140625" style="151" customWidth="1"/>
    <col min="14082" max="14082" width="37" style="151" customWidth="1"/>
    <col min="14083" max="14083" width="12.42578125" style="151" customWidth="1"/>
    <col min="14084" max="14084" width="9.28515625" style="151" customWidth="1"/>
    <col min="14085" max="14085" width="8.85546875" style="151" customWidth="1"/>
    <col min="14086" max="14114" width="10.5703125" style="151" customWidth="1"/>
    <col min="14115" max="14336" width="9.140625" style="151"/>
    <col min="14337" max="14337" width="12.140625" style="151" customWidth="1"/>
    <col min="14338" max="14338" width="37" style="151" customWidth="1"/>
    <col min="14339" max="14339" width="12.42578125" style="151" customWidth="1"/>
    <col min="14340" max="14340" width="9.28515625" style="151" customWidth="1"/>
    <col min="14341" max="14341" width="8.85546875" style="151" customWidth="1"/>
    <col min="14342" max="14370" width="10.5703125" style="151" customWidth="1"/>
    <col min="14371" max="14592" width="9.140625" style="151"/>
    <col min="14593" max="14593" width="12.140625" style="151" customWidth="1"/>
    <col min="14594" max="14594" width="37" style="151" customWidth="1"/>
    <col min="14595" max="14595" width="12.42578125" style="151" customWidth="1"/>
    <col min="14596" max="14596" width="9.28515625" style="151" customWidth="1"/>
    <col min="14597" max="14597" width="8.85546875" style="151" customWidth="1"/>
    <col min="14598" max="14626" width="10.5703125" style="151" customWidth="1"/>
    <col min="14627" max="14848" width="9.140625" style="151"/>
    <col min="14849" max="14849" width="12.140625" style="151" customWidth="1"/>
    <col min="14850" max="14850" width="37" style="151" customWidth="1"/>
    <col min="14851" max="14851" width="12.42578125" style="151" customWidth="1"/>
    <col min="14852" max="14852" width="9.28515625" style="151" customWidth="1"/>
    <col min="14853" max="14853" width="8.85546875" style="151" customWidth="1"/>
    <col min="14854" max="14882" width="10.5703125" style="151" customWidth="1"/>
    <col min="14883" max="15104" width="9.140625" style="151"/>
    <col min="15105" max="15105" width="12.140625" style="151" customWidth="1"/>
    <col min="15106" max="15106" width="37" style="151" customWidth="1"/>
    <col min="15107" max="15107" width="12.42578125" style="151" customWidth="1"/>
    <col min="15108" max="15108" width="9.28515625" style="151" customWidth="1"/>
    <col min="15109" max="15109" width="8.85546875" style="151" customWidth="1"/>
    <col min="15110" max="15138" width="10.5703125" style="151" customWidth="1"/>
    <col min="15139" max="15360" width="9.140625" style="151"/>
    <col min="15361" max="15361" width="12.140625" style="151" customWidth="1"/>
    <col min="15362" max="15362" width="37" style="151" customWidth="1"/>
    <col min="15363" max="15363" width="12.42578125" style="151" customWidth="1"/>
    <col min="15364" max="15364" width="9.28515625" style="151" customWidth="1"/>
    <col min="15365" max="15365" width="8.85546875" style="151" customWidth="1"/>
    <col min="15366" max="15394" width="10.5703125" style="151" customWidth="1"/>
    <col min="15395" max="15616" width="9.140625" style="151"/>
    <col min="15617" max="15617" width="12.140625" style="151" customWidth="1"/>
    <col min="15618" max="15618" width="37" style="151" customWidth="1"/>
    <col min="15619" max="15619" width="12.42578125" style="151" customWidth="1"/>
    <col min="15620" max="15620" width="9.28515625" style="151" customWidth="1"/>
    <col min="15621" max="15621" width="8.85546875" style="151" customWidth="1"/>
    <col min="15622" max="15650" width="10.5703125" style="151" customWidth="1"/>
    <col min="15651" max="15872" width="9.140625" style="151"/>
    <col min="15873" max="15873" width="12.140625" style="151" customWidth="1"/>
    <col min="15874" max="15874" width="37" style="151" customWidth="1"/>
    <col min="15875" max="15875" width="12.42578125" style="151" customWidth="1"/>
    <col min="15876" max="15876" width="9.28515625" style="151" customWidth="1"/>
    <col min="15877" max="15877" width="8.85546875" style="151" customWidth="1"/>
    <col min="15878" max="15906" width="10.5703125" style="151" customWidth="1"/>
    <col min="15907" max="16128" width="9.140625" style="151"/>
    <col min="16129" max="16129" width="12.140625" style="151" customWidth="1"/>
    <col min="16130" max="16130" width="37" style="151" customWidth="1"/>
    <col min="16131" max="16131" width="12.42578125" style="151" customWidth="1"/>
    <col min="16132" max="16132" width="9.28515625" style="151" customWidth="1"/>
    <col min="16133" max="16133" width="8.85546875" style="151" customWidth="1"/>
    <col min="16134" max="16162" width="10.5703125" style="151" customWidth="1"/>
    <col min="16163" max="16384" width="9.140625" style="151"/>
  </cols>
  <sheetData>
    <row r="1" spans="1:34" x14ac:dyDescent="0.2">
      <c r="F1" s="217" t="s">
        <v>49</v>
      </c>
      <c r="G1" s="217" t="s">
        <v>48</v>
      </c>
      <c r="H1" s="217" t="s">
        <v>47</v>
      </c>
      <c r="I1" s="217" t="s">
        <v>46</v>
      </c>
      <c r="J1" s="217" t="s">
        <v>45</v>
      </c>
      <c r="K1" s="217" t="s">
        <v>44</v>
      </c>
      <c r="L1" s="217" t="s">
        <v>43</v>
      </c>
      <c r="M1" s="217" t="s">
        <v>42</v>
      </c>
      <c r="N1" s="217" t="s">
        <v>41</v>
      </c>
      <c r="O1" s="217" t="s">
        <v>40</v>
      </c>
      <c r="P1" s="217" t="s">
        <v>39</v>
      </c>
      <c r="Q1" s="217" t="s">
        <v>38</v>
      </c>
      <c r="R1" s="217" t="s">
        <v>37</v>
      </c>
    </row>
    <row r="2" spans="1:34" x14ac:dyDescent="0.2">
      <c r="B2" s="35" t="s">
        <v>591</v>
      </c>
      <c r="C2" s="219">
        <f>STATS!D91</f>
        <v>663</v>
      </c>
      <c r="F2" s="307">
        <f>'MO STATS'!E87</f>
        <v>41</v>
      </c>
      <c r="G2" s="307">
        <f>'MO STATS'!F87</f>
        <v>51</v>
      </c>
      <c r="H2" s="307">
        <f>'MO STATS'!G87</f>
        <v>53</v>
      </c>
      <c r="I2" s="307">
        <f>'MO STATS'!H87</f>
        <v>59</v>
      </c>
      <c r="J2" s="307">
        <f>'MO STATS'!I87</f>
        <v>52</v>
      </c>
      <c r="K2" s="307">
        <f>'MO STATS'!J87</f>
        <v>62</v>
      </c>
      <c r="L2" s="307">
        <f>'MO STATS'!K87</f>
        <v>53</v>
      </c>
      <c r="M2" s="307">
        <f>'MO STATS'!L87</f>
        <v>43</v>
      </c>
      <c r="N2" s="307">
        <f>'MO STATS'!M87</f>
        <v>58</v>
      </c>
      <c r="O2" s="307">
        <f>'MO STATS'!N87</f>
        <v>59</v>
      </c>
      <c r="P2" s="307">
        <f>'MO STATS'!O87</f>
        <v>75</v>
      </c>
      <c r="Q2" s="307">
        <f>'MO STATS'!P87</f>
        <v>57</v>
      </c>
      <c r="R2" s="219">
        <f>SUM(F2:Q2)</f>
        <v>663</v>
      </c>
      <c r="S2" s="221">
        <f>C2-R2</f>
        <v>0</v>
      </c>
    </row>
    <row r="3" spans="1:34" x14ac:dyDescent="0.2">
      <c r="B3" s="35" t="s">
        <v>152</v>
      </c>
      <c r="C3" s="219">
        <f>STATS!D92</f>
        <v>20375</v>
      </c>
      <c r="F3" s="307">
        <f>'MO STATS'!E88</f>
        <v>1663</v>
      </c>
      <c r="G3" s="307">
        <f>'MO STATS'!F88</f>
        <v>1576</v>
      </c>
      <c r="H3" s="307">
        <f>'MO STATS'!G88</f>
        <v>1511</v>
      </c>
      <c r="I3" s="307">
        <f>'MO STATS'!H88</f>
        <v>1687</v>
      </c>
      <c r="J3" s="307">
        <f>'MO STATS'!I88</f>
        <v>1721</v>
      </c>
      <c r="K3" s="307">
        <f>'MO STATS'!J88</f>
        <v>1875</v>
      </c>
      <c r="L3" s="307">
        <f>'MO STATS'!K88</f>
        <v>1737</v>
      </c>
      <c r="M3" s="307">
        <f>'MO STATS'!L88</f>
        <v>1855</v>
      </c>
      <c r="N3" s="307">
        <f>'MO STATS'!M88</f>
        <v>1678</v>
      </c>
      <c r="O3" s="307">
        <f>'MO STATS'!N88</f>
        <v>1510</v>
      </c>
      <c r="P3" s="307">
        <f>'MO STATS'!O88</f>
        <v>1754</v>
      </c>
      <c r="Q3" s="307">
        <f>'MO STATS'!P88</f>
        <v>1808</v>
      </c>
      <c r="R3" s="219">
        <f t="shared" ref="R3:R4" si="0">SUM(F3:Q3)</f>
        <v>20375</v>
      </c>
      <c r="S3" s="221">
        <f>C3-R3</f>
        <v>0</v>
      </c>
    </row>
    <row r="4" spans="1:34" x14ac:dyDescent="0.2">
      <c r="B4" s="35" t="s">
        <v>37</v>
      </c>
      <c r="C4" s="219">
        <f>C2+C3</f>
        <v>21038</v>
      </c>
      <c r="F4" s="307">
        <f>'MO STATS'!E89</f>
        <v>1704</v>
      </c>
      <c r="G4" s="307">
        <f>'MO STATS'!F89</f>
        <v>1627</v>
      </c>
      <c r="H4" s="307">
        <f>'MO STATS'!G89</f>
        <v>1564</v>
      </c>
      <c r="I4" s="307">
        <f>'MO STATS'!H89</f>
        <v>1746</v>
      </c>
      <c r="J4" s="307">
        <f>'MO STATS'!I89</f>
        <v>1773</v>
      </c>
      <c r="K4" s="307">
        <f>'MO STATS'!J89</f>
        <v>1937</v>
      </c>
      <c r="L4" s="307">
        <f>'MO STATS'!K89</f>
        <v>1790</v>
      </c>
      <c r="M4" s="307">
        <f>'MO STATS'!L89</f>
        <v>1898</v>
      </c>
      <c r="N4" s="307">
        <f>'MO STATS'!M89</f>
        <v>1736</v>
      </c>
      <c r="O4" s="307">
        <f>'MO STATS'!N89</f>
        <v>1569</v>
      </c>
      <c r="P4" s="307">
        <f>'MO STATS'!O89</f>
        <v>1829</v>
      </c>
      <c r="Q4" s="307">
        <f>'MO STATS'!P89</f>
        <v>1865</v>
      </c>
      <c r="R4" s="219">
        <f t="shared" si="0"/>
        <v>21038</v>
      </c>
      <c r="S4" s="221">
        <f>C4-R4</f>
        <v>0</v>
      </c>
    </row>
    <row r="6" spans="1:34" x14ac:dyDescent="0.2">
      <c r="A6" s="223"/>
      <c r="B6" s="224" t="s">
        <v>658</v>
      </c>
      <c r="C6" s="225"/>
      <c r="D6" s="226" t="s">
        <v>659</v>
      </c>
      <c r="E6" s="226"/>
    </row>
    <row r="7" spans="1:34" x14ac:dyDescent="0.2">
      <c r="A7" s="234">
        <v>51802</v>
      </c>
      <c r="B7" s="228" t="s">
        <v>660</v>
      </c>
      <c r="C7" s="229">
        <f>'[6]Other Income'!$J$16</f>
        <v>15000</v>
      </c>
      <c r="D7" s="331">
        <f>($C7/C$4)</f>
        <v>0.7129955318946668</v>
      </c>
      <c r="E7" s="235"/>
      <c r="F7" s="380">
        <f>$D7*F$4</f>
        <v>1214.9443863485121</v>
      </c>
      <c r="G7" s="380">
        <f t="shared" ref="G7:Q7" si="1">$D7*G$4</f>
        <v>1160.0437303926228</v>
      </c>
      <c r="H7" s="380">
        <f t="shared" si="1"/>
        <v>1115.1250118832588</v>
      </c>
      <c r="I7" s="380">
        <f t="shared" si="1"/>
        <v>1244.8901986880883</v>
      </c>
      <c r="J7" s="380">
        <f t="shared" si="1"/>
        <v>1264.1410780492442</v>
      </c>
      <c r="K7" s="380">
        <f t="shared" si="1"/>
        <v>1381.0723452799696</v>
      </c>
      <c r="L7" s="380">
        <f t="shared" si="1"/>
        <v>1276.2620020914535</v>
      </c>
      <c r="M7" s="380">
        <f t="shared" si="1"/>
        <v>1353.2655195360776</v>
      </c>
      <c r="N7" s="380">
        <f t="shared" si="1"/>
        <v>1237.7602433691416</v>
      </c>
      <c r="O7" s="380">
        <f t="shared" si="1"/>
        <v>1118.6899895427323</v>
      </c>
      <c r="P7" s="380">
        <f t="shared" si="1"/>
        <v>1304.0688278353455</v>
      </c>
      <c r="Q7" s="380">
        <f t="shared" si="1"/>
        <v>1329.7366669835535</v>
      </c>
      <c r="R7" s="381">
        <f>SUM(F7:Q7)</f>
        <v>14999.999999999996</v>
      </c>
      <c r="S7" s="221">
        <f t="shared" ref="S7:S23" si="2">C7-R7</f>
        <v>0</v>
      </c>
    </row>
    <row r="8" spans="1:34" x14ac:dyDescent="0.2">
      <c r="A8" s="234">
        <v>51802</v>
      </c>
      <c r="B8" s="228" t="s">
        <v>1059</v>
      </c>
      <c r="C8" s="225">
        <f>'[12]Other Income'!$K$17-417000</f>
        <v>0</v>
      </c>
      <c r="F8" s="225">
        <f>C8</f>
        <v>0</v>
      </c>
      <c r="G8" s="380"/>
      <c r="H8" s="380"/>
      <c r="I8" s="380"/>
      <c r="J8" s="380"/>
      <c r="K8" s="380"/>
      <c r="L8" s="380"/>
      <c r="M8" s="380"/>
      <c r="N8" s="380"/>
      <c r="O8" s="380"/>
      <c r="P8" s="380"/>
      <c r="Q8" s="380"/>
      <c r="R8" s="381"/>
      <c r="S8" s="645"/>
      <c r="T8" s="644"/>
      <c r="U8" s="644"/>
      <c r="V8" s="644"/>
      <c r="W8" s="644"/>
      <c r="X8" s="644"/>
      <c r="Y8" s="644"/>
      <c r="Z8" s="644"/>
      <c r="AA8" s="644"/>
      <c r="AB8" s="644"/>
      <c r="AC8" s="644"/>
      <c r="AD8" s="644"/>
      <c r="AE8" s="644"/>
      <c r="AF8" s="644"/>
    </row>
    <row r="9" spans="1:34" x14ac:dyDescent="0.2">
      <c r="A9" s="234">
        <v>51804</v>
      </c>
      <c r="B9" s="228" t="s">
        <v>661</v>
      </c>
      <c r="C9" s="229">
        <f>'[6]Other Income'!$J$17</f>
        <v>41250</v>
      </c>
      <c r="D9" s="331">
        <f t="shared" ref="D9:D22" si="3">$C9/C$4</f>
        <v>1.9607377127103336</v>
      </c>
      <c r="E9" s="235"/>
      <c r="F9" s="380">
        <f t="shared" ref="F9:Q22" si="4">$D9*F$4</f>
        <v>3341.0970624584083</v>
      </c>
      <c r="G9" s="380">
        <f t="shared" ref="G9:Q22" si="5">$D9*G$4</f>
        <v>3190.1202585797128</v>
      </c>
      <c r="H9" s="380">
        <f t="shared" si="5"/>
        <v>3066.5937826789618</v>
      </c>
      <c r="I9" s="380">
        <f t="shared" si="5"/>
        <v>3423.4480463922423</v>
      </c>
      <c r="J9" s="380">
        <f t="shared" si="5"/>
        <v>3476.3879646354217</v>
      </c>
      <c r="K9" s="380">
        <f t="shared" si="5"/>
        <v>3797.9489495199164</v>
      </c>
      <c r="L9" s="380">
        <f t="shared" si="5"/>
        <v>3509.7205057514971</v>
      </c>
      <c r="M9" s="380">
        <f t="shared" si="5"/>
        <v>3721.4801787242131</v>
      </c>
      <c r="N9" s="380">
        <f t="shared" si="5"/>
        <v>3403.8406692651392</v>
      </c>
      <c r="O9" s="380">
        <f t="shared" si="5"/>
        <v>3076.3974712425133</v>
      </c>
      <c r="P9" s="380">
        <f t="shared" si="5"/>
        <v>3586.1892765472003</v>
      </c>
      <c r="Q9" s="380">
        <f t="shared" si="5"/>
        <v>3656.7758342047723</v>
      </c>
      <c r="R9" s="381">
        <f t="shared" ref="R9:R22" si="6">SUM(F9:Q9)</f>
        <v>41250</v>
      </c>
      <c r="S9" s="221">
        <f t="shared" si="2"/>
        <v>0</v>
      </c>
    </row>
    <row r="10" spans="1:34" x14ac:dyDescent="0.2">
      <c r="A10" s="234">
        <v>51806</v>
      </c>
      <c r="B10" s="228" t="s">
        <v>1050</v>
      </c>
      <c r="C10" s="229">
        <f>'[6]Other Income'!$J$18</f>
        <v>2388</v>
      </c>
      <c r="D10" s="331">
        <f t="shared" si="3"/>
        <v>0.11350888867763095</v>
      </c>
      <c r="E10" s="235"/>
      <c r="F10" s="380">
        <f t="shared" si="4"/>
        <v>193.41914630668313</v>
      </c>
      <c r="G10" s="380">
        <f t="shared" si="4"/>
        <v>184.67896187850556</v>
      </c>
      <c r="H10" s="380">
        <f t="shared" si="4"/>
        <v>177.52790189181482</v>
      </c>
      <c r="I10" s="380">
        <f t="shared" si="4"/>
        <v>198.18651963114365</v>
      </c>
      <c r="J10" s="380">
        <f t="shared" si="4"/>
        <v>201.25125962543967</v>
      </c>
      <c r="K10" s="380">
        <f t="shared" si="4"/>
        <v>219.86671736857116</v>
      </c>
      <c r="L10" s="380">
        <f t="shared" si="4"/>
        <v>203.1809107329594</v>
      </c>
      <c r="M10" s="380">
        <f t="shared" si="4"/>
        <v>215.43987071014354</v>
      </c>
      <c r="N10" s="380">
        <f t="shared" si="4"/>
        <v>197.05143074436734</v>
      </c>
      <c r="O10" s="380">
        <f t="shared" si="4"/>
        <v>178.09544633520298</v>
      </c>
      <c r="P10" s="380">
        <f t="shared" si="4"/>
        <v>207.60775739138703</v>
      </c>
      <c r="Q10" s="380">
        <f t="shared" si="4"/>
        <v>211.69407738378172</v>
      </c>
      <c r="R10" s="381">
        <f>SUM(F10:Q10)</f>
        <v>2388</v>
      </c>
      <c r="S10" s="221">
        <f t="shared" si="2"/>
        <v>0</v>
      </c>
    </row>
    <row r="11" spans="1:34" x14ac:dyDescent="0.2">
      <c r="A11" s="234">
        <v>51808</v>
      </c>
      <c r="B11" s="228" t="s">
        <v>662</v>
      </c>
      <c r="C11" s="229">
        <f>'[6]Other Income'!$J$19</f>
        <v>100</v>
      </c>
      <c r="D11" s="331">
        <f t="shared" si="3"/>
        <v>4.753303545964445E-3</v>
      </c>
      <c r="E11" s="235"/>
      <c r="F11" s="380">
        <f t="shared" si="4"/>
        <v>8.0996292423234149</v>
      </c>
      <c r="G11" s="380">
        <f t="shared" si="5"/>
        <v>7.733624869284152</v>
      </c>
      <c r="H11" s="380">
        <f t="shared" si="5"/>
        <v>7.4341667458883922</v>
      </c>
      <c r="I11" s="380">
        <f t="shared" si="5"/>
        <v>8.2992679912539202</v>
      </c>
      <c r="J11" s="380">
        <f t="shared" si="5"/>
        <v>8.4276071869949618</v>
      </c>
      <c r="K11" s="380">
        <f t="shared" si="5"/>
        <v>9.2071489685331294</v>
      </c>
      <c r="L11" s="380">
        <f t="shared" si="5"/>
        <v>8.5084133472763561</v>
      </c>
      <c r="M11" s="380">
        <f t="shared" si="5"/>
        <v>9.0217701302405171</v>
      </c>
      <c r="N11" s="380">
        <f t="shared" si="5"/>
        <v>8.2517349557942765</v>
      </c>
      <c r="O11" s="380">
        <f t="shared" si="5"/>
        <v>7.4579332636182141</v>
      </c>
      <c r="P11" s="380">
        <f t="shared" si="5"/>
        <v>8.6937921855689702</v>
      </c>
      <c r="Q11" s="380">
        <f t="shared" si="5"/>
        <v>8.8649111132236893</v>
      </c>
      <c r="R11" s="381">
        <f t="shared" si="6"/>
        <v>99.999999999999986</v>
      </c>
      <c r="S11" s="221">
        <f t="shared" si="2"/>
        <v>0</v>
      </c>
    </row>
    <row r="12" spans="1:34" x14ac:dyDescent="0.2">
      <c r="A12" s="234">
        <v>51810</v>
      </c>
      <c r="B12" s="228" t="s">
        <v>1049</v>
      </c>
      <c r="C12" s="229">
        <f>'[6]Other Income'!$J$20</f>
        <v>441625.0033333333</v>
      </c>
      <c r="D12" s="331">
        <f t="shared" si="3"/>
        <v>20.991776943308931</v>
      </c>
      <c r="E12" s="235"/>
      <c r="F12" s="380">
        <f t="shared" si="4"/>
        <v>35769.987911398421</v>
      </c>
      <c r="G12" s="380">
        <f t="shared" si="5"/>
        <v>34153.621086763633</v>
      </c>
      <c r="H12" s="380">
        <f t="shared" si="5"/>
        <v>32831.139139335166</v>
      </c>
      <c r="I12" s="380">
        <f t="shared" si="5"/>
        <v>36651.642543017391</v>
      </c>
      <c r="J12" s="380">
        <f t="shared" si="5"/>
        <v>37218.420520486732</v>
      </c>
      <c r="K12" s="380">
        <f t="shared" si="5"/>
        <v>40661.071939189402</v>
      </c>
      <c r="L12" s="380">
        <f t="shared" si="5"/>
        <v>37575.280728522986</v>
      </c>
      <c r="M12" s="380">
        <f t="shared" si="5"/>
        <v>39842.39263840035</v>
      </c>
      <c r="N12" s="380">
        <f t="shared" si="5"/>
        <v>36441.724773584305</v>
      </c>
      <c r="O12" s="380">
        <f t="shared" si="5"/>
        <v>32936.098024051716</v>
      </c>
      <c r="P12" s="380">
        <f t="shared" si="5"/>
        <v>38393.960029312038</v>
      </c>
      <c r="Q12" s="380">
        <f t="shared" si="5"/>
        <v>39149.663999271157</v>
      </c>
      <c r="R12" s="381">
        <f t="shared" si="6"/>
        <v>441625.0033333333</v>
      </c>
      <c r="S12" s="221">
        <f t="shared" si="2"/>
        <v>0</v>
      </c>
    </row>
    <row r="13" spans="1:34" x14ac:dyDescent="0.2">
      <c r="A13" s="234">
        <v>51812</v>
      </c>
      <c r="B13" s="228" t="s">
        <v>663</v>
      </c>
      <c r="C13" s="229">
        <f>'[6]Other Income'!$J$21</f>
        <v>75</v>
      </c>
      <c r="D13" s="331">
        <f t="shared" si="3"/>
        <v>3.564977659473334E-3</v>
      </c>
      <c r="E13" s="235"/>
      <c r="F13" s="380">
        <f t="shared" si="4"/>
        <v>6.0747219317425607</v>
      </c>
      <c r="G13" s="380">
        <f t="shared" si="5"/>
        <v>5.8002186519631147</v>
      </c>
      <c r="H13" s="380">
        <f t="shared" si="5"/>
        <v>5.5756250594162946</v>
      </c>
      <c r="I13" s="380">
        <f t="shared" si="5"/>
        <v>6.2244509934404411</v>
      </c>
      <c r="J13" s="380">
        <f t="shared" si="5"/>
        <v>6.3207053902462214</v>
      </c>
      <c r="K13" s="380">
        <f t="shared" si="5"/>
        <v>6.9053617263998479</v>
      </c>
      <c r="L13" s="380">
        <f t="shared" si="5"/>
        <v>6.381310010457268</v>
      </c>
      <c r="M13" s="380">
        <f t="shared" si="5"/>
        <v>6.7663275976803883</v>
      </c>
      <c r="N13" s="380">
        <f t="shared" si="5"/>
        <v>6.1888012168457074</v>
      </c>
      <c r="O13" s="380">
        <f t="shared" si="5"/>
        <v>5.593449947713661</v>
      </c>
      <c r="P13" s="380">
        <f t="shared" si="5"/>
        <v>6.5203441391767276</v>
      </c>
      <c r="Q13" s="380">
        <f t="shared" si="5"/>
        <v>6.6486833349177683</v>
      </c>
      <c r="R13" s="381">
        <f t="shared" si="6"/>
        <v>74.999999999999986</v>
      </c>
      <c r="S13" s="221">
        <f t="shared" si="2"/>
        <v>0</v>
      </c>
    </row>
    <row r="14" spans="1:34" x14ac:dyDescent="0.2">
      <c r="A14" s="234">
        <v>51816</v>
      </c>
      <c r="B14" s="228" t="s">
        <v>664</v>
      </c>
      <c r="C14" s="229">
        <f>'[6]Other Income'!$J$22</f>
        <v>12000</v>
      </c>
      <c r="D14" s="331">
        <f t="shared" si="3"/>
        <v>0.57039642551573344</v>
      </c>
      <c r="E14" s="235"/>
      <c r="F14" s="380">
        <f t="shared" si="4"/>
        <v>971.95550907880977</v>
      </c>
      <c r="G14" s="380">
        <f t="shared" si="5"/>
        <v>928.03498431409832</v>
      </c>
      <c r="H14" s="380">
        <f t="shared" si="5"/>
        <v>892.10000950660708</v>
      </c>
      <c r="I14" s="380">
        <f t="shared" si="5"/>
        <v>995.9121589504706</v>
      </c>
      <c r="J14" s="380">
        <f t="shared" si="5"/>
        <v>1011.3128624393954</v>
      </c>
      <c r="K14" s="380">
        <f t="shared" si="5"/>
        <v>1104.8578762239756</v>
      </c>
      <c r="L14" s="380">
        <f t="shared" si="5"/>
        <v>1021.0096016731628</v>
      </c>
      <c r="M14" s="380">
        <f t="shared" si="5"/>
        <v>1082.612415628862</v>
      </c>
      <c r="N14" s="380">
        <f t="shared" si="5"/>
        <v>990.2081946953133</v>
      </c>
      <c r="O14" s="380">
        <f t="shared" si="5"/>
        <v>894.95199163418579</v>
      </c>
      <c r="P14" s="380">
        <f t="shared" si="5"/>
        <v>1043.2550622682766</v>
      </c>
      <c r="Q14" s="380">
        <f t="shared" si="5"/>
        <v>1063.7893335868428</v>
      </c>
      <c r="R14" s="381">
        <f t="shared" si="6"/>
        <v>12000</v>
      </c>
      <c r="S14" s="221">
        <f t="shared" si="2"/>
        <v>0</v>
      </c>
    </row>
    <row r="15" spans="1:34" s="218" customFormat="1" x14ac:dyDescent="0.2">
      <c r="A15" s="234">
        <v>51826</v>
      </c>
      <c r="B15" s="228" t="s">
        <v>665</v>
      </c>
      <c r="C15" s="229">
        <f>'[6]Other Income'!$J$23</f>
        <v>20000</v>
      </c>
      <c r="D15" s="331">
        <f t="shared" si="3"/>
        <v>0.95066070919288903</v>
      </c>
      <c r="E15" s="235"/>
      <c r="F15" s="380">
        <f t="shared" si="4"/>
        <v>1619.925848464683</v>
      </c>
      <c r="G15" s="380">
        <f t="shared" si="5"/>
        <v>1546.7249738568305</v>
      </c>
      <c r="H15" s="380">
        <f t="shared" si="5"/>
        <v>1486.8333491776784</v>
      </c>
      <c r="I15" s="380">
        <f t="shared" si="5"/>
        <v>1659.8535982507842</v>
      </c>
      <c r="J15" s="380">
        <f t="shared" si="5"/>
        <v>1685.5214373989922</v>
      </c>
      <c r="K15" s="380">
        <f t="shared" si="5"/>
        <v>1841.429793706626</v>
      </c>
      <c r="L15" s="380">
        <f t="shared" si="5"/>
        <v>1701.6826694552713</v>
      </c>
      <c r="M15" s="380">
        <f t="shared" si="5"/>
        <v>1804.3540260481034</v>
      </c>
      <c r="N15" s="380">
        <f t="shared" si="5"/>
        <v>1650.3469911588554</v>
      </c>
      <c r="O15" s="380">
        <f t="shared" si="5"/>
        <v>1491.5866527236428</v>
      </c>
      <c r="P15" s="380">
        <f t="shared" si="5"/>
        <v>1738.7584371137941</v>
      </c>
      <c r="Q15" s="380">
        <f t="shared" si="5"/>
        <v>1772.9822226447379</v>
      </c>
      <c r="R15" s="381">
        <f t="shared" si="6"/>
        <v>20000</v>
      </c>
      <c r="S15" s="221">
        <f t="shared" si="2"/>
        <v>0</v>
      </c>
      <c r="AG15" s="151"/>
      <c r="AH15" s="151"/>
    </row>
    <row r="16" spans="1:34" s="218" customFormat="1" x14ac:dyDescent="0.2">
      <c r="A16" s="234">
        <v>51828</v>
      </c>
      <c r="B16" s="228" t="s">
        <v>670</v>
      </c>
      <c r="C16" s="229">
        <f>'[6]Other Income'!$J$24</f>
        <v>250</v>
      </c>
      <c r="D16" s="331">
        <f t="shared" si="3"/>
        <v>1.1883258864911114E-2</v>
      </c>
      <c r="E16" s="235"/>
      <c r="F16" s="380">
        <f t="shared" si="4"/>
        <v>20.249073105808538</v>
      </c>
      <c r="G16" s="380">
        <f t="shared" si="5"/>
        <v>19.334062173210384</v>
      </c>
      <c r="H16" s="380">
        <f t="shared" si="5"/>
        <v>18.585416864720983</v>
      </c>
      <c r="I16" s="380">
        <f t="shared" si="5"/>
        <v>20.748169978134804</v>
      </c>
      <c r="J16" s="380">
        <f t="shared" si="5"/>
        <v>21.069017967487405</v>
      </c>
      <c r="K16" s="380">
        <f t="shared" si="5"/>
        <v>23.017872421332829</v>
      </c>
      <c r="L16" s="380">
        <f t="shared" si="5"/>
        <v>21.271033368190896</v>
      </c>
      <c r="M16" s="380">
        <f t="shared" si="5"/>
        <v>22.554425325601294</v>
      </c>
      <c r="N16" s="380">
        <f t="shared" si="5"/>
        <v>20.629337389485695</v>
      </c>
      <c r="O16" s="380">
        <f t="shared" si="5"/>
        <v>18.644833159045536</v>
      </c>
      <c r="P16" s="380">
        <f t="shared" si="5"/>
        <v>21.734480463922427</v>
      </c>
      <c r="Q16" s="380">
        <f t="shared" si="5"/>
        <v>22.162277783059228</v>
      </c>
      <c r="R16" s="381">
        <f t="shared" si="6"/>
        <v>250.00000000000003</v>
      </c>
      <c r="S16" s="221">
        <f t="shared" si="2"/>
        <v>0</v>
      </c>
      <c r="AG16" s="151"/>
      <c r="AH16" s="151"/>
    </row>
    <row r="17" spans="1:34" s="218" customFormat="1" x14ac:dyDescent="0.2">
      <c r="A17" s="234">
        <v>51830</v>
      </c>
      <c r="B17" s="228" t="s">
        <v>1051</v>
      </c>
      <c r="C17" s="229">
        <f>'[6]Other Income'!$J$25</f>
        <v>1300</v>
      </c>
      <c r="D17" s="331">
        <f t="shared" si="3"/>
        <v>6.1792946097537792E-2</v>
      </c>
      <c r="E17" s="235"/>
      <c r="F17" s="380">
        <f t="shared" si="4"/>
        <v>105.2951801502044</v>
      </c>
      <c r="G17" s="380">
        <f t="shared" si="4"/>
        <v>100.53712330069399</v>
      </c>
      <c r="H17" s="380">
        <f t="shared" si="4"/>
        <v>96.644167696549104</v>
      </c>
      <c r="I17" s="380">
        <f t="shared" si="4"/>
        <v>107.89048388630098</v>
      </c>
      <c r="J17" s="380">
        <f t="shared" si="4"/>
        <v>109.5588934309345</v>
      </c>
      <c r="K17" s="380">
        <f t="shared" si="4"/>
        <v>119.6929365909307</v>
      </c>
      <c r="L17" s="380">
        <f t="shared" si="4"/>
        <v>110.60937351459265</v>
      </c>
      <c r="M17" s="380">
        <f t="shared" si="4"/>
        <v>117.28301169312672</v>
      </c>
      <c r="N17" s="380">
        <f t="shared" si="4"/>
        <v>107.27255442532561</v>
      </c>
      <c r="O17" s="380">
        <f t="shared" si="4"/>
        <v>96.953132427036792</v>
      </c>
      <c r="P17" s="380">
        <f t="shared" si="4"/>
        <v>113.01929841239662</v>
      </c>
      <c r="Q17" s="380">
        <f t="shared" si="4"/>
        <v>115.24384447190798</v>
      </c>
      <c r="R17" s="381">
        <f>SUM(F17:Q17)</f>
        <v>1300</v>
      </c>
      <c r="S17" s="221">
        <f t="shared" si="2"/>
        <v>0</v>
      </c>
      <c r="AG17" s="151"/>
      <c r="AH17" s="151"/>
    </row>
    <row r="18" spans="1:34" s="218" customFormat="1" x14ac:dyDescent="0.2">
      <c r="A18" s="234">
        <v>51832</v>
      </c>
      <c r="B18" s="228" t="s">
        <v>666</v>
      </c>
      <c r="C18" s="229">
        <f>'[6]Other Income'!$J$26</f>
        <v>1150</v>
      </c>
      <c r="D18" s="331">
        <f t="shared" si="3"/>
        <v>5.4662990778591124E-2</v>
      </c>
      <c r="E18" s="235"/>
      <c r="F18" s="380">
        <f t="shared" si="4"/>
        <v>93.14573628671927</v>
      </c>
      <c r="G18" s="380">
        <f t="shared" si="5"/>
        <v>88.936685996767764</v>
      </c>
      <c r="H18" s="380">
        <f t="shared" si="5"/>
        <v>85.492917577716511</v>
      </c>
      <c r="I18" s="380">
        <f t="shared" si="5"/>
        <v>95.4415818994201</v>
      </c>
      <c r="J18" s="380">
        <f t="shared" si="5"/>
        <v>96.917482650442068</v>
      </c>
      <c r="K18" s="380">
        <f t="shared" si="5"/>
        <v>105.88221313813101</v>
      </c>
      <c r="L18" s="380">
        <f t="shared" si="5"/>
        <v>97.846753493678108</v>
      </c>
      <c r="M18" s="380">
        <f t="shared" si="5"/>
        <v>103.75035649776595</v>
      </c>
      <c r="N18" s="380">
        <f t="shared" si="5"/>
        <v>94.894951991634187</v>
      </c>
      <c r="O18" s="380">
        <f t="shared" si="5"/>
        <v>85.766232531609475</v>
      </c>
      <c r="P18" s="380">
        <f t="shared" si="5"/>
        <v>99.978610134043166</v>
      </c>
      <c r="Q18" s="380">
        <f t="shared" si="5"/>
        <v>101.94647780207245</v>
      </c>
      <c r="R18" s="381">
        <f t="shared" si="6"/>
        <v>1150.0000000000002</v>
      </c>
      <c r="S18" s="221">
        <f t="shared" si="2"/>
        <v>0</v>
      </c>
      <c r="AG18" s="151"/>
      <c r="AH18" s="151"/>
    </row>
    <row r="19" spans="1:34" s="218" customFormat="1" x14ac:dyDescent="0.2">
      <c r="A19" s="234">
        <v>51834</v>
      </c>
      <c r="B19" s="228" t="s">
        <v>1052</v>
      </c>
      <c r="C19" s="229">
        <f>'[6]Other Income'!$J$27</f>
        <v>10800</v>
      </c>
      <c r="D19" s="331">
        <f t="shared" si="3"/>
        <v>0.5133567829641601</v>
      </c>
      <c r="E19" s="235"/>
      <c r="F19" s="380">
        <f t="shared" si="4"/>
        <v>874.75995817092883</v>
      </c>
      <c r="G19" s="380">
        <f t="shared" si="4"/>
        <v>835.2314858826885</v>
      </c>
      <c r="H19" s="380">
        <f t="shared" si="4"/>
        <v>802.89000855594634</v>
      </c>
      <c r="I19" s="380">
        <f t="shared" si="4"/>
        <v>896.32094305542353</v>
      </c>
      <c r="J19" s="380">
        <f t="shared" si="4"/>
        <v>910.18157619545582</v>
      </c>
      <c r="K19" s="380">
        <f t="shared" si="4"/>
        <v>994.37208860157807</v>
      </c>
      <c r="L19" s="380">
        <f t="shared" si="4"/>
        <v>918.90864150584662</v>
      </c>
      <c r="M19" s="380">
        <f t="shared" si="4"/>
        <v>974.3511740659759</v>
      </c>
      <c r="N19" s="380">
        <f t="shared" si="4"/>
        <v>891.18737522578192</v>
      </c>
      <c r="O19" s="380">
        <f t="shared" si="4"/>
        <v>805.45679247076714</v>
      </c>
      <c r="P19" s="380">
        <f t="shared" si="4"/>
        <v>938.92955604144879</v>
      </c>
      <c r="Q19" s="380">
        <f t="shared" si="4"/>
        <v>957.41040022815855</v>
      </c>
      <c r="R19" s="381">
        <f>SUM(F19:Q19)</f>
        <v>10800</v>
      </c>
      <c r="S19" s="221">
        <f t="shared" si="2"/>
        <v>0</v>
      </c>
      <c r="AG19" s="151"/>
      <c r="AH19" s="151"/>
    </row>
    <row r="20" spans="1:34" s="218" customFormat="1" x14ac:dyDescent="0.2">
      <c r="A20" s="234">
        <v>51836</v>
      </c>
      <c r="B20" s="228" t="s">
        <v>880</v>
      </c>
      <c r="C20" s="229">
        <f>'[13]Other Income'!$K$28</f>
        <v>0</v>
      </c>
      <c r="D20" s="331">
        <f t="shared" si="3"/>
        <v>0</v>
      </c>
      <c r="E20" s="235"/>
      <c r="F20" s="380">
        <f t="shared" si="4"/>
        <v>0</v>
      </c>
      <c r="G20" s="380">
        <f t="shared" si="4"/>
        <v>0</v>
      </c>
      <c r="H20" s="380">
        <f t="shared" si="4"/>
        <v>0</v>
      </c>
      <c r="I20" s="380">
        <f t="shared" si="4"/>
        <v>0</v>
      </c>
      <c r="J20" s="380">
        <f t="shared" si="4"/>
        <v>0</v>
      </c>
      <c r="K20" s="380">
        <f t="shared" si="4"/>
        <v>0</v>
      </c>
      <c r="L20" s="380">
        <f t="shared" si="4"/>
        <v>0</v>
      </c>
      <c r="M20" s="380">
        <f t="shared" si="4"/>
        <v>0</v>
      </c>
      <c r="N20" s="380">
        <f t="shared" si="4"/>
        <v>0</v>
      </c>
      <c r="O20" s="380">
        <f t="shared" si="4"/>
        <v>0</v>
      </c>
      <c r="P20" s="380">
        <f t="shared" si="4"/>
        <v>0</v>
      </c>
      <c r="Q20" s="380">
        <f t="shared" si="4"/>
        <v>0</v>
      </c>
      <c r="R20" s="381">
        <f t="shared" ref="R20" si="7">SUM(F20:Q20)</f>
        <v>0</v>
      </c>
      <c r="S20" s="221">
        <f t="shared" ref="S20" si="8">C20-R20</f>
        <v>0</v>
      </c>
      <c r="AG20" s="151"/>
      <c r="AH20" s="151"/>
    </row>
    <row r="21" spans="1:34" s="218" customFormat="1" x14ac:dyDescent="0.2">
      <c r="A21" s="234">
        <v>51839</v>
      </c>
      <c r="B21" s="214" t="s">
        <v>667</v>
      </c>
      <c r="C21" s="229">
        <v>0</v>
      </c>
      <c r="D21" s="331">
        <f t="shared" si="3"/>
        <v>0</v>
      </c>
      <c r="E21" s="235"/>
      <c r="F21" s="380">
        <f t="shared" si="4"/>
        <v>0</v>
      </c>
      <c r="G21" s="380">
        <f t="shared" si="5"/>
        <v>0</v>
      </c>
      <c r="H21" s="380">
        <f t="shared" si="5"/>
        <v>0</v>
      </c>
      <c r="I21" s="380">
        <f t="shared" si="5"/>
        <v>0</v>
      </c>
      <c r="J21" s="380">
        <f t="shared" si="5"/>
        <v>0</v>
      </c>
      <c r="K21" s="380">
        <f t="shared" si="5"/>
        <v>0</v>
      </c>
      <c r="L21" s="380">
        <f t="shared" si="5"/>
        <v>0</v>
      </c>
      <c r="M21" s="380">
        <f t="shared" si="5"/>
        <v>0</v>
      </c>
      <c r="N21" s="380">
        <f t="shared" si="5"/>
        <v>0</v>
      </c>
      <c r="O21" s="380">
        <f t="shared" si="5"/>
        <v>0</v>
      </c>
      <c r="P21" s="380">
        <f t="shared" si="5"/>
        <v>0</v>
      </c>
      <c r="Q21" s="380">
        <f t="shared" si="5"/>
        <v>0</v>
      </c>
      <c r="R21" s="381">
        <f t="shared" si="6"/>
        <v>0</v>
      </c>
      <c r="S21" s="221">
        <f t="shared" si="2"/>
        <v>0</v>
      </c>
      <c r="AG21" s="151"/>
      <c r="AH21" s="151"/>
    </row>
    <row r="22" spans="1:34" s="218" customFormat="1" x14ac:dyDescent="0.2">
      <c r="A22" s="234">
        <v>51840</v>
      </c>
      <c r="B22" s="228" t="s">
        <v>668</v>
      </c>
      <c r="C22" s="229">
        <f>'[6]Other Income'!$J$28</f>
        <v>100</v>
      </c>
      <c r="D22" s="331">
        <f t="shared" si="3"/>
        <v>4.753303545964445E-3</v>
      </c>
      <c r="E22" s="235"/>
      <c r="F22" s="380">
        <f t="shared" si="4"/>
        <v>8.0996292423234149</v>
      </c>
      <c r="G22" s="380">
        <f t="shared" si="5"/>
        <v>7.733624869284152</v>
      </c>
      <c r="H22" s="380">
        <f t="shared" si="5"/>
        <v>7.4341667458883922</v>
      </c>
      <c r="I22" s="380">
        <f t="shared" si="5"/>
        <v>8.2992679912539202</v>
      </c>
      <c r="J22" s="380">
        <f t="shared" si="5"/>
        <v>8.4276071869949618</v>
      </c>
      <c r="K22" s="380">
        <f t="shared" si="5"/>
        <v>9.2071489685331294</v>
      </c>
      <c r="L22" s="380">
        <f t="shared" si="5"/>
        <v>8.5084133472763561</v>
      </c>
      <c r="M22" s="380">
        <f t="shared" si="5"/>
        <v>9.0217701302405171</v>
      </c>
      <c r="N22" s="380">
        <f t="shared" si="5"/>
        <v>8.2517349557942765</v>
      </c>
      <c r="O22" s="380">
        <f t="shared" si="5"/>
        <v>7.4579332636182141</v>
      </c>
      <c r="P22" s="380">
        <f t="shared" si="5"/>
        <v>8.6937921855689702</v>
      </c>
      <c r="Q22" s="380">
        <f t="shared" si="5"/>
        <v>8.8649111132236893</v>
      </c>
      <c r="R22" s="381">
        <f t="shared" si="6"/>
        <v>99.999999999999986</v>
      </c>
      <c r="S22" s="221">
        <f t="shared" si="2"/>
        <v>0</v>
      </c>
      <c r="AG22" s="151"/>
      <c r="AH22" s="151"/>
    </row>
    <row r="23" spans="1:34" s="159" customFormat="1" ht="12" customHeight="1" x14ac:dyDescent="0.2">
      <c r="A23" s="231"/>
      <c r="B23" s="224" t="s">
        <v>669</v>
      </c>
      <c r="C23" s="232">
        <f>SUM(C7:C22)</f>
        <v>546038.0033333333</v>
      </c>
      <c r="D23" s="236">
        <f>(C23/C$4)</f>
        <v>25.954843774756789</v>
      </c>
      <c r="E23" s="233"/>
      <c r="F23" s="382">
        <f t="shared" ref="F23:R23" si="9">SUM(F7:F22)</f>
        <v>44227.053792185572</v>
      </c>
      <c r="G23" s="382">
        <f t="shared" si="9"/>
        <v>42228.530821529297</v>
      </c>
      <c r="H23" s="382">
        <f t="shared" si="9"/>
        <v>40593.375663719598</v>
      </c>
      <c r="I23" s="382">
        <f t="shared" si="9"/>
        <v>45317.157230725352</v>
      </c>
      <c r="J23" s="382">
        <f t="shared" si="9"/>
        <v>46017.938012643775</v>
      </c>
      <c r="K23" s="382">
        <f t="shared" si="9"/>
        <v>50274.532391703906</v>
      </c>
      <c r="L23" s="382">
        <f t="shared" si="9"/>
        <v>46459.170356814655</v>
      </c>
      <c r="M23" s="382">
        <f t="shared" si="9"/>
        <v>49262.293484488386</v>
      </c>
      <c r="N23" s="382">
        <f t="shared" si="9"/>
        <v>45057.608792977786</v>
      </c>
      <c r="O23" s="382">
        <f t="shared" si="9"/>
        <v>40723.14988259341</v>
      </c>
      <c r="P23" s="382">
        <f t="shared" si="9"/>
        <v>47471.409264030161</v>
      </c>
      <c r="Q23" s="382">
        <f t="shared" si="9"/>
        <v>48405.783639921407</v>
      </c>
      <c r="R23" s="381">
        <f t="shared" si="9"/>
        <v>546038.0033333333</v>
      </c>
      <c r="S23" s="221">
        <f t="shared" si="2"/>
        <v>0</v>
      </c>
      <c r="T23" s="220"/>
      <c r="U23" s="220"/>
      <c r="V23" s="220"/>
      <c r="W23" s="220"/>
      <c r="X23" s="220"/>
      <c r="Y23" s="220"/>
      <c r="Z23" s="220"/>
      <c r="AA23" s="220"/>
      <c r="AB23" s="220"/>
      <c r="AC23" s="220"/>
      <c r="AD23" s="220"/>
      <c r="AE23" s="220"/>
      <c r="AF23" s="220"/>
    </row>
    <row r="24" spans="1:34" x14ac:dyDescent="0.2">
      <c r="D24" s="230"/>
      <c r="E24" s="230"/>
    </row>
    <row r="25" spans="1:34" x14ac:dyDescent="0.2">
      <c r="A25" s="151"/>
      <c r="B25" s="151"/>
      <c r="C25" s="151"/>
      <c r="D25" s="151"/>
      <c r="E25" s="151"/>
      <c r="F25" s="151"/>
      <c r="G25" s="151"/>
      <c r="H25" s="151"/>
      <c r="I25" s="151"/>
      <c r="J25" s="151"/>
      <c r="K25" s="151"/>
      <c r="L25" s="151"/>
      <c r="M25" s="151"/>
      <c r="N25" s="151"/>
      <c r="O25" s="151"/>
      <c r="P25" s="151"/>
      <c r="Q25" s="151"/>
      <c r="R25" s="151"/>
    </row>
    <row r="26" spans="1:34" x14ac:dyDescent="0.2">
      <c r="A26" s="151"/>
      <c r="B26" s="151"/>
      <c r="C26" s="151"/>
      <c r="D26" s="151"/>
      <c r="E26" s="151"/>
      <c r="F26" s="151"/>
      <c r="G26" s="151"/>
      <c r="H26" s="151"/>
      <c r="I26" s="151"/>
      <c r="J26" s="151"/>
      <c r="K26" s="151"/>
      <c r="L26" s="151"/>
      <c r="M26" s="151"/>
      <c r="N26" s="151"/>
      <c r="O26" s="151"/>
      <c r="P26" s="151"/>
      <c r="Q26" s="151"/>
      <c r="R26" s="151"/>
    </row>
    <row r="27" spans="1:34" x14ac:dyDescent="0.2">
      <c r="A27" s="151"/>
      <c r="B27" s="151"/>
      <c r="C27" s="151"/>
      <c r="D27" s="151"/>
      <c r="E27" s="151"/>
      <c r="F27" s="151"/>
      <c r="G27" s="151"/>
      <c r="H27" s="151"/>
      <c r="I27" s="151"/>
      <c r="J27" s="151"/>
      <c r="K27" s="151"/>
      <c r="L27" s="151"/>
      <c r="M27" s="151"/>
      <c r="N27" s="151"/>
      <c r="O27" s="151"/>
      <c r="P27" s="151"/>
      <c r="Q27" s="151"/>
      <c r="R27" s="151"/>
    </row>
    <row r="28" spans="1:34" x14ac:dyDescent="0.2">
      <c r="A28" s="234"/>
      <c r="B28" s="228"/>
      <c r="C28" s="240"/>
      <c r="F28" s="424"/>
      <c r="G28" s="424"/>
      <c r="H28" s="424"/>
      <c r="I28" s="424"/>
      <c r="J28" s="424"/>
      <c r="K28" s="424"/>
      <c r="L28" s="424"/>
      <c r="M28" s="424"/>
      <c r="N28" s="424"/>
      <c r="O28" s="424"/>
      <c r="P28" s="424"/>
      <c r="Q28" s="424"/>
      <c r="R28" s="381"/>
    </row>
    <row r="29" spans="1:34" x14ac:dyDescent="0.2">
      <c r="A29" s="227"/>
      <c r="B29" s="228"/>
      <c r="C29" s="225"/>
      <c r="F29" s="225"/>
      <c r="G29" s="225"/>
      <c r="H29" s="225"/>
      <c r="I29" s="225"/>
      <c r="J29" s="225"/>
      <c r="K29" s="225"/>
      <c r="L29" s="225"/>
      <c r="M29" s="225"/>
      <c r="N29" s="225"/>
      <c r="O29" s="225"/>
      <c r="P29" s="225"/>
      <c r="Q29" s="225"/>
      <c r="R29" s="381"/>
    </row>
    <row r="30" spans="1:34" x14ac:dyDescent="0.2">
      <c r="A30" s="227"/>
      <c r="B30" s="228"/>
    </row>
    <row r="32" spans="1:34" x14ac:dyDescent="0.2">
      <c r="B32" s="511"/>
      <c r="C32" s="512"/>
    </row>
  </sheetData>
  <printOptions gridLines="1"/>
  <pageMargins left="0.25" right="0.25" top="0.75" bottom="0.75" header="0.3" footer="0.3"/>
  <pageSetup scale="66" orientation="landscape" r:id="rId1"/>
  <headerFooter alignWithMargins="0">
    <oddHeader xml:space="preserve">&amp;C&amp;"Arial,Bold"&amp;14DOCTORS MEMORIAL HOSPITAL
FY 2017 BUDGET
</oddHeader>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FP584"/>
  <sheetViews>
    <sheetView defaultGridColor="0" colorId="22" zoomScaleNormal="100" zoomScaleSheetLayoutView="75" workbookViewId="0">
      <pane xSplit="2" ySplit="5" topLeftCell="C21" activePane="bottomRight" state="frozen"/>
      <selection pane="topRight" activeCell="C1" sqref="C1"/>
      <selection pane="bottomLeft" activeCell="A6" sqref="A6"/>
      <selection pane="bottomRight" activeCell="Q26" sqref="Q26"/>
    </sheetView>
  </sheetViews>
  <sheetFormatPr defaultColWidth="12.5703125" defaultRowHeight="15" x14ac:dyDescent="0.2"/>
  <cols>
    <col min="1" max="1" width="37.85546875" style="526" customWidth="1"/>
    <col min="2" max="2" width="9.5703125" style="526" customWidth="1"/>
    <col min="3" max="3" width="8.42578125" style="559" customWidth="1"/>
    <col min="4" max="4" width="7.42578125" style="559" customWidth="1"/>
    <col min="5" max="10" width="8.28515625" style="559" customWidth="1"/>
    <col min="11" max="11" width="8.28515625" style="527" customWidth="1"/>
    <col min="12" max="14" width="8.28515625" style="559" customWidth="1"/>
    <col min="15" max="15" width="10.7109375" style="527" customWidth="1"/>
    <col min="16" max="16" width="3.140625" style="526" customWidth="1"/>
    <col min="17" max="253" width="12.5703125" style="526"/>
    <col min="254" max="254" width="37.85546875" style="526" customWidth="1"/>
    <col min="255" max="255" width="9.5703125" style="526" customWidth="1"/>
    <col min="256" max="256" width="8.42578125" style="526" customWidth="1"/>
    <col min="257" max="257" width="7.42578125" style="526" customWidth="1"/>
    <col min="258" max="263" width="8.28515625" style="526" customWidth="1"/>
    <col min="264" max="267" width="0" style="526" hidden="1" customWidth="1"/>
    <col min="268" max="268" width="10.7109375" style="526" customWidth="1"/>
    <col min="269" max="269" width="3.140625" style="526" customWidth="1"/>
    <col min="270" max="270" width="10.42578125" style="526" customWidth="1"/>
    <col min="271" max="271" width="13" style="526" customWidth="1"/>
    <col min="272" max="272" width="14.140625" style="526" customWidth="1"/>
    <col min="273" max="509" width="12.5703125" style="526"/>
    <col min="510" max="510" width="37.85546875" style="526" customWidth="1"/>
    <col min="511" max="511" width="9.5703125" style="526" customWidth="1"/>
    <col min="512" max="512" width="8.42578125" style="526" customWidth="1"/>
    <col min="513" max="513" width="7.42578125" style="526" customWidth="1"/>
    <col min="514" max="519" width="8.28515625" style="526" customWidth="1"/>
    <col min="520" max="523" width="0" style="526" hidden="1" customWidth="1"/>
    <col min="524" max="524" width="10.7109375" style="526" customWidth="1"/>
    <col min="525" max="525" width="3.140625" style="526" customWidth="1"/>
    <col min="526" max="526" width="10.42578125" style="526" customWidth="1"/>
    <col min="527" max="527" width="13" style="526" customWidth="1"/>
    <col min="528" max="528" width="14.140625" style="526" customWidth="1"/>
    <col min="529" max="765" width="12.5703125" style="526"/>
    <col min="766" max="766" width="37.85546875" style="526" customWidth="1"/>
    <col min="767" max="767" width="9.5703125" style="526" customWidth="1"/>
    <col min="768" max="768" width="8.42578125" style="526" customWidth="1"/>
    <col min="769" max="769" width="7.42578125" style="526" customWidth="1"/>
    <col min="770" max="775" width="8.28515625" style="526" customWidth="1"/>
    <col min="776" max="779" width="0" style="526" hidden="1" customWidth="1"/>
    <col min="780" max="780" width="10.7109375" style="526" customWidth="1"/>
    <col min="781" max="781" width="3.140625" style="526" customWidth="1"/>
    <col min="782" max="782" width="10.42578125" style="526" customWidth="1"/>
    <col min="783" max="783" width="13" style="526" customWidth="1"/>
    <col min="784" max="784" width="14.140625" style="526" customWidth="1"/>
    <col min="785" max="1021" width="12.5703125" style="526"/>
    <col min="1022" max="1022" width="37.85546875" style="526" customWidth="1"/>
    <col min="1023" max="1023" width="9.5703125" style="526" customWidth="1"/>
    <col min="1024" max="1024" width="8.42578125" style="526" customWidth="1"/>
    <col min="1025" max="1025" width="7.42578125" style="526" customWidth="1"/>
    <col min="1026" max="1031" width="8.28515625" style="526" customWidth="1"/>
    <col min="1032" max="1035" width="0" style="526" hidden="1" customWidth="1"/>
    <col min="1036" max="1036" width="10.7109375" style="526" customWidth="1"/>
    <col min="1037" max="1037" width="3.140625" style="526" customWidth="1"/>
    <col min="1038" max="1038" width="10.42578125" style="526" customWidth="1"/>
    <col min="1039" max="1039" width="13" style="526" customWidth="1"/>
    <col min="1040" max="1040" width="14.140625" style="526" customWidth="1"/>
    <col min="1041" max="1277" width="12.5703125" style="526"/>
    <col min="1278" max="1278" width="37.85546875" style="526" customWidth="1"/>
    <col min="1279" max="1279" width="9.5703125" style="526" customWidth="1"/>
    <col min="1280" max="1280" width="8.42578125" style="526" customWidth="1"/>
    <col min="1281" max="1281" width="7.42578125" style="526" customWidth="1"/>
    <col min="1282" max="1287" width="8.28515625" style="526" customWidth="1"/>
    <col min="1288" max="1291" width="0" style="526" hidden="1" customWidth="1"/>
    <col min="1292" max="1292" width="10.7109375" style="526" customWidth="1"/>
    <col min="1293" max="1293" width="3.140625" style="526" customWidth="1"/>
    <col min="1294" max="1294" width="10.42578125" style="526" customWidth="1"/>
    <col min="1295" max="1295" width="13" style="526" customWidth="1"/>
    <col min="1296" max="1296" width="14.140625" style="526" customWidth="1"/>
    <col min="1297" max="1533" width="12.5703125" style="526"/>
    <col min="1534" max="1534" width="37.85546875" style="526" customWidth="1"/>
    <col min="1535" max="1535" width="9.5703125" style="526" customWidth="1"/>
    <col min="1536" max="1536" width="8.42578125" style="526" customWidth="1"/>
    <col min="1537" max="1537" width="7.42578125" style="526" customWidth="1"/>
    <col min="1538" max="1543" width="8.28515625" style="526" customWidth="1"/>
    <col min="1544" max="1547" width="0" style="526" hidden="1" customWidth="1"/>
    <col min="1548" max="1548" width="10.7109375" style="526" customWidth="1"/>
    <col min="1549" max="1549" width="3.140625" style="526" customWidth="1"/>
    <col min="1550" max="1550" width="10.42578125" style="526" customWidth="1"/>
    <col min="1551" max="1551" width="13" style="526" customWidth="1"/>
    <col min="1552" max="1552" width="14.140625" style="526" customWidth="1"/>
    <col min="1553" max="1789" width="12.5703125" style="526"/>
    <col min="1790" max="1790" width="37.85546875" style="526" customWidth="1"/>
    <col min="1791" max="1791" width="9.5703125" style="526" customWidth="1"/>
    <col min="1792" max="1792" width="8.42578125" style="526" customWidth="1"/>
    <col min="1793" max="1793" width="7.42578125" style="526" customWidth="1"/>
    <col min="1794" max="1799" width="8.28515625" style="526" customWidth="1"/>
    <col min="1800" max="1803" width="0" style="526" hidden="1" customWidth="1"/>
    <col min="1804" max="1804" width="10.7109375" style="526" customWidth="1"/>
    <col min="1805" max="1805" width="3.140625" style="526" customWidth="1"/>
    <col min="1806" max="1806" width="10.42578125" style="526" customWidth="1"/>
    <col min="1807" max="1807" width="13" style="526" customWidth="1"/>
    <col min="1808" max="1808" width="14.140625" style="526" customWidth="1"/>
    <col min="1809" max="2045" width="12.5703125" style="526"/>
    <col min="2046" max="2046" width="37.85546875" style="526" customWidth="1"/>
    <col min="2047" max="2047" width="9.5703125" style="526" customWidth="1"/>
    <col min="2048" max="2048" width="8.42578125" style="526" customWidth="1"/>
    <col min="2049" max="2049" width="7.42578125" style="526" customWidth="1"/>
    <col min="2050" max="2055" width="8.28515625" style="526" customWidth="1"/>
    <col min="2056" max="2059" width="0" style="526" hidden="1" customWidth="1"/>
    <col min="2060" max="2060" width="10.7109375" style="526" customWidth="1"/>
    <col min="2061" max="2061" width="3.140625" style="526" customWidth="1"/>
    <col min="2062" max="2062" width="10.42578125" style="526" customWidth="1"/>
    <col min="2063" max="2063" width="13" style="526" customWidth="1"/>
    <col min="2064" max="2064" width="14.140625" style="526" customWidth="1"/>
    <col min="2065" max="2301" width="12.5703125" style="526"/>
    <col min="2302" max="2302" width="37.85546875" style="526" customWidth="1"/>
    <col min="2303" max="2303" width="9.5703125" style="526" customWidth="1"/>
    <col min="2304" max="2304" width="8.42578125" style="526" customWidth="1"/>
    <col min="2305" max="2305" width="7.42578125" style="526" customWidth="1"/>
    <col min="2306" max="2311" width="8.28515625" style="526" customWidth="1"/>
    <col min="2312" max="2315" width="0" style="526" hidden="1" customWidth="1"/>
    <col min="2316" max="2316" width="10.7109375" style="526" customWidth="1"/>
    <col min="2317" max="2317" width="3.140625" style="526" customWidth="1"/>
    <col min="2318" max="2318" width="10.42578125" style="526" customWidth="1"/>
    <col min="2319" max="2319" width="13" style="526" customWidth="1"/>
    <col min="2320" max="2320" width="14.140625" style="526" customWidth="1"/>
    <col min="2321" max="2557" width="12.5703125" style="526"/>
    <col min="2558" max="2558" width="37.85546875" style="526" customWidth="1"/>
    <col min="2559" max="2559" width="9.5703125" style="526" customWidth="1"/>
    <col min="2560" max="2560" width="8.42578125" style="526" customWidth="1"/>
    <col min="2561" max="2561" width="7.42578125" style="526" customWidth="1"/>
    <col min="2562" max="2567" width="8.28515625" style="526" customWidth="1"/>
    <col min="2568" max="2571" width="0" style="526" hidden="1" customWidth="1"/>
    <col min="2572" max="2572" width="10.7109375" style="526" customWidth="1"/>
    <col min="2573" max="2573" width="3.140625" style="526" customWidth="1"/>
    <col min="2574" max="2574" width="10.42578125" style="526" customWidth="1"/>
    <col min="2575" max="2575" width="13" style="526" customWidth="1"/>
    <col min="2576" max="2576" width="14.140625" style="526" customWidth="1"/>
    <col min="2577" max="2813" width="12.5703125" style="526"/>
    <col min="2814" max="2814" width="37.85546875" style="526" customWidth="1"/>
    <col min="2815" max="2815" width="9.5703125" style="526" customWidth="1"/>
    <col min="2816" max="2816" width="8.42578125" style="526" customWidth="1"/>
    <col min="2817" max="2817" width="7.42578125" style="526" customWidth="1"/>
    <col min="2818" max="2823" width="8.28515625" style="526" customWidth="1"/>
    <col min="2824" max="2827" width="0" style="526" hidden="1" customWidth="1"/>
    <col min="2828" max="2828" width="10.7109375" style="526" customWidth="1"/>
    <col min="2829" max="2829" width="3.140625" style="526" customWidth="1"/>
    <col min="2830" max="2830" width="10.42578125" style="526" customWidth="1"/>
    <col min="2831" max="2831" width="13" style="526" customWidth="1"/>
    <col min="2832" max="2832" width="14.140625" style="526" customWidth="1"/>
    <col min="2833" max="3069" width="12.5703125" style="526"/>
    <col min="3070" max="3070" width="37.85546875" style="526" customWidth="1"/>
    <col min="3071" max="3071" width="9.5703125" style="526" customWidth="1"/>
    <col min="3072" max="3072" width="8.42578125" style="526" customWidth="1"/>
    <col min="3073" max="3073" width="7.42578125" style="526" customWidth="1"/>
    <col min="3074" max="3079" width="8.28515625" style="526" customWidth="1"/>
    <col min="3080" max="3083" width="0" style="526" hidden="1" customWidth="1"/>
    <col min="3084" max="3084" width="10.7109375" style="526" customWidth="1"/>
    <col min="3085" max="3085" width="3.140625" style="526" customWidth="1"/>
    <col min="3086" max="3086" width="10.42578125" style="526" customWidth="1"/>
    <col min="3087" max="3087" width="13" style="526" customWidth="1"/>
    <col min="3088" max="3088" width="14.140625" style="526" customWidth="1"/>
    <col min="3089" max="3325" width="12.5703125" style="526"/>
    <col min="3326" max="3326" width="37.85546875" style="526" customWidth="1"/>
    <col min="3327" max="3327" width="9.5703125" style="526" customWidth="1"/>
    <col min="3328" max="3328" width="8.42578125" style="526" customWidth="1"/>
    <col min="3329" max="3329" width="7.42578125" style="526" customWidth="1"/>
    <col min="3330" max="3335" width="8.28515625" style="526" customWidth="1"/>
    <col min="3336" max="3339" width="0" style="526" hidden="1" customWidth="1"/>
    <col min="3340" max="3340" width="10.7109375" style="526" customWidth="1"/>
    <col min="3341" max="3341" width="3.140625" style="526" customWidth="1"/>
    <col min="3342" max="3342" width="10.42578125" style="526" customWidth="1"/>
    <col min="3343" max="3343" width="13" style="526" customWidth="1"/>
    <col min="3344" max="3344" width="14.140625" style="526" customWidth="1"/>
    <col min="3345" max="3581" width="12.5703125" style="526"/>
    <col min="3582" max="3582" width="37.85546875" style="526" customWidth="1"/>
    <col min="3583" max="3583" width="9.5703125" style="526" customWidth="1"/>
    <col min="3584" max="3584" width="8.42578125" style="526" customWidth="1"/>
    <col min="3585" max="3585" width="7.42578125" style="526" customWidth="1"/>
    <col min="3586" max="3591" width="8.28515625" style="526" customWidth="1"/>
    <col min="3592" max="3595" width="0" style="526" hidden="1" customWidth="1"/>
    <col min="3596" max="3596" width="10.7109375" style="526" customWidth="1"/>
    <col min="3597" max="3597" width="3.140625" style="526" customWidth="1"/>
    <col min="3598" max="3598" width="10.42578125" style="526" customWidth="1"/>
    <col min="3599" max="3599" width="13" style="526" customWidth="1"/>
    <col min="3600" max="3600" width="14.140625" style="526" customWidth="1"/>
    <col min="3601" max="3837" width="12.5703125" style="526"/>
    <col min="3838" max="3838" width="37.85546875" style="526" customWidth="1"/>
    <col min="3839" max="3839" width="9.5703125" style="526" customWidth="1"/>
    <col min="3840" max="3840" width="8.42578125" style="526" customWidth="1"/>
    <col min="3841" max="3841" width="7.42578125" style="526" customWidth="1"/>
    <col min="3842" max="3847" width="8.28515625" style="526" customWidth="1"/>
    <col min="3848" max="3851" width="0" style="526" hidden="1" customWidth="1"/>
    <col min="3852" max="3852" width="10.7109375" style="526" customWidth="1"/>
    <col min="3853" max="3853" width="3.140625" style="526" customWidth="1"/>
    <col min="3854" max="3854" width="10.42578125" style="526" customWidth="1"/>
    <col min="3855" max="3855" width="13" style="526" customWidth="1"/>
    <col min="3856" max="3856" width="14.140625" style="526" customWidth="1"/>
    <col min="3857" max="4093" width="12.5703125" style="526"/>
    <col min="4094" max="4094" width="37.85546875" style="526" customWidth="1"/>
    <col min="4095" max="4095" width="9.5703125" style="526" customWidth="1"/>
    <col min="4096" max="4096" width="8.42578125" style="526" customWidth="1"/>
    <col min="4097" max="4097" width="7.42578125" style="526" customWidth="1"/>
    <col min="4098" max="4103" width="8.28515625" style="526" customWidth="1"/>
    <col min="4104" max="4107" width="0" style="526" hidden="1" customWidth="1"/>
    <col min="4108" max="4108" width="10.7109375" style="526" customWidth="1"/>
    <col min="4109" max="4109" width="3.140625" style="526" customWidth="1"/>
    <col min="4110" max="4110" width="10.42578125" style="526" customWidth="1"/>
    <col min="4111" max="4111" width="13" style="526" customWidth="1"/>
    <col min="4112" max="4112" width="14.140625" style="526" customWidth="1"/>
    <col min="4113" max="4349" width="12.5703125" style="526"/>
    <col min="4350" max="4350" width="37.85546875" style="526" customWidth="1"/>
    <col min="4351" max="4351" width="9.5703125" style="526" customWidth="1"/>
    <col min="4352" max="4352" width="8.42578125" style="526" customWidth="1"/>
    <col min="4353" max="4353" width="7.42578125" style="526" customWidth="1"/>
    <col min="4354" max="4359" width="8.28515625" style="526" customWidth="1"/>
    <col min="4360" max="4363" width="0" style="526" hidden="1" customWidth="1"/>
    <col min="4364" max="4364" width="10.7109375" style="526" customWidth="1"/>
    <col min="4365" max="4365" width="3.140625" style="526" customWidth="1"/>
    <col min="4366" max="4366" width="10.42578125" style="526" customWidth="1"/>
    <col min="4367" max="4367" width="13" style="526" customWidth="1"/>
    <col min="4368" max="4368" width="14.140625" style="526" customWidth="1"/>
    <col min="4369" max="4605" width="12.5703125" style="526"/>
    <col min="4606" max="4606" width="37.85546875" style="526" customWidth="1"/>
    <col min="4607" max="4607" width="9.5703125" style="526" customWidth="1"/>
    <col min="4608" max="4608" width="8.42578125" style="526" customWidth="1"/>
    <col min="4609" max="4609" width="7.42578125" style="526" customWidth="1"/>
    <col min="4610" max="4615" width="8.28515625" style="526" customWidth="1"/>
    <col min="4616" max="4619" width="0" style="526" hidden="1" customWidth="1"/>
    <col min="4620" max="4620" width="10.7109375" style="526" customWidth="1"/>
    <col min="4621" max="4621" width="3.140625" style="526" customWidth="1"/>
    <col min="4622" max="4622" width="10.42578125" style="526" customWidth="1"/>
    <col min="4623" max="4623" width="13" style="526" customWidth="1"/>
    <col min="4624" max="4624" width="14.140625" style="526" customWidth="1"/>
    <col min="4625" max="4861" width="12.5703125" style="526"/>
    <col min="4862" max="4862" width="37.85546875" style="526" customWidth="1"/>
    <col min="4863" max="4863" width="9.5703125" style="526" customWidth="1"/>
    <col min="4864" max="4864" width="8.42578125" style="526" customWidth="1"/>
    <col min="4865" max="4865" width="7.42578125" style="526" customWidth="1"/>
    <col min="4866" max="4871" width="8.28515625" style="526" customWidth="1"/>
    <col min="4872" max="4875" width="0" style="526" hidden="1" customWidth="1"/>
    <col min="4876" max="4876" width="10.7109375" style="526" customWidth="1"/>
    <col min="4877" max="4877" width="3.140625" style="526" customWidth="1"/>
    <col min="4878" max="4878" width="10.42578125" style="526" customWidth="1"/>
    <col min="4879" max="4879" width="13" style="526" customWidth="1"/>
    <col min="4880" max="4880" width="14.140625" style="526" customWidth="1"/>
    <col min="4881" max="5117" width="12.5703125" style="526"/>
    <col min="5118" max="5118" width="37.85546875" style="526" customWidth="1"/>
    <col min="5119" max="5119" width="9.5703125" style="526" customWidth="1"/>
    <col min="5120" max="5120" width="8.42578125" style="526" customWidth="1"/>
    <col min="5121" max="5121" width="7.42578125" style="526" customWidth="1"/>
    <col min="5122" max="5127" width="8.28515625" style="526" customWidth="1"/>
    <col min="5128" max="5131" width="0" style="526" hidden="1" customWidth="1"/>
    <col min="5132" max="5132" width="10.7109375" style="526" customWidth="1"/>
    <col min="5133" max="5133" width="3.140625" style="526" customWidth="1"/>
    <col min="5134" max="5134" width="10.42578125" style="526" customWidth="1"/>
    <col min="5135" max="5135" width="13" style="526" customWidth="1"/>
    <col min="5136" max="5136" width="14.140625" style="526" customWidth="1"/>
    <col min="5137" max="5373" width="12.5703125" style="526"/>
    <col min="5374" max="5374" width="37.85546875" style="526" customWidth="1"/>
    <col min="5375" max="5375" width="9.5703125" style="526" customWidth="1"/>
    <col min="5376" max="5376" width="8.42578125" style="526" customWidth="1"/>
    <col min="5377" max="5377" width="7.42578125" style="526" customWidth="1"/>
    <col min="5378" max="5383" width="8.28515625" style="526" customWidth="1"/>
    <col min="5384" max="5387" width="0" style="526" hidden="1" customWidth="1"/>
    <col min="5388" max="5388" width="10.7109375" style="526" customWidth="1"/>
    <col min="5389" max="5389" width="3.140625" style="526" customWidth="1"/>
    <col min="5390" max="5390" width="10.42578125" style="526" customWidth="1"/>
    <col min="5391" max="5391" width="13" style="526" customWidth="1"/>
    <col min="5392" max="5392" width="14.140625" style="526" customWidth="1"/>
    <col min="5393" max="5629" width="12.5703125" style="526"/>
    <col min="5630" max="5630" width="37.85546875" style="526" customWidth="1"/>
    <col min="5631" max="5631" width="9.5703125" style="526" customWidth="1"/>
    <col min="5632" max="5632" width="8.42578125" style="526" customWidth="1"/>
    <col min="5633" max="5633" width="7.42578125" style="526" customWidth="1"/>
    <col min="5634" max="5639" width="8.28515625" style="526" customWidth="1"/>
    <col min="5640" max="5643" width="0" style="526" hidden="1" customWidth="1"/>
    <col min="5644" max="5644" width="10.7109375" style="526" customWidth="1"/>
    <col min="5645" max="5645" width="3.140625" style="526" customWidth="1"/>
    <col min="5646" max="5646" width="10.42578125" style="526" customWidth="1"/>
    <col min="5647" max="5647" width="13" style="526" customWidth="1"/>
    <col min="5648" max="5648" width="14.140625" style="526" customWidth="1"/>
    <col min="5649" max="5885" width="12.5703125" style="526"/>
    <col min="5886" max="5886" width="37.85546875" style="526" customWidth="1"/>
    <col min="5887" max="5887" width="9.5703125" style="526" customWidth="1"/>
    <col min="5888" max="5888" width="8.42578125" style="526" customWidth="1"/>
    <col min="5889" max="5889" width="7.42578125" style="526" customWidth="1"/>
    <col min="5890" max="5895" width="8.28515625" style="526" customWidth="1"/>
    <col min="5896" max="5899" width="0" style="526" hidden="1" customWidth="1"/>
    <col min="5900" max="5900" width="10.7109375" style="526" customWidth="1"/>
    <col min="5901" max="5901" width="3.140625" style="526" customWidth="1"/>
    <col min="5902" max="5902" width="10.42578125" style="526" customWidth="1"/>
    <col min="5903" max="5903" width="13" style="526" customWidth="1"/>
    <col min="5904" max="5904" width="14.140625" style="526" customWidth="1"/>
    <col min="5905" max="6141" width="12.5703125" style="526"/>
    <col min="6142" max="6142" width="37.85546875" style="526" customWidth="1"/>
    <col min="6143" max="6143" width="9.5703125" style="526" customWidth="1"/>
    <col min="6144" max="6144" width="8.42578125" style="526" customWidth="1"/>
    <col min="6145" max="6145" width="7.42578125" style="526" customWidth="1"/>
    <col min="6146" max="6151" width="8.28515625" style="526" customWidth="1"/>
    <col min="6152" max="6155" width="0" style="526" hidden="1" customWidth="1"/>
    <col min="6156" max="6156" width="10.7109375" style="526" customWidth="1"/>
    <col min="6157" max="6157" width="3.140625" style="526" customWidth="1"/>
    <col min="6158" max="6158" width="10.42578125" style="526" customWidth="1"/>
    <col min="6159" max="6159" width="13" style="526" customWidth="1"/>
    <col min="6160" max="6160" width="14.140625" style="526" customWidth="1"/>
    <col min="6161" max="6397" width="12.5703125" style="526"/>
    <col min="6398" max="6398" width="37.85546875" style="526" customWidth="1"/>
    <col min="6399" max="6399" width="9.5703125" style="526" customWidth="1"/>
    <col min="6400" max="6400" width="8.42578125" style="526" customWidth="1"/>
    <col min="6401" max="6401" width="7.42578125" style="526" customWidth="1"/>
    <col min="6402" max="6407" width="8.28515625" style="526" customWidth="1"/>
    <col min="6408" max="6411" width="0" style="526" hidden="1" customWidth="1"/>
    <col min="6412" max="6412" width="10.7109375" style="526" customWidth="1"/>
    <col min="6413" max="6413" width="3.140625" style="526" customWidth="1"/>
    <col min="6414" max="6414" width="10.42578125" style="526" customWidth="1"/>
    <col min="6415" max="6415" width="13" style="526" customWidth="1"/>
    <col min="6416" max="6416" width="14.140625" style="526" customWidth="1"/>
    <col min="6417" max="6653" width="12.5703125" style="526"/>
    <col min="6654" max="6654" width="37.85546875" style="526" customWidth="1"/>
    <col min="6655" max="6655" width="9.5703125" style="526" customWidth="1"/>
    <col min="6656" max="6656" width="8.42578125" style="526" customWidth="1"/>
    <col min="6657" max="6657" width="7.42578125" style="526" customWidth="1"/>
    <col min="6658" max="6663" width="8.28515625" style="526" customWidth="1"/>
    <col min="6664" max="6667" width="0" style="526" hidden="1" customWidth="1"/>
    <col min="6668" max="6668" width="10.7109375" style="526" customWidth="1"/>
    <col min="6669" max="6669" width="3.140625" style="526" customWidth="1"/>
    <col min="6670" max="6670" width="10.42578125" style="526" customWidth="1"/>
    <col min="6671" max="6671" width="13" style="526" customWidth="1"/>
    <col min="6672" max="6672" width="14.140625" style="526" customWidth="1"/>
    <col min="6673" max="6909" width="12.5703125" style="526"/>
    <col min="6910" max="6910" width="37.85546875" style="526" customWidth="1"/>
    <col min="6911" max="6911" width="9.5703125" style="526" customWidth="1"/>
    <col min="6912" max="6912" width="8.42578125" style="526" customWidth="1"/>
    <col min="6913" max="6913" width="7.42578125" style="526" customWidth="1"/>
    <col min="6914" max="6919" width="8.28515625" style="526" customWidth="1"/>
    <col min="6920" max="6923" width="0" style="526" hidden="1" customWidth="1"/>
    <col min="6924" max="6924" width="10.7109375" style="526" customWidth="1"/>
    <col min="6925" max="6925" width="3.140625" style="526" customWidth="1"/>
    <col min="6926" max="6926" width="10.42578125" style="526" customWidth="1"/>
    <col min="6927" max="6927" width="13" style="526" customWidth="1"/>
    <col min="6928" max="6928" width="14.140625" style="526" customWidth="1"/>
    <col min="6929" max="7165" width="12.5703125" style="526"/>
    <col min="7166" max="7166" width="37.85546875" style="526" customWidth="1"/>
    <col min="7167" max="7167" width="9.5703125" style="526" customWidth="1"/>
    <col min="7168" max="7168" width="8.42578125" style="526" customWidth="1"/>
    <col min="7169" max="7169" width="7.42578125" style="526" customWidth="1"/>
    <col min="7170" max="7175" width="8.28515625" style="526" customWidth="1"/>
    <col min="7176" max="7179" width="0" style="526" hidden="1" customWidth="1"/>
    <col min="7180" max="7180" width="10.7109375" style="526" customWidth="1"/>
    <col min="7181" max="7181" width="3.140625" style="526" customWidth="1"/>
    <col min="7182" max="7182" width="10.42578125" style="526" customWidth="1"/>
    <col min="7183" max="7183" width="13" style="526" customWidth="1"/>
    <col min="7184" max="7184" width="14.140625" style="526" customWidth="1"/>
    <col min="7185" max="7421" width="12.5703125" style="526"/>
    <col min="7422" max="7422" width="37.85546875" style="526" customWidth="1"/>
    <col min="7423" max="7423" width="9.5703125" style="526" customWidth="1"/>
    <col min="7424" max="7424" width="8.42578125" style="526" customWidth="1"/>
    <col min="7425" max="7425" width="7.42578125" style="526" customWidth="1"/>
    <col min="7426" max="7431" width="8.28515625" style="526" customWidth="1"/>
    <col min="7432" max="7435" width="0" style="526" hidden="1" customWidth="1"/>
    <col min="7436" max="7436" width="10.7109375" style="526" customWidth="1"/>
    <col min="7437" max="7437" width="3.140625" style="526" customWidth="1"/>
    <col min="7438" max="7438" width="10.42578125" style="526" customWidth="1"/>
    <col min="7439" max="7439" width="13" style="526" customWidth="1"/>
    <col min="7440" max="7440" width="14.140625" style="526" customWidth="1"/>
    <col min="7441" max="7677" width="12.5703125" style="526"/>
    <col min="7678" max="7678" width="37.85546875" style="526" customWidth="1"/>
    <col min="7679" max="7679" width="9.5703125" style="526" customWidth="1"/>
    <col min="7680" max="7680" width="8.42578125" style="526" customWidth="1"/>
    <col min="7681" max="7681" width="7.42578125" style="526" customWidth="1"/>
    <col min="7682" max="7687" width="8.28515625" style="526" customWidth="1"/>
    <col min="7688" max="7691" width="0" style="526" hidden="1" customWidth="1"/>
    <col min="7692" max="7692" width="10.7109375" style="526" customWidth="1"/>
    <col min="7693" max="7693" width="3.140625" style="526" customWidth="1"/>
    <col min="7694" max="7694" width="10.42578125" style="526" customWidth="1"/>
    <col min="7695" max="7695" width="13" style="526" customWidth="1"/>
    <col min="7696" max="7696" width="14.140625" style="526" customWidth="1"/>
    <col min="7697" max="7933" width="12.5703125" style="526"/>
    <col min="7934" max="7934" width="37.85546875" style="526" customWidth="1"/>
    <col min="7935" max="7935" width="9.5703125" style="526" customWidth="1"/>
    <col min="7936" max="7936" width="8.42578125" style="526" customWidth="1"/>
    <col min="7937" max="7937" width="7.42578125" style="526" customWidth="1"/>
    <col min="7938" max="7943" width="8.28515625" style="526" customWidth="1"/>
    <col min="7944" max="7947" width="0" style="526" hidden="1" customWidth="1"/>
    <col min="7948" max="7948" width="10.7109375" style="526" customWidth="1"/>
    <col min="7949" max="7949" width="3.140625" style="526" customWidth="1"/>
    <col min="7950" max="7950" width="10.42578125" style="526" customWidth="1"/>
    <col min="7951" max="7951" width="13" style="526" customWidth="1"/>
    <col min="7952" max="7952" width="14.140625" style="526" customWidth="1"/>
    <col min="7953" max="8189" width="12.5703125" style="526"/>
    <col min="8190" max="8190" width="37.85546875" style="526" customWidth="1"/>
    <col min="8191" max="8191" width="9.5703125" style="526" customWidth="1"/>
    <col min="8192" max="8192" width="8.42578125" style="526" customWidth="1"/>
    <col min="8193" max="8193" width="7.42578125" style="526" customWidth="1"/>
    <col min="8194" max="8199" width="8.28515625" style="526" customWidth="1"/>
    <col min="8200" max="8203" width="0" style="526" hidden="1" customWidth="1"/>
    <col min="8204" max="8204" width="10.7109375" style="526" customWidth="1"/>
    <col min="8205" max="8205" width="3.140625" style="526" customWidth="1"/>
    <col min="8206" max="8206" width="10.42578125" style="526" customWidth="1"/>
    <col min="8207" max="8207" width="13" style="526" customWidth="1"/>
    <col min="8208" max="8208" width="14.140625" style="526" customWidth="1"/>
    <col min="8209" max="8445" width="12.5703125" style="526"/>
    <col min="8446" max="8446" width="37.85546875" style="526" customWidth="1"/>
    <col min="8447" max="8447" width="9.5703125" style="526" customWidth="1"/>
    <col min="8448" max="8448" width="8.42578125" style="526" customWidth="1"/>
    <col min="8449" max="8449" width="7.42578125" style="526" customWidth="1"/>
    <col min="8450" max="8455" width="8.28515625" style="526" customWidth="1"/>
    <col min="8456" max="8459" width="0" style="526" hidden="1" customWidth="1"/>
    <col min="8460" max="8460" width="10.7109375" style="526" customWidth="1"/>
    <col min="8461" max="8461" width="3.140625" style="526" customWidth="1"/>
    <col min="8462" max="8462" width="10.42578125" style="526" customWidth="1"/>
    <col min="8463" max="8463" width="13" style="526" customWidth="1"/>
    <col min="8464" max="8464" width="14.140625" style="526" customWidth="1"/>
    <col min="8465" max="8701" width="12.5703125" style="526"/>
    <col min="8702" max="8702" width="37.85546875" style="526" customWidth="1"/>
    <col min="8703" max="8703" width="9.5703125" style="526" customWidth="1"/>
    <col min="8704" max="8704" width="8.42578125" style="526" customWidth="1"/>
    <col min="8705" max="8705" width="7.42578125" style="526" customWidth="1"/>
    <col min="8706" max="8711" width="8.28515625" style="526" customWidth="1"/>
    <col min="8712" max="8715" width="0" style="526" hidden="1" customWidth="1"/>
    <col min="8716" max="8716" width="10.7109375" style="526" customWidth="1"/>
    <col min="8717" max="8717" width="3.140625" style="526" customWidth="1"/>
    <col min="8718" max="8718" width="10.42578125" style="526" customWidth="1"/>
    <col min="8719" max="8719" width="13" style="526" customWidth="1"/>
    <col min="8720" max="8720" width="14.140625" style="526" customWidth="1"/>
    <col min="8721" max="8957" width="12.5703125" style="526"/>
    <col min="8958" max="8958" width="37.85546875" style="526" customWidth="1"/>
    <col min="8959" max="8959" width="9.5703125" style="526" customWidth="1"/>
    <col min="8960" max="8960" width="8.42578125" style="526" customWidth="1"/>
    <col min="8961" max="8961" width="7.42578125" style="526" customWidth="1"/>
    <col min="8962" max="8967" width="8.28515625" style="526" customWidth="1"/>
    <col min="8968" max="8971" width="0" style="526" hidden="1" customWidth="1"/>
    <col min="8972" max="8972" width="10.7109375" style="526" customWidth="1"/>
    <col min="8973" max="8973" width="3.140625" style="526" customWidth="1"/>
    <col min="8974" max="8974" width="10.42578125" style="526" customWidth="1"/>
    <col min="8975" max="8975" width="13" style="526" customWidth="1"/>
    <col min="8976" max="8976" width="14.140625" style="526" customWidth="1"/>
    <col min="8977" max="9213" width="12.5703125" style="526"/>
    <col min="9214" max="9214" width="37.85546875" style="526" customWidth="1"/>
    <col min="9215" max="9215" width="9.5703125" style="526" customWidth="1"/>
    <col min="9216" max="9216" width="8.42578125" style="526" customWidth="1"/>
    <col min="9217" max="9217" width="7.42578125" style="526" customWidth="1"/>
    <col min="9218" max="9223" width="8.28515625" style="526" customWidth="1"/>
    <col min="9224" max="9227" width="0" style="526" hidden="1" customWidth="1"/>
    <col min="9228" max="9228" width="10.7109375" style="526" customWidth="1"/>
    <col min="9229" max="9229" width="3.140625" style="526" customWidth="1"/>
    <col min="9230" max="9230" width="10.42578125" style="526" customWidth="1"/>
    <col min="9231" max="9231" width="13" style="526" customWidth="1"/>
    <col min="9232" max="9232" width="14.140625" style="526" customWidth="1"/>
    <col min="9233" max="9469" width="12.5703125" style="526"/>
    <col min="9470" max="9470" width="37.85546875" style="526" customWidth="1"/>
    <col min="9471" max="9471" width="9.5703125" style="526" customWidth="1"/>
    <col min="9472" max="9472" width="8.42578125" style="526" customWidth="1"/>
    <col min="9473" max="9473" width="7.42578125" style="526" customWidth="1"/>
    <col min="9474" max="9479" width="8.28515625" style="526" customWidth="1"/>
    <col min="9480" max="9483" width="0" style="526" hidden="1" customWidth="1"/>
    <col min="9484" max="9484" width="10.7109375" style="526" customWidth="1"/>
    <col min="9485" max="9485" width="3.140625" style="526" customWidth="1"/>
    <col min="9486" max="9486" width="10.42578125" style="526" customWidth="1"/>
    <col min="9487" max="9487" width="13" style="526" customWidth="1"/>
    <col min="9488" max="9488" width="14.140625" style="526" customWidth="1"/>
    <col min="9489" max="9725" width="12.5703125" style="526"/>
    <col min="9726" max="9726" width="37.85546875" style="526" customWidth="1"/>
    <col min="9727" max="9727" width="9.5703125" style="526" customWidth="1"/>
    <col min="9728" max="9728" width="8.42578125" style="526" customWidth="1"/>
    <col min="9729" max="9729" width="7.42578125" style="526" customWidth="1"/>
    <col min="9730" max="9735" width="8.28515625" style="526" customWidth="1"/>
    <col min="9736" max="9739" width="0" style="526" hidden="1" customWidth="1"/>
    <col min="9740" max="9740" width="10.7109375" style="526" customWidth="1"/>
    <col min="9741" max="9741" width="3.140625" style="526" customWidth="1"/>
    <col min="9742" max="9742" width="10.42578125" style="526" customWidth="1"/>
    <col min="9743" max="9743" width="13" style="526" customWidth="1"/>
    <col min="9744" max="9744" width="14.140625" style="526" customWidth="1"/>
    <col min="9745" max="9981" width="12.5703125" style="526"/>
    <col min="9982" max="9982" width="37.85546875" style="526" customWidth="1"/>
    <col min="9983" max="9983" width="9.5703125" style="526" customWidth="1"/>
    <col min="9984" max="9984" width="8.42578125" style="526" customWidth="1"/>
    <col min="9985" max="9985" width="7.42578125" style="526" customWidth="1"/>
    <col min="9986" max="9991" width="8.28515625" style="526" customWidth="1"/>
    <col min="9992" max="9995" width="0" style="526" hidden="1" customWidth="1"/>
    <col min="9996" max="9996" width="10.7109375" style="526" customWidth="1"/>
    <col min="9997" max="9997" width="3.140625" style="526" customWidth="1"/>
    <col min="9998" max="9998" width="10.42578125" style="526" customWidth="1"/>
    <col min="9999" max="9999" width="13" style="526" customWidth="1"/>
    <col min="10000" max="10000" width="14.140625" style="526" customWidth="1"/>
    <col min="10001" max="10237" width="12.5703125" style="526"/>
    <col min="10238" max="10238" width="37.85546875" style="526" customWidth="1"/>
    <col min="10239" max="10239" width="9.5703125" style="526" customWidth="1"/>
    <col min="10240" max="10240" width="8.42578125" style="526" customWidth="1"/>
    <col min="10241" max="10241" width="7.42578125" style="526" customWidth="1"/>
    <col min="10242" max="10247" width="8.28515625" style="526" customWidth="1"/>
    <col min="10248" max="10251" width="0" style="526" hidden="1" customWidth="1"/>
    <col min="10252" max="10252" width="10.7109375" style="526" customWidth="1"/>
    <col min="10253" max="10253" width="3.140625" style="526" customWidth="1"/>
    <col min="10254" max="10254" width="10.42578125" style="526" customWidth="1"/>
    <col min="10255" max="10255" width="13" style="526" customWidth="1"/>
    <col min="10256" max="10256" width="14.140625" style="526" customWidth="1"/>
    <col min="10257" max="10493" width="12.5703125" style="526"/>
    <col min="10494" max="10494" width="37.85546875" style="526" customWidth="1"/>
    <col min="10495" max="10495" width="9.5703125" style="526" customWidth="1"/>
    <col min="10496" max="10496" width="8.42578125" style="526" customWidth="1"/>
    <col min="10497" max="10497" width="7.42578125" style="526" customWidth="1"/>
    <col min="10498" max="10503" width="8.28515625" style="526" customWidth="1"/>
    <col min="10504" max="10507" width="0" style="526" hidden="1" customWidth="1"/>
    <col min="10508" max="10508" width="10.7109375" style="526" customWidth="1"/>
    <col min="10509" max="10509" width="3.140625" style="526" customWidth="1"/>
    <col min="10510" max="10510" width="10.42578125" style="526" customWidth="1"/>
    <col min="10511" max="10511" width="13" style="526" customWidth="1"/>
    <col min="10512" max="10512" width="14.140625" style="526" customWidth="1"/>
    <col min="10513" max="10749" width="12.5703125" style="526"/>
    <col min="10750" max="10750" width="37.85546875" style="526" customWidth="1"/>
    <col min="10751" max="10751" width="9.5703125" style="526" customWidth="1"/>
    <col min="10752" max="10752" width="8.42578125" style="526" customWidth="1"/>
    <col min="10753" max="10753" width="7.42578125" style="526" customWidth="1"/>
    <col min="10754" max="10759" width="8.28515625" style="526" customWidth="1"/>
    <col min="10760" max="10763" width="0" style="526" hidden="1" customWidth="1"/>
    <col min="10764" max="10764" width="10.7109375" style="526" customWidth="1"/>
    <col min="10765" max="10765" width="3.140625" style="526" customWidth="1"/>
    <col min="10766" max="10766" width="10.42578125" style="526" customWidth="1"/>
    <col min="10767" max="10767" width="13" style="526" customWidth="1"/>
    <col min="10768" max="10768" width="14.140625" style="526" customWidth="1"/>
    <col min="10769" max="11005" width="12.5703125" style="526"/>
    <col min="11006" max="11006" width="37.85546875" style="526" customWidth="1"/>
    <col min="11007" max="11007" width="9.5703125" style="526" customWidth="1"/>
    <col min="11008" max="11008" width="8.42578125" style="526" customWidth="1"/>
    <col min="11009" max="11009" width="7.42578125" style="526" customWidth="1"/>
    <col min="11010" max="11015" width="8.28515625" style="526" customWidth="1"/>
    <col min="11016" max="11019" width="0" style="526" hidden="1" customWidth="1"/>
    <col min="11020" max="11020" width="10.7109375" style="526" customWidth="1"/>
    <col min="11021" max="11021" width="3.140625" style="526" customWidth="1"/>
    <col min="11022" max="11022" width="10.42578125" style="526" customWidth="1"/>
    <col min="11023" max="11023" width="13" style="526" customWidth="1"/>
    <col min="11024" max="11024" width="14.140625" style="526" customWidth="1"/>
    <col min="11025" max="11261" width="12.5703125" style="526"/>
    <col min="11262" max="11262" width="37.85546875" style="526" customWidth="1"/>
    <col min="11263" max="11263" width="9.5703125" style="526" customWidth="1"/>
    <col min="11264" max="11264" width="8.42578125" style="526" customWidth="1"/>
    <col min="11265" max="11265" width="7.42578125" style="526" customWidth="1"/>
    <col min="11266" max="11271" width="8.28515625" style="526" customWidth="1"/>
    <col min="11272" max="11275" width="0" style="526" hidden="1" customWidth="1"/>
    <col min="11276" max="11276" width="10.7109375" style="526" customWidth="1"/>
    <col min="11277" max="11277" width="3.140625" style="526" customWidth="1"/>
    <col min="11278" max="11278" width="10.42578125" style="526" customWidth="1"/>
    <col min="11279" max="11279" width="13" style="526" customWidth="1"/>
    <col min="11280" max="11280" width="14.140625" style="526" customWidth="1"/>
    <col min="11281" max="11517" width="12.5703125" style="526"/>
    <col min="11518" max="11518" width="37.85546875" style="526" customWidth="1"/>
    <col min="11519" max="11519" width="9.5703125" style="526" customWidth="1"/>
    <col min="11520" max="11520" width="8.42578125" style="526" customWidth="1"/>
    <col min="11521" max="11521" width="7.42578125" style="526" customWidth="1"/>
    <col min="11522" max="11527" width="8.28515625" style="526" customWidth="1"/>
    <col min="11528" max="11531" width="0" style="526" hidden="1" customWidth="1"/>
    <col min="11532" max="11532" width="10.7109375" style="526" customWidth="1"/>
    <col min="11533" max="11533" width="3.140625" style="526" customWidth="1"/>
    <col min="11534" max="11534" width="10.42578125" style="526" customWidth="1"/>
    <col min="11535" max="11535" width="13" style="526" customWidth="1"/>
    <col min="11536" max="11536" width="14.140625" style="526" customWidth="1"/>
    <col min="11537" max="11773" width="12.5703125" style="526"/>
    <col min="11774" max="11774" width="37.85546875" style="526" customWidth="1"/>
    <col min="11775" max="11775" width="9.5703125" style="526" customWidth="1"/>
    <col min="11776" max="11776" width="8.42578125" style="526" customWidth="1"/>
    <col min="11777" max="11777" width="7.42578125" style="526" customWidth="1"/>
    <col min="11778" max="11783" width="8.28515625" style="526" customWidth="1"/>
    <col min="11784" max="11787" width="0" style="526" hidden="1" customWidth="1"/>
    <col min="11788" max="11788" width="10.7109375" style="526" customWidth="1"/>
    <col min="11789" max="11789" width="3.140625" style="526" customWidth="1"/>
    <col min="11790" max="11790" width="10.42578125" style="526" customWidth="1"/>
    <col min="11791" max="11791" width="13" style="526" customWidth="1"/>
    <col min="11792" max="11792" width="14.140625" style="526" customWidth="1"/>
    <col min="11793" max="12029" width="12.5703125" style="526"/>
    <col min="12030" max="12030" width="37.85546875" style="526" customWidth="1"/>
    <col min="12031" max="12031" width="9.5703125" style="526" customWidth="1"/>
    <col min="12032" max="12032" width="8.42578125" style="526" customWidth="1"/>
    <col min="12033" max="12033" width="7.42578125" style="526" customWidth="1"/>
    <col min="12034" max="12039" width="8.28515625" style="526" customWidth="1"/>
    <col min="12040" max="12043" width="0" style="526" hidden="1" customWidth="1"/>
    <col min="12044" max="12044" width="10.7109375" style="526" customWidth="1"/>
    <col min="12045" max="12045" width="3.140625" style="526" customWidth="1"/>
    <col min="12046" max="12046" width="10.42578125" style="526" customWidth="1"/>
    <col min="12047" max="12047" width="13" style="526" customWidth="1"/>
    <col min="12048" max="12048" width="14.140625" style="526" customWidth="1"/>
    <col min="12049" max="12285" width="12.5703125" style="526"/>
    <col min="12286" max="12286" width="37.85546875" style="526" customWidth="1"/>
    <col min="12287" max="12287" width="9.5703125" style="526" customWidth="1"/>
    <col min="12288" max="12288" width="8.42578125" style="526" customWidth="1"/>
    <col min="12289" max="12289" width="7.42578125" style="526" customWidth="1"/>
    <col min="12290" max="12295" width="8.28515625" style="526" customWidth="1"/>
    <col min="12296" max="12299" width="0" style="526" hidden="1" customWidth="1"/>
    <col min="12300" max="12300" width="10.7109375" style="526" customWidth="1"/>
    <col min="12301" max="12301" width="3.140625" style="526" customWidth="1"/>
    <col min="12302" max="12302" width="10.42578125" style="526" customWidth="1"/>
    <col min="12303" max="12303" width="13" style="526" customWidth="1"/>
    <col min="12304" max="12304" width="14.140625" style="526" customWidth="1"/>
    <col min="12305" max="12541" width="12.5703125" style="526"/>
    <col min="12542" max="12542" width="37.85546875" style="526" customWidth="1"/>
    <col min="12543" max="12543" width="9.5703125" style="526" customWidth="1"/>
    <col min="12544" max="12544" width="8.42578125" style="526" customWidth="1"/>
    <col min="12545" max="12545" width="7.42578125" style="526" customWidth="1"/>
    <col min="12546" max="12551" width="8.28515625" style="526" customWidth="1"/>
    <col min="12552" max="12555" width="0" style="526" hidden="1" customWidth="1"/>
    <col min="12556" max="12556" width="10.7109375" style="526" customWidth="1"/>
    <col min="12557" max="12557" width="3.140625" style="526" customWidth="1"/>
    <col min="12558" max="12558" width="10.42578125" style="526" customWidth="1"/>
    <col min="12559" max="12559" width="13" style="526" customWidth="1"/>
    <col min="12560" max="12560" width="14.140625" style="526" customWidth="1"/>
    <col min="12561" max="12797" width="12.5703125" style="526"/>
    <col min="12798" max="12798" width="37.85546875" style="526" customWidth="1"/>
    <col min="12799" max="12799" width="9.5703125" style="526" customWidth="1"/>
    <col min="12800" max="12800" width="8.42578125" style="526" customWidth="1"/>
    <col min="12801" max="12801" width="7.42578125" style="526" customWidth="1"/>
    <col min="12802" max="12807" width="8.28515625" style="526" customWidth="1"/>
    <col min="12808" max="12811" width="0" style="526" hidden="1" customWidth="1"/>
    <col min="12812" max="12812" width="10.7109375" style="526" customWidth="1"/>
    <col min="12813" max="12813" width="3.140625" style="526" customWidth="1"/>
    <col min="12814" max="12814" width="10.42578125" style="526" customWidth="1"/>
    <col min="12815" max="12815" width="13" style="526" customWidth="1"/>
    <col min="12816" max="12816" width="14.140625" style="526" customWidth="1"/>
    <col min="12817" max="13053" width="12.5703125" style="526"/>
    <col min="13054" max="13054" width="37.85546875" style="526" customWidth="1"/>
    <col min="13055" max="13055" width="9.5703125" style="526" customWidth="1"/>
    <col min="13056" max="13056" width="8.42578125" style="526" customWidth="1"/>
    <col min="13057" max="13057" width="7.42578125" style="526" customWidth="1"/>
    <col min="13058" max="13063" width="8.28515625" style="526" customWidth="1"/>
    <col min="13064" max="13067" width="0" style="526" hidden="1" customWidth="1"/>
    <col min="13068" max="13068" width="10.7109375" style="526" customWidth="1"/>
    <col min="13069" max="13069" width="3.140625" style="526" customWidth="1"/>
    <col min="13070" max="13070" width="10.42578125" style="526" customWidth="1"/>
    <col min="13071" max="13071" width="13" style="526" customWidth="1"/>
    <col min="13072" max="13072" width="14.140625" style="526" customWidth="1"/>
    <col min="13073" max="13309" width="12.5703125" style="526"/>
    <col min="13310" max="13310" width="37.85546875" style="526" customWidth="1"/>
    <col min="13311" max="13311" width="9.5703125" style="526" customWidth="1"/>
    <col min="13312" max="13312" width="8.42578125" style="526" customWidth="1"/>
    <col min="13313" max="13313" width="7.42578125" style="526" customWidth="1"/>
    <col min="13314" max="13319" width="8.28515625" style="526" customWidth="1"/>
    <col min="13320" max="13323" width="0" style="526" hidden="1" customWidth="1"/>
    <col min="13324" max="13324" width="10.7109375" style="526" customWidth="1"/>
    <col min="13325" max="13325" width="3.140625" style="526" customWidth="1"/>
    <col min="13326" max="13326" width="10.42578125" style="526" customWidth="1"/>
    <col min="13327" max="13327" width="13" style="526" customWidth="1"/>
    <col min="13328" max="13328" width="14.140625" style="526" customWidth="1"/>
    <col min="13329" max="13565" width="12.5703125" style="526"/>
    <col min="13566" max="13566" width="37.85546875" style="526" customWidth="1"/>
    <col min="13567" max="13567" width="9.5703125" style="526" customWidth="1"/>
    <col min="13568" max="13568" width="8.42578125" style="526" customWidth="1"/>
    <col min="13569" max="13569" width="7.42578125" style="526" customWidth="1"/>
    <col min="13570" max="13575" width="8.28515625" style="526" customWidth="1"/>
    <col min="13576" max="13579" width="0" style="526" hidden="1" customWidth="1"/>
    <col min="13580" max="13580" width="10.7109375" style="526" customWidth="1"/>
    <col min="13581" max="13581" width="3.140625" style="526" customWidth="1"/>
    <col min="13582" max="13582" width="10.42578125" style="526" customWidth="1"/>
    <col min="13583" max="13583" width="13" style="526" customWidth="1"/>
    <col min="13584" max="13584" width="14.140625" style="526" customWidth="1"/>
    <col min="13585" max="13821" width="12.5703125" style="526"/>
    <col min="13822" max="13822" width="37.85546875" style="526" customWidth="1"/>
    <col min="13823" max="13823" width="9.5703125" style="526" customWidth="1"/>
    <col min="13824" max="13824" width="8.42578125" style="526" customWidth="1"/>
    <col min="13825" max="13825" width="7.42578125" style="526" customWidth="1"/>
    <col min="13826" max="13831" width="8.28515625" style="526" customWidth="1"/>
    <col min="13832" max="13835" width="0" style="526" hidden="1" customWidth="1"/>
    <col min="13836" max="13836" width="10.7109375" style="526" customWidth="1"/>
    <col min="13837" max="13837" width="3.140625" style="526" customWidth="1"/>
    <col min="13838" max="13838" width="10.42578125" style="526" customWidth="1"/>
    <col min="13839" max="13839" width="13" style="526" customWidth="1"/>
    <col min="13840" max="13840" width="14.140625" style="526" customWidth="1"/>
    <col min="13841" max="14077" width="12.5703125" style="526"/>
    <col min="14078" max="14078" width="37.85546875" style="526" customWidth="1"/>
    <col min="14079" max="14079" width="9.5703125" style="526" customWidth="1"/>
    <col min="14080" max="14080" width="8.42578125" style="526" customWidth="1"/>
    <col min="14081" max="14081" width="7.42578125" style="526" customWidth="1"/>
    <col min="14082" max="14087" width="8.28515625" style="526" customWidth="1"/>
    <col min="14088" max="14091" width="0" style="526" hidden="1" customWidth="1"/>
    <col min="14092" max="14092" width="10.7109375" style="526" customWidth="1"/>
    <col min="14093" max="14093" width="3.140625" style="526" customWidth="1"/>
    <col min="14094" max="14094" width="10.42578125" style="526" customWidth="1"/>
    <col min="14095" max="14095" width="13" style="526" customWidth="1"/>
    <col min="14096" max="14096" width="14.140625" style="526" customWidth="1"/>
    <col min="14097" max="14333" width="12.5703125" style="526"/>
    <col min="14334" max="14334" width="37.85546875" style="526" customWidth="1"/>
    <col min="14335" max="14335" width="9.5703125" style="526" customWidth="1"/>
    <col min="14336" max="14336" width="8.42578125" style="526" customWidth="1"/>
    <col min="14337" max="14337" width="7.42578125" style="526" customWidth="1"/>
    <col min="14338" max="14343" width="8.28515625" style="526" customWidth="1"/>
    <col min="14344" max="14347" width="0" style="526" hidden="1" customWidth="1"/>
    <col min="14348" max="14348" width="10.7109375" style="526" customWidth="1"/>
    <col min="14349" max="14349" width="3.140625" style="526" customWidth="1"/>
    <col min="14350" max="14350" width="10.42578125" style="526" customWidth="1"/>
    <col min="14351" max="14351" width="13" style="526" customWidth="1"/>
    <col min="14352" max="14352" width="14.140625" style="526" customWidth="1"/>
    <col min="14353" max="14589" width="12.5703125" style="526"/>
    <col min="14590" max="14590" width="37.85546875" style="526" customWidth="1"/>
    <col min="14591" max="14591" width="9.5703125" style="526" customWidth="1"/>
    <col min="14592" max="14592" width="8.42578125" style="526" customWidth="1"/>
    <col min="14593" max="14593" width="7.42578125" style="526" customWidth="1"/>
    <col min="14594" max="14599" width="8.28515625" style="526" customWidth="1"/>
    <col min="14600" max="14603" width="0" style="526" hidden="1" customWidth="1"/>
    <col min="14604" max="14604" width="10.7109375" style="526" customWidth="1"/>
    <col min="14605" max="14605" width="3.140625" style="526" customWidth="1"/>
    <col min="14606" max="14606" width="10.42578125" style="526" customWidth="1"/>
    <col min="14607" max="14607" width="13" style="526" customWidth="1"/>
    <col min="14608" max="14608" width="14.140625" style="526" customWidth="1"/>
    <col min="14609" max="14845" width="12.5703125" style="526"/>
    <col min="14846" max="14846" width="37.85546875" style="526" customWidth="1"/>
    <col min="14847" max="14847" width="9.5703125" style="526" customWidth="1"/>
    <col min="14848" max="14848" width="8.42578125" style="526" customWidth="1"/>
    <col min="14849" max="14849" width="7.42578125" style="526" customWidth="1"/>
    <col min="14850" max="14855" width="8.28515625" style="526" customWidth="1"/>
    <col min="14856" max="14859" width="0" style="526" hidden="1" customWidth="1"/>
    <col min="14860" max="14860" width="10.7109375" style="526" customWidth="1"/>
    <col min="14861" max="14861" width="3.140625" style="526" customWidth="1"/>
    <col min="14862" max="14862" width="10.42578125" style="526" customWidth="1"/>
    <col min="14863" max="14863" width="13" style="526" customWidth="1"/>
    <col min="14864" max="14864" width="14.140625" style="526" customWidth="1"/>
    <col min="14865" max="15101" width="12.5703125" style="526"/>
    <col min="15102" max="15102" width="37.85546875" style="526" customWidth="1"/>
    <col min="15103" max="15103" width="9.5703125" style="526" customWidth="1"/>
    <col min="15104" max="15104" width="8.42578125" style="526" customWidth="1"/>
    <col min="15105" max="15105" width="7.42578125" style="526" customWidth="1"/>
    <col min="15106" max="15111" width="8.28515625" style="526" customWidth="1"/>
    <col min="15112" max="15115" width="0" style="526" hidden="1" customWidth="1"/>
    <col min="15116" max="15116" width="10.7109375" style="526" customWidth="1"/>
    <col min="15117" max="15117" width="3.140625" style="526" customWidth="1"/>
    <col min="15118" max="15118" width="10.42578125" style="526" customWidth="1"/>
    <col min="15119" max="15119" width="13" style="526" customWidth="1"/>
    <col min="15120" max="15120" width="14.140625" style="526" customWidth="1"/>
    <col min="15121" max="15357" width="12.5703125" style="526"/>
    <col min="15358" max="15358" width="37.85546875" style="526" customWidth="1"/>
    <col min="15359" max="15359" width="9.5703125" style="526" customWidth="1"/>
    <col min="15360" max="15360" width="8.42578125" style="526" customWidth="1"/>
    <col min="15361" max="15361" width="7.42578125" style="526" customWidth="1"/>
    <col min="15362" max="15367" width="8.28515625" style="526" customWidth="1"/>
    <col min="15368" max="15371" width="0" style="526" hidden="1" customWidth="1"/>
    <col min="15372" max="15372" width="10.7109375" style="526" customWidth="1"/>
    <col min="15373" max="15373" width="3.140625" style="526" customWidth="1"/>
    <col min="15374" max="15374" width="10.42578125" style="526" customWidth="1"/>
    <col min="15375" max="15375" width="13" style="526" customWidth="1"/>
    <col min="15376" max="15376" width="14.140625" style="526" customWidth="1"/>
    <col min="15377" max="15613" width="12.5703125" style="526"/>
    <col min="15614" max="15614" width="37.85546875" style="526" customWidth="1"/>
    <col min="15615" max="15615" width="9.5703125" style="526" customWidth="1"/>
    <col min="15616" max="15616" width="8.42578125" style="526" customWidth="1"/>
    <col min="15617" max="15617" width="7.42578125" style="526" customWidth="1"/>
    <col min="15618" max="15623" width="8.28515625" style="526" customWidth="1"/>
    <col min="15624" max="15627" width="0" style="526" hidden="1" customWidth="1"/>
    <col min="15628" max="15628" width="10.7109375" style="526" customWidth="1"/>
    <col min="15629" max="15629" width="3.140625" style="526" customWidth="1"/>
    <col min="15630" max="15630" width="10.42578125" style="526" customWidth="1"/>
    <col min="15631" max="15631" width="13" style="526" customWidth="1"/>
    <col min="15632" max="15632" width="14.140625" style="526" customWidth="1"/>
    <col min="15633" max="15869" width="12.5703125" style="526"/>
    <col min="15870" max="15870" width="37.85546875" style="526" customWidth="1"/>
    <col min="15871" max="15871" width="9.5703125" style="526" customWidth="1"/>
    <col min="15872" max="15872" width="8.42578125" style="526" customWidth="1"/>
    <col min="15873" max="15873" width="7.42578125" style="526" customWidth="1"/>
    <col min="15874" max="15879" width="8.28515625" style="526" customWidth="1"/>
    <col min="15880" max="15883" width="0" style="526" hidden="1" customWidth="1"/>
    <col min="15884" max="15884" width="10.7109375" style="526" customWidth="1"/>
    <col min="15885" max="15885" width="3.140625" style="526" customWidth="1"/>
    <col min="15886" max="15886" width="10.42578125" style="526" customWidth="1"/>
    <col min="15887" max="15887" width="13" style="526" customWidth="1"/>
    <col min="15888" max="15888" width="14.140625" style="526" customWidth="1"/>
    <col min="15889" max="16125" width="12.5703125" style="526"/>
    <col min="16126" max="16126" width="37.85546875" style="526" customWidth="1"/>
    <col min="16127" max="16127" width="9.5703125" style="526" customWidth="1"/>
    <col min="16128" max="16128" width="8.42578125" style="526" customWidth="1"/>
    <col min="16129" max="16129" width="7.42578125" style="526" customWidth="1"/>
    <col min="16130" max="16135" width="8.28515625" style="526" customWidth="1"/>
    <col min="16136" max="16139" width="0" style="526" hidden="1" customWidth="1"/>
    <col min="16140" max="16140" width="10.7109375" style="526" customWidth="1"/>
    <col min="16141" max="16141" width="3.140625" style="526" customWidth="1"/>
    <col min="16142" max="16142" width="10.42578125" style="526" customWidth="1"/>
    <col min="16143" max="16143" width="13" style="526" customWidth="1"/>
    <col min="16144" max="16144" width="14.140625" style="526" customWidth="1"/>
    <col min="16145" max="16384" width="12.5703125" style="526"/>
  </cols>
  <sheetData>
    <row r="1" spans="1:16" ht="15.75" x14ac:dyDescent="0.25">
      <c r="A1" s="710" t="s">
        <v>55</v>
      </c>
      <c r="B1" s="710"/>
      <c r="C1" s="710"/>
      <c r="D1" s="710"/>
      <c r="E1" s="710"/>
      <c r="F1" s="710"/>
      <c r="G1" s="710"/>
      <c r="H1" s="710"/>
      <c r="I1" s="710"/>
      <c r="J1" s="710"/>
      <c r="K1" s="710"/>
      <c r="L1" s="710"/>
      <c r="M1" s="710"/>
      <c r="N1" s="710"/>
      <c r="O1" s="710"/>
    </row>
    <row r="2" spans="1:16" ht="15.75" x14ac:dyDescent="0.25">
      <c r="A2" s="710" t="s">
        <v>56</v>
      </c>
      <c r="B2" s="710"/>
      <c r="C2" s="710"/>
      <c r="D2" s="710"/>
      <c r="E2" s="710"/>
      <c r="F2" s="710"/>
      <c r="G2" s="710"/>
      <c r="H2" s="710"/>
      <c r="I2" s="710"/>
      <c r="J2" s="710"/>
      <c r="K2" s="710"/>
      <c r="L2" s="710"/>
      <c r="M2" s="710"/>
      <c r="N2" s="710"/>
      <c r="O2" s="710"/>
      <c r="P2" s="710"/>
    </row>
    <row r="3" spans="1:16" ht="15.75" x14ac:dyDescent="0.25">
      <c r="A3" s="710" t="s">
        <v>1063</v>
      </c>
      <c r="B3" s="710"/>
      <c r="C3" s="710"/>
      <c r="D3" s="710"/>
      <c r="E3" s="710"/>
      <c r="F3" s="710"/>
      <c r="G3" s="710"/>
      <c r="H3" s="710"/>
      <c r="I3" s="710"/>
      <c r="J3" s="710"/>
      <c r="K3" s="710"/>
      <c r="L3" s="710"/>
      <c r="M3" s="710"/>
      <c r="N3" s="710"/>
      <c r="O3" s="710"/>
      <c r="P3" s="710"/>
    </row>
    <row r="4" spans="1:16" ht="15.75" x14ac:dyDescent="0.25">
      <c r="A4" s="525"/>
      <c r="B4" s="525"/>
      <c r="C4" s="470">
        <v>2016</v>
      </c>
      <c r="D4" s="470">
        <v>2016</v>
      </c>
      <c r="E4" s="470">
        <v>2016</v>
      </c>
      <c r="F4" s="470">
        <v>2017</v>
      </c>
      <c r="G4" s="470">
        <v>2017</v>
      </c>
      <c r="H4" s="470">
        <v>2017</v>
      </c>
      <c r="I4" s="470">
        <v>2017</v>
      </c>
      <c r="J4" s="470">
        <v>2017</v>
      </c>
      <c r="K4" s="655">
        <v>2017</v>
      </c>
      <c r="L4" s="471">
        <v>2016</v>
      </c>
      <c r="M4" s="471">
        <v>2016</v>
      </c>
      <c r="N4" s="471">
        <v>2016</v>
      </c>
      <c r="O4" s="525"/>
      <c r="P4" s="528"/>
    </row>
    <row r="5" spans="1:16" ht="15.75" x14ac:dyDescent="0.25">
      <c r="A5" s="469"/>
      <c r="B5" s="66" t="s">
        <v>57</v>
      </c>
      <c r="C5" s="66" t="s">
        <v>58</v>
      </c>
      <c r="D5" s="66" t="s">
        <v>59</v>
      </c>
      <c r="E5" s="66" t="s">
        <v>60</v>
      </c>
      <c r="F5" s="66" t="s">
        <v>61</v>
      </c>
      <c r="G5" s="66" t="s">
        <v>62</v>
      </c>
      <c r="H5" s="66" t="s">
        <v>63</v>
      </c>
      <c r="I5" s="66" t="s">
        <v>64</v>
      </c>
      <c r="J5" s="66" t="s">
        <v>65</v>
      </c>
      <c r="K5" s="67" t="s">
        <v>66</v>
      </c>
      <c r="L5" s="315" t="s">
        <v>67</v>
      </c>
      <c r="M5" s="315" t="s">
        <v>68</v>
      </c>
      <c r="N5" s="315" t="s">
        <v>69</v>
      </c>
      <c r="O5" s="67" t="s">
        <v>1064</v>
      </c>
      <c r="P5" s="528"/>
    </row>
    <row r="6" spans="1:16" ht="15.75" x14ac:dyDescent="0.25">
      <c r="A6" s="256" t="s">
        <v>724</v>
      </c>
      <c r="B6" s="65"/>
      <c r="C6" s="272">
        <f t="shared" ref="C6:N6" si="0">IF(C84=0,0,(C84/$O84))</f>
        <v>6.7432567432567439E-2</v>
      </c>
      <c r="D6" s="272">
        <f t="shared" si="0"/>
        <v>8.1418581418581423E-2</v>
      </c>
      <c r="E6" s="272">
        <f t="shared" si="0"/>
        <v>6.7432567432567439E-2</v>
      </c>
      <c r="F6" s="272">
        <f t="shared" si="0"/>
        <v>6.8931068931068928E-2</v>
      </c>
      <c r="G6" s="272">
        <f t="shared" si="0"/>
        <v>9.2407592407592401E-2</v>
      </c>
      <c r="H6" s="272">
        <f t="shared" si="0"/>
        <v>0.11138861138861139</v>
      </c>
      <c r="I6" s="272">
        <f t="shared" si="0"/>
        <v>7.4925074925074928E-2</v>
      </c>
      <c r="J6" s="272">
        <f t="shared" si="0"/>
        <v>6.3936063936063936E-2</v>
      </c>
      <c r="K6" s="656">
        <f t="shared" si="0"/>
        <v>9.6903096903096897E-2</v>
      </c>
      <c r="L6" s="418">
        <f t="shared" si="0"/>
        <v>8.4415584415584416E-2</v>
      </c>
      <c r="M6" s="418">
        <f t="shared" si="0"/>
        <v>0.10989010989010989</v>
      </c>
      <c r="N6" s="418">
        <f t="shared" si="0"/>
        <v>8.0919080919080913E-2</v>
      </c>
      <c r="O6" s="272">
        <f>IF(O84=0,0,(O84/$O84))</f>
        <v>1</v>
      </c>
      <c r="P6" s="528"/>
    </row>
    <row r="7" spans="1:16" ht="15.75" x14ac:dyDescent="0.25">
      <c r="A7" s="256" t="s">
        <v>725</v>
      </c>
      <c r="B7" s="65"/>
      <c r="C7" s="272">
        <f t="shared" ref="C7:N7" si="1">IF(C87=0,0,(C87/$O87))</f>
        <v>8.0141129032258063E-2</v>
      </c>
      <c r="D7" s="272">
        <f t="shared" si="1"/>
        <v>5.3931451612903226E-2</v>
      </c>
      <c r="E7" s="272">
        <f t="shared" si="1"/>
        <v>7.0564516129032265E-2</v>
      </c>
      <c r="F7" s="272">
        <f t="shared" si="1"/>
        <v>7.0564516129032265E-2</v>
      </c>
      <c r="G7" s="272">
        <f t="shared" si="1"/>
        <v>7.0564516129032265E-2</v>
      </c>
      <c r="H7" s="272">
        <f t="shared" si="1"/>
        <v>9.4758064516129031E-2</v>
      </c>
      <c r="I7" s="272">
        <f t="shared" si="1"/>
        <v>6.1491935483870969E-2</v>
      </c>
      <c r="J7" s="272">
        <f t="shared" si="1"/>
        <v>7.6612903225806453E-2</v>
      </c>
      <c r="K7" s="656">
        <f t="shared" si="1"/>
        <v>7.2076612903225812E-2</v>
      </c>
      <c r="L7" s="418">
        <f t="shared" si="1"/>
        <v>0.13457661290322581</v>
      </c>
      <c r="M7" s="418">
        <f t="shared" si="1"/>
        <v>0.10433467741935484</v>
      </c>
      <c r="N7" s="418">
        <f t="shared" si="1"/>
        <v>0.11038306451612903</v>
      </c>
      <c r="O7" s="272">
        <f>IF(O87=0,0,(O87/$O87))</f>
        <v>1</v>
      </c>
      <c r="P7" s="528"/>
    </row>
    <row r="8" spans="1:16" ht="15.75" x14ac:dyDescent="0.25">
      <c r="A8" s="256" t="s">
        <v>726</v>
      </c>
      <c r="B8" s="65"/>
      <c r="C8" s="272">
        <f t="shared" ref="C8:N8" si="2">IF(C85=0,0,(C85/C85))</f>
        <v>0</v>
      </c>
      <c r="D8" s="272">
        <f t="shared" si="2"/>
        <v>0</v>
      </c>
      <c r="E8" s="272">
        <f t="shared" si="2"/>
        <v>0</v>
      </c>
      <c r="F8" s="272">
        <f t="shared" si="2"/>
        <v>0</v>
      </c>
      <c r="G8" s="272">
        <f t="shared" si="2"/>
        <v>0</v>
      </c>
      <c r="H8" s="272">
        <f t="shared" si="2"/>
        <v>0</v>
      </c>
      <c r="I8" s="272">
        <f t="shared" si="2"/>
        <v>0</v>
      </c>
      <c r="J8" s="272">
        <f t="shared" si="2"/>
        <v>0</v>
      </c>
      <c r="K8" s="656">
        <f t="shared" si="2"/>
        <v>0</v>
      </c>
      <c r="L8" s="418">
        <f t="shared" si="2"/>
        <v>0</v>
      </c>
      <c r="M8" s="418">
        <f t="shared" si="2"/>
        <v>0</v>
      </c>
      <c r="N8" s="418">
        <f t="shared" si="2"/>
        <v>0</v>
      </c>
      <c r="O8" s="272">
        <f>IF(O85=0,0,(O85/O85))</f>
        <v>0</v>
      </c>
      <c r="P8" s="528"/>
    </row>
    <row r="9" spans="1:16" ht="15.75" x14ac:dyDescent="0.25">
      <c r="A9" s="256" t="s">
        <v>727</v>
      </c>
      <c r="B9" s="65"/>
      <c r="C9" s="272">
        <f t="shared" ref="C9:N9" si="3">IF(C259=0,0,(C259/$O259))</f>
        <v>5.7561597281223446E-2</v>
      </c>
      <c r="D9" s="272">
        <f t="shared" si="3"/>
        <v>6.7544604927782498E-2</v>
      </c>
      <c r="E9" s="272">
        <f t="shared" si="3"/>
        <v>5.0127442650807146E-2</v>
      </c>
      <c r="F9" s="272">
        <f t="shared" si="3"/>
        <v>5.2676295666949875E-2</v>
      </c>
      <c r="G9" s="272">
        <f t="shared" si="3"/>
        <v>0.10429056924384027</v>
      </c>
      <c r="H9" s="272">
        <f t="shared" si="3"/>
        <v>4.5879354290569246E-2</v>
      </c>
      <c r="I9" s="272">
        <f t="shared" si="3"/>
        <v>0.16376380628717077</v>
      </c>
      <c r="J9" s="272">
        <f t="shared" si="3"/>
        <v>0.13721325403568396</v>
      </c>
      <c r="K9" s="656">
        <f t="shared" si="3"/>
        <v>0.10067969413763807</v>
      </c>
      <c r="L9" s="418">
        <f t="shared" si="3"/>
        <v>4.4604927782497882E-2</v>
      </c>
      <c r="M9" s="418">
        <f t="shared" si="3"/>
        <v>9.1758708581138493E-2</v>
      </c>
      <c r="N9" s="418">
        <f t="shared" si="3"/>
        <v>8.3899745114698387E-2</v>
      </c>
      <c r="O9" s="272">
        <f>IF(O259=0,0,(O259/$O259))</f>
        <v>1</v>
      </c>
      <c r="P9" s="528"/>
    </row>
    <row r="10" spans="1:16" ht="15.75" x14ac:dyDescent="0.25">
      <c r="A10" s="256" t="s">
        <v>728</v>
      </c>
      <c r="B10" s="65"/>
      <c r="C10" s="272">
        <f t="shared" ref="C10:N10" si="4">IF(C258=0,0,(C258/$O258))</f>
        <v>5.7561597281223446E-2</v>
      </c>
      <c r="D10" s="272">
        <f t="shared" si="4"/>
        <v>6.7544604927782498E-2</v>
      </c>
      <c r="E10" s="272">
        <f t="shared" si="4"/>
        <v>5.0127442650807139E-2</v>
      </c>
      <c r="F10" s="272">
        <f t="shared" si="4"/>
        <v>5.2676295666949875E-2</v>
      </c>
      <c r="G10" s="272">
        <f t="shared" si="4"/>
        <v>0.10429056924384027</v>
      </c>
      <c r="H10" s="272">
        <f t="shared" si="4"/>
        <v>4.5879354290569246E-2</v>
      </c>
      <c r="I10" s="272">
        <f t="shared" si="4"/>
        <v>0.16376380628717077</v>
      </c>
      <c r="J10" s="272">
        <f t="shared" si="4"/>
        <v>0.13721325403568393</v>
      </c>
      <c r="K10" s="656">
        <f t="shared" si="4"/>
        <v>0.10067969413763807</v>
      </c>
      <c r="L10" s="418">
        <f t="shared" si="4"/>
        <v>4.4604927782497875E-2</v>
      </c>
      <c r="M10" s="418">
        <f t="shared" si="4"/>
        <v>9.1758708581138493E-2</v>
      </c>
      <c r="N10" s="418">
        <f t="shared" si="4"/>
        <v>8.3899745114698387E-2</v>
      </c>
      <c r="O10" s="272">
        <f>IF(O258=0,0,(O258/$O258))</f>
        <v>1</v>
      </c>
      <c r="P10" s="528"/>
    </row>
    <row r="11" spans="1:16" ht="15.75" x14ac:dyDescent="0.25">
      <c r="A11" s="256" t="s">
        <v>729</v>
      </c>
      <c r="B11" s="65"/>
      <c r="C11" s="272">
        <f t="shared" ref="C11:N11" si="5">IF(C256=0,0,(C256/$O256))</f>
        <v>5.0955414012738856E-2</v>
      </c>
      <c r="D11" s="272">
        <f t="shared" si="5"/>
        <v>7.6433121019108277E-2</v>
      </c>
      <c r="E11" s="272">
        <f t="shared" si="5"/>
        <v>7.0063694267515922E-2</v>
      </c>
      <c r="F11" s="272">
        <f t="shared" si="5"/>
        <v>7.0063694267515922E-2</v>
      </c>
      <c r="G11" s="272">
        <f t="shared" si="5"/>
        <v>9.5541401273885357E-2</v>
      </c>
      <c r="H11" s="272">
        <f t="shared" si="5"/>
        <v>7.0063694267515922E-2</v>
      </c>
      <c r="I11" s="272">
        <f t="shared" si="5"/>
        <v>0.12738853503184713</v>
      </c>
      <c r="J11" s="272">
        <f t="shared" si="5"/>
        <v>0.1464968152866242</v>
      </c>
      <c r="K11" s="656">
        <f t="shared" si="5"/>
        <v>8.9171974522292988E-2</v>
      </c>
      <c r="L11" s="418">
        <f t="shared" si="5"/>
        <v>5.0955414012738856E-2</v>
      </c>
      <c r="M11" s="418">
        <f t="shared" si="5"/>
        <v>8.2802547770700632E-2</v>
      </c>
      <c r="N11" s="418">
        <f t="shared" si="5"/>
        <v>7.0063694267515922E-2</v>
      </c>
      <c r="O11" s="272">
        <f>IF(O256=0,0,(O256/$O256))</f>
        <v>1</v>
      </c>
      <c r="P11" s="528"/>
    </row>
    <row r="12" spans="1:16" ht="15.75" x14ac:dyDescent="0.25">
      <c r="A12" s="256" t="s">
        <v>149</v>
      </c>
      <c r="B12" s="65"/>
      <c r="C12" s="272">
        <f>IF(C270=0,0,(C270/$O270))</f>
        <v>6.25E-2</v>
      </c>
      <c r="D12" s="272">
        <f t="shared" ref="D12:O12" si="6">IF(D270=0,0,(D270/$O270))</f>
        <v>3.125E-2</v>
      </c>
      <c r="E12" s="272">
        <f t="shared" si="6"/>
        <v>3.125E-2</v>
      </c>
      <c r="F12" s="272">
        <f t="shared" si="6"/>
        <v>3.125E-2</v>
      </c>
      <c r="G12" s="272">
        <f t="shared" si="6"/>
        <v>6.25E-2</v>
      </c>
      <c r="H12" s="272">
        <f t="shared" si="6"/>
        <v>6.25E-2</v>
      </c>
      <c r="I12" s="272">
        <f t="shared" si="6"/>
        <v>0.15625</v>
      </c>
      <c r="J12" s="272">
        <f t="shared" si="6"/>
        <v>0.1875</v>
      </c>
      <c r="K12" s="656">
        <f t="shared" si="6"/>
        <v>0.125</v>
      </c>
      <c r="L12" s="418">
        <f t="shared" si="6"/>
        <v>9.375E-2</v>
      </c>
      <c r="M12" s="418">
        <f t="shared" si="6"/>
        <v>9.375E-2</v>
      </c>
      <c r="N12" s="418">
        <f t="shared" si="6"/>
        <v>6.25E-2</v>
      </c>
      <c r="O12" s="272">
        <f t="shared" si="6"/>
        <v>1</v>
      </c>
      <c r="P12" s="528"/>
    </row>
    <row r="13" spans="1:16" ht="15.75" x14ac:dyDescent="0.25">
      <c r="A13" s="256" t="s">
        <v>730</v>
      </c>
      <c r="B13" s="65"/>
      <c r="C13" s="272">
        <f>IF(C359=0,0,(C359/$O359))</f>
        <v>9.0909090909090912E-2</v>
      </c>
      <c r="D13" s="272">
        <f t="shared" ref="D13:N13" si="7">IF(D359=0,0,(D359/$O359))</f>
        <v>2.2727272727272728E-2</v>
      </c>
      <c r="E13" s="272">
        <f t="shared" si="7"/>
        <v>9.0909090909090912E-2</v>
      </c>
      <c r="F13" s="272">
        <f t="shared" si="7"/>
        <v>0.13636363636363635</v>
      </c>
      <c r="G13" s="272">
        <f t="shared" si="7"/>
        <v>0</v>
      </c>
      <c r="H13" s="272">
        <f t="shared" si="7"/>
        <v>6.8181818181818177E-2</v>
      </c>
      <c r="I13" s="272">
        <f t="shared" si="7"/>
        <v>2.2727272727272728E-2</v>
      </c>
      <c r="J13" s="272">
        <f t="shared" si="7"/>
        <v>9.0909090909090912E-2</v>
      </c>
      <c r="K13" s="656">
        <f t="shared" si="7"/>
        <v>6.8181818181818177E-2</v>
      </c>
      <c r="L13" s="418">
        <f t="shared" si="7"/>
        <v>0.11363636363636363</v>
      </c>
      <c r="M13" s="418">
        <f t="shared" si="7"/>
        <v>0.27272727272727271</v>
      </c>
      <c r="N13" s="418">
        <f t="shared" si="7"/>
        <v>2.2727272727272728E-2</v>
      </c>
      <c r="O13" s="272">
        <f t="shared" ref="O13" si="8">IF(O359=0,0,(O359/$O359))</f>
        <v>1</v>
      </c>
      <c r="P13" s="528"/>
    </row>
    <row r="14" spans="1:16" ht="15.75" x14ac:dyDescent="0.25">
      <c r="A14" s="256" t="s">
        <v>731</v>
      </c>
      <c r="B14" s="65"/>
      <c r="C14" s="272">
        <f>IF(C360=0,0,(C360/$O360))</f>
        <v>8.5308056872037921E-2</v>
      </c>
      <c r="D14" s="272">
        <f t="shared" ref="D14:N14" si="9">IF(D360=0,0,(D360/$O360))</f>
        <v>8.5308056872037921E-2</v>
      </c>
      <c r="E14" s="272">
        <f t="shared" si="9"/>
        <v>8.0568720379146919E-2</v>
      </c>
      <c r="F14" s="272">
        <f t="shared" si="9"/>
        <v>5.2132701421800945E-2</v>
      </c>
      <c r="G14" s="272">
        <f t="shared" si="9"/>
        <v>7.582938388625593E-2</v>
      </c>
      <c r="H14" s="272">
        <f t="shared" si="9"/>
        <v>9.4786729857819899E-2</v>
      </c>
      <c r="I14" s="272">
        <f t="shared" si="9"/>
        <v>7.1090047393364927E-2</v>
      </c>
      <c r="J14" s="272">
        <f t="shared" si="9"/>
        <v>0.10900473933649289</v>
      </c>
      <c r="K14" s="656">
        <f t="shared" si="9"/>
        <v>9.004739336492891E-2</v>
      </c>
      <c r="L14" s="418">
        <f t="shared" si="9"/>
        <v>7.582938388625593E-2</v>
      </c>
      <c r="M14" s="418">
        <f t="shared" si="9"/>
        <v>8.5308056872037921E-2</v>
      </c>
      <c r="N14" s="418">
        <f t="shared" si="9"/>
        <v>9.4786729857819899E-2</v>
      </c>
      <c r="O14" s="272">
        <f t="shared" ref="O14" si="10">IF(O360=0,0,(O360/$O360))</f>
        <v>1</v>
      </c>
      <c r="P14" s="528"/>
    </row>
    <row r="15" spans="1:16" ht="15.75" x14ac:dyDescent="0.25">
      <c r="A15" s="256" t="s">
        <v>732</v>
      </c>
      <c r="B15" s="65"/>
      <c r="C15" s="272">
        <f>IF(C363=0,0,(C363/$O363))</f>
        <v>0</v>
      </c>
      <c r="D15" s="272">
        <f t="shared" ref="D15:N15" si="11">IF(D363=0,0,(D363/$O363))</f>
        <v>0</v>
      </c>
      <c r="E15" s="272">
        <f t="shared" si="11"/>
        <v>0</v>
      </c>
      <c r="F15" s="272">
        <f t="shared" si="11"/>
        <v>0</v>
      </c>
      <c r="G15" s="272">
        <f t="shared" si="11"/>
        <v>0</v>
      </c>
      <c r="H15" s="272">
        <f t="shared" si="11"/>
        <v>0</v>
      </c>
      <c r="I15" s="272">
        <f t="shared" si="11"/>
        <v>0</v>
      </c>
      <c r="J15" s="272">
        <f t="shared" si="11"/>
        <v>0</v>
      </c>
      <c r="K15" s="656">
        <f t="shared" si="11"/>
        <v>0.16666666666666666</v>
      </c>
      <c r="L15" s="418">
        <f t="shared" si="11"/>
        <v>0.66666666666666663</v>
      </c>
      <c r="M15" s="418">
        <f t="shared" si="11"/>
        <v>0.16666666666666666</v>
      </c>
      <c r="N15" s="418">
        <f t="shared" si="11"/>
        <v>0</v>
      </c>
      <c r="O15" s="272">
        <f t="shared" ref="O15" si="12">IF(O363=0,0,(O363/$O363))</f>
        <v>1</v>
      </c>
      <c r="P15" s="528"/>
    </row>
    <row r="16" spans="1:16" ht="15.75" x14ac:dyDescent="0.25">
      <c r="A16" s="256" t="s">
        <v>733</v>
      </c>
      <c r="B16" s="65"/>
      <c r="C16" s="272">
        <f>IF(C364=0,0,(C364/$O364))</f>
        <v>6.6666666666666666E-2</v>
      </c>
      <c r="D16" s="272">
        <f t="shared" ref="D16:N16" si="13">IF(D364=0,0,(D364/$O364))</f>
        <v>0.13333333333333333</v>
      </c>
      <c r="E16" s="272">
        <f t="shared" si="13"/>
        <v>0.13333333333333333</v>
      </c>
      <c r="F16" s="272">
        <f t="shared" si="13"/>
        <v>6.6666666666666666E-2</v>
      </c>
      <c r="G16" s="272">
        <f t="shared" si="13"/>
        <v>6.6666666666666666E-2</v>
      </c>
      <c r="H16" s="272">
        <f t="shared" si="13"/>
        <v>0</v>
      </c>
      <c r="I16" s="272">
        <f t="shared" si="13"/>
        <v>0.13333333333333333</v>
      </c>
      <c r="J16" s="272">
        <f t="shared" si="13"/>
        <v>0</v>
      </c>
      <c r="K16" s="656">
        <f t="shared" si="13"/>
        <v>0</v>
      </c>
      <c r="L16" s="418">
        <f t="shared" si="13"/>
        <v>0</v>
      </c>
      <c r="M16" s="418">
        <f t="shared" si="13"/>
        <v>0.33333333333333331</v>
      </c>
      <c r="N16" s="418">
        <f t="shared" si="13"/>
        <v>6.6666666666666666E-2</v>
      </c>
      <c r="O16" s="272">
        <f t="shared" ref="O16" si="14">IF(O364=0,0,(O364/$O364))</f>
        <v>1</v>
      </c>
      <c r="P16" s="528"/>
    </row>
    <row r="17" spans="1:16" ht="15.75" x14ac:dyDescent="0.25">
      <c r="A17" s="256" t="s">
        <v>735</v>
      </c>
      <c r="B17" s="65"/>
      <c r="C17" s="272">
        <f>IF(C367=0,0,(C367/$O367))</f>
        <v>8.6956521739130432E-2</v>
      </c>
      <c r="D17" s="272">
        <f t="shared" ref="D17:N17" si="15">IF(D367=0,0,(D367/$O367))</f>
        <v>0</v>
      </c>
      <c r="E17" s="272">
        <f t="shared" si="15"/>
        <v>8.6956521739130432E-2</v>
      </c>
      <c r="F17" s="272">
        <f t="shared" si="15"/>
        <v>0</v>
      </c>
      <c r="G17" s="272">
        <f t="shared" si="15"/>
        <v>0.30434782608695654</v>
      </c>
      <c r="H17" s="272">
        <f t="shared" si="15"/>
        <v>4.3478260869565216E-2</v>
      </c>
      <c r="I17" s="272">
        <f t="shared" si="15"/>
        <v>0.21739130434782608</v>
      </c>
      <c r="J17" s="272">
        <f t="shared" si="15"/>
        <v>8.6956521739130432E-2</v>
      </c>
      <c r="K17" s="656">
        <f t="shared" si="15"/>
        <v>0</v>
      </c>
      <c r="L17" s="418">
        <f t="shared" si="15"/>
        <v>4.3478260869565216E-2</v>
      </c>
      <c r="M17" s="418">
        <f t="shared" si="15"/>
        <v>8.6956521739130432E-2</v>
      </c>
      <c r="N17" s="418">
        <f t="shared" si="15"/>
        <v>4.3478260869565216E-2</v>
      </c>
      <c r="O17" s="272">
        <f t="shared" ref="O17" si="16">IF(O367=0,0,(O367/$O367))</f>
        <v>1</v>
      </c>
      <c r="P17" s="528"/>
    </row>
    <row r="18" spans="1:16" ht="15.75" x14ac:dyDescent="0.25">
      <c r="A18" s="256" t="s">
        <v>736</v>
      </c>
      <c r="B18" s="65"/>
      <c r="C18" s="272">
        <f>IF(C368=0,0,(C368/$O368))</f>
        <v>8.3636363636363634E-2</v>
      </c>
      <c r="D18" s="272">
        <f t="shared" ref="D18:N18" si="17">IF(D368=0,0,(D368/$O368))</f>
        <v>0.11272727272727273</v>
      </c>
      <c r="E18" s="272">
        <f t="shared" si="17"/>
        <v>4.363636363636364E-2</v>
      </c>
      <c r="F18" s="272">
        <f t="shared" si="17"/>
        <v>7.636363636363637E-2</v>
      </c>
      <c r="G18" s="272">
        <f t="shared" si="17"/>
        <v>0.11272727272727273</v>
      </c>
      <c r="H18" s="272">
        <f t="shared" si="17"/>
        <v>6.9090909090909092E-2</v>
      </c>
      <c r="I18" s="272">
        <f t="shared" si="17"/>
        <v>7.636363636363637E-2</v>
      </c>
      <c r="J18" s="272">
        <f t="shared" si="17"/>
        <v>0.10545454545454545</v>
      </c>
      <c r="K18" s="656">
        <f t="shared" si="17"/>
        <v>6.9090909090909092E-2</v>
      </c>
      <c r="L18" s="418">
        <f t="shared" si="17"/>
        <v>0.08</v>
      </c>
      <c r="M18" s="418">
        <f t="shared" si="17"/>
        <v>9.8181818181818176E-2</v>
      </c>
      <c r="N18" s="418">
        <f t="shared" si="17"/>
        <v>7.2727272727272724E-2</v>
      </c>
      <c r="O18" s="272">
        <f t="shared" ref="O18" si="18">IF(O368=0,0,(O368/$O368))</f>
        <v>1</v>
      </c>
      <c r="P18" s="528"/>
    </row>
    <row r="19" spans="1:16" ht="15.75" x14ac:dyDescent="0.25">
      <c r="A19" s="256" t="s">
        <v>738</v>
      </c>
      <c r="B19" s="65"/>
      <c r="C19" s="272">
        <f>IF(C374=0,0,(C374/$O374))</f>
        <v>8.2191780821917804E-2</v>
      </c>
      <c r="D19" s="272">
        <f t="shared" ref="D19:O19" si="19">IF(D374=0,0,(D374/$O374))</f>
        <v>1.3698630136986301E-2</v>
      </c>
      <c r="E19" s="272">
        <f t="shared" si="19"/>
        <v>8.2191780821917804E-2</v>
      </c>
      <c r="F19" s="272">
        <f t="shared" si="19"/>
        <v>8.2191780821917804E-2</v>
      </c>
      <c r="G19" s="272">
        <f t="shared" si="19"/>
        <v>9.5890410958904104E-2</v>
      </c>
      <c r="H19" s="272">
        <f t="shared" si="19"/>
        <v>5.4794520547945202E-2</v>
      </c>
      <c r="I19" s="272">
        <f t="shared" si="19"/>
        <v>8.2191780821917804E-2</v>
      </c>
      <c r="J19" s="272">
        <f t="shared" si="19"/>
        <v>8.2191780821917804E-2</v>
      </c>
      <c r="K19" s="656">
        <f t="shared" si="19"/>
        <v>5.4794520547945202E-2</v>
      </c>
      <c r="L19" s="418">
        <f>IF(L374=0,0,(L374/$O374))</f>
        <v>0.13698630136986301</v>
      </c>
      <c r="M19" s="418">
        <f t="shared" si="19"/>
        <v>0.20547945205479451</v>
      </c>
      <c r="N19" s="418">
        <f t="shared" si="19"/>
        <v>2.7397260273972601E-2</v>
      </c>
      <c r="O19" s="272">
        <f t="shared" si="19"/>
        <v>1</v>
      </c>
      <c r="P19" s="528"/>
    </row>
    <row r="20" spans="1:16" ht="15.75" x14ac:dyDescent="0.25">
      <c r="A20" s="256" t="s">
        <v>739</v>
      </c>
      <c r="B20" s="65"/>
      <c r="C20" s="272">
        <f>IF(C375=0,0,(C375/$O375))</f>
        <v>8.3333333333333329E-2</v>
      </c>
      <c r="D20" s="272">
        <f t="shared" ref="D20:O20" si="20">IF(D375=0,0,(D375/$O375))</f>
        <v>0.10119047619047619</v>
      </c>
      <c r="E20" s="272">
        <f t="shared" si="20"/>
        <v>6.1507936507936505E-2</v>
      </c>
      <c r="F20" s="272">
        <f t="shared" si="20"/>
        <v>6.5476190476190479E-2</v>
      </c>
      <c r="G20" s="272">
        <f t="shared" si="20"/>
        <v>9.5238095238095233E-2</v>
      </c>
      <c r="H20" s="272">
        <f t="shared" si="20"/>
        <v>7.7380952380952384E-2</v>
      </c>
      <c r="I20" s="272">
        <f t="shared" si="20"/>
        <v>7.7380952380952384E-2</v>
      </c>
      <c r="J20" s="272">
        <f t="shared" si="20"/>
        <v>0.10515873015873016</v>
      </c>
      <c r="K20" s="656">
        <f t="shared" si="20"/>
        <v>7.7380952380952384E-2</v>
      </c>
      <c r="L20" s="418">
        <f>IF(L375=0,0,(L375/$O375))</f>
        <v>7.5396825396825393E-2</v>
      </c>
      <c r="M20" s="418">
        <f t="shared" si="20"/>
        <v>9.9206349206349201E-2</v>
      </c>
      <c r="N20" s="418">
        <f t="shared" si="20"/>
        <v>8.1349206349206352E-2</v>
      </c>
      <c r="O20" s="272">
        <f t="shared" si="20"/>
        <v>1</v>
      </c>
      <c r="P20" s="528"/>
    </row>
    <row r="21" spans="1:16" ht="15.75" x14ac:dyDescent="0.25">
      <c r="A21" s="256" t="s">
        <v>741</v>
      </c>
      <c r="B21" s="65"/>
      <c r="C21" s="272">
        <f>IF(C383=0,0,(C383/$O383))</f>
        <v>9.8360655737704916E-2</v>
      </c>
      <c r="D21" s="272">
        <f t="shared" ref="D21:O21" si="21">IF(D383=0,0,(D383/$O383))</f>
        <v>1.6393442622950821E-2</v>
      </c>
      <c r="E21" s="272">
        <f t="shared" si="21"/>
        <v>8.1967213114754092E-2</v>
      </c>
      <c r="F21" s="272">
        <f t="shared" si="21"/>
        <v>9.8360655737704916E-2</v>
      </c>
      <c r="G21" s="272">
        <f t="shared" si="21"/>
        <v>8.1967213114754092E-2</v>
      </c>
      <c r="H21" s="272">
        <f t="shared" si="21"/>
        <v>6.5573770491803282E-2</v>
      </c>
      <c r="I21" s="272">
        <f t="shared" si="21"/>
        <v>9.8360655737704916E-2</v>
      </c>
      <c r="J21" s="272">
        <f t="shared" si="21"/>
        <v>8.1967213114754092E-2</v>
      </c>
      <c r="K21" s="656">
        <f t="shared" si="21"/>
        <v>6.5573770491803282E-2</v>
      </c>
      <c r="L21" s="418">
        <f>IF(L383=0,0,(L383/$O383))</f>
        <v>0.11475409836065574</v>
      </c>
      <c r="M21" s="418">
        <f t="shared" si="21"/>
        <v>0.16393442622950818</v>
      </c>
      <c r="N21" s="418">
        <f t="shared" si="21"/>
        <v>3.2786885245901641E-2</v>
      </c>
      <c r="O21" s="272">
        <f t="shared" si="21"/>
        <v>1</v>
      </c>
      <c r="P21" s="528"/>
    </row>
    <row r="22" spans="1:16" ht="15.75" x14ac:dyDescent="0.25">
      <c r="A22" s="256" t="s">
        <v>742</v>
      </c>
      <c r="B22" s="65"/>
      <c r="C22" s="272">
        <f>IF(C384=0,0,(C384/$O384))</f>
        <v>8.6956521739130432E-2</v>
      </c>
      <c r="D22" s="272">
        <f t="shared" ref="D22:O22" si="22">IF(D384=0,0,(D384/$O384))</f>
        <v>0.1</v>
      </c>
      <c r="E22" s="272">
        <f t="shared" si="22"/>
        <v>5.8695652173913045E-2</v>
      </c>
      <c r="F22" s="272">
        <f t="shared" si="22"/>
        <v>6.3043478260869562E-2</v>
      </c>
      <c r="G22" s="272">
        <f t="shared" si="22"/>
        <v>9.1304347826086957E-2</v>
      </c>
      <c r="H22" s="272">
        <f t="shared" si="22"/>
        <v>7.8260869565217397E-2</v>
      </c>
      <c r="I22" s="272">
        <f t="shared" si="22"/>
        <v>8.2608695652173908E-2</v>
      </c>
      <c r="J22" s="272">
        <f t="shared" si="22"/>
        <v>0.10652173913043478</v>
      </c>
      <c r="K22" s="656">
        <f t="shared" si="22"/>
        <v>7.8260869565217397E-2</v>
      </c>
      <c r="L22" s="418">
        <f>IF(L384=0,0,(L384/$O384))</f>
        <v>7.8260869565217397E-2</v>
      </c>
      <c r="M22" s="418">
        <f t="shared" si="22"/>
        <v>0.1</v>
      </c>
      <c r="N22" s="418">
        <f t="shared" si="22"/>
        <v>7.6086956521739135E-2</v>
      </c>
      <c r="O22" s="272">
        <f t="shared" si="22"/>
        <v>1</v>
      </c>
      <c r="P22" s="528"/>
    </row>
    <row r="23" spans="1:16" ht="15.75" x14ac:dyDescent="0.25">
      <c r="A23" s="256" t="s">
        <v>744</v>
      </c>
      <c r="B23" s="65"/>
      <c r="C23" s="272">
        <f>IF(C387=0,0,(C387/$O387))</f>
        <v>8.1735110340593053E-2</v>
      </c>
      <c r="D23" s="272">
        <f t="shared" ref="D23:O23" si="23">IF(D387=0,0,(D387/$O387))</f>
        <v>8.2746415285151878E-2</v>
      </c>
      <c r="E23" s="272">
        <f t="shared" si="23"/>
        <v>5.3057391555603711E-2</v>
      </c>
      <c r="F23" s="272">
        <f t="shared" si="23"/>
        <v>5.934192942536208E-2</v>
      </c>
      <c r="G23" s="272">
        <f t="shared" si="23"/>
        <v>8.4696789106801021E-2</v>
      </c>
      <c r="H23" s="272">
        <f t="shared" si="23"/>
        <v>7.2344421569689746E-2</v>
      </c>
      <c r="I23" s="272">
        <f t="shared" si="23"/>
        <v>7.7653772528623544E-2</v>
      </c>
      <c r="J23" s="272">
        <f t="shared" si="23"/>
        <v>0.11525264564597103</v>
      </c>
      <c r="K23" s="656">
        <f t="shared" si="23"/>
        <v>8.8958717087441755E-2</v>
      </c>
      <c r="L23" s="418">
        <f>IF(L387=0,0,(L387/$O387))</f>
        <v>8.6611044894715938E-2</v>
      </c>
      <c r="M23" s="418">
        <f t="shared" si="23"/>
        <v>0.12558240329396467</v>
      </c>
      <c r="N23" s="418">
        <f t="shared" si="23"/>
        <v>7.2019359266081551E-2</v>
      </c>
      <c r="O23" s="272">
        <f t="shared" si="23"/>
        <v>1</v>
      </c>
      <c r="P23" s="528"/>
    </row>
    <row r="24" spans="1:16" ht="15.75" x14ac:dyDescent="0.25">
      <c r="A24" s="260" t="s">
        <v>745</v>
      </c>
      <c r="B24" s="65"/>
      <c r="C24" s="272">
        <f>IF(C389=0,0,(C389/$O389))</f>
        <v>9.1451292246520877E-2</v>
      </c>
      <c r="D24" s="272">
        <f t="shared" ref="D24:O24" si="24">IF(D389=0,0,(D389/$O389))</f>
        <v>9.3439363817097415E-2</v>
      </c>
      <c r="E24" s="272">
        <f t="shared" si="24"/>
        <v>6.1630218687872766E-2</v>
      </c>
      <c r="F24" s="272">
        <f t="shared" si="24"/>
        <v>6.9582504970178927E-2</v>
      </c>
      <c r="G24" s="272">
        <f t="shared" si="24"/>
        <v>9.3439363817097415E-2</v>
      </c>
      <c r="H24" s="272">
        <f t="shared" si="24"/>
        <v>7.9522862823061632E-2</v>
      </c>
      <c r="I24" s="272">
        <f t="shared" si="24"/>
        <v>8.1510934393638171E-2</v>
      </c>
      <c r="J24" s="272">
        <f t="shared" si="24"/>
        <v>0.10536779324055666</v>
      </c>
      <c r="K24" s="656">
        <f t="shared" si="24"/>
        <v>7.3558648111332003E-2</v>
      </c>
      <c r="L24" s="418">
        <f>IF(L389=0,0,(L389/$O389))</f>
        <v>8.3499005964214709E-2</v>
      </c>
      <c r="M24" s="418">
        <f t="shared" si="24"/>
        <v>9.5427435387673953E-2</v>
      </c>
      <c r="N24" s="418">
        <f t="shared" si="24"/>
        <v>7.1570576540755465E-2</v>
      </c>
      <c r="O24" s="272">
        <f t="shared" si="24"/>
        <v>1</v>
      </c>
      <c r="P24" s="528"/>
    </row>
    <row r="25" spans="1:16" ht="15.75" x14ac:dyDescent="0.25">
      <c r="A25" s="260" t="s">
        <v>746</v>
      </c>
      <c r="B25" s="65"/>
      <c r="C25" s="272">
        <f>IF(C390=0,0,(C390/$O390))</f>
        <v>7.4409908857209633E-2</v>
      </c>
      <c r="D25" s="272">
        <f t="shared" ref="D25:O25" si="25">IF(D390=0,0,(D390/$O390))</f>
        <v>8.469268520682402E-2</v>
      </c>
      <c r="E25" s="272">
        <f t="shared" si="25"/>
        <v>5.8378125730310822E-2</v>
      </c>
      <c r="F25" s="272">
        <f t="shared" si="25"/>
        <v>7.6279504557139513E-2</v>
      </c>
      <c r="G25" s="272">
        <f t="shared" si="25"/>
        <v>7.9878476279504562E-2</v>
      </c>
      <c r="H25" s="272">
        <f t="shared" si="25"/>
        <v>9.689179714886656E-2</v>
      </c>
      <c r="I25" s="272">
        <f t="shared" si="25"/>
        <v>6.5576069175040899E-2</v>
      </c>
      <c r="J25" s="272">
        <f t="shared" si="25"/>
        <v>0.10217340500116849</v>
      </c>
      <c r="K25" s="656">
        <f t="shared" si="25"/>
        <v>9.5442860481420894E-2</v>
      </c>
      <c r="L25" s="418">
        <f>IF(L390=0,0,(L390/$O390))</f>
        <v>7.9831736387006316E-2</v>
      </c>
      <c r="M25" s="418">
        <f t="shared" si="25"/>
        <v>0.1199813040430007</v>
      </c>
      <c r="N25" s="418">
        <f t="shared" si="25"/>
        <v>6.64641271325076E-2</v>
      </c>
      <c r="O25" s="272">
        <f t="shared" si="25"/>
        <v>1</v>
      </c>
      <c r="P25" s="528"/>
    </row>
    <row r="26" spans="1:16" ht="15.75" x14ac:dyDescent="0.25">
      <c r="A26" s="256" t="s">
        <v>747</v>
      </c>
      <c r="B26" s="65"/>
      <c r="C26" s="272">
        <f>IF(C396=0,0,(C396/$O396))</f>
        <v>6.1987704213596312E-2</v>
      </c>
      <c r="D26" s="272">
        <f t="shared" ref="D26:O26" si="26">IF(D396=0,0,(D396/$O396))</f>
        <v>6.1206670140984895E-2</v>
      </c>
      <c r="E26" s="272">
        <f t="shared" si="26"/>
        <v>5.7766270053531084E-2</v>
      </c>
      <c r="F26" s="272">
        <f t="shared" si="26"/>
        <v>7.914707779126863E-2</v>
      </c>
      <c r="G26" s="272">
        <f t="shared" si="26"/>
        <v>7.9932237043841031E-2</v>
      </c>
      <c r="H26" s="272">
        <f t="shared" si="26"/>
        <v>0.10900100516885049</v>
      </c>
      <c r="I26" s="272">
        <f t="shared" si="26"/>
        <v>6.6319143172620901E-2</v>
      </c>
      <c r="J26" s="272">
        <f t="shared" si="26"/>
        <v>7.9670975646312564E-2</v>
      </c>
      <c r="K26" s="656">
        <f t="shared" si="26"/>
        <v>9.6446707487614136E-2</v>
      </c>
      <c r="L26" s="418">
        <f>IF(L396=0,0,(L396/$O396))</f>
        <v>0.11125610354751725</v>
      </c>
      <c r="M26" s="418">
        <f t="shared" si="26"/>
        <v>0.10517833840501291</v>
      </c>
      <c r="N26" s="418">
        <f t="shared" si="26"/>
        <v>9.2087767328849712E-2</v>
      </c>
      <c r="O26" s="272">
        <f t="shared" si="26"/>
        <v>1</v>
      </c>
      <c r="P26" s="528"/>
    </row>
    <row r="27" spans="1:16" ht="15.75" x14ac:dyDescent="0.25">
      <c r="A27" s="256" t="s">
        <v>748</v>
      </c>
      <c r="B27" s="65"/>
      <c r="C27" s="272">
        <f>IF(C397=0,0,(C397/$O397))</f>
        <v>8.7681295912601237E-2</v>
      </c>
      <c r="D27" s="272">
        <f t="shared" ref="D27:O27" si="27">IF(D397=0,0,(D397/$O397))</f>
        <v>6.9928423431908082E-2</v>
      </c>
      <c r="E27" s="272">
        <f t="shared" si="27"/>
        <v>7.812205688453569E-2</v>
      </c>
      <c r="F27" s="272">
        <f t="shared" si="27"/>
        <v>7.5767564513090982E-2</v>
      </c>
      <c r="G27" s="272">
        <f t="shared" si="27"/>
        <v>7.647391222452439E-2</v>
      </c>
      <c r="H27" s="272">
        <f t="shared" si="27"/>
        <v>8.8764362403465816E-2</v>
      </c>
      <c r="I27" s="272">
        <f t="shared" si="27"/>
        <v>8.9847428894330381E-2</v>
      </c>
      <c r="J27" s="272">
        <f t="shared" si="27"/>
        <v>0.10355057449613864</v>
      </c>
      <c r="K27" s="656">
        <f t="shared" si="27"/>
        <v>0.10256168770013185</v>
      </c>
      <c r="L27" s="418">
        <f>IF(L397=0,0,(L397/$O397))</f>
        <v>5.9851196082124691E-2</v>
      </c>
      <c r="M27" s="418">
        <f t="shared" si="27"/>
        <v>8.6598229421736672E-2</v>
      </c>
      <c r="N27" s="418">
        <f t="shared" si="27"/>
        <v>8.0853268035411568E-2</v>
      </c>
      <c r="O27" s="272">
        <f t="shared" si="27"/>
        <v>1</v>
      </c>
      <c r="P27" s="528"/>
    </row>
    <row r="28" spans="1:16" ht="15.75" x14ac:dyDescent="0.25">
      <c r="A28" s="256" t="s">
        <v>750</v>
      </c>
      <c r="B28" s="65"/>
      <c r="C28" s="272">
        <f>IF(C392=0,0,(C392/$O392))</f>
        <v>4.4707009420405557E-2</v>
      </c>
      <c r="D28" s="272">
        <f t="shared" ref="D28:O28" si="28">IF(D392=0,0,(D392/$O392))</f>
        <v>7.6800255468625261E-2</v>
      </c>
      <c r="E28" s="272">
        <f t="shared" si="28"/>
        <v>6.4505827878013733E-2</v>
      </c>
      <c r="F28" s="272">
        <f t="shared" si="28"/>
        <v>5.7001437011017085E-2</v>
      </c>
      <c r="G28" s="272">
        <f t="shared" si="28"/>
        <v>9.0851029857895574E-2</v>
      </c>
      <c r="H28" s="272">
        <f t="shared" si="28"/>
        <v>0.12837298419287882</v>
      </c>
      <c r="I28" s="272">
        <f t="shared" si="28"/>
        <v>7.935494172121986E-2</v>
      </c>
      <c r="J28" s="272">
        <f t="shared" si="28"/>
        <v>6.8976528820054284E-2</v>
      </c>
      <c r="K28" s="656">
        <f t="shared" si="28"/>
        <v>8.9893022513172605E-2</v>
      </c>
      <c r="L28" s="418">
        <f>IF(L392=0,0,(L392/$O392))</f>
        <v>9.5800734472297616E-2</v>
      </c>
      <c r="M28" s="418">
        <f t="shared" si="28"/>
        <v>0.13028899888232476</v>
      </c>
      <c r="N28" s="418">
        <f t="shared" si="28"/>
        <v>7.3447229762094848E-2</v>
      </c>
      <c r="O28" s="272">
        <f t="shared" si="28"/>
        <v>1</v>
      </c>
      <c r="P28" s="528"/>
    </row>
    <row r="29" spans="1:16" ht="15.75" x14ac:dyDescent="0.25">
      <c r="A29" s="256" t="s">
        <v>751</v>
      </c>
      <c r="B29" s="65"/>
      <c r="C29" s="272">
        <f>IF(C393=0,0,(C393/$O393))</f>
        <v>8.7033178393973398E-2</v>
      </c>
      <c r="D29" s="272">
        <f t="shared" ref="D29:O29" si="29">IF(D393=0,0,(D393/$O393))</f>
        <v>8.735374258695304E-2</v>
      </c>
      <c r="E29" s="272">
        <f t="shared" si="29"/>
        <v>5.6579580060907193E-2</v>
      </c>
      <c r="F29" s="272">
        <f t="shared" si="29"/>
        <v>6.8761019394133677E-2</v>
      </c>
      <c r="G29" s="272">
        <f t="shared" si="29"/>
        <v>8.1423305016829622E-2</v>
      </c>
      <c r="H29" s="272">
        <f t="shared" si="29"/>
        <v>8.0621894534380512E-2</v>
      </c>
      <c r="I29" s="272">
        <f t="shared" si="29"/>
        <v>8.559063952556499E-2</v>
      </c>
      <c r="J29" s="272">
        <f t="shared" si="29"/>
        <v>8.7994870972912323E-2</v>
      </c>
      <c r="K29" s="656">
        <f t="shared" si="29"/>
        <v>7.9820484051931401E-2</v>
      </c>
      <c r="L29" s="418">
        <f>IF(L393=0,0,(L393/$O393))</f>
        <v>7.8698509376502648E-2</v>
      </c>
      <c r="M29" s="418">
        <f t="shared" si="29"/>
        <v>0.10610674787626222</v>
      </c>
      <c r="N29" s="418">
        <f t="shared" si="29"/>
        <v>0.10001602820964899</v>
      </c>
      <c r="O29" s="272">
        <f t="shared" si="29"/>
        <v>1</v>
      </c>
      <c r="P29" s="528"/>
    </row>
    <row r="30" spans="1:16" ht="15.75" x14ac:dyDescent="0.25">
      <c r="A30" s="256" t="s">
        <v>753</v>
      </c>
      <c r="B30" s="65"/>
      <c r="C30" s="272">
        <f>IF(C404=0,0,(C404/$O404))</f>
        <v>5.6546979144270051E-2</v>
      </c>
      <c r="D30" s="272">
        <f t="shared" ref="D30:O30" si="30">IF(D404=0,0,(D404/$O404))</f>
        <v>9.2309897513079622E-2</v>
      </c>
      <c r="E30" s="272">
        <f t="shared" si="30"/>
        <v>7.9624453522539954E-2</v>
      </c>
      <c r="F30" s="272">
        <f t="shared" si="30"/>
        <v>8.5214649179387938E-2</v>
      </c>
      <c r="G30" s="272">
        <f t="shared" si="30"/>
        <v>8.120117537447144E-2</v>
      </c>
      <c r="H30" s="272">
        <f t="shared" si="30"/>
        <v>0.10255858955063427</v>
      </c>
      <c r="I30" s="272">
        <f t="shared" si="30"/>
        <v>7.2815881889199449E-2</v>
      </c>
      <c r="J30" s="272">
        <f t="shared" si="30"/>
        <v>6.2065505626030242E-2</v>
      </c>
      <c r="K30" s="656">
        <f t="shared" si="30"/>
        <v>8.965813803483122E-2</v>
      </c>
      <c r="L30" s="418">
        <f>IF(L404=0,0,(L404/$O404))</f>
        <v>8.7221386081846194E-2</v>
      </c>
      <c r="M30" s="418">
        <f t="shared" si="30"/>
        <v>0.11323729663871569</v>
      </c>
      <c r="N30" s="418">
        <f t="shared" si="30"/>
        <v>7.754604744499391E-2</v>
      </c>
      <c r="O30" s="272">
        <f t="shared" si="30"/>
        <v>1</v>
      </c>
      <c r="P30" s="528"/>
    </row>
    <row r="31" spans="1:16" ht="15.75" x14ac:dyDescent="0.25">
      <c r="A31" s="256" t="s">
        <v>754</v>
      </c>
      <c r="B31" s="65"/>
      <c r="C31" s="272">
        <f>IF(C405=0,0,(C405/$O405))</f>
        <v>6.7981503320712552E-2</v>
      </c>
      <c r="D31" s="272">
        <f t="shared" ref="D31:O31" si="31">IF(D405=0,0,(D405/$O405))</f>
        <v>6.1960772143256161E-2</v>
      </c>
      <c r="E31" s="272">
        <f t="shared" si="31"/>
        <v>6.1107317981503317E-2</v>
      </c>
      <c r="F31" s="272">
        <f t="shared" si="31"/>
        <v>7.290050276208801E-2</v>
      </c>
      <c r="G31" s="272">
        <f t="shared" si="31"/>
        <v>7.7090186828874682E-2</v>
      </c>
      <c r="H31" s="272">
        <f t="shared" si="31"/>
        <v>8.3188504748308606E-2</v>
      </c>
      <c r="I31" s="272">
        <f t="shared" si="31"/>
        <v>7.7152256222456708E-2</v>
      </c>
      <c r="J31" s="272">
        <f t="shared" si="31"/>
        <v>8.3079883309540067E-2</v>
      </c>
      <c r="K31" s="656">
        <f t="shared" si="31"/>
        <v>7.2714294581341946E-2</v>
      </c>
      <c r="L31" s="418">
        <f>IF(L405=0,0,(L405/$O405))</f>
        <v>6.1526286388181986E-2</v>
      </c>
      <c r="M31" s="418">
        <f t="shared" si="31"/>
        <v>0.1047886537148532</v>
      </c>
      <c r="N31" s="418">
        <f t="shared" si="31"/>
        <v>0.17650983799888276</v>
      </c>
      <c r="O31" s="272">
        <f t="shared" si="31"/>
        <v>1</v>
      </c>
      <c r="P31" s="528"/>
    </row>
    <row r="32" spans="1:16" ht="15.75" x14ac:dyDescent="0.25">
      <c r="A32" s="263" t="s">
        <v>756</v>
      </c>
      <c r="B32" s="65"/>
      <c r="C32" s="272">
        <f>IF(C408=0,0,(C408/$O408))</f>
        <v>0</v>
      </c>
      <c r="D32" s="272">
        <f t="shared" ref="D32:O32" si="32">IF(D408=0,0,(D408/$O408))</f>
        <v>0</v>
      </c>
      <c r="E32" s="272">
        <f t="shared" si="32"/>
        <v>0</v>
      </c>
      <c r="F32" s="272">
        <f t="shared" si="32"/>
        <v>0</v>
      </c>
      <c r="G32" s="272">
        <f t="shared" si="32"/>
        <v>0</v>
      </c>
      <c r="H32" s="272">
        <f t="shared" si="32"/>
        <v>0</v>
      </c>
      <c r="I32" s="272">
        <f t="shared" si="32"/>
        <v>0.2</v>
      </c>
      <c r="J32" s="272">
        <f t="shared" si="32"/>
        <v>0</v>
      </c>
      <c r="K32" s="656">
        <f t="shared" si="32"/>
        <v>0</v>
      </c>
      <c r="L32" s="418">
        <f>IF(L408=0,0,(L408/$O408))</f>
        <v>0</v>
      </c>
      <c r="M32" s="418">
        <f t="shared" si="32"/>
        <v>0.8</v>
      </c>
      <c r="N32" s="418">
        <f t="shared" si="32"/>
        <v>0</v>
      </c>
      <c r="O32" s="272">
        <f t="shared" si="32"/>
        <v>1</v>
      </c>
      <c r="P32" s="528"/>
    </row>
    <row r="33" spans="1:16" ht="15.75" x14ac:dyDescent="0.25">
      <c r="A33" s="263" t="s">
        <v>757</v>
      </c>
      <c r="B33" s="65"/>
      <c r="C33" s="272">
        <f>IF(C409=0,0,(C409/$O409))</f>
        <v>0</v>
      </c>
      <c r="D33" s="272">
        <f t="shared" ref="D33:O33" si="33">IF(D409=0,0,(D409/$O409))</f>
        <v>0</v>
      </c>
      <c r="E33" s="272">
        <f t="shared" si="33"/>
        <v>0.33333333333333331</v>
      </c>
      <c r="F33" s="272">
        <f t="shared" si="33"/>
        <v>0</v>
      </c>
      <c r="G33" s="272">
        <f t="shared" si="33"/>
        <v>0</v>
      </c>
      <c r="H33" s="272">
        <f t="shared" si="33"/>
        <v>0</v>
      </c>
      <c r="I33" s="272">
        <f t="shared" si="33"/>
        <v>0</v>
      </c>
      <c r="J33" s="272">
        <f t="shared" si="33"/>
        <v>0.33333333333333331</v>
      </c>
      <c r="K33" s="656">
        <f t="shared" si="33"/>
        <v>0.33333333333333331</v>
      </c>
      <c r="L33" s="418">
        <f>IF(L409=0,0,(L409/$O409))</f>
        <v>0</v>
      </c>
      <c r="M33" s="418">
        <f t="shared" si="33"/>
        <v>0</v>
      </c>
      <c r="N33" s="418">
        <f t="shared" si="33"/>
        <v>0</v>
      </c>
      <c r="O33" s="272">
        <f t="shared" si="33"/>
        <v>1</v>
      </c>
      <c r="P33" s="528"/>
    </row>
    <row r="34" spans="1:16" ht="15.75" x14ac:dyDescent="0.25">
      <c r="A34" s="256" t="s">
        <v>759</v>
      </c>
      <c r="B34" s="65"/>
      <c r="C34" s="272">
        <f>IF(C412=0,0,(C412/$O412))</f>
        <v>2.5284450063211124E-2</v>
      </c>
      <c r="D34" s="272">
        <f t="shared" ref="D34:O34" si="34">IF(D412=0,0,(D412/$O412))</f>
        <v>5.3097345132743362E-2</v>
      </c>
      <c r="E34" s="272">
        <f t="shared" si="34"/>
        <v>8.9759797724399501E-2</v>
      </c>
      <c r="F34" s="272">
        <f t="shared" si="34"/>
        <v>8.7231352718078387E-2</v>
      </c>
      <c r="G34" s="272">
        <f t="shared" si="34"/>
        <v>0.10240202275600506</v>
      </c>
      <c r="H34" s="272">
        <f t="shared" si="34"/>
        <v>0.11630847029077118</v>
      </c>
      <c r="I34" s="272">
        <f t="shared" si="34"/>
        <v>4.5512010113780026E-2</v>
      </c>
      <c r="J34" s="272">
        <f t="shared" si="34"/>
        <v>9.9873577749683945E-2</v>
      </c>
      <c r="K34" s="656">
        <f t="shared" si="34"/>
        <v>5.8154235145385591E-2</v>
      </c>
      <c r="L34" s="418">
        <f>IF(L412=0,0,(L412/$O412))</f>
        <v>9.8609355246523395E-2</v>
      </c>
      <c r="M34" s="418">
        <f t="shared" si="34"/>
        <v>0.1125158027812895</v>
      </c>
      <c r="N34" s="418">
        <f t="shared" si="34"/>
        <v>0.11125158027812895</v>
      </c>
      <c r="O34" s="272">
        <f t="shared" si="34"/>
        <v>1</v>
      </c>
      <c r="P34" s="528"/>
    </row>
    <row r="35" spans="1:16" ht="15.75" x14ac:dyDescent="0.25">
      <c r="A35" s="256" t="s">
        <v>760</v>
      </c>
      <c r="B35" s="65"/>
      <c r="C35" s="272">
        <f>IF(C400=0,0,(C400/$O400))</f>
        <v>5.7797708021923272E-2</v>
      </c>
      <c r="D35" s="272">
        <f t="shared" ref="D35:O35" si="35">IF(D400=0,0,(D400/$O400))</f>
        <v>7.2496263079222717E-2</v>
      </c>
      <c r="E35" s="272">
        <f t="shared" si="35"/>
        <v>6.9407075236671653E-2</v>
      </c>
      <c r="F35" s="272">
        <f t="shared" si="35"/>
        <v>8.6596910812157452E-2</v>
      </c>
      <c r="G35" s="272">
        <f t="shared" si="35"/>
        <v>9.1280518186347789E-2</v>
      </c>
      <c r="H35" s="272">
        <f t="shared" si="35"/>
        <v>0.11689088191330343</v>
      </c>
      <c r="I35" s="272">
        <f t="shared" si="35"/>
        <v>6.7065271549576477E-2</v>
      </c>
      <c r="J35" s="272">
        <f t="shared" si="35"/>
        <v>5.4857997010463379E-2</v>
      </c>
      <c r="K35" s="656">
        <f t="shared" si="35"/>
        <v>8.0269058295964132E-2</v>
      </c>
      <c r="L35" s="418">
        <f>IF(L400=0,0,(L400/$O400))</f>
        <v>0.101096163428002</v>
      </c>
      <c r="M35" s="418">
        <f t="shared" si="35"/>
        <v>0.11908320876930742</v>
      </c>
      <c r="N35" s="418">
        <f t="shared" si="35"/>
        <v>8.3158943697060284E-2</v>
      </c>
      <c r="O35" s="272">
        <f t="shared" si="35"/>
        <v>1</v>
      </c>
      <c r="P35" s="528"/>
    </row>
    <row r="36" spans="1:16" ht="15.75" x14ac:dyDescent="0.25">
      <c r="A36" s="256" t="s">
        <v>761</v>
      </c>
      <c r="B36" s="65"/>
      <c r="C36" s="272">
        <f>IF(C401=0,0,(C401/$O401))</f>
        <v>7.9525252272328914E-2</v>
      </c>
      <c r="D36" s="272">
        <f t="shared" ref="D36:O36" si="36">IF(D401=0,0,(D401/$O401))</f>
        <v>8.4883691814608003E-2</v>
      </c>
      <c r="E36" s="272">
        <f t="shared" si="36"/>
        <v>6.7155770338282794E-2</v>
      </c>
      <c r="F36" s="272">
        <f t="shared" si="36"/>
        <v>7.5719257831083964E-2</v>
      </c>
      <c r="G36" s="272">
        <f t="shared" si="36"/>
        <v>8.4933770688834911E-2</v>
      </c>
      <c r="H36" s="272">
        <f t="shared" si="36"/>
        <v>8.6761649598117038E-2</v>
      </c>
      <c r="I36" s="272">
        <f t="shared" si="36"/>
        <v>8.3130931216666246E-2</v>
      </c>
      <c r="J36" s="272">
        <f t="shared" si="36"/>
        <v>9.9431604777524607E-2</v>
      </c>
      <c r="K36" s="656">
        <f t="shared" si="36"/>
        <v>8.3155970653779707E-2</v>
      </c>
      <c r="L36" s="418">
        <f>IF(L401=0,0,(L401/$O401))</f>
        <v>7.9550291709442375E-2</v>
      </c>
      <c r="M36" s="418">
        <f t="shared" si="36"/>
        <v>9.4523875103287677E-2</v>
      </c>
      <c r="N36" s="418">
        <f t="shared" si="36"/>
        <v>8.1227933996043764E-2</v>
      </c>
      <c r="O36" s="272">
        <f t="shared" si="36"/>
        <v>1</v>
      </c>
      <c r="P36" s="528"/>
    </row>
    <row r="37" spans="1:16" ht="15.75" x14ac:dyDescent="0.25">
      <c r="A37" s="256" t="s">
        <v>763</v>
      </c>
      <c r="B37" s="65"/>
      <c r="C37" s="272">
        <f>IF(C418=0,0,(C418/$O418))</f>
        <v>5.0656660412757973E-2</v>
      </c>
      <c r="D37" s="272">
        <f t="shared" ref="D37:O37" si="37">IF(D418=0,0,(D418/$O418))</f>
        <v>0.10318949343339587</v>
      </c>
      <c r="E37" s="272">
        <f t="shared" si="37"/>
        <v>9.7560975609756101E-2</v>
      </c>
      <c r="F37" s="272">
        <f t="shared" si="37"/>
        <v>9.9437148217636023E-2</v>
      </c>
      <c r="G37" s="272">
        <f t="shared" si="37"/>
        <v>0.11632270168855535</v>
      </c>
      <c r="H37" s="272">
        <f t="shared" si="37"/>
        <v>7.1294559099437146E-2</v>
      </c>
      <c r="I37" s="272">
        <f t="shared" si="37"/>
        <v>7.3170731707317069E-2</v>
      </c>
      <c r="J37" s="272">
        <f t="shared" si="37"/>
        <v>3.9399624765478425E-2</v>
      </c>
      <c r="K37" s="656">
        <f t="shared" si="37"/>
        <v>0.10131332082551595</v>
      </c>
      <c r="L37" s="418">
        <f>IF(L418=0,0,(L418/$O418))</f>
        <v>7.5046904315197005E-2</v>
      </c>
      <c r="M37" s="418">
        <f t="shared" si="37"/>
        <v>0.11819887429643527</v>
      </c>
      <c r="N37" s="418">
        <f t="shared" si="37"/>
        <v>5.4409005628517824E-2</v>
      </c>
      <c r="O37" s="272">
        <f t="shared" si="37"/>
        <v>1</v>
      </c>
      <c r="P37" s="528"/>
    </row>
    <row r="38" spans="1:16" ht="15.75" x14ac:dyDescent="0.25">
      <c r="A38" s="256" t="s">
        <v>764</v>
      </c>
      <c r="B38" s="65"/>
      <c r="C38" s="272">
        <f>IF(C419=0,0,(C419/$O419))</f>
        <v>7.2580645161290328E-2</v>
      </c>
      <c r="D38" s="272">
        <f t="shared" ref="D38:O38" si="38">IF(D419=0,0,(D419/$O419))</f>
        <v>6.8817204301075269E-2</v>
      </c>
      <c r="E38" s="272">
        <f t="shared" si="38"/>
        <v>7.1505376344086019E-2</v>
      </c>
      <c r="F38" s="272">
        <f t="shared" si="38"/>
        <v>8.8172043010752682E-2</v>
      </c>
      <c r="G38" s="272">
        <f t="shared" si="38"/>
        <v>7.4731182795698931E-2</v>
      </c>
      <c r="H38" s="272">
        <f t="shared" si="38"/>
        <v>8.924731182795699E-2</v>
      </c>
      <c r="I38" s="272">
        <f t="shared" si="38"/>
        <v>8.387096774193549E-2</v>
      </c>
      <c r="J38" s="272">
        <f t="shared" si="38"/>
        <v>9.4623655913978491E-2</v>
      </c>
      <c r="K38" s="656">
        <f t="shared" si="38"/>
        <v>8.8709677419354843E-2</v>
      </c>
      <c r="L38" s="418">
        <f>IF(L419=0,0,(L419/$O419))</f>
        <v>8.7096774193548387E-2</v>
      </c>
      <c r="M38" s="418">
        <f t="shared" si="38"/>
        <v>9.0860215053763446E-2</v>
      </c>
      <c r="N38" s="418">
        <f t="shared" si="38"/>
        <v>8.9784946236559138E-2</v>
      </c>
      <c r="O38" s="272">
        <f t="shared" si="38"/>
        <v>1</v>
      </c>
      <c r="P38" s="528"/>
    </row>
    <row r="39" spans="1:16" ht="15.75" x14ac:dyDescent="0.25">
      <c r="A39" s="256" t="s">
        <v>766</v>
      </c>
      <c r="B39" s="65"/>
      <c r="C39" s="272">
        <f>IF(O458=0,0,(C458/$O458))</f>
        <v>0</v>
      </c>
      <c r="D39" s="272">
        <f t="shared" ref="D39" si="39">IF(P458=0,0,(D458/$O458))</f>
        <v>0</v>
      </c>
      <c r="E39" s="272">
        <f t="shared" ref="E39" si="40">IF(Q458=0,0,(E458/$O458))</f>
        <v>0</v>
      </c>
      <c r="F39" s="272">
        <f t="shared" ref="F39" si="41">IF(R458=0,0,(F458/$O458))</f>
        <v>0</v>
      </c>
      <c r="G39" s="272">
        <f t="shared" ref="G39" si="42">IF(S458=0,0,(G458/$O458))</f>
        <v>0</v>
      </c>
      <c r="H39" s="272">
        <f t="shared" ref="H39:O39" si="43">IF(Q458=0,0,(H458/$O458))</f>
        <v>0</v>
      </c>
      <c r="I39" s="272">
        <f t="shared" si="43"/>
        <v>0</v>
      </c>
      <c r="J39" s="272">
        <f t="shared" si="43"/>
        <v>0</v>
      </c>
      <c r="K39" s="656">
        <f t="shared" si="43"/>
        <v>0</v>
      </c>
      <c r="L39" s="418">
        <f>IF(U458=0,0,(L458/$O458))</f>
        <v>0</v>
      </c>
      <c r="M39" s="418">
        <f t="shared" si="43"/>
        <v>0</v>
      </c>
      <c r="N39" s="418">
        <f t="shared" si="43"/>
        <v>0</v>
      </c>
      <c r="O39" s="272">
        <f t="shared" si="43"/>
        <v>0</v>
      </c>
      <c r="P39" s="528"/>
    </row>
    <row r="40" spans="1:16" ht="15.75" x14ac:dyDescent="0.25">
      <c r="A40" s="256" t="s">
        <v>767</v>
      </c>
      <c r="B40" s="65"/>
      <c r="C40" s="272">
        <f>IF(C459=0,0,(C459/$O459))</f>
        <v>0.16666666666666666</v>
      </c>
      <c r="D40" s="272">
        <f t="shared" ref="D40:O40" si="44">IF(D459=0,0,(D459/$O459))</f>
        <v>0.1111111111111111</v>
      </c>
      <c r="E40" s="272">
        <f t="shared" si="44"/>
        <v>5.5555555555555552E-2</v>
      </c>
      <c r="F40" s="272">
        <f t="shared" si="44"/>
        <v>0.1111111111111111</v>
      </c>
      <c r="G40" s="272">
        <f t="shared" si="44"/>
        <v>5.5555555555555552E-2</v>
      </c>
      <c r="H40" s="272">
        <f t="shared" si="44"/>
        <v>5.5555555555555552E-2</v>
      </c>
      <c r="I40" s="272">
        <f t="shared" si="44"/>
        <v>0</v>
      </c>
      <c r="J40" s="272">
        <f t="shared" si="44"/>
        <v>0</v>
      </c>
      <c r="K40" s="656">
        <f t="shared" si="44"/>
        <v>5.5555555555555552E-2</v>
      </c>
      <c r="L40" s="418">
        <f>IF(L459=0,0,(L459/$O459))</f>
        <v>0.1111111111111111</v>
      </c>
      <c r="M40" s="418">
        <f t="shared" si="44"/>
        <v>0.16666666666666666</v>
      </c>
      <c r="N40" s="418">
        <f t="shared" si="44"/>
        <v>0.1111111111111111</v>
      </c>
      <c r="O40" s="272">
        <f t="shared" si="44"/>
        <v>1</v>
      </c>
      <c r="P40" s="528"/>
    </row>
    <row r="41" spans="1:16" ht="15.75" x14ac:dyDescent="0.25">
      <c r="A41" s="256" t="s">
        <v>769</v>
      </c>
      <c r="B41" s="65"/>
      <c r="C41" s="272">
        <f>IF(C432=0,0,(C432/$O432))</f>
        <v>6.4080944350758853E-2</v>
      </c>
      <c r="D41" s="272">
        <f t="shared" ref="D41:O41" si="45">IF(D432=0,0,(D432/$O432))</f>
        <v>6.5767284991568295E-2</v>
      </c>
      <c r="E41" s="272">
        <f t="shared" si="45"/>
        <v>6.7453625632377737E-2</v>
      </c>
      <c r="F41" s="272">
        <f t="shared" si="45"/>
        <v>6.7453625632377737E-2</v>
      </c>
      <c r="G41" s="272">
        <f t="shared" si="45"/>
        <v>0.12647554806070826</v>
      </c>
      <c r="H41" s="272">
        <f t="shared" si="45"/>
        <v>0.10792580101180438</v>
      </c>
      <c r="I41" s="272">
        <f t="shared" si="45"/>
        <v>7.4198988195615517E-2</v>
      </c>
      <c r="J41" s="272">
        <f t="shared" si="45"/>
        <v>5.9021922428330521E-2</v>
      </c>
      <c r="K41" s="656">
        <f t="shared" si="45"/>
        <v>0.10286677908937605</v>
      </c>
      <c r="L41" s="418">
        <f>IF(L432=0,0,(L432/$O432))</f>
        <v>8.7689713322091065E-2</v>
      </c>
      <c r="M41" s="418">
        <f t="shared" si="45"/>
        <v>0.10961214165261383</v>
      </c>
      <c r="N41" s="418">
        <f t="shared" si="45"/>
        <v>6.7453625632377737E-2</v>
      </c>
      <c r="O41" s="272">
        <f t="shared" si="45"/>
        <v>1</v>
      </c>
      <c r="P41" s="528"/>
    </row>
    <row r="42" spans="1:16" ht="15.75" x14ac:dyDescent="0.25">
      <c r="A42" s="256" t="s">
        <v>770</v>
      </c>
      <c r="B42" s="65"/>
      <c r="C42" s="272">
        <f>IF(C433=0,0,(C433/$O433))</f>
        <v>8.5205992509363296E-2</v>
      </c>
      <c r="D42" s="272">
        <f t="shared" ref="D42:O42" si="46">IF(D433=0,0,(D433/$O433))</f>
        <v>8.7265917602996249E-2</v>
      </c>
      <c r="E42" s="272">
        <f t="shared" si="46"/>
        <v>8.1460674157303375E-2</v>
      </c>
      <c r="F42" s="272">
        <f t="shared" si="46"/>
        <v>8.3895131086142327E-2</v>
      </c>
      <c r="G42" s="272">
        <f t="shared" si="46"/>
        <v>9.1573033707865167E-2</v>
      </c>
      <c r="H42" s="272">
        <f t="shared" si="46"/>
        <v>8.202247191011236E-2</v>
      </c>
      <c r="I42" s="272">
        <f t="shared" si="46"/>
        <v>8.4644194756554311E-2</v>
      </c>
      <c r="J42" s="272">
        <f t="shared" si="46"/>
        <v>8.3895131086142327E-2</v>
      </c>
      <c r="K42" s="656">
        <f t="shared" si="46"/>
        <v>7.6217228464419473E-2</v>
      </c>
      <c r="L42" s="418">
        <f>IF(L433=0,0,(L433/$O433))</f>
        <v>7.3970037453183521E-2</v>
      </c>
      <c r="M42" s="418">
        <f t="shared" si="46"/>
        <v>8.8014981273408247E-2</v>
      </c>
      <c r="N42" s="418">
        <f t="shared" si="46"/>
        <v>8.1835205992509361E-2</v>
      </c>
      <c r="O42" s="272">
        <f t="shared" si="46"/>
        <v>1</v>
      </c>
      <c r="P42" s="528"/>
    </row>
    <row r="43" spans="1:16" ht="15.75" x14ac:dyDescent="0.25">
      <c r="A43" s="256" t="s">
        <v>772</v>
      </c>
      <c r="B43" s="65"/>
      <c r="C43" s="272">
        <f>IF(C436=0,0,(C436/$O436))</f>
        <v>7.7586206896551727E-2</v>
      </c>
      <c r="D43" s="272">
        <f t="shared" ref="D43:O43" si="47">IF(D436=0,0,(D436/$O436))</f>
        <v>0.1206896551724138</v>
      </c>
      <c r="E43" s="272">
        <f t="shared" si="47"/>
        <v>8.6206896551724144E-2</v>
      </c>
      <c r="F43" s="272">
        <f t="shared" si="47"/>
        <v>4.3103448275862072E-2</v>
      </c>
      <c r="G43" s="272">
        <f t="shared" si="47"/>
        <v>6.0344827586206899E-2</v>
      </c>
      <c r="H43" s="272">
        <f t="shared" si="47"/>
        <v>8.6206896551724144E-2</v>
      </c>
      <c r="I43" s="272">
        <f t="shared" si="47"/>
        <v>1.7241379310344827E-2</v>
      </c>
      <c r="J43" s="272">
        <f t="shared" si="47"/>
        <v>0.10344827586206896</v>
      </c>
      <c r="K43" s="656">
        <f t="shared" si="47"/>
        <v>9.4827586206896547E-2</v>
      </c>
      <c r="L43" s="418">
        <f>IF(L436=0,0,(L436/$O436))</f>
        <v>8.6206896551724144E-2</v>
      </c>
      <c r="M43" s="418">
        <f t="shared" si="47"/>
        <v>0.11206896551724138</v>
      </c>
      <c r="N43" s="418">
        <f t="shared" si="47"/>
        <v>0.11206896551724138</v>
      </c>
      <c r="O43" s="272">
        <f t="shared" si="47"/>
        <v>1</v>
      </c>
      <c r="P43" s="528"/>
    </row>
    <row r="44" spans="1:16" ht="15.75" x14ac:dyDescent="0.25">
      <c r="A44" s="256" t="s">
        <v>773</v>
      </c>
      <c r="B44" s="65"/>
      <c r="C44" s="272">
        <f>IF(C437=0,0,(C437/$O437))</f>
        <v>8.2082082082082078E-2</v>
      </c>
      <c r="D44" s="272">
        <f t="shared" ref="D44:O44" si="48">IF(D437=0,0,(D437/$O437))</f>
        <v>7.3073073073073078E-2</v>
      </c>
      <c r="E44" s="272">
        <f t="shared" si="48"/>
        <v>5.4054054054054057E-2</v>
      </c>
      <c r="F44" s="272">
        <f t="shared" si="48"/>
        <v>7.9079079079079073E-2</v>
      </c>
      <c r="G44" s="272">
        <f t="shared" si="48"/>
        <v>9.6096096096096095E-2</v>
      </c>
      <c r="H44" s="272">
        <f t="shared" si="48"/>
        <v>9.7097097097097101E-2</v>
      </c>
      <c r="I44" s="272">
        <f t="shared" si="48"/>
        <v>7.1071071071071065E-2</v>
      </c>
      <c r="J44" s="272">
        <f t="shared" si="48"/>
        <v>7.5075075075075076E-2</v>
      </c>
      <c r="K44" s="656">
        <f t="shared" si="48"/>
        <v>9.3093093093093091E-2</v>
      </c>
      <c r="L44" s="418">
        <f>IF(L437=0,0,(L437/$O437))</f>
        <v>8.8088088088088087E-2</v>
      </c>
      <c r="M44" s="418">
        <f t="shared" si="48"/>
        <v>0.10510510510510511</v>
      </c>
      <c r="N44" s="418">
        <f t="shared" si="48"/>
        <v>8.6086086086086089E-2</v>
      </c>
      <c r="O44" s="272">
        <f t="shared" si="48"/>
        <v>1</v>
      </c>
      <c r="P44" s="528"/>
    </row>
    <row r="45" spans="1:16" ht="15.75" x14ac:dyDescent="0.25">
      <c r="A45" s="256" t="s">
        <v>775</v>
      </c>
      <c r="B45" s="65"/>
      <c r="C45" s="272">
        <f>IF(C440=0,0,(C440/$O440))</f>
        <v>5.7291666666666664E-2</v>
      </c>
      <c r="D45" s="272">
        <f t="shared" ref="D45:O45" si="49">IF(D440=0,0,(D440/$O440))</f>
        <v>0.140625</v>
      </c>
      <c r="E45" s="272">
        <f t="shared" si="49"/>
        <v>0.109375</v>
      </c>
      <c r="F45" s="272">
        <f t="shared" si="49"/>
        <v>8.8541666666666671E-2</v>
      </c>
      <c r="G45" s="272">
        <f t="shared" si="49"/>
        <v>9.375E-2</v>
      </c>
      <c r="H45" s="272">
        <f t="shared" si="49"/>
        <v>5.7291666666666664E-2</v>
      </c>
      <c r="I45" s="272">
        <f t="shared" si="49"/>
        <v>8.8541666666666671E-2</v>
      </c>
      <c r="J45" s="272">
        <f t="shared" si="49"/>
        <v>7.2916666666666671E-2</v>
      </c>
      <c r="K45" s="656">
        <f t="shared" si="49"/>
        <v>8.3333333333333329E-2</v>
      </c>
      <c r="L45" s="418">
        <f>IF(L440=0,0,(L440/$O440))</f>
        <v>4.1666666666666664E-2</v>
      </c>
      <c r="M45" s="418">
        <f t="shared" si="49"/>
        <v>0.11979166666666667</v>
      </c>
      <c r="N45" s="418">
        <f t="shared" si="49"/>
        <v>4.6875E-2</v>
      </c>
      <c r="O45" s="272">
        <f t="shared" si="49"/>
        <v>1</v>
      </c>
      <c r="P45" s="528"/>
    </row>
    <row r="46" spans="1:16" ht="15.75" x14ac:dyDescent="0.25">
      <c r="A46" s="256" t="s">
        <v>776</v>
      </c>
      <c r="B46" s="65"/>
      <c r="C46" s="272">
        <f>IF(C441=0,0,(C441/$O441))</f>
        <v>7.5591985428050998E-2</v>
      </c>
      <c r="D46" s="272">
        <f t="shared" ref="D46:O46" si="50">IF(D441=0,0,(D441/$O441))</f>
        <v>8.242258652094718E-2</v>
      </c>
      <c r="E46" s="272">
        <f t="shared" si="50"/>
        <v>7.058287795992714E-2</v>
      </c>
      <c r="F46" s="272">
        <f t="shared" si="50"/>
        <v>8.1511839708561018E-2</v>
      </c>
      <c r="G46" s="272">
        <f t="shared" si="50"/>
        <v>8.4699453551912565E-2</v>
      </c>
      <c r="H46" s="272">
        <f t="shared" si="50"/>
        <v>9.0619307832422585E-2</v>
      </c>
      <c r="I46" s="272">
        <f t="shared" si="50"/>
        <v>9.4262295081967207E-2</v>
      </c>
      <c r="J46" s="272">
        <f t="shared" si="50"/>
        <v>9.0163934426229511E-2</v>
      </c>
      <c r="K46" s="656">
        <f t="shared" si="50"/>
        <v>7.5591985428050998E-2</v>
      </c>
      <c r="L46" s="418">
        <f>IF(L441=0,0,(L441/$O441))</f>
        <v>8.3788706739526417E-2</v>
      </c>
      <c r="M46" s="418">
        <f t="shared" si="50"/>
        <v>9.8360655737704916E-2</v>
      </c>
      <c r="N46" s="418">
        <f t="shared" si="50"/>
        <v>7.2404371584699451E-2</v>
      </c>
      <c r="O46" s="272">
        <f t="shared" si="50"/>
        <v>1</v>
      </c>
      <c r="P46" s="528"/>
    </row>
    <row r="47" spans="1:16" ht="15.75" x14ac:dyDescent="0.25">
      <c r="A47" s="256" t="s">
        <v>778</v>
      </c>
      <c r="B47" s="65"/>
      <c r="C47" s="272">
        <f>IF(C444=0,0,(C444/$O444))</f>
        <v>0</v>
      </c>
      <c r="D47" s="272">
        <f t="shared" ref="D47:O47" si="51">IF(D444=0,0,(D444/$O444))</f>
        <v>0</v>
      </c>
      <c r="E47" s="272">
        <f t="shared" si="51"/>
        <v>0</v>
      </c>
      <c r="F47" s="272">
        <f t="shared" si="51"/>
        <v>0</v>
      </c>
      <c r="G47" s="272">
        <f t="shared" si="51"/>
        <v>0</v>
      </c>
      <c r="H47" s="272">
        <f t="shared" si="51"/>
        <v>0</v>
      </c>
      <c r="I47" s="272">
        <f t="shared" si="51"/>
        <v>0</v>
      </c>
      <c r="J47" s="272">
        <f t="shared" si="51"/>
        <v>1</v>
      </c>
      <c r="K47" s="656">
        <f t="shared" si="51"/>
        <v>0</v>
      </c>
      <c r="L47" s="418">
        <f>IF(L444=0,0,(L444/$O444))</f>
        <v>0</v>
      </c>
      <c r="M47" s="418">
        <f t="shared" si="51"/>
        <v>0</v>
      </c>
      <c r="N47" s="418">
        <f t="shared" si="51"/>
        <v>0</v>
      </c>
      <c r="O47" s="272">
        <f t="shared" si="51"/>
        <v>1</v>
      </c>
      <c r="P47" s="528"/>
    </row>
    <row r="48" spans="1:16" ht="15.75" x14ac:dyDescent="0.25">
      <c r="A48" s="256" t="s">
        <v>779</v>
      </c>
      <c r="B48" s="65"/>
      <c r="C48" s="272">
        <f>IF(C445=0,0,(C445/$O445))</f>
        <v>0</v>
      </c>
      <c r="D48" s="272">
        <f t="shared" ref="D48:O48" si="52">IF(D445=0,0,(D445/$O445))</f>
        <v>0</v>
      </c>
      <c r="E48" s="272">
        <f t="shared" si="52"/>
        <v>0</v>
      </c>
      <c r="F48" s="272">
        <f t="shared" si="52"/>
        <v>3.2258064516129031E-2</v>
      </c>
      <c r="G48" s="272">
        <f t="shared" si="52"/>
        <v>0.24731182795698925</v>
      </c>
      <c r="H48" s="272">
        <f t="shared" si="52"/>
        <v>0.20430107526881722</v>
      </c>
      <c r="I48" s="272">
        <f t="shared" si="52"/>
        <v>9.6774193548387094E-2</v>
      </c>
      <c r="J48" s="272">
        <f t="shared" si="52"/>
        <v>0.20430107526881722</v>
      </c>
      <c r="K48" s="656">
        <f t="shared" si="52"/>
        <v>0.21505376344086022</v>
      </c>
      <c r="L48" s="418">
        <f>IF(L445=0,0,(L445/$O445))</f>
        <v>0</v>
      </c>
      <c r="M48" s="418">
        <f t="shared" si="52"/>
        <v>0</v>
      </c>
      <c r="N48" s="418">
        <f t="shared" si="52"/>
        <v>0</v>
      </c>
      <c r="O48" s="272">
        <f t="shared" si="52"/>
        <v>1</v>
      </c>
      <c r="P48" s="528"/>
    </row>
    <row r="49" spans="1:17" ht="15.75" x14ac:dyDescent="0.25">
      <c r="A49" s="256" t="s">
        <v>320</v>
      </c>
      <c r="B49" s="65"/>
      <c r="C49" s="272">
        <f>IF(C452=0,0,(C452/$O452))</f>
        <v>8.8068181818181823E-2</v>
      </c>
      <c r="D49" s="272">
        <f t="shared" ref="D49:O49" si="53">IF(D452=0,0,(D452/$O452))</f>
        <v>6.5340909090909088E-2</v>
      </c>
      <c r="E49" s="272">
        <f t="shared" si="53"/>
        <v>3.125E-2</v>
      </c>
      <c r="F49" s="272">
        <f t="shared" si="53"/>
        <v>9.6590909090909088E-2</v>
      </c>
      <c r="G49" s="272">
        <f t="shared" si="53"/>
        <v>0.11363636363636363</v>
      </c>
      <c r="H49" s="272">
        <f t="shared" si="53"/>
        <v>0.11363636363636363</v>
      </c>
      <c r="I49" s="272">
        <f t="shared" si="53"/>
        <v>3.4090909090909088E-2</v>
      </c>
      <c r="J49" s="272">
        <f t="shared" si="53"/>
        <v>4.8295454545454544E-2</v>
      </c>
      <c r="K49" s="656">
        <f t="shared" si="53"/>
        <v>9.6590909090909088E-2</v>
      </c>
      <c r="L49" s="418">
        <f>IF(L452=0,0,(L452/$O452))</f>
        <v>0.17329545454545456</v>
      </c>
      <c r="M49" s="418">
        <f t="shared" si="53"/>
        <v>6.5340909090909088E-2</v>
      </c>
      <c r="N49" s="418">
        <f t="shared" si="53"/>
        <v>7.3863636363636367E-2</v>
      </c>
      <c r="O49" s="272">
        <f t="shared" si="53"/>
        <v>1</v>
      </c>
      <c r="P49" s="528"/>
    </row>
    <row r="50" spans="1:17" ht="15.75" x14ac:dyDescent="0.25">
      <c r="A50" s="256" t="s">
        <v>781</v>
      </c>
      <c r="B50" s="65"/>
      <c r="C50" s="272">
        <f>IF(C448=0,0,(C448/$O448))</f>
        <v>0</v>
      </c>
      <c r="D50" s="272">
        <f t="shared" ref="D50:O50" si="54">IF(D448=0,0,(D448/$O448))</f>
        <v>0</v>
      </c>
      <c r="E50" s="272">
        <f t="shared" si="54"/>
        <v>0</v>
      </c>
      <c r="F50" s="272">
        <f t="shared" si="54"/>
        <v>0</v>
      </c>
      <c r="G50" s="272">
        <f t="shared" si="54"/>
        <v>0</v>
      </c>
      <c r="H50" s="272">
        <f t="shared" si="54"/>
        <v>0</v>
      </c>
      <c r="I50" s="272">
        <f t="shared" si="54"/>
        <v>0</v>
      </c>
      <c r="J50" s="272">
        <f t="shared" si="54"/>
        <v>0</v>
      </c>
      <c r="K50" s="656">
        <f t="shared" si="54"/>
        <v>0</v>
      </c>
      <c r="L50" s="418">
        <f>IF(L448=0,0,(L448/$O448))</f>
        <v>0</v>
      </c>
      <c r="M50" s="418">
        <f t="shared" si="54"/>
        <v>0</v>
      </c>
      <c r="N50" s="418">
        <f t="shared" si="54"/>
        <v>0</v>
      </c>
      <c r="O50" s="272">
        <f t="shared" si="54"/>
        <v>0</v>
      </c>
      <c r="P50" s="528"/>
    </row>
    <row r="51" spans="1:17" ht="15.75" x14ac:dyDescent="0.25">
      <c r="A51" s="256" t="s">
        <v>782</v>
      </c>
      <c r="B51" s="65"/>
      <c r="C51" s="272">
        <f>IF(C449=0,0,(C449/$O449))</f>
        <v>0.10220264317180616</v>
      </c>
      <c r="D51" s="272">
        <f t="shared" ref="D51:O51" si="55">IF(D449=0,0,(D449/$O449))</f>
        <v>0.11806167400881057</v>
      </c>
      <c r="E51" s="272">
        <f t="shared" si="55"/>
        <v>6.9603524229074884E-2</v>
      </c>
      <c r="F51" s="272">
        <f t="shared" si="55"/>
        <v>9.4273127753303959E-2</v>
      </c>
      <c r="G51" s="272">
        <f t="shared" si="55"/>
        <v>6.7841409691629953E-2</v>
      </c>
      <c r="H51" s="272">
        <f t="shared" si="55"/>
        <v>7.4889867841409691E-2</v>
      </c>
      <c r="I51" s="272">
        <f t="shared" si="55"/>
        <v>5.8149779735682819E-2</v>
      </c>
      <c r="J51" s="272">
        <f t="shared" si="55"/>
        <v>5.7268722466960353E-2</v>
      </c>
      <c r="K51" s="656">
        <f t="shared" si="55"/>
        <v>5.7268722466960353E-2</v>
      </c>
      <c r="L51" s="418">
        <f>IF(L449=0,0,(L449/$O449))</f>
        <v>8.9867841409691632E-2</v>
      </c>
      <c r="M51" s="418">
        <f t="shared" si="55"/>
        <v>0.11629955947136564</v>
      </c>
      <c r="N51" s="418">
        <f t="shared" si="55"/>
        <v>9.4273127753303959E-2</v>
      </c>
      <c r="O51" s="272">
        <f t="shared" si="55"/>
        <v>1</v>
      </c>
      <c r="P51" s="528"/>
    </row>
    <row r="52" spans="1:17" ht="15.75" x14ac:dyDescent="0.25">
      <c r="A52" s="256" t="s">
        <v>784</v>
      </c>
      <c r="B52" s="65"/>
      <c r="C52" s="272">
        <f>IF(C426=0,0,(C426/$O426))</f>
        <v>7.332731222691434E-2</v>
      </c>
      <c r="D52" s="272">
        <f t="shared" ref="D52:O52" si="56">IF(D426=0,0,(D426/$O426))</f>
        <v>8.1406986110772087E-2</v>
      </c>
      <c r="E52" s="704">
        <f t="shared" si="56"/>
        <v>5.1211951082578658E-2</v>
      </c>
      <c r="F52" s="272">
        <f t="shared" si="56"/>
        <v>9.4978885444382058E-2</v>
      </c>
      <c r="G52" s="272">
        <f t="shared" si="56"/>
        <v>8.0625869602362871E-2</v>
      </c>
      <c r="H52" s="272">
        <f t="shared" si="56"/>
        <v>8.980398857617107E-2</v>
      </c>
      <c r="I52" s="704">
        <f t="shared" si="56"/>
        <v>4.5036248687968364E-2</v>
      </c>
      <c r="J52" s="272">
        <f t="shared" si="56"/>
        <v>5.780262162228135E-2</v>
      </c>
      <c r="K52" s="656">
        <f t="shared" si="56"/>
        <v>0.1000805526399297</v>
      </c>
      <c r="L52" s="418">
        <f>IF(L426=0,0,(L426/$O426))</f>
        <v>7.8184880513584104E-2</v>
      </c>
      <c r="M52" s="704">
        <f t="shared" si="56"/>
        <v>0.12644323479874045</v>
      </c>
      <c r="N52" s="704">
        <f t="shared" si="56"/>
        <v>0.12109746869431494</v>
      </c>
      <c r="O52" s="272">
        <f t="shared" si="56"/>
        <v>1</v>
      </c>
      <c r="P52" s="528"/>
      <c r="Q52" s="704">
        <f>M52+N52</f>
        <v>0.2475407034930554</v>
      </c>
    </row>
    <row r="53" spans="1:17" ht="15.75" x14ac:dyDescent="0.25">
      <c r="A53" s="256" t="s">
        <v>785</v>
      </c>
      <c r="B53" s="65"/>
      <c r="C53" s="272">
        <f>IF(C427=0,0,(C427/$O427))</f>
        <v>7.8131459280694496E-2</v>
      </c>
      <c r="D53" s="272">
        <f t="shared" ref="D53:O53" si="57">IF(D427=0,0,(D427/$O427))</f>
        <v>7.1103761885076472E-2</v>
      </c>
      <c r="E53" s="272">
        <f t="shared" si="57"/>
        <v>8.6192641587432825E-2</v>
      </c>
      <c r="F53" s="272">
        <f t="shared" si="57"/>
        <v>9.9007854485324509E-2</v>
      </c>
      <c r="G53" s="272">
        <f t="shared" si="57"/>
        <v>0.10024803637866887</v>
      </c>
      <c r="H53" s="272">
        <f t="shared" si="57"/>
        <v>7.2550640760644894E-2</v>
      </c>
      <c r="I53" s="272">
        <f t="shared" si="57"/>
        <v>9.3840429929723024E-2</v>
      </c>
      <c r="J53" s="272">
        <f t="shared" si="57"/>
        <v>8.3092186854071937E-2</v>
      </c>
      <c r="K53" s="656">
        <f t="shared" si="57"/>
        <v>9.2600248036378674E-2</v>
      </c>
      <c r="L53" s="418">
        <f>IF(L427=0,0,(L427/$O427))</f>
        <v>7.1310458867300544E-2</v>
      </c>
      <c r="M53" s="418">
        <f t="shared" si="57"/>
        <v>7.2757337742868952E-2</v>
      </c>
      <c r="N53" s="418">
        <f t="shared" si="57"/>
        <v>7.9164944191814801E-2</v>
      </c>
      <c r="O53" s="272">
        <f t="shared" si="57"/>
        <v>1</v>
      </c>
      <c r="P53" s="528"/>
    </row>
    <row r="54" spans="1:17" ht="15.75" x14ac:dyDescent="0.25">
      <c r="A54" s="256" t="s">
        <v>787</v>
      </c>
      <c r="B54" s="65"/>
      <c r="C54" s="272">
        <f>IF(C414=0,0,(C414/$O414))</f>
        <v>0.10714285714285714</v>
      </c>
      <c r="D54" s="272">
        <f t="shared" ref="D54:O54" si="58">IF(D414=0,0,(D414/$O414))</f>
        <v>0.125</v>
      </c>
      <c r="E54" s="272">
        <f t="shared" si="58"/>
        <v>0.10714285714285714</v>
      </c>
      <c r="F54" s="272">
        <f t="shared" si="58"/>
        <v>7.1428571428571425E-2</v>
      </c>
      <c r="G54" s="272">
        <f t="shared" si="58"/>
        <v>1.7857142857142856E-2</v>
      </c>
      <c r="H54" s="272">
        <f t="shared" si="58"/>
        <v>8.9285714285714288E-2</v>
      </c>
      <c r="I54" s="272">
        <f t="shared" si="58"/>
        <v>8.0357142857142863E-2</v>
      </c>
      <c r="J54" s="272">
        <f t="shared" si="58"/>
        <v>8.9285714285714281E-3</v>
      </c>
      <c r="K54" s="656">
        <f t="shared" si="58"/>
        <v>0.11607142857142858</v>
      </c>
      <c r="L54" s="418">
        <f>IF(L414=0,0,(L414/$O414))</f>
        <v>8.9285714285714288E-2</v>
      </c>
      <c r="M54" s="418">
        <f t="shared" si="58"/>
        <v>0.13392857142857142</v>
      </c>
      <c r="N54" s="418">
        <f t="shared" si="58"/>
        <v>5.3571428571428568E-2</v>
      </c>
      <c r="O54" s="272">
        <f t="shared" si="58"/>
        <v>1</v>
      </c>
      <c r="P54" s="528"/>
    </row>
    <row r="55" spans="1:17" ht="15.75" x14ac:dyDescent="0.25">
      <c r="A55" s="265" t="s">
        <v>788</v>
      </c>
      <c r="B55" s="65"/>
      <c r="C55" s="272">
        <f>IF(C415=0,0,(C415/$O415))</f>
        <v>5.7692307692307696E-2</v>
      </c>
      <c r="D55" s="272">
        <f t="shared" ref="D55:O55" si="59">IF(D415=0,0,(D415/$O415))</f>
        <v>5.128205128205128E-2</v>
      </c>
      <c r="E55" s="272">
        <f t="shared" si="59"/>
        <v>7.0512820512820512E-2</v>
      </c>
      <c r="F55" s="272">
        <f t="shared" si="59"/>
        <v>0.10256410256410256</v>
      </c>
      <c r="G55" s="272">
        <f t="shared" si="59"/>
        <v>7.6923076923076927E-2</v>
      </c>
      <c r="H55" s="272">
        <f t="shared" si="59"/>
        <v>8.9743589743589744E-2</v>
      </c>
      <c r="I55" s="272">
        <f t="shared" si="59"/>
        <v>8.9743589743589744E-2</v>
      </c>
      <c r="J55" s="272">
        <f t="shared" si="59"/>
        <v>5.7692307692307696E-2</v>
      </c>
      <c r="K55" s="656">
        <f t="shared" si="59"/>
        <v>0.10897435897435898</v>
      </c>
      <c r="L55" s="418">
        <f>IF(L415=0,0,(L415/$O415))</f>
        <v>0.10256410256410256</v>
      </c>
      <c r="M55" s="418">
        <f t="shared" si="59"/>
        <v>0.10256410256410256</v>
      </c>
      <c r="N55" s="418">
        <f t="shared" si="59"/>
        <v>8.9743589743589744E-2</v>
      </c>
      <c r="O55" s="272">
        <f t="shared" si="59"/>
        <v>1</v>
      </c>
      <c r="P55" s="528"/>
    </row>
    <row r="56" spans="1:17" ht="15.75" x14ac:dyDescent="0.25">
      <c r="A56" s="256" t="s">
        <v>790</v>
      </c>
      <c r="B56" s="65"/>
      <c r="C56" s="272">
        <f>IF(C347=0,0,(C347/$O347))</f>
        <v>8.8071748878923772E-2</v>
      </c>
      <c r="D56" s="272">
        <f t="shared" ref="D56:O56" si="60">IF(D347=0,0,(D347/$O347))</f>
        <v>4.9327354260089683E-2</v>
      </c>
      <c r="E56" s="272">
        <f t="shared" si="60"/>
        <v>6.8878923766816147E-2</v>
      </c>
      <c r="F56" s="272">
        <f t="shared" si="60"/>
        <v>7.3542600896860988E-2</v>
      </c>
      <c r="G56" s="272">
        <f t="shared" si="60"/>
        <v>6.6547085201793726E-2</v>
      </c>
      <c r="H56" s="272">
        <f t="shared" si="60"/>
        <v>9.8116591928251118E-2</v>
      </c>
      <c r="I56" s="272">
        <f t="shared" si="60"/>
        <v>6.8520179372197315E-2</v>
      </c>
      <c r="J56" s="272">
        <f t="shared" si="60"/>
        <v>7.6412556053811656E-2</v>
      </c>
      <c r="K56" s="656">
        <f t="shared" si="60"/>
        <v>8.4484304932735427E-2</v>
      </c>
      <c r="L56" s="418">
        <f t="shared" si="60"/>
        <v>0.12860986547085201</v>
      </c>
      <c r="M56" s="418">
        <f t="shared" si="60"/>
        <v>9.3273542600896861E-2</v>
      </c>
      <c r="N56" s="418">
        <f t="shared" si="60"/>
        <v>0.1042152466367713</v>
      </c>
      <c r="O56" s="272">
        <f t="shared" si="60"/>
        <v>1</v>
      </c>
      <c r="P56" s="528"/>
    </row>
    <row r="57" spans="1:17" ht="15.75" x14ac:dyDescent="0.25">
      <c r="A57" s="256" t="s">
        <v>791</v>
      </c>
      <c r="B57" s="65"/>
      <c r="C57" s="272">
        <f>IF(C348=0,0,(C348/$O348))</f>
        <v>8.029717077142276E-2</v>
      </c>
      <c r="D57" s="272">
        <f t="shared" ref="D57:O57" si="61">IF(D348=0,0,(D348/$O348))</f>
        <v>8.4876857317321391E-2</v>
      </c>
      <c r="E57" s="272">
        <f t="shared" si="61"/>
        <v>7.6836963158966015E-2</v>
      </c>
      <c r="F57" s="272">
        <f t="shared" si="61"/>
        <v>9.2916751475676782E-2</v>
      </c>
      <c r="G57" s="272">
        <f t="shared" si="61"/>
        <v>7.8465296153063302E-2</v>
      </c>
      <c r="H57" s="272">
        <f t="shared" si="61"/>
        <v>8.4673315693059234E-2</v>
      </c>
      <c r="I57" s="272">
        <f t="shared" si="61"/>
        <v>7.775290046814573E-2</v>
      </c>
      <c r="J57" s="272">
        <f t="shared" si="61"/>
        <v>8.3757378383879505E-2</v>
      </c>
      <c r="K57" s="656">
        <f t="shared" si="61"/>
        <v>9.3832688784856497E-2</v>
      </c>
      <c r="L57" s="418">
        <f t="shared" si="61"/>
        <v>6.981477712192144E-2</v>
      </c>
      <c r="M57" s="418">
        <f t="shared" si="61"/>
        <v>9.4036230409118668E-2</v>
      </c>
      <c r="N57" s="418">
        <f t="shared" si="61"/>
        <v>8.273967026256869E-2</v>
      </c>
      <c r="O57" s="272">
        <f t="shared" si="61"/>
        <v>1</v>
      </c>
      <c r="P57" s="528"/>
    </row>
    <row r="58" spans="1:17" ht="15.75" x14ac:dyDescent="0.25">
      <c r="A58" s="256" t="s">
        <v>793</v>
      </c>
      <c r="B58" s="65"/>
      <c r="C58" s="272">
        <f>IF(C355=0,0,(C355/$O355))</f>
        <v>0</v>
      </c>
      <c r="D58" s="272">
        <f t="shared" ref="D58:O58" si="62">IF(D355=0,0,(D355/$O355))</f>
        <v>0</v>
      </c>
      <c r="E58" s="272">
        <f t="shared" si="62"/>
        <v>0</v>
      </c>
      <c r="F58" s="272">
        <f t="shared" si="62"/>
        <v>0</v>
      </c>
      <c r="G58" s="272">
        <f t="shared" si="62"/>
        <v>0</v>
      </c>
      <c r="H58" s="272">
        <f t="shared" si="62"/>
        <v>0</v>
      </c>
      <c r="I58" s="272">
        <f t="shared" si="62"/>
        <v>0</v>
      </c>
      <c r="J58" s="272">
        <f t="shared" si="62"/>
        <v>0</v>
      </c>
      <c r="K58" s="656">
        <f t="shared" si="62"/>
        <v>0</v>
      </c>
      <c r="L58" s="418">
        <f t="shared" si="62"/>
        <v>0</v>
      </c>
      <c r="M58" s="418">
        <f t="shared" si="62"/>
        <v>0</v>
      </c>
      <c r="N58" s="418">
        <f t="shared" si="62"/>
        <v>0</v>
      </c>
      <c r="O58" s="272">
        <f t="shared" si="62"/>
        <v>0</v>
      </c>
      <c r="P58" s="528"/>
    </row>
    <row r="59" spans="1:17" ht="15.75" x14ac:dyDescent="0.25">
      <c r="A59" s="256" t="s">
        <v>794</v>
      </c>
      <c r="B59" s="65"/>
      <c r="C59" s="272">
        <f>IF(C356=0,0,(C356/$O356))</f>
        <v>0</v>
      </c>
      <c r="D59" s="272">
        <f t="shared" ref="D59:O59" si="63">IF(D356=0,0,(D356/$O356))</f>
        <v>0</v>
      </c>
      <c r="E59" s="272">
        <f t="shared" si="63"/>
        <v>0</v>
      </c>
      <c r="F59" s="272">
        <f t="shared" si="63"/>
        <v>0</v>
      </c>
      <c r="G59" s="272">
        <f t="shared" si="63"/>
        <v>0</v>
      </c>
      <c r="H59" s="272">
        <f t="shared" si="63"/>
        <v>0</v>
      </c>
      <c r="I59" s="272">
        <f t="shared" si="63"/>
        <v>0</v>
      </c>
      <c r="J59" s="272">
        <f t="shared" si="63"/>
        <v>0</v>
      </c>
      <c r="K59" s="656">
        <f t="shared" si="63"/>
        <v>0</v>
      </c>
      <c r="L59" s="418">
        <f t="shared" si="63"/>
        <v>0</v>
      </c>
      <c r="M59" s="418">
        <f t="shared" si="63"/>
        <v>0</v>
      </c>
      <c r="N59" s="418">
        <f t="shared" si="63"/>
        <v>0</v>
      </c>
      <c r="O59" s="272">
        <f t="shared" si="63"/>
        <v>0</v>
      </c>
      <c r="P59" s="528"/>
    </row>
    <row r="60" spans="1:17" ht="15.75" x14ac:dyDescent="0.25">
      <c r="A60" s="256" t="s">
        <v>796</v>
      </c>
      <c r="B60" s="65"/>
      <c r="C60" s="272">
        <f>IF(C351=0,0,(C351/$O351))</f>
        <v>0</v>
      </c>
      <c r="D60" s="272">
        <f t="shared" ref="D60:O60" si="64">IF(D351=0,0,(D351/$O351))</f>
        <v>0.41666666666666669</v>
      </c>
      <c r="E60" s="272">
        <f t="shared" si="64"/>
        <v>0.16666666666666666</v>
      </c>
      <c r="F60" s="272">
        <f t="shared" si="64"/>
        <v>0</v>
      </c>
      <c r="G60" s="272">
        <f t="shared" si="64"/>
        <v>8.3333333333333329E-2</v>
      </c>
      <c r="H60" s="272">
        <f t="shared" si="64"/>
        <v>0</v>
      </c>
      <c r="I60" s="272">
        <f t="shared" si="64"/>
        <v>8.3333333333333329E-2</v>
      </c>
      <c r="J60" s="272">
        <f t="shared" si="64"/>
        <v>0</v>
      </c>
      <c r="K60" s="656">
        <f t="shared" si="64"/>
        <v>0</v>
      </c>
      <c r="L60" s="418">
        <f t="shared" si="64"/>
        <v>8.3333333333333329E-2</v>
      </c>
      <c r="M60" s="418">
        <f t="shared" si="64"/>
        <v>0</v>
      </c>
      <c r="N60" s="418">
        <f t="shared" si="64"/>
        <v>0.16666666666666666</v>
      </c>
      <c r="O60" s="272">
        <f t="shared" si="64"/>
        <v>1</v>
      </c>
      <c r="P60" s="528"/>
    </row>
    <row r="61" spans="1:17" ht="15.75" x14ac:dyDescent="0.25">
      <c r="A61" s="256" t="s">
        <v>797</v>
      </c>
      <c r="B61" s="65"/>
      <c r="C61" s="272">
        <f>IF(C352=0,0,(C352/$O352))</f>
        <v>0.23529411764705882</v>
      </c>
      <c r="D61" s="272">
        <f t="shared" ref="D61:O61" si="65">IF(D352=0,0,(D352/$O352))</f>
        <v>0.17647058823529413</v>
      </c>
      <c r="E61" s="272">
        <f t="shared" si="65"/>
        <v>0</v>
      </c>
      <c r="F61" s="272">
        <f t="shared" si="65"/>
        <v>0</v>
      </c>
      <c r="G61" s="272">
        <f t="shared" si="65"/>
        <v>0</v>
      </c>
      <c r="H61" s="272">
        <f t="shared" si="65"/>
        <v>0</v>
      </c>
      <c r="I61" s="272">
        <f t="shared" si="65"/>
        <v>0</v>
      </c>
      <c r="J61" s="272">
        <f t="shared" si="65"/>
        <v>5.8823529411764705E-2</v>
      </c>
      <c r="K61" s="656">
        <f t="shared" si="65"/>
        <v>0.17647058823529413</v>
      </c>
      <c r="L61" s="418">
        <f t="shared" si="65"/>
        <v>0</v>
      </c>
      <c r="M61" s="418">
        <f t="shared" si="65"/>
        <v>0.17647058823529413</v>
      </c>
      <c r="N61" s="418">
        <f t="shared" si="65"/>
        <v>0.17647058823529413</v>
      </c>
      <c r="O61" s="272">
        <f t="shared" si="65"/>
        <v>1</v>
      </c>
      <c r="P61" s="528"/>
    </row>
    <row r="62" spans="1:17" ht="15.75" x14ac:dyDescent="0.25">
      <c r="A62" s="266" t="s">
        <v>799</v>
      </c>
      <c r="B62" s="65"/>
      <c r="C62" s="272">
        <f>IF(C454=0,0,(C454/$O454))</f>
        <v>0</v>
      </c>
      <c r="D62" s="272">
        <f t="shared" ref="D62:O62" si="66">IF(D454=0,0,(D454/$O454))</f>
        <v>0</v>
      </c>
      <c r="E62" s="272">
        <f t="shared" si="66"/>
        <v>0</v>
      </c>
      <c r="F62" s="272">
        <f t="shared" si="66"/>
        <v>0</v>
      </c>
      <c r="G62" s="272">
        <f t="shared" si="66"/>
        <v>0</v>
      </c>
      <c r="H62" s="272">
        <f t="shared" si="66"/>
        <v>0</v>
      </c>
      <c r="I62" s="272">
        <f t="shared" si="66"/>
        <v>0</v>
      </c>
      <c r="J62" s="272">
        <f t="shared" si="66"/>
        <v>0</v>
      </c>
      <c r="K62" s="656">
        <f t="shared" si="66"/>
        <v>0</v>
      </c>
      <c r="L62" s="418">
        <f>IF(L454=0,0,(L454/$O454))</f>
        <v>0</v>
      </c>
      <c r="M62" s="418">
        <f t="shared" si="66"/>
        <v>0</v>
      </c>
      <c r="N62" s="418">
        <f t="shared" si="66"/>
        <v>0</v>
      </c>
      <c r="O62" s="272">
        <f t="shared" si="66"/>
        <v>0</v>
      </c>
      <c r="P62" s="528"/>
    </row>
    <row r="63" spans="1:17" ht="15.75" x14ac:dyDescent="0.25">
      <c r="A63" s="266" t="s">
        <v>800</v>
      </c>
      <c r="B63" s="65"/>
      <c r="C63" s="272">
        <f>IF(C455=0,0,(C455/$O455))</f>
        <v>0.14233576642335766</v>
      </c>
      <c r="D63" s="272">
        <f t="shared" ref="D63:O63" si="67">IF(D455=0,0,(D455/$O455))</f>
        <v>0.145985401459854</v>
      </c>
      <c r="E63" s="272">
        <f t="shared" si="67"/>
        <v>9.8540145985401464E-2</v>
      </c>
      <c r="F63" s="272">
        <f t="shared" si="67"/>
        <v>0.10948905109489052</v>
      </c>
      <c r="G63" s="272">
        <f t="shared" si="67"/>
        <v>2.1897810218978103E-2</v>
      </c>
      <c r="H63" s="272">
        <f t="shared" si="67"/>
        <v>7.2992700729927005E-3</v>
      </c>
      <c r="I63" s="272">
        <f t="shared" si="67"/>
        <v>0</v>
      </c>
      <c r="J63" s="272">
        <f t="shared" si="67"/>
        <v>0</v>
      </c>
      <c r="K63" s="656">
        <f t="shared" si="67"/>
        <v>0</v>
      </c>
      <c r="L63" s="418">
        <f>IF(L455=0,0,(L455/$O455))</f>
        <v>0.145985401459854</v>
      </c>
      <c r="M63" s="418">
        <f t="shared" si="67"/>
        <v>0.17153284671532848</v>
      </c>
      <c r="N63" s="418">
        <f t="shared" si="67"/>
        <v>0.15693430656934307</v>
      </c>
      <c r="O63" s="272">
        <f t="shared" si="67"/>
        <v>1</v>
      </c>
      <c r="P63" s="528"/>
    </row>
    <row r="64" spans="1:17" ht="15.75" x14ac:dyDescent="0.25">
      <c r="A64" s="256" t="s">
        <v>802</v>
      </c>
      <c r="B64" s="65"/>
      <c r="C64" s="272">
        <f t="shared" ref="C64:C66" si="68">IF(C318=0,0,(C318/$O318))</f>
        <v>8.2009818076812013E-2</v>
      </c>
      <c r="D64" s="272">
        <f t="shared" ref="D64:O64" si="69">IF(D318=0,0,(D318/$O318))</f>
        <v>7.8688997978631242E-2</v>
      </c>
      <c r="E64" s="272">
        <f t="shared" si="69"/>
        <v>8.1432284146693623E-2</v>
      </c>
      <c r="F64" s="272">
        <f t="shared" si="69"/>
        <v>8.3164885937048807E-2</v>
      </c>
      <c r="G64" s="272">
        <f t="shared" si="69"/>
        <v>8.0132832803927231E-2</v>
      </c>
      <c r="H64" s="272">
        <f t="shared" si="69"/>
        <v>8.8218307825584749E-2</v>
      </c>
      <c r="I64" s="272">
        <f t="shared" si="69"/>
        <v>8.5186254692463187E-2</v>
      </c>
      <c r="J64" s="272">
        <f t="shared" si="69"/>
        <v>9.153912792376552E-2</v>
      </c>
      <c r="K64" s="656">
        <f t="shared" si="69"/>
        <v>8.1432284146693623E-2</v>
      </c>
      <c r="L64" s="418">
        <f t="shared" si="69"/>
        <v>7.738954663586485E-2</v>
      </c>
      <c r="M64" s="418">
        <f t="shared" si="69"/>
        <v>8.3164885937048807E-2</v>
      </c>
      <c r="N64" s="418">
        <f t="shared" si="69"/>
        <v>8.7640773895466359E-2</v>
      </c>
      <c r="O64" s="272">
        <f t="shared" si="69"/>
        <v>1</v>
      </c>
      <c r="P64" s="528"/>
    </row>
    <row r="65" spans="1:16" ht="15.75" x14ac:dyDescent="0.25">
      <c r="A65" s="256" t="s">
        <v>968</v>
      </c>
      <c r="B65" s="65"/>
      <c r="C65" s="272">
        <f t="shared" si="68"/>
        <v>6.5292096219931275E-2</v>
      </c>
      <c r="D65" s="272">
        <f t="shared" ref="D65:O65" si="70">IF(D319=0,0,(D319/$O319))</f>
        <v>6.8728522336769765E-2</v>
      </c>
      <c r="E65" s="272">
        <f t="shared" si="70"/>
        <v>8.247422680412371E-2</v>
      </c>
      <c r="F65" s="272">
        <f t="shared" si="70"/>
        <v>9.6219931271477668E-2</v>
      </c>
      <c r="G65" s="272">
        <f t="shared" si="70"/>
        <v>8.5910652920962199E-2</v>
      </c>
      <c r="H65" s="272">
        <f t="shared" si="70"/>
        <v>0.1134020618556701</v>
      </c>
      <c r="I65" s="272">
        <f t="shared" si="70"/>
        <v>7.560137457044673E-2</v>
      </c>
      <c r="J65" s="272">
        <f t="shared" si="70"/>
        <v>5.1546391752577317E-2</v>
      </c>
      <c r="K65" s="656">
        <f t="shared" si="70"/>
        <v>8.5910652920962199E-2</v>
      </c>
      <c r="L65" s="418">
        <f t="shared" si="70"/>
        <v>6.1855670103092786E-2</v>
      </c>
      <c r="M65" s="418">
        <f t="shared" si="70"/>
        <v>0.11683848797250859</v>
      </c>
      <c r="N65" s="418">
        <f t="shared" si="70"/>
        <v>9.6219931271477668E-2</v>
      </c>
      <c r="O65" s="272">
        <f t="shared" si="70"/>
        <v>1</v>
      </c>
      <c r="P65" s="528"/>
    </row>
    <row r="66" spans="1:16" ht="15.75" x14ac:dyDescent="0.25">
      <c r="A66" s="256" t="s">
        <v>967</v>
      </c>
      <c r="B66" s="65"/>
      <c r="C66" s="272">
        <f t="shared" si="68"/>
        <v>5.0505050505050504E-2</v>
      </c>
      <c r="D66" s="272">
        <f t="shared" ref="D66:O66" si="71">IF(D320=0,0,(D320/$O320))</f>
        <v>8.0808080808080815E-2</v>
      </c>
      <c r="E66" s="272">
        <f t="shared" si="71"/>
        <v>9.0909090909090912E-2</v>
      </c>
      <c r="F66" s="272">
        <f t="shared" si="71"/>
        <v>9.0909090909090912E-2</v>
      </c>
      <c r="G66" s="272">
        <f t="shared" si="71"/>
        <v>0.1111111111111111</v>
      </c>
      <c r="H66" s="272">
        <f t="shared" si="71"/>
        <v>5.0505050505050504E-2</v>
      </c>
      <c r="I66" s="272">
        <f t="shared" si="71"/>
        <v>0.12121212121212122</v>
      </c>
      <c r="J66" s="272">
        <f t="shared" si="71"/>
        <v>0.16161616161616163</v>
      </c>
      <c r="K66" s="656">
        <f t="shared" si="71"/>
        <v>9.0909090909090912E-2</v>
      </c>
      <c r="L66" s="418">
        <f t="shared" si="71"/>
        <v>5.0505050505050504E-2</v>
      </c>
      <c r="M66" s="418">
        <f t="shared" si="71"/>
        <v>6.0606060606060608E-2</v>
      </c>
      <c r="N66" s="418">
        <f t="shared" si="71"/>
        <v>4.0404040404040407E-2</v>
      </c>
      <c r="O66" s="272">
        <f t="shared" si="71"/>
        <v>1</v>
      </c>
      <c r="P66" s="528"/>
    </row>
    <row r="67" spans="1:16" ht="15.75" x14ac:dyDescent="0.25">
      <c r="A67" s="262" t="s">
        <v>805</v>
      </c>
      <c r="B67" s="65"/>
      <c r="C67" s="272">
        <f t="shared" ref="C67" si="72">IF(C146=0,0,(C146/$O146))</f>
        <v>6.1538461538461542E-2</v>
      </c>
      <c r="D67" s="272">
        <f t="shared" ref="D67:O67" si="73">IF(D146=0,0,(D146/$O146))</f>
        <v>7.6923076923076927E-2</v>
      </c>
      <c r="E67" s="272">
        <f t="shared" si="73"/>
        <v>0.08</v>
      </c>
      <c r="F67" s="272">
        <f t="shared" si="73"/>
        <v>8.9230769230769225E-2</v>
      </c>
      <c r="G67" s="272">
        <f t="shared" si="73"/>
        <v>7.8461538461538458E-2</v>
      </c>
      <c r="H67" s="272">
        <f t="shared" si="73"/>
        <v>9.3846153846153843E-2</v>
      </c>
      <c r="I67" s="272">
        <f t="shared" si="73"/>
        <v>0.08</v>
      </c>
      <c r="J67" s="272">
        <f t="shared" si="73"/>
        <v>6.4615384615384616E-2</v>
      </c>
      <c r="K67" s="656">
        <f t="shared" si="73"/>
        <v>8.7692307692307694E-2</v>
      </c>
      <c r="L67" s="418">
        <f t="shared" si="73"/>
        <v>8.9230769230769225E-2</v>
      </c>
      <c r="M67" s="418">
        <f t="shared" si="73"/>
        <v>0.11384615384615385</v>
      </c>
      <c r="N67" s="418">
        <f t="shared" si="73"/>
        <v>8.461538461538462E-2</v>
      </c>
      <c r="O67" s="272">
        <f t="shared" si="73"/>
        <v>1</v>
      </c>
      <c r="P67" s="528"/>
    </row>
    <row r="68" spans="1:16" ht="15.75" x14ac:dyDescent="0.25">
      <c r="A68" s="256" t="s">
        <v>806</v>
      </c>
      <c r="B68" s="65"/>
      <c r="C68" s="272">
        <f t="shared" ref="C68:O68" si="74">IF(C275=0,0,(C275/$O275))</f>
        <v>8.1613600628930819E-2</v>
      </c>
      <c r="D68" s="272">
        <f t="shared" si="74"/>
        <v>7.7338836477987422E-2</v>
      </c>
      <c r="E68" s="272">
        <f t="shared" si="74"/>
        <v>7.4145047169811323E-2</v>
      </c>
      <c r="F68" s="272">
        <f t="shared" si="74"/>
        <v>8.2792845911949686E-2</v>
      </c>
      <c r="G68" s="272">
        <f t="shared" si="74"/>
        <v>8.4463443396226412E-2</v>
      </c>
      <c r="H68" s="272">
        <f t="shared" si="74"/>
        <v>9.203026729559749E-2</v>
      </c>
      <c r="I68" s="272">
        <f t="shared" si="74"/>
        <v>8.524960691823899E-2</v>
      </c>
      <c r="J68" s="272">
        <f t="shared" si="74"/>
        <v>9.104756289308176E-2</v>
      </c>
      <c r="K68" s="656">
        <f t="shared" si="74"/>
        <v>8.2350628930817613E-2</v>
      </c>
      <c r="L68" s="418">
        <f t="shared" si="74"/>
        <v>7.4095911949685539E-2</v>
      </c>
      <c r="M68" s="418">
        <f t="shared" si="74"/>
        <v>8.6084905660377353E-2</v>
      </c>
      <c r="N68" s="418">
        <f t="shared" si="74"/>
        <v>8.8787342767295593E-2</v>
      </c>
      <c r="O68" s="272">
        <f t="shared" si="74"/>
        <v>1</v>
      </c>
      <c r="P68" s="528"/>
    </row>
    <row r="69" spans="1:16" ht="15.75" x14ac:dyDescent="0.25">
      <c r="A69" s="256" t="s">
        <v>808</v>
      </c>
      <c r="B69" s="65"/>
      <c r="C69" s="272">
        <f t="shared" ref="C69:O69" si="75">IF(C88=0,0,(C88/$O88))</f>
        <v>7.3758153537380827E-2</v>
      </c>
      <c r="D69" s="272">
        <f t="shared" si="75"/>
        <v>6.7737079779227299E-2</v>
      </c>
      <c r="E69" s="272">
        <f t="shared" si="75"/>
        <v>6.8991470145509284E-2</v>
      </c>
      <c r="F69" s="272">
        <f t="shared" si="75"/>
        <v>6.9744104365278475E-2</v>
      </c>
      <c r="G69" s="272">
        <f t="shared" si="75"/>
        <v>8.1535373808329148E-2</v>
      </c>
      <c r="H69" s="272">
        <f t="shared" si="75"/>
        <v>0.10311088810837933</v>
      </c>
      <c r="I69" s="272">
        <f t="shared" si="75"/>
        <v>6.8238835925740093E-2</v>
      </c>
      <c r="J69" s="272">
        <f t="shared" si="75"/>
        <v>7.0245860511791269E-2</v>
      </c>
      <c r="K69" s="656">
        <f t="shared" si="75"/>
        <v>8.4545910687405926E-2</v>
      </c>
      <c r="L69" s="418">
        <f t="shared" si="75"/>
        <v>0.10938283993978926</v>
      </c>
      <c r="M69" s="418">
        <f t="shared" si="75"/>
        <v>0.10712493728048168</v>
      </c>
      <c r="N69" s="418">
        <f t="shared" si="75"/>
        <v>9.5584545910687407E-2</v>
      </c>
      <c r="O69" s="272">
        <f t="shared" si="75"/>
        <v>1</v>
      </c>
      <c r="P69" s="528"/>
    </row>
    <row r="70" spans="1:16" ht="15.75" x14ac:dyDescent="0.25">
      <c r="A70" s="256" t="s">
        <v>809</v>
      </c>
      <c r="B70" s="65"/>
      <c r="C70" s="272">
        <f t="shared" ref="C70:O70" si="76">IF(C471=0,0,(C471/$O471))</f>
        <v>7.6055833929849673E-2</v>
      </c>
      <c r="D70" s="272">
        <f t="shared" si="76"/>
        <v>8.0171796707229778E-2</v>
      </c>
      <c r="E70" s="272">
        <f t="shared" si="76"/>
        <v>7.4982104509663569E-2</v>
      </c>
      <c r="F70" s="272">
        <f t="shared" si="76"/>
        <v>9.0730136005726561E-2</v>
      </c>
      <c r="G70" s="272">
        <f t="shared" si="76"/>
        <v>8.5182534001431637E-2</v>
      </c>
      <c r="H70" s="272">
        <f t="shared" si="76"/>
        <v>8.9298496778811742E-2</v>
      </c>
      <c r="I70" s="272">
        <f t="shared" si="76"/>
        <v>7.9098067287043661E-2</v>
      </c>
      <c r="J70" s="272">
        <f t="shared" si="76"/>
        <v>8.8940586972083041E-2</v>
      </c>
      <c r="K70" s="656">
        <f t="shared" si="76"/>
        <v>8.1424481030780246E-2</v>
      </c>
      <c r="L70" s="418">
        <f>IF(L471=0,0,(L471/$O471))</f>
        <v>7.4266284896206153E-2</v>
      </c>
      <c r="M70" s="418">
        <f t="shared" si="76"/>
        <v>9.3414459556191834E-2</v>
      </c>
      <c r="N70" s="418">
        <f t="shared" si="76"/>
        <v>8.6435218324982105E-2</v>
      </c>
      <c r="O70" s="272">
        <f t="shared" si="76"/>
        <v>1</v>
      </c>
      <c r="P70" s="528"/>
    </row>
    <row r="71" spans="1:16" ht="15.75" x14ac:dyDescent="0.25">
      <c r="A71" s="256" t="s">
        <v>810</v>
      </c>
      <c r="B71" s="65"/>
      <c r="C71" s="272">
        <f>IF(C345=0,0,(C345/$O345))</f>
        <v>8.2674083230325504E-2</v>
      </c>
      <c r="D71" s="272">
        <f t="shared" ref="D71:O71" si="77">IF(D345=0,0,(D345/$O345))</f>
        <v>8.5280181293778332E-2</v>
      </c>
      <c r="E71" s="272">
        <f t="shared" si="77"/>
        <v>7.7441285537700869E-2</v>
      </c>
      <c r="F71" s="272">
        <f t="shared" si="77"/>
        <v>7.6163988463123194E-2</v>
      </c>
      <c r="G71" s="272">
        <f t="shared" si="77"/>
        <v>8.4857849196538937E-2</v>
      </c>
      <c r="H71" s="272">
        <f t="shared" si="77"/>
        <v>8.8071693448702096E-2</v>
      </c>
      <c r="I71" s="272">
        <f t="shared" si="77"/>
        <v>8.5681911825298718E-2</v>
      </c>
      <c r="J71" s="272">
        <f t="shared" si="77"/>
        <v>8.242686444169757E-2</v>
      </c>
      <c r="K71" s="656">
        <f t="shared" si="77"/>
        <v>7.23320972393902E-2</v>
      </c>
      <c r="L71" s="418">
        <f t="shared" si="77"/>
        <v>8.4198599093531112E-2</v>
      </c>
      <c r="M71" s="418">
        <f t="shared" si="77"/>
        <v>9.0512978986402967E-2</v>
      </c>
      <c r="N71" s="418">
        <f t="shared" si="77"/>
        <v>9.0358467243510501E-2</v>
      </c>
      <c r="O71" s="272">
        <f t="shared" si="77"/>
        <v>1</v>
      </c>
      <c r="P71" s="528"/>
    </row>
    <row r="72" spans="1:16" ht="15.75" x14ac:dyDescent="0.25">
      <c r="A72" s="256" t="s">
        <v>162</v>
      </c>
      <c r="B72" s="65"/>
      <c r="C72" s="272">
        <f t="shared" ref="C72:C74" si="78">IF(C287=0,0,(C287/$O287))</f>
        <v>7.9385403329065296E-2</v>
      </c>
      <c r="D72" s="272">
        <f t="shared" ref="D72:O72" si="79">IF(D287=0,0,(D287/$O287))</f>
        <v>7.950180421371203E-2</v>
      </c>
      <c r="E72" s="272">
        <f t="shared" si="79"/>
        <v>8.0083808636945641E-2</v>
      </c>
      <c r="F72" s="272">
        <f t="shared" si="79"/>
        <v>8.2644628099173556E-2</v>
      </c>
      <c r="G72" s="272">
        <f t="shared" si="79"/>
        <v>8.1480619252706318E-2</v>
      </c>
      <c r="H72" s="272">
        <f t="shared" si="79"/>
        <v>8.8115469677569544E-2</v>
      </c>
      <c r="I72" s="272">
        <f t="shared" si="79"/>
        <v>8.532184844604819E-2</v>
      </c>
      <c r="J72" s="272">
        <f t="shared" si="79"/>
        <v>9.0094284716563847E-2</v>
      </c>
      <c r="K72" s="656">
        <f t="shared" si="79"/>
        <v>8.2411826329880103E-2</v>
      </c>
      <c r="L72" s="418">
        <f t="shared" si="79"/>
        <v>7.6940984751484115E-2</v>
      </c>
      <c r="M72" s="418">
        <f t="shared" si="79"/>
        <v>8.7184262600395759E-2</v>
      </c>
      <c r="N72" s="418">
        <f t="shared" si="79"/>
        <v>8.6835059946455587E-2</v>
      </c>
      <c r="O72" s="272">
        <f t="shared" si="79"/>
        <v>1</v>
      </c>
      <c r="P72" s="528"/>
    </row>
    <row r="73" spans="1:16" ht="15.75" x14ac:dyDescent="0.25">
      <c r="A73" s="256" t="s">
        <v>164</v>
      </c>
      <c r="B73" s="65"/>
      <c r="C73" s="272">
        <f t="shared" si="78"/>
        <v>8.0719757190345423E-2</v>
      </c>
      <c r="D73" s="272">
        <f t="shared" ref="D73:O73" si="80">IF(D288=0,0,(D288/$O288))</f>
        <v>7.6817459170400351E-2</v>
      </c>
      <c r="E73" s="272">
        <f t="shared" si="80"/>
        <v>7.0385893915305683E-2</v>
      </c>
      <c r="F73" s="272">
        <f t="shared" si="80"/>
        <v>8.2526376644023708E-2</v>
      </c>
      <c r="G73" s="272">
        <f t="shared" si="80"/>
        <v>8.6211880329527382E-2</v>
      </c>
      <c r="H73" s="272">
        <f t="shared" si="80"/>
        <v>9.3655152478681891E-2</v>
      </c>
      <c r="I73" s="272">
        <f t="shared" si="80"/>
        <v>8.5489232548056071E-2</v>
      </c>
      <c r="J73" s="272">
        <f t="shared" si="80"/>
        <v>9.0620031796502382E-2</v>
      </c>
      <c r="K73" s="656">
        <f t="shared" si="80"/>
        <v>8.3032230091053622E-2</v>
      </c>
      <c r="L73" s="418">
        <f t="shared" si="80"/>
        <v>7.334874981933806E-2</v>
      </c>
      <c r="M73" s="418">
        <f t="shared" si="80"/>
        <v>8.8379823673941316E-2</v>
      </c>
      <c r="N73" s="418">
        <f t="shared" si="80"/>
        <v>8.8813412342824111E-2</v>
      </c>
      <c r="O73" s="272">
        <f t="shared" si="80"/>
        <v>1</v>
      </c>
      <c r="P73" s="528"/>
    </row>
    <row r="74" spans="1:16" ht="15.75" x14ac:dyDescent="0.25">
      <c r="A74" s="256" t="s">
        <v>166</v>
      </c>
      <c r="B74" s="65"/>
      <c r="C74" s="272">
        <f t="shared" si="78"/>
        <v>8.1660293180369659E-2</v>
      </c>
      <c r="D74" s="272">
        <f t="shared" ref="D74:O74" si="81">IF(D289=0,0,(D289/$O289))</f>
        <v>7.5924155513065653E-2</v>
      </c>
      <c r="E74" s="272">
        <f t="shared" si="81"/>
        <v>7.0427023581899298E-2</v>
      </c>
      <c r="F74" s="272">
        <f t="shared" si="81"/>
        <v>8.3094327597195664E-2</v>
      </c>
      <c r="G74" s="272">
        <f t="shared" si="81"/>
        <v>8.6281070745697894E-2</v>
      </c>
      <c r="H74" s="272">
        <f t="shared" si="81"/>
        <v>9.4486934353091134E-2</v>
      </c>
      <c r="I74" s="272">
        <f t="shared" si="81"/>
        <v>8.5564053537284898E-2</v>
      </c>
      <c r="J74" s="272">
        <f t="shared" si="81"/>
        <v>9.0981516889738684E-2</v>
      </c>
      <c r="K74" s="656">
        <f t="shared" si="81"/>
        <v>8.2695984703632888E-2</v>
      </c>
      <c r="L74" s="418">
        <f t="shared" si="81"/>
        <v>7.2578075207138298E-2</v>
      </c>
      <c r="M74" s="418">
        <f t="shared" si="81"/>
        <v>8.6679413639260669E-2</v>
      </c>
      <c r="N74" s="418">
        <f t="shared" si="81"/>
        <v>8.9627151051625234E-2</v>
      </c>
      <c r="O74" s="272">
        <f t="shared" si="81"/>
        <v>1</v>
      </c>
      <c r="P74" s="528"/>
    </row>
    <row r="75" spans="1:16" ht="15.75" x14ac:dyDescent="0.25">
      <c r="A75" s="263" t="s">
        <v>811</v>
      </c>
      <c r="B75" s="65"/>
      <c r="C75" s="272">
        <f>IF(C339=0,0,(C339/$O339))</f>
        <v>7.4328593996840442E-2</v>
      </c>
      <c r="D75" s="272">
        <f t="shared" ref="D75:O75" si="82">IF(D339=0,0,(D339/$O339))</f>
        <v>6.6034755134281198E-2</v>
      </c>
      <c r="E75" s="272">
        <f t="shared" si="82"/>
        <v>6.903633491311216E-2</v>
      </c>
      <c r="F75" s="272">
        <f t="shared" si="82"/>
        <v>6.8641390205371244E-2</v>
      </c>
      <c r="G75" s="272">
        <f t="shared" si="82"/>
        <v>8.2306477093206945E-2</v>
      </c>
      <c r="H75" s="272">
        <f t="shared" si="82"/>
        <v>9.9210110584518174E-2</v>
      </c>
      <c r="I75" s="272">
        <f t="shared" si="82"/>
        <v>7.3380726698262247E-2</v>
      </c>
      <c r="J75" s="272">
        <f t="shared" si="82"/>
        <v>7.3143759873617695E-2</v>
      </c>
      <c r="K75" s="656">
        <f t="shared" si="82"/>
        <v>8.6018957345971564E-2</v>
      </c>
      <c r="L75" s="418">
        <f t="shared" si="82"/>
        <v>0.10829383886255924</v>
      </c>
      <c r="M75" s="418">
        <f t="shared" si="82"/>
        <v>0.10339652448657188</v>
      </c>
      <c r="N75" s="418">
        <f t="shared" si="82"/>
        <v>9.6208530805687198E-2</v>
      </c>
      <c r="O75" s="272">
        <f t="shared" si="82"/>
        <v>1</v>
      </c>
      <c r="P75" s="528"/>
    </row>
    <row r="76" spans="1:16" ht="15.75" x14ac:dyDescent="0.25">
      <c r="A76" s="263" t="s">
        <v>812</v>
      </c>
      <c r="B76" s="65"/>
      <c r="C76" s="272">
        <f>IF(C340=0,0,(C340/$O340))</f>
        <v>8.6289004193617166E-2</v>
      </c>
      <c r="D76" s="272">
        <f t="shared" ref="D76:O76" si="83">IF(D340=0,0,(D340/$O340))</f>
        <v>9.1406638709218849E-2</v>
      </c>
      <c r="E76" s="272">
        <f t="shared" si="83"/>
        <v>7.7901769848603308E-2</v>
      </c>
      <c r="F76" s="272">
        <f t="shared" si="83"/>
        <v>8.2095387021110244E-2</v>
      </c>
      <c r="G76" s="272">
        <f t="shared" si="83"/>
        <v>7.8399317648731259E-2</v>
      </c>
      <c r="H76" s="272">
        <f t="shared" si="83"/>
        <v>8.7923804108323261E-2</v>
      </c>
      <c r="I76" s="272">
        <f t="shared" si="83"/>
        <v>8.2308621792593642E-2</v>
      </c>
      <c r="J76" s="272">
        <f t="shared" si="83"/>
        <v>6.7026796502949751E-2</v>
      </c>
      <c r="K76" s="656">
        <f t="shared" si="83"/>
        <v>8.1882152249626833E-2</v>
      </c>
      <c r="L76" s="418">
        <f t="shared" si="83"/>
        <v>8.2664013078399323E-2</v>
      </c>
      <c r="M76" s="418">
        <f t="shared" si="83"/>
        <v>9.1975264766507928E-2</v>
      </c>
      <c r="N76" s="418">
        <f t="shared" si="83"/>
        <v>9.0127230080318435E-2</v>
      </c>
      <c r="O76" s="272">
        <f t="shared" si="83"/>
        <v>1</v>
      </c>
      <c r="P76" s="528"/>
    </row>
    <row r="77" spans="1:16" ht="15.75" x14ac:dyDescent="0.25">
      <c r="A77" s="263" t="s">
        <v>973</v>
      </c>
      <c r="B77" s="525"/>
      <c r="C77" s="272">
        <f>IF(C337=0,0,(C337/$O337))</f>
        <v>7.5471698113207544E-2</v>
      </c>
      <c r="D77" s="272">
        <f t="shared" ref="D77:O77" si="84">IF(D337=0,0,(D337/$O337))</f>
        <v>0.10377358490566038</v>
      </c>
      <c r="E77" s="272">
        <f t="shared" si="84"/>
        <v>0.10377358490566038</v>
      </c>
      <c r="F77" s="272">
        <f t="shared" si="84"/>
        <v>0.10377358490566038</v>
      </c>
      <c r="G77" s="272">
        <f t="shared" si="84"/>
        <v>3.7735849056603772E-2</v>
      </c>
      <c r="H77" s="272">
        <f t="shared" si="84"/>
        <v>9.4339622641509441E-2</v>
      </c>
      <c r="I77" s="272">
        <f t="shared" si="84"/>
        <v>7.5471698113207544E-2</v>
      </c>
      <c r="J77" s="272">
        <f t="shared" si="84"/>
        <v>2.8301886792452831E-2</v>
      </c>
      <c r="K77" s="656">
        <f t="shared" si="84"/>
        <v>8.4905660377358486E-2</v>
      </c>
      <c r="L77" s="418">
        <f t="shared" si="84"/>
        <v>0.11320754716981132</v>
      </c>
      <c r="M77" s="418">
        <f t="shared" si="84"/>
        <v>0.12264150943396226</v>
      </c>
      <c r="N77" s="418">
        <f t="shared" si="84"/>
        <v>5.6603773584905662E-2</v>
      </c>
      <c r="O77" s="272">
        <f t="shared" si="84"/>
        <v>1</v>
      </c>
      <c r="P77" s="528"/>
    </row>
    <row r="78" spans="1:16" ht="15.75" x14ac:dyDescent="0.25">
      <c r="A78" s="528"/>
      <c r="B78" s="528"/>
      <c r="C78" s="528"/>
      <c r="D78" s="528"/>
      <c r="E78" s="528"/>
      <c r="F78" s="528"/>
      <c r="G78" s="528"/>
      <c r="H78" s="528"/>
      <c r="I78" s="528"/>
      <c r="J78" s="528"/>
      <c r="K78" s="657"/>
      <c r="L78" s="669"/>
      <c r="M78" s="669"/>
      <c r="N78" s="669"/>
      <c r="O78" s="528"/>
      <c r="P78" s="528"/>
    </row>
    <row r="79" spans="1:16" ht="15.75" x14ac:dyDescent="0.25">
      <c r="A79" s="528"/>
      <c r="B79" s="528"/>
      <c r="C79" s="528"/>
      <c r="D79" s="528"/>
      <c r="E79" s="528"/>
      <c r="F79" s="528"/>
      <c r="G79" s="528"/>
      <c r="H79" s="528"/>
      <c r="I79" s="528"/>
      <c r="J79" s="528"/>
      <c r="K79" s="657"/>
      <c r="L79" s="669"/>
      <c r="M79" s="669"/>
      <c r="N79" s="669"/>
      <c r="O79" s="528"/>
      <c r="P79" s="528"/>
    </row>
    <row r="80" spans="1:16" x14ac:dyDescent="0.2">
      <c r="C80" s="470">
        <v>2016</v>
      </c>
      <c r="D80" s="470">
        <v>2016</v>
      </c>
      <c r="E80" s="470">
        <v>2016</v>
      </c>
      <c r="F80" s="470">
        <v>2017</v>
      </c>
      <c r="G80" s="470">
        <v>2017</v>
      </c>
      <c r="H80" s="470">
        <v>2017</v>
      </c>
      <c r="I80" s="470">
        <v>2017</v>
      </c>
      <c r="J80" s="470">
        <v>2017</v>
      </c>
      <c r="K80" s="470">
        <v>2017</v>
      </c>
      <c r="L80" s="471">
        <v>2016</v>
      </c>
      <c r="M80" s="471">
        <v>2016</v>
      </c>
      <c r="N80" s="471">
        <v>2016</v>
      </c>
    </row>
    <row r="81" spans="1:172" x14ac:dyDescent="0.2">
      <c r="A81" s="529" t="s">
        <v>55</v>
      </c>
      <c r="B81" s="529" t="s">
        <v>57</v>
      </c>
      <c r="C81" s="529" t="s">
        <v>58</v>
      </c>
      <c r="D81" s="529" t="s">
        <v>59</v>
      </c>
      <c r="E81" s="529" t="s">
        <v>60</v>
      </c>
      <c r="F81" s="529" t="s">
        <v>61</v>
      </c>
      <c r="G81" s="529" t="s">
        <v>62</v>
      </c>
      <c r="H81" s="529" t="s">
        <v>63</v>
      </c>
      <c r="I81" s="529" t="s">
        <v>64</v>
      </c>
      <c r="J81" s="529" t="s">
        <v>65</v>
      </c>
      <c r="K81" s="530" t="s">
        <v>1017</v>
      </c>
      <c r="L81" s="560" t="s">
        <v>1018</v>
      </c>
      <c r="M81" s="560" t="s">
        <v>1019</v>
      </c>
      <c r="N81" s="560" t="s">
        <v>1020</v>
      </c>
      <c r="O81" s="530" t="s">
        <v>1064</v>
      </c>
      <c r="P81" s="531"/>
      <c r="Q81" s="531"/>
      <c r="R81" s="531"/>
      <c r="S81" s="531"/>
      <c r="T81" s="531"/>
      <c r="U81" s="531"/>
      <c r="V81" s="531"/>
      <c r="W81" s="531"/>
      <c r="X81" s="531"/>
      <c r="Y81" s="531"/>
      <c r="Z81" s="531"/>
      <c r="AA81" s="531"/>
      <c r="AB81" s="531"/>
      <c r="AC81" s="531"/>
      <c r="AD81" s="531"/>
      <c r="AE81" s="531"/>
      <c r="AF81" s="531"/>
      <c r="AG81" s="531"/>
      <c r="AH81" s="532"/>
      <c r="AI81" s="532"/>
      <c r="AJ81" s="532"/>
      <c r="AK81" s="532"/>
      <c r="AL81" s="532"/>
      <c r="AM81" s="532"/>
      <c r="AN81" s="532"/>
      <c r="AO81" s="532"/>
      <c r="AP81" s="532"/>
      <c r="AQ81" s="532"/>
      <c r="AR81" s="532"/>
      <c r="AS81" s="532"/>
      <c r="AT81" s="532"/>
      <c r="AU81" s="532"/>
      <c r="AV81" s="532"/>
      <c r="AW81" s="532"/>
      <c r="AX81" s="532"/>
      <c r="AY81" s="532"/>
      <c r="AZ81" s="532"/>
      <c r="BA81" s="532"/>
      <c r="BB81" s="532"/>
      <c r="BC81" s="532"/>
      <c r="BD81" s="532"/>
      <c r="BE81" s="532"/>
      <c r="BF81" s="532"/>
      <c r="BG81" s="532"/>
      <c r="BH81" s="532"/>
      <c r="BI81" s="532"/>
      <c r="BJ81" s="532"/>
      <c r="BK81" s="532"/>
      <c r="BL81" s="532"/>
      <c r="BM81" s="532"/>
      <c r="BN81" s="532"/>
      <c r="BO81" s="532"/>
      <c r="BP81" s="532"/>
      <c r="BQ81" s="532"/>
      <c r="BR81" s="532"/>
      <c r="BS81" s="532"/>
      <c r="BT81" s="532"/>
      <c r="BU81" s="532"/>
      <c r="BV81" s="532"/>
      <c r="BW81" s="532"/>
      <c r="BX81" s="532"/>
      <c r="BY81" s="532"/>
      <c r="BZ81" s="532"/>
      <c r="CA81" s="532"/>
      <c r="CB81" s="532"/>
      <c r="CC81" s="532"/>
      <c r="CD81" s="532"/>
      <c r="CE81" s="532"/>
      <c r="CF81" s="532"/>
      <c r="CG81" s="532"/>
      <c r="CH81" s="532"/>
      <c r="CI81" s="532"/>
      <c r="CJ81" s="532"/>
      <c r="CK81" s="532"/>
      <c r="CL81" s="532"/>
      <c r="CM81" s="532"/>
      <c r="CN81" s="532"/>
      <c r="CO81" s="532"/>
      <c r="CP81" s="532"/>
      <c r="CQ81" s="532"/>
      <c r="CR81" s="532"/>
      <c r="CS81" s="532"/>
      <c r="CT81" s="532"/>
      <c r="CU81" s="532"/>
      <c r="CV81" s="532"/>
      <c r="CW81" s="532"/>
      <c r="CX81" s="532"/>
      <c r="CY81" s="532"/>
      <c r="CZ81" s="532"/>
      <c r="DA81" s="532"/>
      <c r="DB81" s="532"/>
      <c r="DC81" s="532"/>
      <c r="DD81" s="532"/>
      <c r="DE81" s="532"/>
      <c r="DF81" s="532"/>
      <c r="DG81" s="532"/>
      <c r="DH81" s="532"/>
      <c r="DI81" s="532"/>
      <c r="DJ81" s="532"/>
      <c r="DK81" s="532"/>
      <c r="DL81" s="532"/>
      <c r="DM81" s="532"/>
      <c r="DN81" s="532"/>
      <c r="DO81" s="532"/>
      <c r="DP81" s="532"/>
      <c r="DQ81" s="532"/>
      <c r="DR81" s="532"/>
      <c r="DS81" s="532"/>
      <c r="DT81" s="532"/>
      <c r="DU81" s="532"/>
      <c r="DV81" s="532"/>
      <c r="DW81" s="532"/>
      <c r="DX81" s="532"/>
      <c r="DY81" s="532"/>
      <c r="DZ81" s="532"/>
      <c r="EA81" s="532"/>
      <c r="EB81" s="532"/>
      <c r="EC81" s="532"/>
      <c r="ED81" s="532"/>
      <c r="EE81" s="532"/>
      <c r="EF81" s="532"/>
      <c r="EG81" s="532"/>
      <c r="EH81" s="532"/>
      <c r="EI81" s="532"/>
      <c r="EJ81" s="532"/>
      <c r="EK81" s="532"/>
      <c r="EL81" s="532"/>
      <c r="EM81" s="532"/>
      <c r="EN81" s="532"/>
      <c r="EO81" s="532"/>
      <c r="EP81" s="532"/>
      <c r="EQ81" s="532"/>
      <c r="ER81" s="532"/>
      <c r="ES81" s="532"/>
      <c r="ET81" s="532"/>
      <c r="EU81" s="532"/>
      <c r="EV81" s="532"/>
      <c r="EW81" s="532"/>
      <c r="EX81" s="532"/>
      <c r="EY81" s="532"/>
      <c r="EZ81" s="532"/>
      <c r="FA81" s="532"/>
      <c r="FB81" s="532"/>
      <c r="FC81" s="532"/>
      <c r="FD81" s="532"/>
      <c r="FE81" s="532"/>
      <c r="FF81" s="532"/>
      <c r="FG81" s="532"/>
      <c r="FH81" s="532"/>
      <c r="FI81" s="532"/>
      <c r="FJ81" s="532"/>
      <c r="FK81" s="532"/>
      <c r="FL81" s="532"/>
      <c r="FM81" s="532"/>
      <c r="FN81" s="532"/>
      <c r="FO81" s="532"/>
      <c r="FP81" s="532"/>
    </row>
    <row r="82" spans="1:172" x14ac:dyDescent="0.2">
      <c r="A82" s="529"/>
      <c r="B82" s="529"/>
      <c r="C82" s="529"/>
      <c r="D82" s="529"/>
      <c r="E82" s="529"/>
      <c r="F82" s="529"/>
      <c r="G82" s="529"/>
      <c r="H82" s="529"/>
      <c r="I82" s="529"/>
      <c r="J82" s="529"/>
      <c r="K82" s="530"/>
      <c r="L82" s="560"/>
      <c r="M82" s="560"/>
      <c r="N82" s="560"/>
      <c r="O82" s="530" t="s">
        <v>70</v>
      </c>
      <c r="P82" s="531"/>
      <c r="Q82" s="531"/>
      <c r="R82" s="531"/>
      <c r="S82" s="531"/>
      <c r="T82" s="531"/>
      <c r="U82" s="531"/>
      <c r="V82" s="531"/>
      <c r="W82" s="531"/>
      <c r="X82" s="531"/>
      <c r="Y82" s="531"/>
      <c r="Z82" s="531"/>
      <c r="AA82" s="531"/>
      <c r="AB82" s="531"/>
      <c r="AC82" s="531"/>
      <c r="AD82" s="531"/>
      <c r="AE82" s="531"/>
      <c r="AF82" s="531"/>
      <c r="AG82" s="531"/>
      <c r="AH82" s="532"/>
      <c r="AI82" s="532"/>
      <c r="AJ82" s="532"/>
      <c r="AK82" s="532"/>
      <c r="AL82" s="532"/>
      <c r="AM82" s="532"/>
      <c r="AN82" s="532"/>
      <c r="AO82" s="532"/>
      <c r="AP82" s="532"/>
      <c r="AQ82" s="532"/>
      <c r="AR82" s="532"/>
      <c r="AS82" s="532"/>
      <c r="AT82" s="532"/>
      <c r="AU82" s="532"/>
      <c r="AV82" s="532"/>
      <c r="AW82" s="532"/>
      <c r="AX82" s="532"/>
      <c r="AY82" s="532"/>
      <c r="AZ82" s="532"/>
      <c r="BA82" s="532"/>
      <c r="BB82" s="532"/>
      <c r="BC82" s="532"/>
      <c r="BD82" s="532"/>
      <c r="BE82" s="532"/>
      <c r="BF82" s="532"/>
      <c r="BG82" s="532"/>
      <c r="BH82" s="532"/>
      <c r="BI82" s="532"/>
      <c r="BJ82" s="532"/>
      <c r="BK82" s="532"/>
      <c r="BL82" s="532"/>
      <c r="BM82" s="532"/>
      <c r="BN82" s="532"/>
      <c r="BO82" s="532"/>
      <c r="BP82" s="532"/>
      <c r="BQ82" s="532"/>
      <c r="BR82" s="532"/>
      <c r="BS82" s="532"/>
      <c r="BT82" s="532"/>
      <c r="BU82" s="532"/>
      <c r="BV82" s="532"/>
      <c r="BW82" s="532"/>
      <c r="BX82" s="532"/>
      <c r="BY82" s="532"/>
      <c r="BZ82" s="532"/>
      <c r="CA82" s="532"/>
      <c r="CB82" s="532"/>
      <c r="CC82" s="532"/>
      <c r="CD82" s="532"/>
      <c r="CE82" s="532"/>
      <c r="CF82" s="532"/>
      <c r="CG82" s="532"/>
      <c r="CH82" s="532"/>
      <c r="CI82" s="532"/>
      <c r="CJ82" s="532"/>
      <c r="CK82" s="532"/>
      <c r="CL82" s="532"/>
      <c r="CM82" s="532"/>
      <c r="CN82" s="532"/>
      <c r="CO82" s="532"/>
      <c r="CP82" s="532"/>
      <c r="CQ82" s="532"/>
      <c r="CR82" s="532"/>
      <c r="CS82" s="532"/>
      <c r="CT82" s="532"/>
      <c r="CU82" s="532"/>
      <c r="CV82" s="532"/>
      <c r="CW82" s="532"/>
      <c r="CX82" s="532"/>
      <c r="CY82" s="532"/>
      <c r="CZ82" s="532"/>
      <c r="DA82" s="532"/>
      <c r="DB82" s="532"/>
      <c r="DC82" s="532"/>
      <c r="DD82" s="532"/>
      <c r="DE82" s="532"/>
      <c r="DF82" s="532"/>
      <c r="DG82" s="532"/>
      <c r="DH82" s="532"/>
      <c r="DI82" s="532"/>
      <c r="DJ82" s="532"/>
      <c r="DK82" s="532"/>
      <c r="DL82" s="532"/>
      <c r="DM82" s="532"/>
      <c r="DN82" s="532"/>
      <c r="DO82" s="532"/>
      <c r="DP82" s="532"/>
      <c r="DQ82" s="532"/>
      <c r="DR82" s="532"/>
      <c r="DS82" s="532"/>
      <c r="DT82" s="532"/>
      <c r="DU82" s="532"/>
      <c r="DV82" s="532"/>
      <c r="DW82" s="532"/>
      <c r="DX82" s="532"/>
      <c r="DY82" s="532"/>
      <c r="DZ82" s="532"/>
      <c r="EA82" s="532"/>
      <c r="EB82" s="532"/>
      <c r="EC82" s="532"/>
      <c r="ED82" s="532"/>
      <c r="EE82" s="532"/>
      <c r="EF82" s="532"/>
      <c r="EG82" s="532"/>
      <c r="EH82" s="532"/>
      <c r="EI82" s="532"/>
      <c r="EJ82" s="532"/>
      <c r="EK82" s="532"/>
      <c r="EL82" s="532"/>
      <c r="EM82" s="532"/>
      <c r="EN82" s="532"/>
      <c r="EO82" s="532"/>
      <c r="EP82" s="532"/>
      <c r="EQ82" s="532"/>
      <c r="ER82" s="532"/>
      <c r="ES82" s="532"/>
      <c r="ET82" s="532"/>
      <c r="EU82" s="532"/>
      <c r="EV82" s="532"/>
      <c r="EW82" s="532"/>
      <c r="EX82" s="532"/>
      <c r="EY82" s="532"/>
      <c r="EZ82" s="532"/>
      <c r="FA82" s="532"/>
      <c r="FB82" s="532"/>
      <c r="FC82" s="532"/>
      <c r="FD82" s="532"/>
      <c r="FE82" s="532"/>
      <c r="FF82" s="532"/>
      <c r="FG82" s="532"/>
      <c r="FH82" s="532"/>
      <c r="FI82" s="532"/>
      <c r="FJ82" s="532"/>
      <c r="FK82" s="532"/>
      <c r="FL82" s="532"/>
      <c r="FM82" s="532"/>
      <c r="FN82" s="532"/>
      <c r="FO82" s="532"/>
      <c r="FP82" s="532"/>
    </row>
    <row r="83" spans="1:172" ht="12" customHeight="1" x14ac:dyDescent="0.2">
      <c r="A83" s="533" t="s">
        <v>71</v>
      </c>
      <c r="B83" s="534"/>
      <c r="C83" s="534"/>
      <c r="D83" s="534"/>
      <c r="E83" s="534"/>
      <c r="F83" s="534"/>
      <c r="G83" s="534"/>
      <c r="H83" s="534"/>
      <c r="I83" s="534"/>
      <c r="J83" s="534"/>
      <c r="K83" s="535"/>
      <c r="L83" s="561"/>
      <c r="M83" s="561"/>
      <c r="N83" s="561"/>
      <c r="O83" s="535"/>
      <c r="P83" s="531"/>
      <c r="Q83" s="531" t="s">
        <v>66</v>
      </c>
      <c r="R83" s="531" t="s">
        <v>1147</v>
      </c>
      <c r="S83" s="531"/>
      <c r="T83" s="531"/>
      <c r="U83" s="531"/>
      <c r="V83" s="531"/>
      <c r="W83" s="531"/>
      <c r="X83" s="531"/>
      <c r="Y83" s="531"/>
      <c r="Z83" s="531"/>
      <c r="AA83" s="531"/>
      <c r="AB83" s="531"/>
      <c r="AC83" s="531"/>
      <c r="AD83" s="531"/>
      <c r="AE83" s="531"/>
      <c r="AF83" s="531"/>
      <c r="AG83" s="531"/>
      <c r="AH83" s="532"/>
      <c r="AI83" s="532"/>
      <c r="AJ83" s="532"/>
      <c r="AK83" s="532"/>
      <c r="AL83" s="532"/>
      <c r="AM83" s="532"/>
      <c r="AN83" s="532"/>
      <c r="AO83" s="532"/>
      <c r="AP83" s="532"/>
      <c r="AQ83" s="532"/>
      <c r="AR83" s="532"/>
      <c r="AS83" s="532"/>
      <c r="AT83" s="532"/>
      <c r="AU83" s="532"/>
      <c r="AV83" s="532"/>
      <c r="AW83" s="532"/>
      <c r="AX83" s="532"/>
      <c r="AY83" s="532"/>
      <c r="AZ83" s="532"/>
      <c r="BA83" s="532"/>
      <c r="BB83" s="532"/>
      <c r="BC83" s="532"/>
      <c r="BD83" s="532"/>
      <c r="BE83" s="532"/>
      <c r="BF83" s="532"/>
      <c r="BG83" s="532"/>
      <c r="BH83" s="532"/>
      <c r="BI83" s="532"/>
      <c r="BJ83" s="532"/>
      <c r="BK83" s="532"/>
      <c r="BL83" s="532"/>
      <c r="BM83" s="532"/>
      <c r="BN83" s="532"/>
      <c r="BO83" s="532"/>
      <c r="BP83" s="532"/>
      <c r="BQ83" s="532"/>
      <c r="BR83" s="532"/>
      <c r="BS83" s="532"/>
      <c r="BT83" s="532"/>
      <c r="BU83" s="532"/>
      <c r="BV83" s="532"/>
      <c r="BW83" s="532"/>
      <c r="BX83" s="532"/>
      <c r="BY83" s="532"/>
      <c r="BZ83" s="532"/>
      <c r="CA83" s="532"/>
      <c r="CB83" s="532"/>
      <c r="CC83" s="532"/>
      <c r="CD83" s="532"/>
      <c r="CE83" s="532"/>
      <c r="CF83" s="532"/>
      <c r="CG83" s="532"/>
      <c r="CH83" s="532"/>
      <c r="CI83" s="532"/>
      <c r="CJ83" s="532"/>
      <c r="CK83" s="532"/>
      <c r="CL83" s="532"/>
      <c r="CM83" s="532"/>
      <c r="CN83" s="532"/>
      <c r="CO83" s="532"/>
      <c r="CP83" s="532"/>
      <c r="CQ83" s="532"/>
      <c r="CR83" s="532"/>
      <c r="CS83" s="532"/>
      <c r="CT83" s="532"/>
      <c r="CU83" s="532"/>
      <c r="CV83" s="532"/>
      <c r="CW83" s="532"/>
      <c r="CX83" s="532"/>
      <c r="CY83" s="532"/>
      <c r="CZ83" s="532"/>
      <c r="DA83" s="532"/>
      <c r="DB83" s="532"/>
      <c r="DC83" s="532"/>
      <c r="DD83" s="532"/>
      <c r="DE83" s="532"/>
      <c r="DF83" s="532"/>
      <c r="DG83" s="532"/>
      <c r="DH83" s="532"/>
      <c r="DI83" s="532"/>
      <c r="DJ83" s="532"/>
      <c r="DK83" s="532"/>
      <c r="DL83" s="532"/>
      <c r="DM83" s="532"/>
      <c r="DN83" s="532"/>
      <c r="DO83" s="532"/>
      <c r="DP83" s="532"/>
      <c r="DQ83" s="532"/>
      <c r="DR83" s="532"/>
      <c r="DS83" s="532"/>
      <c r="DT83" s="532"/>
      <c r="DU83" s="532"/>
      <c r="DV83" s="532"/>
      <c r="DW83" s="532"/>
      <c r="DX83" s="532"/>
      <c r="DY83" s="532"/>
      <c r="DZ83" s="532"/>
      <c r="EA83" s="532"/>
      <c r="EB83" s="532"/>
      <c r="EC83" s="532"/>
      <c r="ED83" s="532"/>
      <c r="EE83" s="532"/>
      <c r="EF83" s="532"/>
      <c r="EG83" s="532"/>
      <c r="EH83" s="532"/>
      <c r="EI83" s="532"/>
      <c r="EJ83" s="532"/>
      <c r="EK83" s="532"/>
      <c r="EL83" s="532"/>
      <c r="EM83" s="532"/>
      <c r="EN83" s="532"/>
      <c r="EO83" s="532"/>
      <c r="EP83" s="532"/>
      <c r="EQ83" s="532"/>
      <c r="ER83" s="532"/>
      <c r="ES83" s="532"/>
      <c r="ET83" s="532"/>
      <c r="EU83" s="532"/>
      <c r="EV83" s="532"/>
      <c r="EW83" s="532"/>
      <c r="EX83" s="532"/>
      <c r="EY83" s="532"/>
      <c r="EZ83" s="532"/>
      <c r="FA83" s="532"/>
      <c r="FB83" s="532"/>
      <c r="FC83" s="532"/>
      <c r="FD83" s="532"/>
      <c r="FE83" s="532"/>
      <c r="FF83" s="532"/>
      <c r="FG83" s="532"/>
      <c r="FH83" s="532"/>
      <c r="FI83" s="532"/>
      <c r="FJ83" s="532"/>
      <c r="FK83" s="532"/>
      <c r="FL83" s="532"/>
      <c r="FM83" s="532"/>
      <c r="FN83" s="532"/>
      <c r="FO83" s="532"/>
      <c r="FP83" s="532"/>
    </row>
    <row r="84" spans="1:172" ht="12" customHeight="1" x14ac:dyDescent="0.2">
      <c r="A84" s="533" t="s">
        <v>36</v>
      </c>
      <c r="B84" s="534" t="s">
        <v>72</v>
      </c>
      <c r="C84" s="208">
        <v>135</v>
      </c>
      <c r="D84" s="208">
        <v>163</v>
      </c>
      <c r="E84" s="208">
        <v>135</v>
      </c>
      <c r="F84" s="208">
        <v>138</v>
      </c>
      <c r="G84" s="208">
        <f>186-1</f>
        <v>185</v>
      </c>
      <c r="H84" s="208">
        <v>223</v>
      </c>
      <c r="I84" s="208">
        <f>150</f>
        <v>150</v>
      </c>
      <c r="J84" s="208">
        <v>128</v>
      </c>
      <c r="K84" s="208">
        <v>194</v>
      </c>
      <c r="L84" s="562">
        <v>169</v>
      </c>
      <c r="M84" s="562">
        <v>220</v>
      </c>
      <c r="N84" s="562">
        <v>162</v>
      </c>
      <c r="O84" s="530">
        <f>SUM(C84:N84)</f>
        <v>2002</v>
      </c>
      <c r="P84" s="536" t="s">
        <v>55</v>
      </c>
      <c r="Q84" s="531">
        <f>SUM(C84:K84)</f>
        <v>1451</v>
      </c>
      <c r="R84" s="531">
        <f>(Q84/9)*12</f>
        <v>1934.6666666666667</v>
      </c>
      <c r="S84" s="531"/>
      <c r="T84" s="531"/>
      <c r="U84" s="531"/>
      <c r="V84" s="531"/>
      <c r="W84" s="531"/>
      <c r="X84" s="531"/>
      <c r="Y84" s="531"/>
      <c r="Z84" s="531"/>
      <c r="AA84" s="531"/>
      <c r="AB84" s="531"/>
      <c r="AC84" s="531"/>
      <c r="AD84" s="531"/>
      <c r="AE84" s="531"/>
      <c r="AF84" s="531"/>
      <c r="AG84" s="531"/>
      <c r="AH84" s="532"/>
      <c r="AI84" s="532"/>
      <c r="AJ84" s="532"/>
      <c r="AK84" s="532"/>
      <c r="AL84" s="532"/>
      <c r="AM84" s="532"/>
      <c r="AN84" s="532"/>
      <c r="AO84" s="532"/>
      <c r="AP84" s="532"/>
      <c r="AQ84" s="532"/>
      <c r="AR84" s="532"/>
      <c r="AS84" s="532"/>
      <c r="AT84" s="532"/>
      <c r="AU84" s="532"/>
      <c r="AV84" s="532"/>
      <c r="AW84" s="532"/>
      <c r="AX84" s="532"/>
      <c r="AY84" s="532"/>
      <c r="AZ84" s="532"/>
      <c r="BA84" s="532"/>
      <c r="BB84" s="532"/>
      <c r="BC84" s="532"/>
      <c r="BD84" s="532"/>
      <c r="BE84" s="532"/>
      <c r="BF84" s="532"/>
      <c r="BG84" s="532"/>
      <c r="BH84" s="532"/>
      <c r="BI84" s="532"/>
      <c r="BJ84" s="532"/>
      <c r="BK84" s="532"/>
      <c r="BL84" s="532"/>
      <c r="BM84" s="532"/>
      <c r="BN84" s="532"/>
      <c r="BO84" s="532"/>
      <c r="BP84" s="532"/>
      <c r="BQ84" s="532"/>
      <c r="BR84" s="532"/>
      <c r="BS84" s="532"/>
      <c r="BT84" s="532"/>
      <c r="BU84" s="532"/>
      <c r="BV84" s="532"/>
      <c r="BW84" s="532"/>
      <c r="BX84" s="532"/>
      <c r="BY84" s="532"/>
      <c r="BZ84" s="532"/>
      <c r="CA84" s="532"/>
      <c r="CB84" s="532"/>
      <c r="CC84" s="532"/>
      <c r="CD84" s="532"/>
      <c r="CE84" s="532"/>
      <c r="CF84" s="532"/>
      <c r="CG84" s="532"/>
      <c r="CH84" s="532"/>
      <c r="CI84" s="532"/>
      <c r="CJ84" s="532"/>
      <c r="CK84" s="532"/>
      <c r="CL84" s="532"/>
      <c r="CM84" s="532"/>
      <c r="CN84" s="532"/>
      <c r="CO84" s="532"/>
      <c r="CP84" s="532"/>
      <c r="CQ84" s="532"/>
      <c r="CR84" s="532"/>
      <c r="CS84" s="532"/>
      <c r="CT84" s="532"/>
      <c r="CU84" s="532"/>
      <c r="CV84" s="532"/>
      <c r="CW84" s="532"/>
      <c r="CX84" s="532"/>
      <c r="CY84" s="532"/>
      <c r="CZ84" s="532"/>
      <c r="DA84" s="532"/>
      <c r="DB84" s="532"/>
      <c r="DC84" s="532"/>
      <c r="DD84" s="532"/>
      <c r="DE84" s="532"/>
      <c r="DF84" s="532"/>
      <c r="DG84" s="532"/>
      <c r="DH84" s="532"/>
      <c r="DI84" s="532"/>
      <c r="DJ84" s="532"/>
      <c r="DK84" s="532"/>
      <c r="DL84" s="532"/>
      <c r="DM84" s="532"/>
      <c r="DN84" s="532"/>
      <c r="DO84" s="532"/>
      <c r="DP84" s="532"/>
      <c r="DQ84" s="532"/>
      <c r="DR84" s="532"/>
      <c r="DS84" s="532"/>
      <c r="DT84" s="532"/>
      <c r="DU84" s="532"/>
      <c r="DV84" s="532"/>
      <c r="DW84" s="532"/>
      <c r="DX84" s="532"/>
      <c r="DY84" s="532"/>
      <c r="DZ84" s="532"/>
      <c r="EA84" s="532"/>
      <c r="EB84" s="532"/>
      <c r="EC84" s="532"/>
      <c r="ED84" s="532"/>
      <c r="EE84" s="532"/>
      <c r="EF84" s="532"/>
      <c r="EG84" s="532"/>
      <c r="EH84" s="532"/>
      <c r="EI84" s="532"/>
      <c r="EJ84" s="532"/>
      <c r="EK84" s="532"/>
      <c r="EL84" s="532"/>
      <c r="EM84" s="532"/>
      <c r="EN84" s="532"/>
      <c r="EO84" s="532"/>
      <c r="EP84" s="532"/>
      <c r="EQ84" s="532"/>
      <c r="ER84" s="532"/>
      <c r="ES84" s="532"/>
      <c r="ET84" s="532"/>
      <c r="EU84" s="532"/>
      <c r="EV84" s="532"/>
      <c r="EW84" s="532"/>
      <c r="EX84" s="532"/>
      <c r="EY84" s="532"/>
      <c r="EZ84" s="532"/>
      <c r="FA84" s="532"/>
      <c r="FB84" s="532"/>
      <c r="FC84" s="532"/>
      <c r="FD84" s="532"/>
      <c r="FE84" s="532"/>
      <c r="FF84" s="532"/>
      <c r="FG84" s="532"/>
      <c r="FH84" s="532"/>
      <c r="FI84" s="532"/>
      <c r="FJ84" s="532"/>
      <c r="FK84" s="532"/>
      <c r="FL84" s="532"/>
      <c r="FM84" s="532"/>
      <c r="FN84" s="532"/>
      <c r="FO84" s="532"/>
      <c r="FP84" s="532"/>
    </row>
    <row r="85" spans="1:172" ht="12" customHeight="1" x14ac:dyDescent="0.2">
      <c r="A85" s="533" t="s">
        <v>73</v>
      </c>
      <c r="B85" s="534" t="s">
        <v>74</v>
      </c>
      <c r="C85" s="208">
        <v>0</v>
      </c>
      <c r="D85" s="208">
        <v>0</v>
      </c>
      <c r="E85" s="208">
        <v>0</v>
      </c>
      <c r="F85" s="208">
        <v>0</v>
      </c>
      <c r="G85" s="208">
        <v>0</v>
      </c>
      <c r="H85" s="208">
        <v>0</v>
      </c>
      <c r="I85" s="208">
        <v>0</v>
      </c>
      <c r="J85" s="208">
        <v>0</v>
      </c>
      <c r="K85" s="208">
        <v>0</v>
      </c>
      <c r="L85" s="562">
        <v>0</v>
      </c>
      <c r="M85" s="562">
        <v>0</v>
      </c>
      <c r="N85" s="562">
        <v>0</v>
      </c>
      <c r="O85" s="530">
        <f>SUM(C85:N85)</f>
        <v>0</v>
      </c>
      <c r="P85" s="536" t="s">
        <v>55</v>
      </c>
      <c r="Q85" s="531"/>
      <c r="R85" s="531"/>
      <c r="S85" s="531"/>
      <c r="T85" s="531"/>
      <c r="U85" s="531"/>
      <c r="V85" s="531"/>
      <c r="W85" s="531"/>
      <c r="X85" s="531"/>
      <c r="Y85" s="531"/>
      <c r="Z85" s="531"/>
      <c r="AA85" s="531"/>
      <c r="AB85" s="531"/>
      <c r="AC85" s="531"/>
      <c r="AD85" s="531"/>
      <c r="AE85" s="531"/>
      <c r="AF85" s="531"/>
      <c r="AG85" s="531"/>
      <c r="AH85" s="532"/>
      <c r="AI85" s="532"/>
      <c r="AJ85" s="532"/>
      <c r="AK85" s="532"/>
      <c r="AL85" s="532"/>
      <c r="AM85" s="532"/>
      <c r="AN85" s="532"/>
      <c r="AO85" s="532"/>
      <c r="AP85" s="532"/>
      <c r="AQ85" s="532"/>
      <c r="AR85" s="532"/>
      <c r="AS85" s="532"/>
      <c r="AT85" s="532"/>
      <c r="AU85" s="532"/>
      <c r="AV85" s="532"/>
      <c r="AW85" s="532"/>
      <c r="AX85" s="532"/>
      <c r="AY85" s="532"/>
      <c r="AZ85" s="532"/>
      <c r="BA85" s="532"/>
      <c r="BB85" s="532"/>
      <c r="BC85" s="532"/>
      <c r="BD85" s="532"/>
      <c r="BE85" s="532"/>
      <c r="BF85" s="532"/>
      <c r="BG85" s="532"/>
      <c r="BH85" s="532"/>
      <c r="BI85" s="532"/>
      <c r="BJ85" s="532"/>
      <c r="BK85" s="532"/>
      <c r="BL85" s="532"/>
      <c r="BM85" s="532"/>
      <c r="BN85" s="532"/>
      <c r="BO85" s="532"/>
      <c r="BP85" s="532"/>
      <c r="BQ85" s="532"/>
      <c r="BR85" s="532"/>
      <c r="BS85" s="532"/>
      <c r="BT85" s="532"/>
      <c r="BU85" s="532"/>
      <c r="BV85" s="532"/>
      <c r="BW85" s="532"/>
      <c r="BX85" s="532"/>
      <c r="BY85" s="532"/>
      <c r="BZ85" s="532"/>
      <c r="CA85" s="532"/>
      <c r="CB85" s="532"/>
      <c r="CC85" s="532"/>
      <c r="CD85" s="532"/>
      <c r="CE85" s="532"/>
      <c r="CF85" s="532"/>
      <c r="CG85" s="532"/>
      <c r="CH85" s="532"/>
      <c r="CI85" s="532"/>
      <c r="CJ85" s="532"/>
      <c r="CK85" s="532"/>
      <c r="CL85" s="532"/>
      <c r="CM85" s="532"/>
      <c r="CN85" s="532"/>
      <c r="CO85" s="532"/>
      <c r="CP85" s="532"/>
      <c r="CQ85" s="532"/>
      <c r="CR85" s="532"/>
      <c r="CS85" s="532"/>
      <c r="CT85" s="532"/>
      <c r="CU85" s="532"/>
      <c r="CV85" s="532"/>
      <c r="CW85" s="532"/>
      <c r="CX85" s="532"/>
      <c r="CY85" s="532"/>
      <c r="CZ85" s="532"/>
      <c r="DA85" s="532"/>
      <c r="DB85" s="532"/>
      <c r="DC85" s="532"/>
      <c r="DD85" s="532"/>
      <c r="DE85" s="532"/>
      <c r="DF85" s="532"/>
      <c r="DG85" s="532"/>
      <c r="DH85" s="532"/>
      <c r="DI85" s="532"/>
      <c r="DJ85" s="532"/>
      <c r="DK85" s="532"/>
      <c r="DL85" s="532"/>
      <c r="DM85" s="532"/>
      <c r="DN85" s="532"/>
      <c r="DO85" s="532"/>
      <c r="DP85" s="532"/>
      <c r="DQ85" s="532"/>
      <c r="DR85" s="532"/>
      <c r="DS85" s="532"/>
      <c r="DT85" s="532"/>
      <c r="DU85" s="532"/>
      <c r="DV85" s="532"/>
      <c r="DW85" s="532"/>
      <c r="DX85" s="532"/>
      <c r="DY85" s="532"/>
      <c r="DZ85" s="532"/>
      <c r="EA85" s="532"/>
      <c r="EB85" s="532"/>
      <c r="EC85" s="532"/>
      <c r="ED85" s="532"/>
      <c r="EE85" s="532"/>
      <c r="EF85" s="532"/>
      <c r="EG85" s="532"/>
      <c r="EH85" s="532"/>
      <c r="EI85" s="532"/>
      <c r="EJ85" s="532"/>
      <c r="EK85" s="532"/>
      <c r="EL85" s="532"/>
      <c r="EM85" s="532"/>
      <c r="EN85" s="532"/>
      <c r="EO85" s="532"/>
      <c r="EP85" s="532"/>
      <c r="EQ85" s="532"/>
      <c r="ER85" s="532"/>
      <c r="ES85" s="532"/>
      <c r="ET85" s="532"/>
      <c r="EU85" s="532"/>
      <c r="EV85" s="532"/>
      <c r="EW85" s="532"/>
      <c r="EX85" s="532"/>
      <c r="EY85" s="532"/>
      <c r="EZ85" s="532"/>
      <c r="FA85" s="532"/>
      <c r="FB85" s="532"/>
      <c r="FC85" s="532"/>
      <c r="FD85" s="532"/>
      <c r="FE85" s="532"/>
      <c r="FF85" s="532"/>
      <c r="FG85" s="532"/>
      <c r="FH85" s="532"/>
      <c r="FI85" s="532"/>
      <c r="FJ85" s="532"/>
      <c r="FK85" s="532"/>
      <c r="FL85" s="532"/>
      <c r="FM85" s="532"/>
      <c r="FN85" s="532"/>
      <c r="FO85" s="532"/>
      <c r="FP85" s="532"/>
    </row>
    <row r="86" spans="1:172" ht="12" customHeight="1" x14ac:dyDescent="0.2">
      <c r="A86" s="537" t="s">
        <v>75</v>
      </c>
      <c r="B86" s="534" t="s">
        <v>55</v>
      </c>
      <c r="C86" s="208">
        <f t="shared" ref="C86:N86" si="85">SUM(C84:C85)</f>
        <v>135</v>
      </c>
      <c r="D86" s="208">
        <f t="shared" si="85"/>
        <v>163</v>
      </c>
      <c r="E86" s="208">
        <f t="shared" si="85"/>
        <v>135</v>
      </c>
      <c r="F86" s="208">
        <f t="shared" si="85"/>
        <v>138</v>
      </c>
      <c r="G86" s="208">
        <f t="shared" si="85"/>
        <v>185</v>
      </c>
      <c r="H86" s="208">
        <f t="shared" si="85"/>
        <v>223</v>
      </c>
      <c r="I86" s="208">
        <f t="shared" si="85"/>
        <v>150</v>
      </c>
      <c r="J86" s="208">
        <f t="shared" si="85"/>
        <v>128</v>
      </c>
      <c r="K86" s="208">
        <f t="shared" si="85"/>
        <v>194</v>
      </c>
      <c r="L86" s="562">
        <f t="shared" si="85"/>
        <v>169</v>
      </c>
      <c r="M86" s="562">
        <f t="shared" si="85"/>
        <v>220</v>
      </c>
      <c r="N86" s="562">
        <f t="shared" si="85"/>
        <v>162</v>
      </c>
      <c r="O86" s="530">
        <f>SUM(C86:N86)</f>
        <v>2002</v>
      </c>
      <c r="P86" s="536"/>
      <c r="Q86" s="531"/>
      <c r="R86" s="531"/>
      <c r="S86" s="531"/>
      <c r="T86" s="531"/>
      <c r="U86" s="531"/>
      <c r="V86" s="531"/>
      <c r="W86" s="531"/>
      <c r="X86" s="531"/>
      <c r="Y86" s="531"/>
      <c r="Z86" s="531"/>
      <c r="AA86" s="531"/>
      <c r="AB86" s="531"/>
      <c r="AC86" s="531"/>
      <c r="AD86" s="531"/>
      <c r="AE86" s="531"/>
      <c r="AF86" s="531"/>
      <c r="AG86" s="531"/>
      <c r="AH86" s="532"/>
      <c r="AI86" s="532"/>
      <c r="AJ86" s="532"/>
      <c r="AK86" s="532"/>
      <c r="AL86" s="532"/>
      <c r="AM86" s="532"/>
      <c r="AN86" s="532"/>
      <c r="AO86" s="532"/>
      <c r="AP86" s="532"/>
      <c r="AQ86" s="532"/>
      <c r="AR86" s="532"/>
      <c r="AS86" s="532"/>
      <c r="AT86" s="532"/>
      <c r="AU86" s="532"/>
      <c r="AV86" s="532"/>
      <c r="AW86" s="532"/>
      <c r="AX86" s="532"/>
      <c r="AY86" s="532"/>
      <c r="AZ86" s="532"/>
      <c r="BA86" s="532"/>
      <c r="BB86" s="532"/>
      <c r="BC86" s="532"/>
      <c r="BD86" s="532"/>
      <c r="BE86" s="532"/>
      <c r="BF86" s="532"/>
      <c r="BG86" s="532"/>
      <c r="BH86" s="532"/>
      <c r="BI86" s="532"/>
      <c r="BJ86" s="532"/>
      <c r="BK86" s="532"/>
      <c r="BL86" s="532"/>
      <c r="BM86" s="532"/>
      <c r="BN86" s="532"/>
      <c r="BO86" s="532"/>
      <c r="BP86" s="532"/>
      <c r="BQ86" s="532"/>
      <c r="BR86" s="532"/>
      <c r="BS86" s="532"/>
      <c r="BT86" s="532"/>
      <c r="BU86" s="532"/>
      <c r="BV86" s="532"/>
      <c r="BW86" s="532"/>
      <c r="BX86" s="532"/>
      <c r="BY86" s="532"/>
      <c r="BZ86" s="532"/>
      <c r="CA86" s="532"/>
      <c r="CB86" s="532"/>
      <c r="CC86" s="532"/>
      <c r="CD86" s="532"/>
      <c r="CE86" s="532"/>
      <c r="CF86" s="532"/>
      <c r="CG86" s="532"/>
      <c r="CH86" s="532"/>
      <c r="CI86" s="532"/>
      <c r="CJ86" s="532"/>
      <c r="CK86" s="532"/>
      <c r="CL86" s="532"/>
      <c r="CM86" s="532"/>
      <c r="CN86" s="532"/>
      <c r="CO86" s="532"/>
      <c r="CP86" s="532"/>
      <c r="CQ86" s="532"/>
      <c r="CR86" s="532"/>
      <c r="CS86" s="532"/>
      <c r="CT86" s="532"/>
      <c r="CU86" s="532"/>
      <c r="CV86" s="532"/>
      <c r="CW86" s="532"/>
      <c r="CX86" s="532"/>
      <c r="CY86" s="532"/>
      <c r="CZ86" s="532"/>
      <c r="DA86" s="532"/>
      <c r="DB86" s="532"/>
      <c r="DC86" s="532"/>
      <c r="DD86" s="532"/>
      <c r="DE86" s="532"/>
      <c r="DF86" s="532"/>
      <c r="DG86" s="532"/>
      <c r="DH86" s="532"/>
      <c r="DI86" s="532"/>
      <c r="DJ86" s="532"/>
      <c r="DK86" s="532"/>
      <c r="DL86" s="532"/>
      <c r="DM86" s="532"/>
      <c r="DN86" s="532"/>
      <c r="DO86" s="532"/>
      <c r="DP86" s="532"/>
      <c r="DQ86" s="532"/>
      <c r="DR86" s="532"/>
      <c r="DS86" s="532"/>
      <c r="DT86" s="532"/>
      <c r="DU86" s="532"/>
      <c r="DV86" s="532"/>
      <c r="DW86" s="532"/>
      <c r="DX86" s="532"/>
      <c r="DY86" s="532"/>
      <c r="DZ86" s="532"/>
      <c r="EA86" s="532"/>
      <c r="EB86" s="532"/>
      <c r="EC86" s="532"/>
      <c r="ED86" s="532"/>
      <c r="EE86" s="532"/>
      <c r="EF86" s="532"/>
      <c r="EG86" s="532"/>
      <c r="EH86" s="532"/>
      <c r="EI86" s="532"/>
      <c r="EJ86" s="532"/>
      <c r="EK86" s="532"/>
      <c r="EL86" s="532"/>
      <c r="EM86" s="532"/>
      <c r="EN86" s="532"/>
      <c r="EO86" s="532"/>
      <c r="EP86" s="532"/>
      <c r="EQ86" s="532"/>
      <c r="ER86" s="532"/>
      <c r="ES86" s="532"/>
      <c r="ET86" s="532"/>
      <c r="EU86" s="532"/>
      <c r="EV86" s="532"/>
      <c r="EW86" s="532"/>
      <c r="EX86" s="532"/>
      <c r="EY86" s="532"/>
      <c r="EZ86" s="532"/>
      <c r="FA86" s="532"/>
      <c r="FB86" s="532"/>
      <c r="FC86" s="532"/>
      <c r="FD86" s="532"/>
      <c r="FE86" s="532"/>
      <c r="FF86" s="532"/>
      <c r="FG86" s="532"/>
      <c r="FH86" s="532"/>
      <c r="FI86" s="532"/>
      <c r="FJ86" s="532"/>
      <c r="FK86" s="532"/>
      <c r="FL86" s="532"/>
      <c r="FM86" s="532"/>
      <c r="FN86" s="532"/>
      <c r="FO86" s="532"/>
      <c r="FP86" s="532"/>
    </row>
    <row r="87" spans="1:172" ht="12" customHeight="1" x14ac:dyDescent="0.2">
      <c r="A87" s="537" t="s">
        <v>50</v>
      </c>
      <c r="B87" s="534" t="s">
        <v>76</v>
      </c>
      <c r="C87" s="208">
        <v>159</v>
      </c>
      <c r="D87" s="208">
        <v>107</v>
      </c>
      <c r="E87" s="208">
        <v>140</v>
      </c>
      <c r="F87" s="208">
        <v>140</v>
      </c>
      <c r="G87" s="208">
        <v>140</v>
      </c>
      <c r="H87" s="208">
        <v>188</v>
      </c>
      <c r="I87" s="208">
        <v>122</v>
      </c>
      <c r="J87" s="208">
        <v>152</v>
      </c>
      <c r="K87" s="208">
        <v>143</v>
      </c>
      <c r="L87" s="562">
        <v>267</v>
      </c>
      <c r="M87" s="562">
        <v>207</v>
      </c>
      <c r="N87" s="562">
        <v>219</v>
      </c>
      <c r="O87" s="530">
        <f>SUM(C87:N87)</f>
        <v>1984</v>
      </c>
      <c r="P87" s="536" t="s">
        <v>55</v>
      </c>
      <c r="Q87" s="531">
        <f>SUM(C87:K87)</f>
        <v>1291</v>
      </c>
      <c r="R87" s="531">
        <f>(1291/9)*12</f>
        <v>1721.3333333333335</v>
      </c>
      <c r="S87" s="531"/>
      <c r="T87" s="531"/>
      <c r="U87" s="531"/>
      <c r="V87" s="531"/>
      <c r="W87" s="531"/>
      <c r="X87" s="531"/>
      <c r="Y87" s="531"/>
      <c r="Z87" s="531"/>
      <c r="AA87" s="531"/>
      <c r="AB87" s="531"/>
      <c r="AC87" s="531"/>
      <c r="AD87" s="531"/>
      <c r="AE87" s="531"/>
      <c r="AF87" s="531"/>
      <c r="AG87" s="531"/>
      <c r="AH87" s="532"/>
      <c r="AI87" s="532"/>
      <c r="AJ87" s="532"/>
      <c r="AK87" s="532"/>
      <c r="AL87" s="532"/>
      <c r="AM87" s="532"/>
      <c r="AN87" s="532"/>
      <c r="AO87" s="532"/>
      <c r="AP87" s="532"/>
      <c r="AQ87" s="532"/>
      <c r="AR87" s="532"/>
      <c r="AS87" s="532"/>
      <c r="AT87" s="532"/>
      <c r="AU87" s="532"/>
      <c r="AV87" s="532"/>
      <c r="AW87" s="532"/>
      <c r="AX87" s="532"/>
      <c r="AY87" s="532"/>
      <c r="AZ87" s="532"/>
      <c r="BA87" s="532"/>
      <c r="BB87" s="532"/>
      <c r="BC87" s="532"/>
      <c r="BD87" s="532"/>
      <c r="BE87" s="532"/>
      <c r="BF87" s="532"/>
      <c r="BG87" s="532"/>
      <c r="BH87" s="532"/>
      <c r="BI87" s="532"/>
      <c r="BJ87" s="532"/>
      <c r="BK87" s="532"/>
      <c r="BL87" s="532"/>
      <c r="BM87" s="532"/>
      <c r="BN87" s="532"/>
      <c r="BO87" s="532"/>
      <c r="BP87" s="532"/>
      <c r="BQ87" s="532"/>
      <c r="BR87" s="532"/>
      <c r="BS87" s="532"/>
      <c r="BT87" s="532"/>
      <c r="BU87" s="532"/>
      <c r="BV87" s="532"/>
      <c r="BW87" s="532"/>
      <c r="BX87" s="532"/>
      <c r="BY87" s="532"/>
      <c r="BZ87" s="532"/>
      <c r="CA87" s="532"/>
      <c r="CB87" s="532"/>
      <c r="CC87" s="532"/>
      <c r="CD87" s="532"/>
      <c r="CE87" s="532"/>
      <c r="CF87" s="532"/>
      <c r="CG87" s="532"/>
      <c r="CH87" s="532"/>
      <c r="CI87" s="532"/>
      <c r="CJ87" s="532"/>
      <c r="CK87" s="532"/>
      <c r="CL87" s="532"/>
      <c r="CM87" s="532"/>
      <c r="CN87" s="532"/>
      <c r="CO87" s="532"/>
      <c r="CP87" s="532"/>
      <c r="CQ87" s="532"/>
      <c r="CR87" s="532"/>
      <c r="CS87" s="532"/>
      <c r="CT87" s="532"/>
      <c r="CU87" s="532"/>
      <c r="CV87" s="532"/>
      <c r="CW87" s="532"/>
      <c r="CX87" s="532"/>
      <c r="CY87" s="532"/>
      <c r="CZ87" s="532"/>
      <c r="DA87" s="532"/>
      <c r="DB87" s="532"/>
      <c r="DC87" s="532"/>
      <c r="DD87" s="532"/>
      <c r="DE87" s="532"/>
      <c r="DF87" s="532"/>
      <c r="DG87" s="532"/>
      <c r="DH87" s="532"/>
      <c r="DI87" s="532"/>
      <c r="DJ87" s="532"/>
      <c r="DK87" s="532"/>
      <c r="DL87" s="532"/>
      <c r="DM87" s="532"/>
      <c r="DN87" s="532"/>
      <c r="DO87" s="532"/>
      <c r="DP87" s="532"/>
      <c r="DQ87" s="532"/>
      <c r="DR87" s="532"/>
      <c r="DS87" s="532"/>
      <c r="DT87" s="532"/>
      <c r="DU87" s="532"/>
      <c r="DV87" s="532"/>
      <c r="DW87" s="532"/>
      <c r="DX87" s="532"/>
      <c r="DY87" s="532"/>
      <c r="DZ87" s="532"/>
      <c r="EA87" s="532"/>
      <c r="EB87" s="532"/>
      <c r="EC87" s="532"/>
      <c r="ED87" s="532"/>
      <c r="EE87" s="532"/>
      <c r="EF87" s="532"/>
      <c r="EG87" s="532"/>
      <c r="EH87" s="532"/>
      <c r="EI87" s="532"/>
      <c r="EJ87" s="532"/>
      <c r="EK87" s="532"/>
      <c r="EL87" s="532"/>
      <c r="EM87" s="532"/>
      <c r="EN87" s="532"/>
      <c r="EO87" s="532"/>
      <c r="EP87" s="532"/>
      <c r="EQ87" s="532"/>
      <c r="ER87" s="532"/>
      <c r="ES87" s="532"/>
      <c r="ET87" s="532"/>
      <c r="EU87" s="532"/>
      <c r="EV87" s="532"/>
      <c r="EW87" s="532"/>
      <c r="EX87" s="532"/>
      <c r="EY87" s="532"/>
      <c r="EZ87" s="532"/>
      <c r="FA87" s="532"/>
      <c r="FB87" s="532"/>
      <c r="FC87" s="532"/>
      <c r="FD87" s="532"/>
      <c r="FE87" s="532"/>
      <c r="FF87" s="532"/>
      <c r="FG87" s="532"/>
      <c r="FH87" s="532"/>
      <c r="FI87" s="532"/>
      <c r="FJ87" s="532"/>
      <c r="FK87" s="532"/>
      <c r="FL87" s="532"/>
      <c r="FM87" s="532"/>
      <c r="FN87" s="532"/>
      <c r="FO87" s="532"/>
      <c r="FP87" s="532"/>
    </row>
    <row r="88" spans="1:172" ht="12" customHeight="1" x14ac:dyDescent="0.2">
      <c r="A88" s="534" t="s">
        <v>77</v>
      </c>
      <c r="B88" s="534"/>
      <c r="C88" s="208">
        <f t="shared" ref="C88:N88" si="86">SUM(C86:C87)</f>
        <v>294</v>
      </c>
      <c r="D88" s="208">
        <f t="shared" si="86"/>
        <v>270</v>
      </c>
      <c r="E88" s="208">
        <f t="shared" si="86"/>
        <v>275</v>
      </c>
      <c r="F88" s="208">
        <f t="shared" si="86"/>
        <v>278</v>
      </c>
      <c r="G88" s="208">
        <f t="shared" si="86"/>
        <v>325</v>
      </c>
      <c r="H88" s="208">
        <f t="shared" si="86"/>
        <v>411</v>
      </c>
      <c r="I88" s="208">
        <f t="shared" si="86"/>
        <v>272</v>
      </c>
      <c r="J88" s="208">
        <f t="shared" si="86"/>
        <v>280</v>
      </c>
      <c r="K88" s="208">
        <f t="shared" si="86"/>
        <v>337</v>
      </c>
      <c r="L88" s="562">
        <f t="shared" si="86"/>
        <v>436</v>
      </c>
      <c r="M88" s="562">
        <f t="shared" si="86"/>
        <v>427</v>
      </c>
      <c r="N88" s="562">
        <f t="shared" si="86"/>
        <v>381</v>
      </c>
      <c r="O88" s="530">
        <f>SUM(C88:N88)</f>
        <v>3986</v>
      </c>
      <c r="P88" s="536" t="s">
        <v>55</v>
      </c>
      <c r="Q88" s="531"/>
      <c r="R88" s="531">
        <f>R84+R87</f>
        <v>3656</v>
      </c>
      <c r="S88" s="531">
        <f>4277-3656</f>
        <v>621</v>
      </c>
      <c r="T88" s="531"/>
      <c r="U88" s="531"/>
      <c r="V88" s="531"/>
      <c r="W88" s="531"/>
      <c r="X88" s="531"/>
      <c r="Y88" s="531"/>
      <c r="Z88" s="531"/>
      <c r="AA88" s="531"/>
      <c r="AB88" s="531"/>
      <c r="AC88" s="531"/>
      <c r="AD88" s="531"/>
      <c r="AE88" s="531"/>
      <c r="AF88" s="531"/>
      <c r="AG88" s="531"/>
      <c r="AH88" s="532"/>
      <c r="AI88" s="532"/>
      <c r="AJ88" s="532"/>
      <c r="AK88" s="532"/>
      <c r="AL88" s="532"/>
      <c r="AM88" s="532"/>
      <c r="AN88" s="532"/>
      <c r="AO88" s="532"/>
      <c r="AP88" s="532"/>
      <c r="AQ88" s="532"/>
      <c r="AR88" s="532"/>
      <c r="AS88" s="532"/>
      <c r="AT88" s="532"/>
      <c r="AU88" s="532"/>
      <c r="AV88" s="532"/>
      <c r="AW88" s="532"/>
      <c r="AX88" s="532"/>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532"/>
      <c r="CG88" s="532"/>
      <c r="CH88" s="532"/>
      <c r="CI88" s="532"/>
      <c r="CJ88" s="532"/>
      <c r="CK88" s="532"/>
      <c r="CL88" s="532"/>
      <c r="CM88" s="532"/>
      <c r="CN88" s="532"/>
      <c r="CO88" s="532"/>
      <c r="CP88" s="532"/>
      <c r="CQ88" s="532"/>
      <c r="CR88" s="532"/>
      <c r="CS88" s="532"/>
      <c r="CT88" s="532"/>
      <c r="CU88" s="532"/>
      <c r="CV88" s="532"/>
      <c r="CW88" s="532"/>
      <c r="CX88" s="532"/>
      <c r="CY88" s="532"/>
      <c r="CZ88" s="532"/>
      <c r="DA88" s="532"/>
      <c r="DB88" s="532"/>
      <c r="DC88" s="532"/>
      <c r="DD88" s="532"/>
      <c r="DE88" s="532"/>
      <c r="DF88" s="532"/>
      <c r="DG88" s="532"/>
      <c r="DH88" s="532"/>
      <c r="DI88" s="532"/>
      <c r="DJ88" s="532"/>
      <c r="DK88" s="532"/>
      <c r="DL88" s="532"/>
      <c r="DM88" s="532"/>
      <c r="DN88" s="532"/>
      <c r="DO88" s="532"/>
      <c r="DP88" s="532"/>
      <c r="DQ88" s="532"/>
      <c r="DR88" s="532"/>
      <c r="DS88" s="532"/>
      <c r="DT88" s="532"/>
      <c r="DU88" s="532"/>
      <c r="DV88" s="532"/>
      <c r="DW88" s="532"/>
      <c r="DX88" s="532"/>
      <c r="DY88" s="532"/>
      <c r="DZ88" s="532"/>
      <c r="EA88" s="532"/>
      <c r="EB88" s="532"/>
      <c r="EC88" s="532"/>
      <c r="ED88" s="532"/>
      <c r="EE88" s="532"/>
      <c r="EF88" s="532"/>
      <c r="EG88" s="532"/>
      <c r="EH88" s="532"/>
      <c r="EI88" s="532"/>
      <c r="EJ88" s="532"/>
      <c r="EK88" s="532"/>
      <c r="EL88" s="532"/>
      <c r="EM88" s="532"/>
      <c r="EN88" s="532"/>
      <c r="EO88" s="532"/>
      <c r="EP88" s="532"/>
      <c r="EQ88" s="532"/>
      <c r="ER88" s="532"/>
      <c r="ES88" s="532"/>
      <c r="ET88" s="532"/>
      <c r="EU88" s="532"/>
      <c r="EV88" s="532"/>
      <c r="EW88" s="532"/>
      <c r="EX88" s="532"/>
      <c r="EY88" s="532"/>
      <c r="EZ88" s="532"/>
      <c r="FA88" s="532"/>
      <c r="FB88" s="532"/>
      <c r="FC88" s="532"/>
      <c r="FD88" s="532"/>
      <c r="FE88" s="532"/>
      <c r="FF88" s="532"/>
      <c r="FG88" s="532"/>
      <c r="FH88" s="532"/>
      <c r="FI88" s="532"/>
      <c r="FJ88" s="532"/>
      <c r="FK88" s="532"/>
      <c r="FL88" s="532"/>
      <c r="FM88" s="532"/>
      <c r="FN88" s="532"/>
      <c r="FO88" s="532"/>
      <c r="FP88" s="532"/>
    </row>
    <row r="89" spans="1:172" ht="12" customHeight="1" x14ac:dyDescent="0.2">
      <c r="A89" s="537"/>
      <c r="B89" s="534"/>
      <c r="C89" s="534"/>
      <c r="D89" s="534"/>
      <c r="E89" s="534"/>
      <c r="F89" s="534"/>
      <c r="G89" s="534"/>
      <c r="H89" s="534"/>
      <c r="I89" s="534"/>
      <c r="J89" s="534"/>
      <c r="K89" s="658"/>
      <c r="L89" s="562"/>
      <c r="M89" s="562"/>
      <c r="N89" s="562"/>
      <c r="O89" s="530"/>
      <c r="P89" s="536"/>
      <c r="Q89" s="531"/>
      <c r="R89" s="531"/>
      <c r="S89" s="531">
        <f>621*550</f>
        <v>341550</v>
      </c>
      <c r="T89" s="531"/>
      <c r="U89" s="531"/>
      <c r="V89" s="531"/>
      <c r="W89" s="531"/>
      <c r="X89" s="531"/>
      <c r="Y89" s="531"/>
      <c r="Z89" s="531"/>
      <c r="AA89" s="531"/>
      <c r="AB89" s="531"/>
      <c r="AC89" s="531"/>
      <c r="AD89" s="531"/>
      <c r="AE89" s="531"/>
      <c r="AF89" s="531"/>
      <c r="AG89" s="531"/>
      <c r="AH89" s="532"/>
      <c r="AI89" s="532"/>
      <c r="AJ89" s="532"/>
      <c r="AK89" s="532"/>
      <c r="AL89" s="532"/>
      <c r="AM89" s="532"/>
      <c r="AN89" s="532"/>
      <c r="AO89" s="532"/>
      <c r="AP89" s="532"/>
      <c r="AQ89" s="532"/>
      <c r="AR89" s="532"/>
      <c r="AS89" s="532"/>
      <c r="AT89" s="532"/>
      <c r="AU89" s="532"/>
      <c r="AV89" s="532"/>
      <c r="AW89" s="532"/>
      <c r="AX89" s="532"/>
      <c r="AY89" s="532"/>
      <c r="AZ89" s="532"/>
      <c r="BA89" s="532"/>
      <c r="BB89" s="532"/>
      <c r="BC89" s="532"/>
      <c r="BD89" s="532"/>
      <c r="BE89" s="532"/>
      <c r="BF89" s="532"/>
      <c r="BG89" s="532"/>
      <c r="BH89" s="532"/>
      <c r="BI89" s="532"/>
      <c r="BJ89" s="532"/>
      <c r="BK89" s="532"/>
      <c r="BL89" s="532"/>
      <c r="BM89" s="532"/>
      <c r="BN89" s="532"/>
      <c r="BO89" s="532"/>
      <c r="BP89" s="532"/>
      <c r="BQ89" s="532"/>
      <c r="BR89" s="532"/>
      <c r="BS89" s="532"/>
      <c r="BT89" s="532"/>
      <c r="BU89" s="532"/>
      <c r="BV89" s="532"/>
      <c r="BW89" s="532"/>
      <c r="BX89" s="532"/>
      <c r="BY89" s="532"/>
      <c r="BZ89" s="532"/>
      <c r="CA89" s="532"/>
      <c r="CB89" s="532"/>
      <c r="CC89" s="532"/>
      <c r="CD89" s="532"/>
      <c r="CE89" s="532"/>
      <c r="CF89" s="532"/>
      <c r="CG89" s="532"/>
      <c r="CH89" s="532"/>
      <c r="CI89" s="532"/>
      <c r="CJ89" s="532"/>
      <c r="CK89" s="532"/>
      <c r="CL89" s="532"/>
      <c r="CM89" s="532"/>
      <c r="CN89" s="532"/>
      <c r="CO89" s="532"/>
      <c r="CP89" s="532"/>
      <c r="CQ89" s="532"/>
      <c r="CR89" s="532"/>
      <c r="CS89" s="532"/>
      <c r="CT89" s="532"/>
      <c r="CU89" s="532"/>
      <c r="CV89" s="532"/>
      <c r="CW89" s="532"/>
      <c r="CX89" s="532"/>
      <c r="CY89" s="532"/>
      <c r="CZ89" s="532"/>
      <c r="DA89" s="532"/>
      <c r="DB89" s="532"/>
      <c r="DC89" s="532"/>
      <c r="DD89" s="532"/>
      <c r="DE89" s="532"/>
      <c r="DF89" s="532"/>
      <c r="DG89" s="532"/>
      <c r="DH89" s="532"/>
      <c r="DI89" s="532"/>
      <c r="DJ89" s="532"/>
      <c r="DK89" s="532"/>
      <c r="DL89" s="532"/>
      <c r="DM89" s="532"/>
      <c r="DN89" s="532"/>
      <c r="DO89" s="532"/>
      <c r="DP89" s="532"/>
      <c r="DQ89" s="532"/>
      <c r="DR89" s="532"/>
      <c r="DS89" s="532"/>
      <c r="DT89" s="532"/>
      <c r="DU89" s="532"/>
      <c r="DV89" s="532"/>
      <c r="DW89" s="532"/>
      <c r="DX89" s="532"/>
      <c r="DY89" s="532"/>
      <c r="DZ89" s="532"/>
      <c r="EA89" s="532"/>
      <c r="EB89" s="532"/>
      <c r="EC89" s="532"/>
      <c r="ED89" s="532"/>
      <c r="EE89" s="532"/>
      <c r="EF89" s="532"/>
      <c r="EG89" s="532"/>
      <c r="EH89" s="532"/>
      <c r="EI89" s="532"/>
      <c r="EJ89" s="532"/>
      <c r="EK89" s="532"/>
      <c r="EL89" s="532"/>
      <c r="EM89" s="532"/>
      <c r="EN89" s="532"/>
      <c r="EO89" s="532"/>
      <c r="EP89" s="532"/>
      <c r="EQ89" s="532"/>
      <c r="ER89" s="532"/>
      <c r="ES89" s="532"/>
      <c r="ET89" s="532"/>
      <c r="EU89" s="532"/>
      <c r="EV89" s="532"/>
      <c r="EW89" s="532"/>
      <c r="EX89" s="532"/>
      <c r="EY89" s="532"/>
      <c r="EZ89" s="532"/>
      <c r="FA89" s="532"/>
      <c r="FB89" s="532"/>
      <c r="FC89" s="532"/>
      <c r="FD89" s="532"/>
      <c r="FE89" s="532"/>
      <c r="FF89" s="532"/>
      <c r="FG89" s="532"/>
      <c r="FH89" s="532"/>
      <c r="FI89" s="532"/>
      <c r="FJ89" s="532"/>
      <c r="FK89" s="532"/>
      <c r="FL89" s="532"/>
      <c r="FM89" s="532"/>
      <c r="FN89" s="532"/>
      <c r="FO89" s="532"/>
      <c r="FP89" s="532"/>
    </row>
    <row r="90" spans="1:172" ht="12" customHeight="1" x14ac:dyDescent="0.2">
      <c r="A90" s="538" t="s">
        <v>78</v>
      </c>
      <c r="B90" s="534"/>
      <c r="C90" s="534"/>
      <c r="D90" s="534"/>
      <c r="E90" s="534"/>
      <c r="F90" s="534"/>
      <c r="G90" s="534"/>
      <c r="H90" s="534"/>
      <c r="I90" s="534"/>
      <c r="J90" s="534"/>
      <c r="K90" s="658"/>
      <c r="L90" s="562"/>
      <c r="M90" s="562"/>
      <c r="N90" s="562"/>
      <c r="O90" s="530"/>
      <c r="P90" s="536"/>
      <c r="Q90" s="531"/>
      <c r="R90" s="531"/>
      <c r="S90" s="531"/>
      <c r="T90" s="531"/>
      <c r="U90" s="531"/>
      <c r="V90" s="531"/>
      <c r="W90" s="531"/>
      <c r="X90" s="531"/>
      <c r="Y90" s="531"/>
      <c r="Z90" s="531"/>
      <c r="AA90" s="531"/>
      <c r="AB90" s="531"/>
      <c r="AC90" s="531"/>
      <c r="AD90" s="531"/>
      <c r="AE90" s="531"/>
      <c r="AF90" s="531"/>
      <c r="AG90" s="531"/>
      <c r="AH90" s="532"/>
      <c r="AI90" s="532"/>
      <c r="AJ90" s="532"/>
      <c r="AK90" s="532"/>
      <c r="AL90" s="532"/>
      <c r="AM90" s="532"/>
      <c r="AN90" s="532"/>
      <c r="AO90" s="532"/>
      <c r="AP90" s="532"/>
      <c r="AQ90" s="532"/>
      <c r="AR90" s="532"/>
      <c r="AS90" s="532"/>
      <c r="AT90" s="532"/>
      <c r="AU90" s="532"/>
      <c r="AV90" s="532"/>
      <c r="AW90" s="532"/>
      <c r="AX90" s="532"/>
      <c r="AY90" s="532"/>
      <c r="AZ90" s="532"/>
      <c r="BA90" s="532"/>
      <c r="BB90" s="532"/>
      <c r="BC90" s="532"/>
      <c r="BD90" s="532"/>
      <c r="BE90" s="532"/>
      <c r="BF90" s="532"/>
      <c r="BG90" s="532"/>
      <c r="BH90" s="532"/>
      <c r="BI90" s="532"/>
      <c r="BJ90" s="532"/>
      <c r="BK90" s="532"/>
      <c r="BL90" s="532"/>
      <c r="BM90" s="532"/>
      <c r="BN90" s="532"/>
      <c r="BO90" s="532"/>
      <c r="BP90" s="532"/>
      <c r="BQ90" s="532"/>
      <c r="BR90" s="532"/>
      <c r="BS90" s="532"/>
      <c r="BT90" s="532"/>
      <c r="BU90" s="532"/>
      <c r="BV90" s="532"/>
      <c r="BW90" s="532"/>
      <c r="BX90" s="532"/>
      <c r="BY90" s="532"/>
      <c r="BZ90" s="532"/>
      <c r="CA90" s="532"/>
      <c r="CB90" s="532"/>
      <c r="CC90" s="532"/>
      <c r="CD90" s="532"/>
      <c r="CE90" s="532"/>
      <c r="CF90" s="532"/>
      <c r="CG90" s="532"/>
      <c r="CH90" s="532"/>
      <c r="CI90" s="532"/>
      <c r="CJ90" s="532"/>
      <c r="CK90" s="532"/>
      <c r="CL90" s="532"/>
      <c r="CM90" s="532"/>
      <c r="CN90" s="532"/>
      <c r="CO90" s="532"/>
      <c r="CP90" s="532"/>
      <c r="CQ90" s="532"/>
      <c r="CR90" s="532"/>
      <c r="CS90" s="532"/>
      <c r="CT90" s="532"/>
      <c r="CU90" s="532"/>
      <c r="CV90" s="532"/>
      <c r="CW90" s="532"/>
      <c r="CX90" s="532"/>
      <c r="CY90" s="532"/>
      <c r="CZ90" s="532"/>
      <c r="DA90" s="532"/>
      <c r="DB90" s="532"/>
      <c r="DC90" s="532"/>
      <c r="DD90" s="532"/>
      <c r="DE90" s="532"/>
      <c r="DF90" s="532"/>
      <c r="DG90" s="532"/>
      <c r="DH90" s="532"/>
      <c r="DI90" s="532"/>
      <c r="DJ90" s="532"/>
      <c r="DK90" s="532"/>
      <c r="DL90" s="532"/>
      <c r="DM90" s="532"/>
      <c r="DN90" s="532"/>
      <c r="DO90" s="532"/>
      <c r="DP90" s="532"/>
      <c r="DQ90" s="532"/>
      <c r="DR90" s="532"/>
      <c r="DS90" s="532"/>
      <c r="DT90" s="532"/>
      <c r="DU90" s="532"/>
      <c r="DV90" s="532"/>
      <c r="DW90" s="532"/>
      <c r="DX90" s="532"/>
      <c r="DY90" s="532"/>
      <c r="DZ90" s="532"/>
      <c r="EA90" s="532"/>
      <c r="EB90" s="532"/>
      <c r="EC90" s="532"/>
      <c r="ED90" s="532"/>
      <c r="EE90" s="532"/>
      <c r="EF90" s="532"/>
      <c r="EG90" s="532"/>
      <c r="EH90" s="532"/>
      <c r="EI90" s="532"/>
      <c r="EJ90" s="532"/>
      <c r="EK90" s="532"/>
      <c r="EL90" s="532"/>
      <c r="EM90" s="532"/>
      <c r="EN90" s="532"/>
      <c r="EO90" s="532"/>
      <c r="EP90" s="532"/>
      <c r="EQ90" s="532"/>
      <c r="ER90" s="532"/>
      <c r="ES90" s="532"/>
      <c r="ET90" s="532"/>
      <c r="EU90" s="532"/>
      <c r="EV90" s="532"/>
      <c r="EW90" s="532"/>
      <c r="EX90" s="532"/>
      <c r="EY90" s="532"/>
      <c r="EZ90" s="532"/>
      <c r="FA90" s="532"/>
      <c r="FB90" s="532"/>
      <c r="FC90" s="532"/>
      <c r="FD90" s="532"/>
      <c r="FE90" s="532"/>
      <c r="FF90" s="532"/>
      <c r="FG90" s="532"/>
      <c r="FH90" s="532"/>
      <c r="FI90" s="532"/>
      <c r="FJ90" s="532"/>
      <c r="FK90" s="532"/>
      <c r="FL90" s="532"/>
      <c r="FM90" s="532"/>
      <c r="FN90" s="532"/>
      <c r="FO90" s="532"/>
      <c r="FP90" s="532"/>
    </row>
    <row r="91" spans="1:172" ht="12" customHeight="1" x14ac:dyDescent="0.2">
      <c r="A91" s="533" t="s">
        <v>79</v>
      </c>
      <c r="B91" s="534"/>
      <c r="C91" s="208">
        <v>91</v>
      </c>
      <c r="D91" s="208">
        <v>74</v>
      </c>
      <c r="E91" s="208">
        <v>56</v>
      </c>
      <c r="F91" s="208">
        <v>80</v>
      </c>
      <c r="G91" s="208">
        <f>116-1</f>
        <v>115</v>
      </c>
      <c r="H91" s="208">
        <v>128</v>
      </c>
      <c r="I91" s="208">
        <v>98</v>
      </c>
      <c r="J91" s="208">
        <v>89</v>
      </c>
      <c r="K91" s="208">
        <v>115</v>
      </c>
      <c r="L91" s="562">
        <v>100</v>
      </c>
      <c r="M91" s="562">
        <v>137</v>
      </c>
      <c r="N91" s="562">
        <v>115</v>
      </c>
      <c r="O91" s="530">
        <f>SUM(C91:N91)</f>
        <v>1198</v>
      </c>
      <c r="P91" s="536"/>
      <c r="Q91" s="531"/>
      <c r="R91" s="531"/>
      <c r="S91" s="531"/>
      <c r="T91" s="531"/>
      <c r="U91" s="531"/>
      <c r="V91" s="531"/>
      <c r="W91" s="531"/>
      <c r="X91" s="531"/>
      <c r="Y91" s="531"/>
      <c r="Z91" s="531"/>
      <c r="AA91" s="531"/>
      <c r="AB91" s="531"/>
      <c r="AC91" s="531"/>
      <c r="AD91" s="531"/>
      <c r="AE91" s="531"/>
      <c r="AF91" s="531"/>
      <c r="AG91" s="531"/>
      <c r="AH91" s="532"/>
      <c r="AI91" s="532"/>
      <c r="AJ91" s="532"/>
      <c r="AK91" s="532"/>
      <c r="AL91" s="532"/>
      <c r="AM91" s="532"/>
      <c r="AN91" s="532"/>
      <c r="AO91" s="532"/>
      <c r="AP91" s="532"/>
      <c r="AQ91" s="532"/>
      <c r="AR91" s="532"/>
      <c r="AS91" s="532"/>
      <c r="AT91" s="532"/>
      <c r="AU91" s="532"/>
      <c r="AV91" s="532"/>
      <c r="AW91" s="532"/>
      <c r="AX91" s="532"/>
      <c r="AY91" s="532"/>
      <c r="AZ91" s="532"/>
      <c r="BA91" s="532"/>
      <c r="BB91" s="532"/>
      <c r="BC91" s="532"/>
      <c r="BD91" s="532"/>
      <c r="BE91" s="532"/>
      <c r="BF91" s="532"/>
      <c r="BG91" s="532"/>
      <c r="BH91" s="532"/>
      <c r="BI91" s="532"/>
      <c r="BJ91" s="532"/>
      <c r="BK91" s="532"/>
      <c r="BL91" s="532"/>
      <c r="BM91" s="532"/>
      <c r="BN91" s="532"/>
      <c r="BO91" s="532"/>
      <c r="BP91" s="532"/>
      <c r="BQ91" s="532"/>
      <c r="BR91" s="532"/>
      <c r="BS91" s="532"/>
      <c r="BT91" s="532"/>
      <c r="BU91" s="532"/>
      <c r="BV91" s="532"/>
      <c r="BW91" s="532"/>
      <c r="BX91" s="532"/>
      <c r="BY91" s="532"/>
      <c r="BZ91" s="532"/>
      <c r="CA91" s="532"/>
      <c r="CB91" s="532"/>
      <c r="CC91" s="532"/>
      <c r="CD91" s="532"/>
      <c r="CE91" s="532"/>
      <c r="CF91" s="532"/>
      <c r="CG91" s="532"/>
      <c r="CH91" s="532"/>
      <c r="CI91" s="532"/>
      <c r="CJ91" s="532"/>
      <c r="CK91" s="532"/>
      <c r="CL91" s="532"/>
      <c r="CM91" s="532"/>
      <c r="CN91" s="532"/>
      <c r="CO91" s="532"/>
      <c r="CP91" s="532"/>
      <c r="CQ91" s="532"/>
      <c r="CR91" s="532"/>
      <c r="CS91" s="532"/>
      <c r="CT91" s="532"/>
      <c r="CU91" s="532"/>
      <c r="CV91" s="532"/>
      <c r="CW91" s="532"/>
      <c r="CX91" s="532"/>
      <c r="CY91" s="532"/>
      <c r="CZ91" s="532"/>
      <c r="DA91" s="532"/>
      <c r="DB91" s="532"/>
      <c r="DC91" s="532"/>
      <c r="DD91" s="532"/>
      <c r="DE91" s="532"/>
      <c r="DF91" s="532"/>
      <c r="DG91" s="532"/>
      <c r="DH91" s="532"/>
      <c r="DI91" s="532"/>
      <c r="DJ91" s="532"/>
      <c r="DK91" s="532"/>
      <c r="DL91" s="532"/>
      <c r="DM91" s="532"/>
      <c r="DN91" s="532"/>
      <c r="DO91" s="532"/>
      <c r="DP91" s="532"/>
      <c r="DQ91" s="532"/>
      <c r="DR91" s="532"/>
      <c r="DS91" s="532"/>
      <c r="DT91" s="532"/>
      <c r="DU91" s="532"/>
      <c r="DV91" s="532"/>
      <c r="DW91" s="532"/>
      <c r="DX91" s="532"/>
      <c r="DY91" s="532"/>
      <c r="DZ91" s="532"/>
      <c r="EA91" s="532"/>
      <c r="EB91" s="532"/>
      <c r="EC91" s="532"/>
      <c r="ED91" s="532"/>
      <c r="EE91" s="532"/>
      <c r="EF91" s="532"/>
      <c r="EG91" s="532"/>
      <c r="EH91" s="532"/>
      <c r="EI91" s="532"/>
      <c r="EJ91" s="532"/>
      <c r="EK91" s="532"/>
      <c r="EL91" s="532"/>
      <c r="EM91" s="532"/>
      <c r="EN91" s="532"/>
      <c r="EO91" s="532"/>
      <c r="EP91" s="532"/>
      <c r="EQ91" s="532"/>
      <c r="ER91" s="532"/>
      <c r="ES91" s="532"/>
      <c r="ET91" s="532"/>
      <c r="EU91" s="532"/>
      <c r="EV91" s="532"/>
      <c r="EW91" s="532"/>
      <c r="EX91" s="532"/>
      <c r="EY91" s="532"/>
      <c r="EZ91" s="532"/>
      <c r="FA91" s="532"/>
      <c r="FB91" s="532"/>
      <c r="FC91" s="532"/>
      <c r="FD91" s="532"/>
      <c r="FE91" s="532"/>
      <c r="FF91" s="532"/>
      <c r="FG91" s="532"/>
      <c r="FH91" s="532"/>
      <c r="FI91" s="532"/>
      <c r="FJ91" s="532"/>
      <c r="FK91" s="532"/>
      <c r="FL91" s="532"/>
      <c r="FM91" s="532"/>
      <c r="FN91" s="532"/>
      <c r="FO91" s="532"/>
      <c r="FP91" s="532"/>
    </row>
    <row r="92" spans="1:172" ht="12" customHeight="1" x14ac:dyDescent="0.2">
      <c r="A92" s="533" t="s">
        <v>80</v>
      </c>
      <c r="B92" s="534"/>
      <c r="C92" s="208">
        <v>0</v>
      </c>
      <c r="D92" s="208">
        <v>0</v>
      </c>
      <c r="E92" s="208">
        <v>3</v>
      </c>
      <c r="F92" s="208">
        <v>0</v>
      </c>
      <c r="G92" s="208">
        <v>0</v>
      </c>
      <c r="H92" s="208">
        <v>0</v>
      </c>
      <c r="I92" s="208">
        <v>0</v>
      </c>
      <c r="J92" s="208">
        <v>0</v>
      </c>
      <c r="K92" s="208">
        <v>2</v>
      </c>
      <c r="L92" s="562">
        <v>4</v>
      </c>
      <c r="M92" s="562">
        <v>1</v>
      </c>
      <c r="N92" s="562">
        <v>2</v>
      </c>
      <c r="O92" s="530">
        <f t="shared" ref="O92:O98" si="87">SUM(C92:N92)</f>
        <v>12</v>
      </c>
      <c r="P92" s="536"/>
      <c r="Q92" s="531"/>
      <c r="R92" s="531"/>
      <c r="S92" s="531"/>
      <c r="T92" s="531"/>
      <c r="U92" s="531"/>
      <c r="V92" s="531"/>
      <c r="W92" s="531"/>
      <c r="X92" s="531"/>
      <c r="Y92" s="531"/>
      <c r="Z92" s="531"/>
      <c r="AA92" s="531"/>
      <c r="AB92" s="531"/>
      <c r="AC92" s="531"/>
      <c r="AD92" s="531"/>
      <c r="AE92" s="531"/>
      <c r="AF92" s="531"/>
      <c r="AG92" s="531"/>
      <c r="AH92" s="532"/>
      <c r="AI92" s="532"/>
      <c r="AJ92" s="532"/>
      <c r="AK92" s="532"/>
      <c r="AL92" s="532"/>
      <c r="AM92" s="532"/>
      <c r="AN92" s="532"/>
      <c r="AO92" s="532"/>
      <c r="AP92" s="532"/>
      <c r="AQ92" s="532"/>
      <c r="AR92" s="532"/>
      <c r="AS92" s="532"/>
      <c r="AT92" s="532"/>
      <c r="AU92" s="532"/>
      <c r="AV92" s="532"/>
      <c r="AW92" s="532"/>
      <c r="AX92" s="532"/>
      <c r="AY92" s="532"/>
      <c r="AZ92" s="532"/>
      <c r="BA92" s="532"/>
      <c r="BB92" s="532"/>
      <c r="BC92" s="532"/>
      <c r="BD92" s="532"/>
      <c r="BE92" s="532"/>
      <c r="BF92" s="532"/>
      <c r="BG92" s="532"/>
      <c r="BH92" s="532"/>
      <c r="BI92" s="532"/>
      <c r="BJ92" s="532"/>
      <c r="BK92" s="532"/>
      <c r="BL92" s="532"/>
      <c r="BM92" s="532"/>
      <c r="BN92" s="532"/>
      <c r="BO92" s="532"/>
      <c r="BP92" s="532"/>
      <c r="BQ92" s="532"/>
      <c r="BR92" s="532"/>
      <c r="BS92" s="532"/>
      <c r="BT92" s="532"/>
      <c r="BU92" s="532"/>
      <c r="BV92" s="532"/>
      <c r="BW92" s="532"/>
      <c r="BX92" s="532"/>
      <c r="BY92" s="532"/>
      <c r="BZ92" s="532"/>
      <c r="CA92" s="532"/>
      <c r="CB92" s="532"/>
      <c r="CC92" s="532"/>
      <c r="CD92" s="532"/>
      <c r="CE92" s="532"/>
      <c r="CF92" s="532"/>
      <c r="CG92" s="532"/>
      <c r="CH92" s="532"/>
      <c r="CI92" s="532"/>
      <c r="CJ92" s="532"/>
      <c r="CK92" s="532"/>
      <c r="CL92" s="532"/>
      <c r="CM92" s="532"/>
      <c r="CN92" s="532"/>
      <c r="CO92" s="532"/>
      <c r="CP92" s="532"/>
      <c r="CQ92" s="532"/>
      <c r="CR92" s="532"/>
      <c r="CS92" s="532"/>
      <c r="CT92" s="532"/>
      <c r="CU92" s="532"/>
      <c r="CV92" s="532"/>
      <c r="CW92" s="532"/>
      <c r="CX92" s="532"/>
      <c r="CY92" s="532"/>
      <c r="CZ92" s="532"/>
      <c r="DA92" s="532"/>
      <c r="DB92" s="532"/>
      <c r="DC92" s="532"/>
      <c r="DD92" s="532"/>
      <c r="DE92" s="532"/>
      <c r="DF92" s="532"/>
      <c r="DG92" s="532"/>
      <c r="DH92" s="532"/>
      <c r="DI92" s="532"/>
      <c r="DJ92" s="532"/>
      <c r="DK92" s="532"/>
      <c r="DL92" s="532"/>
      <c r="DM92" s="532"/>
      <c r="DN92" s="532"/>
      <c r="DO92" s="532"/>
      <c r="DP92" s="532"/>
      <c r="DQ92" s="532"/>
      <c r="DR92" s="532"/>
      <c r="DS92" s="532"/>
      <c r="DT92" s="532"/>
      <c r="DU92" s="532"/>
      <c r="DV92" s="532"/>
      <c r="DW92" s="532"/>
      <c r="DX92" s="532"/>
      <c r="DY92" s="532"/>
      <c r="DZ92" s="532"/>
      <c r="EA92" s="532"/>
      <c r="EB92" s="532"/>
      <c r="EC92" s="532"/>
      <c r="ED92" s="532"/>
      <c r="EE92" s="532"/>
      <c r="EF92" s="532"/>
      <c r="EG92" s="532"/>
      <c r="EH92" s="532"/>
      <c r="EI92" s="532"/>
      <c r="EJ92" s="532"/>
      <c r="EK92" s="532"/>
      <c r="EL92" s="532"/>
      <c r="EM92" s="532"/>
      <c r="EN92" s="532"/>
      <c r="EO92" s="532"/>
      <c r="EP92" s="532"/>
      <c r="EQ92" s="532"/>
      <c r="ER92" s="532"/>
      <c r="ES92" s="532"/>
      <c r="ET92" s="532"/>
      <c r="EU92" s="532"/>
      <c r="EV92" s="532"/>
      <c r="EW92" s="532"/>
      <c r="EX92" s="532"/>
      <c r="EY92" s="532"/>
      <c r="EZ92" s="532"/>
      <c r="FA92" s="532"/>
      <c r="FB92" s="532"/>
      <c r="FC92" s="532"/>
      <c r="FD92" s="532"/>
      <c r="FE92" s="532"/>
      <c r="FF92" s="532"/>
      <c r="FG92" s="532"/>
      <c r="FH92" s="532"/>
      <c r="FI92" s="532"/>
      <c r="FJ92" s="532"/>
      <c r="FK92" s="532"/>
      <c r="FL92" s="532"/>
      <c r="FM92" s="532"/>
      <c r="FN92" s="532"/>
      <c r="FO92" s="532"/>
      <c r="FP92" s="532"/>
    </row>
    <row r="93" spans="1:172" ht="12" customHeight="1" x14ac:dyDescent="0.2">
      <c r="A93" s="533" t="s">
        <v>81</v>
      </c>
      <c r="B93" s="534"/>
      <c r="C93" s="208">
        <v>4</v>
      </c>
      <c r="D93" s="208">
        <v>12</v>
      </c>
      <c r="E93" s="208">
        <v>6</v>
      </c>
      <c r="F93" s="208">
        <v>9</v>
      </c>
      <c r="G93" s="208">
        <v>19</v>
      </c>
      <c r="H93" s="208">
        <v>10</v>
      </c>
      <c r="I93" s="208">
        <f>5</f>
        <v>5</v>
      </c>
      <c r="J93" s="208">
        <v>4</v>
      </c>
      <c r="K93" s="208">
        <v>7</v>
      </c>
      <c r="L93" s="562">
        <v>0</v>
      </c>
      <c r="M93" s="562">
        <v>25</v>
      </c>
      <c r="N93" s="562">
        <v>12</v>
      </c>
      <c r="O93" s="530">
        <f t="shared" si="87"/>
        <v>113</v>
      </c>
      <c r="P93" s="536"/>
      <c r="Q93" s="531"/>
      <c r="R93" s="531"/>
      <c r="S93" s="531"/>
      <c r="T93" s="531"/>
      <c r="U93" s="531"/>
      <c r="V93" s="531"/>
      <c r="W93" s="531"/>
      <c r="X93" s="531"/>
      <c r="Y93" s="531"/>
      <c r="Z93" s="531"/>
      <c r="AA93" s="531"/>
      <c r="AB93" s="531"/>
      <c r="AC93" s="531"/>
      <c r="AD93" s="531"/>
      <c r="AE93" s="531"/>
      <c r="AF93" s="531"/>
      <c r="AG93" s="531"/>
      <c r="AH93" s="532"/>
      <c r="AI93" s="532"/>
      <c r="AJ93" s="532"/>
      <c r="AK93" s="532"/>
      <c r="AL93" s="532"/>
      <c r="AM93" s="532"/>
      <c r="AN93" s="532"/>
      <c r="AO93" s="532"/>
      <c r="AP93" s="532"/>
      <c r="AQ93" s="532"/>
      <c r="AR93" s="532"/>
      <c r="AS93" s="532"/>
      <c r="AT93" s="532"/>
      <c r="AU93" s="532"/>
      <c r="AV93" s="532"/>
      <c r="AW93" s="532"/>
      <c r="AX93" s="532"/>
      <c r="AY93" s="532"/>
      <c r="AZ93" s="532"/>
      <c r="BA93" s="532"/>
      <c r="BB93" s="532"/>
      <c r="BC93" s="532"/>
      <c r="BD93" s="532"/>
      <c r="BE93" s="532"/>
      <c r="BF93" s="532"/>
      <c r="BG93" s="532"/>
      <c r="BH93" s="532"/>
      <c r="BI93" s="532"/>
      <c r="BJ93" s="532"/>
      <c r="BK93" s="532"/>
      <c r="BL93" s="532"/>
      <c r="BM93" s="532"/>
      <c r="BN93" s="532"/>
      <c r="BO93" s="532"/>
      <c r="BP93" s="532"/>
      <c r="BQ93" s="532"/>
      <c r="BR93" s="532"/>
      <c r="BS93" s="532"/>
      <c r="BT93" s="532"/>
      <c r="BU93" s="532"/>
      <c r="BV93" s="532"/>
      <c r="BW93" s="532"/>
      <c r="BX93" s="532"/>
      <c r="BY93" s="532"/>
      <c r="BZ93" s="532"/>
      <c r="CA93" s="532"/>
      <c r="CB93" s="532"/>
      <c r="CC93" s="532"/>
      <c r="CD93" s="532"/>
      <c r="CE93" s="532"/>
      <c r="CF93" s="532"/>
      <c r="CG93" s="532"/>
      <c r="CH93" s="532"/>
      <c r="CI93" s="532"/>
      <c r="CJ93" s="532"/>
      <c r="CK93" s="532"/>
      <c r="CL93" s="532"/>
      <c r="CM93" s="532"/>
      <c r="CN93" s="532"/>
      <c r="CO93" s="532"/>
      <c r="CP93" s="532"/>
      <c r="CQ93" s="532"/>
      <c r="CR93" s="532"/>
      <c r="CS93" s="532"/>
      <c r="CT93" s="532"/>
      <c r="CU93" s="532"/>
      <c r="CV93" s="532"/>
      <c r="CW93" s="532"/>
      <c r="CX93" s="532"/>
      <c r="CY93" s="532"/>
      <c r="CZ93" s="532"/>
      <c r="DA93" s="532"/>
      <c r="DB93" s="532"/>
      <c r="DC93" s="532"/>
      <c r="DD93" s="532"/>
      <c r="DE93" s="532"/>
      <c r="DF93" s="532"/>
      <c r="DG93" s="532"/>
      <c r="DH93" s="532"/>
      <c r="DI93" s="532"/>
      <c r="DJ93" s="532"/>
      <c r="DK93" s="532"/>
      <c r="DL93" s="532"/>
      <c r="DM93" s="532"/>
      <c r="DN93" s="532"/>
      <c r="DO93" s="532"/>
      <c r="DP93" s="532"/>
      <c r="DQ93" s="532"/>
      <c r="DR93" s="532"/>
      <c r="DS93" s="532"/>
      <c r="DT93" s="532"/>
      <c r="DU93" s="532"/>
      <c r="DV93" s="532"/>
      <c r="DW93" s="532"/>
      <c r="DX93" s="532"/>
      <c r="DY93" s="532"/>
      <c r="DZ93" s="532"/>
      <c r="EA93" s="532"/>
      <c r="EB93" s="532"/>
      <c r="EC93" s="532"/>
      <c r="ED93" s="532"/>
      <c r="EE93" s="532"/>
      <c r="EF93" s="532"/>
      <c r="EG93" s="532"/>
      <c r="EH93" s="532"/>
      <c r="EI93" s="532"/>
      <c r="EJ93" s="532"/>
      <c r="EK93" s="532"/>
      <c r="EL93" s="532"/>
      <c r="EM93" s="532"/>
      <c r="EN93" s="532"/>
      <c r="EO93" s="532"/>
      <c r="EP93" s="532"/>
      <c r="EQ93" s="532"/>
      <c r="ER93" s="532"/>
      <c r="ES93" s="532"/>
      <c r="ET93" s="532"/>
      <c r="EU93" s="532"/>
      <c r="EV93" s="532"/>
      <c r="EW93" s="532"/>
      <c r="EX93" s="532"/>
      <c r="EY93" s="532"/>
      <c r="EZ93" s="532"/>
      <c r="FA93" s="532"/>
      <c r="FB93" s="532"/>
      <c r="FC93" s="532"/>
      <c r="FD93" s="532"/>
      <c r="FE93" s="532"/>
      <c r="FF93" s="532"/>
      <c r="FG93" s="532"/>
      <c r="FH93" s="532"/>
      <c r="FI93" s="532"/>
      <c r="FJ93" s="532"/>
      <c r="FK93" s="532"/>
      <c r="FL93" s="532"/>
      <c r="FM93" s="532"/>
      <c r="FN93" s="532"/>
      <c r="FO93" s="532"/>
      <c r="FP93" s="532"/>
    </row>
    <row r="94" spans="1:172" ht="12" customHeight="1" x14ac:dyDescent="0.2">
      <c r="A94" s="533" t="s">
        <v>82</v>
      </c>
      <c r="B94" s="534"/>
      <c r="C94" s="208">
        <v>21</v>
      </c>
      <c r="D94" s="208">
        <v>47</v>
      </c>
      <c r="E94" s="208">
        <v>37</v>
      </c>
      <c r="F94" s="208">
        <v>33</v>
      </c>
      <c r="G94" s="208">
        <v>18</v>
      </c>
      <c r="H94" s="208">
        <v>24</v>
      </c>
      <c r="I94" s="208">
        <f>24</f>
        <v>24</v>
      </c>
      <c r="J94" s="208">
        <v>27</v>
      </c>
      <c r="K94" s="208">
        <v>25</v>
      </c>
      <c r="L94" s="562">
        <v>22</v>
      </c>
      <c r="M94" s="562">
        <v>37</v>
      </c>
      <c r="N94" s="562">
        <v>25</v>
      </c>
      <c r="O94" s="530">
        <f t="shared" si="87"/>
        <v>340</v>
      </c>
      <c r="P94" s="536"/>
      <c r="Q94" s="531"/>
      <c r="R94" s="531"/>
      <c r="S94" s="531"/>
      <c r="T94" s="531"/>
      <c r="U94" s="531"/>
      <c r="V94" s="531"/>
      <c r="W94" s="531"/>
      <c r="X94" s="531"/>
      <c r="Y94" s="531"/>
      <c r="Z94" s="531"/>
      <c r="AA94" s="531"/>
      <c r="AB94" s="531"/>
      <c r="AC94" s="531"/>
      <c r="AD94" s="531"/>
      <c r="AE94" s="531"/>
      <c r="AF94" s="531"/>
      <c r="AG94" s="531"/>
      <c r="AH94" s="532"/>
      <c r="AI94" s="532"/>
      <c r="AJ94" s="532"/>
      <c r="AK94" s="532"/>
      <c r="AL94" s="532"/>
      <c r="AM94" s="532"/>
      <c r="AN94" s="532"/>
      <c r="AO94" s="532"/>
      <c r="AP94" s="532"/>
      <c r="AQ94" s="532"/>
      <c r="AR94" s="532"/>
      <c r="AS94" s="532"/>
      <c r="AT94" s="532"/>
      <c r="AU94" s="532"/>
      <c r="AV94" s="532"/>
      <c r="AW94" s="532"/>
      <c r="AX94" s="532"/>
      <c r="AY94" s="532"/>
      <c r="AZ94" s="532"/>
      <c r="BA94" s="532"/>
      <c r="BB94" s="532"/>
      <c r="BC94" s="532"/>
      <c r="BD94" s="532"/>
      <c r="BE94" s="532"/>
      <c r="BF94" s="532"/>
      <c r="BG94" s="532"/>
      <c r="BH94" s="532"/>
      <c r="BI94" s="532"/>
      <c r="BJ94" s="532"/>
      <c r="BK94" s="532"/>
      <c r="BL94" s="532"/>
      <c r="BM94" s="532"/>
      <c r="BN94" s="532"/>
      <c r="BO94" s="532"/>
      <c r="BP94" s="532"/>
      <c r="BQ94" s="532"/>
      <c r="BR94" s="532"/>
      <c r="BS94" s="532"/>
      <c r="BT94" s="532"/>
      <c r="BU94" s="532"/>
      <c r="BV94" s="532"/>
      <c r="BW94" s="532"/>
      <c r="BX94" s="532"/>
      <c r="BY94" s="532"/>
      <c r="BZ94" s="532"/>
      <c r="CA94" s="532"/>
      <c r="CB94" s="532"/>
      <c r="CC94" s="532"/>
      <c r="CD94" s="532"/>
      <c r="CE94" s="532"/>
      <c r="CF94" s="532"/>
      <c r="CG94" s="532"/>
      <c r="CH94" s="532"/>
      <c r="CI94" s="532"/>
      <c r="CJ94" s="532"/>
      <c r="CK94" s="532"/>
      <c r="CL94" s="532"/>
      <c r="CM94" s="532"/>
      <c r="CN94" s="532"/>
      <c r="CO94" s="532"/>
      <c r="CP94" s="532"/>
      <c r="CQ94" s="532"/>
      <c r="CR94" s="532"/>
      <c r="CS94" s="532"/>
      <c r="CT94" s="532"/>
      <c r="CU94" s="532"/>
      <c r="CV94" s="532"/>
      <c r="CW94" s="532"/>
      <c r="CX94" s="532"/>
      <c r="CY94" s="532"/>
      <c r="CZ94" s="532"/>
      <c r="DA94" s="532"/>
      <c r="DB94" s="532"/>
      <c r="DC94" s="532"/>
      <c r="DD94" s="532"/>
      <c r="DE94" s="532"/>
      <c r="DF94" s="532"/>
      <c r="DG94" s="532"/>
      <c r="DH94" s="532"/>
      <c r="DI94" s="532"/>
      <c r="DJ94" s="532"/>
      <c r="DK94" s="532"/>
      <c r="DL94" s="532"/>
      <c r="DM94" s="532"/>
      <c r="DN94" s="532"/>
      <c r="DO94" s="532"/>
      <c r="DP94" s="532"/>
      <c r="DQ94" s="532"/>
      <c r="DR94" s="532"/>
      <c r="DS94" s="532"/>
      <c r="DT94" s="532"/>
      <c r="DU94" s="532"/>
      <c r="DV94" s="532"/>
      <c r="DW94" s="532"/>
      <c r="DX94" s="532"/>
      <c r="DY94" s="532"/>
      <c r="DZ94" s="532"/>
      <c r="EA94" s="532"/>
      <c r="EB94" s="532"/>
      <c r="EC94" s="532"/>
      <c r="ED94" s="532"/>
      <c r="EE94" s="532"/>
      <c r="EF94" s="532"/>
      <c r="EG94" s="532"/>
      <c r="EH94" s="532"/>
      <c r="EI94" s="532"/>
      <c r="EJ94" s="532"/>
      <c r="EK94" s="532"/>
      <c r="EL94" s="532"/>
      <c r="EM94" s="532"/>
      <c r="EN94" s="532"/>
      <c r="EO94" s="532"/>
      <c r="EP94" s="532"/>
      <c r="EQ94" s="532"/>
      <c r="ER94" s="532"/>
      <c r="ES94" s="532"/>
      <c r="ET94" s="532"/>
      <c r="EU94" s="532"/>
      <c r="EV94" s="532"/>
      <c r="EW94" s="532"/>
      <c r="EX94" s="532"/>
      <c r="EY94" s="532"/>
      <c r="EZ94" s="532"/>
      <c r="FA94" s="532"/>
      <c r="FB94" s="532"/>
      <c r="FC94" s="532"/>
      <c r="FD94" s="532"/>
      <c r="FE94" s="532"/>
      <c r="FF94" s="532"/>
      <c r="FG94" s="532"/>
      <c r="FH94" s="532"/>
      <c r="FI94" s="532"/>
      <c r="FJ94" s="532"/>
      <c r="FK94" s="532"/>
      <c r="FL94" s="532"/>
      <c r="FM94" s="532"/>
      <c r="FN94" s="532"/>
      <c r="FO94" s="532"/>
      <c r="FP94" s="532"/>
    </row>
    <row r="95" spans="1:172" ht="12" customHeight="1" x14ac:dyDescent="0.2">
      <c r="A95" s="533" t="s">
        <v>83</v>
      </c>
      <c r="B95" s="534"/>
      <c r="C95" s="208">
        <v>14</v>
      </c>
      <c r="D95" s="208">
        <v>8</v>
      </c>
      <c r="E95" s="208">
        <v>11</v>
      </c>
      <c r="F95" s="208">
        <v>8</v>
      </c>
      <c r="G95" s="208">
        <v>2</v>
      </c>
      <c r="H95" s="208">
        <v>15</v>
      </c>
      <c r="I95" s="208">
        <v>7</v>
      </c>
      <c r="J95" s="208">
        <v>3</v>
      </c>
      <c r="K95" s="208">
        <v>12</v>
      </c>
      <c r="L95" s="562">
        <v>2</v>
      </c>
      <c r="M95" s="562">
        <v>2</v>
      </c>
      <c r="N95" s="562">
        <v>0</v>
      </c>
      <c r="O95" s="530">
        <f t="shared" si="87"/>
        <v>84</v>
      </c>
      <c r="P95" s="536"/>
      <c r="Q95" s="531"/>
      <c r="R95" s="531"/>
      <c r="S95" s="531"/>
      <c r="T95" s="531"/>
      <c r="U95" s="531"/>
      <c r="V95" s="531"/>
      <c r="W95" s="531"/>
      <c r="X95" s="531"/>
      <c r="Y95" s="531"/>
      <c r="Z95" s="531"/>
      <c r="AA95" s="531"/>
      <c r="AB95" s="531"/>
      <c r="AC95" s="531"/>
      <c r="AD95" s="531"/>
      <c r="AE95" s="531"/>
      <c r="AF95" s="531"/>
      <c r="AG95" s="531"/>
      <c r="AH95" s="532"/>
      <c r="AI95" s="532"/>
      <c r="AJ95" s="532"/>
      <c r="AK95" s="532"/>
      <c r="AL95" s="532"/>
      <c r="AM95" s="532"/>
      <c r="AN95" s="532"/>
      <c r="AO95" s="532"/>
      <c r="AP95" s="532"/>
      <c r="AQ95" s="532"/>
      <c r="AR95" s="532"/>
      <c r="AS95" s="532"/>
      <c r="AT95" s="532"/>
      <c r="AU95" s="532"/>
      <c r="AV95" s="532"/>
      <c r="AW95" s="532"/>
      <c r="AX95" s="532"/>
      <c r="AY95" s="532"/>
      <c r="AZ95" s="532"/>
      <c r="BA95" s="532"/>
      <c r="BB95" s="532"/>
      <c r="BC95" s="532"/>
      <c r="BD95" s="532"/>
      <c r="BE95" s="532"/>
      <c r="BF95" s="532"/>
      <c r="BG95" s="532"/>
      <c r="BH95" s="532"/>
      <c r="BI95" s="532"/>
      <c r="BJ95" s="532"/>
      <c r="BK95" s="532"/>
      <c r="BL95" s="532"/>
      <c r="BM95" s="532"/>
      <c r="BN95" s="532"/>
      <c r="BO95" s="532"/>
      <c r="BP95" s="532"/>
      <c r="BQ95" s="532"/>
      <c r="BR95" s="532"/>
      <c r="BS95" s="532"/>
      <c r="BT95" s="532"/>
      <c r="BU95" s="532"/>
      <c r="BV95" s="532"/>
      <c r="BW95" s="532"/>
      <c r="BX95" s="532"/>
      <c r="BY95" s="532"/>
      <c r="BZ95" s="532"/>
      <c r="CA95" s="532"/>
      <c r="CB95" s="532"/>
      <c r="CC95" s="532"/>
      <c r="CD95" s="532"/>
      <c r="CE95" s="532"/>
      <c r="CF95" s="532"/>
      <c r="CG95" s="532"/>
      <c r="CH95" s="532"/>
      <c r="CI95" s="532"/>
      <c r="CJ95" s="532"/>
      <c r="CK95" s="532"/>
      <c r="CL95" s="532"/>
      <c r="CM95" s="532"/>
      <c r="CN95" s="532"/>
      <c r="CO95" s="532"/>
      <c r="CP95" s="532"/>
      <c r="CQ95" s="532"/>
      <c r="CR95" s="532"/>
      <c r="CS95" s="532"/>
      <c r="CT95" s="532"/>
      <c r="CU95" s="532"/>
      <c r="CV95" s="532"/>
      <c r="CW95" s="532"/>
      <c r="CX95" s="532"/>
      <c r="CY95" s="532"/>
      <c r="CZ95" s="532"/>
      <c r="DA95" s="532"/>
      <c r="DB95" s="532"/>
      <c r="DC95" s="532"/>
      <c r="DD95" s="532"/>
      <c r="DE95" s="532"/>
      <c r="DF95" s="532"/>
      <c r="DG95" s="532"/>
      <c r="DH95" s="532"/>
      <c r="DI95" s="532"/>
      <c r="DJ95" s="532"/>
      <c r="DK95" s="532"/>
      <c r="DL95" s="532"/>
      <c r="DM95" s="532"/>
      <c r="DN95" s="532"/>
      <c r="DO95" s="532"/>
      <c r="DP95" s="532"/>
      <c r="DQ95" s="532"/>
      <c r="DR95" s="532"/>
      <c r="DS95" s="532"/>
      <c r="DT95" s="532"/>
      <c r="DU95" s="532"/>
      <c r="DV95" s="532"/>
      <c r="DW95" s="532"/>
      <c r="DX95" s="532"/>
      <c r="DY95" s="532"/>
      <c r="DZ95" s="532"/>
      <c r="EA95" s="532"/>
      <c r="EB95" s="532"/>
      <c r="EC95" s="532"/>
      <c r="ED95" s="532"/>
      <c r="EE95" s="532"/>
      <c r="EF95" s="532"/>
      <c r="EG95" s="532"/>
      <c r="EH95" s="532"/>
      <c r="EI95" s="532"/>
      <c r="EJ95" s="532"/>
      <c r="EK95" s="532"/>
      <c r="EL95" s="532"/>
      <c r="EM95" s="532"/>
      <c r="EN95" s="532"/>
      <c r="EO95" s="532"/>
      <c r="EP95" s="532"/>
      <c r="EQ95" s="532"/>
      <c r="ER95" s="532"/>
      <c r="ES95" s="532"/>
      <c r="ET95" s="532"/>
      <c r="EU95" s="532"/>
      <c r="EV95" s="532"/>
      <c r="EW95" s="532"/>
      <c r="EX95" s="532"/>
      <c r="EY95" s="532"/>
      <c r="EZ95" s="532"/>
      <c r="FA95" s="532"/>
      <c r="FB95" s="532"/>
      <c r="FC95" s="532"/>
      <c r="FD95" s="532"/>
      <c r="FE95" s="532"/>
      <c r="FF95" s="532"/>
      <c r="FG95" s="532"/>
      <c r="FH95" s="532"/>
      <c r="FI95" s="532"/>
      <c r="FJ95" s="532"/>
      <c r="FK95" s="532"/>
      <c r="FL95" s="532"/>
      <c r="FM95" s="532"/>
      <c r="FN95" s="532"/>
      <c r="FO95" s="532"/>
      <c r="FP95" s="532"/>
    </row>
    <row r="96" spans="1:172" ht="12" customHeight="1" x14ac:dyDescent="0.2">
      <c r="A96" s="533" t="s">
        <v>84</v>
      </c>
      <c r="B96" s="534"/>
      <c r="C96" s="208">
        <v>3</v>
      </c>
      <c r="D96" s="208">
        <v>3</v>
      </c>
      <c r="E96" s="208">
        <v>13</v>
      </c>
      <c r="F96" s="208">
        <v>1</v>
      </c>
      <c r="G96" s="208">
        <v>26</v>
      </c>
      <c r="H96" s="208">
        <v>3</v>
      </c>
      <c r="I96" s="208">
        <v>5</v>
      </c>
      <c r="J96" s="208">
        <v>1</v>
      </c>
      <c r="K96" s="208">
        <v>27</v>
      </c>
      <c r="L96" s="562">
        <v>19</v>
      </c>
      <c r="M96" s="562">
        <v>10</v>
      </c>
      <c r="N96" s="562">
        <v>0</v>
      </c>
      <c r="O96" s="530">
        <f t="shared" si="87"/>
        <v>111</v>
      </c>
      <c r="P96" s="536"/>
      <c r="Q96" s="531"/>
      <c r="R96" s="531"/>
      <c r="S96" s="531"/>
      <c r="T96" s="531"/>
      <c r="U96" s="531"/>
      <c r="V96" s="531"/>
      <c r="W96" s="531"/>
      <c r="X96" s="531"/>
      <c r="Y96" s="531"/>
      <c r="Z96" s="531"/>
      <c r="AA96" s="531"/>
      <c r="AB96" s="531"/>
      <c r="AC96" s="531"/>
      <c r="AD96" s="531"/>
      <c r="AE96" s="531"/>
      <c r="AF96" s="531"/>
      <c r="AG96" s="531"/>
      <c r="AH96" s="532"/>
      <c r="AI96" s="532"/>
      <c r="AJ96" s="532"/>
      <c r="AK96" s="532"/>
      <c r="AL96" s="532"/>
      <c r="AM96" s="532"/>
      <c r="AN96" s="532"/>
      <c r="AO96" s="532"/>
      <c r="AP96" s="532"/>
      <c r="AQ96" s="532"/>
      <c r="AR96" s="532"/>
      <c r="AS96" s="532"/>
      <c r="AT96" s="532"/>
      <c r="AU96" s="532"/>
      <c r="AV96" s="532"/>
      <c r="AW96" s="532"/>
      <c r="AX96" s="532"/>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532"/>
      <c r="CG96" s="532"/>
      <c r="CH96" s="532"/>
      <c r="CI96" s="532"/>
      <c r="CJ96" s="532"/>
      <c r="CK96" s="532"/>
      <c r="CL96" s="532"/>
      <c r="CM96" s="532"/>
      <c r="CN96" s="532"/>
      <c r="CO96" s="532"/>
      <c r="CP96" s="532"/>
      <c r="CQ96" s="532"/>
      <c r="CR96" s="532"/>
      <c r="CS96" s="532"/>
      <c r="CT96" s="532"/>
      <c r="CU96" s="532"/>
      <c r="CV96" s="532"/>
      <c r="CW96" s="532"/>
      <c r="CX96" s="532"/>
      <c r="CY96" s="532"/>
      <c r="CZ96" s="532"/>
      <c r="DA96" s="532"/>
      <c r="DB96" s="532"/>
      <c r="DC96" s="532"/>
      <c r="DD96" s="532"/>
      <c r="DE96" s="532"/>
      <c r="DF96" s="532"/>
      <c r="DG96" s="532"/>
      <c r="DH96" s="532"/>
      <c r="DI96" s="532"/>
      <c r="DJ96" s="532"/>
      <c r="DK96" s="532"/>
      <c r="DL96" s="532"/>
      <c r="DM96" s="532"/>
      <c r="DN96" s="532"/>
      <c r="DO96" s="532"/>
      <c r="DP96" s="532"/>
      <c r="DQ96" s="532"/>
      <c r="DR96" s="532"/>
      <c r="DS96" s="532"/>
      <c r="DT96" s="532"/>
      <c r="DU96" s="532"/>
      <c r="DV96" s="532"/>
      <c r="DW96" s="532"/>
      <c r="DX96" s="532"/>
      <c r="DY96" s="532"/>
      <c r="DZ96" s="532"/>
      <c r="EA96" s="532"/>
      <c r="EB96" s="532"/>
      <c r="EC96" s="532"/>
      <c r="ED96" s="532"/>
      <c r="EE96" s="532"/>
      <c r="EF96" s="532"/>
      <c r="EG96" s="532"/>
      <c r="EH96" s="532"/>
      <c r="EI96" s="532"/>
      <c r="EJ96" s="532"/>
      <c r="EK96" s="532"/>
      <c r="EL96" s="532"/>
      <c r="EM96" s="532"/>
      <c r="EN96" s="532"/>
      <c r="EO96" s="532"/>
      <c r="EP96" s="532"/>
      <c r="EQ96" s="532"/>
      <c r="ER96" s="532"/>
      <c r="ES96" s="532"/>
      <c r="ET96" s="532"/>
      <c r="EU96" s="532"/>
      <c r="EV96" s="532"/>
      <c r="EW96" s="532"/>
      <c r="EX96" s="532"/>
      <c r="EY96" s="532"/>
      <c r="EZ96" s="532"/>
      <c r="FA96" s="532"/>
      <c r="FB96" s="532"/>
      <c r="FC96" s="532"/>
      <c r="FD96" s="532"/>
      <c r="FE96" s="532"/>
      <c r="FF96" s="532"/>
      <c r="FG96" s="532"/>
      <c r="FH96" s="532"/>
      <c r="FI96" s="532"/>
      <c r="FJ96" s="532"/>
      <c r="FK96" s="532"/>
      <c r="FL96" s="532"/>
      <c r="FM96" s="532"/>
      <c r="FN96" s="532"/>
      <c r="FO96" s="532"/>
      <c r="FP96" s="532"/>
    </row>
    <row r="97" spans="1:172" ht="12" customHeight="1" x14ac:dyDescent="0.2">
      <c r="A97" s="533" t="s">
        <v>85</v>
      </c>
      <c r="B97" s="534"/>
      <c r="C97" s="208">
        <v>2</v>
      </c>
      <c r="D97" s="208">
        <v>19</v>
      </c>
      <c r="E97" s="208">
        <v>9</v>
      </c>
      <c r="F97" s="208">
        <f>3+3+1</f>
        <v>7</v>
      </c>
      <c r="G97" s="208">
        <f>3+2</f>
        <v>5</v>
      </c>
      <c r="H97" s="208">
        <f>27+15+1</f>
        <v>43</v>
      </c>
      <c r="I97" s="208">
        <f>1+10</f>
        <v>11</v>
      </c>
      <c r="J97" s="208">
        <v>4</v>
      </c>
      <c r="K97" s="208">
        <f>3+3</f>
        <v>6</v>
      </c>
      <c r="L97" s="562">
        <f>1+16+5</f>
        <v>22</v>
      </c>
      <c r="M97" s="562">
        <f>3+2+3</f>
        <v>8</v>
      </c>
      <c r="N97" s="562">
        <f>3+5</f>
        <v>8</v>
      </c>
      <c r="O97" s="530">
        <f t="shared" si="87"/>
        <v>144</v>
      </c>
      <c r="P97" s="536"/>
      <c r="Q97" s="531"/>
      <c r="R97" s="531"/>
      <c r="S97" s="531"/>
      <c r="T97" s="531"/>
      <c r="U97" s="531"/>
      <c r="V97" s="531"/>
      <c r="W97" s="531"/>
      <c r="X97" s="531"/>
      <c r="Y97" s="531"/>
      <c r="Z97" s="531"/>
      <c r="AA97" s="531"/>
      <c r="AB97" s="531"/>
      <c r="AC97" s="531"/>
      <c r="AD97" s="531"/>
      <c r="AE97" s="531"/>
      <c r="AF97" s="531"/>
      <c r="AG97" s="531"/>
      <c r="AH97" s="532"/>
      <c r="AI97" s="532"/>
      <c r="AJ97" s="532"/>
      <c r="AK97" s="532"/>
      <c r="AL97" s="532"/>
      <c r="AM97" s="532"/>
      <c r="AN97" s="532"/>
      <c r="AO97" s="532"/>
      <c r="AP97" s="532"/>
      <c r="AQ97" s="532"/>
      <c r="AR97" s="532"/>
      <c r="AS97" s="532"/>
      <c r="AT97" s="532"/>
      <c r="AU97" s="532"/>
      <c r="AV97" s="532"/>
      <c r="AW97" s="532"/>
      <c r="AX97" s="532"/>
      <c r="AY97" s="532"/>
      <c r="AZ97" s="532"/>
      <c r="BA97" s="532"/>
      <c r="BB97" s="532"/>
      <c r="BC97" s="532"/>
      <c r="BD97" s="532"/>
      <c r="BE97" s="532"/>
      <c r="BF97" s="532"/>
      <c r="BG97" s="532"/>
      <c r="BH97" s="532"/>
      <c r="BI97" s="532"/>
      <c r="BJ97" s="532"/>
      <c r="BK97" s="532"/>
      <c r="BL97" s="532"/>
      <c r="BM97" s="532"/>
      <c r="BN97" s="532"/>
      <c r="BO97" s="532"/>
      <c r="BP97" s="532"/>
      <c r="BQ97" s="532"/>
      <c r="BR97" s="532"/>
      <c r="BS97" s="532"/>
      <c r="BT97" s="532"/>
      <c r="BU97" s="532"/>
      <c r="BV97" s="532"/>
      <c r="BW97" s="532"/>
      <c r="BX97" s="532"/>
      <c r="BY97" s="532"/>
      <c r="BZ97" s="532"/>
      <c r="CA97" s="532"/>
      <c r="CB97" s="532"/>
      <c r="CC97" s="532"/>
      <c r="CD97" s="532"/>
      <c r="CE97" s="532"/>
      <c r="CF97" s="532"/>
      <c r="CG97" s="532"/>
      <c r="CH97" s="532"/>
      <c r="CI97" s="532"/>
      <c r="CJ97" s="532"/>
      <c r="CK97" s="532"/>
      <c r="CL97" s="532"/>
      <c r="CM97" s="532"/>
      <c r="CN97" s="532"/>
      <c r="CO97" s="532"/>
      <c r="CP97" s="532"/>
      <c r="CQ97" s="532"/>
      <c r="CR97" s="532"/>
      <c r="CS97" s="532"/>
      <c r="CT97" s="532"/>
      <c r="CU97" s="532"/>
      <c r="CV97" s="532"/>
      <c r="CW97" s="532"/>
      <c r="CX97" s="532"/>
      <c r="CY97" s="532"/>
      <c r="CZ97" s="532"/>
      <c r="DA97" s="532"/>
      <c r="DB97" s="532"/>
      <c r="DC97" s="532"/>
      <c r="DD97" s="532"/>
      <c r="DE97" s="532"/>
      <c r="DF97" s="532"/>
      <c r="DG97" s="532"/>
      <c r="DH97" s="532"/>
      <c r="DI97" s="532"/>
      <c r="DJ97" s="532"/>
      <c r="DK97" s="532"/>
      <c r="DL97" s="532"/>
      <c r="DM97" s="532"/>
      <c r="DN97" s="532"/>
      <c r="DO97" s="532"/>
      <c r="DP97" s="532"/>
      <c r="DQ97" s="532"/>
      <c r="DR97" s="532"/>
      <c r="DS97" s="532"/>
      <c r="DT97" s="532"/>
      <c r="DU97" s="532"/>
      <c r="DV97" s="532"/>
      <c r="DW97" s="532"/>
      <c r="DX97" s="532"/>
      <c r="DY97" s="532"/>
      <c r="DZ97" s="532"/>
      <c r="EA97" s="532"/>
      <c r="EB97" s="532"/>
      <c r="EC97" s="532"/>
      <c r="ED97" s="532"/>
      <c r="EE97" s="532"/>
      <c r="EF97" s="532"/>
      <c r="EG97" s="532"/>
      <c r="EH97" s="532"/>
      <c r="EI97" s="532"/>
      <c r="EJ97" s="532"/>
      <c r="EK97" s="532"/>
      <c r="EL97" s="532"/>
      <c r="EM97" s="532"/>
      <c r="EN97" s="532"/>
      <c r="EO97" s="532"/>
      <c r="EP97" s="532"/>
      <c r="EQ97" s="532"/>
      <c r="ER97" s="532"/>
      <c r="ES97" s="532"/>
      <c r="ET97" s="532"/>
      <c r="EU97" s="532"/>
      <c r="EV97" s="532"/>
      <c r="EW97" s="532"/>
      <c r="EX97" s="532"/>
      <c r="EY97" s="532"/>
      <c r="EZ97" s="532"/>
      <c r="FA97" s="532"/>
      <c r="FB97" s="532"/>
      <c r="FC97" s="532"/>
      <c r="FD97" s="532"/>
      <c r="FE97" s="532"/>
      <c r="FF97" s="532"/>
      <c r="FG97" s="532"/>
      <c r="FH97" s="532"/>
      <c r="FI97" s="532"/>
      <c r="FJ97" s="532"/>
      <c r="FK97" s="532"/>
      <c r="FL97" s="532"/>
      <c r="FM97" s="532"/>
      <c r="FN97" s="532"/>
      <c r="FO97" s="532"/>
      <c r="FP97" s="532"/>
    </row>
    <row r="98" spans="1:172" ht="12" customHeight="1" x14ac:dyDescent="0.2">
      <c r="A98" s="537" t="s">
        <v>86</v>
      </c>
      <c r="B98" s="534"/>
      <c r="C98" s="208">
        <f t="shared" ref="C98:N98" si="88">SUM(C91:C97)</f>
        <v>135</v>
      </c>
      <c r="D98" s="208">
        <f t="shared" si="88"/>
        <v>163</v>
      </c>
      <c r="E98" s="208">
        <f t="shared" si="88"/>
        <v>135</v>
      </c>
      <c r="F98" s="208">
        <f t="shared" si="88"/>
        <v>138</v>
      </c>
      <c r="G98" s="208">
        <f t="shared" si="88"/>
        <v>185</v>
      </c>
      <c r="H98" s="208">
        <f t="shared" si="88"/>
        <v>223</v>
      </c>
      <c r="I98" s="208">
        <f t="shared" si="88"/>
        <v>150</v>
      </c>
      <c r="J98" s="208">
        <f t="shared" si="88"/>
        <v>128</v>
      </c>
      <c r="K98" s="208">
        <f t="shared" si="88"/>
        <v>194</v>
      </c>
      <c r="L98" s="562">
        <f t="shared" si="88"/>
        <v>169</v>
      </c>
      <c r="M98" s="562">
        <f t="shared" si="88"/>
        <v>220</v>
      </c>
      <c r="N98" s="562">
        <f t="shared" si="88"/>
        <v>162</v>
      </c>
      <c r="O98" s="530">
        <f t="shared" si="87"/>
        <v>2002</v>
      </c>
      <c r="P98" s="536"/>
      <c r="Q98" s="531"/>
      <c r="R98" s="531"/>
      <c r="S98" s="531"/>
      <c r="T98" s="531"/>
      <c r="U98" s="531"/>
      <c r="V98" s="531"/>
      <c r="W98" s="531"/>
      <c r="X98" s="531"/>
      <c r="Y98" s="531"/>
      <c r="Z98" s="531"/>
      <c r="AA98" s="531"/>
      <c r="AB98" s="531"/>
      <c r="AC98" s="531"/>
      <c r="AD98" s="531"/>
      <c r="AE98" s="531"/>
      <c r="AF98" s="531"/>
      <c r="AG98" s="531"/>
      <c r="AH98" s="532"/>
      <c r="AI98" s="532"/>
      <c r="AJ98" s="532"/>
      <c r="AK98" s="532"/>
      <c r="AL98" s="532"/>
      <c r="AM98" s="532"/>
      <c r="AN98" s="532"/>
      <c r="AO98" s="532"/>
      <c r="AP98" s="532"/>
      <c r="AQ98" s="532"/>
      <c r="AR98" s="532"/>
      <c r="AS98" s="532"/>
      <c r="AT98" s="532"/>
      <c r="AU98" s="532"/>
      <c r="AV98" s="532"/>
      <c r="AW98" s="532"/>
      <c r="AX98" s="532"/>
      <c r="AY98" s="532"/>
      <c r="AZ98" s="532"/>
      <c r="BA98" s="532"/>
      <c r="BB98" s="532"/>
      <c r="BC98" s="532"/>
      <c r="BD98" s="532"/>
      <c r="BE98" s="532"/>
      <c r="BF98" s="532"/>
      <c r="BG98" s="532"/>
      <c r="BH98" s="532"/>
      <c r="BI98" s="532"/>
      <c r="BJ98" s="532"/>
      <c r="BK98" s="532"/>
      <c r="BL98" s="532"/>
      <c r="BM98" s="532"/>
      <c r="BN98" s="532"/>
      <c r="BO98" s="532"/>
      <c r="BP98" s="532"/>
      <c r="BQ98" s="532"/>
      <c r="BR98" s="532"/>
      <c r="BS98" s="532"/>
      <c r="BT98" s="532"/>
      <c r="BU98" s="532"/>
      <c r="BV98" s="532"/>
      <c r="BW98" s="532"/>
      <c r="BX98" s="532"/>
      <c r="BY98" s="532"/>
      <c r="BZ98" s="532"/>
      <c r="CA98" s="532"/>
      <c r="CB98" s="532"/>
      <c r="CC98" s="532"/>
      <c r="CD98" s="532"/>
      <c r="CE98" s="532"/>
      <c r="CF98" s="532"/>
      <c r="CG98" s="532"/>
      <c r="CH98" s="532"/>
      <c r="CI98" s="532"/>
      <c r="CJ98" s="532"/>
      <c r="CK98" s="532"/>
      <c r="CL98" s="532"/>
      <c r="CM98" s="532"/>
      <c r="CN98" s="532"/>
      <c r="CO98" s="532"/>
      <c r="CP98" s="532"/>
      <c r="CQ98" s="532"/>
      <c r="CR98" s="532"/>
      <c r="CS98" s="532"/>
      <c r="CT98" s="532"/>
      <c r="CU98" s="532"/>
      <c r="CV98" s="532"/>
      <c r="CW98" s="532"/>
      <c r="CX98" s="532"/>
      <c r="CY98" s="532"/>
      <c r="CZ98" s="532"/>
      <c r="DA98" s="532"/>
      <c r="DB98" s="532"/>
      <c r="DC98" s="532"/>
      <c r="DD98" s="532"/>
      <c r="DE98" s="532"/>
      <c r="DF98" s="532"/>
      <c r="DG98" s="532"/>
      <c r="DH98" s="532"/>
      <c r="DI98" s="532"/>
      <c r="DJ98" s="532"/>
      <c r="DK98" s="532"/>
      <c r="DL98" s="532"/>
      <c r="DM98" s="532"/>
      <c r="DN98" s="532"/>
      <c r="DO98" s="532"/>
      <c r="DP98" s="532"/>
      <c r="DQ98" s="532"/>
      <c r="DR98" s="532"/>
      <c r="DS98" s="532"/>
      <c r="DT98" s="532"/>
      <c r="DU98" s="532"/>
      <c r="DV98" s="532"/>
      <c r="DW98" s="532"/>
      <c r="DX98" s="532"/>
      <c r="DY98" s="532"/>
      <c r="DZ98" s="532"/>
      <c r="EA98" s="532"/>
      <c r="EB98" s="532"/>
      <c r="EC98" s="532"/>
      <c r="ED98" s="532"/>
      <c r="EE98" s="532"/>
      <c r="EF98" s="532"/>
      <c r="EG98" s="532"/>
      <c r="EH98" s="532"/>
      <c r="EI98" s="532"/>
      <c r="EJ98" s="532"/>
      <c r="EK98" s="532"/>
      <c r="EL98" s="532"/>
      <c r="EM98" s="532"/>
      <c r="EN98" s="532"/>
      <c r="EO98" s="532"/>
      <c r="EP98" s="532"/>
      <c r="EQ98" s="532"/>
      <c r="ER98" s="532"/>
      <c r="ES98" s="532"/>
      <c r="ET98" s="532"/>
      <c r="EU98" s="532"/>
      <c r="EV98" s="532"/>
      <c r="EW98" s="532"/>
      <c r="EX98" s="532"/>
      <c r="EY98" s="532"/>
      <c r="EZ98" s="532"/>
      <c r="FA98" s="532"/>
      <c r="FB98" s="532"/>
      <c r="FC98" s="532"/>
      <c r="FD98" s="532"/>
      <c r="FE98" s="532"/>
      <c r="FF98" s="532"/>
      <c r="FG98" s="532"/>
      <c r="FH98" s="532"/>
      <c r="FI98" s="532"/>
      <c r="FJ98" s="532"/>
      <c r="FK98" s="532"/>
      <c r="FL98" s="532"/>
      <c r="FM98" s="532"/>
      <c r="FN98" s="532"/>
      <c r="FO98" s="532"/>
      <c r="FP98" s="532"/>
    </row>
    <row r="99" spans="1:172" ht="12" customHeight="1" x14ac:dyDescent="0.2">
      <c r="A99" s="537"/>
      <c r="B99" s="534"/>
      <c r="C99" s="534"/>
      <c r="D99" s="534"/>
      <c r="E99" s="534"/>
      <c r="F99" s="534"/>
      <c r="G99" s="534"/>
      <c r="H99" s="534"/>
      <c r="I99" s="534"/>
      <c r="J99" s="534"/>
      <c r="K99" s="658"/>
      <c r="L99" s="562"/>
      <c r="M99" s="562"/>
      <c r="N99" s="562"/>
      <c r="O99" s="530"/>
      <c r="P99" s="536"/>
      <c r="Q99" s="531"/>
      <c r="R99" s="531"/>
      <c r="S99" s="531"/>
      <c r="T99" s="531"/>
      <c r="U99" s="531"/>
      <c r="V99" s="531"/>
      <c r="W99" s="531"/>
      <c r="X99" s="531"/>
      <c r="Y99" s="531"/>
      <c r="Z99" s="531"/>
      <c r="AA99" s="531"/>
      <c r="AB99" s="531"/>
      <c r="AC99" s="531"/>
      <c r="AD99" s="531"/>
      <c r="AE99" s="531"/>
      <c r="AF99" s="531"/>
      <c r="AG99" s="531"/>
      <c r="AH99" s="532"/>
      <c r="AI99" s="532"/>
      <c r="AJ99" s="532"/>
      <c r="AK99" s="532"/>
      <c r="AL99" s="532"/>
      <c r="AM99" s="532"/>
      <c r="AN99" s="532"/>
      <c r="AO99" s="532"/>
      <c r="AP99" s="532"/>
      <c r="AQ99" s="532"/>
      <c r="AR99" s="532"/>
      <c r="AS99" s="532"/>
      <c r="AT99" s="532"/>
      <c r="AU99" s="532"/>
      <c r="AV99" s="532"/>
      <c r="AW99" s="532"/>
      <c r="AX99" s="532"/>
      <c r="AY99" s="532"/>
      <c r="AZ99" s="532"/>
      <c r="BA99" s="532"/>
      <c r="BB99" s="532"/>
      <c r="BC99" s="532"/>
      <c r="BD99" s="532"/>
      <c r="BE99" s="532"/>
      <c r="BF99" s="532"/>
      <c r="BG99" s="532"/>
      <c r="BH99" s="532"/>
      <c r="BI99" s="532"/>
      <c r="BJ99" s="532"/>
      <c r="BK99" s="532"/>
      <c r="BL99" s="532"/>
      <c r="BM99" s="532"/>
      <c r="BN99" s="532"/>
      <c r="BO99" s="532"/>
      <c r="BP99" s="532"/>
      <c r="BQ99" s="532"/>
      <c r="BR99" s="532"/>
      <c r="BS99" s="532"/>
      <c r="BT99" s="532"/>
      <c r="BU99" s="532"/>
      <c r="BV99" s="532"/>
      <c r="BW99" s="532"/>
      <c r="BX99" s="532"/>
      <c r="BY99" s="532"/>
      <c r="BZ99" s="532"/>
      <c r="CA99" s="532"/>
      <c r="CB99" s="532"/>
      <c r="CC99" s="532"/>
      <c r="CD99" s="532"/>
      <c r="CE99" s="532"/>
      <c r="CF99" s="532"/>
      <c r="CG99" s="532"/>
      <c r="CH99" s="532"/>
      <c r="CI99" s="532"/>
      <c r="CJ99" s="532"/>
      <c r="CK99" s="532"/>
      <c r="CL99" s="532"/>
      <c r="CM99" s="532"/>
      <c r="CN99" s="532"/>
      <c r="CO99" s="532"/>
      <c r="CP99" s="532"/>
      <c r="CQ99" s="532"/>
      <c r="CR99" s="532"/>
      <c r="CS99" s="532"/>
      <c r="CT99" s="532"/>
      <c r="CU99" s="532"/>
      <c r="CV99" s="532"/>
      <c r="CW99" s="532"/>
      <c r="CX99" s="532"/>
      <c r="CY99" s="532"/>
      <c r="CZ99" s="532"/>
      <c r="DA99" s="532"/>
      <c r="DB99" s="532"/>
      <c r="DC99" s="532"/>
      <c r="DD99" s="532"/>
      <c r="DE99" s="532"/>
      <c r="DF99" s="532"/>
      <c r="DG99" s="532"/>
      <c r="DH99" s="532"/>
      <c r="DI99" s="532"/>
      <c r="DJ99" s="532"/>
      <c r="DK99" s="532"/>
      <c r="DL99" s="532"/>
      <c r="DM99" s="532"/>
      <c r="DN99" s="532"/>
      <c r="DO99" s="532"/>
      <c r="DP99" s="532"/>
      <c r="DQ99" s="532"/>
      <c r="DR99" s="532"/>
      <c r="DS99" s="532"/>
      <c r="DT99" s="532"/>
      <c r="DU99" s="532"/>
      <c r="DV99" s="532"/>
      <c r="DW99" s="532"/>
      <c r="DX99" s="532"/>
      <c r="DY99" s="532"/>
      <c r="DZ99" s="532"/>
      <c r="EA99" s="532"/>
      <c r="EB99" s="532"/>
      <c r="EC99" s="532"/>
      <c r="ED99" s="532"/>
      <c r="EE99" s="532"/>
      <c r="EF99" s="532"/>
      <c r="EG99" s="532"/>
      <c r="EH99" s="532"/>
      <c r="EI99" s="532"/>
      <c r="EJ99" s="532"/>
      <c r="EK99" s="532"/>
      <c r="EL99" s="532"/>
      <c r="EM99" s="532"/>
      <c r="EN99" s="532"/>
      <c r="EO99" s="532"/>
      <c r="EP99" s="532"/>
      <c r="EQ99" s="532"/>
      <c r="ER99" s="532"/>
      <c r="ES99" s="532"/>
      <c r="ET99" s="532"/>
      <c r="EU99" s="532"/>
      <c r="EV99" s="532"/>
      <c r="EW99" s="532"/>
      <c r="EX99" s="532"/>
      <c r="EY99" s="532"/>
      <c r="EZ99" s="532"/>
      <c r="FA99" s="532"/>
      <c r="FB99" s="532"/>
      <c r="FC99" s="532"/>
      <c r="FD99" s="532"/>
      <c r="FE99" s="532"/>
      <c r="FF99" s="532"/>
      <c r="FG99" s="532"/>
      <c r="FH99" s="532"/>
      <c r="FI99" s="532"/>
      <c r="FJ99" s="532"/>
      <c r="FK99" s="532"/>
      <c r="FL99" s="532"/>
      <c r="FM99" s="532"/>
      <c r="FN99" s="532"/>
      <c r="FO99" s="532"/>
      <c r="FP99" s="532"/>
    </row>
    <row r="100" spans="1:172" ht="12" customHeight="1" x14ac:dyDescent="0.2">
      <c r="A100" s="538" t="s">
        <v>87</v>
      </c>
      <c r="B100" s="534"/>
      <c r="C100" s="534"/>
      <c r="D100" s="534"/>
      <c r="E100" s="534"/>
      <c r="F100" s="534"/>
      <c r="G100" s="534"/>
      <c r="H100" s="534"/>
      <c r="I100" s="534"/>
      <c r="J100" s="534"/>
      <c r="K100" s="658"/>
      <c r="L100" s="562"/>
      <c r="M100" s="562"/>
      <c r="N100" s="562"/>
      <c r="O100" s="530"/>
      <c r="P100" s="536"/>
      <c r="Q100" s="531"/>
      <c r="R100" s="531"/>
      <c r="S100" s="531"/>
      <c r="T100" s="531"/>
      <c r="U100" s="531"/>
      <c r="V100" s="531"/>
      <c r="W100" s="531"/>
      <c r="X100" s="531"/>
      <c r="Y100" s="531"/>
      <c r="Z100" s="531"/>
      <c r="AA100" s="531"/>
      <c r="AB100" s="531"/>
      <c r="AC100" s="531"/>
      <c r="AD100" s="531"/>
      <c r="AE100" s="531"/>
      <c r="AF100" s="531"/>
      <c r="AG100" s="531"/>
      <c r="AH100" s="532"/>
      <c r="AI100" s="532"/>
      <c r="AJ100" s="532"/>
      <c r="AK100" s="532"/>
      <c r="AL100" s="532"/>
      <c r="AM100" s="532"/>
      <c r="AN100" s="532"/>
      <c r="AO100" s="532"/>
      <c r="AP100" s="532"/>
      <c r="AQ100" s="532"/>
      <c r="AR100" s="532"/>
      <c r="AS100" s="532"/>
      <c r="AT100" s="532"/>
      <c r="AU100" s="532"/>
      <c r="AV100" s="532"/>
      <c r="AW100" s="532"/>
      <c r="AX100" s="532"/>
      <c r="AY100" s="532"/>
      <c r="AZ100" s="532"/>
      <c r="BA100" s="532"/>
      <c r="BB100" s="532"/>
      <c r="BC100" s="532"/>
      <c r="BD100" s="532"/>
      <c r="BE100" s="532"/>
      <c r="BF100" s="532"/>
      <c r="BG100" s="532"/>
      <c r="BH100" s="532"/>
      <c r="BI100" s="532"/>
      <c r="BJ100" s="532"/>
      <c r="BK100" s="532"/>
      <c r="BL100" s="532"/>
      <c r="BM100" s="532"/>
      <c r="BN100" s="532"/>
      <c r="BO100" s="532"/>
      <c r="BP100" s="532"/>
      <c r="BQ100" s="532"/>
      <c r="BR100" s="532"/>
      <c r="BS100" s="532"/>
      <c r="BT100" s="532"/>
      <c r="BU100" s="532"/>
      <c r="BV100" s="532"/>
      <c r="BW100" s="532"/>
      <c r="BX100" s="532"/>
      <c r="BY100" s="532"/>
      <c r="BZ100" s="532"/>
      <c r="CA100" s="532"/>
      <c r="CB100" s="532"/>
      <c r="CC100" s="532"/>
      <c r="CD100" s="532"/>
      <c r="CE100" s="532"/>
      <c r="CF100" s="532"/>
      <c r="CG100" s="532"/>
      <c r="CH100" s="532"/>
      <c r="CI100" s="532"/>
      <c r="CJ100" s="532"/>
      <c r="CK100" s="532"/>
      <c r="CL100" s="532"/>
      <c r="CM100" s="532"/>
      <c r="CN100" s="532"/>
      <c r="CO100" s="532"/>
      <c r="CP100" s="532"/>
      <c r="CQ100" s="532"/>
      <c r="CR100" s="532"/>
      <c r="CS100" s="532"/>
      <c r="CT100" s="532"/>
      <c r="CU100" s="532"/>
      <c r="CV100" s="532"/>
      <c r="CW100" s="532"/>
      <c r="CX100" s="532"/>
      <c r="CY100" s="532"/>
      <c r="CZ100" s="532"/>
      <c r="DA100" s="532"/>
      <c r="DB100" s="532"/>
      <c r="DC100" s="532"/>
      <c r="DD100" s="532"/>
      <c r="DE100" s="532"/>
      <c r="DF100" s="532"/>
      <c r="DG100" s="532"/>
      <c r="DH100" s="532"/>
      <c r="DI100" s="532"/>
      <c r="DJ100" s="532"/>
      <c r="DK100" s="532"/>
      <c r="DL100" s="532"/>
      <c r="DM100" s="532"/>
      <c r="DN100" s="532"/>
      <c r="DO100" s="532"/>
      <c r="DP100" s="532"/>
      <c r="DQ100" s="532"/>
      <c r="DR100" s="532"/>
      <c r="DS100" s="532"/>
      <c r="DT100" s="532"/>
      <c r="DU100" s="532"/>
      <c r="DV100" s="532"/>
      <c r="DW100" s="532"/>
      <c r="DX100" s="532"/>
      <c r="DY100" s="532"/>
      <c r="DZ100" s="532"/>
      <c r="EA100" s="532"/>
      <c r="EB100" s="532"/>
      <c r="EC100" s="532"/>
      <c r="ED100" s="532"/>
      <c r="EE100" s="532"/>
      <c r="EF100" s="532"/>
      <c r="EG100" s="532"/>
      <c r="EH100" s="532"/>
      <c r="EI100" s="532"/>
      <c r="EJ100" s="532"/>
      <c r="EK100" s="532"/>
      <c r="EL100" s="532"/>
      <c r="EM100" s="532"/>
      <c r="EN100" s="532"/>
      <c r="EO100" s="532"/>
      <c r="EP100" s="532"/>
      <c r="EQ100" s="532"/>
      <c r="ER100" s="532"/>
      <c r="ES100" s="532"/>
      <c r="ET100" s="532"/>
      <c r="EU100" s="532"/>
      <c r="EV100" s="532"/>
      <c r="EW100" s="532"/>
      <c r="EX100" s="532"/>
      <c r="EY100" s="532"/>
      <c r="EZ100" s="532"/>
      <c r="FA100" s="532"/>
      <c r="FB100" s="532"/>
      <c r="FC100" s="532"/>
      <c r="FD100" s="532"/>
      <c r="FE100" s="532"/>
      <c r="FF100" s="532"/>
      <c r="FG100" s="532"/>
      <c r="FH100" s="532"/>
      <c r="FI100" s="532"/>
      <c r="FJ100" s="532"/>
      <c r="FK100" s="532"/>
      <c r="FL100" s="532"/>
      <c r="FM100" s="532"/>
      <c r="FN100" s="532"/>
      <c r="FO100" s="532"/>
      <c r="FP100" s="532"/>
    </row>
    <row r="101" spans="1:172" ht="12" customHeight="1" x14ac:dyDescent="0.2">
      <c r="A101" s="533" t="s">
        <v>79</v>
      </c>
      <c r="B101" s="534"/>
      <c r="C101" s="208">
        <v>0</v>
      </c>
      <c r="D101" s="208">
        <v>0</v>
      </c>
      <c r="E101" s="208">
        <v>0</v>
      </c>
      <c r="F101" s="208">
        <v>0</v>
      </c>
      <c r="G101" s="208">
        <v>0</v>
      </c>
      <c r="H101" s="208">
        <v>0</v>
      </c>
      <c r="I101" s="208">
        <v>0</v>
      </c>
      <c r="J101" s="208">
        <v>0</v>
      </c>
      <c r="K101" s="208">
        <v>0</v>
      </c>
      <c r="L101" s="562">
        <v>0</v>
      </c>
      <c r="M101" s="562">
        <v>0</v>
      </c>
      <c r="N101" s="562">
        <v>0</v>
      </c>
      <c r="O101" s="530">
        <f>SUM(C101:N101)</f>
        <v>0</v>
      </c>
      <c r="P101" s="536"/>
      <c r="Q101" s="531"/>
      <c r="R101" s="531"/>
      <c r="S101" s="531"/>
      <c r="T101" s="531"/>
      <c r="U101" s="531"/>
      <c r="V101" s="531"/>
      <c r="W101" s="531"/>
      <c r="X101" s="531"/>
      <c r="Y101" s="531"/>
      <c r="Z101" s="531"/>
      <c r="AA101" s="531"/>
      <c r="AB101" s="531"/>
      <c r="AC101" s="531"/>
      <c r="AD101" s="531"/>
      <c r="AE101" s="531"/>
      <c r="AF101" s="531"/>
      <c r="AG101" s="531"/>
      <c r="AH101" s="532"/>
      <c r="AI101" s="532"/>
      <c r="AJ101" s="532"/>
      <c r="AK101" s="532"/>
      <c r="AL101" s="532"/>
      <c r="AM101" s="532"/>
      <c r="AN101" s="532"/>
      <c r="AO101" s="532"/>
      <c r="AP101" s="532"/>
      <c r="AQ101" s="532"/>
      <c r="AR101" s="532"/>
      <c r="AS101" s="532"/>
      <c r="AT101" s="532"/>
      <c r="AU101" s="532"/>
      <c r="AV101" s="532"/>
      <c r="AW101" s="532"/>
      <c r="AX101" s="532"/>
      <c r="AY101" s="532"/>
      <c r="AZ101" s="532"/>
      <c r="BA101" s="532"/>
      <c r="BB101" s="532"/>
      <c r="BC101" s="532"/>
      <c r="BD101" s="532"/>
      <c r="BE101" s="532"/>
      <c r="BF101" s="532"/>
      <c r="BG101" s="532"/>
      <c r="BH101" s="532"/>
      <c r="BI101" s="532"/>
      <c r="BJ101" s="532"/>
      <c r="BK101" s="532"/>
      <c r="BL101" s="532"/>
      <c r="BM101" s="532"/>
      <c r="BN101" s="532"/>
      <c r="BO101" s="532"/>
      <c r="BP101" s="532"/>
      <c r="BQ101" s="532"/>
      <c r="BR101" s="532"/>
      <c r="BS101" s="532"/>
      <c r="BT101" s="532"/>
      <c r="BU101" s="532"/>
      <c r="BV101" s="532"/>
      <c r="BW101" s="532"/>
      <c r="BX101" s="532"/>
      <c r="BY101" s="532"/>
      <c r="BZ101" s="532"/>
      <c r="CA101" s="532"/>
      <c r="CB101" s="532"/>
      <c r="CC101" s="532"/>
      <c r="CD101" s="532"/>
      <c r="CE101" s="532"/>
      <c r="CF101" s="532"/>
      <c r="CG101" s="532"/>
      <c r="CH101" s="532"/>
      <c r="CI101" s="532"/>
      <c r="CJ101" s="532"/>
      <c r="CK101" s="532"/>
      <c r="CL101" s="532"/>
      <c r="CM101" s="532"/>
      <c r="CN101" s="532"/>
      <c r="CO101" s="532"/>
      <c r="CP101" s="532"/>
      <c r="CQ101" s="532"/>
      <c r="CR101" s="532"/>
      <c r="CS101" s="532"/>
      <c r="CT101" s="532"/>
      <c r="CU101" s="532"/>
      <c r="CV101" s="532"/>
      <c r="CW101" s="532"/>
      <c r="CX101" s="532"/>
      <c r="CY101" s="532"/>
      <c r="CZ101" s="532"/>
      <c r="DA101" s="532"/>
      <c r="DB101" s="532"/>
      <c r="DC101" s="532"/>
      <c r="DD101" s="532"/>
      <c r="DE101" s="532"/>
      <c r="DF101" s="532"/>
      <c r="DG101" s="532"/>
      <c r="DH101" s="532"/>
      <c r="DI101" s="532"/>
      <c r="DJ101" s="532"/>
      <c r="DK101" s="532"/>
      <c r="DL101" s="532"/>
      <c r="DM101" s="532"/>
      <c r="DN101" s="532"/>
      <c r="DO101" s="532"/>
      <c r="DP101" s="532"/>
      <c r="DQ101" s="532"/>
      <c r="DR101" s="532"/>
      <c r="DS101" s="532"/>
      <c r="DT101" s="532"/>
      <c r="DU101" s="532"/>
      <c r="DV101" s="532"/>
      <c r="DW101" s="532"/>
      <c r="DX101" s="532"/>
      <c r="DY101" s="532"/>
      <c r="DZ101" s="532"/>
      <c r="EA101" s="532"/>
      <c r="EB101" s="532"/>
      <c r="EC101" s="532"/>
      <c r="ED101" s="532"/>
      <c r="EE101" s="532"/>
      <c r="EF101" s="532"/>
      <c r="EG101" s="532"/>
      <c r="EH101" s="532"/>
      <c r="EI101" s="532"/>
      <c r="EJ101" s="532"/>
      <c r="EK101" s="532"/>
      <c r="EL101" s="532"/>
      <c r="EM101" s="532"/>
      <c r="EN101" s="532"/>
      <c r="EO101" s="532"/>
      <c r="EP101" s="532"/>
      <c r="EQ101" s="532"/>
      <c r="ER101" s="532"/>
      <c r="ES101" s="532"/>
      <c r="ET101" s="532"/>
      <c r="EU101" s="532"/>
      <c r="EV101" s="532"/>
      <c r="EW101" s="532"/>
      <c r="EX101" s="532"/>
      <c r="EY101" s="532"/>
      <c r="EZ101" s="532"/>
      <c r="FA101" s="532"/>
      <c r="FB101" s="532"/>
      <c r="FC101" s="532"/>
      <c r="FD101" s="532"/>
      <c r="FE101" s="532"/>
      <c r="FF101" s="532"/>
      <c r="FG101" s="532"/>
      <c r="FH101" s="532"/>
      <c r="FI101" s="532"/>
      <c r="FJ101" s="532"/>
      <c r="FK101" s="532"/>
      <c r="FL101" s="532"/>
      <c r="FM101" s="532"/>
      <c r="FN101" s="532"/>
      <c r="FO101" s="532"/>
      <c r="FP101" s="532"/>
    </row>
    <row r="102" spans="1:172" ht="12" customHeight="1" x14ac:dyDescent="0.2">
      <c r="A102" s="533" t="s">
        <v>80</v>
      </c>
      <c r="B102" s="534"/>
      <c r="C102" s="208">
        <v>0</v>
      </c>
      <c r="D102" s="208">
        <v>0</v>
      </c>
      <c r="E102" s="208">
        <v>0</v>
      </c>
      <c r="F102" s="208">
        <v>0</v>
      </c>
      <c r="G102" s="208">
        <v>0</v>
      </c>
      <c r="H102" s="208">
        <v>0</v>
      </c>
      <c r="I102" s="208">
        <v>0</v>
      </c>
      <c r="J102" s="208">
        <v>0</v>
      </c>
      <c r="K102" s="208">
        <v>0</v>
      </c>
      <c r="L102" s="562">
        <v>0</v>
      </c>
      <c r="M102" s="562">
        <v>0</v>
      </c>
      <c r="N102" s="562">
        <v>0</v>
      </c>
      <c r="O102" s="530">
        <f t="shared" ref="O102:O108" si="89">SUM(C102:N102)</f>
        <v>0</v>
      </c>
      <c r="P102" s="536"/>
      <c r="Q102" s="531"/>
      <c r="R102" s="531"/>
      <c r="S102" s="531"/>
      <c r="T102" s="531"/>
      <c r="U102" s="531"/>
      <c r="V102" s="531"/>
      <c r="W102" s="531"/>
      <c r="X102" s="531"/>
      <c r="Y102" s="531"/>
      <c r="Z102" s="531"/>
      <c r="AA102" s="531"/>
      <c r="AB102" s="531"/>
      <c r="AC102" s="531"/>
      <c r="AD102" s="531"/>
      <c r="AE102" s="531"/>
      <c r="AF102" s="531"/>
      <c r="AG102" s="531"/>
      <c r="AH102" s="532"/>
      <c r="AI102" s="532"/>
      <c r="AJ102" s="532"/>
      <c r="AK102" s="532"/>
      <c r="AL102" s="532"/>
      <c r="AM102" s="532"/>
      <c r="AN102" s="532"/>
      <c r="AO102" s="532"/>
      <c r="AP102" s="532"/>
      <c r="AQ102" s="532"/>
      <c r="AR102" s="532"/>
      <c r="AS102" s="532"/>
      <c r="AT102" s="532"/>
      <c r="AU102" s="532"/>
      <c r="AV102" s="532"/>
      <c r="AW102" s="532"/>
      <c r="AX102" s="532"/>
      <c r="AY102" s="532"/>
      <c r="AZ102" s="532"/>
      <c r="BA102" s="532"/>
      <c r="BB102" s="532"/>
      <c r="BC102" s="532"/>
      <c r="BD102" s="532"/>
      <c r="BE102" s="532"/>
      <c r="BF102" s="532"/>
      <c r="BG102" s="532"/>
      <c r="BH102" s="532"/>
      <c r="BI102" s="532"/>
      <c r="BJ102" s="532"/>
      <c r="BK102" s="532"/>
      <c r="BL102" s="532"/>
      <c r="BM102" s="532"/>
      <c r="BN102" s="532"/>
      <c r="BO102" s="532"/>
      <c r="BP102" s="532"/>
      <c r="BQ102" s="532"/>
      <c r="BR102" s="532"/>
      <c r="BS102" s="532"/>
      <c r="BT102" s="532"/>
      <c r="BU102" s="532"/>
      <c r="BV102" s="532"/>
      <c r="BW102" s="532"/>
      <c r="BX102" s="532"/>
      <c r="BY102" s="532"/>
      <c r="BZ102" s="532"/>
      <c r="CA102" s="532"/>
      <c r="CB102" s="532"/>
      <c r="CC102" s="532"/>
      <c r="CD102" s="532"/>
      <c r="CE102" s="532"/>
      <c r="CF102" s="532"/>
      <c r="CG102" s="532"/>
      <c r="CH102" s="532"/>
      <c r="CI102" s="532"/>
      <c r="CJ102" s="532"/>
      <c r="CK102" s="532"/>
      <c r="CL102" s="532"/>
      <c r="CM102" s="532"/>
      <c r="CN102" s="532"/>
      <c r="CO102" s="532"/>
      <c r="CP102" s="532"/>
      <c r="CQ102" s="532"/>
      <c r="CR102" s="532"/>
      <c r="CS102" s="532"/>
      <c r="CT102" s="532"/>
      <c r="CU102" s="532"/>
      <c r="CV102" s="532"/>
      <c r="CW102" s="532"/>
      <c r="CX102" s="532"/>
      <c r="CY102" s="532"/>
      <c r="CZ102" s="532"/>
      <c r="DA102" s="532"/>
      <c r="DB102" s="532"/>
      <c r="DC102" s="532"/>
      <c r="DD102" s="532"/>
      <c r="DE102" s="532"/>
      <c r="DF102" s="532"/>
      <c r="DG102" s="532"/>
      <c r="DH102" s="532"/>
      <c r="DI102" s="532"/>
      <c r="DJ102" s="532"/>
      <c r="DK102" s="532"/>
      <c r="DL102" s="532"/>
      <c r="DM102" s="532"/>
      <c r="DN102" s="532"/>
      <c r="DO102" s="532"/>
      <c r="DP102" s="532"/>
      <c r="DQ102" s="532"/>
      <c r="DR102" s="532"/>
      <c r="DS102" s="532"/>
      <c r="DT102" s="532"/>
      <c r="DU102" s="532"/>
      <c r="DV102" s="532"/>
      <c r="DW102" s="532"/>
      <c r="DX102" s="532"/>
      <c r="DY102" s="532"/>
      <c r="DZ102" s="532"/>
      <c r="EA102" s="532"/>
      <c r="EB102" s="532"/>
      <c r="EC102" s="532"/>
      <c r="ED102" s="532"/>
      <c r="EE102" s="532"/>
      <c r="EF102" s="532"/>
      <c r="EG102" s="532"/>
      <c r="EH102" s="532"/>
      <c r="EI102" s="532"/>
      <c r="EJ102" s="532"/>
      <c r="EK102" s="532"/>
      <c r="EL102" s="532"/>
      <c r="EM102" s="532"/>
      <c r="EN102" s="532"/>
      <c r="EO102" s="532"/>
      <c r="EP102" s="532"/>
      <c r="EQ102" s="532"/>
      <c r="ER102" s="532"/>
      <c r="ES102" s="532"/>
      <c r="ET102" s="532"/>
      <c r="EU102" s="532"/>
      <c r="EV102" s="532"/>
      <c r="EW102" s="532"/>
      <c r="EX102" s="532"/>
      <c r="EY102" s="532"/>
      <c r="EZ102" s="532"/>
      <c r="FA102" s="532"/>
      <c r="FB102" s="532"/>
      <c r="FC102" s="532"/>
      <c r="FD102" s="532"/>
      <c r="FE102" s="532"/>
      <c r="FF102" s="532"/>
      <c r="FG102" s="532"/>
      <c r="FH102" s="532"/>
      <c r="FI102" s="532"/>
      <c r="FJ102" s="532"/>
      <c r="FK102" s="532"/>
      <c r="FL102" s="532"/>
      <c r="FM102" s="532"/>
      <c r="FN102" s="532"/>
      <c r="FO102" s="532"/>
      <c r="FP102" s="532"/>
    </row>
    <row r="103" spans="1:172" ht="12" customHeight="1" x14ac:dyDescent="0.2">
      <c r="A103" s="533" t="s">
        <v>81</v>
      </c>
      <c r="B103" s="534"/>
      <c r="C103" s="208">
        <v>0</v>
      </c>
      <c r="D103" s="208">
        <v>0</v>
      </c>
      <c r="E103" s="208">
        <v>0</v>
      </c>
      <c r="F103" s="208">
        <v>0</v>
      </c>
      <c r="G103" s="208">
        <v>0</v>
      </c>
      <c r="H103" s="208">
        <v>0</v>
      </c>
      <c r="I103" s="208">
        <v>0</v>
      </c>
      <c r="J103" s="208">
        <v>0</v>
      </c>
      <c r="K103" s="208">
        <v>0</v>
      </c>
      <c r="L103" s="562">
        <v>0</v>
      </c>
      <c r="M103" s="562">
        <v>0</v>
      </c>
      <c r="N103" s="562">
        <v>0</v>
      </c>
      <c r="O103" s="530">
        <f t="shared" si="89"/>
        <v>0</v>
      </c>
      <c r="P103" s="536"/>
      <c r="Q103" s="531"/>
      <c r="R103" s="531"/>
      <c r="S103" s="531"/>
      <c r="T103" s="531"/>
      <c r="U103" s="531"/>
      <c r="V103" s="531"/>
      <c r="W103" s="531"/>
      <c r="X103" s="531"/>
      <c r="Y103" s="531"/>
      <c r="Z103" s="531"/>
      <c r="AA103" s="531"/>
      <c r="AB103" s="531"/>
      <c r="AC103" s="531"/>
      <c r="AD103" s="531"/>
      <c r="AE103" s="531"/>
      <c r="AF103" s="531"/>
      <c r="AG103" s="531"/>
      <c r="AH103" s="532"/>
      <c r="AI103" s="532"/>
      <c r="AJ103" s="532"/>
      <c r="AK103" s="532"/>
      <c r="AL103" s="532"/>
      <c r="AM103" s="532"/>
      <c r="AN103" s="532"/>
      <c r="AO103" s="532"/>
      <c r="AP103" s="532"/>
      <c r="AQ103" s="532"/>
      <c r="AR103" s="532"/>
      <c r="AS103" s="532"/>
      <c r="AT103" s="532"/>
      <c r="AU103" s="532"/>
      <c r="AV103" s="532"/>
      <c r="AW103" s="532"/>
      <c r="AX103" s="532"/>
      <c r="AY103" s="532"/>
      <c r="AZ103" s="532"/>
      <c r="BA103" s="532"/>
      <c r="BB103" s="532"/>
      <c r="BC103" s="532"/>
      <c r="BD103" s="532"/>
      <c r="BE103" s="532"/>
      <c r="BF103" s="532"/>
      <c r="BG103" s="532"/>
      <c r="BH103" s="532"/>
      <c r="BI103" s="532"/>
      <c r="BJ103" s="532"/>
      <c r="BK103" s="532"/>
      <c r="BL103" s="532"/>
      <c r="BM103" s="532"/>
      <c r="BN103" s="532"/>
      <c r="BO103" s="532"/>
      <c r="BP103" s="532"/>
      <c r="BQ103" s="532"/>
      <c r="BR103" s="532"/>
      <c r="BS103" s="532"/>
      <c r="BT103" s="532"/>
      <c r="BU103" s="532"/>
      <c r="BV103" s="532"/>
      <c r="BW103" s="532"/>
      <c r="BX103" s="532"/>
      <c r="BY103" s="532"/>
      <c r="BZ103" s="532"/>
      <c r="CA103" s="532"/>
      <c r="CB103" s="532"/>
      <c r="CC103" s="532"/>
      <c r="CD103" s="532"/>
      <c r="CE103" s="532"/>
      <c r="CF103" s="532"/>
      <c r="CG103" s="532"/>
      <c r="CH103" s="532"/>
      <c r="CI103" s="532"/>
      <c r="CJ103" s="532"/>
      <c r="CK103" s="532"/>
      <c r="CL103" s="532"/>
      <c r="CM103" s="532"/>
      <c r="CN103" s="532"/>
      <c r="CO103" s="532"/>
      <c r="CP103" s="532"/>
      <c r="CQ103" s="532"/>
      <c r="CR103" s="532"/>
      <c r="CS103" s="532"/>
      <c r="CT103" s="532"/>
      <c r="CU103" s="532"/>
      <c r="CV103" s="532"/>
      <c r="CW103" s="532"/>
      <c r="CX103" s="532"/>
      <c r="CY103" s="532"/>
      <c r="CZ103" s="532"/>
      <c r="DA103" s="532"/>
      <c r="DB103" s="532"/>
      <c r="DC103" s="532"/>
      <c r="DD103" s="532"/>
      <c r="DE103" s="532"/>
      <c r="DF103" s="532"/>
      <c r="DG103" s="532"/>
      <c r="DH103" s="532"/>
      <c r="DI103" s="532"/>
      <c r="DJ103" s="532"/>
      <c r="DK103" s="532"/>
      <c r="DL103" s="532"/>
      <c r="DM103" s="532"/>
      <c r="DN103" s="532"/>
      <c r="DO103" s="532"/>
      <c r="DP103" s="532"/>
      <c r="DQ103" s="532"/>
      <c r="DR103" s="532"/>
      <c r="DS103" s="532"/>
      <c r="DT103" s="532"/>
      <c r="DU103" s="532"/>
      <c r="DV103" s="532"/>
      <c r="DW103" s="532"/>
      <c r="DX103" s="532"/>
      <c r="DY103" s="532"/>
      <c r="DZ103" s="532"/>
      <c r="EA103" s="532"/>
      <c r="EB103" s="532"/>
      <c r="EC103" s="532"/>
      <c r="ED103" s="532"/>
      <c r="EE103" s="532"/>
      <c r="EF103" s="532"/>
      <c r="EG103" s="532"/>
      <c r="EH103" s="532"/>
      <c r="EI103" s="532"/>
      <c r="EJ103" s="532"/>
      <c r="EK103" s="532"/>
      <c r="EL103" s="532"/>
      <c r="EM103" s="532"/>
      <c r="EN103" s="532"/>
      <c r="EO103" s="532"/>
      <c r="EP103" s="532"/>
      <c r="EQ103" s="532"/>
      <c r="ER103" s="532"/>
      <c r="ES103" s="532"/>
      <c r="ET103" s="532"/>
      <c r="EU103" s="532"/>
      <c r="EV103" s="532"/>
      <c r="EW103" s="532"/>
      <c r="EX103" s="532"/>
      <c r="EY103" s="532"/>
      <c r="EZ103" s="532"/>
      <c r="FA103" s="532"/>
      <c r="FB103" s="532"/>
      <c r="FC103" s="532"/>
      <c r="FD103" s="532"/>
      <c r="FE103" s="532"/>
      <c r="FF103" s="532"/>
      <c r="FG103" s="532"/>
      <c r="FH103" s="532"/>
      <c r="FI103" s="532"/>
      <c r="FJ103" s="532"/>
      <c r="FK103" s="532"/>
      <c r="FL103" s="532"/>
      <c r="FM103" s="532"/>
      <c r="FN103" s="532"/>
      <c r="FO103" s="532"/>
      <c r="FP103" s="532"/>
    </row>
    <row r="104" spans="1:172" ht="12" customHeight="1" x14ac:dyDescent="0.2">
      <c r="A104" s="533" t="s">
        <v>82</v>
      </c>
      <c r="B104" s="534"/>
      <c r="C104" s="208">
        <v>0</v>
      </c>
      <c r="D104" s="208">
        <v>0</v>
      </c>
      <c r="E104" s="208">
        <v>0</v>
      </c>
      <c r="F104" s="208">
        <v>0</v>
      </c>
      <c r="G104" s="208">
        <v>0</v>
      </c>
      <c r="H104" s="208">
        <v>0</v>
      </c>
      <c r="I104" s="208">
        <v>0</v>
      </c>
      <c r="J104" s="208">
        <v>0</v>
      </c>
      <c r="K104" s="208">
        <v>0</v>
      </c>
      <c r="L104" s="562">
        <v>0</v>
      </c>
      <c r="M104" s="562">
        <v>0</v>
      </c>
      <c r="N104" s="562">
        <v>0</v>
      </c>
      <c r="O104" s="530">
        <f t="shared" si="89"/>
        <v>0</v>
      </c>
      <c r="P104" s="536"/>
      <c r="Q104" s="531"/>
      <c r="R104" s="531"/>
      <c r="S104" s="531"/>
      <c r="T104" s="531"/>
      <c r="U104" s="531"/>
      <c r="V104" s="531"/>
      <c r="W104" s="531"/>
      <c r="X104" s="531"/>
      <c r="Y104" s="531"/>
      <c r="Z104" s="531"/>
      <c r="AA104" s="531"/>
      <c r="AB104" s="531"/>
      <c r="AC104" s="531"/>
      <c r="AD104" s="531"/>
      <c r="AE104" s="531"/>
      <c r="AF104" s="531"/>
      <c r="AG104" s="531"/>
      <c r="AH104" s="532"/>
      <c r="AI104" s="532"/>
      <c r="AJ104" s="532"/>
      <c r="AK104" s="532"/>
      <c r="AL104" s="532"/>
      <c r="AM104" s="532"/>
      <c r="AN104" s="532"/>
      <c r="AO104" s="532"/>
      <c r="AP104" s="532"/>
      <c r="AQ104" s="532"/>
      <c r="AR104" s="532"/>
      <c r="AS104" s="532"/>
      <c r="AT104" s="532"/>
      <c r="AU104" s="532"/>
      <c r="AV104" s="532"/>
      <c r="AW104" s="532"/>
      <c r="AX104" s="532"/>
      <c r="AY104" s="532"/>
      <c r="AZ104" s="532"/>
      <c r="BA104" s="532"/>
      <c r="BB104" s="532"/>
      <c r="BC104" s="532"/>
      <c r="BD104" s="532"/>
      <c r="BE104" s="532"/>
      <c r="BF104" s="532"/>
      <c r="BG104" s="532"/>
      <c r="BH104" s="532"/>
      <c r="BI104" s="532"/>
      <c r="BJ104" s="532"/>
      <c r="BK104" s="532"/>
      <c r="BL104" s="532"/>
      <c r="BM104" s="532"/>
      <c r="BN104" s="532"/>
      <c r="BO104" s="532"/>
      <c r="BP104" s="532"/>
      <c r="BQ104" s="532"/>
      <c r="BR104" s="532"/>
      <c r="BS104" s="532"/>
      <c r="BT104" s="532"/>
      <c r="BU104" s="532"/>
      <c r="BV104" s="532"/>
      <c r="BW104" s="532"/>
      <c r="BX104" s="532"/>
      <c r="BY104" s="532"/>
      <c r="BZ104" s="532"/>
      <c r="CA104" s="532"/>
      <c r="CB104" s="532"/>
      <c r="CC104" s="532"/>
      <c r="CD104" s="532"/>
      <c r="CE104" s="532"/>
      <c r="CF104" s="532"/>
      <c r="CG104" s="532"/>
      <c r="CH104" s="532"/>
      <c r="CI104" s="532"/>
      <c r="CJ104" s="532"/>
      <c r="CK104" s="532"/>
      <c r="CL104" s="532"/>
      <c r="CM104" s="532"/>
      <c r="CN104" s="532"/>
      <c r="CO104" s="532"/>
      <c r="CP104" s="532"/>
      <c r="CQ104" s="532"/>
      <c r="CR104" s="532"/>
      <c r="CS104" s="532"/>
      <c r="CT104" s="532"/>
      <c r="CU104" s="532"/>
      <c r="CV104" s="532"/>
      <c r="CW104" s="532"/>
      <c r="CX104" s="532"/>
      <c r="CY104" s="532"/>
      <c r="CZ104" s="532"/>
      <c r="DA104" s="532"/>
      <c r="DB104" s="532"/>
      <c r="DC104" s="532"/>
      <c r="DD104" s="532"/>
      <c r="DE104" s="532"/>
      <c r="DF104" s="532"/>
      <c r="DG104" s="532"/>
      <c r="DH104" s="532"/>
      <c r="DI104" s="532"/>
      <c r="DJ104" s="532"/>
      <c r="DK104" s="532"/>
      <c r="DL104" s="532"/>
      <c r="DM104" s="532"/>
      <c r="DN104" s="532"/>
      <c r="DO104" s="532"/>
      <c r="DP104" s="532"/>
      <c r="DQ104" s="532"/>
      <c r="DR104" s="532"/>
      <c r="DS104" s="532"/>
      <c r="DT104" s="532"/>
      <c r="DU104" s="532"/>
      <c r="DV104" s="532"/>
      <c r="DW104" s="532"/>
      <c r="DX104" s="532"/>
      <c r="DY104" s="532"/>
      <c r="DZ104" s="532"/>
      <c r="EA104" s="532"/>
      <c r="EB104" s="532"/>
      <c r="EC104" s="532"/>
      <c r="ED104" s="532"/>
      <c r="EE104" s="532"/>
      <c r="EF104" s="532"/>
      <c r="EG104" s="532"/>
      <c r="EH104" s="532"/>
      <c r="EI104" s="532"/>
      <c r="EJ104" s="532"/>
      <c r="EK104" s="532"/>
      <c r="EL104" s="532"/>
      <c r="EM104" s="532"/>
      <c r="EN104" s="532"/>
      <c r="EO104" s="532"/>
      <c r="EP104" s="532"/>
      <c r="EQ104" s="532"/>
      <c r="ER104" s="532"/>
      <c r="ES104" s="532"/>
      <c r="ET104" s="532"/>
      <c r="EU104" s="532"/>
      <c r="EV104" s="532"/>
      <c r="EW104" s="532"/>
      <c r="EX104" s="532"/>
      <c r="EY104" s="532"/>
      <c r="EZ104" s="532"/>
      <c r="FA104" s="532"/>
      <c r="FB104" s="532"/>
      <c r="FC104" s="532"/>
      <c r="FD104" s="532"/>
      <c r="FE104" s="532"/>
      <c r="FF104" s="532"/>
      <c r="FG104" s="532"/>
      <c r="FH104" s="532"/>
      <c r="FI104" s="532"/>
      <c r="FJ104" s="532"/>
      <c r="FK104" s="532"/>
      <c r="FL104" s="532"/>
      <c r="FM104" s="532"/>
      <c r="FN104" s="532"/>
      <c r="FO104" s="532"/>
      <c r="FP104" s="532"/>
    </row>
    <row r="105" spans="1:172" ht="12" customHeight="1" x14ac:dyDescent="0.2">
      <c r="A105" s="533" t="s">
        <v>83</v>
      </c>
      <c r="B105" s="534"/>
      <c r="C105" s="208">
        <v>0</v>
      </c>
      <c r="D105" s="208">
        <v>0</v>
      </c>
      <c r="E105" s="208">
        <v>0</v>
      </c>
      <c r="F105" s="208">
        <v>0</v>
      </c>
      <c r="G105" s="208">
        <v>0</v>
      </c>
      <c r="H105" s="208">
        <v>0</v>
      </c>
      <c r="I105" s="208">
        <v>0</v>
      </c>
      <c r="J105" s="208">
        <v>0</v>
      </c>
      <c r="K105" s="208">
        <v>0</v>
      </c>
      <c r="L105" s="562">
        <v>0</v>
      </c>
      <c r="M105" s="562">
        <v>0</v>
      </c>
      <c r="N105" s="562">
        <v>0</v>
      </c>
      <c r="O105" s="530">
        <f t="shared" si="89"/>
        <v>0</v>
      </c>
      <c r="P105" s="536"/>
      <c r="Q105" s="531"/>
      <c r="R105" s="531"/>
      <c r="S105" s="531"/>
      <c r="T105" s="531"/>
      <c r="U105" s="531"/>
      <c r="V105" s="531"/>
      <c r="W105" s="531"/>
      <c r="X105" s="531"/>
      <c r="Y105" s="531"/>
      <c r="Z105" s="531"/>
      <c r="AA105" s="531"/>
      <c r="AB105" s="531"/>
      <c r="AC105" s="531"/>
      <c r="AD105" s="531"/>
      <c r="AE105" s="531"/>
      <c r="AF105" s="531"/>
      <c r="AG105" s="531"/>
      <c r="AH105" s="532"/>
      <c r="AI105" s="532"/>
      <c r="AJ105" s="532"/>
      <c r="AK105" s="532"/>
      <c r="AL105" s="532"/>
      <c r="AM105" s="532"/>
      <c r="AN105" s="532"/>
      <c r="AO105" s="532"/>
      <c r="AP105" s="532"/>
      <c r="AQ105" s="532"/>
      <c r="AR105" s="532"/>
      <c r="AS105" s="532"/>
      <c r="AT105" s="532"/>
      <c r="AU105" s="532"/>
      <c r="AV105" s="532"/>
      <c r="AW105" s="532"/>
      <c r="AX105" s="532"/>
      <c r="AY105" s="532"/>
      <c r="AZ105" s="532"/>
      <c r="BA105" s="532"/>
      <c r="BB105" s="532"/>
      <c r="BC105" s="532"/>
      <c r="BD105" s="532"/>
      <c r="BE105" s="532"/>
      <c r="BF105" s="532"/>
      <c r="BG105" s="532"/>
      <c r="BH105" s="532"/>
      <c r="BI105" s="532"/>
      <c r="BJ105" s="532"/>
      <c r="BK105" s="532"/>
      <c r="BL105" s="532"/>
      <c r="BM105" s="532"/>
      <c r="BN105" s="532"/>
      <c r="BO105" s="532"/>
      <c r="BP105" s="532"/>
      <c r="BQ105" s="532"/>
      <c r="BR105" s="532"/>
      <c r="BS105" s="532"/>
      <c r="BT105" s="532"/>
      <c r="BU105" s="532"/>
      <c r="BV105" s="532"/>
      <c r="BW105" s="532"/>
      <c r="BX105" s="532"/>
      <c r="BY105" s="532"/>
      <c r="BZ105" s="532"/>
      <c r="CA105" s="532"/>
      <c r="CB105" s="532"/>
      <c r="CC105" s="532"/>
      <c r="CD105" s="532"/>
      <c r="CE105" s="532"/>
      <c r="CF105" s="532"/>
      <c r="CG105" s="532"/>
      <c r="CH105" s="532"/>
      <c r="CI105" s="532"/>
      <c r="CJ105" s="532"/>
      <c r="CK105" s="532"/>
      <c r="CL105" s="532"/>
      <c r="CM105" s="532"/>
      <c r="CN105" s="532"/>
      <c r="CO105" s="532"/>
      <c r="CP105" s="532"/>
      <c r="CQ105" s="532"/>
      <c r="CR105" s="532"/>
      <c r="CS105" s="532"/>
      <c r="CT105" s="532"/>
      <c r="CU105" s="532"/>
      <c r="CV105" s="532"/>
      <c r="CW105" s="532"/>
      <c r="CX105" s="532"/>
      <c r="CY105" s="532"/>
      <c r="CZ105" s="532"/>
      <c r="DA105" s="532"/>
      <c r="DB105" s="532"/>
      <c r="DC105" s="532"/>
      <c r="DD105" s="532"/>
      <c r="DE105" s="532"/>
      <c r="DF105" s="532"/>
      <c r="DG105" s="532"/>
      <c r="DH105" s="532"/>
      <c r="DI105" s="532"/>
      <c r="DJ105" s="532"/>
      <c r="DK105" s="532"/>
      <c r="DL105" s="532"/>
      <c r="DM105" s="532"/>
      <c r="DN105" s="532"/>
      <c r="DO105" s="532"/>
      <c r="DP105" s="532"/>
      <c r="DQ105" s="532"/>
      <c r="DR105" s="532"/>
      <c r="DS105" s="532"/>
      <c r="DT105" s="532"/>
      <c r="DU105" s="532"/>
      <c r="DV105" s="532"/>
      <c r="DW105" s="532"/>
      <c r="DX105" s="532"/>
      <c r="DY105" s="532"/>
      <c r="DZ105" s="532"/>
      <c r="EA105" s="532"/>
      <c r="EB105" s="532"/>
      <c r="EC105" s="532"/>
      <c r="ED105" s="532"/>
      <c r="EE105" s="532"/>
      <c r="EF105" s="532"/>
      <c r="EG105" s="532"/>
      <c r="EH105" s="532"/>
      <c r="EI105" s="532"/>
      <c r="EJ105" s="532"/>
      <c r="EK105" s="532"/>
      <c r="EL105" s="532"/>
      <c r="EM105" s="532"/>
      <c r="EN105" s="532"/>
      <c r="EO105" s="532"/>
      <c r="EP105" s="532"/>
      <c r="EQ105" s="532"/>
      <c r="ER105" s="532"/>
      <c r="ES105" s="532"/>
      <c r="ET105" s="532"/>
      <c r="EU105" s="532"/>
      <c r="EV105" s="532"/>
      <c r="EW105" s="532"/>
      <c r="EX105" s="532"/>
      <c r="EY105" s="532"/>
      <c r="EZ105" s="532"/>
      <c r="FA105" s="532"/>
      <c r="FB105" s="532"/>
      <c r="FC105" s="532"/>
      <c r="FD105" s="532"/>
      <c r="FE105" s="532"/>
      <c r="FF105" s="532"/>
      <c r="FG105" s="532"/>
      <c r="FH105" s="532"/>
      <c r="FI105" s="532"/>
      <c r="FJ105" s="532"/>
      <c r="FK105" s="532"/>
      <c r="FL105" s="532"/>
      <c r="FM105" s="532"/>
      <c r="FN105" s="532"/>
      <c r="FO105" s="532"/>
      <c r="FP105" s="532"/>
    </row>
    <row r="106" spans="1:172" ht="12" customHeight="1" x14ac:dyDescent="0.2">
      <c r="A106" s="533" t="s">
        <v>84</v>
      </c>
      <c r="B106" s="534"/>
      <c r="C106" s="208">
        <v>0</v>
      </c>
      <c r="D106" s="208">
        <v>0</v>
      </c>
      <c r="E106" s="208">
        <v>0</v>
      </c>
      <c r="F106" s="208">
        <v>0</v>
      </c>
      <c r="G106" s="208">
        <v>0</v>
      </c>
      <c r="H106" s="208">
        <v>0</v>
      </c>
      <c r="I106" s="208">
        <v>0</v>
      </c>
      <c r="J106" s="208">
        <v>0</v>
      </c>
      <c r="K106" s="208">
        <v>0</v>
      </c>
      <c r="L106" s="562">
        <v>0</v>
      </c>
      <c r="M106" s="562">
        <v>0</v>
      </c>
      <c r="N106" s="562">
        <v>0</v>
      </c>
      <c r="O106" s="530">
        <f t="shared" si="89"/>
        <v>0</v>
      </c>
      <c r="P106" s="536"/>
      <c r="Q106" s="531"/>
      <c r="R106" s="531"/>
      <c r="S106" s="531"/>
      <c r="T106" s="531"/>
      <c r="U106" s="531"/>
      <c r="V106" s="531"/>
      <c r="W106" s="531"/>
      <c r="X106" s="531"/>
      <c r="Y106" s="531"/>
      <c r="Z106" s="531"/>
      <c r="AA106" s="531"/>
      <c r="AB106" s="531"/>
      <c r="AC106" s="531"/>
      <c r="AD106" s="531"/>
      <c r="AE106" s="531"/>
      <c r="AF106" s="531"/>
      <c r="AG106" s="531"/>
      <c r="AH106" s="532"/>
      <c r="AI106" s="532"/>
      <c r="AJ106" s="532"/>
      <c r="AK106" s="532"/>
      <c r="AL106" s="532"/>
      <c r="AM106" s="532"/>
      <c r="AN106" s="532"/>
      <c r="AO106" s="532"/>
      <c r="AP106" s="532"/>
      <c r="AQ106" s="532"/>
      <c r="AR106" s="532"/>
      <c r="AS106" s="532"/>
      <c r="AT106" s="532"/>
      <c r="AU106" s="532"/>
      <c r="AV106" s="532"/>
      <c r="AW106" s="532"/>
      <c r="AX106" s="532"/>
      <c r="AY106" s="532"/>
      <c r="AZ106" s="532"/>
      <c r="BA106" s="532"/>
      <c r="BB106" s="532"/>
      <c r="BC106" s="532"/>
      <c r="BD106" s="532"/>
      <c r="BE106" s="532"/>
      <c r="BF106" s="532"/>
      <c r="BG106" s="532"/>
      <c r="BH106" s="532"/>
      <c r="BI106" s="532"/>
      <c r="BJ106" s="532"/>
      <c r="BK106" s="532"/>
      <c r="BL106" s="532"/>
      <c r="BM106" s="532"/>
      <c r="BN106" s="532"/>
      <c r="BO106" s="532"/>
      <c r="BP106" s="532"/>
      <c r="BQ106" s="532"/>
      <c r="BR106" s="532"/>
      <c r="BS106" s="532"/>
      <c r="BT106" s="532"/>
      <c r="BU106" s="532"/>
      <c r="BV106" s="532"/>
      <c r="BW106" s="532"/>
      <c r="BX106" s="532"/>
      <c r="BY106" s="532"/>
      <c r="BZ106" s="532"/>
      <c r="CA106" s="532"/>
      <c r="CB106" s="532"/>
      <c r="CC106" s="532"/>
      <c r="CD106" s="532"/>
      <c r="CE106" s="532"/>
      <c r="CF106" s="532"/>
      <c r="CG106" s="532"/>
      <c r="CH106" s="532"/>
      <c r="CI106" s="532"/>
      <c r="CJ106" s="532"/>
      <c r="CK106" s="532"/>
      <c r="CL106" s="532"/>
      <c r="CM106" s="532"/>
      <c r="CN106" s="532"/>
      <c r="CO106" s="532"/>
      <c r="CP106" s="532"/>
      <c r="CQ106" s="532"/>
      <c r="CR106" s="532"/>
      <c r="CS106" s="532"/>
      <c r="CT106" s="532"/>
      <c r="CU106" s="532"/>
      <c r="CV106" s="532"/>
      <c r="CW106" s="532"/>
      <c r="CX106" s="532"/>
      <c r="CY106" s="532"/>
      <c r="CZ106" s="532"/>
      <c r="DA106" s="532"/>
      <c r="DB106" s="532"/>
      <c r="DC106" s="532"/>
      <c r="DD106" s="532"/>
      <c r="DE106" s="532"/>
      <c r="DF106" s="532"/>
      <c r="DG106" s="532"/>
      <c r="DH106" s="532"/>
      <c r="DI106" s="532"/>
      <c r="DJ106" s="532"/>
      <c r="DK106" s="532"/>
      <c r="DL106" s="532"/>
      <c r="DM106" s="532"/>
      <c r="DN106" s="532"/>
      <c r="DO106" s="532"/>
      <c r="DP106" s="532"/>
      <c r="DQ106" s="532"/>
      <c r="DR106" s="532"/>
      <c r="DS106" s="532"/>
      <c r="DT106" s="532"/>
      <c r="DU106" s="532"/>
      <c r="DV106" s="532"/>
      <c r="DW106" s="532"/>
      <c r="DX106" s="532"/>
      <c r="DY106" s="532"/>
      <c r="DZ106" s="532"/>
      <c r="EA106" s="532"/>
      <c r="EB106" s="532"/>
      <c r="EC106" s="532"/>
      <c r="ED106" s="532"/>
      <c r="EE106" s="532"/>
      <c r="EF106" s="532"/>
      <c r="EG106" s="532"/>
      <c r="EH106" s="532"/>
      <c r="EI106" s="532"/>
      <c r="EJ106" s="532"/>
      <c r="EK106" s="532"/>
      <c r="EL106" s="532"/>
      <c r="EM106" s="532"/>
      <c r="EN106" s="532"/>
      <c r="EO106" s="532"/>
      <c r="EP106" s="532"/>
      <c r="EQ106" s="532"/>
      <c r="ER106" s="532"/>
      <c r="ES106" s="532"/>
      <c r="ET106" s="532"/>
      <c r="EU106" s="532"/>
      <c r="EV106" s="532"/>
      <c r="EW106" s="532"/>
      <c r="EX106" s="532"/>
      <c r="EY106" s="532"/>
      <c r="EZ106" s="532"/>
      <c r="FA106" s="532"/>
      <c r="FB106" s="532"/>
      <c r="FC106" s="532"/>
      <c r="FD106" s="532"/>
      <c r="FE106" s="532"/>
      <c r="FF106" s="532"/>
      <c r="FG106" s="532"/>
      <c r="FH106" s="532"/>
      <c r="FI106" s="532"/>
      <c r="FJ106" s="532"/>
      <c r="FK106" s="532"/>
      <c r="FL106" s="532"/>
      <c r="FM106" s="532"/>
      <c r="FN106" s="532"/>
      <c r="FO106" s="532"/>
      <c r="FP106" s="532"/>
    </row>
    <row r="107" spans="1:172" ht="12" customHeight="1" x14ac:dyDescent="0.2">
      <c r="A107" s="533" t="s">
        <v>85</v>
      </c>
      <c r="B107" s="534"/>
      <c r="C107" s="208">
        <v>0</v>
      </c>
      <c r="D107" s="208">
        <v>0</v>
      </c>
      <c r="E107" s="208">
        <v>0</v>
      </c>
      <c r="F107" s="208">
        <v>0</v>
      </c>
      <c r="G107" s="208">
        <v>0</v>
      </c>
      <c r="H107" s="208">
        <v>0</v>
      </c>
      <c r="I107" s="208">
        <v>0</v>
      </c>
      <c r="J107" s="208">
        <v>0</v>
      </c>
      <c r="K107" s="208">
        <v>0</v>
      </c>
      <c r="L107" s="562">
        <v>0</v>
      </c>
      <c r="M107" s="562">
        <v>0</v>
      </c>
      <c r="N107" s="562">
        <v>0</v>
      </c>
      <c r="O107" s="530">
        <f t="shared" si="89"/>
        <v>0</v>
      </c>
      <c r="P107" s="536"/>
      <c r="Q107" s="531"/>
      <c r="R107" s="531"/>
      <c r="S107" s="531"/>
      <c r="T107" s="531"/>
      <c r="U107" s="531"/>
      <c r="V107" s="531"/>
      <c r="W107" s="531"/>
      <c r="X107" s="531"/>
      <c r="Y107" s="531"/>
      <c r="Z107" s="531"/>
      <c r="AA107" s="531"/>
      <c r="AB107" s="531"/>
      <c r="AC107" s="531"/>
      <c r="AD107" s="531"/>
      <c r="AE107" s="531"/>
      <c r="AF107" s="531"/>
      <c r="AG107" s="531"/>
      <c r="AH107" s="532"/>
      <c r="AI107" s="532"/>
      <c r="AJ107" s="532"/>
      <c r="AK107" s="532"/>
      <c r="AL107" s="532"/>
      <c r="AM107" s="532"/>
      <c r="AN107" s="532"/>
      <c r="AO107" s="532"/>
      <c r="AP107" s="532"/>
      <c r="AQ107" s="532"/>
      <c r="AR107" s="532"/>
      <c r="AS107" s="532"/>
      <c r="AT107" s="532"/>
      <c r="AU107" s="532"/>
      <c r="AV107" s="532"/>
      <c r="AW107" s="532"/>
      <c r="AX107" s="532"/>
      <c r="AY107" s="532"/>
      <c r="AZ107" s="532"/>
      <c r="BA107" s="532"/>
      <c r="BB107" s="532"/>
      <c r="BC107" s="532"/>
      <c r="BD107" s="532"/>
      <c r="BE107" s="532"/>
      <c r="BF107" s="532"/>
      <c r="BG107" s="532"/>
      <c r="BH107" s="532"/>
      <c r="BI107" s="532"/>
      <c r="BJ107" s="532"/>
      <c r="BK107" s="532"/>
      <c r="BL107" s="532"/>
      <c r="BM107" s="532"/>
      <c r="BN107" s="532"/>
      <c r="BO107" s="532"/>
      <c r="BP107" s="532"/>
      <c r="BQ107" s="532"/>
      <c r="BR107" s="532"/>
      <c r="BS107" s="532"/>
      <c r="BT107" s="532"/>
      <c r="BU107" s="532"/>
      <c r="BV107" s="532"/>
      <c r="BW107" s="532"/>
      <c r="BX107" s="532"/>
      <c r="BY107" s="532"/>
      <c r="BZ107" s="532"/>
      <c r="CA107" s="532"/>
      <c r="CB107" s="532"/>
      <c r="CC107" s="532"/>
      <c r="CD107" s="532"/>
      <c r="CE107" s="532"/>
      <c r="CF107" s="532"/>
      <c r="CG107" s="532"/>
      <c r="CH107" s="532"/>
      <c r="CI107" s="532"/>
      <c r="CJ107" s="532"/>
      <c r="CK107" s="532"/>
      <c r="CL107" s="532"/>
      <c r="CM107" s="532"/>
      <c r="CN107" s="532"/>
      <c r="CO107" s="532"/>
      <c r="CP107" s="532"/>
      <c r="CQ107" s="532"/>
      <c r="CR107" s="532"/>
      <c r="CS107" s="532"/>
      <c r="CT107" s="532"/>
      <c r="CU107" s="532"/>
      <c r="CV107" s="532"/>
      <c r="CW107" s="532"/>
      <c r="CX107" s="532"/>
      <c r="CY107" s="532"/>
      <c r="CZ107" s="532"/>
      <c r="DA107" s="532"/>
      <c r="DB107" s="532"/>
      <c r="DC107" s="532"/>
      <c r="DD107" s="532"/>
      <c r="DE107" s="532"/>
      <c r="DF107" s="532"/>
      <c r="DG107" s="532"/>
      <c r="DH107" s="532"/>
      <c r="DI107" s="532"/>
      <c r="DJ107" s="532"/>
      <c r="DK107" s="532"/>
      <c r="DL107" s="532"/>
      <c r="DM107" s="532"/>
      <c r="DN107" s="532"/>
      <c r="DO107" s="532"/>
      <c r="DP107" s="532"/>
      <c r="DQ107" s="532"/>
      <c r="DR107" s="532"/>
      <c r="DS107" s="532"/>
      <c r="DT107" s="532"/>
      <c r="DU107" s="532"/>
      <c r="DV107" s="532"/>
      <c r="DW107" s="532"/>
      <c r="DX107" s="532"/>
      <c r="DY107" s="532"/>
      <c r="DZ107" s="532"/>
      <c r="EA107" s="532"/>
      <c r="EB107" s="532"/>
      <c r="EC107" s="532"/>
      <c r="ED107" s="532"/>
      <c r="EE107" s="532"/>
      <c r="EF107" s="532"/>
      <c r="EG107" s="532"/>
      <c r="EH107" s="532"/>
      <c r="EI107" s="532"/>
      <c r="EJ107" s="532"/>
      <c r="EK107" s="532"/>
      <c r="EL107" s="532"/>
      <c r="EM107" s="532"/>
      <c r="EN107" s="532"/>
      <c r="EO107" s="532"/>
      <c r="EP107" s="532"/>
      <c r="EQ107" s="532"/>
      <c r="ER107" s="532"/>
      <c r="ES107" s="532"/>
      <c r="ET107" s="532"/>
      <c r="EU107" s="532"/>
      <c r="EV107" s="532"/>
      <c r="EW107" s="532"/>
      <c r="EX107" s="532"/>
      <c r="EY107" s="532"/>
      <c r="EZ107" s="532"/>
      <c r="FA107" s="532"/>
      <c r="FB107" s="532"/>
      <c r="FC107" s="532"/>
      <c r="FD107" s="532"/>
      <c r="FE107" s="532"/>
      <c r="FF107" s="532"/>
      <c r="FG107" s="532"/>
      <c r="FH107" s="532"/>
      <c r="FI107" s="532"/>
      <c r="FJ107" s="532"/>
      <c r="FK107" s="532"/>
      <c r="FL107" s="532"/>
      <c r="FM107" s="532"/>
      <c r="FN107" s="532"/>
      <c r="FO107" s="532"/>
      <c r="FP107" s="532"/>
    </row>
    <row r="108" spans="1:172" ht="12" customHeight="1" x14ac:dyDescent="0.2">
      <c r="A108" s="537" t="s">
        <v>88</v>
      </c>
      <c r="B108" s="534"/>
      <c r="C108" s="208">
        <f t="shared" ref="C108:K108" si="90">SUM(C101:C107)</f>
        <v>0</v>
      </c>
      <c r="D108" s="208">
        <f t="shared" si="90"/>
        <v>0</v>
      </c>
      <c r="E108" s="208">
        <f t="shared" si="90"/>
        <v>0</v>
      </c>
      <c r="F108" s="208">
        <f t="shared" si="90"/>
        <v>0</v>
      </c>
      <c r="G108" s="208">
        <f t="shared" si="90"/>
        <v>0</v>
      </c>
      <c r="H108" s="208">
        <f t="shared" si="90"/>
        <v>0</v>
      </c>
      <c r="I108" s="208">
        <f t="shared" si="90"/>
        <v>0</v>
      </c>
      <c r="J108" s="208">
        <f t="shared" si="90"/>
        <v>0</v>
      </c>
      <c r="K108" s="208">
        <f t="shared" si="90"/>
        <v>0</v>
      </c>
      <c r="L108" s="562">
        <f t="shared" ref="L108:N108" si="91">SUM(L101:L107)</f>
        <v>0</v>
      </c>
      <c r="M108" s="562">
        <f t="shared" si="91"/>
        <v>0</v>
      </c>
      <c r="N108" s="562">
        <f t="shared" si="91"/>
        <v>0</v>
      </c>
      <c r="O108" s="530">
        <f t="shared" si="89"/>
        <v>0</v>
      </c>
      <c r="P108" s="536"/>
      <c r="Q108" s="531"/>
      <c r="R108" s="531"/>
      <c r="S108" s="531"/>
      <c r="T108" s="531"/>
      <c r="U108" s="531"/>
      <c r="V108" s="531"/>
      <c r="W108" s="531"/>
      <c r="X108" s="531"/>
      <c r="Y108" s="531"/>
      <c r="Z108" s="531"/>
      <c r="AA108" s="531"/>
      <c r="AB108" s="531"/>
      <c r="AC108" s="531"/>
      <c r="AD108" s="531"/>
      <c r="AE108" s="531"/>
      <c r="AF108" s="531"/>
      <c r="AG108" s="531"/>
      <c r="AH108" s="532"/>
      <c r="AI108" s="532"/>
      <c r="AJ108" s="532"/>
      <c r="AK108" s="532"/>
      <c r="AL108" s="532"/>
      <c r="AM108" s="532"/>
      <c r="AN108" s="532"/>
      <c r="AO108" s="532"/>
      <c r="AP108" s="532"/>
      <c r="AQ108" s="532"/>
      <c r="AR108" s="532"/>
      <c r="AS108" s="532"/>
      <c r="AT108" s="532"/>
      <c r="AU108" s="532"/>
      <c r="AV108" s="532"/>
      <c r="AW108" s="532"/>
      <c r="AX108" s="532"/>
      <c r="AY108" s="532"/>
      <c r="AZ108" s="532"/>
      <c r="BA108" s="532"/>
      <c r="BB108" s="532"/>
      <c r="BC108" s="532"/>
      <c r="BD108" s="532"/>
      <c r="BE108" s="532"/>
      <c r="BF108" s="532"/>
      <c r="BG108" s="532"/>
      <c r="BH108" s="532"/>
      <c r="BI108" s="532"/>
      <c r="BJ108" s="532"/>
      <c r="BK108" s="532"/>
      <c r="BL108" s="532"/>
      <c r="BM108" s="532"/>
      <c r="BN108" s="532"/>
      <c r="BO108" s="532"/>
      <c r="BP108" s="532"/>
      <c r="BQ108" s="532"/>
      <c r="BR108" s="532"/>
      <c r="BS108" s="532"/>
      <c r="BT108" s="532"/>
      <c r="BU108" s="532"/>
      <c r="BV108" s="532"/>
      <c r="BW108" s="532"/>
      <c r="BX108" s="532"/>
      <c r="BY108" s="532"/>
      <c r="BZ108" s="532"/>
      <c r="CA108" s="532"/>
      <c r="CB108" s="532"/>
      <c r="CC108" s="532"/>
      <c r="CD108" s="532"/>
      <c r="CE108" s="532"/>
      <c r="CF108" s="532"/>
      <c r="CG108" s="532"/>
      <c r="CH108" s="532"/>
      <c r="CI108" s="532"/>
      <c r="CJ108" s="532"/>
      <c r="CK108" s="532"/>
      <c r="CL108" s="532"/>
      <c r="CM108" s="532"/>
      <c r="CN108" s="532"/>
      <c r="CO108" s="532"/>
      <c r="CP108" s="532"/>
      <c r="CQ108" s="532"/>
      <c r="CR108" s="532"/>
      <c r="CS108" s="532"/>
      <c r="CT108" s="532"/>
      <c r="CU108" s="532"/>
      <c r="CV108" s="532"/>
      <c r="CW108" s="532"/>
      <c r="CX108" s="532"/>
      <c r="CY108" s="532"/>
      <c r="CZ108" s="532"/>
      <c r="DA108" s="532"/>
      <c r="DB108" s="532"/>
      <c r="DC108" s="532"/>
      <c r="DD108" s="532"/>
      <c r="DE108" s="532"/>
      <c r="DF108" s="532"/>
      <c r="DG108" s="532"/>
      <c r="DH108" s="532"/>
      <c r="DI108" s="532"/>
      <c r="DJ108" s="532"/>
      <c r="DK108" s="532"/>
      <c r="DL108" s="532"/>
      <c r="DM108" s="532"/>
      <c r="DN108" s="532"/>
      <c r="DO108" s="532"/>
      <c r="DP108" s="532"/>
      <c r="DQ108" s="532"/>
      <c r="DR108" s="532"/>
      <c r="DS108" s="532"/>
      <c r="DT108" s="532"/>
      <c r="DU108" s="532"/>
      <c r="DV108" s="532"/>
      <c r="DW108" s="532"/>
      <c r="DX108" s="532"/>
      <c r="DY108" s="532"/>
      <c r="DZ108" s="532"/>
      <c r="EA108" s="532"/>
      <c r="EB108" s="532"/>
      <c r="EC108" s="532"/>
      <c r="ED108" s="532"/>
      <c r="EE108" s="532"/>
      <c r="EF108" s="532"/>
      <c r="EG108" s="532"/>
      <c r="EH108" s="532"/>
      <c r="EI108" s="532"/>
      <c r="EJ108" s="532"/>
      <c r="EK108" s="532"/>
      <c r="EL108" s="532"/>
      <c r="EM108" s="532"/>
      <c r="EN108" s="532"/>
      <c r="EO108" s="532"/>
      <c r="EP108" s="532"/>
      <c r="EQ108" s="532"/>
      <c r="ER108" s="532"/>
      <c r="ES108" s="532"/>
      <c r="ET108" s="532"/>
      <c r="EU108" s="532"/>
      <c r="EV108" s="532"/>
      <c r="EW108" s="532"/>
      <c r="EX108" s="532"/>
      <c r="EY108" s="532"/>
      <c r="EZ108" s="532"/>
      <c r="FA108" s="532"/>
      <c r="FB108" s="532"/>
      <c r="FC108" s="532"/>
      <c r="FD108" s="532"/>
      <c r="FE108" s="532"/>
      <c r="FF108" s="532"/>
      <c r="FG108" s="532"/>
      <c r="FH108" s="532"/>
      <c r="FI108" s="532"/>
      <c r="FJ108" s="532"/>
      <c r="FK108" s="532"/>
      <c r="FL108" s="532"/>
      <c r="FM108" s="532"/>
      <c r="FN108" s="532"/>
      <c r="FO108" s="532"/>
      <c r="FP108" s="532"/>
    </row>
    <row r="109" spans="1:172" ht="12" customHeight="1" x14ac:dyDescent="0.2">
      <c r="A109" s="537"/>
      <c r="B109" s="534"/>
      <c r="C109" s="534"/>
      <c r="D109" s="534"/>
      <c r="E109" s="534"/>
      <c r="F109" s="534"/>
      <c r="G109" s="534"/>
      <c r="H109" s="534"/>
      <c r="I109" s="534"/>
      <c r="J109" s="534"/>
      <c r="K109" s="658"/>
      <c r="L109" s="562"/>
      <c r="M109" s="562"/>
      <c r="N109" s="562"/>
      <c r="O109" s="530"/>
      <c r="P109" s="536"/>
      <c r="Q109" s="531"/>
      <c r="R109" s="531"/>
      <c r="S109" s="531"/>
      <c r="T109" s="531"/>
      <c r="U109" s="531"/>
      <c r="V109" s="531"/>
      <c r="W109" s="531"/>
      <c r="X109" s="531"/>
      <c r="Y109" s="531"/>
      <c r="Z109" s="531"/>
      <c r="AA109" s="531"/>
      <c r="AB109" s="531"/>
      <c r="AC109" s="531"/>
      <c r="AD109" s="531"/>
      <c r="AE109" s="531"/>
      <c r="AF109" s="531"/>
      <c r="AG109" s="531"/>
      <c r="AH109" s="532"/>
      <c r="AI109" s="532"/>
      <c r="AJ109" s="532"/>
      <c r="AK109" s="532"/>
      <c r="AL109" s="532"/>
      <c r="AM109" s="532"/>
      <c r="AN109" s="532"/>
      <c r="AO109" s="532"/>
      <c r="AP109" s="532"/>
      <c r="AQ109" s="532"/>
      <c r="AR109" s="532"/>
      <c r="AS109" s="532"/>
      <c r="AT109" s="532"/>
      <c r="AU109" s="532"/>
      <c r="AV109" s="532"/>
      <c r="AW109" s="532"/>
      <c r="AX109" s="532"/>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532"/>
      <c r="BW109" s="532"/>
      <c r="BX109" s="532"/>
      <c r="BY109" s="532"/>
      <c r="BZ109" s="532"/>
      <c r="CA109" s="532"/>
      <c r="CB109" s="532"/>
      <c r="CC109" s="532"/>
      <c r="CD109" s="532"/>
      <c r="CE109" s="532"/>
      <c r="CF109" s="532"/>
      <c r="CG109" s="532"/>
      <c r="CH109" s="532"/>
      <c r="CI109" s="532"/>
      <c r="CJ109" s="532"/>
      <c r="CK109" s="532"/>
      <c r="CL109" s="532"/>
      <c r="CM109" s="532"/>
      <c r="CN109" s="532"/>
      <c r="CO109" s="532"/>
      <c r="CP109" s="532"/>
      <c r="CQ109" s="532"/>
      <c r="CR109" s="532"/>
      <c r="CS109" s="532"/>
      <c r="CT109" s="532"/>
      <c r="CU109" s="532"/>
      <c r="CV109" s="532"/>
      <c r="CW109" s="532"/>
      <c r="CX109" s="532"/>
      <c r="CY109" s="532"/>
      <c r="CZ109" s="532"/>
      <c r="DA109" s="532"/>
      <c r="DB109" s="532"/>
      <c r="DC109" s="532"/>
      <c r="DD109" s="532"/>
      <c r="DE109" s="532"/>
      <c r="DF109" s="532"/>
      <c r="DG109" s="532"/>
      <c r="DH109" s="532"/>
      <c r="DI109" s="532"/>
      <c r="DJ109" s="532"/>
      <c r="DK109" s="532"/>
      <c r="DL109" s="532"/>
      <c r="DM109" s="532"/>
      <c r="DN109" s="532"/>
      <c r="DO109" s="532"/>
      <c r="DP109" s="532"/>
      <c r="DQ109" s="532"/>
      <c r="DR109" s="532"/>
      <c r="DS109" s="532"/>
      <c r="DT109" s="532"/>
      <c r="DU109" s="532"/>
      <c r="DV109" s="532"/>
      <c r="DW109" s="532"/>
      <c r="DX109" s="532"/>
      <c r="DY109" s="532"/>
      <c r="DZ109" s="532"/>
      <c r="EA109" s="532"/>
      <c r="EB109" s="532"/>
      <c r="EC109" s="532"/>
      <c r="ED109" s="532"/>
      <c r="EE109" s="532"/>
      <c r="EF109" s="532"/>
      <c r="EG109" s="532"/>
      <c r="EH109" s="532"/>
      <c r="EI109" s="532"/>
      <c r="EJ109" s="532"/>
      <c r="EK109" s="532"/>
      <c r="EL109" s="532"/>
      <c r="EM109" s="532"/>
      <c r="EN109" s="532"/>
      <c r="EO109" s="532"/>
      <c r="EP109" s="532"/>
      <c r="EQ109" s="532"/>
      <c r="ER109" s="532"/>
      <c r="ES109" s="532"/>
      <c r="ET109" s="532"/>
      <c r="EU109" s="532"/>
      <c r="EV109" s="532"/>
      <c r="EW109" s="532"/>
      <c r="EX109" s="532"/>
      <c r="EY109" s="532"/>
      <c r="EZ109" s="532"/>
      <c r="FA109" s="532"/>
      <c r="FB109" s="532"/>
      <c r="FC109" s="532"/>
      <c r="FD109" s="532"/>
      <c r="FE109" s="532"/>
      <c r="FF109" s="532"/>
      <c r="FG109" s="532"/>
      <c r="FH109" s="532"/>
      <c r="FI109" s="532"/>
      <c r="FJ109" s="532"/>
      <c r="FK109" s="532"/>
      <c r="FL109" s="532"/>
      <c r="FM109" s="532"/>
      <c r="FN109" s="532"/>
      <c r="FO109" s="532"/>
      <c r="FP109" s="532"/>
    </row>
    <row r="110" spans="1:172" ht="12" customHeight="1" x14ac:dyDescent="0.2">
      <c r="A110" s="533" t="s">
        <v>89</v>
      </c>
      <c r="B110" s="532"/>
      <c r="C110" s="539"/>
      <c r="D110" s="539"/>
      <c r="E110" s="539"/>
      <c r="F110" s="539"/>
      <c r="G110" s="539"/>
      <c r="H110" s="539"/>
      <c r="I110" s="539"/>
      <c r="J110" s="539"/>
      <c r="K110" s="659"/>
      <c r="L110" s="563"/>
      <c r="M110" s="563"/>
      <c r="N110" s="563"/>
      <c r="O110" s="530"/>
      <c r="P110" s="536"/>
      <c r="Q110" s="531"/>
      <c r="R110" s="531"/>
      <c r="S110" s="531"/>
      <c r="T110" s="531"/>
      <c r="U110" s="531"/>
      <c r="V110" s="531"/>
      <c r="W110" s="531"/>
      <c r="X110" s="531"/>
      <c r="Y110" s="531"/>
      <c r="Z110" s="531"/>
      <c r="AA110" s="531"/>
      <c r="AB110" s="531"/>
      <c r="AC110" s="531"/>
      <c r="AD110" s="531"/>
      <c r="AE110" s="531"/>
      <c r="AF110" s="531"/>
      <c r="AG110" s="531"/>
      <c r="AH110" s="532"/>
      <c r="AI110" s="532"/>
      <c r="AJ110" s="532"/>
      <c r="AK110" s="532"/>
      <c r="AL110" s="532"/>
      <c r="AM110" s="532"/>
      <c r="AN110" s="532"/>
      <c r="AO110" s="532"/>
      <c r="AP110" s="532"/>
      <c r="AQ110" s="532"/>
      <c r="AR110" s="532"/>
      <c r="AS110" s="532"/>
      <c r="AT110" s="532"/>
      <c r="AU110" s="532"/>
      <c r="AV110" s="532"/>
      <c r="AW110" s="532"/>
      <c r="AX110" s="532"/>
      <c r="AY110" s="532"/>
      <c r="AZ110" s="532"/>
      <c r="BA110" s="532"/>
      <c r="BB110" s="532"/>
      <c r="BC110" s="532"/>
      <c r="BD110" s="532"/>
      <c r="BE110" s="532"/>
      <c r="BF110" s="532"/>
      <c r="BG110" s="532"/>
      <c r="BH110" s="532"/>
      <c r="BI110" s="532"/>
      <c r="BJ110" s="532"/>
      <c r="BK110" s="532"/>
      <c r="BL110" s="532"/>
      <c r="BM110" s="532"/>
      <c r="BN110" s="532"/>
      <c r="BO110" s="532"/>
      <c r="BP110" s="532"/>
      <c r="BQ110" s="532"/>
      <c r="BR110" s="532"/>
      <c r="BS110" s="532"/>
      <c r="BT110" s="532"/>
      <c r="BU110" s="532"/>
      <c r="BV110" s="532"/>
      <c r="BW110" s="532"/>
      <c r="BX110" s="532"/>
      <c r="BY110" s="532"/>
      <c r="BZ110" s="532"/>
      <c r="CA110" s="532"/>
      <c r="CB110" s="532"/>
      <c r="CC110" s="532"/>
      <c r="CD110" s="532"/>
      <c r="CE110" s="532"/>
      <c r="CF110" s="532"/>
      <c r="CG110" s="532"/>
      <c r="CH110" s="532"/>
      <c r="CI110" s="532"/>
      <c r="CJ110" s="532"/>
      <c r="CK110" s="532"/>
      <c r="CL110" s="532"/>
      <c r="CM110" s="532"/>
      <c r="CN110" s="532"/>
      <c r="CO110" s="532"/>
      <c r="CP110" s="532"/>
      <c r="CQ110" s="532"/>
      <c r="CR110" s="532"/>
      <c r="CS110" s="532"/>
      <c r="CT110" s="532"/>
      <c r="CU110" s="532"/>
      <c r="CV110" s="532"/>
      <c r="CW110" s="532"/>
      <c r="CX110" s="532"/>
      <c r="CY110" s="532"/>
      <c r="CZ110" s="532"/>
      <c r="DA110" s="532"/>
      <c r="DB110" s="532"/>
      <c r="DC110" s="532"/>
      <c r="DD110" s="532"/>
      <c r="DE110" s="532"/>
      <c r="DF110" s="532"/>
      <c r="DG110" s="532"/>
      <c r="DH110" s="532"/>
      <c r="DI110" s="532"/>
      <c r="DJ110" s="532"/>
      <c r="DK110" s="532"/>
      <c r="DL110" s="532"/>
      <c r="DM110" s="532"/>
      <c r="DN110" s="532"/>
      <c r="DO110" s="532"/>
      <c r="DP110" s="532"/>
      <c r="DQ110" s="532"/>
      <c r="DR110" s="532"/>
      <c r="DS110" s="532"/>
      <c r="DT110" s="532"/>
      <c r="DU110" s="532"/>
      <c r="DV110" s="532"/>
      <c r="DW110" s="532"/>
      <c r="DX110" s="532"/>
      <c r="DY110" s="532"/>
      <c r="DZ110" s="532"/>
      <c r="EA110" s="532"/>
      <c r="EB110" s="532"/>
      <c r="EC110" s="532"/>
      <c r="ED110" s="532"/>
      <c r="EE110" s="532"/>
      <c r="EF110" s="532"/>
      <c r="EG110" s="532"/>
      <c r="EH110" s="532"/>
      <c r="EI110" s="532"/>
      <c r="EJ110" s="532"/>
      <c r="EK110" s="532"/>
      <c r="EL110" s="532"/>
      <c r="EM110" s="532"/>
      <c r="EN110" s="532"/>
      <c r="EO110" s="532"/>
      <c r="EP110" s="532"/>
      <c r="EQ110" s="532"/>
      <c r="ER110" s="532"/>
      <c r="ES110" s="532"/>
      <c r="ET110" s="532"/>
      <c r="EU110" s="532"/>
      <c r="EV110" s="532"/>
      <c r="EW110" s="532"/>
      <c r="EX110" s="532"/>
      <c r="EY110" s="532"/>
      <c r="EZ110" s="532"/>
      <c r="FA110" s="532"/>
      <c r="FB110" s="532"/>
      <c r="FC110" s="532"/>
      <c r="FD110" s="532"/>
      <c r="FE110" s="532"/>
      <c r="FF110" s="532"/>
      <c r="FG110" s="532"/>
      <c r="FH110" s="532"/>
      <c r="FI110" s="532"/>
      <c r="FJ110" s="532"/>
      <c r="FK110" s="532"/>
      <c r="FL110" s="532"/>
      <c r="FM110" s="532"/>
      <c r="FN110" s="532"/>
      <c r="FO110" s="532"/>
      <c r="FP110" s="532"/>
    </row>
    <row r="111" spans="1:172" ht="12" customHeight="1" x14ac:dyDescent="0.2">
      <c r="A111" s="533" t="s">
        <v>79</v>
      </c>
      <c r="B111" s="534"/>
      <c r="C111" s="208">
        <v>91</v>
      </c>
      <c r="D111" s="208">
        <v>74</v>
      </c>
      <c r="E111" s="208">
        <v>56</v>
      </c>
      <c r="F111" s="208">
        <v>80</v>
      </c>
      <c r="G111" s="208">
        <f>116-1</f>
        <v>115</v>
      </c>
      <c r="H111" s="208">
        <v>128</v>
      </c>
      <c r="I111" s="208">
        <v>98</v>
      </c>
      <c r="J111" s="208">
        <v>89</v>
      </c>
      <c r="K111" s="208">
        <v>115</v>
      </c>
      <c r="L111" s="562">
        <v>100</v>
      </c>
      <c r="M111" s="562">
        <v>137</v>
      </c>
      <c r="N111" s="562">
        <v>115</v>
      </c>
      <c r="O111" s="530">
        <f>SUM(C111:N111)</f>
        <v>1198</v>
      </c>
      <c r="P111" s="536"/>
      <c r="Q111" s="531"/>
      <c r="R111" s="531"/>
      <c r="S111" s="531"/>
      <c r="T111" s="531"/>
      <c r="U111" s="531"/>
      <c r="V111" s="531"/>
      <c r="W111" s="531"/>
      <c r="X111" s="531"/>
      <c r="Y111" s="531"/>
      <c r="Z111" s="531"/>
      <c r="AA111" s="531"/>
      <c r="AB111" s="531"/>
      <c r="AC111" s="531"/>
      <c r="AD111" s="531"/>
      <c r="AE111" s="531"/>
      <c r="AF111" s="531"/>
      <c r="AG111" s="531"/>
      <c r="AH111" s="532"/>
      <c r="AI111" s="532"/>
      <c r="AJ111" s="532"/>
      <c r="AK111" s="532"/>
      <c r="AL111" s="532"/>
      <c r="AM111" s="532"/>
      <c r="AN111" s="532"/>
      <c r="AO111" s="532"/>
      <c r="AP111" s="532"/>
      <c r="AQ111" s="532"/>
      <c r="AR111" s="532"/>
      <c r="AS111" s="532"/>
      <c r="AT111" s="532"/>
      <c r="AU111" s="532"/>
      <c r="AV111" s="532"/>
      <c r="AW111" s="532"/>
      <c r="AX111" s="532"/>
      <c r="AY111" s="532"/>
      <c r="AZ111" s="532"/>
      <c r="BA111" s="532"/>
      <c r="BB111" s="532"/>
      <c r="BC111" s="532"/>
      <c r="BD111" s="532"/>
      <c r="BE111" s="532"/>
      <c r="BF111" s="532"/>
      <c r="BG111" s="532"/>
      <c r="BH111" s="532"/>
      <c r="BI111" s="532"/>
      <c r="BJ111" s="532"/>
      <c r="BK111" s="532"/>
      <c r="BL111" s="532"/>
      <c r="BM111" s="532"/>
      <c r="BN111" s="532"/>
      <c r="BO111" s="532"/>
      <c r="BP111" s="532"/>
      <c r="BQ111" s="532"/>
      <c r="BR111" s="532"/>
      <c r="BS111" s="532"/>
      <c r="BT111" s="532"/>
      <c r="BU111" s="532"/>
      <c r="BV111" s="532"/>
      <c r="BW111" s="532"/>
      <c r="BX111" s="532"/>
      <c r="BY111" s="532"/>
      <c r="BZ111" s="532"/>
      <c r="CA111" s="532"/>
      <c r="CB111" s="532"/>
      <c r="CC111" s="532"/>
      <c r="CD111" s="532"/>
      <c r="CE111" s="532"/>
      <c r="CF111" s="532"/>
      <c r="CG111" s="532"/>
      <c r="CH111" s="532"/>
      <c r="CI111" s="532"/>
      <c r="CJ111" s="532"/>
      <c r="CK111" s="532"/>
      <c r="CL111" s="532"/>
      <c r="CM111" s="532"/>
      <c r="CN111" s="532"/>
      <c r="CO111" s="532"/>
      <c r="CP111" s="532"/>
      <c r="CQ111" s="532"/>
      <c r="CR111" s="532"/>
      <c r="CS111" s="532"/>
      <c r="CT111" s="532"/>
      <c r="CU111" s="532"/>
      <c r="CV111" s="532"/>
      <c r="CW111" s="532"/>
      <c r="CX111" s="532"/>
      <c r="CY111" s="532"/>
      <c r="CZ111" s="532"/>
      <c r="DA111" s="532"/>
      <c r="DB111" s="532"/>
      <c r="DC111" s="532"/>
      <c r="DD111" s="532"/>
      <c r="DE111" s="532"/>
      <c r="DF111" s="532"/>
      <c r="DG111" s="532"/>
      <c r="DH111" s="532"/>
      <c r="DI111" s="532"/>
      <c r="DJ111" s="532"/>
      <c r="DK111" s="532"/>
      <c r="DL111" s="532"/>
      <c r="DM111" s="532"/>
      <c r="DN111" s="532"/>
      <c r="DO111" s="532"/>
      <c r="DP111" s="532"/>
      <c r="DQ111" s="532"/>
      <c r="DR111" s="532"/>
      <c r="DS111" s="532"/>
      <c r="DT111" s="532"/>
      <c r="DU111" s="532"/>
      <c r="DV111" s="532"/>
      <c r="DW111" s="532"/>
      <c r="DX111" s="532"/>
      <c r="DY111" s="532"/>
      <c r="DZ111" s="532"/>
      <c r="EA111" s="532"/>
      <c r="EB111" s="532"/>
      <c r="EC111" s="532"/>
      <c r="ED111" s="532"/>
      <c r="EE111" s="532"/>
      <c r="EF111" s="532"/>
      <c r="EG111" s="532"/>
      <c r="EH111" s="532"/>
      <c r="EI111" s="532"/>
      <c r="EJ111" s="532"/>
      <c r="EK111" s="532"/>
      <c r="EL111" s="532"/>
      <c r="EM111" s="532"/>
      <c r="EN111" s="532"/>
      <c r="EO111" s="532"/>
      <c r="EP111" s="532"/>
      <c r="EQ111" s="532"/>
      <c r="ER111" s="532"/>
      <c r="ES111" s="532"/>
      <c r="ET111" s="532"/>
      <c r="EU111" s="532"/>
      <c r="EV111" s="532"/>
      <c r="EW111" s="532"/>
      <c r="EX111" s="532"/>
      <c r="EY111" s="532"/>
      <c r="EZ111" s="532"/>
      <c r="FA111" s="532"/>
      <c r="FB111" s="532"/>
      <c r="FC111" s="532"/>
      <c r="FD111" s="532"/>
      <c r="FE111" s="532"/>
      <c r="FF111" s="532"/>
      <c r="FG111" s="532"/>
      <c r="FH111" s="532"/>
      <c r="FI111" s="532"/>
      <c r="FJ111" s="532"/>
      <c r="FK111" s="532"/>
      <c r="FL111" s="532"/>
      <c r="FM111" s="532"/>
      <c r="FN111" s="532"/>
      <c r="FO111" s="532"/>
      <c r="FP111" s="532"/>
    </row>
    <row r="112" spans="1:172" ht="12" customHeight="1" x14ac:dyDescent="0.2">
      <c r="A112" s="533" t="s">
        <v>80</v>
      </c>
      <c r="B112" s="534"/>
      <c r="C112" s="208">
        <v>0</v>
      </c>
      <c r="D112" s="208">
        <v>0</v>
      </c>
      <c r="E112" s="208">
        <v>3</v>
      </c>
      <c r="F112" s="208">
        <v>0</v>
      </c>
      <c r="G112" s="208">
        <v>0</v>
      </c>
      <c r="H112" s="208">
        <v>0</v>
      </c>
      <c r="I112" s="208">
        <v>0</v>
      </c>
      <c r="J112" s="208">
        <v>0</v>
      </c>
      <c r="K112" s="208">
        <v>2</v>
      </c>
      <c r="L112" s="562">
        <v>4</v>
      </c>
      <c r="M112" s="562">
        <v>1</v>
      </c>
      <c r="N112" s="562">
        <v>2</v>
      </c>
      <c r="O112" s="530">
        <f t="shared" ref="O112:O120" si="92">SUM(C112:N112)</f>
        <v>12</v>
      </c>
      <c r="P112" s="536"/>
      <c r="Q112" s="531"/>
      <c r="R112" s="531"/>
      <c r="S112" s="531"/>
      <c r="T112" s="531"/>
      <c r="U112" s="531"/>
      <c r="V112" s="531"/>
      <c r="W112" s="531"/>
      <c r="X112" s="531"/>
      <c r="Y112" s="531"/>
      <c r="Z112" s="531"/>
      <c r="AA112" s="531"/>
      <c r="AB112" s="531"/>
      <c r="AC112" s="531"/>
      <c r="AD112" s="531"/>
      <c r="AE112" s="531"/>
      <c r="AF112" s="531"/>
      <c r="AG112" s="531"/>
      <c r="AH112" s="532"/>
      <c r="AI112" s="532"/>
      <c r="AJ112" s="532"/>
      <c r="AK112" s="532"/>
      <c r="AL112" s="532"/>
      <c r="AM112" s="532"/>
      <c r="AN112" s="532"/>
      <c r="AO112" s="532"/>
      <c r="AP112" s="532"/>
      <c r="AQ112" s="532"/>
      <c r="AR112" s="532"/>
      <c r="AS112" s="532"/>
      <c r="AT112" s="532"/>
      <c r="AU112" s="532"/>
      <c r="AV112" s="532"/>
      <c r="AW112" s="532"/>
      <c r="AX112" s="532"/>
      <c r="AY112" s="532"/>
      <c r="AZ112" s="532"/>
      <c r="BA112" s="532"/>
      <c r="BB112" s="532"/>
      <c r="BC112" s="532"/>
      <c r="BD112" s="532"/>
      <c r="BE112" s="532"/>
      <c r="BF112" s="532"/>
      <c r="BG112" s="532"/>
      <c r="BH112" s="532"/>
      <c r="BI112" s="532"/>
      <c r="BJ112" s="532"/>
      <c r="BK112" s="532"/>
      <c r="BL112" s="532"/>
      <c r="BM112" s="532"/>
      <c r="BN112" s="532"/>
      <c r="BO112" s="532"/>
      <c r="BP112" s="532"/>
      <c r="BQ112" s="532"/>
      <c r="BR112" s="532"/>
      <c r="BS112" s="532"/>
      <c r="BT112" s="532"/>
      <c r="BU112" s="532"/>
      <c r="BV112" s="532"/>
      <c r="BW112" s="532"/>
      <c r="BX112" s="532"/>
      <c r="BY112" s="532"/>
      <c r="BZ112" s="532"/>
      <c r="CA112" s="532"/>
      <c r="CB112" s="532"/>
      <c r="CC112" s="532"/>
      <c r="CD112" s="532"/>
      <c r="CE112" s="532"/>
      <c r="CF112" s="532"/>
      <c r="CG112" s="532"/>
      <c r="CH112" s="532"/>
      <c r="CI112" s="532"/>
      <c r="CJ112" s="532"/>
      <c r="CK112" s="532"/>
      <c r="CL112" s="532"/>
      <c r="CM112" s="532"/>
      <c r="CN112" s="532"/>
      <c r="CO112" s="532"/>
      <c r="CP112" s="532"/>
      <c r="CQ112" s="532"/>
      <c r="CR112" s="532"/>
      <c r="CS112" s="532"/>
      <c r="CT112" s="532"/>
      <c r="CU112" s="532"/>
      <c r="CV112" s="532"/>
      <c r="CW112" s="532"/>
      <c r="CX112" s="532"/>
      <c r="CY112" s="532"/>
      <c r="CZ112" s="532"/>
      <c r="DA112" s="532"/>
      <c r="DB112" s="532"/>
      <c r="DC112" s="532"/>
      <c r="DD112" s="532"/>
      <c r="DE112" s="532"/>
      <c r="DF112" s="532"/>
      <c r="DG112" s="532"/>
      <c r="DH112" s="532"/>
      <c r="DI112" s="532"/>
      <c r="DJ112" s="532"/>
      <c r="DK112" s="532"/>
      <c r="DL112" s="532"/>
      <c r="DM112" s="532"/>
      <c r="DN112" s="532"/>
      <c r="DO112" s="532"/>
      <c r="DP112" s="532"/>
      <c r="DQ112" s="532"/>
      <c r="DR112" s="532"/>
      <c r="DS112" s="532"/>
      <c r="DT112" s="532"/>
      <c r="DU112" s="532"/>
      <c r="DV112" s="532"/>
      <c r="DW112" s="532"/>
      <c r="DX112" s="532"/>
      <c r="DY112" s="532"/>
      <c r="DZ112" s="532"/>
      <c r="EA112" s="532"/>
      <c r="EB112" s="532"/>
      <c r="EC112" s="532"/>
      <c r="ED112" s="532"/>
      <c r="EE112" s="532"/>
      <c r="EF112" s="532"/>
      <c r="EG112" s="532"/>
      <c r="EH112" s="532"/>
      <c r="EI112" s="532"/>
      <c r="EJ112" s="532"/>
      <c r="EK112" s="532"/>
      <c r="EL112" s="532"/>
      <c r="EM112" s="532"/>
      <c r="EN112" s="532"/>
      <c r="EO112" s="532"/>
      <c r="EP112" s="532"/>
      <c r="EQ112" s="532"/>
      <c r="ER112" s="532"/>
      <c r="ES112" s="532"/>
      <c r="ET112" s="532"/>
      <c r="EU112" s="532"/>
      <c r="EV112" s="532"/>
      <c r="EW112" s="532"/>
      <c r="EX112" s="532"/>
      <c r="EY112" s="532"/>
      <c r="EZ112" s="532"/>
      <c r="FA112" s="532"/>
      <c r="FB112" s="532"/>
      <c r="FC112" s="532"/>
      <c r="FD112" s="532"/>
      <c r="FE112" s="532"/>
      <c r="FF112" s="532"/>
      <c r="FG112" s="532"/>
      <c r="FH112" s="532"/>
      <c r="FI112" s="532"/>
      <c r="FJ112" s="532"/>
      <c r="FK112" s="532"/>
      <c r="FL112" s="532"/>
      <c r="FM112" s="532"/>
      <c r="FN112" s="532"/>
      <c r="FO112" s="532"/>
      <c r="FP112" s="532"/>
    </row>
    <row r="113" spans="1:172" ht="12" customHeight="1" x14ac:dyDescent="0.2">
      <c r="A113" s="533" t="s">
        <v>81</v>
      </c>
      <c r="B113" s="534"/>
      <c r="C113" s="208">
        <v>4</v>
      </c>
      <c r="D113" s="208">
        <v>12</v>
      </c>
      <c r="E113" s="208">
        <v>6</v>
      </c>
      <c r="F113" s="208">
        <v>9</v>
      </c>
      <c r="G113" s="208">
        <v>19</v>
      </c>
      <c r="H113" s="208">
        <v>10</v>
      </c>
      <c r="I113" s="208">
        <f>5</f>
        <v>5</v>
      </c>
      <c r="J113" s="208">
        <v>4</v>
      </c>
      <c r="K113" s="208">
        <v>7</v>
      </c>
      <c r="L113" s="562">
        <v>0</v>
      </c>
      <c r="M113" s="562">
        <v>25</v>
      </c>
      <c r="N113" s="562">
        <v>12</v>
      </c>
      <c r="O113" s="530">
        <f t="shared" si="92"/>
        <v>113</v>
      </c>
      <c r="P113" s="536"/>
      <c r="Q113" s="531"/>
      <c r="R113" s="531"/>
      <c r="S113" s="531"/>
      <c r="T113" s="531"/>
      <c r="U113" s="531"/>
      <c r="V113" s="531"/>
      <c r="W113" s="531"/>
      <c r="X113" s="531"/>
      <c r="Y113" s="531"/>
      <c r="Z113" s="531"/>
      <c r="AA113" s="531"/>
      <c r="AB113" s="531"/>
      <c r="AC113" s="531"/>
      <c r="AD113" s="531"/>
      <c r="AE113" s="531"/>
      <c r="AF113" s="531"/>
      <c r="AG113" s="531"/>
      <c r="AH113" s="532"/>
      <c r="AI113" s="532"/>
      <c r="AJ113" s="532"/>
      <c r="AK113" s="532"/>
      <c r="AL113" s="532"/>
      <c r="AM113" s="532"/>
      <c r="AN113" s="532"/>
      <c r="AO113" s="532"/>
      <c r="AP113" s="532"/>
      <c r="AQ113" s="532"/>
      <c r="AR113" s="532"/>
      <c r="AS113" s="532"/>
      <c r="AT113" s="532"/>
      <c r="AU113" s="532"/>
      <c r="AV113" s="532"/>
      <c r="AW113" s="532"/>
      <c r="AX113" s="532"/>
      <c r="AY113" s="532"/>
      <c r="AZ113" s="532"/>
      <c r="BA113" s="532"/>
      <c r="BB113" s="532"/>
      <c r="BC113" s="532"/>
      <c r="BD113" s="532"/>
      <c r="BE113" s="532"/>
      <c r="BF113" s="532"/>
      <c r="BG113" s="532"/>
      <c r="BH113" s="532"/>
      <c r="BI113" s="532"/>
      <c r="BJ113" s="532"/>
      <c r="BK113" s="532"/>
      <c r="BL113" s="532"/>
      <c r="BM113" s="532"/>
      <c r="BN113" s="532"/>
      <c r="BO113" s="532"/>
      <c r="BP113" s="532"/>
      <c r="BQ113" s="532"/>
      <c r="BR113" s="532"/>
      <c r="BS113" s="532"/>
      <c r="BT113" s="532"/>
      <c r="BU113" s="532"/>
      <c r="BV113" s="532"/>
      <c r="BW113" s="532"/>
      <c r="BX113" s="532"/>
      <c r="BY113" s="532"/>
      <c r="BZ113" s="532"/>
      <c r="CA113" s="532"/>
      <c r="CB113" s="532"/>
      <c r="CC113" s="532"/>
      <c r="CD113" s="532"/>
      <c r="CE113" s="532"/>
      <c r="CF113" s="532"/>
      <c r="CG113" s="532"/>
      <c r="CH113" s="532"/>
      <c r="CI113" s="532"/>
      <c r="CJ113" s="532"/>
      <c r="CK113" s="532"/>
      <c r="CL113" s="532"/>
      <c r="CM113" s="532"/>
      <c r="CN113" s="532"/>
      <c r="CO113" s="532"/>
      <c r="CP113" s="532"/>
      <c r="CQ113" s="532"/>
      <c r="CR113" s="532"/>
      <c r="CS113" s="532"/>
      <c r="CT113" s="532"/>
      <c r="CU113" s="532"/>
      <c r="CV113" s="532"/>
      <c r="CW113" s="532"/>
      <c r="CX113" s="532"/>
      <c r="CY113" s="532"/>
      <c r="CZ113" s="532"/>
      <c r="DA113" s="532"/>
      <c r="DB113" s="532"/>
      <c r="DC113" s="532"/>
      <c r="DD113" s="532"/>
      <c r="DE113" s="532"/>
      <c r="DF113" s="532"/>
      <c r="DG113" s="532"/>
      <c r="DH113" s="532"/>
      <c r="DI113" s="532"/>
      <c r="DJ113" s="532"/>
      <c r="DK113" s="532"/>
      <c r="DL113" s="532"/>
      <c r="DM113" s="532"/>
      <c r="DN113" s="532"/>
      <c r="DO113" s="532"/>
      <c r="DP113" s="532"/>
      <c r="DQ113" s="532"/>
      <c r="DR113" s="532"/>
      <c r="DS113" s="532"/>
      <c r="DT113" s="532"/>
      <c r="DU113" s="532"/>
      <c r="DV113" s="532"/>
      <c r="DW113" s="532"/>
      <c r="DX113" s="532"/>
      <c r="DY113" s="532"/>
      <c r="DZ113" s="532"/>
      <c r="EA113" s="532"/>
      <c r="EB113" s="532"/>
      <c r="EC113" s="532"/>
      <c r="ED113" s="532"/>
      <c r="EE113" s="532"/>
      <c r="EF113" s="532"/>
      <c r="EG113" s="532"/>
      <c r="EH113" s="532"/>
      <c r="EI113" s="532"/>
      <c r="EJ113" s="532"/>
      <c r="EK113" s="532"/>
      <c r="EL113" s="532"/>
      <c r="EM113" s="532"/>
      <c r="EN113" s="532"/>
      <c r="EO113" s="532"/>
      <c r="EP113" s="532"/>
      <c r="EQ113" s="532"/>
      <c r="ER113" s="532"/>
      <c r="ES113" s="532"/>
      <c r="ET113" s="532"/>
      <c r="EU113" s="532"/>
      <c r="EV113" s="532"/>
      <c r="EW113" s="532"/>
      <c r="EX113" s="532"/>
      <c r="EY113" s="532"/>
      <c r="EZ113" s="532"/>
      <c r="FA113" s="532"/>
      <c r="FB113" s="532"/>
      <c r="FC113" s="532"/>
      <c r="FD113" s="532"/>
      <c r="FE113" s="532"/>
      <c r="FF113" s="532"/>
      <c r="FG113" s="532"/>
      <c r="FH113" s="532"/>
      <c r="FI113" s="532"/>
      <c r="FJ113" s="532"/>
      <c r="FK113" s="532"/>
      <c r="FL113" s="532"/>
      <c r="FM113" s="532"/>
      <c r="FN113" s="532"/>
      <c r="FO113" s="532"/>
      <c r="FP113" s="532"/>
    </row>
    <row r="114" spans="1:172" ht="12" customHeight="1" x14ac:dyDescent="0.2">
      <c r="A114" s="533" t="s">
        <v>82</v>
      </c>
      <c r="B114" s="534"/>
      <c r="C114" s="208">
        <v>21</v>
      </c>
      <c r="D114" s="208">
        <v>47</v>
      </c>
      <c r="E114" s="208">
        <v>37</v>
      </c>
      <c r="F114" s="208">
        <v>33</v>
      </c>
      <c r="G114" s="208">
        <v>18</v>
      </c>
      <c r="H114" s="208">
        <v>24</v>
      </c>
      <c r="I114" s="208">
        <f>24</f>
        <v>24</v>
      </c>
      <c r="J114" s="208">
        <v>27</v>
      </c>
      <c r="K114" s="208">
        <v>25</v>
      </c>
      <c r="L114" s="562">
        <v>22</v>
      </c>
      <c r="M114" s="562">
        <v>37</v>
      </c>
      <c r="N114" s="562">
        <v>25</v>
      </c>
      <c r="O114" s="530">
        <f t="shared" si="92"/>
        <v>340</v>
      </c>
      <c r="P114" s="536"/>
      <c r="Q114" s="531"/>
      <c r="R114" s="531"/>
      <c r="S114" s="531"/>
      <c r="T114" s="531"/>
      <c r="U114" s="531"/>
      <c r="V114" s="531"/>
      <c r="W114" s="531"/>
      <c r="X114" s="531"/>
      <c r="Y114" s="531"/>
      <c r="Z114" s="531"/>
      <c r="AA114" s="531"/>
      <c r="AB114" s="531"/>
      <c r="AC114" s="531"/>
      <c r="AD114" s="531"/>
      <c r="AE114" s="531"/>
      <c r="AF114" s="531"/>
      <c r="AG114" s="531"/>
      <c r="AH114" s="532"/>
      <c r="AI114" s="532"/>
      <c r="AJ114" s="532"/>
      <c r="AK114" s="532"/>
      <c r="AL114" s="532"/>
      <c r="AM114" s="532"/>
      <c r="AN114" s="532"/>
      <c r="AO114" s="532"/>
      <c r="AP114" s="532"/>
      <c r="AQ114" s="532"/>
      <c r="AR114" s="532"/>
      <c r="AS114" s="532"/>
      <c r="AT114" s="532"/>
      <c r="AU114" s="532"/>
      <c r="AV114" s="532"/>
      <c r="AW114" s="532"/>
      <c r="AX114" s="532"/>
      <c r="AY114" s="532"/>
      <c r="AZ114" s="532"/>
      <c r="BA114" s="532"/>
      <c r="BB114" s="532"/>
      <c r="BC114" s="532"/>
      <c r="BD114" s="532"/>
      <c r="BE114" s="532"/>
      <c r="BF114" s="532"/>
      <c r="BG114" s="532"/>
      <c r="BH114" s="532"/>
      <c r="BI114" s="532"/>
      <c r="BJ114" s="532"/>
      <c r="BK114" s="532"/>
      <c r="BL114" s="532"/>
      <c r="BM114" s="532"/>
      <c r="BN114" s="532"/>
      <c r="BO114" s="532"/>
      <c r="BP114" s="532"/>
      <c r="BQ114" s="532"/>
      <c r="BR114" s="532"/>
      <c r="BS114" s="532"/>
      <c r="BT114" s="532"/>
      <c r="BU114" s="532"/>
      <c r="BV114" s="532"/>
      <c r="BW114" s="532"/>
      <c r="BX114" s="532"/>
      <c r="BY114" s="532"/>
      <c r="BZ114" s="532"/>
      <c r="CA114" s="532"/>
      <c r="CB114" s="532"/>
      <c r="CC114" s="532"/>
      <c r="CD114" s="532"/>
      <c r="CE114" s="532"/>
      <c r="CF114" s="532"/>
      <c r="CG114" s="532"/>
      <c r="CH114" s="532"/>
      <c r="CI114" s="532"/>
      <c r="CJ114" s="532"/>
      <c r="CK114" s="532"/>
      <c r="CL114" s="532"/>
      <c r="CM114" s="532"/>
      <c r="CN114" s="532"/>
      <c r="CO114" s="532"/>
      <c r="CP114" s="532"/>
      <c r="CQ114" s="532"/>
      <c r="CR114" s="532"/>
      <c r="CS114" s="532"/>
      <c r="CT114" s="532"/>
      <c r="CU114" s="532"/>
      <c r="CV114" s="532"/>
      <c r="CW114" s="532"/>
      <c r="CX114" s="532"/>
      <c r="CY114" s="532"/>
      <c r="CZ114" s="532"/>
      <c r="DA114" s="532"/>
      <c r="DB114" s="532"/>
      <c r="DC114" s="532"/>
      <c r="DD114" s="532"/>
      <c r="DE114" s="532"/>
      <c r="DF114" s="532"/>
      <c r="DG114" s="532"/>
      <c r="DH114" s="532"/>
      <c r="DI114" s="532"/>
      <c r="DJ114" s="532"/>
      <c r="DK114" s="532"/>
      <c r="DL114" s="532"/>
      <c r="DM114" s="532"/>
      <c r="DN114" s="532"/>
      <c r="DO114" s="532"/>
      <c r="DP114" s="532"/>
      <c r="DQ114" s="532"/>
      <c r="DR114" s="532"/>
      <c r="DS114" s="532"/>
      <c r="DT114" s="532"/>
      <c r="DU114" s="532"/>
      <c r="DV114" s="532"/>
      <c r="DW114" s="532"/>
      <c r="DX114" s="532"/>
      <c r="DY114" s="532"/>
      <c r="DZ114" s="532"/>
      <c r="EA114" s="532"/>
      <c r="EB114" s="532"/>
      <c r="EC114" s="532"/>
      <c r="ED114" s="532"/>
      <c r="EE114" s="532"/>
      <c r="EF114" s="532"/>
      <c r="EG114" s="532"/>
      <c r="EH114" s="532"/>
      <c r="EI114" s="532"/>
      <c r="EJ114" s="532"/>
      <c r="EK114" s="532"/>
      <c r="EL114" s="532"/>
      <c r="EM114" s="532"/>
      <c r="EN114" s="532"/>
      <c r="EO114" s="532"/>
      <c r="EP114" s="532"/>
      <c r="EQ114" s="532"/>
      <c r="ER114" s="532"/>
      <c r="ES114" s="532"/>
      <c r="ET114" s="532"/>
      <c r="EU114" s="532"/>
      <c r="EV114" s="532"/>
      <c r="EW114" s="532"/>
      <c r="EX114" s="532"/>
      <c r="EY114" s="532"/>
      <c r="EZ114" s="532"/>
      <c r="FA114" s="532"/>
      <c r="FB114" s="532"/>
      <c r="FC114" s="532"/>
      <c r="FD114" s="532"/>
      <c r="FE114" s="532"/>
      <c r="FF114" s="532"/>
      <c r="FG114" s="532"/>
      <c r="FH114" s="532"/>
      <c r="FI114" s="532"/>
      <c r="FJ114" s="532"/>
      <c r="FK114" s="532"/>
      <c r="FL114" s="532"/>
      <c r="FM114" s="532"/>
      <c r="FN114" s="532"/>
      <c r="FO114" s="532"/>
      <c r="FP114" s="532"/>
    </row>
    <row r="115" spans="1:172" ht="12" customHeight="1" x14ac:dyDescent="0.2">
      <c r="A115" s="533" t="s">
        <v>83</v>
      </c>
      <c r="B115" s="534"/>
      <c r="C115" s="208">
        <v>14</v>
      </c>
      <c r="D115" s="208">
        <v>8</v>
      </c>
      <c r="E115" s="208">
        <v>11</v>
      </c>
      <c r="F115" s="208">
        <v>8</v>
      </c>
      <c r="G115" s="208">
        <v>2</v>
      </c>
      <c r="H115" s="208">
        <v>15</v>
      </c>
      <c r="I115" s="208">
        <v>7</v>
      </c>
      <c r="J115" s="208">
        <v>3</v>
      </c>
      <c r="K115" s="208">
        <v>12</v>
      </c>
      <c r="L115" s="562">
        <v>2</v>
      </c>
      <c r="M115" s="562">
        <v>2</v>
      </c>
      <c r="N115" s="562">
        <v>0</v>
      </c>
      <c r="O115" s="530">
        <f t="shared" si="92"/>
        <v>84</v>
      </c>
      <c r="P115" s="536"/>
      <c r="Q115" s="531"/>
      <c r="R115" s="531"/>
      <c r="S115" s="531"/>
      <c r="T115" s="531"/>
      <c r="U115" s="531"/>
      <c r="V115" s="531"/>
      <c r="W115" s="531"/>
      <c r="X115" s="531"/>
      <c r="Y115" s="531"/>
      <c r="Z115" s="531"/>
      <c r="AA115" s="531"/>
      <c r="AB115" s="531"/>
      <c r="AC115" s="531"/>
      <c r="AD115" s="531"/>
      <c r="AE115" s="531"/>
      <c r="AF115" s="531"/>
      <c r="AG115" s="531"/>
      <c r="AH115" s="532"/>
      <c r="AI115" s="532"/>
      <c r="AJ115" s="532"/>
      <c r="AK115" s="532"/>
      <c r="AL115" s="532"/>
      <c r="AM115" s="532"/>
      <c r="AN115" s="532"/>
      <c r="AO115" s="532"/>
      <c r="AP115" s="532"/>
      <c r="AQ115" s="532"/>
      <c r="AR115" s="532"/>
      <c r="AS115" s="532"/>
      <c r="AT115" s="532"/>
      <c r="AU115" s="532"/>
      <c r="AV115" s="532"/>
      <c r="AW115" s="532"/>
      <c r="AX115" s="532"/>
      <c r="AY115" s="532"/>
      <c r="AZ115" s="532"/>
      <c r="BA115" s="532"/>
      <c r="BB115" s="532"/>
      <c r="BC115" s="532"/>
      <c r="BD115" s="532"/>
      <c r="BE115" s="532"/>
      <c r="BF115" s="532"/>
      <c r="BG115" s="532"/>
      <c r="BH115" s="532"/>
      <c r="BI115" s="532"/>
      <c r="BJ115" s="532"/>
      <c r="BK115" s="532"/>
      <c r="BL115" s="532"/>
      <c r="BM115" s="532"/>
      <c r="BN115" s="532"/>
      <c r="BO115" s="532"/>
      <c r="BP115" s="532"/>
      <c r="BQ115" s="532"/>
      <c r="BR115" s="532"/>
      <c r="BS115" s="532"/>
      <c r="BT115" s="532"/>
      <c r="BU115" s="532"/>
      <c r="BV115" s="532"/>
      <c r="BW115" s="532"/>
      <c r="BX115" s="532"/>
      <c r="BY115" s="532"/>
      <c r="BZ115" s="532"/>
      <c r="CA115" s="532"/>
      <c r="CB115" s="532"/>
      <c r="CC115" s="532"/>
      <c r="CD115" s="532"/>
      <c r="CE115" s="532"/>
      <c r="CF115" s="532"/>
      <c r="CG115" s="532"/>
      <c r="CH115" s="532"/>
      <c r="CI115" s="532"/>
      <c r="CJ115" s="532"/>
      <c r="CK115" s="532"/>
      <c r="CL115" s="532"/>
      <c r="CM115" s="532"/>
      <c r="CN115" s="532"/>
      <c r="CO115" s="532"/>
      <c r="CP115" s="532"/>
      <c r="CQ115" s="532"/>
      <c r="CR115" s="532"/>
      <c r="CS115" s="532"/>
      <c r="CT115" s="532"/>
      <c r="CU115" s="532"/>
      <c r="CV115" s="532"/>
      <c r="CW115" s="532"/>
      <c r="CX115" s="532"/>
      <c r="CY115" s="532"/>
      <c r="CZ115" s="532"/>
      <c r="DA115" s="532"/>
      <c r="DB115" s="532"/>
      <c r="DC115" s="532"/>
      <c r="DD115" s="532"/>
      <c r="DE115" s="532"/>
      <c r="DF115" s="532"/>
      <c r="DG115" s="532"/>
      <c r="DH115" s="532"/>
      <c r="DI115" s="532"/>
      <c r="DJ115" s="532"/>
      <c r="DK115" s="532"/>
      <c r="DL115" s="532"/>
      <c r="DM115" s="532"/>
      <c r="DN115" s="532"/>
      <c r="DO115" s="532"/>
      <c r="DP115" s="532"/>
      <c r="DQ115" s="532"/>
      <c r="DR115" s="532"/>
      <c r="DS115" s="532"/>
      <c r="DT115" s="532"/>
      <c r="DU115" s="532"/>
      <c r="DV115" s="532"/>
      <c r="DW115" s="532"/>
      <c r="DX115" s="532"/>
      <c r="DY115" s="532"/>
      <c r="DZ115" s="532"/>
      <c r="EA115" s="532"/>
      <c r="EB115" s="532"/>
      <c r="EC115" s="532"/>
      <c r="ED115" s="532"/>
      <c r="EE115" s="532"/>
      <c r="EF115" s="532"/>
      <c r="EG115" s="532"/>
      <c r="EH115" s="532"/>
      <c r="EI115" s="532"/>
      <c r="EJ115" s="532"/>
      <c r="EK115" s="532"/>
      <c r="EL115" s="532"/>
      <c r="EM115" s="532"/>
      <c r="EN115" s="532"/>
      <c r="EO115" s="532"/>
      <c r="EP115" s="532"/>
      <c r="EQ115" s="532"/>
      <c r="ER115" s="532"/>
      <c r="ES115" s="532"/>
      <c r="ET115" s="532"/>
      <c r="EU115" s="532"/>
      <c r="EV115" s="532"/>
      <c r="EW115" s="532"/>
      <c r="EX115" s="532"/>
      <c r="EY115" s="532"/>
      <c r="EZ115" s="532"/>
      <c r="FA115" s="532"/>
      <c r="FB115" s="532"/>
      <c r="FC115" s="532"/>
      <c r="FD115" s="532"/>
      <c r="FE115" s="532"/>
      <c r="FF115" s="532"/>
      <c r="FG115" s="532"/>
      <c r="FH115" s="532"/>
      <c r="FI115" s="532"/>
      <c r="FJ115" s="532"/>
      <c r="FK115" s="532"/>
      <c r="FL115" s="532"/>
      <c r="FM115" s="532"/>
      <c r="FN115" s="532"/>
      <c r="FO115" s="532"/>
      <c r="FP115" s="532"/>
    </row>
    <row r="116" spans="1:172" ht="12" customHeight="1" x14ac:dyDescent="0.2">
      <c r="A116" s="533" t="s">
        <v>84</v>
      </c>
      <c r="B116" s="534"/>
      <c r="C116" s="208">
        <v>3</v>
      </c>
      <c r="D116" s="208">
        <v>3</v>
      </c>
      <c r="E116" s="208">
        <v>13</v>
      </c>
      <c r="F116" s="208">
        <v>1</v>
      </c>
      <c r="G116" s="208">
        <v>26</v>
      </c>
      <c r="H116" s="208">
        <v>3</v>
      </c>
      <c r="I116" s="208">
        <v>5</v>
      </c>
      <c r="J116" s="208">
        <v>1</v>
      </c>
      <c r="K116" s="208">
        <v>27</v>
      </c>
      <c r="L116" s="562">
        <v>19</v>
      </c>
      <c r="M116" s="562">
        <v>10</v>
      </c>
      <c r="N116" s="562">
        <v>0</v>
      </c>
      <c r="O116" s="530">
        <f t="shared" si="92"/>
        <v>111</v>
      </c>
      <c r="P116" s="536"/>
      <c r="Q116" s="531"/>
      <c r="R116" s="531"/>
      <c r="S116" s="531"/>
      <c r="T116" s="531"/>
      <c r="U116" s="531"/>
      <c r="V116" s="531"/>
      <c r="W116" s="531"/>
      <c r="X116" s="531"/>
      <c r="Y116" s="531"/>
      <c r="Z116" s="531"/>
      <c r="AA116" s="531"/>
      <c r="AB116" s="531"/>
      <c r="AC116" s="531"/>
      <c r="AD116" s="531"/>
      <c r="AE116" s="531"/>
      <c r="AF116" s="531"/>
      <c r="AG116" s="531"/>
      <c r="AH116" s="532"/>
      <c r="AI116" s="532"/>
      <c r="AJ116" s="532"/>
      <c r="AK116" s="532"/>
      <c r="AL116" s="532"/>
      <c r="AM116" s="532"/>
      <c r="AN116" s="532"/>
      <c r="AO116" s="532"/>
      <c r="AP116" s="532"/>
      <c r="AQ116" s="532"/>
      <c r="AR116" s="532"/>
      <c r="AS116" s="532"/>
      <c r="AT116" s="532"/>
      <c r="AU116" s="532"/>
      <c r="AV116" s="532"/>
      <c r="AW116" s="532"/>
      <c r="AX116" s="532"/>
      <c r="AY116" s="532"/>
      <c r="AZ116" s="532"/>
      <c r="BA116" s="532"/>
      <c r="BB116" s="532"/>
      <c r="BC116" s="532"/>
      <c r="BD116" s="532"/>
      <c r="BE116" s="532"/>
      <c r="BF116" s="532"/>
      <c r="BG116" s="532"/>
      <c r="BH116" s="532"/>
      <c r="BI116" s="532"/>
      <c r="BJ116" s="532"/>
      <c r="BK116" s="532"/>
      <c r="BL116" s="532"/>
      <c r="BM116" s="532"/>
      <c r="BN116" s="532"/>
      <c r="BO116" s="532"/>
      <c r="BP116" s="532"/>
      <c r="BQ116" s="532"/>
      <c r="BR116" s="532"/>
      <c r="BS116" s="532"/>
      <c r="BT116" s="532"/>
      <c r="BU116" s="532"/>
      <c r="BV116" s="532"/>
      <c r="BW116" s="532"/>
      <c r="BX116" s="532"/>
      <c r="BY116" s="532"/>
      <c r="BZ116" s="532"/>
      <c r="CA116" s="532"/>
      <c r="CB116" s="532"/>
      <c r="CC116" s="532"/>
      <c r="CD116" s="532"/>
      <c r="CE116" s="532"/>
      <c r="CF116" s="532"/>
      <c r="CG116" s="532"/>
      <c r="CH116" s="532"/>
      <c r="CI116" s="532"/>
      <c r="CJ116" s="532"/>
      <c r="CK116" s="532"/>
      <c r="CL116" s="532"/>
      <c r="CM116" s="532"/>
      <c r="CN116" s="532"/>
      <c r="CO116" s="532"/>
      <c r="CP116" s="532"/>
      <c r="CQ116" s="532"/>
      <c r="CR116" s="532"/>
      <c r="CS116" s="532"/>
      <c r="CT116" s="532"/>
      <c r="CU116" s="532"/>
      <c r="CV116" s="532"/>
      <c r="CW116" s="532"/>
      <c r="CX116" s="532"/>
      <c r="CY116" s="532"/>
      <c r="CZ116" s="532"/>
      <c r="DA116" s="532"/>
      <c r="DB116" s="532"/>
      <c r="DC116" s="532"/>
      <c r="DD116" s="532"/>
      <c r="DE116" s="532"/>
      <c r="DF116" s="532"/>
      <c r="DG116" s="532"/>
      <c r="DH116" s="532"/>
      <c r="DI116" s="532"/>
      <c r="DJ116" s="532"/>
      <c r="DK116" s="532"/>
      <c r="DL116" s="532"/>
      <c r="DM116" s="532"/>
      <c r="DN116" s="532"/>
      <c r="DO116" s="532"/>
      <c r="DP116" s="532"/>
      <c r="DQ116" s="532"/>
      <c r="DR116" s="532"/>
      <c r="DS116" s="532"/>
      <c r="DT116" s="532"/>
      <c r="DU116" s="532"/>
      <c r="DV116" s="532"/>
      <c r="DW116" s="532"/>
      <c r="DX116" s="532"/>
      <c r="DY116" s="532"/>
      <c r="DZ116" s="532"/>
      <c r="EA116" s="532"/>
      <c r="EB116" s="532"/>
      <c r="EC116" s="532"/>
      <c r="ED116" s="532"/>
      <c r="EE116" s="532"/>
      <c r="EF116" s="532"/>
      <c r="EG116" s="532"/>
      <c r="EH116" s="532"/>
      <c r="EI116" s="532"/>
      <c r="EJ116" s="532"/>
      <c r="EK116" s="532"/>
      <c r="EL116" s="532"/>
      <c r="EM116" s="532"/>
      <c r="EN116" s="532"/>
      <c r="EO116" s="532"/>
      <c r="EP116" s="532"/>
      <c r="EQ116" s="532"/>
      <c r="ER116" s="532"/>
      <c r="ES116" s="532"/>
      <c r="ET116" s="532"/>
      <c r="EU116" s="532"/>
      <c r="EV116" s="532"/>
      <c r="EW116" s="532"/>
      <c r="EX116" s="532"/>
      <c r="EY116" s="532"/>
      <c r="EZ116" s="532"/>
      <c r="FA116" s="532"/>
      <c r="FB116" s="532"/>
      <c r="FC116" s="532"/>
      <c r="FD116" s="532"/>
      <c r="FE116" s="532"/>
      <c r="FF116" s="532"/>
      <c r="FG116" s="532"/>
      <c r="FH116" s="532"/>
      <c r="FI116" s="532"/>
      <c r="FJ116" s="532"/>
      <c r="FK116" s="532"/>
      <c r="FL116" s="532"/>
      <c r="FM116" s="532"/>
      <c r="FN116" s="532"/>
      <c r="FO116" s="532"/>
      <c r="FP116" s="532"/>
    </row>
    <row r="117" spans="1:172" ht="12" customHeight="1" x14ac:dyDescent="0.2">
      <c r="A117" s="533" t="s">
        <v>85</v>
      </c>
      <c r="B117" s="534"/>
      <c r="C117" s="208">
        <v>2</v>
      </c>
      <c r="D117" s="208">
        <v>19</v>
      </c>
      <c r="E117" s="208">
        <v>9</v>
      </c>
      <c r="F117" s="208">
        <f>3+3+1</f>
        <v>7</v>
      </c>
      <c r="G117" s="208">
        <f>3+2</f>
        <v>5</v>
      </c>
      <c r="H117" s="208">
        <f>27+15+1</f>
        <v>43</v>
      </c>
      <c r="I117" s="208">
        <f>1+10</f>
        <v>11</v>
      </c>
      <c r="J117" s="208">
        <v>4</v>
      </c>
      <c r="K117" s="208">
        <f>3+3</f>
        <v>6</v>
      </c>
      <c r="L117" s="562">
        <f>1+16+5</f>
        <v>22</v>
      </c>
      <c r="M117" s="562">
        <f>3+2+3</f>
        <v>8</v>
      </c>
      <c r="N117" s="562">
        <f>3+5</f>
        <v>8</v>
      </c>
      <c r="O117" s="530">
        <f t="shared" si="92"/>
        <v>144</v>
      </c>
      <c r="P117" s="536"/>
      <c r="Q117" s="531"/>
      <c r="R117" s="531"/>
      <c r="S117" s="531"/>
      <c r="T117" s="531"/>
      <c r="U117" s="531"/>
      <c r="V117" s="531"/>
      <c r="W117" s="531"/>
      <c r="X117" s="531"/>
      <c r="Y117" s="531"/>
      <c r="Z117" s="531"/>
      <c r="AA117" s="531"/>
      <c r="AB117" s="531"/>
      <c r="AC117" s="531"/>
      <c r="AD117" s="531"/>
      <c r="AE117" s="531"/>
      <c r="AF117" s="531"/>
      <c r="AG117" s="531"/>
      <c r="AH117" s="532"/>
      <c r="AI117" s="532"/>
      <c r="AJ117" s="532"/>
      <c r="AK117" s="532"/>
      <c r="AL117" s="532"/>
      <c r="AM117" s="532"/>
      <c r="AN117" s="532"/>
      <c r="AO117" s="532"/>
      <c r="AP117" s="532"/>
      <c r="AQ117" s="532"/>
      <c r="AR117" s="532"/>
      <c r="AS117" s="532"/>
      <c r="AT117" s="532"/>
      <c r="AU117" s="532"/>
      <c r="AV117" s="532"/>
      <c r="AW117" s="532"/>
      <c r="AX117" s="532"/>
      <c r="AY117" s="532"/>
      <c r="AZ117" s="532"/>
      <c r="BA117" s="532"/>
      <c r="BB117" s="532"/>
      <c r="BC117" s="532"/>
      <c r="BD117" s="532"/>
      <c r="BE117" s="532"/>
      <c r="BF117" s="532"/>
      <c r="BG117" s="532"/>
      <c r="BH117" s="532"/>
      <c r="BI117" s="532"/>
      <c r="BJ117" s="532"/>
      <c r="BK117" s="532"/>
      <c r="BL117" s="532"/>
      <c r="BM117" s="532"/>
      <c r="BN117" s="532"/>
      <c r="BO117" s="532"/>
      <c r="BP117" s="532"/>
      <c r="BQ117" s="532"/>
      <c r="BR117" s="532"/>
      <c r="BS117" s="532"/>
      <c r="BT117" s="532"/>
      <c r="BU117" s="532"/>
      <c r="BV117" s="532"/>
      <c r="BW117" s="532"/>
      <c r="BX117" s="532"/>
      <c r="BY117" s="532"/>
      <c r="BZ117" s="532"/>
      <c r="CA117" s="532"/>
      <c r="CB117" s="532"/>
      <c r="CC117" s="532"/>
      <c r="CD117" s="532"/>
      <c r="CE117" s="532"/>
      <c r="CF117" s="532"/>
      <c r="CG117" s="532"/>
      <c r="CH117" s="532"/>
      <c r="CI117" s="532"/>
      <c r="CJ117" s="532"/>
      <c r="CK117" s="532"/>
      <c r="CL117" s="532"/>
      <c r="CM117" s="532"/>
      <c r="CN117" s="532"/>
      <c r="CO117" s="532"/>
      <c r="CP117" s="532"/>
      <c r="CQ117" s="532"/>
      <c r="CR117" s="532"/>
      <c r="CS117" s="532"/>
      <c r="CT117" s="532"/>
      <c r="CU117" s="532"/>
      <c r="CV117" s="532"/>
      <c r="CW117" s="532"/>
      <c r="CX117" s="532"/>
      <c r="CY117" s="532"/>
      <c r="CZ117" s="532"/>
      <c r="DA117" s="532"/>
      <c r="DB117" s="532"/>
      <c r="DC117" s="532"/>
      <c r="DD117" s="532"/>
      <c r="DE117" s="532"/>
      <c r="DF117" s="532"/>
      <c r="DG117" s="532"/>
      <c r="DH117" s="532"/>
      <c r="DI117" s="532"/>
      <c r="DJ117" s="532"/>
      <c r="DK117" s="532"/>
      <c r="DL117" s="532"/>
      <c r="DM117" s="532"/>
      <c r="DN117" s="532"/>
      <c r="DO117" s="532"/>
      <c r="DP117" s="532"/>
      <c r="DQ117" s="532"/>
      <c r="DR117" s="532"/>
      <c r="DS117" s="532"/>
      <c r="DT117" s="532"/>
      <c r="DU117" s="532"/>
      <c r="DV117" s="532"/>
      <c r="DW117" s="532"/>
      <c r="DX117" s="532"/>
      <c r="DY117" s="532"/>
      <c r="DZ117" s="532"/>
      <c r="EA117" s="532"/>
      <c r="EB117" s="532"/>
      <c r="EC117" s="532"/>
      <c r="ED117" s="532"/>
      <c r="EE117" s="532"/>
      <c r="EF117" s="532"/>
      <c r="EG117" s="532"/>
      <c r="EH117" s="532"/>
      <c r="EI117" s="532"/>
      <c r="EJ117" s="532"/>
      <c r="EK117" s="532"/>
      <c r="EL117" s="532"/>
      <c r="EM117" s="532"/>
      <c r="EN117" s="532"/>
      <c r="EO117" s="532"/>
      <c r="EP117" s="532"/>
      <c r="EQ117" s="532"/>
      <c r="ER117" s="532"/>
      <c r="ES117" s="532"/>
      <c r="ET117" s="532"/>
      <c r="EU117" s="532"/>
      <c r="EV117" s="532"/>
      <c r="EW117" s="532"/>
      <c r="EX117" s="532"/>
      <c r="EY117" s="532"/>
      <c r="EZ117" s="532"/>
      <c r="FA117" s="532"/>
      <c r="FB117" s="532"/>
      <c r="FC117" s="532"/>
      <c r="FD117" s="532"/>
      <c r="FE117" s="532"/>
      <c r="FF117" s="532"/>
      <c r="FG117" s="532"/>
      <c r="FH117" s="532"/>
      <c r="FI117" s="532"/>
      <c r="FJ117" s="532"/>
      <c r="FK117" s="532"/>
      <c r="FL117" s="532"/>
      <c r="FM117" s="532"/>
      <c r="FN117" s="532"/>
      <c r="FO117" s="532"/>
      <c r="FP117" s="532"/>
    </row>
    <row r="118" spans="1:172" ht="12" customHeight="1" x14ac:dyDescent="0.2">
      <c r="A118" s="537" t="s">
        <v>90</v>
      </c>
      <c r="B118" s="534" t="s">
        <v>55</v>
      </c>
      <c r="C118" s="208">
        <f t="shared" ref="C118:N118" si="93">SUM(C111:C117)</f>
        <v>135</v>
      </c>
      <c r="D118" s="208">
        <f t="shared" si="93"/>
        <v>163</v>
      </c>
      <c r="E118" s="208">
        <f t="shared" si="93"/>
        <v>135</v>
      </c>
      <c r="F118" s="208">
        <f t="shared" si="93"/>
        <v>138</v>
      </c>
      <c r="G118" s="208">
        <f t="shared" si="93"/>
        <v>185</v>
      </c>
      <c r="H118" s="208">
        <f t="shared" si="93"/>
        <v>223</v>
      </c>
      <c r="I118" s="208">
        <f t="shared" si="93"/>
        <v>150</v>
      </c>
      <c r="J118" s="208">
        <f t="shared" si="93"/>
        <v>128</v>
      </c>
      <c r="K118" s="208">
        <f t="shared" si="93"/>
        <v>194</v>
      </c>
      <c r="L118" s="562">
        <f t="shared" si="93"/>
        <v>169</v>
      </c>
      <c r="M118" s="562">
        <f t="shared" si="93"/>
        <v>220</v>
      </c>
      <c r="N118" s="562">
        <f t="shared" si="93"/>
        <v>162</v>
      </c>
      <c r="O118" s="530">
        <f t="shared" si="92"/>
        <v>2002</v>
      </c>
      <c r="P118" s="536"/>
      <c r="Q118" s="531"/>
      <c r="R118" s="531"/>
      <c r="S118" s="531"/>
      <c r="T118" s="531"/>
      <c r="U118" s="531"/>
      <c r="V118" s="531"/>
      <c r="W118" s="531"/>
      <c r="X118" s="531"/>
      <c r="Y118" s="531"/>
      <c r="Z118" s="531"/>
      <c r="AA118" s="531"/>
      <c r="AB118" s="531"/>
      <c r="AC118" s="531"/>
      <c r="AD118" s="531"/>
      <c r="AE118" s="531"/>
      <c r="AF118" s="531"/>
      <c r="AG118" s="531"/>
      <c r="AH118" s="532"/>
      <c r="AI118" s="532"/>
      <c r="AJ118" s="532"/>
      <c r="AK118" s="532"/>
      <c r="AL118" s="532"/>
      <c r="AM118" s="532"/>
      <c r="AN118" s="532"/>
      <c r="AO118" s="532"/>
      <c r="AP118" s="532"/>
      <c r="AQ118" s="532"/>
      <c r="AR118" s="532"/>
      <c r="AS118" s="532"/>
      <c r="AT118" s="532"/>
      <c r="AU118" s="532"/>
      <c r="AV118" s="532"/>
      <c r="AW118" s="532"/>
      <c r="AX118" s="532"/>
      <c r="AY118" s="532"/>
      <c r="AZ118" s="532"/>
      <c r="BA118" s="532"/>
      <c r="BB118" s="532"/>
      <c r="BC118" s="532"/>
      <c r="BD118" s="532"/>
      <c r="BE118" s="532"/>
      <c r="BF118" s="532"/>
      <c r="BG118" s="532"/>
      <c r="BH118" s="532"/>
      <c r="BI118" s="532"/>
      <c r="BJ118" s="532"/>
      <c r="BK118" s="532"/>
      <c r="BL118" s="532"/>
      <c r="BM118" s="532"/>
      <c r="BN118" s="532"/>
      <c r="BO118" s="532"/>
      <c r="BP118" s="532"/>
      <c r="BQ118" s="532"/>
      <c r="BR118" s="532"/>
      <c r="BS118" s="532"/>
      <c r="BT118" s="532"/>
      <c r="BU118" s="532"/>
      <c r="BV118" s="532"/>
      <c r="BW118" s="532"/>
      <c r="BX118" s="532"/>
      <c r="BY118" s="532"/>
      <c r="BZ118" s="532"/>
      <c r="CA118" s="532"/>
      <c r="CB118" s="532"/>
      <c r="CC118" s="532"/>
      <c r="CD118" s="532"/>
      <c r="CE118" s="532"/>
      <c r="CF118" s="532"/>
      <c r="CG118" s="532"/>
      <c r="CH118" s="532"/>
      <c r="CI118" s="532"/>
      <c r="CJ118" s="532"/>
      <c r="CK118" s="532"/>
      <c r="CL118" s="532"/>
      <c r="CM118" s="532"/>
      <c r="CN118" s="532"/>
      <c r="CO118" s="532"/>
      <c r="CP118" s="532"/>
      <c r="CQ118" s="532"/>
      <c r="CR118" s="532"/>
      <c r="CS118" s="532"/>
      <c r="CT118" s="532"/>
      <c r="CU118" s="532"/>
      <c r="CV118" s="532"/>
      <c r="CW118" s="532"/>
      <c r="CX118" s="532"/>
      <c r="CY118" s="532"/>
      <c r="CZ118" s="532"/>
      <c r="DA118" s="532"/>
      <c r="DB118" s="532"/>
      <c r="DC118" s="532"/>
      <c r="DD118" s="532"/>
      <c r="DE118" s="532"/>
      <c r="DF118" s="532"/>
      <c r="DG118" s="532"/>
      <c r="DH118" s="532"/>
      <c r="DI118" s="532"/>
      <c r="DJ118" s="532"/>
      <c r="DK118" s="532"/>
      <c r="DL118" s="532"/>
      <c r="DM118" s="532"/>
      <c r="DN118" s="532"/>
      <c r="DO118" s="532"/>
      <c r="DP118" s="532"/>
      <c r="DQ118" s="532"/>
      <c r="DR118" s="532"/>
      <c r="DS118" s="532"/>
      <c r="DT118" s="532"/>
      <c r="DU118" s="532"/>
      <c r="DV118" s="532"/>
      <c r="DW118" s="532"/>
      <c r="DX118" s="532"/>
      <c r="DY118" s="532"/>
      <c r="DZ118" s="532"/>
      <c r="EA118" s="532"/>
      <c r="EB118" s="532"/>
      <c r="EC118" s="532"/>
      <c r="ED118" s="532"/>
      <c r="EE118" s="532"/>
      <c r="EF118" s="532"/>
      <c r="EG118" s="532"/>
      <c r="EH118" s="532"/>
      <c r="EI118" s="532"/>
      <c r="EJ118" s="532"/>
      <c r="EK118" s="532"/>
      <c r="EL118" s="532"/>
      <c r="EM118" s="532"/>
      <c r="EN118" s="532"/>
      <c r="EO118" s="532"/>
      <c r="EP118" s="532"/>
      <c r="EQ118" s="532"/>
      <c r="ER118" s="532"/>
      <c r="ES118" s="532"/>
      <c r="ET118" s="532"/>
      <c r="EU118" s="532"/>
      <c r="EV118" s="532"/>
      <c r="EW118" s="532"/>
      <c r="EX118" s="532"/>
      <c r="EY118" s="532"/>
      <c r="EZ118" s="532"/>
      <c r="FA118" s="532"/>
      <c r="FB118" s="532"/>
      <c r="FC118" s="532"/>
      <c r="FD118" s="532"/>
      <c r="FE118" s="532"/>
      <c r="FF118" s="532"/>
      <c r="FG118" s="532"/>
      <c r="FH118" s="532"/>
      <c r="FI118" s="532"/>
      <c r="FJ118" s="532"/>
      <c r="FK118" s="532"/>
      <c r="FL118" s="532"/>
      <c r="FM118" s="532"/>
      <c r="FN118" s="532"/>
      <c r="FO118" s="532"/>
      <c r="FP118" s="532"/>
    </row>
    <row r="119" spans="1:172" ht="12" customHeight="1" x14ac:dyDescent="0.2">
      <c r="A119" s="537" t="s">
        <v>50</v>
      </c>
      <c r="B119" s="534"/>
      <c r="C119" s="208">
        <v>159</v>
      </c>
      <c r="D119" s="208">
        <v>107</v>
      </c>
      <c r="E119" s="208">
        <v>140</v>
      </c>
      <c r="F119" s="208">
        <v>140</v>
      </c>
      <c r="G119" s="208">
        <v>140</v>
      </c>
      <c r="H119" s="208">
        <v>188</v>
      </c>
      <c r="I119" s="208">
        <v>122</v>
      </c>
      <c r="J119" s="208">
        <v>152</v>
      </c>
      <c r="K119" s="208">
        <v>143</v>
      </c>
      <c r="L119" s="562">
        <v>267</v>
      </c>
      <c r="M119" s="562">
        <v>207</v>
      </c>
      <c r="N119" s="562">
        <v>219</v>
      </c>
      <c r="O119" s="530">
        <f t="shared" si="92"/>
        <v>1984</v>
      </c>
      <c r="P119" s="536"/>
      <c r="Q119" s="531"/>
      <c r="R119" s="531"/>
      <c r="S119" s="531"/>
      <c r="T119" s="531"/>
      <c r="U119" s="531"/>
      <c r="V119" s="531"/>
      <c r="W119" s="531"/>
      <c r="X119" s="531"/>
      <c r="Y119" s="531"/>
      <c r="Z119" s="531"/>
      <c r="AA119" s="531"/>
      <c r="AB119" s="531"/>
      <c r="AC119" s="531"/>
      <c r="AD119" s="531"/>
      <c r="AE119" s="531"/>
      <c r="AF119" s="531"/>
      <c r="AG119" s="531"/>
      <c r="AH119" s="532"/>
      <c r="AI119" s="532"/>
      <c r="AJ119" s="532"/>
      <c r="AK119" s="532"/>
      <c r="AL119" s="532"/>
      <c r="AM119" s="532"/>
      <c r="AN119" s="532"/>
      <c r="AO119" s="532"/>
      <c r="AP119" s="532"/>
      <c r="AQ119" s="532"/>
      <c r="AR119" s="532"/>
      <c r="AS119" s="532"/>
      <c r="AT119" s="532"/>
      <c r="AU119" s="532"/>
      <c r="AV119" s="532"/>
      <c r="AW119" s="532"/>
      <c r="AX119" s="532"/>
      <c r="AY119" s="532"/>
      <c r="AZ119" s="532"/>
      <c r="BA119" s="532"/>
      <c r="BB119" s="532"/>
      <c r="BC119" s="532"/>
      <c r="BD119" s="532"/>
      <c r="BE119" s="532"/>
      <c r="BF119" s="532"/>
      <c r="BG119" s="532"/>
      <c r="BH119" s="532"/>
      <c r="BI119" s="532"/>
      <c r="BJ119" s="532"/>
      <c r="BK119" s="532"/>
      <c r="BL119" s="532"/>
      <c r="BM119" s="532"/>
      <c r="BN119" s="532"/>
      <c r="BO119" s="532"/>
      <c r="BP119" s="532"/>
      <c r="BQ119" s="532"/>
      <c r="BR119" s="532"/>
      <c r="BS119" s="532"/>
      <c r="BT119" s="532"/>
      <c r="BU119" s="532"/>
      <c r="BV119" s="532"/>
      <c r="BW119" s="532"/>
      <c r="BX119" s="532"/>
      <c r="BY119" s="532"/>
      <c r="BZ119" s="532"/>
      <c r="CA119" s="532"/>
      <c r="CB119" s="532"/>
      <c r="CC119" s="532"/>
      <c r="CD119" s="532"/>
      <c r="CE119" s="532"/>
      <c r="CF119" s="532"/>
      <c r="CG119" s="532"/>
      <c r="CH119" s="532"/>
      <c r="CI119" s="532"/>
      <c r="CJ119" s="532"/>
      <c r="CK119" s="532"/>
      <c r="CL119" s="532"/>
      <c r="CM119" s="532"/>
      <c r="CN119" s="532"/>
      <c r="CO119" s="532"/>
      <c r="CP119" s="532"/>
      <c r="CQ119" s="532"/>
      <c r="CR119" s="532"/>
      <c r="CS119" s="532"/>
      <c r="CT119" s="532"/>
      <c r="CU119" s="532"/>
      <c r="CV119" s="532"/>
      <c r="CW119" s="532"/>
      <c r="CX119" s="532"/>
      <c r="CY119" s="532"/>
      <c r="CZ119" s="532"/>
      <c r="DA119" s="532"/>
      <c r="DB119" s="532"/>
      <c r="DC119" s="532"/>
      <c r="DD119" s="532"/>
      <c r="DE119" s="532"/>
      <c r="DF119" s="532"/>
      <c r="DG119" s="532"/>
      <c r="DH119" s="532"/>
      <c r="DI119" s="532"/>
      <c r="DJ119" s="532"/>
      <c r="DK119" s="532"/>
      <c r="DL119" s="532"/>
      <c r="DM119" s="532"/>
      <c r="DN119" s="532"/>
      <c r="DO119" s="532"/>
      <c r="DP119" s="532"/>
      <c r="DQ119" s="532"/>
      <c r="DR119" s="532"/>
      <c r="DS119" s="532"/>
      <c r="DT119" s="532"/>
      <c r="DU119" s="532"/>
      <c r="DV119" s="532"/>
      <c r="DW119" s="532"/>
      <c r="DX119" s="532"/>
      <c r="DY119" s="532"/>
      <c r="DZ119" s="532"/>
      <c r="EA119" s="532"/>
      <c r="EB119" s="532"/>
      <c r="EC119" s="532"/>
      <c r="ED119" s="532"/>
      <c r="EE119" s="532"/>
      <c r="EF119" s="532"/>
      <c r="EG119" s="532"/>
      <c r="EH119" s="532"/>
      <c r="EI119" s="532"/>
      <c r="EJ119" s="532"/>
      <c r="EK119" s="532"/>
      <c r="EL119" s="532"/>
      <c r="EM119" s="532"/>
      <c r="EN119" s="532"/>
      <c r="EO119" s="532"/>
      <c r="EP119" s="532"/>
      <c r="EQ119" s="532"/>
      <c r="ER119" s="532"/>
      <c r="ES119" s="532"/>
      <c r="ET119" s="532"/>
      <c r="EU119" s="532"/>
      <c r="EV119" s="532"/>
      <c r="EW119" s="532"/>
      <c r="EX119" s="532"/>
      <c r="EY119" s="532"/>
      <c r="EZ119" s="532"/>
      <c r="FA119" s="532"/>
      <c r="FB119" s="532"/>
      <c r="FC119" s="532"/>
      <c r="FD119" s="532"/>
      <c r="FE119" s="532"/>
      <c r="FF119" s="532"/>
      <c r="FG119" s="532"/>
      <c r="FH119" s="532"/>
      <c r="FI119" s="532"/>
      <c r="FJ119" s="532"/>
      <c r="FK119" s="532"/>
      <c r="FL119" s="532"/>
      <c r="FM119" s="532"/>
      <c r="FN119" s="532"/>
      <c r="FO119" s="532"/>
      <c r="FP119" s="532"/>
    </row>
    <row r="120" spans="1:172" ht="12" customHeight="1" x14ac:dyDescent="0.2">
      <c r="A120" s="534" t="s">
        <v>77</v>
      </c>
      <c r="B120" s="534"/>
      <c r="C120" s="208">
        <f t="shared" ref="C120:N120" si="94">SUM(C118:C119)</f>
        <v>294</v>
      </c>
      <c r="D120" s="208">
        <f t="shared" si="94"/>
        <v>270</v>
      </c>
      <c r="E120" s="208">
        <f t="shared" si="94"/>
        <v>275</v>
      </c>
      <c r="F120" s="208">
        <f t="shared" si="94"/>
        <v>278</v>
      </c>
      <c r="G120" s="208">
        <f t="shared" si="94"/>
        <v>325</v>
      </c>
      <c r="H120" s="208">
        <f t="shared" si="94"/>
        <v>411</v>
      </c>
      <c r="I120" s="208">
        <f t="shared" si="94"/>
        <v>272</v>
      </c>
      <c r="J120" s="208">
        <f t="shared" si="94"/>
        <v>280</v>
      </c>
      <c r="K120" s="208">
        <f t="shared" si="94"/>
        <v>337</v>
      </c>
      <c r="L120" s="562">
        <f t="shared" si="94"/>
        <v>436</v>
      </c>
      <c r="M120" s="562">
        <f t="shared" si="94"/>
        <v>427</v>
      </c>
      <c r="N120" s="562">
        <f t="shared" si="94"/>
        <v>381</v>
      </c>
      <c r="O120" s="530">
        <f t="shared" si="92"/>
        <v>3986</v>
      </c>
      <c r="P120" s="536"/>
      <c r="Q120" s="531"/>
      <c r="R120" s="531"/>
      <c r="S120" s="531"/>
      <c r="T120" s="531"/>
      <c r="U120" s="531"/>
      <c r="V120" s="531"/>
      <c r="W120" s="531"/>
      <c r="X120" s="531"/>
      <c r="Y120" s="531"/>
      <c r="Z120" s="531"/>
      <c r="AA120" s="531"/>
      <c r="AB120" s="531"/>
      <c r="AC120" s="531"/>
      <c r="AD120" s="531"/>
      <c r="AE120" s="531"/>
      <c r="AF120" s="531"/>
      <c r="AG120" s="531"/>
      <c r="AH120" s="532"/>
      <c r="AI120" s="532"/>
      <c r="AJ120" s="532"/>
      <c r="AK120" s="532"/>
      <c r="AL120" s="532"/>
      <c r="AM120" s="532"/>
      <c r="AN120" s="532"/>
      <c r="AO120" s="532"/>
      <c r="AP120" s="532"/>
      <c r="AQ120" s="532"/>
      <c r="AR120" s="532"/>
      <c r="AS120" s="532"/>
      <c r="AT120" s="532"/>
      <c r="AU120" s="532"/>
      <c r="AV120" s="532"/>
      <c r="AW120" s="532"/>
      <c r="AX120" s="532"/>
      <c r="AY120" s="532"/>
      <c r="AZ120" s="532"/>
      <c r="BA120" s="532"/>
      <c r="BB120" s="532"/>
      <c r="BC120" s="532"/>
      <c r="BD120" s="532"/>
      <c r="BE120" s="532"/>
      <c r="BF120" s="532"/>
      <c r="BG120" s="532"/>
      <c r="BH120" s="532"/>
      <c r="BI120" s="532"/>
      <c r="BJ120" s="532"/>
      <c r="BK120" s="532"/>
      <c r="BL120" s="532"/>
      <c r="BM120" s="532"/>
      <c r="BN120" s="532"/>
      <c r="BO120" s="532"/>
      <c r="BP120" s="532"/>
      <c r="BQ120" s="532"/>
      <c r="BR120" s="532"/>
      <c r="BS120" s="532"/>
      <c r="BT120" s="532"/>
      <c r="BU120" s="532"/>
      <c r="BV120" s="532"/>
      <c r="BW120" s="532"/>
      <c r="BX120" s="532"/>
      <c r="BY120" s="532"/>
      <c r="BZ120" s="532"/>
      <c r="CA120" s="532"/>
      <c r="CB120" s="532"/>
      <c r="CC120" s="532"/>
      <c r="CD120" s="532"/>
      <c r="CE120" s="532"/>
      <c r="CF120" s="532"/>
      <c r="CG120" s="532"/>
      <c r="CH120" s="532"/>
      <c r="CI120" s="532"/>
      <c r="CJ120" s="532"/>
      <c r="CK120" s="532"/>
      <c r="CL120" s="532"/>
      <c r="CM120" s="532"/>
      <c r="CN120" s="532"/>
      <c r="CO120" s="532"/>
      <c r="CP120" s="532"/>
      <c r="CQ120" s="532"/>
      <c r="CR120" s="532"/>
      <c r="CS120" s="532"/>
      <c r="CT120" s="532"/>
      <c r="CU120" s="532"/>
      <c r="CV120" s="532"/>
      <c r="CW120" s="532"/>
      <c r="CX120" s="532"/>
      <c r="CY120" s="532"/>
      <c r="CZ120" s="532"/>
      <c r="DA120" s="532"/>
      <c r="DB120" s="532"/>
      <c r="DC120" s="532"/>
      <c r="DD120" s="532"/>
      <c r="DE120" s="532"/>
      <c r="DF120" s="532"/>
      <c r="DG120" s="532"/>
      <c r="DH120" s="532"/>
      <c r="DI120" s="532"/>
      <c r="DJ120" s="532"/>
      <c r="DK120" s="532"/>
      <c r="DL120" s="532"/>
      <c r="DM120" s="532"/>
      <c r="DN120" s="532"/>
      <c r="DO120" s="532"/>
      <c r="DP120" s="532"/>
      <c r="DQ120" s="532"/>
      <c r="DR120" s="532"/>
      <c r="DS120" s="532"/>
      <c r="DT120" s="532"/>
      <c r="DU120" s="532"/>
      <c r="DV120" s="532"/>
      <c r="DW120" s="532"/>
      <c r="DX120" s="532"/>
      <c r="DY120" s="532"/>
      <c r="DZ120" s="532"/>
      <c r="EA120" s="532"/>
      <c r="EB120" s="532"/>
      <c r="EC120" s="532"/>
      <c r="ED120" s="532"/>
      <c r="EE120" s="532"/>
      <c r="EF120" s="532"/>
      <c r="EG120" s="532"/>
      <c r="EH120" s="532"/>
      <c r="EI120" s="532"/>
      <c r="EJ120" s="532"/>
      <c r="EK120" s="532"/>
      <c r="EL120" s="532"/>
      <c r="EM120" s="532"/>
      <c r="EN120" s="532"/>
      <c r="EO120" s="532"/>
      <c r="EP120" s="532"/>
      <c r="EQ120" s="532"/>
      <c r="ER120" s="532"/>
      <c r="ES120" s="532"/>
      <c r="ET120" s="532"/>
      <c r="EU120" s="532"/>
      <c r="EV120" s="532"/>
      <c r="EW120" s="532"/>
      <c r="EX120" s="532"/>
      <c r="EY120" s="532"/>
      <c r="EZ120" s="532"/>
      <c r="FA120" s="532"/>
      <c r="FB120" s="532"/>
      <c r="FC120" s="532"/>
      <c r="FD120" s="532"/>
      <c r="FE120" s="532"/>
      <c r="FF120" s="532"/>
      <c r="FG120" s="532"/>
      <c r="FH120" s="532"/>
      <c r="FI120" s="532"/>
      <c r="FJ120" s="532"/>
      <c r="FK120" s="532"/>
      <c r="FL120" s="532"/>
      <c r="FM120" s="532"/>
      <c r="FN120" s="532"/>
      <c r="FO120" s="532"/>
      <c r="FP120" s="532"/>
    </row>
    <row r="121" spans="1:172" ht="12" customHeight="1" x14ac:dyDescent="0.2">
      <c r="A121" s="533"/>
      <c r="B121" s="534"/>
      <c r="C121" s="534"/>
      <c r="D121" s="534"/>
      <c r="E121" s="534"/>
      <c r="F121" s="534"/>
      <c r="G121" s="534"/>
      <c r="H121" s="534"/>
      <c r="I121" s="534"/>
      <c r="J121" s="534"/>
      <c r="K121" s="658"/>
      <c r="L121" s="562"/>
      <c r="M121" s="562"/>
      <c r="N121" s="562"/>
      <c r="O121" s="530"/>
      <c r="P121" s="536"/>
      <c r="Q121" s="531"/>
      <c r="R121" s="531"/>
      <c r="S121" s="531"/>
      <c r="T121" s="531"/>
      <c r="U121" s="531"/>
      <c r="V121" s="531"/>
      <c r="W121" s="531"/>
      <c r="X121" s="531"/>
      <c r="Y121" s="531"/>
      <c r="Z121" s="531"/>
      <c r="AA121" s="531"/>
      <c r="AB121" s="531"/>
      <c r="AC121" s="531"/>
      <c r="AD121" s="531"/>
      <c r="AE121" s="531"/>
      <c r="AF121" s="531"/>
      <c r="AG121" s="531"/>
      <c r="AH121" s="532"/>
      <c r="AI121" s="532"/>
      <c r="AJ121" s="532"/>
      <c r="AK121" s="532"/>
      <c r="AL121" s="532"/>
      <c r="AM121" s="532"/>
      <c r="AN121" s="532"/>
      <c r="AO121" s="532"/>
      <c r="AP121" s="532"/>
      <c r="AQ121" s="532"/>
      <c r="AR121" s="532"/>
      <c r="AS121" s="532"/>
      <c r="AT121" s="532"/>
      <c r="AU121" s="532"/>
      <c r="AV121" s="532"/>
      <c r="AW121" s="532"/>
      <c r="AX121" s="532"/>
      <c r="AY121" s="532"/>
      <c r="AZ121" s="532"/>
      <c r="BA121" s="532"/>
      <c r="BB121" s="532"/>
      <c r="BC121" s="532"/>
      <c r="BD121" s="532"/>
      <c r="BE121" s="532"/>
      <c r="BF121" s="532"/>
      <c r="BG121" s="532"/>
      <c r="BH121" s="532"/>
      <c r="BI121" s="532"/>
      <c r="BJ121" s="532"/>
      <c r="BK121" s="532"/>
      <c r="BL121" s="532"/>
      <c r="BM121" s="532"/>
      <c r="BN121" s="532"/>
      <c r="BO121" s="532"/>
      <c r="BP121" s="532"/>
      <c r="BQ121" s="532"/>
      <c r="BR121" s="532"/>
      <c r="BS121" s="532"/>
      <c r="BT121" s="532"/>
      <c r="BU121" s="532"/>
      <c r="BV121" s="532"/>
      <c r="BW121" s="532"/>
      <c r="BX121" s="532"/>
      <c r="BY121" s="532"/>
      <c r="BZ121" s="532"/>
      <c r="CA121" s="532"/>
      <c r="CB121" s="532"/>
      <c r="CC121" s="532"/>
      <c r="CD121" s="532"/>
      <c r="CE121" s="532"/>
      <c r="CF121" s="532"/>
      <c r="CG121" s="532"/>
      <c r="CH121" s="532"/>
      <c r="CI121" s="532"/>
      <c r="CJ121" s="532"/>
      <c r="CK121" s="532"/>
      <c r="CL121" s="532"/>
      <c r="CM121" s="532"/>
      <c r="CN121" s="532"/>
      <c r="CO121" s="532"/>
      <c r="CP121" s="532"/>
      <c r="CQ121" s="532"/>
      <c r="CR121" s="532"/>
      <c r="CS121" s="532"/>
      <c r="CT121" s="532"/>
      <c r="CU121" s="532"/>
      <c r="CV121" s="532"/>
      <c r="CW121" s="532"/>
      <c r="CX121" s="532"/>
      <c r="CY121" s="532"/>
      <c r="CZ121" s="532"/>
      <c r="DA121" s="532"/>
      <c r="DB121" s="532"/>
      <c r="DC121" s="532"/>
      <c r="DD121" s="532"/>
      <c r="DE121" s="532"/>
      <c r="DF121" s="532"/>
      <c r="DG121" s="532"/>
      <c r="DH121" s="532"/>
      <c r="DI121" s="532"/>
      <c r="DJ121" s="532"/>
      <c r="DK121" s="532"/>
      <c r="DL121" s="532"/>
      <c r="DM121" s="532"/>
      <c r="DN121" s="532"/>
      <c r="DO121" s="532"/>
      <c r="DP121" s="532"/>
      <c r="DQ121" s="532"/>
      <c r="DR121" s="532"/>
      <c r="DS121" s="532"/>
      <c r="DT121" s="532"/>
      <c r="DU121" s="532"/>
      <c r="DV121" s="532"/>
      <c r="DW121" s="532"/>
      <c r="DX121" s="532"/>
      <c r="DY121" s="532"/>
      <c r="DZ121" s="532"/>
      <c r="EA121" s="532"/>
      <c r="EB121" s="532"/>
      <c r="EC121" s="532"/>
      <c r="ED121" s="532"/>
      <c r="EE121" s="532"/>
      <c r="EF121" s="532"/>
      <c r="EG121" s="532"/>
      <c r="EH121" s="532"/>
      <c r="EI121" s="532"/>
      <c r="EJ121" s="532"/>
      <c r="EK121" s="532"/>
      <c r="EL121" s="532"/>
      <c r="EM121" s="532"/>
      <c r="EN121" s="532"/>
      <c r="EO121" s="532"/>
      <c r="EP121" s="532"/>
      <c r="EQ121" s="532"/>
      <c r="ER121" s="532"/>
      <c r="ES121" s="532"/>
      <c r="ET121" s="532"/>
      <c r="EU121" s="532"/>
      <c r="EV121" s="532"/>
      <c r="EW121" s="532"/>
      <c r="EX121" s="532"/>
      <c r="EY121" s="532"/>
      <c r="EZ121" s="532"/>
      <c r="FA121" s="532"/>
      <c r="FB121" s="532"/>
      <c r="FC121" s="532"/>
      <c r="FD121" s="532"/>
      <c r="FE121" s="532"/>
      <c r="FF121" s="532"/>
      <c r="FG121" s="532"/>
      <c r="FH121" s="532"/>
      <c r="FI121" s="532"/>
      <c r="FJ121" s="532"/>
      <c r="FK121" s="532"/>
      <c r="FL121" s="532"/>
      <c r="FM121" s="532"/>
      <c r="FN121" s="532"/>
      <c r="FO121" s="532"/>
      <c r="FP121" s="532"/>
    </row>
    <row r="122" spans="1:172" ht="12" customHeight="1" x14ac:dyDescent="0.2">
      <c r="A122" s="533" t="s">
        <v>91</v>
      </c>
      <c r="B122" s="534"/>
      <c r="C122" s="534"/>
      <c r="D122" s="534"/>
      <c r="E122" s="534"/>
      <c r="F122" s="534"/>
      <c r="G122" s="534"/>
      <c r="H122" s="534"/>
      <c r="I122" s="534"/>
      <c r="J122" s="534"/>
      <c r="K122" s="658"/>
      <c r="L122" s="562"/>
      <c r="M122" s="562"/>
      <c r="N122" s="562"/>
      <c r="O122" s="530"/>
      <c r="P122" s="536"/>
      <c r="Q122" s="531"/>
      <c r="R122" s="531"/>
      <c r="S122" s="531"/>
      <c r="T122" s="531"/>
      <c r="U122" s="531"/>
      <c r="V122" s="531"/>
      <c r="W122" s="531"/>
      <c r="X122" s="531"/>
      <c r="Y122" s="531"/>
      <c r="Z122" s="531"/>
      <c r="AA122" s="531"/>
      <c r="AB122" s="531"/>
      <c r="AC122" s="531"/>
      <c r="AD122" s="531"/>
      <c r="AE122" s="531"/>
      <c r="AF122" s="531"/>
      <c r="AG122" s="531"/>
      <c r="AH122" s="532"/>
      <c r="AI122" s="532"/>
      <c r="AJ122" s="532"/>
      <c r="AK122" s="532"/>
      <c r="AL122" s="532"/>
      <c r="AM122" s="532"/>
      <c r="AN122" s="532"/>
      <c r="AO122" s="532"/>
      <c r="AP122" s="532"/>
      <c r="AQ122" s="532"/>
      <c r="AR122" s="532"/>
      <c r="AS122" s="532"/>
      <c r="AT122" s="532"/>
      <c r="AU122" s="532"/>
      <c r="AV122" s="532"/>
      <c r="AW122" s="532"/>
      <c r="AX122" s="532"/>
      <c r="AY122" s="532"/>
      <c r="AZ122" s="532"/>
      <c r="BA122" s="532"/>
      <c r="BB122" s="532"/>
      <c r="BC122" s="532"/>
      <c r="BD122" s="53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2"/>
      <c r="BZ122" s="532"/>
      <c r="CA122" s="532"/>
      <c r="CB122" s="532"/>
      <c r="CC122" s="532"/>
      <c r="CD122" s="532"/>
      <c r="CE122" s="532"/>
      <c r="CF122" s="532"/>
      <c r="CG122" s="532"/>
      <c r="CH122" s="532"/>
      <c r="CI122" s="532"/>
      <c r="CJ122" s="532"/>
      <c r="CK122" s="532"/>
      <c r="CL122" s="532"/>
      <c r="CM122" s="532"/>
      <c r="CN122" s="532"/>
      <c r="CO122" s="532"/>
      <c r="CP122" s="532"/>
      <c r="CQ122" s="532"/>
      <c r="CR122" s="532"/>
      <c r="CS122" s="532"/>
      <c r="CT122" s="532"/>
      <c r="CU122" s="532"/>
      <c r="CV122" s="532"/>
      <c r="CW122" s="532"/>
      <c r="CX122" s="532"/>
      <c r="CY122" s="532"/>
      <c r="CZ122" s="532"/>
      <c r="DA122" s="532"/>
      <c r="DB122" s="532"/>
      <c r="DC122" s="532"/>
      <c r="DD122" s="532"/>
      <c r="DE122" s="532"/>
      <c r="DF122" s="532"/>
      <c r="DG122" s="532"/>
      <c r="DH122" s="532"/>
      <c r="DI122" s="532"/>
      <c r="DJ122" s="532"/>
      <c r="DK122" s="532"/>
      <c r="DL122" s="532"/>
      <c r="DM122" s="532"/>
      <c r="DN122" s="532"/>
      <c r="DO122" s="532"/>
      <c r="DP122" s="532"/>
      <c r="DQ122" s="532"/>
      <c r="DR122" s="532"/>
      <c r="DS122" s="532"/>
      <c r="DT122" s="532"/>
      <c r="DU122" s="532"/>
      <c r="DV122" s="532"/>
      <c r="DW122" s="532"/>
      <c r="DX122" s="532"/>
      <c r="DY122" s="532"/>
      <c r="DZ122" s="532"/>
      <c r="EA122" s="532"/>
      <c r="EB122" s="532"/>
      <c r="EC122" s="532"/>
      <c r="ED122" s="532"/>
      <c r="EE122" s="532"/>
      <c r="EF122" s="532"/>
      <c r="EG122" s="532"/>
      <c r="EH122" s="532"/>
      <c r="EI122" s="532"/>
      <c r="EJ122" s="532"/>
      <c r="EK122" s="532"/>
      <c r="EL122" s="532"/>
      <c r="EM122" s="532"/>
      <c r="EN122" s="532"/>
      <c r="EO122" s="532"/>
      <c r="EP122" s="532"/>
      <c r="EQ122" s="532"/>
      <c r="ER122" s="532"/>
      <c r="ES122" s="532"/>
      <c r="ET122" s="532"/>
      <c r="EU122" s="532"/>
      <c r="EV122" s="532"/>
      <c r="EW122" s="532"/>
      <c r="EX122" s="532"/>
      <c r="EY122" s="532"/>
      <c r="EZ122" s="532"/>
      <c r="FA122" s="532"/>
      <c r="FB122" s="532"/>
      <c r="FC122" s="532"/>
      <c r="FD122" s="532"/>
      <c r="FE122" s="532"/>
      <c r="FF122" s="532"/>
      <c r="FG122" s="532"/>
      <c r="FH122" s="532"/>
      <c r="FI122" s="532"/>
      <c r="FJ122" s="532"/>
      <c r="FK122" s="532"/>
      <c r="FL122" s="532"/>
      <c r="FM122" s="532"/>
      <c r="FN122" s="532"/>
      <c r="FO122" s="532"/>
      <c r="FP122" s="532"/>
    </row>
    <row r="123" spans="1:172" ht="12" customHeight="1" x14ac:dyDescent="0.2">
      <c r="A123" s="533" t="s">
        <v>79</v>
      </c>
      <c r="B123" s="534"/>
      <c r="C123" s="540">
        <f t="shared" ref="C123:J129" si="95">IF(C$118=0,0,(C111/C$118))</f>
        <v>0.67407407407407405</v>
      </c>
      <c r="D123" s="540">
        <f t="shared" si="95"/>
        <v>0.45398773006134968</v>
      </c>
      <c r="E123" s="540">
        <f t="shared" si="95"/>
        <v>0.4148148148148148</v>
      </c>
      <c r="F123" s="540">
        <f t="shared" si="95"/>
        <v>0.57971014492753625</v>
      </c>
      <c r="G123" s="540">
        <f t="shared" si="95"/>
        <v>0.6216216216216216</v>
      </c>
      <c r="H123" s="540">
        <f t="shared" si="95"/>
        <v>0.57399103139013452</v>
      </c>
      <c r="I123" s="540">
        <f t="shared" si="95"/>
        <v>0.65333333333333332</v>
      </c>
      <c r="J123" s="540">
        <f t="shared" si="95"/>
        <v>0.6953125</v>
      </c>
      <c r="K123" s="660">
        <f>IF(K118=0,0,(K111/K$118))</f>
        <v>0.59278350515463918</v>
      </c>
      <c r="L123" s="564">
        <f>IF(L118=0,0,(L111/L$118))</f>
        <v>0.59171597633136097</v>
      </c>
      <c r="M123" s="564">
        <f>IF(M118=0,0,(M111/M$118))</f>
        <v>0.62272727272727268</v>
      </c>
      <c r="N123" s="564">
        <f>IF(N118=0,0,(N111/N$118))</f>
        <v>0.70987654320987659</v>
      </c>
      <c r="O123" s="541">
        <f t="shared" ref="O123:O129" si="96">IF(O$118=0,0,(O111/O$118))</f>
        <v>0.59840159840159846</v>
      </c>
      <c r="P123" s="542"/>
      <c r="Q123" s="531"/>
      <c r="R123" s="531"/>
      <c r="S123" s="531"/>
      <c r="T123" s="531"/>
      <c r="U123" s="531"/>
      <c r="V123" s="531"/>
      <c r="W123" s="531"/>
      <c r="X123" s="531"/>
      <c r="Y123" s="531"/>
      <c r="Z123" s="531"/>
      <c r="AA123" s="531"/>
      <c r="AB123" s="531"/>
      <c r="AC123" s="531"/>
      <c r="AD123" s="531"/>
      <c r="AE123" s="531"/>
      <c r="AF123" s="531"/>
      <c r="AG123" s="531"/>
      <c r="AH123" s="532"/>
      <c r="AI123" s="532"/>
      <c r="AJ123" s="532"/>
      <c r="AK123" s="532"/>
      <c r="AL123" s="532"/>
      <c r="AM123" s="532"/>
      <c r="AN123" s="532"/>
      <c r="AO123" s="532"/>
      <c r="AP123" s="532"/>
      <c r="AQ123" s="532"/>
      <c r="AR123" s="532"/>
      <c r="AS123" s="532"/>
      <c r="AT123" s="532"/>
      <c r="AU123" s="532"/>
      <c r="AV123" s="532"/>
      <c r="AW123" s="532"/>
      <c r="AX123" s="532"/>
      <c r="AY123" s="532"/>
      <c r="AZ123" s="532"/>
      <c r="BA123" s="532"/>
      <c r="BB123" s="532"/>
      <c r="BC123" s="532"/>
      <c r="BD123" s="532"/>
      <c r="BE123" s="532"/>
      <c r="BF123" s="532"/>
      <c r="BG123" s="532"/>
      <c r="BH123" s="532"/>
      <c r="BI123" s="532"/>
      <c r="BJ123" s="532"/>
      <c r="BK123" s="532"/>
      <c r="BL123" s="532"/>
      <c r="BM123" s="532"/>
      <c r="BN123" s="532"/>
      <c r="BO123" s="532"/>
      <c r="BP123" s="532"/>
      <c r="BQ123" s="532"/>
      <c r="BR123" s="532"/>
      <c r="BS123" s="532"/>
      <c r="BT123" s="532"/>
      <c r="BU123" s="532"/>
      <c r="BV123" s="532"/>
      <c r="BW123" s="532"/>
      <c r="BX123" s="532"/>
      <c r="BY123" s="532"/>
      <c r="BZ123" s="532"/>
      <c r="CA123" s="532"/>
      <c r="CB123" s="532"/>
      <c r="CC123" s="532"/>
      <c r="CD123" s="532"/>
      <c r="CE123" s="532"/>
      <c r="CF123" s="532"/>
      <c r="CG123" s="532"/>
      <c r="CH123" s="532"/>
      <c r="CI123" s="532"/>
      <c r="CJ123" s="532"/>
      <c r="CK123" s="532"/>
      <c r="CL123" s="532"/>
      <c r="CM123" s="532"/>
      <c r="CN123" s="532"/>
      <c r="CO123" s="532"/>
      <c r="CP123" s="532"/>
      <c r="CQ123" s="532"/>
      <c r="CR123" s="532"/>
      <c r="CS123" s="532"/>
      <c r="CT123" s="532"/>
      <c r="CU123" s="532"/>
      <c r="CV123" s="532"/>
      <c r="CW123" s="532"/>
      <c r="CX123" s="532"/>
      <c r="CY123" s="532"/>
      <c r="CZ123" s="532"/>
      <c r="DA123" s="532"/>
      <c r="DB123" s="532"/>
      <c r="DC123" s="532"/>
      <c r="DD123" s="532"/>
      <c r="DE123" s="532"/>
      <c r="DF123" s="532"/>
      <c r="DG123" s="532"/>
      <c r="DH123" s="532"/>
      <c r="DI123" s="532"/>
      <c r="DJ123" s="532"/>
      <c r="DK123" s="532"/>
      <c r="DL123" s="532"/>
      <c r="DM123" s="532"/>
      <c r="DN123" s="532"/>
      <c r="DO123" s="532"/>
      <c r="DP123" s="532"/>
      <c r="DQ123" s="532"/>
      <c r="DR123" s="532"/>
      <c r="DS123" s="532"/>
      <c r="DT123" s="532"/>
      <c r="DU123" s="532"/>
      <c r="DV123" s="532"/>
      <c r="DW123" s="532"/>
      <c r="DX123" s="532"/>
      <c r="DY123" s="532"/>
      <c r="DZ123" s="532"/>
      <c r="EA123" s="532"/>
      <c r="EB123" s="532"/>
      <c r="EC123" s="532"/>
      <c r="ED123" s="532"/>
      <c r="EE123" s="532"/>
      <c r="EF123" s="532"/>
      <c r="EG123" s="532"/>
      <c r="EH123" s="532"/>
      <c r="EI123" s="532"/>
      <c r="EJ123" s="532"/>
      <c r="EK123" s="532"/>
      <c r="EL123" s="532"/>
      <c r="EM123" s="532"/>
      <c r="EN123" s="532"/>
      <c r="EO123" s="532"/>
      <c r="EP123" s="532"/>
      <c r="EQ123" s="532"/>
      <c r="ER123" s="532"/>
      <c r="ES123" s="532"/>
      <c r="ET123" s="532"/>
      <c r="EU123" s="532"/>
      <c r="EV123" s="532"/>
      <c r="EW123" s="532"/>
      <c r="EX123" s="532"/>
      <c r="EY123" s="532"/>
      <c r="EZ123" s="532"/>
      <c r="FA123" s="532"/>
      <c r="FB123" s="532"/>
      <c r="FC123" s="532"/>
      <c r="FD123" s="532"/>
      <c r="FE123" s="532"/>
      <c r="FF123" s="532"/>
      <c r="FG123" s="532"/>
      <c r="FH123" s="532"/>
      <c r="FI123" s="532"/>
      <c r="FJ123" s="532"/>
      <c r="FK123" s="532"/>
      <c r="FL123" s="532"/>
      <c r="FM123" s="532"/>
      <c r="FN123" s="532"/>
      <c r="FO123" s="532"/>
      <c r="FP123" s="532"/>
    </row>
    <row r="124" spans="1:172" ht="12" customHeight="1" x14ac:dyDescent="0.2">
      <c r="A124" s="533" t="s">
        <v>80</v>
      </c>
      <c r="B124" s="534"/>
      <c r="C124" s="540">
        <f t="shared" si="95"/>
        <v>0</v>
      </c>
      <c r="D124" s="540">
        <f t="shared" si="95"/>
        <v>0</v>
      </c>
      <c r="E124" s="540">
        <f t="shared" si="95"/>
        <v>2.2222222222222223E-2</v>
      </c>
      <c r="F124" s="540">
        <f t="shared" si="95"/>
        <v>0</v>
      </c>
      <c r="G124" s="540">
        <f t="shared" si="95"/>
        <v>0</v>
      </c>
      <c r="H124" s="540">
        <f t="shared" si="95"/>
        <v>0</v>
      </c>
      <c r="I124" s="540">
        <f t="shared" si="95"/>
        <v>0</v>
      </c>
      <c r="J124" s="540">
        <f t="shared" si="95"/>
        <v>0</v>
      </c>
      <c r="K124" s="660">
        <f t="shared" ref="K124:N127" si="97">IF(K$118=0,0,(K112/K$118))</f>
        <v>1.0309278350515464E-2</v>
      </c>
      <c r="L124" s="564">
        <f t="shared" si="97"/>
        <v>2.3668639053254437E-2</v>
      </c>
      <c r="M124" s="564">
        <f t="shared" si="97"/>
        <v>4.5454545454545452E-3</v>
      </c>
      <c r="N124" s="564">
        <f t="shared" si="97"/>
        <v>1.2345679012345678E-2</v>
      </c>
      <c r="O124" s="541">
        <f t="shared" si="96"/>
        <v>5.994005994005994E-3</v>
      </c>
      <c r="P124" s="542"/>
      <c r="Q124" s="531"/>
      <c r="R124" s="531"/>
      <c r="S124" s="531"/>
      <c r="T124" s="531"/>
      <c r="U124" s="531"/>
      <c r="V124" s="531"/>
      <c r="W124" s="531"/>
      <c r="X124" s="531"/>
      <c r="Y124" s="531"/>
      <c r="Z124" s="531"/>
      <c r="AA124" s="531"/>
      <c r="AB124" s="531"/>
      <c r="AC124" s="531"/>
      <c r="AD124" s="531"/>
      <c r="AE124" s="531"/>
      <c r="AF124" s="531"/>
      <c r="AG124" s="531"/>
      <c r="AH124" s="532"/>
      <c r="AI124" s="532"/>
      <c r="AJ124" s="532"/>
      <c r="AK124" s="532"/>
      <c r="AL124" s="532"/>
      <c r="AM124" s="532"/>
      <c r="AN124" s="532"/>
      <c r="AO124" s="532"/>
      <c r="AP124" s="532"/>
      <c r="AQ124" s="532"/>
      <c r="AR124" s="532"/>
      <c r="AS124" s="532"/>
      <c r="AT124" s="532"/>
      <c r="AU124" s="532"/>
      <c r="AV124" s="532"/>
      <c r="AW124" s="532"/>
      <c r="AX124" s="532"/>
      <c r="AY124" s="532"/>
      <c r="AZ124" s="532"/>
      <c r="BA124" s="532"/>
      <c r="BB124" s="532"/>
      <c r="BC124" s="532"/>
      <c r="BD124" s="532"/>
      <c r="BE124" s="532"/>
      <c r="BF124" s="532"/>
      <c r="BG124" s="532"/>
      <c r="BH124" s="532"/>
      <c r="BI124" s="532"/>
      <c r="BJ124" s="532"/>
      <c r="BK124" s="532"/>
      <c r="BL124" s="532"/>
      <c r="BM124" s="532"/>
      <c r="BN124" s="532"/>
      <c r="BO124" s="532"/>
      <c r="BP124" s="532"/>
      <c r="BQ124" s="532"/>
      <c r="BR124" s="532"/>
      <c r="BS124" s="532"/>
      <c r="BT124" s="532"/>
      <c r="BU124" s="532"/>
      <c r="BV124" s="532"/>
      <c r="BW124" s="532"/>
      <c r="BX124" s="532"/>
      <c r="BY124" s="532"/>
      <c r="BZ124" s="532"/>
      <c r="CA124" s="532"/>
      <c r="CB124" s="532"/>
      <c r="CC124" s="532"/>
      <c r="CD124" s="532"/>
      <c r="CE124" s="532"/>
      <c r="CF124" s="532"/>
      <c r="CG124" s="532"/>
      <c r="CH124" s="532"/>
      <c r="CI124" s="532"/>
      <c r="CJ124" s="532"/>
      <c r="CK124" s="532"/>
      <c r="CL124" s="532"/>
      <c r="CM124" s="532"/>
      <c r="CN124" s="532"/>
      <c r="CO124" s="532"/>
      <c r="CP124" s="532"/>
      <c r="CQ124" s="532"/>
      <c r="CR124" s="532"/>
      <c r="CS124" s="532"/>
      <c r="CT124" s="532"/>
      <c r="CU124" s="532"/>
      <c r="CV124" s="532"/>
      <c r="CW124" s="532"/>
      <c r="CX124" s="532"/>
      <c r="CY124" s="532"/>
      <c r="CZ124" s="532"/>
      <c r="DA124" s="532"/>
      <c r="DB124" s="532"/>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c r="DY124" s="532"/>
      <c r="DZ124" s="532"/>
      <c r="EA124" s="532"/>
      <c r="EB124" s="532"/>
      <c r="EC124" s="532"/>
      <c r="ED124" s="532"/>
      <c r="EE124" s="532"/>
      <c r="EF124" s="532"/>
      <c r="EG124" s="532"/>
      <c r="EH124" s="532"/>
      <c r="EI124" s="532"/>
      <c r="EJ124" s="532"/>
      <c r="EK124" s="532"/>
      <c r="EL124" s="532"/>
      <c r="EM124" s="532"/>
      <c r="EN124" s="532"/>
      <c r="EO124" s="532"/>
      <c r="EP124" s="532"/>
      <c r="EQ124" s="532"/>
      <c r="ER124" s="532"/>
      <c r="ES124" s="532"/>
      <c r="ET124" s="532"/>
      <c r="EU124" s="532"/>
      <c r="EV124" s="532"/>
      <c r="EW124" s="532"/>
      <c r="EX124" s="532"/>
      <c r="EY124" s="532"/>
      <c r="EZ124" s="532"/>
      <c r="FA124" s="532"/>
      <c r="FB124" s="532"/>
      <c r="FC124" s="532"/>
      <c r="FD124" s="532"/>
      <c r="FE124" s="532"/>
      <c r="FF124" s="532"/>
      <c r="FG124" s="532"/>
      <c r="FH124" s="532"/>
      <c r="FI124" s="532"/>
      <c r="FJ124" s="532"/>
      <c r="FK124" s="532"/>
      <c r="FL124" s="532"/>
      <c r="FM124" s="532"/>
      <c r="FN124" s="532"/>
      <c r="FO124" s="532"/>
      <c r="FP124" s="532"/>
    </row>
    <row r="125" spans="1:172" ht="12" customHeight="1" x14ac:dyDescent="0.2">
      <c r="A125" s="533" t="s">
        <v>81</v>
      </c>
      <c r="B125" s="534"/>
      <c r="C125" s="540">
        <f t="shared" si="95"/>
        <v>2.9629629629629631E-2</v>
      </c>
      <c r="D125" s="540">
        <f t="shared" si="95"/>
        <v>7.3619631901840496E-2</v>
      </c>
      <c r="E125" s="540">
        <f t="shared" si="95"/>
        <v>4.4444444444444446E-2</v>
      </c>
      <c r="F125" s="540">
        <f t="shared" si="95"/>
        <v>6.5217391304347824E-2</v>
      </c>
      <c r="G125" s="540">
        <f t="shared" si="95"/>
        <v>0.10270270270270271</v>
      </c>
      <c r="H125" s="540">
        <f t="shared" si="95"/>
        <v>4.4843049327354258E-2</v>
      </c>
      <c r="I125" s="540">
        <f t="shared" si="95"/>
        <v>3.3333333333333333E-2</v>
      </c>
      <c r="J125" s="540">
        <f t="shared" si="95"/>
        <v>3.125E-2</v>
      </c>
      <c r="K125" s="660">
        <f t="shared" si="97"/>
        <v>3.608247422680412E-2</v>
      </c>
      <c r="L125" s="564">
        <f t="shared" si="97"/>
        <v>0</v>
      </c>
      <c r="M125" s="564">
        <f t="shared" si="97"/>
        <v>0.11363636363636363</v>
      </c>
      <c r="N125" s="564">
        <f t="shared" si="97"/>
        <v>7.407407407407407E-2</v>
      </c>
      <c r="O125" s="541">
        <f t="shared" si="96"/>
        <v>5.644355644355644E-2</v>
      </c>
      <c r="P125" s="542"/>
      <c r="Q125" s="531"/>
      <c r="R125" s="531"/>
      <c r="S125" s="531"/>
      <c r="T125" s="531"/>
      <c r="U125" s="531"/>
      <c r="V125" s="531"/>
      <c r="W125" s="531"/>
      <c r="X125" s="531"/>
      <c r="Y125" s="531"/>
      <c r="Z125" s="531"/>
      <c r="AA125" s="531"/>
      <c r="AB125" s="531"/>
      <c r="AC125" s="531"/>
      <c r="AD125" s="531"/>
      <c r="AE125" s="531"/>
      <c r="AF125" s="531"/>
      <c r="AG125" s="531"/>
      <c r="AH125" s="532"/>
      <c r="AI125" s="532"/>
      <c r="AJ125" s="532"/>
      <c r="AK125" s="532"/>
      <c r="AL125" s="532"/>
      <c r="AM125" s="532"/>
      <c r="AN125" s="532"/>
      <c r="AO125" s="532"/>
      <c r="AP125" s="532"/>
      <c r="AQ125" s="532"/>
      <c r="AR125" s="532"/>
      <c r="AS125" s="532"/>
      <c r="AT125" s="532"/>
      <c r="AU125" s="532"/>
      <c r="AV125" s="532"/>
      <c r="AW125" s="532"/>
      <c r="AX125" s="532"/>
      <c r="AY125" s="532"/>
      <c r="AZ125" s="532"/>
      <c r="BA125" s="532"/>
      <c r="BB125" s="532"/>
      <c r="BC125" s="532"/>
      <c r="BD125" s="532"/>
      <c r="BE125" s="532"/>
      <c r="BF125" s="532"/>
      <c r="BG125" s="532"/>
      <c r="BH125" s="532"/>
      <c r="BI125" s="532"/>
      <c r="BJ125" s="532"/>
      <c r="BK125" s="532"/>
      <c r="BL125" s="532"/>
      <c r="BM125" s="532"/>
      <c r="BN125" s="532"/>
      <c r="BO125" s="532"/>
      <c r="BP125" s="532"/>
      <c r="BQ125" s="532"/>
      <c r="BR125" s="532"/>
      <c r="BS125" s="532"/>
      <c r="BT125" s="532"/>
      <c r="BU125" s="532"/>
      <c r="BV125" s="532"/>
      <c r="BW125" s="532"/>
      <c r="BX125" s="532"/>
      <c r="BY125" s="532"/>
      <c r="BZ125" s="532"/>
      <c r="CA125" s="532"/>
      <c r="CB125" s="532"/>
      <c r="CC125" s="532"/>
      <c r="CD125" s="532"/>
      <c r="CE125" s="532"/>
      <c r="CF125" s="532"/>
      <c r="CG125" s="532"/>
      <c r="CH125" s="532"/>
      <c r="CI125" s="532"/>
      <c r="CJ125" s="532"/>
      <c r="CK125" s="532"/>
      <c r="CL125" s="532"/>
      <c r="CM125" s="532"/>
      <c r="CN125" s="532"/>
      <c r="CO125" s="532"/>
      <c r="CP125" s="532"/>
      <c r="CQ125" s="532"/>
      <c r="CR125" s="532"/>
      <c r="CS125" s="532"/>
      <c r="CT125" s="532"/>
      <c r="CU125" s="532"/>
      <c r="CV125" s="532"/>
      <c r="CW125" s="532"/>
      <c r="CX125" s="532"/>
      <c r="CY125" s="532"/>
      <c r="CZ125" s="532"/>
      <c r="DA125" s="532"/>
      <c r="DB125" s="532"/>
      <c r="DC125" s="532"/>
      <c r="DD125" s="532"/>
      <c r="DE125" s="532"/>
      <c r="DF125" s="532"/>
      <c r="DG125" s="532"/>
      <c r="DH125" s="532"/>
      <c r="DI125" s="532"/>
      <c r="DJ125" s="532"/>
      <c r="DK125" s="532"/>
      <c r="DL125" s="532"/>
      <c r="DM125" s="532"/>
      <c r="DN125" s="532"/>
      <c r="DO125" s="532"/>
      <c r="DP125" s="532"/>
      <c r="DQ125" s="532"/>
      <c r="DR125" s="532"/>
      <c r="DS125" s="532"/>
      <c r="DT125" s="532"/>
      <c r="DU125" s="532"/>
      <c r="DV125" s="532"/>
      <c r="DW125" s="532"/>
      <c r="DX125" s="532"/>
      <c r="DY125" s="532"/>
      <c r="DZ125" s="532"/>
      <c r="EA125" s="532"/>
      <c r="EB125" s="532"/>
      <c r="EC125" s="532"/>
      <c r="ED125" s="532"/>
      <c r="EE125" s="532"/>
      <c r="EF125" s="532"/>
      <c r="EG125" s="532"/>
      <c r="EH125" s="532"/>
      <c r="EI125" s="532"/>
      <c r="EJ125" s="532"/>
      <c r="EK125" s="532"/>
      <c r="EL125" s="532"/>
      <c r="EM125" s="532"/>
      <c r="EN125" s="532"/>
      <c r="EO125" s="532"/>
      <c r="EP125" s="532"/>
      <c r="EQ125" s="532"/>
      <c r="ER125" s="532"/>
      <c r="ES125" s="532"/>
      <c r="ET125" s="532"/>
      <c r="EU125" s="532"/>
      <c r="EV125" s="532"/>
      <c r="EW125" s="532"/>
      <c r="EX125" s="532"/>
      <c r="EY125" s="532"/>
      <c r="EZ125" s="532"/>
      <c r="FA125" s="532"/>
      <c r="FB125" s="532"/>
      <c r="FC125" s="532"/>
      <c r="FD125" s="532"/>
      <c r="FE125" s="532"/>
      <c r="FF125" s="532"/>
      <c r="FG125" s="532"/>
      <c r="FH125" s="532"/>
      <c r="FI125" s="532"/>
      <c r="FJ125" s="532"/>
      <c r="FK125" s="532"/>
      <c r="FL125" s="532"/>
      <c r="FM125" s="532"/>
      <c r="FN125" s="532"/>
      <c r="FO125" s="532"/>
      <c r="FP125" s="532"/>
    </row>
    <row r="126" spans="1:172" ht="12" customHeight="1" x14ac:dyDescent="0.2">
      <c r="A126" s="533" t="s">
        <v>82</v>
      </c>
      <c r="B126" s="534"/>
      <c r="C126" s="540">
        <f t="shared" si="95"/>
        <v>0.15555555555555556</v>
      </c>
      <c r="D126" s="540">
        <f t="shared" si="95"/>
        <v>0.28834355828220859</v>
      </c>
      <c r="E126" s="540">
        <f t="shared" si="95"/>
        <v>0.27407407407407408</v>
      </c>
      <c r="F126" s="540">
        <f t="shared" si="95"/>
        <v>0.2391304347826087</v>
      </c>
      <c r="G126" s="540">
        <f t="shared" si="95"/>
        <v>9.7297297297297303E-2</v>
      </c>
      <c r="H126" s="540">
        <f t="shared" si="95"/>
        <v>0.10762331838565023</v>
      </c>
      <c r="I126" s="540">
        <f t="shared" si="95"/>
        <v>0.16</v>
      </c>
      <c r="J126" s="540">
        <f t="shared" si="95"/>
        <v>0.2109375</v>
      </c>
      <c r="K126" s="660">
        <f t="shared" si="97"/>
        <v>0.12886597938144329</v>
      </c>
      <c r="L126" s="564">
        <f t="shared" si="97"/>
        <v>0.13017751479289941</v>
      </c>
      <c r="M126" s="564">
        <f t="shared" si="97"/>
        <v>0.16818181818181818</v>
      </c>
      <c r="N126" s="564">
        <f t="shared" si="97"/>
        <v>0.15432098765432098</v>
      </c>
      <c r="O126" s="541">
        <f t="shared" si="96"/>
        <v>0.16983016983016982</v>
      </c>
      <c r="P126" s="542"/>
      <c r="Q126" s="531"/>
      <c r="R126" s="531"/>
      <c r="S126" s="531"/>
      <c r="T126" s="531"/>
      <c r="U126" s="531"/>
      <c r="V126" s="531"/>
      <c r="W126" s="531"/>
      <c r="X126" s="531"/>
      <c r="Y126" s="531"/>
      <c r="Z126" s="531"/>
      <c r="AA126" s="531"/>
      <c r="AB126" s="531"/>
      <c r="AC126" s="531"/>
      <c r="AD126" s="531"/>
      <c r="AE126" s="531"/>
      <c r="AF126" s="531"/>
      <c r="AG126" s="531"/>
      <c r="AH126" s="532"/>
      <c r="AI126" s="532"/>
      <c r="AJ126" s="532"/>
      <c r="AK126" s="532"/>
      <c r="AL126" s="532"/>
      <c r="AM126" s="532"/>
      <c r="AN126" s="532"/>
      <c r="AO126" s="532"/>
      <c r="AP126" s="532"/>
      <c r="AQ126" s="532"/>
      <c r="AR126" s="532"/>
      <c r="AS126" s="532"/>
      <c r="AT126" s="532"/>
      <c r="AU126" s="532"/>
      <c r="AV126" s="532"/>
      <c r="AW126" s="532"/>
      <c r="AX126" s="532"/>
      <c r="AY126" s="532"/>
      <c r="AZ126" s="532"/>
      <c r="BA126" s="532"/>
      <c r="BB126" s="532"/>
      <c r="BC126" s="532"/>
      <c r="BD126" s="532"/>
      <c r="BE126" s="532"/>
      <c r="BF126" s="532"/>
      <c r="BG126" s="532"/>
      <c r="BH126" s="532"/>
      <c r="BI126" s="532"/>
      <c r="BJ126" s="532"/>
      <c r="BK126" s="532"/>
      <c r="BL126" s="532"/>
      <c r="BM126" s="532"/>
      <c r="BN126" s="532"/>
      <c r="BO126" s="532"/>
      <c r="BP126" s="532"/>
      <c r="BQ126" s="532"/>
      <c r="BR126" s="532"/>
      <c r="BS126" s="532"/>
      <c r="BT126" s="532"/>
      <c r="BU126" s="532"/>
      <c r="BV126" s="532"/>
      <c r="BW126" s="532"/>
      <c r="BX126" s="532"/>
      <c r="BY126" s="532"/>
      <c r="BZ126" s="532"/>
      <c r="CA126" s="532"/>
      <c r="CB126" s="532"/>
      <c r="CC126" s="532"/>
      <c r="CD126" s="532"/>
      <c r="CE126" s="532"/>
      <c r="CF126" s="532"/>
      <c r="CG126" s="532"/>
      <c r="CH126" s="532"/>
      <c r="CI126" s="532"/>
      <c r="CJ126" s="532"/>
      <c r="CK126" s="532"/>
      <c r="CL126" s="532"/>
      <c r="CM126" s="532"/>
      <c r="CN126" s="532"/>
      <c r="CO126" s="532"/>
      <c r="CP126" s="532"/>
      <c r="CQ126" s="532"/>
      <c r="CR126" s="532"/>
      <c r="CS126" s="532"/>
      <c r="CT126" s="532"/>
      <c r="CU126" s="532"/>
      <c r="CV126" s="532"/>
      <c r="CW126" s="532"/>
      <c r="CX126" s="532"/>
      <c r="CY126" s="532"/>
      <c r="CZ126" s="532"/>
      <c r="DA126" s="532"/>
      <c r="DB126" s="532"/>
      <c r="DC126" s="532"/>
      <c r="DD126" s="532"/>
      <c r="DE126" s="532"/>
      <c r="DF126" s="532"/>
      <c r="DG126" s="532"/>
      <c r="DH126" s="532"/>
      <c r="DI126" s="532"/>
      <c r="DJ126" s="532"/>
      <c r="DK126" s="532"/>
      <c r="DL126" s="532"/>
      <c r="DM126" s="532"/>
      <c r="DN126" s="532"/>
      <c r="DO126" s="532"/>
      <c r="DP126" s="532"/>
      <c r="DQ126" s="532"/>
      <c r="DR126" s="532"/>
      <c r="DS126" s="532"/>
      <c r="DT126" s="532"/>
      <c r="DU126" s="532"/>
      <c r="DV126" s="532"/>
      <c r="DW126" s="532"/>
      <c r="DX126" s="532"/>
      <c r="DY126" s="532"/>
      <c r="DZ126" s="532"/>
      <c r="EA126" s="532"/>
      <c r="EB126" s="532"/>
      <c r="EC126" s="532"/>
      <c r="ED126" s="532"/>
      <c r="EE126" s="532"/>
      <c r="EF126" s="532"/>
      <c r="EG126" s="532"/>
      <c r="EH126" s="532"/>
      <c r="EI126" s="532"/>
      <c r="EJ126" s="532"/>
      <c r="EK126" s="532"/>
      <c r="EL126" s="532"/>
      <c r="EM126" s="532"/>
      <c r="EN126" s="532"/>
      <c r="EO126" s="532"/>
      <c r="EP126" s="532"/>
      <c r="EQ126" s="532"/>
      <c r="ER126" s="532"/>
      <c r="ES126" s="532"/>
      <c r="ET126" s="532"/>
      <c r="EU126" s="532"/>
      <c r="EV126" s="532"/>
      <c r="EW126" s="532"/>
      <c r="EX126" s="532"/>
      <c r="EY126" s="532"/>
      <c r="EZ126" s="532"/>
      <c r="FA126" s="532"/>
      <c r="FB126" s="532"/>
      <c r="FC126" s="532"/>
      <c r="FD126" s="532"/>
      <c r="FE126" s="532"/>
      <c r="FF126" s="532"/>
      <c r="FG126" s="532"/>
      <c r="FH126" s="532"/>
      <c r="FI126" s="532"/>
      <c r="FJ126" s="532"/>
      <c r="FK126" s="532"/>
      <c r="FL126" s="532"/>
      <c r="FM126" s="532"/>
      <c r="FN126" s="532"/>
      <c r="FO126" s="532"/>
      <c r="FP126" s="532"/>
    </row>
    <row r="127" spans="1:172" ht="12" customHeight="1" x14ac:dyDescent="0.2">
      <c r="A127" s="533" t="s">
        <v>83</v>
      </c>
      <c r="B127" s="534"/>
      <c r="C127" s="540">
        <f t="shared" si="95"/>
        <v>0.1037037037037037</v>
      </c>
      <c r="D127" s="540">
        <f t="shared" si="95"/>
        <v>4.9079754601226995E-2</v>
      </c>
      <c r="E127" s="540">
        <f t="shared" si="95"/>
        <v>8.1481481481481488E-2</v>
      </c>
      <c r="F127" s="540">
        <f t="shared" si="95"/>
        <v>5.7971014492753624E-2</v>
      </c>
      <c r="G127" s="540">
        <f t="shared" si="95"/>
        <v>1.0810810810810811E-2</v>
      </c>
      <c r="H127" s="540">
        <f t="shared" si="95"/>
        <v>6.726457399103139E-2</v>
      </c>
      <c r="I127" s="540">
        <f t="shared" si="95"/>
        <v>4.6666666666666669E-2</v>
      </c>
      <c r="J127" s="540">
        <f t="shared" si="95"/>
        <v>2.34375E-2</v>
      </c>
      <c r="K127" s="660">
        <f t="shared" si="97"/>
        <v>6.1855670103092786E-2</v>
      </c>
      <c r="L127" s="564">
        <f t="shared" si="97"/>
        <v>1.1834319526627219E-2</v>
      </c>
      <c r="M127" s="564">
        <f t="shared" si="97"/>
        <v>9.0909090909090905E-3</v>
      </c>
      <c r="N127" s="564">
        <f t="shared" si="97"/>
        <v>0</v>
      </c>
      <c r="O127" s="541">
        <f t="shared" si="96"/>
        <v>4.195804195804196E-2</v>
      </c>
      <c r="P127" s="542"/>
      <c r="Q127" s="531"/>
      <c r="R127" s="531"/>
      <c r="S127" s="531"/>
      <c r="T127" s="531"/>
      <c r="U127" s="531"/>
      <c r="V127" s="531"/>
      <c r="W127" s="531"/>
      <c r="X127" s="531"/>
      <c r="Y127" s="531"/>
      <c r="Z127" s="531"/>
      <c r="AA127" s="531"/>
      <c r="AB127" s="531"/>
      <c r="AC127" s="531"/>
      <c r="AD127" s="531"/>
      <c r="AE127" s="531"/>
      <c r="AF127" s="531"/>
      <c r="AG127" s="531"/>
      <c r="AH127" s="532"/>
      <c r="AI127" s="532"/>
      <c r="AJ127" s="532"/>
      <c r="AK127" s="532"/>
      <c r="AL127" s="532"/>
      <c r="AM127" s="532"/>
      <c r="AN127" s="532"/>
      <c r="AO127" s="532"/>
      <c r="AP127" s="532"/>
      <c r="AQ127" s="532"/>
      <c r="AR127" s="532"/>
      <c r="AS127" s="532"/>
      <c r="AT127" s="532"/>
      <c r="AU127" s="532"/>
      <c r="AV127" s="532"/>
      <c r="AW127" s="532"/>
      <c r="AX127" s="532"/>
      <c r="AY127" s="532"/>
      <c r="AZ127" s="532"/>
      <c r="BA127" s="532"/>
      <c r="BB127" s="532"/>
      <c r="BC127" s="532"/>
      <c r="BD127" s="532"/>
      <c r="BE127" s="532"/>
      <c r="BF127" s="532"/>
      <c r="BG127" s="532"/>
      <c r="BH127" s="532"/>
      <c r="BI127" s="532"/>
      <c r="BJ127" s="532"/>
      <c r="BK127" s="532"/>
      <c r="BL127" s="532"/>
      <c r="BM127" s="532"/>
      <c r="BN127" s="532"/>
      <c r="BO127" s="532"/>
      <c r="BP127" s="532"/>
      <c r="BQ127" s="532"/>
      <c r="BR127" s="532"/>
      <c r="BS127" s="532"/>
      <c r="BT127" s="532"/>
      <c r="BU127" s="532"/>
      <c r="BV127" s="532"/>
      <c r="BW127" s="532"/>
      <c r="BX127" s="532"/>
      <c r="BY127" s="532"/>
      <c r="BZ127" s="532"/>
      <c r="CA127" s="532"/>
      <c r="CB127" s="532"/>
      <c r="CC127" s="532"/>
      <c r="CD127" s="532"/>
      <c r="CE127" s="532"/>
      <c r="CF127" s="532"/>
      <c r="CG127" s="532"/>
      <c r="CH127" s="532"/>
      <c r="CI127" s="532"/>
      <c r="CJ127" s="532"/>
      <c r="CK127" s="532"/>
      <c r="CL127" s="532"/>
      <c r="CM127" s="532"/>
      <c r="CN127" s="532"/>
      <c r="CO127" s="532"/>
      <c r="CP127" s="532"/>
      <c r="CQ127" s="532"/>
      <c r="CR127" s="532"/>
      <c r="CS127" s="532"/>
      <c r="CT127" s="532"/>
      <c r="CU127" s="532"/>
      <c r="CV127" s="532"/>
      <c r="CW127" s="532"/>
      <c r="CX127" s="532"/>
      <c r="CY127" s="532"/>
      <c r="CZ127" s="532"/>
      <c r="DA127" s="532"/>
      <c r="DB127" s="532"/>
      <c r="DC127" s="532"/>
      <c r="DD127" s="532"/>
      <c r="DE127" s="532"/>
      <c r="DF127" s="532"/>
      <c r="DG127" s="532"/>
      <c r="DH127" s="532"/>
      <c r="DI127" s="532"/>
      <c r="DJ127" s="532"/>
      <c r="DK127" s="532"/>
      <c r="DL127" s="532"/>
      <c r="DM127" s="532"/>
      <c r="DN127" s="532"/>
      <c r="DO127" s="532"/>
      <c r="DP127" s="532"/>
      <c r="DQ127" s="532"/>
      <c r="DR127" s="532"/>
      <c r="DS127" s="532"/>
      <c r="DT127" s="532"/>
      <c r="DU127" s="532"/>
      <c r="DV127" s="532"/>
      <c r="DW127" s="532"/>
      <c r="DX127" s="532"/>
      <c r="DY127" s="532"/>
      <c r="DZ127" s="532"/>
      <c r="EA127" s="532"/>
      <c r="EB127" s="532"/>
      <c r="EC127" s="532"/>
      <c r="ED127" s="532"/>
      <c r="EE127" s="532"/>
      <c r="EF127" s="532"/>
      <c r="EG127" s="532"/>
      <c r="EH127" s="532"/>
      <c r="EI127" s="532"/>
      <c r="EJ127" s="532"/>
      <c r="EK127" s="532"/>
      <c r="EL127" s="532"/>
      <c r="EM127" s="532"/>
      <c r="EN127" s="532"/>
      <c r="EO127" s="532"/>
      <c r="EP127" s="532"/>
      <c r="EQ127" s="532"/>
      <c r="ER127" s="532"/>
      <c r="ES127" s="532"/>
      <c r="ET127" s="532"/>
      <c r="EU127" s="532"/>
      <c r="EV127" s="532"/>
      <c r="EW127" s="532"/>
      <c r="EX127" s="532"/>
      <c r="EY127" s="532"/>
      <c r="EZ127" s="532"/>
      <c r="FA127" s="532"/>
      <c r="FB127" s="532"/>
      <c r="FC127" s="532"/>
      <c r="FD127" s="532"/>
      <c r="FE127" s="532"/>
      <c r="FF127" s="532"/>
      <c r="FG127" s="532"/>
      <c r="FH127" s="532"/>
      <c r="FI127" s="532"/>
      <c r="FJ127" s="532"/>
      <c r="FK127" s="532"/>
      <c r="FL127" s="532"/>
      <c r="FM127" s="532"/>
      <c r="FN127" s="532"/>
      <c r="FO127" s="532"/>
      <c r="FP127" s="532"/>
    </row>
    <row r="128" spans="1:172" ht="12" customHeight="1" x14ac:dyDescent="0.2">
      <c r="A128" s="533" t="s">
        <v>84</v>
      </c>
      <c r="B128" s="534"/>
      <c r="C128" s="540">
        <f t="shared" si="95"/>
        <v>2.2222222222222223E-2</v>
      </c>
      <c r="D128" s="540">
        <f t="shared" si="95"/>
        <v>1.8404907975460124E-2</v>
      </c>
      <c r="E128" s="540">
        <f t="shared" si="95"/>
        <v>9.6296296296296297E-2</v>
      </c>
      <c r="F128" s="540">
        <f t="shared" si="95"/>
        <v>7.246376811594203E-3</v>
      </c>
      <c r="G128" s="540">
        <f t="shared" si="95"/>
        <v>0.14054054054054055</v>
      </c>
      <c r="H128" s="540">
        <f t="shared" si="95"/>
        <v>1.3452914798206279E-2</v>
      </c>
      <c r="I128" s="540">
        <f t="shared" si="95"/>
        <v>3.3333333333333333E-2</v>
      </c>
      <c r="J128" s="540">
        <f t="shared" si="95"/>
        <v>7.8125E-3</v>
      </c>
      <c r="K128" s="660">
        <f t="shared" ref="K128:N129" si="98">IF(K123=0,0,(K116/K$118))</f>
        <v>0.13917525773195877</v>
      </c>
      <c r="L128" s="564">
        <f t="shared" si="98"/>
        <v>0.11242603550295859</v>
      </c>
      <c r="M128" s="564">
        <f t="shared" si="98"/>
        <v>4.5454545454545456E-2</v>
      </c>
      <c r="N128" s="564">
        <f t="shared" si="98"/>
        <v>0</v>
      </c>
      <c r="O128" s="541">
        <f t="shared" si="96"/>
        <v>5.5444555444555448E-2</v>
      </c>
      <c r="P128" s="542"/>
      <c r="Q128" s="531"/>
      <c r="R128" s="531"/>
      <c r="S128" s="531"/>
      <c r="T128" s="531"/>
      <c r="U128" s="531"/>
      <c r="V128" s="531"/>
      <c r="W128" s="531"/>
      <c r="X128" s="531"/>
      <c r="Y128" s="531"/>
      <c r="Z128" s="531"/>
      <c r="AA128" s="531"/>
      <c r="AB128" s="531"/>
      <c r="AC128" s="531"/>
      <c r="AD128" s="531"/>
      <c r="AE128" s="531"/>
      <c r="AF128" s="531"/>
      <c r="AG128" s="531"/>
      <c r="AH128" s="532"/>
      <c r="AI128" s="532"/>
      <c r="AJ128" s="532"/>
      <c r="AK128" s="532"/>
      <c r="AL128" s="532"/>
      <c r="AM128" s="532"/>
      <c r="AN128" s="532"/>
      <c r="AO128" s="532"/>
      <c r="AP128" s="532"/>
      <c r="AQ128" s="532"/>
      <c r="AR128" s="532"/>
      <c r="AS128" s="532"/>
      <c r="AT128" s="532"/>
      <c r="AU128" s="532"/>
      <c r="AV128" s="532"/>
      <c r="AW128" s="532"/>
      <c r="AX128" s="532"/>
      <c r="AY128" s="532"/>
      <c r="AZ128" s="532"/>
      <c r="BA128" s="532"/>
      <c r="BB128" s="532"/>
      <c r="BC128" s="532"/>
      <c r="BD128" s="532"/>
      <c r="BE128" s="532"/>
      <c r="BF128" s="532"/>
      <c r="BG128" s="532"/>
      <c r="BH128" s="532"/>
      <c r="BI128" s="532"/>
      <c r="BJ128" s="532"/>
      <c r="BK128" s="532"/>
      <c r="BL128" s="532"/>
      <c r="BM128" s="532"/>
      <c r="BN128" s="532"/>
      <c r="BO128" s="532"/>
      <c r="BP128" s="532"/>
      <c r="BQ128" s="532"/>
      <c r="BR128" s="532"/>
      <c r="BS128" s="532"/>
      <c r="BT128" s="532"/>
      <c r="BU128" s="532"/>
      <c r="BV128" s="532"/>
      <c r="BW128" s="532"/>
      <c r="BX128" s="532"/>
      <c r="BY128" s="532"/>
      <c r="BZ128" s="532"/>
      <c r="CA128" s="532"/>
      <c r="CB128" s="532"/>
      <c r="CC128" s="532"/>
      <c r="CD128" s="532"/>
      <c r="CE128" s="532"/>
      <c r="CF128" s="532"/>
      <c r="CG128" s="532"/>
      <c r="CH128" s="532"/>
      <c r="CI128" s="532"/>
      <c r="CJ128" s="532"/>
      <c r="CK128" s="532"/>
      <c r="CL128" s="532"/>
      <c r="CM128" s="532"/>
      <c r="CN128" s="532"/>
      <c r="CO128" s="532"/>
      <c r="CP128" s="532"/>
      <c r="CQ128" s="532"/>
      <c r="CR128" s="532"/>
      <c r="CS128" s="532"/>
      <c r="CT128" s="532"/>
      <c r="CU128" s="532"/>
      <c r="CV128" s="532"/>
      <c r="CW128" s="532"/>
      <c r="CX128" s="532"/>
      <c r="CY128" s="532"/>
      <c r="CZ128" s="532"/>
      <c r="DA128" s="532"/>
      <c r="DB128" s="532"/>
      <c r="DC128" s="532"/>
      <c r="DD128" s="532"/>
      <c r="DE128" s="532"/>
      <c r="DF128" s="532"/>
      <c r="DG128" s="532"/>
      <c r="DH128" s="532"/>
      <c r="DI128" s="532"/>
      <c r="DJ128" s="532"/>
      <c r="DK128" s="532"/>
      <c r="DL128" s="532"/>
      <c r="DM128" s="532"/>
      <c r="DN128" s="532"/>
      <c r="DO128" s="532"/>
      <c r="DP128" s="532"/>
      <c r="DQ128" s="532"/>
      <c r="DR128" s="532"/>
      <c r="DS128" s="532"/>
      <c r="DT128" s="532"/>
      <c r="DU128" s="532"/>
      <c r="DV128" s="532"/>
      <c r="DW128" s="532"/>
      <c r="DX128" s="532"/>
      <c r="DY128" s="532"/>
      <c r="DZ128" s="532"/>
      <c r="EA128" s="532"/>
      <c r="EB128" s="532"/>
      <c r="EC128" s="532"/>
      <c r="ED128" s="532"/>
      <c r="EE128" s="532"/>
      <c r="EF128" s="532"/>
      <c r="EG128" s="532"/>
      <c r="EH128" s="532"/>
      <c r="EI128" s="532"/>
      <c r="EJ128" s="532"/>
      <c r="EK128" s="532"/>
      <c r="EL128" s="532"/>
      <c r="EM128" s="532"/>
      <c r="EN128" s="532"/>
      <c r="EO128" s="532"/>
      <c r="EP128" s="532"/>
      <c r="EQ128" s="532"/>
      <c r="ER128" s="532"/>
      <c r="ES128" s="532"/>
      <c r="ET128" s="532"/>
      <c r="EU128" s="532"/>
      <c r="EV128" s="532"/>
      <c r="EW128" s="532"/>
      <c r="EX128" s="532"/>
      <c r="EY128" s="532"/>
      <c r="EZ128" s="532"/>
      <c r="FA128" s="532"/>
      <c r="FB128" s="532"/>
      <c r="FC128" s="532"/>
      <c r="FD128" s="532"/>
      <c r="FE128" s="532"/>
      <c r="FF128" s="532"/>
      <c r="FG128" s="532"/>
      <c r="FH128" s="532"/>
      <c r="FI128" s="532"/>
      <c r="FJ128" s="532"/>
      <c r="FK128" s="532"/>
      <c r="FL128" s="532"/>
      <c r="FM128" s="532"/>
      <c r="FN128" s="532"/>
      <c r="FO128" s="532"/>
      <c r="FP128" s="532"/>
    </row>
    <row r="129" spans="1:172" ht="12" customHeight="1" x14ac:dyDescent="0.2">
      <c r="A129" s="533" t="s">
        <v>85</v>
      </c>
      <c r="B129" s="534"/>
      <c r="C129" s="540">
        <f t="shared" si="95"/>
        <v>1.4814814814814815E-2</v>
      </c>
      <c r="D129" s="540">
        <f t="shared" si="95"/>
        <v>0.1165644171779141</v>
      </c>
      <c r="E129" s="540">
        <f t="shared" si="95"/>
        <v>6.6666666666666666E-2</v>
      </c>
      <c r="F129" s="540">
        <f t="shared" si="95"/>
        <v>5.0724637681159424E-2</v>
      </c>
      <c r="G129" s="540">
        <f t="shared" si="95"/>
        <v>2.7027027027027029E-2</v>
      </c>
      <c r="H129" s="540">
        <f t="shared" si="95"/>
        <v>0.19282511210762332</v>
      </c>
      <c r="I129" s="540">
        <f t="shared" si="95"/>
        <v>7.3333333333333334E-2</v>
      </c>
      <c r="J129" s="540">
        <f t="shared" si="95"/>
        <v>3.125E-2</v>
      </c>
      <c r="K129" s="660">
        <f t="shared" si="98"/>
        <v>3.0927835051546393E-2</v>
      </c>
      <c r="L129" s="564">
        <f t="shared" si="98"/>
        <v>0.13017751479289941</v>
      </c>
      <c r="M129" s="564">
        <f t="shared" si="98"/>
        <v>3.6363636363636362E-2</v>
      </c>
      <c r="N129" s="564">
        <f t="shared" si="98"/>
        <v>4.9382716049382713E-2</v>
      </c>
      <c r="O129" s="541">
        <f t="shared" si="96"/>
        <v>7.1928071928071935E-2</v>
      </c>
      <c r="P129" s="542"/>
      <c r="Q129" s="531"/>
      <c r="R129" s="531"/>
      <c r="S129" s="531"/>
      <c r="T129" s="531"/>
      <c r="U129" s="531"/>
      <c r="V129" s="531"/>
      <c r="W129" s="531"/>
      <c r="X129" s="531"/>
      <c r="Y129" s="531"/>
      <c r="Z129" s="531"/>
      <c r="AA129" s="531"/>
      <c r="AB129" s="531"/>
      <c r="AC129" s="531"/>
      <c r="AD129" s="531"/>
      <c r="AE129" s="531"/>
      <c r="AF129" s="531"/>
      <c r="AG129" s="531"/>
      <c r="AH129" s="532"/>
      <c r="AI129" s="532"/>
      <c r="AJ129" s="532"/>
      <c r="AK129" s="532"/>
      <c r="AL129" s="532"/>
      <c r="AM129" s="532"/>
      <c r="AN129" s="532"/>
      <c r="AO129" s="532"/>
      <c r="AP129" s="532"/>
      <c r="AQ129" s="532"/>
      <c r="AR129" s="532"/>
      <c r="AS129" s="532"/>
      <c r="AT129" s="532"/>
      <c r="AU129" s="532"/>
      <c r="AV129" s="532"/>
      <c r="AW129" s="532"/>
      <c r="AX129" s="532"/>
      <c r="AY129" s="532"/>
      <c r="AZ129" s="532"/>
      <c r="BA129" s="532"/>
      <c r="BB129" s="532"/>
      <c r="BC129" s="532"/>
      <c r="BD129" s="532"/>
      <c r="BE129" s="532"/>
      <c r="BF129" s="532"/>
      <c r="BG129" s="532"/>
      <c r="BH129" s="532"/>
      <c r="BI129" s="532"/>
      <c r="BJ129" s="532"/>
      <c r="BK129" s="532"/>
      <c r="BL129" s="532"/>
      <c r="BM129" s="532"/>
      <c r="BN129" s="532"/>
      <c r="BO129" s="532"/>
      <c r="BP129" s="532"/>
      <c r="BQ129" s="532"/>
      <c r="BR129" s="532"/>
      <c r="BS129" s="532"/>
      <c r="BT129" s="532"/>
      <c r="BU129" s="532"/>
      <c r="BV129" s="532"/>
      <c r="BW129" s="532"/>
      <c r="BX129" s="532"/>
      <c r="BY129" s="532"/>
      <c r="BZ129" s="532"/>
      <c r="CA129" s="532"/>
      <c r="CB129" s="532"/>
      <c r="CC129" s="532"/>
      <c r="CD129" s="532"/>
      <c r="CE129" s="532"/>
      <c r="CF129" s="532"/>
      <c r="CG129" s="532"/>
      <c r="CH129" s="532"/>
      <c r="CI129" s="532"/>
      <c r="CJ129" s="532"/>
      <c r="CK129" s="532"/>
      <c r="CL129" s="532"/>
      <c r="CM129" s="532"/>
      <c r="CN129" s="532"/>
      <c r="CO129" s="532"/>
      <c r="CP129" s="532"/>
      <c r="CQ129" s="532"/>
      <c r="CR129" s="532"/>
      <c r="CS129" s="532"/>
      <c r="CT129" s="532"/>
      <c r="CU129" s="532"/>
      <c r="CV129" s="532"/>
      <c r="CW129" s="532"/>
      <c r="CX129" s="532"/>
      <c r="CY129" s="532"/>
      <c r="CZ129" s="532"/>
      <c r="DA129" s="532"/>
      <c r="DB129" s="532"/>
      <c r="DC129" s="532"/>
      <c r="DD129" s="532"/>
      <c r="DE129" s="532"/>
      <c r="DF129" s="532"/>
      <c r="DG129" s="532"/>
      <c r="DH129" s="532"/>
      <c r="DI129" s="532"/>
      <c r="DJ129" s="532"/>
      <c r="DK129" s="532"/>
      <c r="DL129" s="532"/>
      <c r="DM129" s="532"/>
      <c r="DN129" s="532"/>
      <c r="DO129" s="532"/>
      <c r="DP129" s="532"/>
      <c r="DQ129" s="532"/>
      <c r="DR129" s="532"/>
      <c r="DS129" s="532"/>
      <c r="DT129" s="532"/>
      <c r="DU129" s="532"/>
      <c r="DV129" s="532"/>
      <c r="DW129" s="532"/>
      <c r="DX129" s="532"/>
      <c r="DY129" s="532"/>
      <c r="DZ129" s="532"/>
      <c r="EA129" s="532"/>
      <c r="EB129" s="532"/>
      <c r="EC129" s="532"/>
      <c r="ED129" s="532"/>
      <c r="EE129" s="532"/>
      <c r="EF129" s="532"/>
      <c r="EG129" s="532"/>
      <c r="EH129" s="532"/>
      <c r="EI129" s="532"/>
      <c r="EJ129" s="532"/>
      <c r="EK129" s="532"/>
      <c r="EL129" s="532"/>
      <c r="EM129" s="532"/>
      <c r="EN129" s="532"/>
      <c r="EO129" s="532"/>
      <c r="EP129" s="532"/>
      <c r="EQ129" s="532"/>
      <c r="ER129" s="532"/>
      <c r="ES129" s="532"/>
      <c r="ET129" s="532"/>
      <c r="EU129" s="532"/>
      <c r="EV129" s="532"/>
      <c r="EW129" s="532"/>
      <c r="EX129" s="532"/>
      <c r="EY129" s="532"/>
      <c r="EZ129" s="532"/>
      <c r="FA129" s="532"/>
      <c r="FB129" s="532"/>
      <c r="FC129" s="532"/>
      <c r="FD129" s="532"/>
      <c r="FE129" s="532"/>
      <c r="FF129" s="532"/>
      <c r="FG129" s="532"/>
      <c r="FH129" s="532"/>
      <c r="FI129" s="532"/>
      <c r="FJ129" s="532"/>
      <c r="FK129" s="532"/>
      <c r="FL129" s="532"/>
      <c r="FM129" s="532"/>
      <c r="FN129" s="532"/>
      <c r="FO129" s="532"/>
      <c r="FP129" s="532"/>
    </row>
    <row r="130" spans="1:172" ht="12" customHeight="1" x14ac:dyDescent="0.2">
      <c r="A130" s="537" t="s">
        <v>92</v>
      </c>
      <c r="B130" s="534"/>
      <c r="C130" s="540">
        <f>SUM(C123:C129)</f>
        <v>1</v>
      </c>
      <c r="D130" s="540">
        <f>SUM(D123:D129)</f>
        <v>1</v>
      </c>
      <c r="E130" s="540">
        <f>SUM(E123:E129)</f>
        <v>1</v>
      </c>
      <c r="F130" s="540">
        <f t="shared" ref="F130:N130" si="99">SUM(F123:F129)</f>
        <v>1</v>
      </c>
      <c r="G130" s="540">
        <f t="shared" si="99"/>
        <v>1</v>
      </c>
      <c r="H130" s="540">
        <f t="shared" si="99"/>
        <v>1</v>
      </c>
      <c r="I130" s="540">
        <f t="shared" si="99"/>
        <v>1</v>
      </c>
      <c r="J130" s="540">
        <f t="shared" si="99"/>
        <v>1</v>
      </c>
      <c r="K130" s="660">
        <f t="shared" si="99"/>
        <v>0.99999999999999989</v>
      </c>
      <c r="L130" s="564">
        <f t="shared" si="99"/>
        <v>1</v>
      </c>
      <c r="M130" s="564">
        <f t="shared" si="99"/>
        <v>0.99999999999999989</v>
      </c>
      <c r="N130" s="564">
        <f t="shared" si="99"/>
        <v>1</v>
      </c>
      <c r="O130" s="541">
        <f>SUM(O123:O129)</f>
        <v>1</v>
      </c>
      <c r="P130" s="542"/>
      <c r="Q130" s="531"/>
      <c r="R130" s="531"/>
      <c r="S130" s="531"/>
      <c r="T130" s="531"/>
      <c r="U130" s="531"/>
      <c r="V130" s="531"/>
      <c r="W130" s="531"/>
      <c r="X130" s="531"/>
      <c r="Y130" s="531"/>
      <c r="Z130" s="531"/>
      <c r="AA130" s="531"/>
      <c r="AB130" s="531"/>
      <c r="AC130" s="531"/>
      <c r="AD130" s="531"/>
      <c r="AE130" s="531"/>
      <c r="AF130" s="531"/>
      <c r="AG130" s="531"/>
      <c r="AH130" s="532"/>
      <c r="AI130" s="532"/>
      <c r="AJ130" s="532"/>
      <c r="AK130" s="532"/>
      <c r="AL130" s="532"/>
      <c r="AM130" s="532"/>
      <c r="AN130" s="532"/>
      <c r="AO130" s="532"/>
      <c r="AP130" s="532"/>
      <c r="AQ130" s="532"/>
      <c r="AR130" s="532"/>
      <c r="AS130" s="532"/>
      <c r="AT130" s="532"/>
      <c r="AU130" s="532"/>
      <c r="AV130" s="532"/>
      <c r="AW130" s="532"/>
      <c r="AX130" s="532"/>
      <c r="AY130" s="532"/>
      <c r="AZ130" s="532"/>
      <c r="BA130" s="532"/>
      <c r="BB130" s="532"/>
      <c r="BC130" s="532"/>
      <c r="BD130" s="532"/>
      <c r="BE130" s="532"/>
      <c r="BF130" s="532"/>
      <c r="BG130" s="532"/>
      <c r="BH130" s="532"/>
      <c r="BI130" s="532"/>
      <c r="BJ130" s="532"/>
      <c r="BK130" s="532"/>
      <c r="BL130" s="532"/>
      <c r="BM130" s="532"/>
      <c r="BN130" s="532"/>
      <c r="BO130" s="532"/>
      <c r="BP130" s="532"/>
      <c r="BQ130" s="532"/>
      <c r="BR130" s="532"/>
      <c r="BS130" s="532"/>
      <c r="BT130" s="532"/>
      <c r="BU130" s="532"/>
      <c r="BV130" s="532"/>
      <c r="BW130" s="532"/>
      <c r="BX130" s="532"/>
      <c r="BY130" s="532"/>
      <c r="BZ130" s="532"/>
      <c r="CA130" s="532"/>
      <c r="CB130" s="532"/>
      <c r="CC130" s="532"/>
      <c r="CD130" s="532"/>
      <c r="CE130" s="532"/>
      <c r="CF130" s="532"/>
      <c r="CG130" s="532"/>
      <c r="CH130" s="532"/>
      <c r="CI130" s="532"/>
      <c r="CJ130" s="532"/>
      <c r="CK130" s="532"/>
      <c r="CL130" s="532"/>
      <c r="CM130" s="532"/>
      <c r="CN130" s="532"/>
      <c r="CO130" s="532"/>
      <c r="CP130" s="532"/>
      <c r="CQ130" s="532"/>
      <c r="CR130" s="532"/>
      <c r="CS130" s="532"/>
      <c r="CT130" s="532"/>
      <c r="CU130" s="532"/>
      <c r="CV130" s="532"/>
      <c r="CW130" s="532"/>
      <c r="CX130" s="532"/>
      <c r="CY130" s="532"/>
      <c r="CZ130" s="532"/>
      <c r="DA130" s="532"/>
      <c r="DB130" s="532"/>
      <c r="DC130" s="532"/>
      <c r="DD130" s="532"/>
      <c r="DE130" s="532"/>
      <c r="DF130" s="532"/>
      <c r="DG130" s="532"/>
      <c r="DH130" s="532"/>
      <c r="DI130" s="532"/>
      <c r="DJ130" s="532"/>
      <c r="DK130" s="532"/>
      <c r="DL130" s="532"/>
      <c r="DM130" s="532"/>
      <c r="DN130" s="532"/>
      <c r="DO130" s="532"/>
      <c r="DP130" s="532"/>
      <c r="DQ130" s="532"/>
      <c r="DR130" s="532"/>
      <c r="DS130" s="532"/>
      <c r="DT130" s="532"/>
      <c r="DU130" s="532"/>
      <c r="DV130" s="532"/>
      <c r="DW130" s="532"/>
      <c r="DX130" s="532"/>
      <c r="DY130" s="532"/>
      <c r="DZ130" s="532"/>
      <c r="EA130" s="532"/>
      <c r="EB130" s="532"/>
      <c r="EC130" s="532"/>
      <c r="ED130" s="532"/>
      <c r="EE130" s="532"/>
      <c r="EF130" s="532"/>
      <c r="EG130" s="532"/>
      <c r="EH130" s="532"/>
      <c r="EI130" s="532"/>
      <c r="EJ130" s="532"/>
      <c r="EK130" s="532"/>
      <c r="EL130" s="532"/>
      <c r="EM130" s="532"/>
      <c r="EN130" s="532"/>
      <c r="EO130" s="532"/>
      <c r="EP130" s="532"/>
      <c r="EQ130" s="532"/>
      <c r="ER130" s="532"/>
      <c r="ES130" s="532"/>
      <c r="ET130" s="532"/>
      <c r="EU130" s="532"/>
      <c r="EV130" s="532"/>
      <c r="EW130" s="532"/>
      <c r="EX130" s="532"/>
      <c r="EY130" s="532"/>
      <c r="EZ130" s="532"/>
      <c r="FA130" s="532"/>
      <c r="FB130" s="532"/>
      <c r="FC130" s="532"/>
      <c r="FD130" s="532"/>
      <c r="FE130" s="532"/>
      <c r="FF130" s="532"/>
      <c r="FG130" s="532"/>
      <c r="FH130" s="532"/>
      <c r="FI130" s="532"/>
      <c r="FJ130" s="532"/>
      <c r="FK130" s="532"/>
      <c r="FL130" s="532"/>
      <c r="FM130" s="532"/>
      <c r="FN130" s="532"/>
      <c r="FO130" s="532"/>
      <c r="FP130" s="532"/>
    </row>
    <row r="131" spans="1:172" ht="12" customHeight="1" x14ac:dyDescent="0.2">
      <c r="A131" s="533"/>
      <c r="B131" s="534"/>
      <c r="C131" s="534"/>
      <c r="D131" s="534"/>
      <c r="E131" s="534"/>
      <c r="F131" s="534"/>
      <c r="G131" s="534"/>
      <c r="H131" s="534"/>
      <c r="I131" s="534"/>
      <c r="J131" s="534"/>
      <c r="K131" s="658"/>
      <c r="L131" s="562"/>
      <c r="M131" s="562"/>
      <c r="N131" s="562"/>
      <c r="O131" s="530"/>
      <c r="P131" s="536"/>
      <c r="Q131" s="531"/>
      <c r="R131" s="531"/>
      <c r="S131" s="531"/>
      <c r="T131" s="531"/>
      <c r="U131" s="531"/>
      <c r="V131" s="531"/>
      <c r="W131" s="531"/>
      <c r="X131" s="531"/>
      <c r="Y131" s="531"/>
      <c r="Z131" s="531"/>
      <c r="AA131" s="531"/>
      <c r="AB131" s="531"/>
      <c r="AC131" s="531"/>
      <c r="AD131" s="531"/>
      <c r="AE131" s="531"/>
      <c r="AF131" s="531"/>
      <c r="AG131" s="531"/>
      <c r="AH131" s="532"/>
      <c r="AI131" s="532"/>
      <c r="AJ131" s="532"/>
      <c r="AK131" s="532"/>
      <c r="AL131" s="532"/>
      <c r="AM131" s="532"/>
      <c r="AN131" s="532"/>
      <c r="AO131" s="532"/>
      <c r="AP131" s="532"/>
      <c r="AQ131" s="532"/>
      <c r="AR131" s="532"/>
      <c r="AS131" s="532"/>
      <c r="AT131" s="532"/>
      <c r="AU131" s="532"/>
      <c r="AV131" s="532"/>
      <c r="AW131" s="532"/>
      <c r="AX131" s="532"/>
      <c r="AY131" s="532"/>
      <c r="AZ131" s="532"/>
      <c r="BA131" s="532"/>
      <c r="BB131" s="532"/>
      <c r="BC131" s="532"/>
      <c r="BD131" s="532"/>
      <c r="BE131" s="532"/>
      <c r="BF131" s="532"/>
      <c r="BG131" s="532"/>
      <c r="BH131" s="532"/>
      <c r="BI131" s="532"/>
      <c r="BJ131" s="532"/>
      <c r="BK131" s="532"/>
      <c r="BL131" s="532"/>
      <c r="BM131" s="532"/>
      <c r="BN131" s="532"/>
      <c r="BO131" s="532"/>
      <c r="BP131" s="532"/>
      <c r="BQ131" s="532"/>
      <c r="BR131" s="532"/>
      <c r="BS131" s="532"/>
      <c r="BT131" s="532"/>
      <c r="BU131" s="532"/>
      <c r="BV131" s="532"/>
      <c r="BW131" s="532"/>
      <c r="BX131" s="532"/>
      <c r="BY131" s="532"/>
      <c r="BZ131" s="532"/>
      <c r="CA131" s="532"/>
      <c r="CB131" s="532"/>
      <c r="CC131" s="532"/>
      <c r="CD131" s="532"/>
      <c r="CE131" s="532"/>
      <c r="CF131" s="532"/>
      <c r="CG131" s="532"/>
      <c r="CH131" s="532"/>
      <c r="CI131" s="532"/>
      <c r="CJ131" s="532"/>
      <c r="CK131" s="532"/>
      <c r="CL131" s="532"/>
      <c r="CM131" s="532"/>
      <c r="CN131" s="532"/>
      <c r="CO131" s="532"/>
      <c r="CP131" s="532"/>
      <c r="CQ131" s="532"/>
      <c r="CR131" s="532"/>
      <c r="CS131" s="532"/>
      <c r="CT131" s="532"/>
      <c r="CU131" s="532"/>
      <c r="CV131" s="532"/>
      <c r="CW131" s="532"/>
      <c r="CX131" s="532"/>
      <c r="CY131" s="532"/>
      <c r="CZ131" s="532"/>
      <c r="DA131" s="532"/>
      <c r="DB131" s="532"/>
      <c r="DC131" s="532"/>
      <c r="DD131" s="532"/>
      <c r="DE131" s="532"/>
      <c r="DF131" s="532"/>
      <c r="DG131" s="532"/>
      <c r="DH131" s="532"/>
      <c r="DI131" s="532"/>
      <c r="DJ131" s="532"/>
      <c r="DK131" s="532"/>
      <c r="DL131" s="532"/>
      <c r="DM131" s="532"/>
      <c r="DN131" s="532"/>
      <c r="DO131" s="532"/>
      <c r="DP131" s="532"/>
      <c r="DQ131" s="532"/>
      <c r="DR131" s="532"/>
      <c r="DS131" s="532"/>
      <c r="DT131" s="532"/>
      <c r="DU131" s="532"/>
      <c r="DV131" s="532"/>
      <c r="DW131" s="532"/>
      <c r="DX131" s="532"/>
      <c r="DY131" s="532"/>
      <c r="DZ131" s="532"/>
      <c r="EA131" s="532"/>
      <c r="EB131" s="532"/>
      <c r="EC131" s="532"/>
      <c r="ED131" s="532"/>
      <c r="EE131" s="532"/>
      <c r="EF131" s="532"/>
      <c r="EG131" s="532"/>
      <c r="EH131" s="532"/>
      <c r="EI131" s="532"/>
      <c r="EJ131" s="532"/>
      <c r="EK131" s="532"/>
      <c r="EL131" s="532"/>
      <c r="EM131" s="532"/>
      <c r="EN131" s="532"/>
      <c r="EO131" s="532"/>
      <c r="EP131" s="532"/>
      <c r="EQ131" s="532"/>
      <c r="ER131" s="532"/>
      <c r="ES131" s="532"/>
      <c r="ET131" s="532"/>
      <c r="EU131" s="532"/>
      <c r="EV131" s="532"/>
      <c r="EW131" s="532"/>
      <c r="EX131" s="532"/>
      <c r="EY131" s="532"/>
      <c r="EZ131" s="532"/>
      <c r="FA131" s="532"/>
      <c r="FB131" s="532"/>
      <c r="FC131" s="532"/>
      <c r="FD131" s="532"/>
      <c r="FE131" s="532"/>
      <c r="FF131" s="532"/>
      <c r="FG131" s="532"/>
      <c r="FH131" s="532"/>
      <c r="FI131" s="532"/>
      <c r="FJ131" s="532"/>
      <c r="FK131" s="532"/>
      <c r="FL131" s="532"/>
      <c r="FM131" s="532"/>
      <c r="FN131" s="532"/>
      <c r="FO131" s="532"/>
      <c r="FP131" s="532"/>
    </row>
    <row r="132" spans="1:172" ht="12" customHeight="1" x14ac:dyDescent="0.2">
      <c r="A132" s="533" t="s">
        <v>93</v>
      </c>
      <c r="B132" s="534"/>
      <c r="C132" s="534"/>
      <c r="D132" s="534"/>
      <c r="E132" s="534"/>
      <c r="F132" s="534"/>
      <c r="G132" s="534"/>
      <c r="H132" s="534"/>
      <c r="I132" s="534"/>
      <c r="J132" s="534"/>
      <c r="K132" s="658"/>
      <c r="L132" s="562"/>
      <c r="M132" s="562"/>
      <c r="N132" s="562"/>
      <c r="O132" s="530"/>
      <c r="P132" s="536"/>
      <c r="Q132" s="531"/>
      <c r="R132" s="531"/>
      <c r="S132" s="531"/>
      <c r="T132" s="531"/>
      <c r="U132" s="531"/>
      <c r="V132" s="531"/>
      <c r="W132" s="531"/>
      <c r="X132" s="531"/>
      <c r="Y132" s="531"/>
      <c r="Z132" s="531"/>
      <c r="AA132" s="531"/>
      <c r="AB132" s="531"/>
      <c r="AC132" s="531"/>
      <c r="AD132" s="531"/>
      <c r="AE132" s="531"/>
      <c r="AF132" s="531"/>
      <c r="AG132" s="531"/>
      <c r="AH132" s="532"/>
      <c r="AI132" s="532"/>
      <c r="AJ132" s="532"/>
      <c r="AK132" s="532"/>
      <c r="AL132" s="532"/>
      <c r="AM132" s="532"/>
      <c r="AN132" s="532"/>
      <c r="AO132" s="532"/>
      <c r="AP132" s="532"/>
      <c r="AQ132" s="532"/>
      <c r="AR132" s="532"/>
      <c r="AS132" s="532"/>
      <c r="AT132" s="532"/>
      <c r="AU132" s="532"/>
      <c r="AV132" s="532"/>
      <c r="AW132" s="532"/>
      <c r="AX132" s="532"/>
      <c r="AY132" s="532"/>
      <c r="AZ132" s="532"/>
      <c r="BA132" s="532"/>
      <c r="BB132" s="532"/>
      <c r="BC132" s="532"/>
      <c r="BD132" s="532"/>
      <c r="BE132" s="532"/>
      <c r="BF132" s="532"/>
      <c r="BG132" s="532"/>
      <c r="BH132" s="532"/>
      <c r="BI132" s="532"/>
      <c r="BJ132" s="532"/>
      <c r="BK132" s="532"/>
      <c r="BL132" s="532"/>
      <c r="BM132" s="532"/>
      <c r="BN132" s="532"/>
      <c r="BO132" s="532"/>
      <c r="BP132" s="532"/>
      <c r="BQ132" s="532"/>
      <c r="BR132" s="532"/>
      <c r="BS132" s="532"/>
      <c r="BT132" s="532"/>
      <c r="BU132" s="532"/>
      <c r="BV132" s="532"/>
      <c r="BW132" s="532"/>
      <c r="BX132" s="532"/>
      <c r="BY132" s="532"/>
      <c r="BZ132" s="532"/>
      <c r="CA132" s="532"/>
      <c r="CB132" s="532"/>
      <c r="CC132" s="532"/>
      <c r="CD132" s="532"/>
      <c r="CE132" s="532"/>
      <c r="CF132" s="532"/>
      <c r="CG132" s="532"/>
      <c r="CH132" s="532"/>
      <c r="CI132" s="532"/>
      <c r="CJ132" s="532"/>
      <c r="CK132" s="532"/>
      <c r="CL132" s="532"/>
      <c r="CM132" s="532"/>
      <c r="CN132" s="532"/>
      <c r="CO132" s="532"/>
      <c r="CP132" s="532"/>
      <c r="CQ132" s="532"/>
      <c r="CR132" s="532"/>
      <c r="CS132" s="532"/>
      <c r="CT132" s="532"/>
      <c r="CU132" s="532"/>
      <c r="CV132" s="532"/>
      <c r="CW132" s="532"/>
      <c r="CX132" s="532"/>
      <c r="CY132" s="532"/>
      <c r="CZ132" s="532"/>
      <c r="DA132" s="532"/>
      <c r="DB132" s="532"/>
      <c r="DC132" s="532"/>
      <c r="DD132" s="532"/>
      <c r="DE132" s="532"/>
      <c r="DF132" s="532"/>
      <c r="DG132" s="532"/>
      <c r="DH132" s="532"/>
      <c r="DI132" s="532"/>
      <c r="DJ132" s="532"/>
      <c r="DK132" s="532"/>
      <c r="DL132" s="532"/>
      <c r="DM132" s="532"/>
      <c r="DN132" s="532"/>
      <c r="DO132" s="532"/>
      <c r="DP132" s="532"/>
      <c r="DQ132" s="532"/>
      <c r="DR132" s="532"/>
      <c r="DS132" s="532"/>
      <c r="DT132" s="532"/>
      <c r="DU132" s="532"/>
      <c r="DV132" s="532"/>
      <c r="DW132" s="532"/>
      <c r="DX132" s="532"/>
      <c r="DY132" s="532"/>
      <c r="DZ132" s="532"/>
      <c r="EA132" s="532"/>
      <c r="EB132" s="532"/>
      <c r="EC132" s="532"/>
      <c r="ED132" s="532"/>
      <c r="EE132" s="532"/>
      <c r="EF132" s="532"/>
      <c r="EG132" s="532"/>
      <c r="EH132" s="532"/>
      <c r="EI132" s="532"/>
      <c r="EJ132" s="532"/>
      <c r="EK132" s="532"/>
      <c r="EL132" s="532"/>
      <c r="EM132" s="532"/>
      <c r="EN132" s="532"/>
      <c r="EO132" s="532"/>
      <c r="EP132" s="532"/>
      <c r="EQ132" s="532"/>
      <c r="ER132" s="532"/>
      <c r="ES132" s="532"/>
      <c r="ET132" s="532"/>
      <c r="EU132" s="532"/>
      <c r="EV132" s="532"/>
      <c r="EW132" s="532"/>
      <c r="EX132" s="532"/>
      <c r="EY132" s="532"/>
      <c r="EZ132" s="532"/>
      <c r="FA132" s="532"/>
      <c r="FB132" s="532"/>
      <c r="FC132" s="532"/>
      <c r="FD132" s="532"/>
      <c r="FE132" s="532"/>
      <c r="FF132" s="532"/>
      <c r="FG132" s="532"/>
      <c r="FH132" s="532"/>
      <c r="FI132" s="532"/>
      <c r="FJ132" s="532"/>
      <c r="FK132" s="532"/>
      <c r="FL132" s="532"/>
      <c r="FM132" s="532"/>
      <c r="FN132" s="532"/>
      <c r="FO132" s="532"/>
      <c r="FP132" s="532"/>
    </row>
    <row r="133" spans="1:172" ht="12" customHeight="1" x14ac:dyDescent="0.2">
      <c r="A133" s="533" t="s">
        <v>94</v>
      </c>
      <c r="B133" s="534"/>
      <c r="C133" s="535">
        <f>C120</f>
        <v>294</v>
      </c>
      <c r="D133" s="535">
        <f>D120</f>
        <v>270</v>
      </c>
      <c r="E133" s="535">
        <f>E120</f>
        <v>275</v>
      </c>
      <c r="F133" s="535">
        <f t="shared" ref="F133:N133" si="100">F120</f>
        <v>278</v>
      </c>
      <c r="G133" s="535">
        <f t="shared" si="100"/>
        <v>325</v>
      </c>
      <c r="H133" s="535">
        <f t="shared" si="100"/>
        <v>411</v>
      </c>
      <c r="I133" s="535">
        <f t="shared" si="100"/>
        <v>272</v>
      </c>
      <c r="J133" s="535">
        <f t="shared" si="100"/>
        <v>280</v>
      </c>
      <c r="K133" s="658">
        <f t="shared" si="100"/>
        <v>337</v>
      </c>
      <c r="L133" s="562">
        <f t="shared" si="100"/>
        <v>436</v>
      </c>
      <c r="M133" s="562">
        <f t="shared" si="100"/>
        <v>427</v>
      </c>
      <c r="N133" s="562">
        <f t="shared" si="100"/>
        <v>381</v>
      </c>
      <c r="O133" s="530">
        <f>O120</f>
        <v>3986</v>
      </c>
      <c r="P133" s="536"/>
      <c r="Q133" s="531"/>
      <c r="R133" s="531"/>
      <c r="S133" s="531"/>
      <c r="T133" s="531"/>
      <c r="U133" s="531"/>
      <c r="V133" s="531"/>
      <c r="W133" s="531"/>
      <c r="X133" s="531"/>
      <c r="Y133" s="531"/>
      <c r="Z133" s="531"/>
      <c r="AA133" s="531"/>
      <c r="AB133" s="531"/>
      <c r="AC133" s="531"/>
      <c r="AD133" s="531"/>
      <c r="AE133" s="531"/>
      <c r="AF133" s="531"/>
      <c r="AG133" s="531"/>
      <c r="AH133" s="532"/>
      <c r="AI133" s="532"/>
      <c r="AJ133" s="532"/>
      <c r="AK133" s="532"/>
      <c r="AL133" s="532"/>
      <c r="AM133" s="532"/>
      <c r="AN133" s="532"/>
      <c r="AO133" s="532"/>
      <c r="AP133" s="532"/>
      <c r="AQ133" s="532"/>
      <c r="AR133" s="532"/>
      <c r="AS133" s="532"/>
      <c r="AT133" s="532"/>
      <c r="AU133" s="532"/>
      <c r="AV133" s="532"/>
      <c r="AW133" s="532"/>
      <c r="AX133" s="532"/>
      <c r="AY133" s="532"/>
      <c r="AZ133" s="532"/>
      <c r="BA133" s="532"/>
      <c r="BB133" s="532"/>
      <c r="BC133" s="532"/>
      <c r="BD133" s="532"/>
      <c r="BE133" s="532"/>
      <c r="BF133" s="532"/>
      <c r="BG133" s="532"/>
      <c r="BH133" s="532"/>
      <c r="BI133" s="532"/>
      <c r="BJ133" s="532"/>
      <c r="BK133" s="532"/>
      <c r="BL133" s="532"/>
      <c r="BM133" s="532"/>
      <c r="BN133" s="532"/>
      <c r="BO133" s="532"/>
      <c r="BP133" s="532"/>
      <c r="BQ133" s="532"/>
      <c r="BR133" s="532"/>
      <c r="BS133" s="532"/>
      <c r="BT133" s="532"/>
      <c r="BU133" s="532"/>
      <c r="BV133" s="532"/>
      <c r="BW133" s="532"/>
      <c r="BX133" s="532"/>
      <c r="BY133" s="532"/>
      <c r="BZ133" s="532"/>
      <c r="CA133" s="532"/>
      <c r="CB133" s="532"/>
      <c r="CC133" s="532"/>
      <c r="CD133" s="532"/>
      <c r="CE133" s="532"/>
      <c r="CF133" s="532"/>
      <c r="CG133" s="532"/>
      <c r="CH133" s="532"/>
      <c r="CI133" s="532"/>
      <c r="CJ133" s="532"/>
      <c r="CK133" s="532"/>
      <c r="CL133" s="532"/>
      <c r="CM133" s="532"/>
      <c r="CN133" s="532"/>
      <c r="CO133" s="532"/>
      <c r="CP133" s="532"/>
      <c r="CQ133" s="532"/>
      <c r="CR133" s="532"/>
      <c r="CS133" s="532"/>
      <c r="CT133" s="532"/>
      <c r="CU133" s="532"/>
      <c r="CV133" s="532"/>
      <c r="CW133" s="532"/>
      <c r="CX133" s="532"/>
      <c r="CY133" s="532"/>
      <c r="CZ133" s="532"/>
      <c r="DA133" s="532"/>
      <c r="DB133" s="532"/>
      <c r="DC133" s="532"/>
      <c r="DD133" s="532"/>
      <c r="DE133" s="532"/>
      <c r="DF133" s="532"/>
      <c r="DG133" s="532"/>
      <c r="DH133" s="532"/>
      <c r="DI133" s="532"/>
      <c r="DJ133" s="532"/>
      <c r="DK133" s="532"/>
      <c r="DL133" s="532"/>
      <c r="DM133" s="532"/>
      <c r="DN133" s="532"/>
      <c r="DO133" s="532"/>
      <c r="DP133" s="532"/>
      <c r="DQ133" s="532"/>
      <c r="DR133" s="532"/>
      <c r="DS133" s="532"/>
      <c r="DT133" s="532"/>
      <c r="DU133" s="532"/>
      <c r="DV133" s="532"/>
      <c r="DW133" s="532"/>
      <c r="DX133" s="532"/>
      <c r="DY133" s="532"/>
      <c r="DZ133" s="532"/>
      <c r="EA133" s="532"/>
      <c r="EB133" s="532"/>
      <c r="EC133" s="532"/>
      <c r="ED133" s="532"/>
      <c r="EE133" s="532"/>
      <c r="EF133" s="532"/>
      <c r="EG133" s="532"/>
      <c r="EH133" s="532"/>
      <c r="EI133" s="532"/>
      <c r="EJ133" s="532"/>
      <c r="EK133" s="532"/>
      <c r="EL133" s="532"/>
      <c r="EM133" s="532"/>
      <c r="EN133" s="532"/>
      <c r="EO133" s="532"/>
      <c r="EP133" s="532"/>
      <c r="EQ133" s="532"/>
      <c r="ER133" s="532"/>
      <c r="ES133" s="532"/>
      <c r="ET133" s="532"/>
      <c r="EU133" s="532"/>
      <c r="EV133" s="532"/>
      <c r="EW133" s="532"/>
      <c r="EX133" s="532"/>
      <c r="EY133" s="532"/>
      <c r="EZ133" s="532"/>
      <c r="FA133" s="532"/>
      <c r="FB133" s="532"/>
      <c r="FC133" s="532"/>
      <c r="FD133" s="532"/>
      <c r="FE133" s="532"/>
      <c r="FF133" s="532"/>
      <c r="FG133" s="532"/>
      <c r="FH133" s="532"/>
      <c r="FI133" s="532"/>
      <c r="FJ133" s="532"/>
      <c r="FK133" s="532"/>
      <c r="FL133" s="532"/>
      <c r="FM133" s="532"/>
      <c r="FN133" s="532"/>
      <c r="FO133" s="532"/>
      <c r="FP133" s="532"/>
    </row>
    <row r="134" spans="1:172" ht="12" customHeight="1" x14ac:dyDescent="0.2">
      <c r="A134" s="537" t="s">
        <v>95</v>
      </c>
      <c r="B134" s="534"/>
      <c r="C134" s="543">
        <f>C133/(20*31)</f>
        <v>0.47419354838709676</v>
      </c>
      <c r="D134" s="543">
        <f>D133/(20*30)</f>
        <v>0.45</v>
      </c>
      <c r="E134" s="543">
        <f>E133/(20*31)</f>
        <v>0.44354838709677419</v>
      </c>
      <c r="F134" s="543">
        <f t="shared" ref="F134:J134" si="101">F133/(20*31)</f>
        <v>0.44838709677419353</v>
      </c>
      <c r="G134" s="543">
        <f>G133/(20*29)</f>
        <v>0.56034482758620685</v>
      </c>
      <c r="H134" s="543">
        <f t="shared" si="101"/>
        <v>0.66290322580645167</v>
      </c>
      <c r="I134" s="543">
        <f>I133/(20*30)</f>
        <v>0.45333333333333331</v>
      </c>
      <c r="J134" s="543">
        <f t="shared" si="101"/>
        <v>0.45161290322580644</v>
      </c>
      <c r="K134" s="660">
        <f>K133/(20*30)</f>
        <v>0.56166666666666665</v>
      </c>
      <c r="L134" s="564">
        <f>L133/(20*31)</f>
        <v>0.70322580645161292</v>
      </c>
      <c r="M134" s="564">
        <f t="shared" ref="M134" si="102">M133/(20*31)</f>
        <v>0.68870967741935485</v>
      </c>
      <c r="N134" s="564">
        <f>N133/(20*30)</f>
        <v>0.63500000000000001</v>
      </c>
      <c r="O134" s="543">
        <f>O133/(20*365)</f>
        <v>0.54602739726027394</v>
      </c>
      <c r="P134" s="544"/>
      <c r="Q134" s="531"/>
      <c r="R134" s="531"/>
      <c r="S134" s="531"/>
      <c r="T134" s="531"/>
      <c r="U134" s="531"/>
      <c r="V134" s="531"/>
      <c r="W134" s="531"/>
      <c r="X134" s="531"/>
      <c r="Y134" s="531"/>
      <c r="Z134" s="531"/>
      <c r="AA134" s="531"/>
      <c r="AB134" s="531"/>
      <c r="AC134" s="531"/>
      <c r="AD134" s="531"/>
      <c r="AE134" s="531"/>
      <c r="AF134" s="531"/>
      <c r="AG134" s="531"/>
      <c r="AH134" s="532"/>
      <c r="AI134" s="532"/>
      <c r="AJ134" s="532"/>
      <c r="AK134" s="532"/>
      <c r="AL134" s="532"/>
      <c r="AM134" s="532"/>
      <c r="AN134" s="532"/>
      <c r="AO134" s="532"/>
      <c r="AP134" s="532"/>
      <c r="AQ134" s="532"/>
      <c r="AR134" s="532"/>
      <c r="AS134" s="532"/>
      <c r="AT134" s="532"/>
      <c r="AU134" s="532"/>
      <c r="AV134" s="532"/>
      <c r="AW134" s="532"/>
      <c r="AX134" s="532"/>
      <c r="AY134" s="532"/>
      <c r="AZ134" s="532"/>
      <c r="BA134" s="532"/>
      <c r="BB134" s="532"/>
      <c r="BC134" s="532"/>
      <c r="BD134" s="532"/>
      <c r="BE134" s="532"/>
      <c r="BF134" s="532"/>
      <c r="BG134" s="532"/>
      <c r="BH134" s="532"/>
      <c r="BI134" s="532"/>
      <c r="BJ134" s="532"/>
      <c r="BK134" s="532"/>
      <c r="BL134" s="532"/>
      <c r="BM134" s="532"/>
      <c r="BN134" s="532"/>
      <c r="BO134" s="532"/>
      <c r="BP134" s="532"/>
      <c r="BQ134" s="532"/>
      <c r="BR134" s="532"/>
      <c r="BS134" s="532"/>
      <c r="BT134" s="532"/>
      <c r="BU134" s="532"/>
      <c r="BV134" s="532"/>
      <c r="BW134" s="532"/>
      <c r="BX134" s="532"/>
      <c r="BY134" s="532"/>
      <c r="BZ134" s="532"/>
      <c r="CA134" s="532"/>
      <c r="CB134" s="532"/>
      <c r="CC134" s="532"/>
      <c r="CD134" s="532"/>
      <c r="CE134" s="532"/>
      <c r="CF134" s="532"/>
      <c r="CG134" s="532"/>
      <c r="CH134" s="532"/>
      <c r="CI134" s="532"/>
      <c r="CJ134" s="532"/>
      <c r="CK134" s="532"/>
      <c r="CL134" s="532"/>
      <c r="CM134" s="532"/>
      <c r="CN134" s="532"/>
      <c r="CO134" s="532"/>
      <c r="CP134" s="532"/>
      <c r="CQ134" s="532"/>
      <c r="CR134" s="532"/>
      <c r="CS134" s="532"/>
      <c r="CT134" s="532"/>
      <c r="CU134" s="532"/>
      <c r="CV134" s="532"/>
      <c r="CW134" s="532"/>
      <c r="CX134" s="532"/>
      <c r="CY134" s="532"/>
      <c r="CZ134" s="532"/>
      <c r="DA134" s="532"/>
      <c r="DB134" s="532"/>
      <c r="DC134" s="532"/>
      <c r="DD134" s="532"/>
      <c r="DE134" s="532"/>
      <c r="DF134" s="532"/>
      <c r="DG134" s="532"/>
      <c r="DH134" s="532"/>
      <c r="DI134" s="532"/>
      <c r="DJ134" s="532"/>
      <c r="DK134" s="532"/>
      <c r="DL134" s="532"/>
      <c r="DM134" s="532"/>
      <c r="DN134" s="532"/>
      <c r="DO134" s="532"/>
      <c r="DP134" s="532"/>
      <c r="DQ134" s="532"/>
      <c r="DR134" s="532"/>
      <c r="DS134" s="532"/>
      <c r="DT134" s="532"/>
      <c r="DU134" s="532"/>
      <c r="DV134" s="532"/>
      <c r="DW134" s="532"/>
      <c r="DX134" s="532"/>
      <c r="DY134" s="532"/>
      <c r="DZ134" s="532"/>
      <c r="EA134" s="532"/>
      <c r="EB134" s="532"/>
      <c r="EC134" s="532"/>
      <c r="ED134" s="532"/>
      <c r="EE134" s="532"/>
      <c r="EF134" s="532"/>
      <c r="EG134" s="532"/>
      <c r="EH134" s="532"/>
      <c r="EI134" s="532"/>
      <c r="EJ134" s="532"/>
      <c r="EK134" s="532"/>
      <c r="EL134" s="532"/>
      <c r="EM134" s="532"/>
      <c r="EN134" s="532"/>
      <c r="EO134" s="532"/>
      <c r="EP134" s="532"/>
      <c r="EQ134" s="532"/>
      <c r="ER134" s="532"/>
      <c r="ES134" s="532"/>
      <c r="ET134" s="532"/>
      <c r="EU134" s="532"/>
      <c r="EV134" s="532"/>
      <c r="EW134" s="532"/>
      <c r="EX134" s="532"/>
      <c r="EY134" s="532"/>
      <c r="EZ134" s="532"/>
      <c r="FA134" s="532"/>
      <c r="FB134" s="532"/>
      <c r="FC134" s="532"/>
      <c r="FD134" s="532"/>
      <c r="FE134" s="532"/>
      <c r="FF134" s="532"/>
      <c r="FG134" s="532"/>
      <c r="FH134" s="532"/>
      <c r="FI134" s="532"/>
      <c r="FJ134" s="532"/>
      <c r="FK134" s="532"/>
      <c r="FL134" s="532"/>
      <c r="FM134" s="532"/>
      <c r="FN134" s="532"/>
      <c r="FO134" s="532"/>
      <c r="FP134" s="532"/>
    </row>
    <row r="135" spans="1:172" ht="12" customHeight="1" x14ac:dyDescent="0.2">
      <c r="A135" s="533"/>
      <c r="B135" s="534"/>
      <c r="C135" s="534"/>
      <c r="D135" s="534"/>
      <c r="E135" s="534"/>
      <c r="F135" s="534"/>
      <c r="G135" s="534"/>
      <c r="H135" s="534"/>
      <c r="I135" s="534"/>
      <c r="J135" s="534"/>
      <c r="K135" s="658"/>
      <c r="L135" s="562"/>
      <c r="M135" s="562"/>
      <c r="N135" s="562"/>
      <c r="O135" s="530"/>
      <c r="P135" s="536"/>
      <c r="Q135" s="531"/>
      <c r="R135" s="531"/>
      <c r="S135" s="531"/>
      <c r="T135" s="531"/>
      <c r="U135" s="531"/>
      <c r="V135" s="531"/>
      <c r="W135" s="531"/>
      <c r="X135" s="531"/>
      <c r="Y135" s="531"/>
      <c r="Z135" s="531"/>
      <c r="AA135" s="531"/>
      <c r="AB135" s="531"/>
      <c r="AC135" s="531"/>
      <c r="AD135" s="531"/>
      <c r="AE135" s="531"/>
      <c r="AF135" s="531"/>
      <c r="AG135" s="531"/>
      <c r="AH135" s="532"/>
      <c r="AI135" s="532"/>
      <c r="AJ135" s="532"/>
      <c r="AK135" s="532"/>
      <c r="AL135" s="532"/>
      <c r="AM135" s="532"/>
      <c r="AN135" s="532"/>
      <c r="AO135" s="532"/>
      <c r="AP135" s="532"/>
      <c r="AQ135" s="532"/>
      <c r="AR135" s="532"/>
      <c r="AS135" s="532"/>
      <c r="AT135" s="532"/>
      <c r="AU135" s="532"/>
      <c r="AV135" s="532"/>
      <c r="AW135" s="532"/>
      <c r="AX135" s="532"/>
      <c r="AY135" s="532"/>
      <c r="AZ135" s="532"/>
      <c r="BA135" s="532"/>
      <c r="BB135" s="532"/>
      <c r="BC135" s="532"/>
      <c r="BD135" s="532"/>
      <c r="BE135" s="532"/>
      <c r="BF135" s="532"/>
      <c r="BG135" s="532"/>
      <c r="BH135" s="532"/>
      <c r="BI135" s="532"/>
      <c r="BJ135" s="532"/>
      <c r="BK135" s="532"/>
      <c r="BL135" s="532"/>
      <c r="BM135" s="532"/>
      <c r="BN135" s="532"/>
      <c r="BO135" s="532"/>
      <c r="BP135" s="532"/>
      <c r="BQ135" s="532"/>
      <c r="BR135" s="532"/>
      <c r="BS135" s="532"/>
      <c r="BT135" s="532"/>
      <c r="BU135" s="532"/>
      <c r="BV135" s="532"/>
      <c r="BW135" s="532"/>
      <c r="BX135" s="532"/>
      <c r="BY135" s="532"/>
      <c r="BZ135" s="532"/>
      <c r="CA135" s="532"/>
      <c r="CB135" s="532"/>
      <c r="CC135" s="532"/>
      <c r="CD135" s="532"/>
      <c r="CE135" s="532"/>
      <c r="CF135" s="532"/>
      <c r="CG135" s="532"/>
      <c r="CH135" s="532"/>
      <c r="CI135" s="532"/>
      <c r="CJ135" s="532"/>
      <c r="CK135" s="532"/>
      <c r="CL135" s="532"/>
      <c r="CM135" s="532"/>
      <c r="CN135" s="532"/>
      <c r="CO135" s="532"/>
      <c r="CP135" s="532"/>
      <c r="CQ135" s="532"/>
      <c r="CR135" s="532"/>
      <c r="CS135" s="532"/>
      <c r="CT135" s="532"/>
      <c r="CU135" s="532"/>
      <c r="CV135" s="532"/>
      <c r="CW135" s="532"/>
      <c r="CX135" s="532"/>
      <c r="CY135" s="532"/>
      <c r="CZ135" s="532"/>
      <c r="DA135" s="532"/>
      <c r="DB135" s="532"/>
      <c r="DC135" s="532"/>
      <c r="DD135" s="532"/>
      <c r="DE135" s="532"/>
      <c r="DF135" s="532"/>
      <c r="DG135" s="532"/>
      <c r="DH135" s="532"/>
      <c r="DI135" s="532"/>
      <c r="DJ135" s="532"/>
      <c r="DK135" s="532"/>
      <c r="DL135" s="532"/>
      <c r="DM135" s="532"/>
      <c r="DN135" s="532"/>
      <c r="DO135" s="532"/>
      <c r="DP135" s="532"/>
      <c r="DQ135" s="532"/>
      <c r="DR135" s="532"/>
      <c r="DS135" s="532"/>
      <c r="DT135" s="532"/>
      <c r="DU135" s="532"/>
      <c r="DV135" s="532"/>
      <c r="DW135" s="532"/>
      <c r="DX135" s="532"/>
      <c r="DY135" s="532"/>
      <c r="DZ135" s="532"/>
      <c r="EA135" s="532"/>
      <c r="EB135" s="532"/>
      <c r="EC135" s="532"/>
      <c r="ED135" s="532"/>
      <c r="EE135" s="532"/>
      <c r="EF135" s="532"/>
      <c r="EG135" s="532"/>
      <c r="EH135" s="532"/>
      <c r="EI135" s="532"/>
      <c r="EJ135" s="532"/>
      <c r="EK135" s="532"/>
      <c r="EL135" s="532"/>
      <c r="EM135" s="532"/>
      <c r="EN135" s="532"/>
      <c r="EO135" s="532"/>
      <c r="EP135" s="532"/>
      <c r="EQ135" s="532"/>
      <c r="ER135" s="532"/>
      <c r="ES135" s="532"/>
      <c r="ET135" s="532"/>
      <c r="EU135" s="532"/>
      <c r="EV135" s="532"/>
      <c r="EW135" s="532"/>
      <c r="EX135" s="532"/>
      <c r="EY135" s="532"/>
      <c r="EZ135" s="532"/>
      <c r="FA135" s="532"/>
      <c r="FB135" s="532"/>
      <c r="FC135" s="532"/>
      <c r="FD135" s="532"/>
      <c r="FE135" s="532"/>
      <c r="FF135" s="532"/>
      <c r="FG135" s="532"/>
      <c r="FH135" s="532"/>
      <c r="FI135" s="532"/>
      <c r="FJ135" s="532"/>
      <c r="FK135" s="532"/>
      <c r="FL135" s="532"/>
      <c r="FM135" s="532"/>
      <c r="FN135" s="532"/>
      <c r="FO135" s="532"/>
      <c r="FP135" s="532"/>
    </row>
    <row r="136" spans="1:172" ht="12" customHeight="1" x14ac:dyDescent="0.2">
      <c r="A136" s="533" t="s">
        <v>96</v>
      </c>
      <c r="B136" s="534"/>
      <c r="C136" s="534"/>
      <c r="D136" s="534"/>
      <c r="E136" s="534"/>
      <c r="F136" s="534"/>
      <c r="G136" s="534"/>
      <c r="H136" s="534"/>
      <c r="I136" s="534"/>
      <c r="J136" s="534"/>
      <c r="K136" s="658"/>
      <c r="L136" s="562"/>
      <c r="M136" s="562"/>
      <c r="N136" s="562"/>
      <c r="O136" s="530"/>
      <c r="P136" s="536"/>
      <c r="Q136" s="531"/>
      <c r="R136" s="531"/>
      <c r="S136" s="531"/>
      <c r="T136" s="531"/>
      <c r="U136" s="531"/>
      <c r="V136" s="531"/>
      <c r="W136" s="531"/>
      <c r="X136" s="531"/>
      <c r="Y136" s="531"/>
      <c r="Z136" s="531"/>
      <c r="AA136" s="531"/>
      <c r="AB136" s="531"/>
      <c r="AC136" s="531"/>
      <c r="AD136" s="531"/>
      <c r="AE136" s="531"/>
      <c r="AF136" s="531"/>
      <c r="AG136" s="531"/>
      <c r="AH136" s="532"/>
      <c r="AI136" s="532"/>
      <c r="AJ136" s="532"/>
      <c r="AK136" s="532"/>
      <c r="AL136" s="532"/>
      <c r="AM136" s="532"/>
      <c r="AN136" s="532"/>
      <c r="AO136" s="532"/>
      <c r="AP136" s="532"/>
      <c r="AQ136" s="532"/>
      <c r="AR136" s="532"/>
      <c r="AS136" s="532"/>
      <c r="AT136" s="532"/>
      <c r="AU136" s="532"/>
      <c r="AV136" s="532"/>
      <c r="AW136" s="532"/>
      <c r="AX136" s="532"/>
      <c r="AY136" s="532"/>
      <c r="AZ136" s="532"/>
      <c r="BA136" s="532"/>
      <c r="BB136" s="532"/>
      <c r="BC136" s="532"/>
      <c r="BD136" s="532"/>
      <c r="BE136" s="532"/>
      <c r="BF136" s="532"/>
      <c r="BG136" s="532"/>
      <c r="BH136" s="532"/>
      <c r="BI136" s="532"/>
      <c r="BJ136" s="532"/>
      <c r="BK136" s="532"/>
      <c r="BL136" s="532"/>
      <c r="BM136" s="532"/>
      <c r="BN136" s="532"/>
      <c r="BO136" s="532"/>
      <c r="BP136" s="532"/>
      <c r="BQ136" s="532"/>
      <c r="BR136" s="532"/>
      <c r="BS136" s="532"/>
      <c r="BT136" s="532"/>
      <c r="BU136" s="532"/>
      <c r="BV136" s="532"/>
      <c r="BW136" s="532"/>
      <c r="BX136" s="532"/>
      <c r="BY136" s="532"/>
      <c r="BZ136" s="532"/>
      <c r="CA136" s="532"/>
      <c r="CB136" s="532"/>
      <c r="CC136" s="532"/>
      <c r="CD136" s="532"/>
      <c r="CE136" s="532"/>
      <c r="CF136" s="532"/>
      <c r="CG136" s="532"/>
      <c r="CH136" s="532"/>
      <c r="CI136" s="532"/>
      <c r="CJ136" s="532"/>
      <c r="CK136" s="532"/>
      <c r="CL136" s="532"/>
      <c r="CM136" s="532"/>
      <c r="CN136" s="532"/>
      <c r="CO136" s="532"/>
      <c r="CP136" s="532"/>
      <c r="CQ136" s="532"/>
      <c r="CR136" s="532"/>
      <c r="CS136" s="532"/>
      <c r="CT136" s="532"/>
      <c r="CU136" s="532"/>
      <c r="CV136" s="532"/>
      <c r="CW136" s="532"/>
      <c r="CX136" s="532"/>
      <c r="CY136" s="532"/>
      <c r="CZ136" s="532"/>
      <c r="DA136" s="532"/>
      <c r="DB136" s="532"/>
      <c r="DC136" s="532"/>
      <c r="DD136" s="532"/>
      <c r="DE136" s="532"/>
      <c r="DF136" s="532"/>
      <c r="DG136" s="532"/>
      <c r="DH136" s="532"/>
      <c r="DI136" s="532"/>
      <c r="DJ136" s="532"/>
      <c r="DK136" s="532"/>
      <c r="DL136" s="532"/>
      <c r="DM136" s="532"/>
      <c r="DN136" s="532"/>
      <c r="DO136" s="532"/>
      <c r="DP136" s="532"/>
      <c r="DQ136" s="532"/>
      <c r="DR136" s="532"/>
      <c r="DS136" s="532"/>
      <c r="DT136" s="532"/>
      <c r="DU136" s="532"/>
      <c r="DV136" s="532"/>
      <c r="DW136" s="532"/>
      <c r="DX136" s="532"/>
      <c r="DY136" s="532"/>
      <c r="DZ136" s="532"/>
      <c r="EA136" s="532"/>
      <c r="EB136" s="532"/>
      <c r="EC136" s="532"/>
      <c r="ED136" s="532"/>
      <c r="EE136" s="532"/>
      <c r="EF136" s="532"/>
      <c r="EG136" s="532"/>
      <c r="EH136" s="532"/>
      <c r="EI136" s="532"/>
      <c r="EJ136" s="532"/>
      <c r="EK136" s="532"/>
      <c r="EL136" s="532"/>
      <c r="EM136" s="532"/>
      <c r="EN136" s="532"/>
      <c r="EO136" s="532"/>
      <c r="EP136" s="532"/>
      <c r="EQ136" s="532"/>
      <c r="ER136" s="532"/>
      <c r="ES136" s="532"/>
      <c r="ET136" s="532"/>
      <c r="EU136" s="532"/>
      <c r="EV136" s="532"/>
      <c r="EW136" s="532"/>
      <c r="EX136" s="532"/>
      <c r="EY136" s="532"/>
      <c r="EZ136" s="532"/>
      <c r="FA136" s="532"/>
      <c r="FB136" s="532"/>
      <c r="FC136" s="532"/>
      <c r="FD136" s="532"/>
      <c r="FE136" s="532"/>
      <c r="FF136" s="532"/>
      <c r="FG136" s="532"/>
      <c r="FH136" s="532"/>
      <c r="FI136" s="532"/>
      <c r="FJ136" s="532"/>
      <c r="FK136" s="532"/>
      <c r="FL136" s="532"/>
      <c r="FM136" s="532"/>
      <c r="FN136" s="532"/>
      <c r="FO136" s="532"/>
      <c r="FP136" s="532"/>
    </row>
    <row r="137" spans="1:172" ht="12" customHeight="1" x14ac:dyDescent="0.2">
      <c r="A137" s="533" t="s">
        <v>97</v>
      </c>
      <c r="B137" s="534"/>
      <c r="C137" s="208">
        <v>22</v>
      </c>
      <c r="D137" s="208">
        <v>22</v>
      </c>
      <c r="E137" s="208">
        <v>21</v>
      </c>
      <c r="F137" s="208">
        <v>29</v>
      </c>
      <c r="G137" s="208">
        <f>27-1</f>
        <v>26</v>
      </c>
      <c r="H137" s="208">
        <f>32-5</f>
        <v>27</v>
      </c>
      <c r="I137" s="208">
        <v>25</v>
      </c>
      <c r="J137" s="208">
        <f>25-4</f>
        <v>21</v>
      </c>
      <c r="K137" s="208">
        <f>30-3</f>
        <v>27</v>
      </c>
      <c r="L137" s="562">
        <v>30</v>
      </c>
      <c r="M137" s="562">
        <v>35</v>
      </c>
      <c r="N137" s="562">
        <f>35-7</f>
        <v>28</v>
      </c>
      <c r="O137" s="530">
        <f>SUM(C137:N137)</f>
        <v>313</v>
      </c>
      <c r="P137" s="536"/>
      <c r="Q137" s="531"/>
      <c r="R137" s="531"/>
      <c r="S137" s="531"/>
      <c r="T137" s="531"/>
      <c r="U137" s="531"/>
      <c r="V137" s="531"/>
      <c r="W137" s="531"/>
      <c r="X137" s="531"/>
      <c r="Y137" s="531"/>
      <c r="Z137" s="531"/>
      <c r="AA137" s="531"/>
      <c r="AB137" s="531"/>
      <c r="AC137" s="531"/>
      <c r="AD137" s="531"/>
      <c r="AE137" s="531"/>
      <c r="AF137" s="531"/>
      <c r="AG137" s="531"/>
      <c r="AH137" s="532"/>
      <c r="AI137" s="532"/>
      <c r="AJ137" s="532"/>
      <c r="AK137" s="532"/>
      <c r="AL137" s="532"/>
      <c r="AM137" s="532"/>
      <c r="AN137" s="532"/>
      <c r="AO137" s="532"/>
      <c r="AP137" s="532"/>
      <c r="AQ137" s="532"/>
      <c r="AR137" s="532"/>
      <c r="AS137" s="532"/>
      <c r="AT137" s="532"/>
      <c r="AU137" s="532"/>
      <c r="AV137" s="532"/>
      <c r="AW137" s="532"/>
      <c r="AX137" s="532"/>
      <c r="AY137" s="532"/>
      <c r="AZ137" s="532"/>
      <c r="BA137" s="532"/>
      <c r="BB137" s="532"/>
      <c r="BC137" s="532"/>
      <c r="BD137" s="532"/>
      <c r="BE137" s="532"/>
      <c r="BF137" s="532"/>
      <c r="BG137" s="532"/>
      <c r="BH137" s="532"/>
      <c r="BI137" s="532"/>
      <c r="BJ137" s="532"/>
      <c r="BK137" s="532"/>
      <c r="BL137" s="532"/>
      <c r="BM137" s="532"/>
      <c r="BN137" s="532"/>
      <c r="BO137" s="532"/>
      <c r="BP137" s="532"/>
      <c r="BQ137" s="532"/>
      <c r="BR137" s="532"/>
      <c r="BS137" s="532"/>
      <c r="BT137" s="532"/>
      <c r="BU137" s="532"/>
      <c r="BV137" s="532"/>
      <c r="BW137" s="532"/>
      <c r="BX137" s="532"/>
      <c r="BY137" s="532"/>
      <c r="BZ137" s="532"/>
      <c r="CA137" s="532"/>
      <c r="CB137" s="532"/>
      <c r="CC137" s="532"/>
      <c r="CD137" s="532"/>
      <c r="CE137" s="532"/>
      <c r="CF137" s="532"/>
      <c r="CG137" s="532"/>
      <c r="CH137" s="532"/>
      <c r="CI137" s="532"/>
      <c r="CJ137" s="532"/>
      <c r="CK137" s="532"/>
      <c r="CL137" s="532"/>
      <c r="CM137" s="532"/>
      <c r="CN137" s="532"/>
      <c r="CO137" s="532"/>
      <c r="CP137" s="532"/>
      <c r="CQ137" s="532"/>
      <c r="CR137" s="532"/>
      <c r="CS137" s="532"/>
      <c r="CT137" s="532"/>
      <c r="CU137" s="532"/>
      <c r="CV137" s="532"/>
      <c r="CW137" s="532"/>
      <c r="CX137" s="532"/>
      <c r="CY137" s="532"/>
      <c r="CZ137" s="532"/>
      <c r="DA137" s="532"/>
      <c r="DB137" s="532"/>
      <c r="DC137" s="532"/>
      <c r="DD137" s="532"/>
      <c r="DE137" s="532"/>
      <c r="DF137" s="532"/>
      <c r="DG137" s="532"/>
      <c r="DH137" s="532"/>
      <c r="DI137" s="532"/>
      <c r="DJ137" s="532"/>
      <c r="DK137" s="532"/>
      <c r="DL137" s="532"/>
      <c r="DM137" s="532"/>
      <c r="DN137" s="532"/>
      <c r="DO137" s="532"/>
      <c r="DP137" s="532"/>
      <c r="DQ137" s="532"/>
      <c r="DR137" s="532"/>
      <c r="DS137" s="532"/>
      <c r="DT137" s="532"/>
      <c r="DU137" s="532"/>
      <c r="DV137" s="532"/>
      <c r="DW137" s="532"/>
      <c r="DX137" s="532"/>
      <c r="DY137" s="532"/>
      <c r="DZ137" s="532"/>
      <c r="EA137" s="532"/>
      <c r="EB137" s="532"/>
      <c r="EC137" s="532"/>
      <c r="ED137" s="532"/>
      <c r="EE137" s="532"/>
      <c r="EF137" s="532"/>
      <c r="EG137" s="532"/>
      <c r="EH137" s="532"/>
      <c r="EI137" s="532"/>
      <c r="EJ137" s="532"/>
      <c r="EK137" s="532"/>
      <c r="EL137" s="532"/>
      <c r="EM137" s="532"/>
      <c r="EN137" s="532"/>
      <c r="EO137" s="532"/>
      <c r="EP137" s="532"/>
      <c r="EQ137" s="532"/>
      <c r="ER137" s="532"/>
      <c r="ES137" s="532"/>
      <c r="ET137" s="532"/>
      <c r="EU137" s="532"/>
      <c r="EV137" s="532"/>
      <c r="EW137" s="532"/>
      <c r="EX137" s="532"/>
      <c r="EY137" s="532"/>
      <c r="EZ137" s="532"/>
      <c r="FA137" s="532"/>
      <c r="FB137" s="532"/>
      <c r="FC137" s="532"/>
      <c r="FD137" s="532"/>
      <c r="FE137" s="532"/>
      <c r="FF137" s="532"/>
      <c r="FG137" s="532"/>
      <c r="FH137" s="532"/>
      <c r="FI137" s="532"/>
      <c r="FJ137" s="532"/>
      <c r="FK137" s="532"/>
      <c r="FL137" s="532"/>
      <c r="FM137" s="532"/>
      <c r="FN137" s="532"/>
      <c r="FO137" s="532"/>
      <c r="FP137" s="532"/>
    </row>
    <row r="138" spans="1:172" ht="12" customHeight="1" x14ac:dyDescent="0.2">
      <c r="A138" s="533" t="s">
        <v>98</v>
      </c>
      <c r="B138" s="534"/>
      <c r="C138" s="208">
        <v>0</v>
      </c>
      <c r="D138" s="208">
        <v>0</v>
      </c>
      <c r="E138" s="208">
        <v>1</v>
      </c>
      <c r="F138" s="208">
        <v>0</v>
      </c>
      <c r="G138" s="208">
        <v>0</v>
      </c>
      <c r="H138" s="208">
        <v>0</v>
      </c>
      <c r="I138" s="208">
        <v>0</v>
      </c>
      <c r="J138" s="208">
        <v>0</v>
      </c>
      <c r="K138" s="208">
        <v>1</v>
      </c>
      <c r="L138" s="562">
        <v>1</v>
      </c>
      <c r="M138" s="562">
        <v>0</v>
      </c>
      <c r="N138" s="562">
        <v>1</v>
      </c>
      <c r="O138" s="530">
        <f t="shared" ref="O138:O146" si="103">SUM(C138:N138)</f>
        <v>4</v>
      </c>
      <c r="P138" s="536"/>
      <c r="Q138" s="531"/>
      <c r="R138" s="531"/>
      <c r="S138" s="531"/>
      <c r="T138" s="531"/>
      <c r="U138" s="531"/>
      <c r="V138" s="531"/>
      <c r="W138" s="531"/>
      <c r="X138" s="531"/>
      <c r="Y138" s="531"/>
      <c r="Z138" s="531"/>
      <c r="AA138" s="531"/>
      <c r="AB138" s="531"/>
      <c r="AC138" s="531"/>
      <c r="AD138" s="531"/>
      <c r="AE138" s="531"/>
      <c r="AF138" s="531"/>
      <c r="AG138" s="531"/>
      <c r="AH138" s="532"/>
      <c r="AI138" s="532"/>
      <c r="AJ138" s="532"/>
      <c r="AK138" s="532"/>
      <c r="AL138" s="532"/>
      <c r="AM138" s="532"/>
      <c r="AN138" s="532"/>
      <c r="AO138" s="532"/>
      <c r="AP138" s="532"/>
      <c r="AQ138" s="532"/>
      <c r="AR138" s="532"/>
      <c r="AS138" s="532"/>
      <c r="AT138" s="532"/>
      <c r="AU138" s="532"/>
      <c r="AV138" s="532"/>
      <c r="AW138" s="532"/>
      <c r="AX138" s="532"/>
      <c r="AY138" s="532"/>
      <c r="AZ138" s="532"/>
      <c r="BA138" s="532"/>
      <c r="BB138" s="532"/>
      <c r="BC138" s="532"/>
      <c r="BD138" s="532"/>
      <c r="BE138" s="532"/>
      <c r="BF138" s="532"/>
      <c r="BG138" s="532"/>
      <c r="BH138" s="532"/>
      <c r="BI138" s="532"/>
      <c r="BJ138" s="532"/>
      <c r="BK138" s="532"/>
      <c r="BL138" s="532"/>
      <c r="BM138" s="532"/>
      <c r="BN138" s="532"/>
      <c r="BO138" s="532"/>
      <c r="BP138" s="532"/>
      <c r="BQ138" s="532"/>
      <c r="BR138" s="532"/>
      <c r="BS138" s="532"/>
      <c r="BT138" s="532"/>
      <c r="BU138" s="532"/>
      <c r="BV138" s="532"/>
      <c r="BW138" s="532"/>
      <c r="BX138" s="532"/>
      <c r="BY138" s="532"/>
      <c r="BZ138" s="532"/>
      <c r="CA138" s="532"/>
      <c r="CB138" s="532"/>
      <c r="CC138" s="532"/>
      <c r="CD138" s="532"/>
      <c r="CE138" s="532"/>
      <c r="CF138" s="532"/>
      <c r="CG138" s="532"/>
      <c r="CH138" s="532"/>
      <c r="CI138" s="532"/>
      <c r="CJ138" s="532"/>
      <c r="CK138" s="532"/>
      <c r="CL138" s="532"/>
      <c r="CM138" s="532"/>
      <c r="CN138" s="532"/>
      <c r="CO138" s="532"/>
      <c r="CP138" s="532"/>
      <c r="CQ138" s="532"/>
      <c r="CR138" s="532"/>
      <c r="CS138" s="532"/>
      <c r="CT138" s="532"/>
      <c r="CU138" s="532"/>
      <c r="CV138" s="532"/>
      <c r="CW138" s="532"/>
      <c r="CX138" s="532"/>
      <c r="CY138" s="532"/>
      <c r="CZ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c r="DY138" s="532"/>
      <c r="DZ138" s="532"/>
      <c r="EA138" s="532"/>
      <c r="EB138" s="532"/>
      <c r="EC138" s="532"/>
      <c r="ED138" s="532"/>
      <c r="EE138" s="532"/>
      <c r="EF138" s="532"/>
      <c r="EG138" s="532"/>
      <c r="EH138" s="532"/>
      <c r="EI138" s="532"/>
      <c r="EJ138" s="532"/>
      <c r="EK138" s="532"/>
      <c r="EL138" s="532"/>
      <c r="EM138" s="532"/>
      <c r="EN138" s="532"/>
      <c r="EO138" s="532"/>
      <c r="EP138" s="532"/>
      <c r="EQ138" s="532"/>
      <c r="ER138" s="532"/>
      <c r="ES138" s="532"/>
      <c r="ET138" s="532"/>
      <c r="EU138" s="532"/>
      <c r="EV138" s="532"/>
      <c r="EW138" s="532"/>
      <c r="EX138" s="532"/>
      <c r="EY138" s="532"/>
      <c r="EZ138" s="532"/>
      <c r="FA138" s="532"/>
      <c r="FB138" s="532"/>
      <c r="FC138" s="532"/>
      <c r="FD138" s="532"/>
      <c r="FE138" s="532"/>
      <c r="FF138" s="532"/>
      <c r="FG138" s="532"/>
      <c r="FH138" s="532"/>
      <c r="FI138" s="532"/>
      <c r="FJ138" s="532"/>
      <c r="FK138" s="532"/>
      <c r="FL138" s="532"/>
      <c r="FM138" s="532"/>
      <c r="FN138" s="532"/>
      <c r="FO138" s="532"/>
      <c r="FP138" s="532"/>
    </row>
    <row r="139" spans="1:172" ht="12" customHeight="1" x14ac:dyDescent="0.2">
      <c r="A139" s="533" t="s">
        <v>99</v>
      </c>
      <c r="B139" s="534"/>
      <c r="C139" s="208">
        <v>1</v>
      </c>
      <c r="D139" s="208">
        <v>3</v>
      </c>
      <c r="E139" s="208">
        <v>3</v>
      </c>
      <c r="F139" s="208">
        <v>1</v>
      </c>
      <c r="G139" s="208">
        <v>5</v>
      </c>
      <c r="H139" s="208">
        <v>5</v>
      </c>
      <c r="I139" s="208">
        <f>2</f>
        <v>2</v>
      </c>
      <c r="J139" s="208">
        <v>2</v>
      </c>
      <c r="K139" s="208">
        <v>3</v>
      </c>
      <c r="L139" s="562">
        <v>0</v>
      </c>
      <c r="M139" s="562">
        <v>7</v>
      </c>
      <c r="N139" s="562">
        <v>3</v>
      </c>
      <c r="O139" s="530">
        <f t="shared" si="103"/>
        <v>35</v>
      </c>
      <c r="P139" s="536"/>
      <c r="Q139" s="531"/>
      <c r="R139" s="531"/>
      <c r="S139" s="531"/>
      <c r="T139" s="531"/>
      <c r="U139" s="531"/>
      <c r="V139" s="531"/>
      <c r="W139" s="531"/>
      <c r="X139" s="531"/>
      <c r="Y139" s="531"/>
      <c r="Z139" s="531"/>
      <c r="AA139" s="531"/>
      <c r="AB139" s="531"/>
      <c r="AC139" s="531"/>
      <c r="AD139" s="531"/>
      <c r="AE139" s="531"/>
      <c r="AF139" s="531"/>
      <c r="AG139" s="531"/>
      <c r="AH139" s="532"/>
      <c r="AI139" s="532"/>
      <c r="AJ139" s="532"/>
      <c r="AK139" s="532"/>
      <c r="AL139" s="532"/>
      <c r="AM139" s="532"/>
      <c r="AN139" s="532"/>
      <c r="AO139" s="532"/>
      <c r="AP139" s="532"/>
      <c r="AQ139" s="532"/>
      <c r="AR139" s="532"/>
      <c r="AS139" s="532"/>
      <c r="AT139" s="532"/>
      <c r="AU139" s="532"/>
      <c r="AV139" s="532"/>
      <c r="AW139" s="532"/>
      <c r="AX139" s="532"/>
      <c r="AY139" s="532"/>
      <c r="AZ139" s="532"/>
      <c r="BA139" s="532"/>
      <c r="BB139" s="532"/>
      <c r="BC139" s="532"/>
      <c r="BD139" s="532"/>
      <c r="BE139" s="532"/>
      <c r="BF139" s="532"/>
      <c r="BG139" s="532"/>
      <c r="BH139" s="532"/>
      <c r="BI139" s="532"/>
      <c r="BJ139" s="532"/>
      <c r="BK139" s="532"/>
      <c r="BL139" s="532"/>
      <c r="BM139" s="532"/>
      <c r="BN139" s="532"/>
      <c r="BO139" s="532"/>
      <c r="BP139" s="532"/>
      <c r="BQ139" s="532"/>
      <c r="BR139" s="532"/>
      <c r="BS139" s="532"/>
      <c r="BT139" s="532"/>
      <c r="BU139" s="532"/>
      <c r="BV139" s="532"/>
      <c r="BW139" s="532"/>
      <c r="BX139" s="532"/>
      <c r="BY139" s="532"/>
      <c r="BZ139" s="532"/>
      <c r="CA139" s="532"/>
      <c r="CB139" s="532"/>
      <c r="CC139" s="532"/>
      <c r="CD139" s="532"/>
      <c r="CE139" s="532"/>
      <c r="CF139" s="532"/>
      <c r="CG139" s="532"/>
      <c r="CH139" s="532"/>
      <c r="CI139" s="532"/>
      <c r="CJ139" s="532"/>
      <c r="CK139" s="532"/>
      <c r="CL139" s="532"/>
      <c r="CM139" s="532"/>
      <c r="CN139" s="532"/>
      <c r="CO139" s="532"/>
      <c r="CP139" s="532"/>
      <c r="CQ139" s="532"/>
      <c r="CR139" s="532"/>
      <c r="CS139" s="532"/>
      <c r="CT139" s="532"/>
      <c r="CU139" s="532"/>
      <c r="CV139" s="532"/>
      <c r="CW139" s="532"/>
      <c r="CX139" s="532"/>
      <c r="CY139" s="532"/>
      <c r="CZ139" s="532"/>
      <c r="DA139" s="532"/>
      <c r="DB139" s="532"/>
      <c r="DC139" s="532"/>
      <c r="DD139" s="532"/>
      <c r="DE139" s="532"/>
      <c r="DF139" s="532"/>
      <c r="DG139" s="532"/>
      <c r="DH139" s="532"/>
      <c r="DI139" s="532"/>
      <c r="DJ139" s="532"/>
      <c r="DK139" s="532"/>
      <c r="DL139" s="532"/>
      <c r="DM139" s="532"/>
      <c r="DN139" s="532"/>
      <c r="DO139" s="532"/>
      <c r="DP139" s="532"/>
      <c r="DQ139" s="532"/>
      <c r="DR139" s="532"/>
      <c r="DS139" s="532"/>
      <c r="DT139" s="532"/>
      <c r="DU139" s="532"/>
      <c r="DV139" s="532"/>
      <c r="DW139" s="532"/>
      <c r="DX139" s="532"/>
      <c r="DY139" s="532"/>
      <c r="DZ139" s="532"/>
      <c r="EA139" s="532"/>
      <c r="EB139" s="532"/>
      <c r="EC139" s="532"/>
      <c r="ED139" s="532"/>
      <c r="EE139" s="532"/>
      <c r="EF139" s="532"/>
      <c r="EG139" s="532"/>
      <c r="EH139" s="532"/>
      <c r="EI139" s="532"/>
      <c r="EJ139" s="532"/>
      <c r="EK139" s="532"/>
      <c r="EL139" s="532"/>
      <c r="EM139" s="532"/>
      <c r="EN139" s="532"/>
      <c r="EO139" s="532"/>
      <c r="EP139" s="532"/>
      <c r="EQ139" s="532"/>
      <c r="ER139" s="532"/>
      <c r="ES139" s="532"/>
      <c r="ET139" s="532"/>
      <c r="EU139" s="532"/>
      <c r="EV139" s="532"/>
      <c r="EW139" s="532"/>
      <c r="EX139" s="532"/>
      <c r="EY139" s="532"/>
      <c r="EZ139" s="532"/>
      <c r="FA139" s="532"/>
      <c r="FB139" s="532"/>
      <c r="FC139" s="532"/>
      <c r="FD139" s="532"/>
      <c r="FE139" s="532"/>
      <c r="FF139" s="532"/>
      <c r="FG139" s="532"/>
      <c r="FH139" s="532"/>
      <c r="FI139" s="532"/>
      <c r="FJ139" s="532"/>
      <c r="FK139" s="532"/>
      <c r="FL139" s="532"/>
      <c r="FM139" s="532"/>
      <c r="FN139" s="532"/>
      <c r="FO139" s="532"/>
      <c r="FP139" s="532"/>
    </row>
    <row r="140" spans="1:172" ht="12" customHeight="1" x14ac:dyDescent="0.2">
      <c r="A140" s="533" t="s">
        <v>100</v>
      </c>
      <c r="B140" s="534"/>
      <c r="C140" s="208">
        <f>6-1</f>
        <v>5</v>
      </c>
      <c r="D140" s="208">
        <v>9</v>
      </c>
      <c r="E140" s="208">
        <v>10</v>
      </c>
      <c r="F140" s="208">
        <v>12</v>
      </c>
      <c r="G140" s="208">
        <v>1</v>
      </c>
      <c r="H140" s="208">
        <v>9</v>
      </c>
      <c r="I140" s="208">
        <f>11-3</f>
        <v>8</v>
      </c>
      <c r="J140" s="208">
        <v>9</v>
      </c>
      <c r="K140" s="208">
        <v>6</v>
      </c>
      <c r="L140" s="562">
        <v>8</v>
      </c>
      <c r="M140" s="562">
        <v>12</v>
      </c>
      <c r="N140" s="562">
        <v>10</v>
      </c>
      <c r="O140" s="530">
        <f t="shared" si="103"/>
        <v>99</v>
      </c>
      <c r="P140" s="536"/>
      <c r="Q140" s="531"/>
      <c r="R140" s="531"/>
      <c r="S140" s="531"/>
      <c r="T140" s="531"/>
      <c r="U140" s="531"/>
      <c r="V140" s="531"/>
      <c r="W140" s="531"/>
      <c r="X140" s="531"/>
      <c r="Y140" s="531"/>
      <c r="Z140" s="531"/>
      <c r="AA140" s="531"/>
      <c r="AB140" s="531"/>
      <c r="AC140" s="531"/>
      <c r="AD140" s="531"/>
      <c r="AE140" s="531"/>
      <c r="AF140" s="531"/>
      <c r="AG140" s="531"/>
      <c r="AH140" s="532"/>
      <c r="AI140" s="532"/>
      <c r="AJ140" s="532"/>
      <c r="AK140" s="532"/>
      <c r="AL140" s="532"/>
      <c r="AM140" s="532"/>
      <c r="AN140" s="532"/>
      <c r="AO140" s="532"/>
      <c r="AP140" s="532"/>
      <c r="AQ140" s="532"/>
      <c r="AR140" s="532"/>
      <c r="AS140" s="532"/>
      <c r="AT140" s="532"/>
      <c r="AU140" s="532"/>
      <c r="AV140" s="532"/>
      <c r="AW140" s="532"/>
      <c r="AX140" s="532"/>
      <c r="AY140" s="532"/>
      <c r="AZ140" s="532"/>
      <c r="BA140" s="532"/>
      <c r="BB140" s="532"/>
      <c r="BC140" s="532"/>
      <c r="BD140" s="532"/>
      <c r="BE140" s="532"/>
      <c r="BF140" s="532"/>
      <c r="BG140" s="532"/>
      <c r="BH140" s="532"/>
      <c r="BI140" s="532"/>
      <c r="BJ140" s="532"/>
      <c r="BK140" s="532"/>
      <c r="BL140" s="532"/>
      <c r="BM140" s="532"/>
      <c r="BN140" s="532"/>
      <c r="BO140" s="532"/>
      <c r="BP140" s="532"/>
      <c r="BQ140" s="532"/>
      <c r="BR140" s="532"/>
      <c r="BS140" s="532"/>
      <c r="BT140" s="532"/>
      <c r="BU140" s="532"/>
      <c r="BV140" s="532"/>
      <c r="BW140" s="532"/>
      <c r="BX140" s="532"/>
      <c r="BY140" s="532"/>
      <c r="BZ140" s="532"/>
      <c r="CA140" s="532"/>
      <c r="CB140" s="532"/>
      <c r="CC140" s="532"/>
      <c r="CD140" s="532"/>
      <c r="CE140" s="532"/>
      <c r="CF140" s="532"/>
      <c r="CG140" s="532"/>
      <c r="CH140" s="532"/>
      <c r="CI140" s="532"/>
      <c r="CJ140" s="532"/>
      <c r="CK140" s="532"/>
      <c r="CL140" s="532"/>
      <c r="CM140" s="532"/>
      <c r="CN140" s="532"/>
      <c r="CO140" s="532"/>
      <c r="CP140" s="532"/>
      <c r="CQ140" s="532"/>
      <c r="CR140" s="532"/>
      <c r="CS140" s="532"/>
      <c r="CT140" s="532"/>
      <c r="CU140" s="532"/>
      <c r="CV140" s="532"/>
      <c r="CW140" s="532"/>
      <c r="CX140" s="532"/>
      <c r="CY140" s="532"/>
      <c r="CZ140" s="532"/>
      <c r="DA140" s="532"/>
      <c r="DB140" s="532"/>
      <c r="DC140" s="532"/>
      <c r="DD140" s="532"/>
      <c r="DE140" s="532"/>
      <c r="DF140" s="532"/>
      <c r="DG140" s="532"/>
      <c r="DH140" s="532"/>
      <c r="DI140" s="532"/>
      <c r="DJ140" s="532"/>
      <c r="DK140" s="532"/>
      <c r="DL140" s="532"/>
      <c r="DM140" s="532"/>
      <c r="DN140" s="532"/>
      <c r="DO140" s="532"/>
      <c r="DP140" s="532"/>
      <c r="DQ140" s="532"/>
      <c r="DR140" s="532"/>
      <c r="DS140" s="532"/>
      <c r="DT140" s="532"/>
      <c r="DU140" s="532"/>
      <c r="DV140" s="532"/>
      <c r="DW140" s="532"/>
      <c r="DX140" s="532"/>
      <c r="DY140" s="532"/>
      <c r="DZ140" s="532"/>
      <c r="EA140" s="532"/>
      <c r="EB140" s="532"/>
      <c r="EC140" s="532"/>
      <c r="ED140" s="532"/>
      <c r="EE140" s="532"/>
      <c r="EF140" s="532"/>
      <c r="EG140" s="532"/>
      <c r="EH140" s="532"/>
      <c r="EI140" s="532"/>
      <c r="EJ140" s="532"/>
      <c r="EK140" s="532"/>
      <c r="EL140" s="532"/>
      <c r="EM140" s="532"/>
      <c r="EN140" s="532"/>
      <c r="EO140" s="532"/>
      <c r="EP140" s="532"/>
      <c r="EQ140" s="532"/>
      <c r="ER140" s="532"/>
      <c r="ES140" s="532"/>
      <c r="ET140" s="532"/>
      <c r="EU140" s="532"/>
      <c r="EV140" s="532"/>
      <c r="EW140" s="532"/>
      <c r="EX140" s="532"/>
      <c r="EY140" s="532"/>
      <c r="EZ140" s="532"/>
      <c r="FA140" s="532"/>
      <c r="FB140" s="532"/>
      <c r="FC140" s="532"/>
      <c r="FD140" s="532"/>
      <c r="FE140" s="532"/>
      <c r="FF140" s="532"/>
      <c r="FG140" s="532"/>
      <c r="FH140" s="532"/>
      <c r="FI140" s="532"/>
      <c r="FJ140" s="532"/>
      <c r="FK140" s="532"/>
      <c r="FL140" s="532"/>
      <c r="FM140" s="532"/>
      <c r="FN140" s="532"/>
      <c r="FO140" s="532"/>
      <c r="FP140" s="532"/>
    </row>
    <row r="141" spans="1:172" ht="12" customHeight="1" x14ac:dyDescent="0.2">
      <c r="A141" s="533" t="s">
        <v>101</v>
      </c>
      <c r="B141" s="534"/>
      <c r="C141" s="208">
        <v>5</v>
      </c>
      <c r="D141" s="208">
        <v>2</v>
      </c>
      <c r="E141" s="208">
        <v>4</v>
      </c>
      <c r="F141" s="208">
        <v>4</v>
      </c>
      <c r="G141" s="208">
        <v>1</v>
      </c>
      <c r="H141" s="208">
        <v>6</v>
      </c>
      <c r="I141" s="208">
        <v>3</v>
      </c>
      <c r="J141" s="208">
        <v>1</v>
      </c>
      <c r="K141" s="208">
        <v>5</v>
      </c>
      <c r="L141" s="562">
        <v>2</v>
      </c>
      <c r="M141" s="562">
        <v>2</v>
      </c>
      <c r="N141" s="562">
        <v>0</v>
      </c>
      <c r="O141" s="530">
        <f t="shared" si="103"/>
        <v>35</v>
      </c>
      <c r="P141" s="536"/>
      <c r="Q141" s="531"/>
      <c r="R141" s="531"/>
      <c r="S141" s="531"/>
      <c r="T141" s="531"/>
      <c r="U141" s="531"/>
      <c r="V141" s="531"/>
      <c r="W141" s="531"/>
      <c r="X141" s="531"/>
      <c r="Y141" s="531"/>
      <c r="Z141" s="531"/>
      <c r="AA141" s="531"/>
      <c r="AB141" s="531"/>
      <c r="AC141" s="531"/>
      <c r="AD141" s="531"/>
      <c r="AE141" s="531"/>
      <c r="AF141" s="531"/>
      <c r="AG141" s="531"/>
      <c r="AH141" s="532"/>
      <c r="AI141" s="532"/>
      <c r="AJ141" s="532"/>
      <c r="AK141" s="532"/>
      <c r="AL141" s="532"/>
      <c r="AM141" s="532"/>
      <c r="AN141" s="532"/>
      <c r="AO141" s="532"/>
      <c r="AP141" s="532"/>
      <c r="AQ141" s="532"/>
      <c r="AR141" s="532"/>
      <c r="AS141" s="532"/>
      <c r="AT141" s="532"/>
      <c r="AU141" s="532"/>
      <c r="AV141" s="532"/>
      <c r="AW141" s="532"/>
      <c r="AX141" s="532"/>
      <c r="AY141" s="532"/>
      <c r="AZ141" s="532"/>
      <c r="BA141" s="532"/>
      <c r="BB141" s="532"/>
      <c r="BC141" s="532"/>
      <c r="BD141" s="532"/>
      <c r="BE141" s="532"/>
      <c r="BF141" s="532"/>
      <c r="BG141" s="532"/>
      <c r="BH141" s="532"/>
      <c r="BI141" s="532"/>
      <c r="BJ141" s="532"/>
      <c r="BK141" s="532"/>
      <c r="BL141" s="532"/>
      <c r="BM141" s="532"/>
      <c r="BN141" s="532"/>
      <c r="BO141" s="532"/>
      <c r="BP141" s="532"/>
      <c r="BQ141" s="532"/>
      <c r="BR141" s="532"/>
      <c r="BS141" s="532"/>
      <c r="BT141" s="532"/>
      <c r="BU141" s="532"/>
      <c r="BV141" s="532"/>
      <c r="BW141" s="532"/>
      <c r="BX141" s="532"/>
      <c r="BY141" s="532"/>
      <c r="BZ141" s="532"/>
      <c r="CA141" s="532"/>
      <c r="CB141" s="532"/>
      <c r="CC141" s="532"/>
      <c r="CD141" s="532"/>
      <c r="CE141" s="532"/>
      <c r="CF141" s="532"/>
      <c r="CG141" s="532"/>
      <c r="CH141" s="532"/>
      <c r="CI141" s="532"/>
      <c r="CJ141" s="532"/>
      <c r="CK141" s="532"/>
      <c r="CL141" s="532"/>
      <c r="CM141" s="532"/>
      <c r="CN141" s="532"/>
      <c r="CO141" s="532"/>
      <c r="CP141" s="532"/>
      <c r="CQ141" s="532"/>
      <c r="CR141" s="532"/>
      <c r="CS141" s="532"/>
      <c r="CT141" s="532"/>
      <c r="CU141" s="532"/>
      <c r="CV141" s="532"/>
      <c r="CW141" s="532"/>
      <c r="CX141" s="532"/>
      <c r="CY141" s="532"/>
      <c r="CZ141" s="532"/>
      <c r="DA141" s="532"/>
      <c r="DB141" s="532"/>
      <c r="DC141" s="532"/>
      <c r="DD141" s="532"/>
      <c r="DE141" s="532"/>
      <c r="DF141" s="532"/>
      <c r="DG141" s="532"/>
      <c r="DH141" s="532"/>
      <c r="DI141" s="532"/>
      <c r="DJ141" s="532"/>
      <c r="DK141" s="532"/>
      <c r="DL141" s="532"/>
      <c r="DM141" s="532"/>
      <c r="DN141" s="532"/>
      <c r="DO141" s="532"/>
      <c r="DP141" s="532"/>
      <c r="DQ141" s="532"/>
      <c r="DR141" s="532"/>
      <c r="DS141" s="532"/>
      <c r="DT141" s="532"/>
      <c r="DU141" s="532"/>
      <c r="DV141" s="532"/>
      <c r="DW141" s="532"/>
      <c r="DX141" s="532"/>
      <c r="DY141" s="532"/>
      <c r="DZ141" s="532"/>
      <c r="EA141" s="532"/>
      <c r="EB141" s="532"/>
      <c r="EC141" s="532"/>
      <c r="ED141" s="532"/>
      <c r="EE141" s="532"/>
      <c r="EF141" s="532"/>
      <c r="EG141" s="532"/>
      <c r="EH141" s="532"/>
      <c r="EI141" s="532"/>
      <c r="EJ141" s="532"/>
      <c r="EK141" s="532"/>
      <c r="EL141" s="532"/>
      <c r="EM141" s="532"/>
      <c r="EN141" s="532"/>
      <c r="EO141" s="532"/>
      <c r="EP141" s="532"/>
      <c r="EQ141" s="532"/>
      <c r="ER141" s="532"/>
      <c r="ES141" s="532"/>
      <c r="ET141" s="532"/>
      <c r="EU141" s="532"/>
      <c r="EV141" s="532"/>
      <c r="EW141" s="532"/>
      <c r="EX141" s="532"/>
      <c r="EY141" s="532"/>
      <c r="EZ141" s="532"/>
      <c r="FA141" s="532"/>
      <c r="FB141" s="532"/>
      <c r="FC141" s="532"/>
      <c r="FD141" s="532"/>
      <c r="FE141" s="532"/>
      <c r="FF141" s="532"/>
      <c r="FG141" s="532"/>
      <c r="FH141" s="532"/>
      <c r="FI141" s="532"/>
      <c r="FJ141" s="532"/>
      <c r="FK141" s="532"/>
      <c r="FL141" s="532"/>
      <c r="FM141" s="532"/>
      <c r="FN141" s="532"/>
      <c r="FO141" s="532"/>
      <c r="FP141" s="532"/>
    </row>
    <row r="142" spans="1:172" ht="12" customHeight="1" x14ac:dyDescent="0.2">
      <c r="A142" s="533" t="s">
        <v>102</v>
      </c>
      <c r="B142" s="534"/>
      <c r="C142" s="208">
        <v>1</v>
      </c>
      <c r="D142" s="208">
        <v>1</v>
      </c>
      <c r="E142" s="208">
        <v>3</v>
      </c>
      <c r="F142" s="208">
        <v>1</v>
      </c>
      <c r="G142" s="208">
        <v>5</v>
      </c>
      <c r="H142" s="208">
        <v>2</v>
      </c>
      <c r="I142" s="208">
        <v>2</v>
      </c>
      <c r="J142" s="208">
        <v>1</v>
      </c>
      <c r="K142" s="208">
        <v>3</v>
      </c>
      <c r="L142" s="562">
        <v>2</v>
      </c>
      <c r="M142" s="562">
        <v>4</v>
      </c>
      <c r="N142" s="562">
        <v>0</v>
      </c>
      <c r="O142" s="530">
        <f t="shared" si="103"/>
        <v>25</v>
      </c>
      <c r="P142" s="536"/>
      <c r="Q142" s="531"/>
      <c r="R142" s="531"/>
      <c r="S142" s="531"/>
      <c r="T142" s="531"/>
      <c r="U142" s="531"/>
      <c r="V142" s="531"/>
      <c r="W142" s="531"/>
      <c r="X142" s="531"/>
      <c r="Y142" s="531"/>
      <c r="Z142" s="531"/>
      <c r="AA142" s="531"/>
      <c r="AB142" s="531"/>
      <c r="AC142" s="531"/>
      <c r="AD142" s="531"/>
      <c r="AE142" s="531"/>
      <c r="AF142" s="531"/>
      <c r="AG142" s="531"/>
      <c r="AH142" s="532"/>
      <c r="AI142" s="532"/>
      <c r="AJ142" s="532"/>
      <c r="AK142" s="532"/>
      <c r="AL142" s="532"/>
      <c r="AM142" s="532"/>
      <c r="AN142" s="532"/>
      <c r="AO142" s="532"/>
      <c r="AP142" s="532"/>
      <c r="AQ142" s="532"/>
      <c r="AR142" s="532"/>
      <c r="AS142" s="532"/>
      <c r="AT142" s="532"/>
      <c r="AU142" s="532"/>
      <c r="AV142" s="532"/>
      <c r="AW142" s="532"/>
      <c r="AX142" s="532"/>
      <c r="AY142" s="532"/>
      <c r="AZ142" s="532"/>
      <c r="BA142" s="532"/>
      <c r="BB142" s="532"/>
      <c r="BC142" s="532"/>
      <c r="BD142" s="532"/>
      <c r="BE142" s="532"/>
      <c r="BF142" s="532"/>
      <c r="BG142" s="532"/>
      <c r="BH142" s="532"/>
      <c r="BI142" s="532"/>
      <c r="BJ142" s="532"/>
      <c r="BK142" s="532"/>
      <c r="BL142" s="532"/>
      <c r="BM142" s="532"/>
      <c r="BN142" s="532"/>
      <c r="BO142" s="532"/>
      <c r="BP142" s="532"/>
      <c r="BQ142" s="532"/>
      <c r="BR142" s="532"/>
      <c r="BS142" s="532"/>
      <c r="BT142" s="532"/>
      <c r="BU142" s="532"/>
      <c r="BV142" s="532"/>
      <c r="BW142" s="532"/>
      <c r="BX142" s="532"/>
      <c r="BY142" s="532"/>
      <c r="BZ142" s="532"/>
      <c r="CA142" s="532"/>
      <c r="CB142" s="532"/>
      <c r="CC142" s="532"/>
      <c r="CD142" s="532"/>
      <c r="CE142" s="532"/>
      <c r="CF142" s="532"/>
      <c r="CG142" s="532"/>
      <c r="CH142" s="532"/>
      <c r="CI142" s="532"/>
      <c r="CJ142" s="532"/>
      <c r="CK142" s="532"/>
      <c r="CL142" s="532"/>
      <c r="CM142" s="532"/>
      <c r="CN142" s="532"/>
      <c r="CO142" s="532"/>
      <c r="CP142" s="532"/>
      <c r="CQ142" s="532"/>
      <c r="CR142" s="532"/>
      <c r="CS142" s="532"/>
      <c r="CT142" s="532"/>
      <c r="CU142" s="532"/>
      <c r="CV142" s="532"/>
      <c r="CW142" s="532"/>
      <c r="CX142" s="532"/>
      <c r="CY142" s="532"/>
      <c r="CZ142" s="532"/>
      <c r="DA142" s="532"/>
      <c r="DB142" s="532"/>
      <c r="DC142" s="532"/>
      <c r="DD142" s="532"/>
      <c r="DE142" s="532"/>
      <c r="DF142" s="532"/>
      <c r="DG142" s="532"/>
      <c r="DH142" s="532"/>
      <c r="DI142" s="532"/>
      <c r="DJ142" s="532"/>
      <c r="DK142" s="532"/>
      <c r="DL142" s="532"/>
      <c r="DM142" s="532"/>
      <c r="DN142" s="532"/>
      <c r="DO142" s="532"/>
      <c r="DP142" s="532"/>
      <c r="DQ142" s="532"/>
      <c r="DR142" s="532"/>
      <c r="DS142" s="532"/>
      <c r="DT142" s="532"/>
      <c r="DU142" s="532"/>
      <c r="DV142" s="532"/>
      <c r="DW142" s="532"/>
      <c r="DX142" s="532"/>
      <c r="DY142" s="532"/>
      <c r="DZ142" s="532"/>
      <c r="EA142" s="532"/>
      <c r="EB142" s="532"/>
      <c r="EC142" s="532"/>
      <c r="ED142" s="532"/>
      <c r="EE142" s="532"/>
      <c r="EF142" s="532"/>
      <c r="EG142" s="532"/>
      <c r="EH142" s="532"/>
      <c r="EI142" s="532"/>
      <c r="EJ142" s="532"/>
      <c r="EK142" s="532"/>
      <c r="EL142" s="532"/>
      <c r="EM142" s="532"/>
      <c r="EN142" s="532"/>
      <c r="EO142" s="532"/>
      <c r="EP142" s="532"/>
      <c r="EQ142" s="532"/>
      <c r="ER142" s="532"/>
      <c r="ES142" s="532"/>
      <c r="ET142" s="532"/>
      <c r="EU142" s="532"/>
      <c r="EV142" s="532"/>
      <c r="EW142" s="532"/>
      <c r="EX142" s="532"/>
      <c r="EY142" s="532"/>
      <c r="EZ142" s="532"/>
      <c r="FA142" s="532"/>
      <c r="FB142" s="532"/>
      <c r="FC142" s="532"/>
      <c r="FD142" s="532"/>
      <c r="FE142" s="532"/>
      <c r="FF142" s="532"/>
      <c r="FG142" s="532"/>
      <c r="FH142" s="532"/>
      <c r="FI142" s="532"/>
      <c r="FJ142" s="532"/>
      <c r="FK142" s="532"/>
      <c r="FL142" s="532"/>
      <c r="FM142" s="532"/>
      <c r="FN142" s="532"/>
      <c r="FO142" s="532"/>
      <c r="FP142" s="532"/>
    </row>
    <row r="143" spans="1:172" ht="12" customHeight="1" x14ac:dyDescent="0.2">
      <c r="A143" s="533" t="s">
        <v>103</v>
      </c>
      <c r="B143" s="534"/>
      <c r="C143" s="208">
        <v>1</v>
      </c>
      <c r="D143" s="208">
        <v>4</v>
      </c>
      <c r="E143" s="208">
        <v>2</v>
      </c>
      <c r="F143" s="208">
        <f>1+1+1</f>
        <v>3</v>
      </c>
      <c r="G143" s="208">
        <v>1</v>
      </c>
      <c r="H143" s="208">
        <f>3+1</f>
        <v>4</v>
      </c>
      <c r="I143" s="208">
        <v>4</v>
      </c>
      <c r="J143" s="208">
        <v>1</v>
      </c>
      <c r="K143" s="208">
        <v>2</v>
      </c>
      <c r="L143" s="562">
        <f>3+2</f>
        <v>5</v>
      </c>
      <c r="M143" s="562">
        <v>3</v>
      </c>
      <c r="N143" s="562">
        <v>3</v>
      </c>
      <c r="O143" s="530">
        <f t="shared" si="103"/>
        <v>33</v>
      </c>
      <c r="P143" s="536"/>
      <c r="Q143" s="531"/>
      <c r="R143" s="531"/>
      <c r="S143" s="531"/>
      <c r="T143" s="531"/>
      <c r="U143" s="531"/>
      <c r="V143" s="531"/>
      <c r="W143" s="531"/>
      <c r="X143" s="531"/>
      <c r="Y143" s="531"/>
      <c r="Z143" s="531"/>
      <c r="AA143" s="531"/>
      <c r="AB143" s="531"/>
      <c r="AC143" s="531"/>
      <c r="AD143" s="531"/>
      <c r="AE143" s="531"/>
      <c r="AF143" s="531"/>
      <c r="AG143" s="531"/>
      <c r="AH143" s="532"/>
      <c r="AI143" s="532"/>
      <c r="AJ143" s="532"/>
      <c r="AK143" s="532"/>
      <c r="AL143" s="532"/>
      <c r="AM143" s="532"/>
      <c r="AN143" s="532"/>
      <c r="AO143" s="532"/>
      <c r="AP143" s="532"/>
      <c r="AQ143" s="532"/>
      <c r="AR143" s="532"/>
      <c r="AS143" s="532"/>
      <c r="AT143" s="532"/>
      <c r="AU143" s="532"/>
      <c r="AV143" s="532"/>
      <c r="AW143" s="532"/>
      <c r="AX143" s="532"/>
      <c r="AY143" s="532"/>
      <c r="AZ143" s="532"/>
      <c r="BA143" s="532"/>
      <c r="BB143" s="532"/>
      <c r="BC143" s="532"/>
      <c r="BD143" s="532"/>
      <c r="BE143" s="532"/>
      <c r="BF143" s="532"/>
      <c r="BG143" s="532"/>
      <c r="BH143" s="532"/>
      <c r="BI143" s="532"/>
      <c r="BJ143" s="532"/>
      <c r="BK143" s="532"/>
      <c r="BL143" s="532"/>
      <c r="BM143" s="532"/>
      <c r="BN143" s="532"/>
      <c r="BO143" s="532"/>
      <c r="BP143" s="532"/>
      <c r="BQ143" s="532"/>
      <c r="BR143" s="532"/>
      <c r="BS143" s="532"/>
      <c r="BT143" s="532"/>
      <c r="BU143" s="532"/>
      <c r="BV143" s="532"/>
      <c r="BW143" s="532"/>
      <c r="BX143" s="532"/>
      <c r="BY143" s="532"/>
      <c r="BZ143" s="532"/>
      <c r="CA143" s="532"/>
      <c r="CB143" s="532"/>
      <c r="CC143" s="532"/>
      <c r="CD143" s="532"/>
      <c r="CE143" s="532"/>
      <c r="CF143" s="532"/>
      <c r="CG143" s="532"/>
      <c r="CH143" s="532"/>
      <c r="CI143" s="532"/>
      <c r="CJ143" s="532"/>
      <c r="CK143" s="532"/>
      <c r="CL143" s="532"/>
      <c r="CM143" s="532"/>
      <c r="CN143" s="532"/>
      <c r="CO143" s="532"/>
      <c r="CP143" s="532"/>
      <c r="CQ143" s="532"/>
      <c r="CR143" s="532"/>
      <c r="CS143" s="532"/>
      <c r="CT143" s="532"/>
      <c r="CU143" s="532"/>
      <c r="CV143" s="532"/>
      <c r="CW143" s="532"/>
      <c r="CX143" s="532"/>
      <c r="CY143" s="532"/>
      <c r="CZ143" s="532"/>
      <c r="DA143" s="532"/>
      <c r="DB143" s="532"/>
      <c r="DC143" s="532"/>
      <c r="DD143" s="532"/>
      <c r="DE143" s="532"/>
      <c r="DF143" s="532"/>
      <c r="DG143" s="532"/>
      <c r="DH143" s="532"/>
      <c r="DI143" s="532"/>
      <c r="DJ143" s="532"/>
      <c r="DK143" s="532"/>
      <c r="DL143" s="532"/>
      <c r="DM143" s="532"/>
      <c r="DN143" s="532"/>
      <c r="DO143" s="532"/>
      <c r="DP143" s="532"/>
      <c r="DQ143" s="532"/>
      <c r="DR143" s="532"/>
      <c r="DS143" s="532"/>
      <c r="DT143" s="532"/>
      <c r="DU143" s="532"/>
      <c r="DV143" s="532"/>
      <c r="DW143" s="532"/>
      <c r="DX143" s="532"/>
      <c r="DY143" s="532"/>
      <c r="DZ143" s="532"/>
      <c r="EA143" s="532"/>
      <c r="EB143" s="532"/>
      <c r="EC143" s="532"/>
      <c r="ED143" s="532"/>
      <c r="EE143" s="532"/>
      <c r="EF143" s="532"/>
      <c r="EG143" s="532"/>
      <c r="EH143" s="532"/>
      <c r="EI143" s="532"/>
      <c r="EJ143" s="532"/>
      <c r="EK143" s="532"/>
      <c r="EL143" s="532"/>
      <c r="EM143" s="532"/>
      <c r="EN143" s="532"/>
      <c r="EO143" s="532"/>
      <c r="EP143" s="532"/>
      <c r="EQ143" s="532"/>
      <c r="ER143" s="532"/>
      <c r="ES143" s="532"/>
      <c r="ET143" s="532"/>
      <c r="EU143" s="532"/>
      <c r="EV143" s="532"/>
      <c r="EW143" s="532"/>
      <c r="EX143" s="532"/>
      <c r="EY143" s="532"/>
      <c r="EZ143" s="532"/>
      <c r="FA143" s="532"/>
      <c r="FB143" s="532"/>
      <c r="FC143" s="532"/>
      <c r="FD143" s="532"/>
      <c r="FE143" s="532"/>
      <c r="FF143" s="532"/>
      <c r="FG143" s="532"/>
      <c r="FH143" s="532"/>
      <c r="FI143" s="532"/>
      <c r="FJ143" s="532"/>
      <c r="FK143" s="532"/>
      <c r="FL143" s="532"/>
      <c r="FM143" s="532"/>
      <c r="FN143" s="532"/>
      <c r="FO143" s="532"/>
      <c r="FP143" s="532"/>
    </row>
    <row r="144" spans="1:172" ht="12" customHeight="1" x14ac:dyDescent="0.2">
      <c r="A144" s="537" t="s">
        <v>104</v>
      </c>
      <c r="B144" s="534" t="s">
        <v>55</v>
      </c>
      <c r="C144" s="208">
        <f t="shared" ref="C144:N144" si="104">SUM(C137:C143)</f>
        <v>35</v>
      </c>
      <c r="D144" s="208">
        <f t="shared" si="104"/>
        <v>41</v>
      </c>
      <c r="E144" s="208">
        <f t="shared" si="104"/>
        <v>44</v>
      </c>
      <c r="F144" s="208">
        <f t="shared" si="104"/>
        <v>50</v>
      </c>
      <c r="G144" s="208">
        <f t="shared" si="104"/>
        <v>39</v>
      </c>
      <c r="H144" s="208">
        <f t="shared" si="104"/>
        <v>53</v>
      </c>
      <c r="I144" s="208">
        <f t="shared" si="104"/>
        <v>44</v>
      </c>
      <c r="J144" s="208">
        <f t="shared" si="104"/>
        <v>35</v>
      </c>
      <c r="K144" s="208">
        <f t="shared" si="104"/>
        <v>47</v>
      </c>
      <c r="L144" s="562">
        <f t="shared" si="104"/>
        <v>48</v>
      </c>
      <c r="M144" s="562">
        <f t="shared" si="104"/>
        <v>63</v>
      </c>
      <c r="N144" s="562">
        <f t="shared" si="104"/>
        <v>45</v>
      </c>
      <c r="O144" s="530">
        <f t="shared" si="103"/>
        <v>544</v>
      </c>
      <c r="P144" s="536"/>
      <c r="Q144" s="531"/>
      <c r="R144" s="531"/>
      <c r="S144" s="531"/>
      <c r="T144" s="531"/>
      <c r="U144" s="531"/>
      <c r="V144" s="531"/>
      <c r="W144" s="531"/>
      <c r="X144" s="531"/>
      <c r="Y144" s="531"/>
      <c r="Z144" s="531"/>
      <c r="AA144" s="531"/>
      <c r="AB144" s="531"/>
      <c r="AC144" s="531"/>
      <c r="AD144" s="531"/>
      <c r="AE144" s="531"/>
      <c r="AF144" s="531"/>
      <c r="AG144" s="531"/>
      <c r="AH144" s="532"/>
      <c r="AI144" s="532"/>
      <c r="AJ144" s="532"/>
      <c r="AK144" s="532"/>
      <c r="AL144" s="532"/>
      <c r="AM144" s="532"/>
      <c r="AN144" s="532"/>
      <c r="AO144" s="532"/>
      <c r="AP144" s="532"/>
      <c r="AQ144" s="532"/>
      <c r="AR144" s="532"/>
      <c r="AS144" s="532"/>
      <c r="AT144" s="532"/>
      <c r="AU144" s="532"/>
      <c r="AV144" s="532"/>
      <c r="AW144" s="532"/>
      <c r="AX144" s="532"/>
      <c r="AY144" s="532"/>
      <c r="AZ144" s="532"/>
      <c r="BA144" s="532"/>
      <c r="BB144" s="532"/>
      <c r="BC144" s="532"/>
      <c r="BD144" s="532"/>
      <c r="BE144" s="532"/>
      <c r="BF144" s="532"/>
      <c r="BG144" s="532"/>
      <c r="BH144" s="532"/>
      <c r="BI144" s="532"/>
      <c r="BJ144" s="532"/>
      <c r="BK144" s="532"/>
      <c r="BL144" s="532"/>
      <c r="BM144" s="532"/>
      <c r="BN144" s="532"/>
      <c r="BO144" s="532"/>
      <c r="BP144" s="532"/>
      <c r="BQ144" s="532"/>
      <c r="BR144" s="532"/>
      <c r="BS144" s="532"/>
      <c r="BT144" s="532"/>
      <c r="BU144" s="532"/>
      <c r="BV144" s="532"/>
      <c r="BW144" s="532"/>
      <c r="BX144" s="532"/>
      <c r="BY144" s="532"/>
      <c r="BZ144" s="532"/>
      <c r="CA144" s="532"/>
      <c r="CB144" s="532"/>
      <c r="CC144" s="532"/>
      <c r="CD144" s="532"/>
      <c r="CE144" s="532"/>
      <c r="CF144" s="532"/>
      <c r="CG144" s="532"/>
      <c r="CH144" s="532"/>
      <c r="CI144" s="532"/>
      <c r="CJ144" s="532"/>
      <c r="CK144" s="532"/>
      <c r="CL144" s="532"/>
      <c r="CM144" s="532"/>
      <c r="CN144" s="532"/>
      <c r="CO144" s="532"/>
      <c r="CP144" s="532"/>
      <c r="CQ144" s="532"/>
      <c r="CR144" s="532"/>
      <c r="CS144" s="532"/>
      <c r="CT144" s="532"/>
      <c r="CU144" s="532"/>
      <c r="CV144" s="532"/>
      <c r="CW144" s="532"/>
      <c r="CX144" s="532"/>
      <c r="CY144" s="532"/>
      <c r="CZ144" s="532"/>
      <c r="DA144" s="532"/>
      <c r="DB144" s="532"/>
      <c r="DC144" s="532"/>
      <c r="DD144" s="532"/>
      <c r="DE144" s="532"/>
      <c r="DF144" s="532"/>
      <c r="DG144" s="532"/>
      <c r="DH144" s="532"/>
      <c r="DI144" s="532"/>
      <c r="DJ144" s="532"/>
      <c r="DK144" s="532"/>
      <c r="DL144" s="532"/>
      <c r="DM144" s="532"/>
      <c r="DN144" s="532"/>
      <c r="DO144" s="532"/>
      <c r="DP144" s="532"/>
      <c r="DQ144" s="532"/>
      <c r="DR144" s="532"/>
      <c r="DS144" s="532"/>
      <c r="DT144" s="532"/>
      <c r="DU144" s="532"/>
      <c r="DV144" s="532"/>
      <c r="DW144" s="532"/>
      <c r="DX144" s="532"/>
      <c r="DY144" s="532"/>
      <c r="DZ144" s="532"/>
      <c r="EA144" s="532"/>
      <c r="EB144" s="532"/>
      <c r="EC144" s="532"/>
      <c r="ED144" s="532"/>
      <c r="EE144" s="532"/>
      <c r="EF144" s="532"/>
      <c r="EG144" s="532"/>
      <c r="EH144" s="532"/>
      <c r="EI144" s="532"/>
      <c r="EJ144" s="532"/>
      <c r="EK144" s="532"/>
      <c r="EL144" s="532"/>
      <c r="EM144" s="532"/>
      <c r="EN144" s="532"/>
      <c r="EO144" s="532"/>
      <c r="EP144" s="532"/>
      <c r="EQ144" s="532"/>
      <c r="ER144" s="532"/>
      <c r="ES144" s="532"/>
      <c r="ET144" s="532"/>
      <c r="EU144" s="532"/>
      <c r="EV144" s="532"/>
      <c r="EW144" s="532"/>
      <c r="EX144" s="532"/>
      <c r="EY144" s="532"/>
      <c r="EZ144" s="532"/>
      <c r="FA144" s="532"/>
      <c r="FB144" s="532"/>
      <c r="FC144" s="532"/>
      <c r="FD144" s="532"/>
      <c r="FE144" s="532"/>
      <c r="FF144" s="532"/>
      <c r="FG144" s="532"/>
      <c r="FH144" s="532"/>
      <c r="FI144" s="532"/>
      <c r="FJ144" s="532"/>
      <c r="FK144" s="532"/>
      <c r="FL144" s="532"/>
      <c r="FM144" s="532"/>
      <c r="FN144" s="532"/>
      <c r="FO144" s="532"/>
      <c r="FP144" s="532"/>
    </row>
    <row r="145" spans="1:172" ht="12" customHeight="1" x14ac:dyDescent="0.2">
      <c r="A145" s="537" t="s">
        <v>105</v>
      </c>
      <c r="B145" s="534"/>
      <c r="C145" s="208">
        <v>5</v>
      </c>
      <c r="D145" s="208">
        <v>9</v>
      </c>
      <c r="E145" s="208">
        <f>14-6</f>
        <v>8</v>
      </c>
      <c r="F145" s="208">
        <f>11-3</f>
        <v>8</v>
      </c>
      <c r="G145" s="208">
        <v>12</v>
      </c>
      <c r="H145" s="208">
        <f>14-6</f>
        <v>8</v>
      </c>
      <c r="I145" s="208">
        <f>11-3</f>
        <v>8</v>
      </c>
      <c r="J145" s="208">
        <v>7</v>
      </c>
      <c r="K145" s="208">
        <f>15-5</f>
        <v>10</v>
      </c>
      <c r="L145" s="562">
        <v>10</v>
      </c>
      <c r="M145" s="562">
        <v>11</v>
      </c>
      <c r="N145" s="562">
        <v>10</v>
      </c>
      <c r="O145" s="530">
        <f t="shared" si="103"/>
        <v>106</v>
      </c>
      <c r="P145" s="536"/>
      <c r="Q145" s="531"/>
      <c r="R145" s="531"/>
      <c r="S145" s="531"/>
      <c r="T145" s="531"/>
      <c r="U145" s="531"/>
      <c r="V145" s="531"/>
      <c r="W145" s="531"/>
      <c r="X145" s="531"/>
      <c r="Y145" s="531"/>
      <c r="Z145" s="531"/>
      <c r="AA145" s="531"/>
      <c r="AB145" s="531"/>
      <c r="AC145" s="531"/>
      <c r="AD145" s="531"/>
      <c r="AE145" s="531"/>
      <c r="AF145" s="531"/>
      <c r="AG145" s="531"/>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532"/>
      <c r="DB145" s="532"/>
      <c r="DC145" s="532"/>
      <c r="DD145" s="532"/>
      <c r="DE145" s="532"/>
      <c r="DF145" s="532"/>
      <c r="DG145" s="532"/>
      <c r="DH145" s="532"/>
      <c r="DI145" s="532"/>
      <c r="DJ145" s="532"/>
      <c r="DK145" s="532"/>
      <c r="DL145" s="532"/>
      <c r="DM145" s="532"/>
      <c r="DN145" s="532"/>
      <c r="DO145" s="532"/>
      <c r="DP145" s="532"/>
      <c r="DQ145" s="532"/>
      <c r="DR145" s="532"/>
      <c r="DS145" s="532"/>
      <c r="DT145" s="532"/>
      <c r="DU145" s="532"/>
      <c r="DV145" s="532"/>
      <c r="DW145" s="532"/>
      <c r="DX145" s="532"/>
      <c r="DY145" s="532"/>
      <c r="DZ145" s="532"/>
      <c r="EA145" s="532"/>
      <c r="EB145" s="532"/>
      <c r="EC145" s="532"/>
      <c r="ED145" s="532"/>
      <c r="EE145" s="532"/>
      <c r="EF145" s="532"/>
      <c r="EG145" s="532"/>
      <c r="EH145" s="532"/>
      <c r="EI145" s="532"/>
      <c r="EJ145" s="532"/>
      <c r="EK145" s="532"/>
      <c r="EL145" s="532"/>
      <c r="EM145" s="532"/>
      <c r="EN145" s="532"/>
      <c r="EO145" s="532"/>
      <c r="EP145" s="532"/>
      <c r="EQ145" s="532"/>
      <c r="ER145" s="532"/>
      <c r="ES145" s="532"/>
      <c r="ET145" s="532"/>
      <c r="EU145" s="532"/>
      <c r="EV145" s="532"/>
      <c r="EW145" s="532"/>
      <c r="EX145" s="532"/>
      <c r="EY145" s="532"/>
      <c r="EZ145" s="532"/>
      <c r="FA145" s="532"/>
      <c r="FB145" s="532"/>
      <c r="FC145" s="532"/>
      <c r="FD145" s="532"/>
      <c r="FE145" s="532"/>
      <c r="FF145" s="532"/>
      <c r="FG145" s="532"/>
      <c r="FH145" s="532"/>
      <c r="FI145" s="532"/>
      <c r="FJ145" s="532"/>
      <c r="FK145" s="532"/>
      <c r="FL145" s="532"/>
      <c r="FM145" s="532"/>
      <c r="FN145" s="532"/>
      <c r="FO145" s="532"/>
      <c r="FP145" s="532"/>
    </row>
    <row r="146" spans="1:172" ht="12" customHeight="1" x14ac:dyDescent="0.2">
      <c r="A146" s="534" t="s">
        <v>77</v>
      </c>
      <c r="B146" s="534"/>
      <c r="C146" s="208">
        <f t="shared" ref="C146:N146" si="105">SUM(C144:C145)</f>
        <v>40</v>
      </c>
      <c r="D146" s="208">
        <f t="shared" si="105"/>
        <v>50</v>
      </c>
      <c r="E146" s="208">
        <f t="shared" si="105"/>
        <v>52</v>
      </c>
      <c r="F146" s="208">
        <f t="shared" si="105"/>
        <v>58</v>
      </c>
      <c r="G146" s="208">
        <f t="shared" si="105"/>
        <v>51</v>
      </c>
      <c r="H146" s="208">
        <f t="shared" si="105"/>
        <v>61</v>
      </c>
      <c r="I146" s="208">
        <f t="shared" si="105"/>
        <v>52</v>
      </c>
      <c r="J146" s="208">
        <f t="shared" si="105"/>
        <v>42</v>
      </c>
      <c r="K146" s="208">
        <f t="shared" si="105"/>
        <v>57</v>
      </c>
      <c r="L146" s="562">
        <f t="shared" si="105"/>
        <v>58</v>
      </c>
      <c r="M146" s="562">
        <f t="shared" si="105"/>
        <v>74</v>
      </c>
      <c r="N146" s="562">
        <f t="shared" si="105"/>
        <v>55</v>
      </c>
      <c r="O146" s="530">
        <f t="shared" si="103"/>
        <v>650</v>
      </c>
      <c r="P146" s="536"/>
      <c r="Q146" s="531"/>
      <c r="R146" s="531"/>
      <c r="S146" s="531"/>
      <c r="T146" s="531"/>
      <c r="U146" s="531"/>
      <c r="V146" s="531"/>
      <c r="W146" s="531"/>
      <c r="X146" s="531"/>
      <c r="Y146" s="531"/>
      <c r="Z146" s="531"/>
      <c r="AA146" s="531"/>
      <c r="AB146" s="531"/>
      <c r="AC146" s="531"/>
      <c r="AD146" s="531"/>
      <c r="AE146" s="531"/>
      <c r="AF146" s="531"/>
      <c r="AG146" s="531"/>
      <c r="AH146" s="532"/>
      <c r="AI146" s="532"/>
      <c r="AJ146" s="532"/>
      <c r="AK146" s="532"/>
      <c r="AL146" s="532"/>
      <c r="AM146" s="532"/>
      <c r="AN146" s="532"/>
      <c r="AO146" s="532"/>
      <c r="AP146" s="532"/>
      <c r="AQ146" s="532"/>
      <c r="AR146" s="532"/>
      <c r="AS146" s="532"/>
      <c r="AT146" s="532"/>
      <c r="AU146" s="532"/>
      <c r="AV146" s="532"/>
      <c r="AW146" s="532"/>
      <c r="AX146" s="532"/>
      <c r="AY146" s="532"/>
      <c r="AZ146" s="532"/>
      <c r="BA146" s="532"/>
      <c r="BB146" s="532"/>
      <c r="BC146" s="532"/>
      <c r="BD146" s="532"/>
      <c r="BE146" s="532"/>
      <c r="BF146" s="532"/>
      <c r="BG146" s="532"/>
      <c r="BH146" s="532"/>
      <c r="BI146" s="532"/>
      <c r="BJ146" s="532"/>
      <c r="BK146" s="532"/>
      <c r="BL146" s="532"/>
      <c r="BM146" s="532"/>
      <c r="BN146" s="532"/>
      <c r="BO146" s="532"/>
      <c r="BP146" s="532"/>
      <c r="BQ146" s="532"/>
      <c r="BR146" s="532"/>
      <c r="BS146" s="532"/>
      <c r="BT146" s="532"/>
      <c r="BU146" s="532"/>
      <c r="BV146" s="532"/>
      <c r="BW146" s="532"/>
      <c r="BX146" s="532"/>
      <c r="BY146" s="532"/>
      <c r="BZ146" s="532"/>
      <c r="CA146" s="532"/>
      <c r="CB146" s="532"/>
      <c r="CC146" s="532"/>
      <c r="CD146" s="532"/>
      <c r="CE146" s="532"/>
      <c r="CF146" s="532"/>
      <c r="CG146" s="532"/>
      <c r="CH146" s="532"/>
      <c r="CI146" s="532"/>
      <c r="CJ146" s="532"/>
      <c r="CK146" s="532"/>
      <c r="CL146" s="532"/>
      <c r="CM146" s="532"/>
      <c r="CN146" s="532"/>
      <c r="CO146" s="532"/>
      <c r="CP146" s="532"/>
      <c r="CQ146" s="532"/>
      <c r="CR146" s="532"/>
      <c r="CS146" s="532"/>
      <c r="CT146" s="532"/>
      <c r="CU146" s="532"/>
      <c r="CV146" s="532"/>
      <c r="CW146" s="532"/>
      <c r="CX146" s="532"/>
      <c r="CY146" s="532"/>
      <c r="CZ146" s="532"/>
      <c r="DA146" s="532"/>
      <c r="DB146" s="532"/>
      <c r="DC146" s="532"/>
      <c r="DD146" s="532"/>
      <c r="DE146" s="532"/>
      <c r="DF146" s="532"/>
      <c r="DG146" s="532"/>
      <c r="DH146" s="532"/>
      <c r="DI146" s="532"/>
      <c r="DJ146" s="532"/>
      <c r="DK146" s="532"/>
      <c r="DL146" s="532"/>
      <c r="DM146" s="532"/>
      <c r="DN146" s="532"/>
      <c r="DO146" s="532"/>
      <c r="DP146" s="532"/>
      <c r="DQ146" s="532"/>
      <c r="DR146" s="532"/>
      <c r="DS146" s="532"/>
      <c r="DT146" s="532"/>
      <c r="DU146" s="532"/>
      <c r="DV146" s="532"/>
      <c r="DW146" s="532"/>
      <c r="DX146" s="532"/>
      <c r="DY146" s="532"/>
      <c r="DZ146" s="532"/>
      <c r="EA146" s="532"/>
      <c r="EB146" s="532"/>
      <c r="EC146" s="532"/>
      <c r="ED146" s="532"/>
      <c r="EE146" s="532"/>
      <c r="EF146" s="532"/>
      <c r="EG146" s="532"/>
      <c r="EH146" s="532"/>
      <c r="EI146" s="532"/>
      <c r="EJ146" s="532"/>
      <c r="EK146" s="532"/>
      <c r="EL146" s="532"/>
      <c r="EM146" s="532"/>
      <c r="EN146" s="532"/>
      <c r="EO146" s="532"/>
      <c r="EP146" s="532"/>
      <c r="EQ146" s="532"/>
      <c r="ER146" s="532"/>
      <c r="ES146" s="532"/>
      <c r="ET146" s="532"/>
      <c r="EU146" s="532"/>
      <c r="EV146" s="532"/>
      <c r="EW146" s="532"/>
      <c r="EX146" s="532"/>
      <c r="EY146" s="532"/>
      <c r="EZ146" s="532"/>
      <c r="FA146" s="532"/>
      <c r="FB146" s="532"/>
      <c r="FC146" s="532"/>
      <c r="FD146" s="532"/>
      <c r="FE146" s="532"/>
      <c r="FF146" s="532"/>
      <c r="FG146" s="532"/>
      <c r="FH146" s="532"/>
      <c r="FI146" s="532"/>
      <c r="FJ146" s="532"/>
      <c r="FK146" s="532"/>
      <c r="FL146" s="532"/>
      <c r="FM146" s="532"/>
      <c r="FN146" s="532"/>
      <c r="FO146" s="532"/>
      <c r="FP146" s="532"/>
    </row>
    <row r="147" spans="1:172" ht="12" customHeight="1" x14ac:dyDescent="0.2">
      <c r="A147" s="533"/>
      <c r="B147" s="534"/>
      <c r="C147" s="534"/>
      <c r="D147" s="534"/>
      <c r="E147" s="534"/>
      <c r="F147" s="534"/>
      <c r="G147" s="534"/>
      <c r="H147" s="534"/>
      <c r="I147" s="534"/>
      <c r="J147" s="534"/>
      <c r="K147" s="658"/>
      <c r="L147" s="562"/>
      <c r="M147" s="562"/>
      <c r="N147" s="562"/>
      <c r="O147" s="530"/>
      <c r="P147" s="536"/>
      <c r="Q147" s="531"/>
      <c r="R147" s="531"/>
      <c r="S147" s="531"/>
      <c r="T147" s="531"/>
      <c r="U147" s="531"/>
      <c r="V147" s="531"/>
      <c r="W147" s="531"/>
      <c r="X147" s="531"/>
      <c r="Y147" s="531"/>
      <c r="Z147" s="531"/>
      <c r="AA147" s="531"/>
      <c r="AB147" s="531"/>
      <c r="AC147" s="531"/>
      <c r="AD147" s="531"/>
      <c r="AE147" s="531"/>
      <c r="AF147" s="531"/>
      <c r="AG147" s="531"/>
      <c r="AH147" s="532"/>
      <c r="AI147" s="532"/>
      <c r="AJ147" s="532"/>
      <c r="AK147" s="532"/>
      <c r="AL147" s="532"/>
      <c r="AM147" s="532"/>
      <c r="AN147" s="532"/>
      <c r="AO147" s="532"/>
      <c r="AP147" s="532"/>
      <c r="AQ147" s="532"/>
      <c r="AR147" s="532"/>
      <c r="AS147" s="532"/>
      <c r="AT147" s="532"/>
      <c r="AU147" s="532"/>
      <c r="AV147" s="532"/>
      <c r="AW147" s="532"/>
      <c r="AX147" s="532"/>
      <c r="AY147" s="532"/>
      <c r="AZ147" s="532"/>
      <c r="BA147" s="532"/>
      <c r="BB147" s="532"/>
      <c r="BC147" s="532"/>
      <c r="BD147" s="532"/>
      <c r="BE147" s="532"/>
      <c r="BF147" s="532"/>
      <c r="BG147" s="532"/>
      <c r="BH147" s="532"/>
      <c r="BI147" s="532"/>
      <c r="BJ147" s="532"/>
      <c r="BK147" s="532"/>
      <c r="BL147" s="532"/>
      <c r="BM147" s="532"/>
      <c r="BN147" s="532"/>
      <c r="BO147" s="532"/>
      <c r="BP147" s="532"/>
      <c r="BQ147" s="532"/>
      <c r="BR147" s="532"/>
      <c r="BS147" s="532"/>
      <c r="BT147" s="532"/>
      <c r="BU147" s="532"/>
      <c r="BV147" s="532"/>
      <c r="BW147" s="532"/>
      <c r="BX147" s="532"/>
      <c r="BY147" s="532"/>
      <c r="BZ147" s="532"/>
      <c r="CA147" s="532"/>
      <c r="CB147" s="532"/>
      <c r="CC147" s="532"/>
      <c r="CD147" s="532"/>
      <c r="CE147" s="532"/>
      <c r="CF147" s="532"/>
      <c r="CG147" s="532"/>
      <c r="CH147" s="532"/>
      <c r="CI147" s="532"/>
      <c r="CJ147" s="532"/>
      <c r="CK147" s="532"/>
      <c r="CL147" s="532"/>
      <c r="CM147" s="532"/>
      <c r="CN147" s="532"/>
      <c r="CO147" s="532"/>
      <c r="CP147" s="532"/>
      <c r="CQ147" s="532"/>
      <c r="CR147" s="532"/>
      <c r="CS147" s="532"/>
      <c r="CT147" s="532"/>
      <c r="CU147" s="532"/>
      <c r="CV147" s="532"/>
      <c r="CW147" s="532"/>
      <c r="CX147" s="532"/>
      <c r="CY147" s="532"/>
      <c r="CZ147" s="532"/>
      <c r="DA147" s="532"/>
      <c r="DB147" s="532"/>
      <c r="DC147" s="532"/>
      <c r="DD147" s="532"/>
      <c r="DE147" s="532"/>
      <c r="DF147" s="532"/>
      <c r="DG147" s="532"/>
      <c r="DH147" s="532"/>
      <c r="DI147" s="532"/>
      <c r="DJ147" s="532"/>
      <c r="DK147" s="532"/>
      <c r="DL147" s="532"/>
      <c r="DM147" s="532"/>
      <c r="DN147" s="532"/>
      <c r="DO147" s="532"/>
      <c r="DP147" s="532"/>
      <c r="DQ147" s="532"/>
      <c r="DR147" s="532"/>
      <c r="DS147" s="532"/>
      <c r="DT147" s="532"/>
      <c r="DU147" s="532"/>
      <c r="DV147" s="532"/>
      <c r="DW147" s="532"/>
      <c r="DX147" s="532"/>
      <c r="DY147" s="532"/>
      <c r="DZ147" s="532"/>
      <c r="EA147" s="532"/>
      <c r="EB147" s="532"/>
      <c r="EC147" s="532"/>
      <c r="ED147" s="532"/>
      <c r="EE147" s="532"/>
      <c r="EF147" s="532"/>
      <c r="EG147" s="532"/>
      <c r="EH147" s="532"/>
      <c r="EI147" s="532"/>
      <c r="EJ147" s="532"/>
      <c r="EK147" s="532"/>
      <c r="EL147" s="532"/>
      <c r="EM147" s="532"/>
      <c r="EN147" s="532"/>
      <c r="EO147" s="532"/>
      <c r="EP147" s="532"/>
      <c r="EQ147" s="532"/>
      <c r="ER147" s="532"/>
      <c r="ES147" s="532"/>
      <c r="ET147" s="532"/>
      <c r="EU147" s="532"/>
      <c r="EV147" s="532"/>
      <c r="EW147" s="532"/>
      <c r="EX147" s="532"/>
      <c r="EY147" s="532"/>
      <c r="EZ147" s="532"/>
      <c r="FA147" s="532"/>
      <c r="FB147" s="532"/>
      <c r="FC147" s="532"/>
      <c r="FD147" s="532"/>
      <c r="FE147" s="532"/>
      <c r="FF147" s="532"/>
      <c r="FG147" s="532"/>
      <c r="FH147" s="532"/>
      <c r="FI147" s="532"/>
      <c r="FJ147" s="532"/>
      <c r="FK147" s="532"/>
      <c r="FL147" s="532"/>
      <c r="FM147" s="532"/>
      <c r="FN147" s="532"/>
      <c r="FO147" s="532"/>
      <c r="FP147" s="532"/>
    </row>
    <row r="148" spans="1:172" ht="12" customHeight="1" x14ac:dyDescent="0.2">
      <c r="A148" s="533" t="s">
        <v>106</v>
      </c>
      <c r="B148" s="534"/>
      <c r="C148" s="534"/>
      <c r="D148" s="534"/>
      <c r="E148" s="534"/>
      <c r="F148" s="534"/>
      <c r="G148" s="534"/>
      <c r="H148" s="534"/>
      <c r="I148" s="534"/>
      <c r="J148" s="534"/>
      <c r="K148" s="658"/>
      <c r="L148" s="562"/>
      <c r="M148" s="562"/>
      <c r="N148" s="562"/>
      <c r="O148" s="530"/>
      <c r="P148" s="536"/>
      <c r="Q148" s="531"/>
      <c r="R148" s="531"/>
      <c r="S148" s="531"/>
      <c r="T148" s="531"/>
      <c r="U148" s="531"/>
      <c r="V148" s="531"/>
      <c r="W148" s="531"/>
      <c r="X148" s="531"/>
      <c r="Y148" s="531"/>
      <c r="Z148" s="531"/>
      <c r="AA148" s="531"/>
      <c r="AB148" s="531"/>
      <c r="AC148" s="531"/>
      <c r="AD148" s="531"/>
      <c r="AE148" s="531"/>
      <c r="AF148" s="531"/>
      <c r="AG148" s="531"/>
      <c r="AH148" s="532"/>
      <c r="AI148" s="532"/>
      <c r="AJ148" s="532"/>
      <c r="AK148" s="532"/>
      <c r="AL148" s="532"/>
      <c r="AM148" s="532"/>
      <c r="AN148" s="532"/>
      <c r="AO148" s="532"/>
      <c r="AP148" s="532"/>
      <c r="AQ148" s="532"/>
      <c r="AR148" s="532"/>
      <c r="AS148" s="532"/>
      <c r="AT148" s="532"/>
      <c r="AU148" s="532"/>
      <c r="AV148" s="532"/>
      <c r="AW148" s="532"/>
      <c r="AX148" s="532"/>
      <c r="AY148" s="532"/>
      <c r="AZ148" s="532"/>
      <c r="BA148" s="532"/>
      <c r="BB148" s="532"/>
      <c r="BC148" s="532"/>
      <c r="BD148" s="532"/>
      <c r="BE148" s="532"/>
      <c r="BF148" s="532"/>
      <c r="BG148" s="532"/>
      <c r="BH148" s="532"/>
      <c r="BI148" s="532"/>
      <c r="BJ148" s="532"/>
      <c r="BK148" s="532"/>
      <c r="BL148" s="532"/>
      <c r="BM148" s="532"/>
      <c r="BN148" s="532"/>
      <c r="BO148" s="532"/>
      <c r="BP148" s="532"/>
      <c r="BQ148" s="532"/>
      <c r="BR148" s="532"/>
      <c r="BS148" s="532"/>
      <c r="BT148" s="532"/>
      <c r="BU148" s="532"/>
      <c r="BV148" s="532"/>
      <c r="BW148" s="532"/>
      <c r="BX148" s="532"/>
      <c r="BY148" s="532"/>
      <c r="BZ148" s="532"/>
      <c r="CA148" s="532"/>
      <c r="CB148" s="532"/>
      <c r="CC148" s="532"/>
      <c r="CD148" s="532"/>
      <c r="CE148" s="532"/>
      <c r="CF148" s="532"/>
      <c r="CG148" s="532"/>
      <c r="CH148" s="532"/>
      <c r="CI148" s="532"/>
      <c r="CJ148" s="532"/>
      <c r="CK148" s="532"/>
      <c r="CL148" s="532"/>
      <c r="CM148" s="532"/>
      <c r="CN148" s="532"/>
      <c r="CO148" s="532"/>
      <c r="CP148" s="532"/>
      <c r="CQ148" s="532"/>
      <c r="CR148" s="532"/>
      <c r="CS148" s="532"/>
      <c r="CT148" s="532"/>
      <c r="CU148" s="532"/>
      <c r="CV148" s="532"/>
      <c r="CW148" s="532"/>
      <c r="CX148" s="532"/>
      <c r="CY148" s="532"/>
      <c r="CZ148" s="532"/>
      <c r="DA148" s="532"/>
      <c r="DB148" s="532"/>
      <c r="DC148" s="532"/>
      <c r="DD148" s="532"/>
      <c r="DE148" s="532"/>
      <c r="DF148" s="532"/>
      <c r="DG148" s="532"/>
      <c r="DH148" s="532"/>
      <c r="DI148" s="532"/>
      <c r="DJ148" s="532"/>
      <c r="DK148" s="532"/>
      <c r="DL148" s="532"/>
      <c r="DM148" s="532"/>
      <c r="DN148" s="532"/>
      <c r="DO148" s="532"/>
      <c r="DP148" s="532"/>
      <c r="DQ148" s="532"/>
      <c r="DR148" s="532"/>
      <c r="DS148" s="532"/>
      <c r="DT148" s="532"/>
      <c r="DU148" s="532"/>
      <c r="DV148" s="532"/>
      <c r="DW148" s="532"/>
      <c r="DX148" s="532"/>
      <c r="DY148" s="532"/>
      <c r="DZ148" s="532"/>
      <c r="EA148" s="532"/>
      <c r="EB148" s="532"/>
      <c r="EC148" s="532"/>
      <c r="ED148" s="532"/>
      <c r="EE148" s="532"/>
      <c r="EF148" s="532"/>
      <c r="EG148" s="532"/>
      <c r="EH148" s="532"/>
      <c r="EI148" s="532"/>
      <c r="EJ148" s="532"/>
      <c r="EK148" s="532"/>
      <c r="EL148" s="532"/>
      <c r="EM148" s="532"/>
      <c r="EN148" s="532"/>
      <c r="EO148" s="532"/>
      <c r="EP148" s="532"/>
      <c r="EQ148" s="532"/>
      <c r="ER148" s="532"/>
      <c r="ES148" s="532"/>
      <c r="ET148" s="532"/>
      <c r="EU148" s="532"/>
      <c r="EV148" s="532"/>
      <c r="EW148" s="532"/>
      <c r="EX148" s="532"/>
      <c r="EY148" s="532"/>
      <c r="EZ148" s="532"/>
      <c r="FA148" s="532"/>
      <c r="FB148" s="532"/>
      <c r="FC148" s="532"/>
      <c r="FD148" s="532"/>
      <c r="FE148" s="532"/>
      <c r="FF148" s="532"/>
      <c r="FG148" s="532"/>
      <c r="FH148" s="532"/>
      <c r="FI148" s="532"/>
      <c r="FJ148" s="532"/>
      <c r="FK148" s="532"/>
      <c r="FL148" s="532"/>
      <c r="FM148" s="532"/>
      <c r="FN148" s="532"/>
      <c r="FO148" s="532"/>
      <c r="FP148" s="532"/>
    </row>
    <row r="149" spans="1:172" ht="12" customHeight="1" x14ac:dyDescent="0.2">
      <c r="A149" s="533" t="s">
        <v>107</v>
      </c>
      <c r="B149" s="534"/>
      <c r="C149" s="208">
        <v>23</v>
      </c>
      <c r="D149" s="208">
        <v>19</v>
      </c>
      <c r="E149" s="208">
        <v>24</v>
      </c>
      <c r="F149" s="208">
        <v>28</v>
      </c>
      <c r="G149" s="208">
        <f>24-1</f>
        <v>23</v>
      </c>
      <c r="H149" s="208">
        <v>31</v>
      </c>
      <c r="I149" s="208">
        <v>23</v>
      </c>
      <c r="J149" s="208">
        <v>23</v>
      </c>
      <c r="K149" s="208">
        <v>28</v>
      </c>
      <c r="L149" s="562">
        <v>32</v>
      </c>
      <c r="M149" s="562">
        <v>30</v>
      </c>
      <c r="N149" s="562">
        <v>33</v>
      </c>
      <c r="O149" s="530">
        <f>SUM(C149:N149)</f>
        <v>317</v>
      </c>
      <c r="P149" s="536" t="s">
        <v>55</v>
      </c>
      <c r="Q149" s="531"/>
      <c r="R149" s="531"/>
      <c r="S149" s="531"/>
      <c r="T149" s="531"/>
      <c r="U149" s="531"/>
      <c r="V149" s="531"/>
      <c r="W149" s="531"/>
      <c r="X149" s="531"/>
      <c r="Y149" s="531"/>
      <c r="Z149" s="531"/>
      <c r="AA149" s="531"/>
      <c r="AB149" s="531"/>
      <c r="AC149" s="531"/>
      <c r="AD149" s="531"/>
      <c r="AE149" s="531"/>
      <c r="AF149" s="531"/>
      <c r="AG149" s="531"/>
      <c r="AH149" s="532"/>
      <c r="AI149" s="532"/>
      <c r="AJ149" s="532"/>
      <c r="AK149" s="532"/>
      <c r="AL149" s="532"/>
      <c r="AM149" s="532"/>
      <c r="AN149" s="532"/>
      <c r="AO149" s="532"/>
      <c r="AP149" s="532"/>
      <c r="AQ149" s="532"/>
      <c r="AR149" s="532"/>
      <c r="AS149" s="532"/>
      <c r="AT149" s="532"/>
      <c r="AU149" s="532"/>
      <c r="AV149" s="532"/>
      <c r="AW149" s="532"/>
      <c r="AX149" s="532"/>
      <c r="AY149" s="532"/>
      <c r="AZ149" s="532"/>
      <c r="BA149" s="532"/>
      <c r="BB149" s="532"/>
      <c r="BC149" s="532"/>
      <c r="BD149" s="532"/>
      <c r="BE149" s="532"/>
      <c r="BF149" s="532"/>
      <c r="BG149" s="532"/>
      <c r="BH149" s="532"/>
      <c r="BI149" s="532"/>
      <c r="BJ149" s="532"/>
      <c r="BK149" s="532"/>
      <c r="BL149" s="532"/>
      <c r="BM149" s="532"/>
      <c r="BN149" s="532"/>
      <c r="BO149" s="532"/>
      <c r="BP149" s="532"/>
      <c r="BQ149" s="532"/>
      <c r="BR149" s="532"/>
      <c r="BS149" s="532"/>
      <c r="BT149" s="532"/>
      <c r="BU149" s="532"/>
      <c r="BV149" s="532"/>
      <c r="BW149" s="532"/>
      <c r="BX149" s="532"/>
      <c r="BY149" s="532"/>
      <c r="BZ149" s="532"/>
      <c r="CA149" s="532"/>
      <c r="CB149" s="532"/>
      <c r="CC149" s="532"/>
      <c r="CD149" s="532"/>
      <c r="CE149" s="532"/>
      <c r="CF149" s="532"/>
      <c r="CG149" s="532"/>
      <c r="CH149" s="532"/>
      <c r="CI149" s="532"/>
      <c r="CJ149" s="532"/>
      <c r="CK149" s="532"/>
      <c r="CL149" s="532"/>
      <c r="CM149" s="532"/>
      <c r="CN149" s="532"/>
      <c r="CO149" s="532"/>
      <c r="CP149" s="532"/>
      <c r="CQ149" s="532"/>
      <c r="CR149" s="532"/>
      <c r="CS149" s="532"/>
      <c r="CT149" s="532"/>
      <c r="CU149" s="532"/>
      <c r="CV149" s="532"/>
      <c r="CW149" s="532"/>
      <c r="CX149" s="532"/>
      <c r="CY149" s="532"/>
      <c r="CZ149" s="532"/>
      <c r="DA149" s="532"/>
      <c r="DB149" s="532"/>
      <c r="DC149" s="532"/>
      <c r="DD149" s="532"/>
      <c r="DE149" s="532"/>
      <c r="DF149" s="532"/>
      <c r="DG149" s="532"/>
      <c r="DH149" s="532"/>
      <c r="DI149" s="532"/>
      <c r="DJ149" s="532"/>
      <c r="DK149" s="532"/>
      <c r="DL149" s="532"/>
      <c r="DM149" s="532"/>
      <c r="DN149" s="532"/>
      <c r="DO149" s="532"/>
      <c r="DP149" s="532"/>
      <c r="DQ149" s="532"/>
      <c r="DR149" s="532"/>
      <c r="DS149" s="532"/>
      <c r="DT149" s="532"/>
      <c r="DU149" s="532"/>
      <c r="DV149" s="532"/>
      <c r="DW149" s="532"/>
      <c r="DX149" s="532"/>
      <c r="DY149" s="532"/>
      <c r="DZ149" s="532"/>
      <c r="EA149" s="532"/>
      <c r="EB149" s="532"/>
      <c r="EC149" s="532"/>
      <c r="ED149" s="532"/>
      <c r="EE149" s="532"/>
      <c r="EF149" s="532"/>
      <c r="EG149" s="532"/>
      <c r="EH149" s="532"/>
      <c r="EI149" s="532"/>
      <c r="EJ149" s="532"/>
      <c r="EK149" s="532"/>
      <c r="EL149" s="532"/>
      <c r="EM149" s="532"/>
      <c r="EN149" s="532"/>
      <c r="EO149" s="532"/>
      <c r="EP149" s="532"/>
      <c r="EQ149" s="532"/>
      <c r="ER149" s="532"/>
      <c r="ES149" s="532"/>
      <c r="ET149" s="532"/>
      <c r="EU149" s="532"/>
      <c r="EV149" s="532"/>
      <c r="EW149" s="532"/>
      <c r="EX149" s="532"/>
      <c r="EY149" s="532"/>
      <c r="EZ149" s="532"/>
      <c r="FA149" s="532"/>
      <c r="FB149" s="532"/>
      <c r="FC149" s="532"/>
      <c r="FD149" s="532"/>
      <c r="FE149" s="532"/>
      <c r="FF149" s="532"/>
      <c r="FG149" s="532"/>
      <c r="FH149" s="532"/>
      <c r="FI149" s="532"/>
      <c r="FJ149" s="532"/>
      <c r="FK149" s="532"/>
      <c r="FL149" s="532"/>
      <c r="FM149" s="532"/>
      <c r="FN149" s="532"/>
      <c r="FO149" s="532"/>
      <c r="FP149" s="532"/>
    </row>
    <row r="150" spans="1:172" ht="12" customHeight="1" x14ac:dyDescent="0.2">
      <c r="A150" s="533" t="s">
        <v>108</v>
      </c>
      <c r="B150" s="534"/>
      <c r="C150" s="208">
        <v>1</v>
      </c>
      <c r="D150" s="208">
        <v>0</v>
      </c>
      <c r="E150" s="208">
        <v>0</v>
      </c>
      <c r="F150" s="208">
        <v>1</v>
      </c>
      <c r="G150" s="208">
        <v>0</v>
      </c>
      <c r="H150" s="208">
        <v>0</v>
      </c>
      <c r="I150" s="208">
        <v>0</v>
      </c>
      <c r="J150" s="208">
        <v>0</v>
      </c>
      <c r="K150" s="208">
        <v>1</v>
      </c>
      <c r="L150" s="562">
        <v>1</v>
      </c>
      <c r="M150" s="562">
        <v>1</v>
      </c>
      <c r="N150" s="562">
        <v>0</v>
      </c>
      <c r="O150" s="530">
        <f t="shared" ref="O150:O158" si="106">SUM(C150:N150)</f>
        <v>5</v>
      </c>
      <c r="P150" s="536" t="s">
        <v>55</v>
      </c>
      <c r="Q150" s="531"/>
      <c r="R150" s="531"/>
      <c r="S150" s="531"/>
      <c r="T150" s="531"/>
      <c r="U150" s="531"/>
      <c r="V150" s="531"/>
      <c r="W150" s="531"/>
      <c r="X150" s="531"/>
      <c r="Y150" s="531"/>
      <c r="Z150" s="531"/>
      <c r="AA150" s="531"/>
      <c r="AB150" s="531"/>
      <c r="AC150" s="531"/>
      <c r="AD150" s="531"/>
      <c r="AE150" s="531"/>
      <c r="AF150" s="531"/>
      <c r="AG150" s="531"/>
      <c r="AH150" s="532"/>
      <c r="AI150" s="532"/>
      <c r="AJ150" s="532"/>
      <c r="AK150" s="532"/>
      <c r="AL150" s="532"/>
      <c r="AM150" s="532"/>
      <c r="AN150" s="532"/>
      <c r="AO150" s="532"/>
      <c r="AP150" s="532"/>
      <c r="AQ150" s="532"/>
      <c r="AR150" s="532"/>
      <c r="AS150" s="532"/>
      <c r="AT150" s="532"/>
      <c r="AU150" s="532"/>
      <c r="AV150" s="532"/>
      <c r="AW150" s="532"/>
      <c r="AX150" s="532"/>
      <c r="AY150" s="532"/>
      <c r="AZ150" s="532"/>
      <c r="BA150" s="532"/>
      <c r="BB150" s="532"/>
      <c r="BC150" s="532"/>
      <c r="BD150" s="532"/>
      <c r="BE150" s="532"/>
      <c r="BF150" s="532"/>
      <c r="BG150" s="532"/>
      <c r="BH150" s="532"/>
      <c r="BI150" s="532"/>
      <c r="BJ150" s="532"/>
      <c r="BK150" s="532"/>
      <c r="BL150" s="532"/>
      <c r="BM150" s="532"/>
      <c r="BN150" s="532"/>
      <c r="BO150" s="532"/>
      <c r="BP150" s="532"/>
      <c r="BQ150" s="532"/>
      <c r="BR150" s="532"/>
      <c r="BS150" s="532"/>
      <c r="BT150" s="532"/>
      <c r="BU150" s="532"/>
      <c r="BV150" s="532"/>
      <c r="BW150" s="532"/>
      <c r="BX150" s="532"/>
      <c r="BY150" s="532"/>
      <c r="BZ150" s="532"/>
      <c r="CA150" s="532"/>
      <c r="CB150" s="532"/>
      <c r="CC150" s="532"/>
      <c r="CD150" s="532"/>
      <c r="CE150" s="532"/>
      <c r="CF150" s="532"/>
      <c r="CG150" s="532"/>
      <c r="CH150" s="532"/>
      <c r="CI150" s="532"/>
      <c r="CJ150" s="532"/>
      <c r="CK150" s="532"/>
      <c r="CL150" s="532"/>
      <c r="CM150" s="532"/>
      <c r="CN150" s="532"/>
      <c r="CO150" s="532"/>
      <c r="CP150" s="532"/>
      <c r="CQ150" s="532"/>
      <c r="CR150" s="532"/>
      <c r="CS150" s="532"/>
      <c r="CT150" s="532"/>
      <c r="CU150" s="532"/>
      <c r="CV150" s="532"/>
      <c r="CW150" s="532"/>
      <c r="CX150" s="532"/>
      <c r="CY150" s="532"/>
      <c r="CZ150" s="532"/>
      <c r="DA150" s="532"/>
      <c r="DB150" s="532"/>
      <c r="DC150" s="532"/>
      <c r="DD150" s="532"/>
      <c r="DE150" s="532"/>
      <c r="DF150" s="532"/>
      <c r="DG150" s="532"/>
      <c r="DH150" s="532"/>
      <c r="DI150" s="532"/>
      <c r="DJ150" s="532"/>
      <c r="DK150" s="532"/>
      <c r="DL150" s="532"/>
      <c r="DM150" s="532"/>
      <c r="DN150" s="532"/>
      <c r="DO150" s="532"/>
      <c r="DP150" s="532"/>
      <c r="DQ150" s="532"/>
      <c r="DR150" s="532"/>
      <c r="DS150" s="532"/>
      <c r="DT150" s="532"/>
      <c r="DU150" s="532"/>
      <c r="DV150" s="532"/>
      <c r="DW150" s="532"/>
      <c r="DX150" s="532"/>
      <c r="DY150" s="532"/>
      <c r="DZ150" s="532"/>
      <c r="EA150" s="532"/>
      <c r="EB150" s="532"/>
      <c r="EC150" s="532"/>
      <c r="ED150" s="532"/>
      <c r="EE150" s="532"/>
      <c r="EF150" s="532"/>
      <c r="EG150" s="532"/>
      <c r="EH150" s="532"/>
      <c r="EI150" s="532"/>
      <c r="EJ150" s="532"/>
      <c r="EK150" s="532"/>
      <c r="EL150" s="532"/>
      <c r="EM150" s="532"/>
      <c r="EN150" s="532"/>
      <c r="EO150" s="532"/>
      <c r="EP150" s="532"/>
      <c r="EQ150" s="532"/>
      <c r="ER150" s="532"/>
      <c r="ES150" s="532"/>
      <c r="ET150" s="532"/>
      <c r="EU150" s="532"/>
      <c r="EV150" s="532"/>
      <c r="EW150" s="532"/>
      <c r="EX150" s="532"/>
      <c r="EY150" s="532"/>
      <c r="EZ150" s="532"/>
      <c r="FA150" s="532"/>
      <c r="FB150" s="532"/>
      <c r="FC150" s="532"/>
      <c r="FD150" s="532"/>
      <c r="FE150" s="532"/>
      <c r="FF150" s="532"/>
      <c r="FG150" s="532"/>
      <c r="FH150" s="532"/>
      <c r="FI150" s="532"/>
      <c r="FJ150" s="532"/>
      <c r="FK150" s="532"/>
      <c r="FL150" s="532"/>
      <c r="FM150" s="532"/>
      <c r="FN150" s="532"/>
      <c r="FO150" s="532"/>
      <c r="FP150" s="532"/>
    </row>
    <row r="151" spans="1:172" ht="12" customHeight="1" x14ac:dyDescent="0.2">
      <c r="A151" s="533" t="s">
        <v>99</v>
      </c>
      <c r="B151" s="534"/>
      <c r="C151" s="208">
        <v>1</v>
      </c>
      <c r="D151" s="208">
        <v>3</v>
      </c>
      <c r="E151" s="208">
        <v>2</v>
      </c>
      <c r="F151" s="208">
        <v>2</v>
      </c>
      <c r="G151" s="208">
        <v>4</v>
      </c>
      <c r="H151" s="208">
        <v>6</v>
      </c>
      <c r="I151" s="208">
        <f>2</f>
        <v>2</v>
      </c>
      <c r="J151" s="208">
        <v>2</v>
      </c>
      <c r="K151" s="208">
        <v>1</v>
      </c>
      <c r="L151" s="562">
        <v>1</v>
      </c>
      <c r="M151" s="562">
        <v>7</v>
      </c>
      <c r="N151" s="562">
        <v>3</v>
      </c>
      <c r="O151" s="530">
        <f t="shared" si="106"/>
        <v>34</v>
      </c>
      <c r="P151" s="536"/>
      <c r="Q151" s="531"/>
      <c r="R151" s="531"/>
      <c r="S151" s="531"/>
      <c r="T151" s="531"/>
      <c r="U151" s="531"/>
      <c r="V151" s="531"/>
      <c r="W151" s="531"/>
      <c r="X151" s="531"/>
      <c r="Y151" s="531"/>
      <c r="Z151" s="531"/>
      <c r="AA151" s="531"/>
      <c r="AB151" s="531"/>
      <c r="AC151" s="531"/>
      <c r="AD151" s="531"/>
      <c r="AE151" s="531"/>
      <c r="AF151" s="531"/>
      <c r="AG151" s="531"/>
      <c r="AH151" s="532"/>
      <c r="AI151" s="532"/>
      <c r="AJ151" s="532"/>
      <c r="AK151" s="532"/>
      <c r="AL151" s="532"/>
      <c r="AM151" s="532"/>
      <c r="AN151" s="532"/>
      <c r="AO151" s="532"/>
      <c r="AP151" s="532"/>
      <c r="AQ151" s="532"/>
      <c r="AR151" s="532"/>
      <c r="AS151" s="532"/>
      <c r="AT151" s="532"/>
      <c r="AU151" s="532"/>
      <c r="AV151" s="532"/>
      <c r="AW151" s="532"/>
      <c r="AX151" s="532"/>
      <c r="AY151" s="532"/>
      <c r="AZ151" s="532"/>
      <c r="BA151" s="532"/>
      <c r="BB151" s="532"/>
      <c r="BC151" s="532"/>
      <c r="BD151" s="532"/>
      <c r="BE151" s="532"/>
      <c r="BF151" s="532"/>
      <c r="BG151" s="532"/>
      <c r="BH151" s="532"/>
      <c r="BI151" s="532"/>
      <c r="BJ151" s="532"/>
      <c r="BK151" s="532"/>
      <c r="BL151" s="532"/>
      <c r="BM151" s="532"/>
      <c r="BN151" s="532"/>
      <c r="BO151" s="532"/>
      <c r="BP151" s="532"/>
      <c r="BQ151" s="532"/>
      <c r="BR151" s="532"/>
      <c r="BS151" s="532"/>
      <c r="BT151" s="532"/>
      <c r="BU151" s="532"/>
      <c r="BV151" s="532"/>
      <c r="BW151" s="532"/>
      <c r="BX151" s="532"/>
      <c r="BY151" s="532"/>
      <c r="BZ151" s="532"/>
      <c r="CA151" s="532"/>
      <c r="CB151" s="532"/>
      <c r="CC151" s="532"/>
      <c r="CD151" s="532"/>
      <c r="CE151" s="532"/>
      <c r="CF151" s="532"/>
      <c r="CG151" s="532"/>
      <c r="CH151" s="532"/>
      <c r="CI151" s="532"/>
      <c r="CJ151" s="532"/>
      <c r="CK151" s="532"/>
      <c r="CL151" s="532"/>
      <c r="CM151" s="532"/>
      <c r="CN151" s="532"/>
      <c r="CO151" s="532"/>
      <c r="CP151" s="532"/>
      <c r="CQ151" s="532"/>
      <c r="CR151" s="532"/>
      <c r="CS151" s="532"/>
      <c r="CT151" s="532"/>
      <c r="CU151" s="532"/>
      <c r="CV151" s="532"/>
      <c r="CW151" s="532"/>
      <c r="CX151" s="532"/>
      <c r="CY151" s="532"/>
      <c r="CZ151" s="532"/>
      <c r="DA151" s="532"/>
      <c r="DB151" s="532"/>
      <c r="DC151" s="532"/>
      <c r="DD151" s="532"/>
      <c r="DE151" s="532"/>
      <c r="DF151" s="532"/>
      <c r="DG151" s="532"/>
      <c r="DH151" s="532"/>
      <c r="DI151" s="532"/>
      <c r="DJ151" s="532"/>
      <c r="DK151" s="532"/>
      <c r="DL151" s="532"/>
      <c r="DM151" s="532"/>
      <c r="DN151" s="532"/>
      <c r="DO151" s="532"/>
      <c r="DP151" s="532"/>
      <c r="DQ151" s="532"/>
      <c r="DR151" s="532"/>
      <c r="DS151" s="532"/>
      <c r="DT151" s="532"/>
      <c r="DU151" s="532"/>
      <c r="DV151" s="532"/>
      <c r="DW151" s="532"/>
      <c r="DX151" s="532"/>
      <c r="DY151" s="532"/>
      <c r="DZ151" s="532"/>
      <c r="EA151" s="532"/>
      <c r="EB151" s="532"/>
      <c r="EC151" s="532"/>
      <c r="ED151" s="532"/>
      <c r="EE151" s="532"/>
      <c r="EF151" s="532"/>
      <c r="EG151" s="532"/>
      <c r="EH151" s="532"/>
      <c r="EI151" s="532"/>
      <c r="EJ151" s="532"/>
      <c r="EK151" s="532"/>
      <c r="EL151" s="532"/>
      <c r="EM151" s="532"/>
      <c r="EN151" s="532"/>
      <c r="EO151" s="532"/>
      <c r="EP151" s="532"/>
      <c r="EQ151" s="532"/>
      <c r="ER151" s="532"/>
      <c r="ES151" s="532"/>
      <c r="ET151" s="532"/>
      <c r="EU151" s="532"/>
      <c r="EV151" s="532"/>
      <c r="EW151" s="532"/>
      <c r="EX151" s="532"/>
      <c r="EY151" s="532"/>
      <c r="EZ151" s="532"/>
      <c r="FA151" s="532"/>
      <c r="FB151" s="532"/>
      <c r="FC151" s="532"/>
      <c r="FD151" s="532"/>
      <c r="FE151" s="532"/>
      <c r="FF151" s="532"/>
      <c r="FG151" s="532"/>
      <c r="FH151" s="532"/>
      <c r="FI151" s="532"/>
      <c r="FJ151" s="532"/>
      <c r="FK151" s="532"/>
      <c r="FL151" s="532"/>
      <c r="FM151" s="532"/>
      <c r="FN151" s="532"/>
      <c r="FO151" s="532"/>
      <c r="FP151" s="532"/>
    </row>
    <row r="152" spans="1:172" ht="12" customHeight="1" x14ac:dyDescent="0.2">
      <c r="A152" s="533" t="s">
        <v>109</v>
      </c>
      <c r="B152" s="534"/>
      <c r="C152" s="208">
        <v>7</v>
      </c>
      <c r="D152" s="208">
        <v>7</v>
      </c>
      <c r="E152" s="208">
        <v>12</v>
      </c>
      <c r="F152" s="208">
        <v>9</v>
      </c>
      <c r="G152" s="208">
        <v>5</v>
      </c>
      <c r="H152" s="208">
        <v>6</v>
      </c>
      <c r="I152" s="208">
        <f>11</f>
        <v>11</v>
      </c>
      <c r="J152" s="208">
        <v>8</v>
      </c>
      <c r="K152" s="208">
        <v>5</v>
      </c>
      <c r="L152" s="562">
        <v>8</v>
      </c>
      <c r="M152" s="562">
        <v>9</v>
      </c>
      <c r="N152" s="562">
        <v>10</v>
      </c>
      <c r="O152" s="530">
        <f t="shared" si="106"/>
        <v>97</v>
      </c>
      <c r="P152" s="536"/>
      <c r="Q152" s="531"/>
      <c r="R152" s="531"/>
      <c r="S152" s="531"/>
      <c r="T152" s="531"/>
      <c r="U152" s="531"/>
      <c r="V152" s="531"/>
      <c r="W152" s="531"/>
      <c r="X152" s="531"/>
      <c r="Y152" s="531"/>
      <c r="Z152" s="531"/>
      <c r="AA152" s="531"/>
      <c r="AB152" s="531"/>
      <c r="AC152" s="531"/>
      <c r="AD152" s="531"/>
      <c r="AE152" s="531"/>
      <c r="AF152" s="531"/>
      <c r="AG152" s="531"/>
      <c r="AH152" s="532"/>
      <c r="AI152" s="532"/>
      <c r="AJ152" s="532"/>
      <c r="AK152" s="532"/>
      <c r="AL152" s="532"/>
      <c r="AM152" s="532"/>
      <c r="AN152" s="532"/>
      <c r="AO152" s="532"/>
      <c r="AP152" s="532"/>
      <c r="AQ152" s="532"/>
      <c r="AR152" s="532"/>
      <c r="AS152" s="532"/>
      <c r="AT152" s="532"/>
      <c r="AU152" s="532"/>
      <c r="AV152" s="532"/>
      <c r="AW152" s="532"/>
      <c r="AX152" s="532"/>
      <c r="AY152" s="532"/>
      <c r="AZ152" s="532"/>
      <c r="BA152" s="532"/>
      <c r="BB152" s="532"/>
      <c r="BC152" s="532"/>
      <c r="BD152" s="532"/>
      <c r="BE152" s="532"/>
      <c r="BF152" s="532"/>
      <c r="BG152" s="532"/>
      <c r="BH152" s="532"/>
      <c r="BI152" s="532"/>
      <c r="BJ152" s="532"/>
      <c r="BK152" s="532"/>
      <c r="BL152" s="532"/>
      <c r="BM152" s="532"/>
      <c r="BN152" s="532"/>
      <c r="BO152" s="532"/>
      <c r="BP152" s="532"/>
      <c r="BQ152" s="532"/>
      <c r="BR152" s="532"/>
      <c r="BS152" s="532"/>
      <c r="BT152" s="532"/>
      <c r="BU152" s="532"/>
      <c r="BV152" s="532"/>
      <c r="BW152" s="532"/>
      <c r="BX152" s="532"/>
      <c r="BY152" s="532"/>
      <c r="BZ152" s="532"/>
      <c r="CA152" s="532"/>
      <c r="CB152" s="532"/>
      <c r="CC152" s="532"/>
      <c r="CD152" s="532"/>
      <c r="CE152" s="532"/>
      <c r="CF152" s="532"/>
      <c r="CG152" s="532"/>
      <c r="CH152" s="532"/>
      <c r="CI152" s="532"/>
      <c r="CJ152" s="532"/>
      <c r="CK152" s="532"/>
      <c r="CL152" s="532"/>
      <c r="CM152" s="532"/>
      <c r="CN152" s="532"/>
      <c r="CO152" s="532"/>
      <c r="CP152" s="532"/>
      <c r="CQ152" s="532"/>
      <c r="CR152" s="532"/>
      <c r="CS152" s="532"/>
      <c r="CT152" s="532"/>
      <c r="CU152" s="532"/>
      <c r="CV152" s="532"/>
      <c r="CW152" s="532"/>
      <c r="CX152" s="532"/>
      <c r="CY152" s="532"/>
      <c r="CZ152" s="532"/>
      <c r="DA152" s="532"/>
      <c r="DB152" s="532"/>
      <c r="DC152" s="532"/>
      <c r="DD152" s="532"/>
      <c r="DE152" s="532"/>
      <c r="DF152" s="532"/>
      <c r="DG152" s="532"/>
      <c r="DH152" s="532"/>
      <c r="DI152" s="532"/>
      <c r="DJ152" s="532"/>
      <c r="DK152" s="532"/>
      <c r="DL152" s="532"/>
      <c r="DM152" s="532"/>
      <c r="DN152" s="532"/>
      <c r="DO152" s="532"/>
      <c r="DP152" s="532"/>
      <c r="DQ152" s="532"/>
      <c r="DR152" s="532"/>
      <c r="DS152" s="532"/>
      <c r="DT152" s="532"/>
      <c r="DU152" s="532"/>
      <c r="DV152" s="532"/>
      <c r="DW152" s="532"/>
      <c r="DX152" s="532"/>
      <c r="DY152" s="532"/>
      <c r="DZ152" s="532"/>
      <c r="EA152" s="532"/>
      <c r="EB152" s="532"/>
      <c r="EC152" s="532"/>
      <c r="ED152" s="532"/>
      <c r="EE152" s="532"/>
      <c r="EF152" s="532"/>
      <c r="EG152" s="532"/>
      <c r="EH152" s="532"/>
      <c r="EI152" s="532"/>
      <c r="EJ152" s="532"/>
      <c r="EK152" s="532"/>
      <c r="EL152" s="532"/>
      <c r="EM152" s="532"/>
      <c r="EN152" s="532"/>
      <c r="EO152" s="532"/>
      <c r="EP152" s="532"/>
      <c r="EQ152" s="532"/>
      <c r="ER152" s="532"/>
      <c r="ES152" s="532"/>
      <c r="ET152" s="532"/>
      <c r="EU152" s="532"/>
      <c r="EV152" s="532"/>
      <c r="EW152" s="532"/>
      <c r="EX152" s="532"/>
      <c r="EY152" s="532"/>
      <c r="EZ152" s="532"/>
      <c r="FA152" s="532"/>
      <c r="FB152" s="532"/>
      <c r="FC152" s="532"/>
      <c r="FD152" s="532"/>
      <c r="FE152" s="532"/>
      <c r="FF152" s="532"/>
      <c r="FG152" s="532"/>
      <c r="FH152" s="532"/>
      <c r="FI152" s="532"/>
      <c r="FJ152" s="532"/>
      <c r="FK152" s="532"/>
      <c r="FL152" s="532"/>
      <c r="FM152" s="532"/>
      <c r="FN152" s="532"/>
      <c r="FO152" s="532"/>
      <c r="FP152" s="532"/>
    </row>
    <row r="153" spans="1:172" ht="12" customHeight="1" x14ac:dyDescent="0.2">
      <c r="A153" s="533" t="s">
        <v>110</v>
      </c>
      <c r="B153" s="534"/>
      <c r="C153" s="208">
        <v>5</v>
      </c>
      <c r="D153" s="208">
        <v>2</v>
      </c>
      <c r="E153" s="208">
        <v>4</v>
      </c>
      <c r="F153" s="208">
        <v>3</v>
      </c>
      <c r="G153" s="208">
        <v>2</v>
      </c>
      <c r="H153" s="208">
        <v>5</v>
      </c>
      <c r="I153" s="208">
        <v>4</v>
      </c>
      <c r="J153" s="208">
        <v>1</v>
      </c>
      <c r="K153" s="208">
        <v>4</v>
      </c>
      <c r="L153" s="562">
        <v>2</v>
      </c>
      <c r="M153" s="562">
        <v>2</v>
      </c>
      <c r="N153" s="562">
        <v>0</v>
      </c>
      <c r="O153" s="530">
        <f t="shared" si="106"/>
        <v>34</v>
      </c>
      <c r="P153" s="536"/>
      <c r="Q153" s="531"/>
      <c r="R153" s="531"/>
      <c r="S153" s="531"/>
      <c r="T153" s="531"/>
      <c r="U153" s="531"/>
      <c r="V153" s="531"/>
      <c r="W153" s="531"/>
      <c r="X153" s="531"/>
      <c r="Y153" s="531"/>
      <c r="Z153" s="531"/>
      <c r="AA153" s="531"/>
      <c r="AB153" s="531"/>
      <c r="AC153" s="531"/>
      <c r="AD153" s="531"/>
      <c r="AE153" s="531"/>
      <c r="AF153" s="531"/>
      <c r="AG153" s="531"/>
      <c r="AH153" s="532"/>
      <c r="AI153" s="532"/>
      <c r="AJ153" s="532"/>
      <c r="AK153" s="532"/>
      <c r="AL153" s="532"/>
      <c r="AM153" s="532"/>
      <c r="AN153" s="532"/>
      <c r="AO153" s="532"/>
      <c r="AP153" s="532"/>
      <c r="AQ153" s="532"/>
      <c r="AR153" s="532"/>
      <c r="AS153" s="532"/>
      <c r="AT153" s="532"/>
      <c r="AU153" s="532"/>
      <c r="AV153" s="532"/>
      <c r="AW153" s="532"/>
      <c r="AX153" s="532"/>
      <c r="AY153" s="532"/>
      <c r="AZ153" s="532"/>
      <c r="BA153" s="532"/>
      <c r="BB153" s="532"/>
      <c r="BC153" s="532"/>
      <c r="BD153" s="532"/>
      <c r="BE153" s="532"/>
      <c r="BF153" s="532"/>
      <c r="BG153" s="532"/>
      <c r="BH153" s="532"/>
      <c r="BI153" s="532"/>
      <c r="BJ153" s="532"/>
      <c r="BK153" s="532"/>
      <c r="BL153" s="532"/>
      <c r="BM153" s="532"/>
      <c r="BN153" s="532"/>
      <c r="BO153" s="532"/>
      <c r="BP153" s="532"/>
      <c r="BQ153" s="532"/>
      <c r="BR153" s="532"/>
      <c r="BS153" s="532"/>
      <c r="BT153" s="532"/>
      <c r="BU153" s="532"/>
      <c r="BV153" s="532"/>
      <c r="BW153" s="532"/>
      <c r="BX153" s="532"/>
      <c r="BY153" s="532"/>
      <c r="BZ153" s="532"/>
      <c r="CA153" s="532"/>
      <c r="CB153" s="532"/>
      <c r="CC153" s="532"/>
      <c r="CD153" s="532"/>
      <c r="CE153" s="532"/>
      <c r="CF153" s="532"/>
      <c r="CG153" s="532"/>
      <c r="CH153" s="532"/>
      <c r="CI153" s="532"/>
      <c r="CJ153" s="532"/>
      <c r="CK153" s="532"/>
      <c r="CL153" s="532"/>
      <c r="CM153" s="532"/>
      <c r="CN153" s="532"/>
      <c r="CO153" s="532"/>
      <c r="CP153" s="532"/>
      <c r="CQ153" s="532"/>
      <c r="CR153" s="532"/>
      <c r="CS153" s="532"/>
      <c r="CT153" s="532"/>
      <c r="CU153" s="532"/>
      <c r="CV153" s="532"/>
      <c r="CW153" s="532"/>
      <c r="CX153" s="532"/>
      <c r="CY153" s="532"/>
      <c r="CZ153" s="532"/>
      <c r="DA153" s="532"/>
      <c r="DB153" s="532"/>
      <c r="DC153" s="532"/>
      <c r="DD153" s="532"/>
      <c r="DE153" s="532"/>
      <c r="DF153" s="532"/>
      <c r="DG153" s="532"/>
      <c r="DH153" s="532"/>
      <c r="DI153" s="532"/>
      <c r="DJ153" s="532"/>
      <c r="DK153" s="532"/>
      <c r="DL153" s="532"/>
      <c r="DM153" s="532"/>
      <c r="DN153" s="532"/>
      <c r="DO153" s="532"/>
      <c r="DP153" s="532"/>
      <c r="DQ153" s="532"/>
      <c r="DR153" s="532"/>
      <c r="DS153" s="532"/>
      <c r="DT153" s="532"/>
      <c r="DU153" s="532"/>
      <c r="DV153" s="532"/>
      <c r="DW153" s="532"/>
      <c r="DX153" s="532"/>
      <c r="DY153" s="532"/>
      <c r="DZ153" s="532"/>
      <c r="EA153" s="532"/>
      <c r="EB153" s="532"/>
      <c r="EC153" s="532"/>
      <c r="ED153" s="532"/>
      <c r="EE153" s="532"/>
      <c r="EF153" s="532"/>
      <c r="EG153" s="532"/>
      <c r="EH153" s="532"/>
      <c r="EI153" s="532"/>
      <c r="EJ153" s="532"/>
      <c r="EK153" s="532"/>
      <c r="EL153" s="532"/>
      <c r="EM153" s="532"/>
      <c r="EN153" s="532"/>
      <c r="EO153" s="532"/>
      <c r="EP153" s="532"/>
      <c r="EQ153" s="532"/>
      <c r="ER153" s="532"/>
      <c r="ES153" s="532"/>
      <c r="ET153" s="532"/>
      <c r="EU153" s="532"/>
      <c r="EV153" s="532"/>
      <c r="EW153" s="532"/>
      <c r="EX153" s="532"/>
      <c r="EY153" s="532"/>
      <c r="EZ153" s="532"/>
      <c r="FA153" s="532"/>
      <c r="FB153" s="532"/>
      <c r="FC153" s="532"/>
      <c r="FD153" s="532"/>
      <c r="FE153" s="532"/>
      <c r="FF153" s="532"/>
      <c r="FG153" s="532"/>
      <c r="FH153" s="532"/>
      <c r="FI153" s="532"/>
      <c r="FJ153" s="532"/>
      <c r="FK153" s="532"/>
      <c r="FL153" s="532"/>
      <c r="FM153" s="532"/>
      <c r="FN153" s="532"/>
      <c r="FO153" s="532"/>
      <c r="FP153" s="532"/>
    </row>
    <row r="154" spans="1:172" ht="12" customHeight="1" x14ac:dyDescent="0.2">
      <c r="A154" s="533" t="s">
        <v>102</v>
      </c>
      <c r="B154" s="534"/>
      <c r="C154" s="208">
        <v>1</v>
      </c>
      <c r="D154" s="208">
        <v>1</v>
      </c>
      <c r="E154" s="208">
        <v>3</v>
      </c>
      <c r="F154" s="208">
        <v>1</v>
      </c>
      <c r="G154" s="208">
        <v>4</v>
      </c>
      <c r="H154" s="208">
        <v>2</v>
      </c>
      <c r="I154" s="208">
        <v>2</v>
      </c>
      <c r="J154" s="208">
        <v>0</v>
      </c>
      <c r="K154" s="208">
        <v>4</v>
      </c>
      <c r="L154" s="562">
        <v>2</v>
      </c>
      <c r="M154" s="562">
        <v>4</v>
      </c>
      <c r="N154" s="562">
        <v>0</v>
      </c>
      <c r="O154" s="530">
        <f t="shared" si="106"/>
        <v>24</v>
      </c>
      <c r="P154" s="536"/>
      <c r="Q154" s="531"/>
      <c r="R154" s="531"/>
      <c r="S154" s="531"/>
      <c r="T154" s="531"/>
      <c r="U154" s="531"/>
      <c r="V154" s="531"/>
      <c r="W154" s="531"/>
      <c r="X154" s="531"/>
      <c r="Y154" s="531"/>
      <c r="Z154" s="531"/>
      <c r="AA154" s="531"/>
      <c r="AB154" s="531"/>
      <c r="AC154" s="531"/>
      <c r="AD154" s="531"/>
      <c r="AE154" s="531"/>
      <c r="AF154" s="531"/>
      <c r="AG154" s="531"/>
      <c r="AH154" s="532"/>
      <c r="AI154" s="532"/>
      <c r="AJ154" s="532"/>
      <c r="AK154" s="532"/>
      <c r="AL154" s="532"/>
      <c r="AM154" s="532"/>
      <c r="AN154" s="532"/>
      <c r="AO154" s="532"/>
      <c r="AP154" s="532"/>
      <c r="AQ154" s="532"/>
      <c r="AR154" s="532"/>
      <c r="AS154" s="532"/>
      <c r="AT154" s="532"/>
      <c r="AU154" s="532"/>
      <c r="AV154" s="532"/>
      <c r="AW154" s="532"/>
      <c r="AX154" s="532"/>
      <c r="AY154" s="532"/>
      <c r="AZ154" s="532"/>
      <c r="BA154" s="532"/>
      <c r="BB154" s="532"/>
      <c r="BC154" s="532"/>
      <c r="BD154" s="532"/>
      <c r="BE154" s="532"/>
      <c r="BF154" s="532"/>
      <c r="BG154" s="532"/>
      <c r="BH154" s="532"/>
      <c r="BI154" s="532"/>
      <c r="BJ154" s="532"/>
      <c r="BK154" s="532"/>
      <c r="BL154" s="532"/>
      <c r="BM154" s="532"/>
      <c r="BN154" s="532"/>
      <c r="BO154" s="532"/>
      <c r="BP154" s="532"/>
      <c r="BQ154" s="532"/>
      <c r="BR154" s="532"/>
      <c r="BS154" s="532"/>
      <c r="BT154" s="532"/>
      <c r="BU154" s="532"/>
      <c r="BV154" s="532"/>
      <c r="BW154" s="532"/>
      <c r="BX154" s="532"/>
      <c r="BY154" s="532"/>
      <c r="BZ154" s="532"/>
      <c r="CA154" s="532"/>
      <c r="CB154" s="532"/>
      <c r="CC154" s="532"/>
      <c r="CD154" s="532"/>
      <c r="CE154" s="532"/>
      <c r="CF154" s="532"/>
      <c r="CG154" s="532"/>
      <c r="CH154" s="532"/>
      <c r="CI154" s="532"/>
      <c r="CJ154" s="532"/>
      <c r="CK154" s="532"/>
      <c r="CL154" s="532"/>
      <c r="CM154" s="532"/>
      <c r="CN154" s="532"/>
      <c r="CO154" s="532"/>
      <c r="CP154" s="532"/>
      <c r="CQ154" s="532"/>
      <c r="CR154" s="532"/>
      <c r="CS154" s="532"/>
      <c r="CT154" s="532"/>
      <c r="CU154" s="532"/>
      <c r="CV154" s="532"/>
      <c r="CW154" s="532"/>
      <c r="CX154" s="532"/>
      <c r="CY154" s="532"/>
      <c r="CZ154" s="532"/>
      <c r="DA154" s="532"/>
      <c r="DB154" s="532"/>
      <c r="DC154" s="532"/>
      <c r="DD154" s="532"/>
      <c r="DE154" s="532"/>
      <c r="DF154" s="532"/>
      <c r="DG154" s="532"/>
      <c r="DH154" s="532"/>
      <c r="DI154" s="532"/>
      <c r="DJ154" s="532"/>
      <c r="DK154" s="532"/>
      <c r="DL154" s="532"/>
      <c r="DM154" s="532"/>
      <c r="DN154" s="532"/>
      <c r="DO154" s="532"/>
      <c r="DP154" s="532"/>
      <c r="DQ154" s="532"/>
      <c r="DR154" s="532"/>
      <c r="DS154" s="532"/>
      <c r="DT154" s="532"/>
      <c r="DU154" s="532"/>
      <c r="DV154" s="532"/>
      <c r="DW154" s="532"/>
      <c r="DX154" s="532"/>
      <c r="DY154" s="532"/>
      <c r="DZ154" s="532"/>
      <c r="EA154" s="532"/>
      <c r="EB154" s="532"/>
      <c r="EC154" s="532"/>
      <c r="ED154" s="532"/>
      <c r="EE154" s="532"/>
      <c r="EF154" s="532"/>
      <c r="EG154" s="532"/>
      <c r="EH154" s="532"/>
      <c r="EI154" s="532"/>
      <c r="EJ154" s="532"/>
      <c r="EK154" s="532"/>
      <c r="EL154" s="532"/>
      <c r="EM154" s="532"/>
      <c r="EN154" s="532"/>
      <c r="EO154" s="532"/>
      <c r="EP154" s="532"/>
      <c r="EQ154" s="532"/>
      <c r="ER154" s="532"/>
      <c r="ES154" s="532"/>
      <c r="ET154" s="532"/>
      <c r="EU154" s="532"/>
      <c r="EV154" s="532"/>
      <c r="EW154" s="532"/>
      <c r="EX154" s="532"/>
      <c r="EY154" s="532"/>
      <c r="EZ154" s="532"/>
      <c r="FA154" s="532"/>
      <c r="FB154" s="532"/>
      <c r="FC154" s="532"/>
      <c r="FD154" s="532"/>
      <c r="FE154" s="532"/>
      <c r="FF154" s="532"/>
      <c r="FG154" s="532"/>
      <c r="FH154" s="532"/>
      <c r="FI154" s="532"/>
      <c r="FJ154" s="532"/>
      <c r="FK154" s="532"/>
      <c r="FL154" s="532"/>
      <c r="FM154" s="532"/>
      <c r="FN154" s="532"/>
      <c r="FO154" s="532"/>
      <c r="FP154" s="532"/>
    </row>
    <row r="155" spans="1:172" ht="12" customHeight="1" x14ac:dyDescent="0.2">
      <c r="A155" s="533" t="s">
        <v>111</v>
      </c>
      <c r="B155" s="534"/>
      <c r="C155" s="208">
        <v>1</v>
      </c>
      <c r="D155" s="208">
        <v>3</v>
      </c>
      <c r="E155" s="208">
        <v>3</v>
      </c>
      <c r="F155" s="208">
        <f>1+1</f>
        <v>2</v>
      </c>
      <c r="G155" s="208">
        <f>1+1+1</f>
        <v>3</v>
      </c>
      <c r="H155" s="208">
        <f>1+2+1</f>
        <v>4</v>
      </c>
      <c r="I155" s="208">
        <f>1+4</f>
        <v>5</v>
      </c>
      <c r="J155" s="208">
        <v>1</v>
      </c>
      <c r="K155" s="208">
        <v>2</v>
      </c>
      <c r="L155" s="562">
        <f>1+3+2+1</f>
        <v>7</v>
      </c>
      <c r="M155" s="562">
        <f>1+1+1</f>
        <v>3</v>
      </c>
      <c r="N155" s="562">
        <v>3</v>
      </c>
      <c r="O155" s="530">
        <f t="shared" si="106"/>
        <v>37</v>
      </c>
      <c r="P155" s="536"/>
      <c r="Q155" s="531"/>
      <c r="R155" s="531"/>
      <c r="S155" s="531"/>
      <c r="T155" s="531"/>
      <c r="U155" s="531"/>
      <c r="V155" s="531"/>
      <c r="W155" s="531"/>
      <c r="X155" s="531"/>
      <c r="Y155" s="531"/>
      <c r="Z155" s="531"/>
      <c r="AA155" s="531"/>
      <c r="AB155" s="531"/>
      <c r="AC155" s="531"/>
      <c r="AD155" s="531"/>
      <c r="AE155" s="531"/>
      <c r="AF155" s="531"/>
      <c r="AG155" s="531"/>
      <c r="AH155" s="532"/>
      <c r="AI155" s="532"/>
      <c r="AJ155" s="532"/>
      <c r="AK155" s="532"/>
      <c r="AL155" s="532"/>
      <c r="AM155" s="532"/>
      <c r="AN155" s="532"/>
      <c r="AO155" s="532"/>
      <c r="AP155" s="532"/>
      <c r="AQ155" s="532"/>
      <c r="AR155" s="532"/>
      <c r="AS155" s="532"/>
      <c r="AT155" s="532"/>
      <c r="AU155" s="532"/>
      <c r="AV155" s="532"/>
      <c r="AW155" s="532"/>
      <c r="AX155" s="532"/>
      <c r="AY155" s="532"/>
      <c r="AZ155" s="532"/>
      <c r="BA155" s="532"/>
      <c r="BB155" s="532"/>
      <c r="BC155" s="532"/>
      <c r="BD155" s="532"/>
      <c r="BE155" s="532"/>
      <c r="BF155" s="532"/>
      <c r="BG155" s="532"/>
      <c r="BH155" s="532"/>
      <c r="BI155" s="532"/>
      <c r="BJ155" s="532"/>
      <c r="BK155" s="532"/>
      <c r="BL155" s="532"/>
      <c r="BM155" s="532"/>
      <c r="BN155" s="532"/>
      <c r="BO155" s="532"/>
      <c r="BP155" s="532"/>
      <c r="BQ155" s="532"/>
      <c r="BR155" s="532"/>
      <c r="BS155" s="532"/>
      <c r="BT155" s="532"/>
      <c r="BU155" s="532"/>
      <c r="BV155" s="532"/>
      <c r="BW155" s="532"/>
      <c r="BX155" s="532"/>
      <c r="BY155" s="532"/>
      <c r="BZ155" s="532"/>
      <c r="CA155" s="532"/>
      <c r="CB155" s="532"/>
      <c r="CC155" s="532"/>
      <c r="CD155" s="532"/>
      <c r="CE155" s="532"/>
      <c r="CF155" s="532"/>
      <c r="CG155" s="532"/>
      <c r="CH155" s="532"/>
      <c r="CI155" s="532"/>
      <c r="CJ155" s="532"/>
      <c r="CK155" s="532"/>
      <c r="CL155" s="532"/>
      <c r="CM155" s="532"/>
      <c r="CN155" s="532"/>
      <c r="CO155" s="532"/>
      <c r="CP155" s="532"/>
      <c r="CQ155" s="532"/>
      <c r="CR155" s="532"/>
      <c r="CS155" s="532"/>
      <c r="CT155" s="532"/>
      <c r="CU155" s="532"/>
      <c r="CV155" s="532"/>
      <c r="CW155" s="532"/>
      <c r="CX155" s="532"/>
      <c r="CY155" s="532"/>
      <c r="CZ155" s="532"/>
      <c r="DA155" s="532"/>
      <c r="DB155" s="532"/>
      <c r="DC155" s="532"/>
      <c r="DD155" s="532"/>
      <c r="DE155" s="532"/>
      <c r="DF155" s="532"/>
      <c r="DG155" s="532"/>
      <c r="DH155" s="532"/>
      <c r="DI155" s="532"/>
      <c r="DJ155" s="532"/>
      <c r="DK155" s="532"/>
      <c r="DL155" s="532"/>
      <c r="DM155" s="532"/>
      <c r="DN155" s="532"/>
      <c r="DO155" s="532"/>
      <c r="DP155" s="532"/>
      <c r="DQ155" s="532"/>
      <c r="DR155" s="532"/>
      <c r="DS155" s="532"/>
      <c r="DT155" s="532"/>
      <c r="DU155" s="532"/>
      <c r="DV155" s="532"/>
      <c r="DW155" s="532"/>
      <c r="DX155" s="532"/>
      <c r="DY155" s="532"/>
      <c r="DZ155" s="532"/>
      <c r="EA155" s="532"/>
      <c r="EB155" s="532"/>
      <c r="EC155" s="532"/>
      <c r="ED155" s="532"/>
      <c r="EE155" s="532"/>
      <c r="EF155" s="532"/>
      <c r="EG155" s="532"/>
      <c r="EH155" s="532"/>
      <c r="EI155" s="532"/>
      <c r="EJ155" s="532"/>
      <c r="EK155" s="532"/>
      <c r="EL155" s="532"/>
      <c r="EM155" s="532"/>
      <c r="EN155" s="532"/>
      <c r="EO155" s="532"/>
      <c r="EP155" s="532"/>
      <c r="EQ155" s="532"/>
      <c r="ER155" s="532"/>
      <c r="ES155" s="532"/>
      <c r="ET155" s="532"/>
      <c r="EU155" s="532"/>
      <c r="EV155" s="532"/>
      <c r="EW155" s="532"/>
      <c r="EX155" s="532"/>
      <c r="EY155" s="532"/>
      <c r="EZ155" s="532"/>
      <c r="FA155" s="532"/>
      <c r="FB155" s="532"/>
      <c r="FC155" s="532"/>
      <c r="FD155" s="532"/>
      <c r="FE155" s="532"/>
      <c r="FF155" s="532"/>
      <c r="FG155" s="532"/>
      <c r="FH155" s="532"/>
      <c r="FI155" s="532"/>
      <c r="FJ155" s="532"/>
      <c r="FK155" s="532"/>
      <c r="FL155" s="532"/>
      <c r="FM155" s="532"/>
      <c r="FN155" s="532"/>
      <c r="FO155" s="532"/>
      <c r="FP155" s="532"/>
    </row>
    <row r="156" spans="1:172" ht="12" customHeight="1" x14ac:dyDescent="0.2">
      <c r="A156" s="537" t="s">
        <v>112</v>
      </c>
      <c r="B156" s="534" t="s">
        <v>55</v>
      </c>
      <c r="C156" s="208">
        <f t="shared" ref="C156:N156" si="107">SUM(C149:C155)</f>
        <v>39</v>
      </c>
      <c r="D156" s="208">
        <f t="shared" si="107"/>
        <v>35</v>
      </c>
      <c r="E156" s="208">
        <f t="shared" si="107"/>
        <v>48</v>
      </c>
      <c r="F156" s="208">
        <f t="shared" si="107"/>
        <v>46</v>
      </c>
      <c r="G156" s="208">
        <f t="shared" si="107"/>
        <v>41</v>
      </c>
      <c r="H156" s="208">
        <f t="shared" si="107"/>
        <v>54</v>
      </c>
      <c r="I156" s="208">
        <f t="shared" si="107"/>
        <v>47</v>
      </c>
      <c r="J156" s="208">
        <f t="shared" si="107"/>
        <v>35</v>
      </c>
      <c r="K156" s="208">
        <f t="shared" si="107"/>
        <v>45</v>
      </c>
      <c r="L156" s="562">
        <f t="shared" si="107"/>
        <v>53</v>
      </c>
      <c r="M156" s="562">
        <f t="shared" si="107"/>
        <v>56</v>
      </c>
      <c r="N156" s="562">
        <f t="shared" si="107"/>
        <v>49</v>
      </c>
      <c r="O156" s="530">
        <f t="shared" si="106"/>
        <v>548</v>
      </c>
      <c r="P156" s="536" t="s">
        <v>55</v>
      </c>
      <c r="Q156" s="531"/>
      <c r="R156" s="531"/>
      <c r="S156" s="531"/>
      <c r="T156" s="531"/>
      <c r="U156" s="531"/>
      <c r="V156" s="531"/>
      <c r="W156" s="531"/>
      <c r="X156" s="531"/>
      <c r="Y156" s="531"/>
      <c r="Z156" s="531"/>
      <c r="AA156" s="531"/>
      <c r="AB156" s="531"/>
      <c r="AC156" s="531"/>
      <c r="AD156" s="531"/>
      <c r="AE156" s="531"/>
      <c r="AF156" s="531"/>
      <c r="AG156" s="531"/>
      <c r="AH156" s="532"/>
      <c r="AI156" s="532"/>
      <c r="AJ156" s="532"/>
      <c r="AK156" s="532"/>
      <c r="AL156" s="532"/>
      <c r="AM156" s="532"/>
      <c r="AN156" s="532"/>
      <c r="AO156" s="532"/>
      <c r="AP156" s="532"/>
      <c r="AQ156" s="532"/>
      <c r="AR156" s="532"/>
      <c r="AS156" s="532"/>
      <c r="AT156" s="532"/>
      <c r="AU156" s="532"/>
      <c r="AV156" s="532"/>
      <c r="AW156" s="532"/>
      <c r="AX156" s="532"/>
      <c r="AY156" s="532"/>
      <c r="AZ156" s="532"/>
      <c r="BA156" s="532"/>
      <c r="BB156" s="532"/>
      <c r="BC156" s="532"/>
      <c r="BD156" s="532"/>
      <c r="BE156" s="532"/>
      <c r="BF156" s="532"/>
      <c r="BG156" s="532"/>
      <c r="BH156" s="532"/>
      <c r="BI156" s="532"/>
      <c r="BJ156" s="532"/>
      <c r="BK156" s="532"/>
      <c r="BL156" s="532"/>
      <c r="BM156" s="532"/>
      <c r="BN156" s="532"/>
      <c r="BO156" s="532"/>
      <c r="BP156" s="532"/>
      <c r="BQ156" s="532"/>
      <c r="BR156" s="532"/>
      <c r="BS156" s="532"/>
      <c r="BT156" s="532"/>
      <c r="BU156" s="532"/>
      <c r="BV156" s="532"/>
      <c r="BW156" s="532"/>
      <c r="BX156" s="532"/>
      <c r="BY156" s="532"/>
      <c r="BZ156" s="532"/>
      <c r="CA156" s="532"/>
      <c r="CB156" s="532"/>
      <c r="CC156" s="532"/>
      <c r="CD156" s="532"/>
      <c r="CE156" s="532"/>
      <c r="CF156" s="532"/>
      <c r="CG156" s="532"/>
      <c r="CH156" s="532"/>
      <c r="CI156" s="532"/>
      <c r="CJ156" s="532"/>
      <c r="CK156" s="532"/>
      <c r="CL156" s="532"/>
      <c r="CM156" s="532"/>
      <c r="CN156" s="532"/>
      <c r="CO156" s="532"/>
      <c r="CP156" s="532"/>
      <c r="CQ156" s="532"/>
      <c r="CR156" s="532"/>
      <c r="CS156" s="532"/>
      <c r="CT156" s="532"/>
      <c r="CU156" s="532"/>
      <c r="CV156" s="532"/>
      <c r="CW156" s="532"/>
      <c r="CX156" s="532"/>
      <c r="CY156" s="532"/>
      <c r="CZ156" s="532"/>
      <c r="DA156" s="532"/>
      <c r="DB156" s="532"/>
      <c r="DC156" s="532"/>
      <c r="DD156" s="532"/>
      <c r="DE156" s="532"/>
      <c r="DF156" s="532"/>
      <c r="DG156" s="532"/>
      <c r="DH156" s="532"/>
      <c r="DI156" s="532"/>
      <c r="DJ156" s="532"/>
      <c r="DK156" s="532"/>
      <c r="DL156" s="532"/>
      <c r="DM156" s="532"/>
      <c r="DN156" s="532"/>
      <c r="DO156" s="532"/>
      <c r="DP156" s="532"/>
      <c r="DQ156" s="532"/>
      <c r="DR156" s="532"/>
      <c r="DS156" s="532"/>
      <c r="DT156" s="532"/>
      <c r="DU156" s="532"/>
      <c r="DV156" s="532"/>
      <c r="DW156" s="532"/>
      <c r="DX156" s="532"/>
      <c r="DY156" s="532"/>
      <c r="DZ156" s="532"/>
      <c r="EA156" s="532"/>
      <c r="EB156" s="532"/>
      <c r="EC156" s="532"/>
      <c r="ED156" s="532"/>
      <c r="EE156" s="532"/>
      <c r="EF156" s="532"/>
      <c r="EG156" s="532"/>
      <c r="EH156" s="532"/>
      <c r="EI156" s="532"/>
      <c r="EJ156" s="532"/>
      <c r="EK156" s="532"/>
      <c r="EL156" s="532"/>
      <c r="EM156" s="532"/>
      <c r="EN156" s="532"/>
      <c r="EO156" s="532"/>
      <c r="EP156" s="532"/>
      <c r="EQ156" s="532"/>
      <c r="ER156" s="532"/>
      <c r="ES156" s="532"/>
      <c r="ET156" s="532"/>
      <c r="EU156" s="532"/>
      <c r="EV156" s="532"/>
      <c r="EW156" s="532"/>
      <c r="EX156" s="532"/>
      <c r="EY156" s="532"/>
      <c r="EZ156" s="532"/>
      <c r="FA156" s="532"/>
      <c r="FB156" s="532"/>
      <c r="FC156" s="532"/>
      <c r="FD156" s="532"/>
      <c r="FE156" s="532"/>
      <c r="FF156" s="532"/>
      <c r="FG156" s="532"/>
      <c r="FH156" s="532"/>
      <c r="FI156" s="532"/>
      <c r="FJ156" s="532"/>
      <c r="FK156" s="532"/>
      <c r="FL156" s="532"/>
      <c r="FM156" s="532"/>
      <c r="FN156" s="532"/>
      <c r="FO156" s="532"/>
      <c r="FP156" s="532"/>
    </row>
    <row r="157" spans="1:172" ht="12" customHeight="1" x14ac:dyDescent="0.2">
      <c r="A157" s="537" t="s">
        <v>113</v>
      </c>
      <c r="B157" s="534"/>
      <c r="C157" s="208">
        <v>9</v>
      </c>
      <c r="D157" s="208">
        <v>6</v>
      </c>
      <c r="E157" s="208">
        <v>11</v>
      </c>
      <c r="F157" s="208">
        <v>8</v>
      </c>
      <c r="G157" s="208">
        <v>9</v>
      </c>
      <c r="H157" s="208">
        <v>11</v>
      </c>
      <c r="I157" s="208">
        <v>5</v>
      </c>
      <c r="J157" s="208">
        <v>8</v>
      </c>
      <c r="K157" s="208">
        <v>9</v>
      </c>
      <c r="L157" s="562">
        <v>14</v>
      </c>
      <c r="M157" s="562">
        <v>7</v>
      </c>
      <c r="N157" s="562">
        <v>10</v>
      </c>
      <c r="O157" s="530">
        <f t="shared" si="106"/>
        <v>107</v>
      </c>
      <c r="P157" s="536"/>
      <c r="Q157" s="531"/>
      <c r="R157" s="531"/>
      <c r="S157" s="531"/>
      <c r="T157" s="531"/>
      <c r="U157" s="531"/>
      <c r="V157" s="531"/>
      <c r="W157" s="531"/>
      <c r="X157" s="531"/>
      <c r="Y157" s="531"/>
      <c r="Z157" s="531"/>
      <c r="AA157" s="531"/>
      <c r="AB157" s="531"/>
      <c r="AC157" s="531"/>
      <c r="AD157" s="531"/>
      <c r="AE157" s="531"/>
      <c r="AF157" s="531"/>
      <c r="AG157" s="531"/>
      <c r="AH157" s="532"/>
      <c r="AI157" s="532"/>
      <c r="AJ157" s="532"/>
      <c r="AK157" s="532"/>
      <c r="AL157" s="532"/>
      <c r="AM157" s="532"/>
      <c r="AN157" s="532"/>
      <c r="AO157" s="532"/>
      <c r="AP157" s="532"/>
      <c r="AQ157" s="532"/>
      <c r="AR157" s="532"/>
      <c r="AS157" s="532"/>
      <c r="AT157" s="532"/>
      <c r="AU157" s="532"/>
      <c r="AV157" s="532"/>
      <c r="AW157" s="532"/>
      <c r="AX157" s="532"/>
      <c r="AY157" s="532"/>
      <c r="AZ157" s="532"/>
      <c r="BA157" s="532"/>
      <c r="BB157" s="532"/>
      <c r="BC157" s="532"/>
      <c r="BD157" s="532"/>
      <c r="BE157" s="532"/>
      <c r="BF157" s="532"/>
      <c r="BG157" s="532"/>
      <c r="BH157" s="532"/>
      <c r="BI157" s="532"/>
      <c r="BJ157" s="532"/>
      <c r="BK157" s="532"/>
      <c r="BL157" s="532"/>
      <c r="BM157" s="532"/>
      <c r="BN157" s="532"/>
      <c r="BO157" s="532"/>
      <c r="BP157" s="532"/>
      <c r="BQ157" s="532"/>
      <c r="BR157" s="532"/>
      <c r="BS157" s="532"/>
      <c r="BT157" s="532"/>
      <c r="BU157" s="532"/>
      <c r="BV157" s="532"/>
      <c r="BW157" s="532"/>
      <c r="BX157" s="532"/>
      <c r="BY157" s="532"/>
      <c r="BZ157" s="532"/>
      <c r="CA157" s="532"/>
      <c r="CB157" s="532"/>
      <c r="CC157" s="532"/>
      <c r="CD157" s="532"/>
      <c r="CE157" s="532"/>
      <c r="CF157" s="532"/>
      <c r="CG157" s="532"/>
      <c r="CH157" s="532"/>
      <c r="CI157" s="532"/>
      <c r="CJ157" s="532"/>
      <c r="CK157" s="532"/>
      <c r="CL157" s="532"/>
      <c r="CM157" s="532"/>
      <c r="CN157" s="532"/>
      <c r="CO157" s="532"/>
      <c r="CP157" s="532"/>
      <c r="CQ157" s="532"/>
      <c r="CR157" s="532"/>
      <c r="CS157" s="532"/>
      <c r="CT157" s="532"/>
      <c r="CU157" s="532"/>
      <c r="CV157" s="532"/>
      <c r="CW157" s="532"/>
      <c r="CX157" s="532"/>
      <c r="CY157" s="532"/>
      <c r="CZ157" s="532"/>
      <c r="DA157" s="532"/>
      <c r="DB157" s="532"/>
      <c r="DC157" s="532"/>
      <c r="DD157" s="532"/>
      <c r="DE157" s="532"/>
      <c r="DF157" s="532"/>
      <c r="DG157" s="532"/>
      <c r="DH157" s="532"/>
      <c r="DI157" s="532"/>
      <c r="DJ157" s="532"/>
      <c r="DK157" s="532"/>
      <c r="DL157" s="532"/>
      <c r="DM157" s="532"/>
      <c r="DN157" s="532"/>
      <c r="DO157" s="532"/>
      <c r="DP157" s="532"/>
      <c r="DQ157" s="532"/>
      <c r="DR157" s="532"/>
      <c r="DS157" s="532"/>
      <c r="DT157" s="532"/>
      <c r="DU157" s="532"/>
      <c r="DV157" s="532"/>
      <c r="DW157" s="532"/>
      <c r="DX157" s="532"/>
      <c r="DY157" s="532"/>
      <c r="DZ157" s="532"/>
      <c r="EA157" s="532"/>
      <c r="EB157" s="532"/>
      <c r="EC157" s="532"/>
      <c r="ED157" s="532"/>
      <c r="EE157" s="532"/>
      <c r="EF157" s="532"/>
      <c r="EG157" s="532"/>
      <c r="EH157" s="532"/>
      <c r="EI157" s="532"/>
      <c r="EJ157" s="532"/>
      <c r="EK157" s="532"/>
      <c r="EL157" s="532"/>
      <c r="EM157" s="532"/>
      <c r="EN157" s="532"/>
      <c r="EO157" s="532"/>
      <c r="EP157" s="532"/>
      <c r="EQ157" s="532"/>
      <c r="ER157" s="532"/>
      <c r="ES157" s="532"/>
      <c r="ET157" s="532"/>
      <c r="EU157" s="532"/>
      <c r="EV157" s="532"/>
      <c r="EW157" s="532"/>
      <c r="EX157" s="532"/>
      <c r="EY157" s="532"/>
      <c r="EZ157" s="532"/>
      <c r="FA157" s="532"/>
      <c r="FB157" s="532"/>
      <c r="FC157" s="532"/>
      <c r="FD157" s="532"/>
      <c r="FE157" s="532"/>
      <c r="FF157" s="532"/>
      <c r="FG157" s="532"/>
      <c r="FH157" s="532"/>
      <c r="FI157" s="532"/>
      <c r="FJ157" s="532"/>
      <c r="FK157" s="532"/>
      <c r="FL157" s="532"/>
      <c r="FM157" s="532"/>
      <c r="FN157" s="532"/>
      <c r="FO157" s="532"/>
      <c r="FP157" s="532"/>
    </row>
    <row r="158" spans="1:172" ht="12" customHeight="1" x14ac:dyDescent="0.2">
      <c r="A158" s="534" t="s">
        <v>77</v>
      </c>
      <c r="B158" s="534"/>
      <c r="C158" s="208">
        <f t="shared" ref="C158:N158" si="108">SUM(C156:C157)</f>
        <v>48</v>
      </c>
      <c r="D158" s="208">
        <f t="shared" si="108"/>
        <v>41</v>
      </c>
      <c r="E158" s="208">
        <f t="shared" si="108"/>
        <v>59</v>
      </c>
      <c r="F158" s="208">
        <f t="shared" si="108"/>
        <v>54</v>
      </c>
      <c r="G158" s="208">
        <f t="shared" si="108"/>
        <v>50</v>
      </c>
      <c r="H158" s="208">
        <f t="shared" si="108"/>
        <v>65</v>
      </c>
      <c r="I158" s="208">
        <f t="shared" si="108"/>
        <v>52</v>
      </c>
      <c r="J158" s="208">
        <f t="shared" si="108"/>
        <v>43</v>
      </c>
      <c r="K158" s="208">
        <f t="shared" si="108"/>
        <v>54</v>
      </c>
      <c r="L158" s="562">
        <f t="shared" si="108"/>
        <v>67</v>
      </c>
      <c r="M158" s="562">
        <f t="shared" si="108"/>
        <v>63</v>
      </c>
      <c r="N158" s="562">
        <f t="shared" si="108"/>
        <v>59</v>
      </c>
      <c r="O158" s="530">
        <f t="shared" si="106"/>
        <v>655</v>
      </c>
      <c r="P158" s="536" t="s">
        <v>55</v>
      </c>
      <c r="Q158" s="531"/>
      <c r="R158" s="531"/>
      <c r="S158" s="531"/>
      <c r="T158" s="531"/>
      <c r="U158" s="531"/>
      <c r="V158" s="531"/>
      <c r="W158" s="531"/>
      <c r="X158" s="531"/>
      <c r="Y158" s="531"/>
      <c r="Z158" s="531"/>
      <c r="AA158" s="531"/>
      <c r="AB158" s="531"/>
      <c r="AC158" s="531"/>
      <c r="AD158" s="531"/>
      <c r="AE158" s="531"/>
      <c r="AF158" s="531"/>
      <c r="AG158" s="531"/>
      <c r="AH158" s="532"/>
      <c r="AI158" s="532"/>
      <c r="AJ158" s="532"/>
      <c r="AK158" s="532"/>
      <c r="AL158" s="532"/>
      <c r="AM158" s="532"/>
      <c r="AN158" s="532"/>
      <c r="AO158" s="532"/>
      <c r="AP158" s="532"/>
      <c r="AQ158" s="532"/>
      <c r="AR158" s="532"/>
      <c r="AS158" s="532"/>
      <c r="AT158" s="532"/>
      <c r="AU158" s="532"/>
      <c r="AV158" s="532"/>
      <c r="AW158" s="532"/>
      <c r="AX158" s="532"/>
      <c r="AY158" s="532"/>
      <c r="AZ158" s="532"/>
      <c r="BA158" s="532"/>
      <c r="BB158" s="532"/>
      <c r="BC158" s="532"/>
      <c r="BD158" s="532"/>
      <c r="BE158" s="532"/>
      <c r="BF158" s="532"/>
      <c r="BG158" s="532"/>
      <c r="BH158" s="532"/>
      <c r="BI158" s="532"/>
      <c r="BJ158" s="532"/>
      <c r="BK158" s="532"/>
      <c r="BL158" s="532"/>
      <c r="BM158" s="532"/>
      <c r="BN158" s="532"/>
      <c r="BO158" s="532"/>
      <c r="BP158" s="532"/>
      <c r="BQ158" s="532"/>
      <c r="BR158" s="532"/>
      <c r="BS158" s="532"/>
      <c r="BT158" s="532"/>
      <c r="BU158" s="532"/>
      <c r="BV158" s="532"/>
      <c r="BW158" s="532"/>
      <c r="BX158" s="532"/>
      <c r="BY158" s="532"/>
      <c r="BZ158" s="532"/>
      <c r="CA158" s="532"/>
      <c r="CB158" s="532"/>
      <c r="CC158" s="532"/>
      <c r="CD158" s="532"/>
      <c r="CE158" s="532"/>
      <c r="CF158" s="532"/>
      <c r="CG158" s="532"/>
      <c r="CH158" s="532"/>
      <c r="CI158" s="532"/>
      <c r="CJ158" s="532"/>
      <c r="CK158" s="532"/>
      <c r="CL158" s="532"/>
      <c r="CM158" s="532"/>
      <c r="CN158" s="532"/>
      <c r="CO158" s="532"/>
      <c r="CP158" s="532"/>
      <c r="CQ158" s="532"/>
      <c r="CR158" s="532"/>
      <c r="CS158" s="532"/>
      <c r="CT158" s="532"/>
      <c r="CU158" s="532"/>
      <c r="CV158" s="532"/>
      <c r="CW158" s="532"/>
      <c r="CX158" s="532"/>
      <c r="CY158" s="532"/>
      <c r="CZ158" s="532"/>
      <c r="DA158" s="532"/>
      <c r="DB158" s="532"/>
      <c r="DC158" s="532"/>
      <c r="DD158" s="532"/>
      <c r="DE158" s="532"/>
      <c r="DF158" s="532"/>
      <c r="DG158" s="532"/>
      <c r="DH158" s="532"/>
      <c r="DI158" s="532"/>
      <c r="DJ158" s="532"/>
      <c r="DK158" s="532"/>
      <c r="DL158" s="532"/>
      <c r="DM158" s="532"/>
      <c r="DN158" s="532"/>
      <c r="DO158" s="532"/>
      <c r="DP158" s="532"/>
      <c r="DQ158" s="532"/>
      <c r="DR158" s="532"/>
      <c r="DS158" s="532"/>
      <c r="DT158" s="532"/>
      <c r="DU158" s="532"/>
      <c r="DV158" s="532"/>
      <c r="DW158" s="532"/>
      <c r="DX158" s="532"/>
      <c r="DY158" s="532"/>
      <c r="DZ158" s="532"/>
      <c r="EA158" s="532"/>
      <c r="EB158" s="532"/>
      <c r="EC158" s="532"/>
      <c r="ED158" s="532"/>
      <c r="EE158" s="532"/>
      <c r="EF158" s="532"/>
      <c r="EG158" s="532"/>
      <c r="EH158" s="532"/>
      <c r="EI158" s="532"/>
      <c r="EJ158" s="532"/>
      <c r="EK158" s="532"/>
      <c r="EL158" s="532"/>
      <c r="EM158" s="532"/>
      <c r="EN158" s="532"/>
      <c r="EO158" s="532"/>
      <c r="EP158" s="532"/>
      <c r="EQ158" s="532"/>
      <c r="ER158" s="532"/>
      <c r="ES158" s="532"/>
      <c r="ET158" s="532"/>
      <c r="EU158" s="532"/>
      <c r="EV158" s="532"/>
      <c r="EW158" s="532"/>
      <c r="EX158" s="532"/>
      <c r="EY158" s="532"/>
      <c r="EZ158" s="532"/>
      <c r="FA158" s="532"/>
      <c r="FB158" s="532"/>
      <c r="FC158" s="532"/>
      <c r="FD158" s="532"/>
      <c r="FE158" s="532"/>
      <c r="FF158" s="532"/>
      <c r="FG158" s="532"/>
      <c r="FH158" s="532"/>
      <c r="FI158" s="532"/>
      <c r="FJ158" s="532"/>
      <c r="FK158" s="532"/>
      <c r="FL158" s="532"/>
      <c r="FM158" s="532"/>
      <c r="FN158" s="532"/>
      <c r="FO158" s="532"/>
      <c r="FP158" s="532"/>
    </row>
    <row r="159" spans="1:172" ht="12" customHeight="1" x14ac:dyDescent="0.2">
      <c r="A159" s="534"/>
      <c r="B159" s="534"/>
      <c r="C159" s="534"/>
      <c r="D159" s="534"/>
      <c r="E159" s="534"/>
      <c r="F159" s="534"/>
      <c r="G159" s="534"/>
      <c r="H159" s="534"/>
      <c r="I159" s="534"/>
      <c r="J159" s="534"/>
      <c r="K159" s="658"/>
      <c r="L159" s="562"/>
      <c r="M159" s="562"/>
      <c r="N159" s="562"/>
      <c r="O159" s="530"/>
      <c r="P159" s="536"/>
      <c r="Q159" s="531"/>
      <c r="R159" s="531"/>
      <c r="S159" s="531"/>
      <c r="T159" s="531"/>
      <c r="U159" s="531"/>
      <c r="V159" s="531"/>
      <c r="W159" s="531"/>
      <c r="X159" s="531"/>
      <c r="Y159" s="531"/>
      <c r="Z159" s="531"/>
      <c r="AA159" s="531"/>
      <c r="AB159" s="531"/>
      <c r="AC159" s="531"/>
      <c r="AD159" s="531"/>
      <c r="AE159" s="531"/>
      <c r="AF159" s="531"/>
      <c r="AG159" s="531"/>
      <c r="AH159" s="532"/>
      <c r="AI159" s="532"/>
      <c r="AJ159" s="532"/>
      <c r="AK159" s="532"/>
      <c r="AL159" s="532"/>
      <c r="AM159" s="532"/>
      <c r="AN159" s="532"/>
      <c r="AO159" s="532"/>
      <c r="AP159" s="532"/>
      <c r="AQ159" s="532"/>
      <c r="AR159" s="532"/>
      <c r="AS159" s="532"/>
      <c r="AT159" s="532"/>
      <c r="AU159" s="532"/>
      <c r="AV159" s="532"/>
      <c r="AW159" s="532"/>
      <c r="AX159" s="532"/>
      <c r="AY159" s="532"/>
      <c r="AZ159" s="532"/>
      <c r="BA159" s="532"/>
      <c r="BB159" s="532"/>
      <c r="BC159" s="532"/>
      <c r="BD159" s="532"/>
      <c r="BE159" s="532"/>
      <c r="BF159" s="532"/>
      <c r="BG159" s="532"/>
      <c r="BH159" s="532"/>
      <c r="BI159" s="532"/>
      <c r="BJ159" s="532"/>
      <c r="BK159" s="532"/>
      <c r="BL159" s="532"/>
      <c r="BM159" s="532"/>
      <c r="BN159" s="532"/>
      <c r="BO159" s="532"/>
      <c r="BP159" s="532"/>
      <c r="BQ159" s="532"/>
      <c r="BR159" s="532"/>
      <c r="BS159" s="532"/>
      <c r="BT159" s="532"/>
      <c r="BU159" s="532"/>
      <c r="BV159" s="532"/>
      <c r="BW159" s="532"/>
      <c r="BX159" s="532"/>
      <c r="BY159" s="532"/>
      <c r="BZ159" s="532"/>
      <c r="CA159" s="532"/>
      <c r="CB159" s="532"/>
      <c r="CC159" s="532"/>
      <c r="CD159" s="532"/>
      <c r="CE159" s="532"/>
      <c r="CF159" s="532"/>
      <c r="CG159" s="532"/>
      <c r="CH159" s="532"/>
      <c r="CI159" s="532"/>
      <c r="CJ159" s="532"/>
      <c r="CK159" s="532"/>
      <c r="CL159" s="532"/>
      <c r="CM159" s="532"/>
      <c r="CN159" s="532"/>
      <c r="CO159" s="532"/>
      <c r="CP159" s="532"/>
      <c r="CQ159" s="532"/>
      <c r="CR159" s="532"/>
      <c r="CS159" s="532"/>
      <c r="CT159" s="532"/>
      <c r="CU159" s="532"/>
      <c r="CV159" s="532"/>
      <c r="CW159" s="532"/>
      <c r="CX159" s="532"/>
      <c r="CY159" s="532"/>
      <c r="CZ159" s="532"/>
      <c r="DA159" s="532"/>
      <c r="DB159" s="532"/>
      <c r="DC159" s="532"/>
      <c r="DD159" s="532"/>
      <c r="DE159" s="532"/>
      <c r="DF159" s="532"/>
      <c r="DG159" s="532"/>
      <c r="DH159" s="532"/>
      <c r="DI159" s="532"/>
      <c r="DJ159" s="532"/>
      <c r="DK159" s="532"/>
      <c r="DL159" s="532"/>
      <c r="DM159" s="532"/>
      <c r="DN159" s="532"/>
      <c r="DO159" s="532"/>
      <c r="DP159" s="532"/>
      <c r="DQ159" s="532"/>
      <c r="DR159" s="532"/>
      <c r="DS159" s="532"/>
      <c r="DT159" s="532"/>
      <c r="DU159" s="532"/>
      <c r="DV159" s="532"/>
      <c r="DW159" s="532"/>
      <c r="DX159" s="532"/>
      <c r="DY159" s="532"/>
      <c r="DZ159" s="532"/>
      <c r="EA159" s="532"/>
      <c r="EB159" s="532"/>
      <c r="EC159" s="532"/>
      <c r="ED159" s="532"/>
      <c r="EE159" s="532"/>
      <c r="EF159" s="532"/>
      <c r="EG159" s="532"/>
      <c r="EH159" s="532"/>
      <c r="EI159" s="532"/>
      <c r="EJ159" s="532"/>
      <c r="EK159" s="532"/>
      <c r="EL159" s="532"/>
      <c r="EM159" s="532"/>
      <c r="EN159" s="532"/>
      <c r="EO159" s="532"/>
      <c r="EP159" s="532"/>
      <c r="EQ159" s="532"/>
      <c r="ER159" s="532"/>
      <c r="ES159" s="532"/>
      <c r="ET159" s="532"/>
      <c r="EU159" s="532"/>
      <c r="EV159" s="532"/>
      <c r="EW159" s="532"/>
      <c r="EX159" s="532"/>
      <c r="EY159" s="532"/>
      <c r="EZ159" s="532"/>
      <c r="FA159" s="532"/>
      <c r="FB159" s="532"/>
      <c r="FC159" s="532"/>
      <c r="FD159" s="532"/>
      <c r="FE159" s="532"/>
      <c r="FF159" s="532"/>
      <c r="FG159" s="532"/>
      <c r="FH159" s="532"/>
      <c r="FI159" s="532"/>
      <c r="FJ159" s="532"/>
      <c r="FK159" s="532"/>
      <c r="FL159" s="532"/>
      <c r="FM159" s="532"/>
      <c r="FN159" s="532"/>
      <c r="FO159" s="532"/>
      <c r="FP159" s="532"/>
    </row>
    <row r="160" spans="1:172" ht="12" customHeight="1" x14ac:dyDescent="0.2">
      <c r="A160" s="533" t="s">
        <v>114</v>
      </c>
      <c r="B160" s="534"/>
      <c r="C160" s="534"/>
      <c r="D160" s="534"/>
      <c r="E160" s="534"/>
      <c r="F160" s="534"/>
      <c r="G160" s="534"/>
      <c r="H160" s="534"/>
      <c r="I160" s="534"/>
      <c r="J160" s="534"/>
      <c r="K160" s="658"/>
      <c r="L160" s="562"/>
      <c r="M160" s="562"/>
      <c r="N160" s="562"/>
      <c r="O160" s="530"/>
      <c r="P160" s="536"/>
      <c r="Q160" s="531"/>
      <c r="R160" s="531"/>
      <c r="S160" s="531"/>
      <c r="T160" s="531"/>
      <c r="U160" s="531"/>
      <c r="V160" s="531"/>
      <c r="W160" s="531"/>
      <c r="X160" s="531"/>
      <c r="Y160" s="531"/>
      <c r="Z160" s="531"/>
      <c r="AA160" s="531"/>
      <c r="AB160" s="531"/>
      <c r="AC160" s="531"/>
      <c r="AD160" s="531"/>
      <c r="AE160" s="531"/>
      <c r="AF160" s="531"/>
      <c r="AG160" s="531"/>
      <c r="AH160" s="532"/>
      <c r="AI160" s="532"/>
      <c r="AJ160" s="532"/>
      <c r="AK160" s="532"/>
      <c r="AL160" s="532"/>
      <c r="AM160" s="532"/>
      <c r="AN160" s="532"/>
      <c r="AO160" s="532"/>
      <c r="AP160" s="532"/>
      <c r="AQ160" s="532"/>
      <c r="AR160" s="532"/>
      <c r="AS160" s="532"/>
      <c r="AT160" s="532"/>
      <c r="AU160" s="532"/>
      <c r="AV160" s="532"/>
      <c r="AW160" s="532"/>
      <c r="AX160" s="532"/>
      <c r="AY160" s="532"/>
      <c r="AZ160" s="532"/>
      <c r="BA160" s="532"/>
      <c r="BB160" s="532"/>
      <c r="BC160" s="532"/>
      <c r="BD160" s="532"/>
      <c r="BE160" s="532"/>
      <c r="BF160" s="532"/>
      <c r="BG160" s="532"/>
      <c r="BH160" s="532"/>
      <c r="BI160" s="532"/>
      <c r="BJ160" s="532"/>
      <c r="BK160" s="532"/>
      <c r="BL160" s="532"/>
      <c r="BM160" s="532"/>
      <c r="BN160" s="532"/>
      <c r="BO160" s="532"/>
      <c r="BP160" s="532"/>
      <c r="BQ160" s="532"/>
      <c r="BR160" s="532"/>
      <c r="BS160" s="532"/>
      <c r="BT160" s="532"/>
      <c r="BU160" s="532"/>
      <c r="BV160" s="532"/>
      <c r="BW160" s="532"/>
      <c r="BX160" s="532"/>
      <c r="BY160" s="532"/>
      <c r="BZ160" s="532"/>
      <c r="CA160" s="532"/>
      <c r="CB160" s="532"/>
      <c r="CC160" s="532"/>
      <c r="CD160" s="532"/>
      <c r="CE160" s="532"/>
      <c r="CF160" s="532"/>
      <c r="CG160" s="532"/>
      <c r="CH160" s="532"/>
      <c r="CI160" s="532"/>
      <c r="CJ160" s="532"/>
      <c r="CK160" s="532"/>
      <c r="CL160" s="532"/>
      <c r="CM160" s="532"/>
      <c r="CN160" s="532"/>
      <c r="CO160" s="532"/>
      <c r="CP160" s="532"/>
      <c r="CQ160" s="532"/>
      <c r="CR160" s="532"/>
      <c r="CS160" s="532"/>
      <c r="CT160" s="532"/>
      <c r="CU160" s="532"/>
      <c r="CV160" s="532"/>
      <c r="CW160" s="532"/>
      <c r="CX160" s="532"/>
      <c r="CY160" s="532"/>
      <c r="CZ160" s="532"/>
      <c r="DA160" s="532"/>
      <c r="DB160" s="532"/>
      <c r="DC160" s="532"/>
      <c r="DD160" s="532"/>
      <c r="DE160" s="532"/>
      <c r="DF160" s="532"/>
      <c r="DG160" s="532"/>
      <c r="DH160" s="532"/>
      <c r="DI160" s="532"/>
      <c r="DJ160" s="532"/>
      <c r="DK160" s="532"/>
      <c r="DL160" s="532"/>
      <c r="DM160" s="532"/>
      <c r="DN160" s="532"/>
      <c r="DO160" s="532"/>
      <c r="DP160" s="532"/>
      <c r="DQ160" s="532"/>
      <c r="DR160" s="532"/>
      <c r="DS160" s="532"/>
      <c r="DT160" s="532"/>
      <c r="DU160" s="532"/>
      <c r="DV160" s="532"/>
      <c r="DW160" s="532"/>
      <c r="DX160" s="532"/>
      <c r="DY160" s="532"/>
      <c r="DZ160" s="532"/>
      <c r="EA160" s="532"/>
      <c r="EB160" s="532"/>
      <c r="EC160" s="532"/>
      <c r="ED160" s="532"/>
      <c r="EE160" s="532"/>
      <c r="EF160" s="532"/>
      <c r="EG160" s="532"/>
      <c r="EH160" s="532"/>
      <c r="EI160" s="532"/>
      <c r="EJ160" s="532"/>
      <c r="EK160" s="532"/>
      <c r="EL160" s="532"/>
      <c r="EM160" s="532"/>
      <c r="EN160" s="532"/>
      <c r="EO160" s="532"/>
      <c r="EP160" s="532"/>
      <c r="EQ160" s="532"/>
      <c r="ER160" s="532"/>
      <c r="ES160" s="532"/>
      <c r="ET160" s="532"/>
      <c r="EU160" s="532"/>
      <c r="EV160" s="532"/>
      <c r="EW160" s="532"/>
      <c r="EX160" s="532"/>
      <c r="EY160" s="532"/>
      <c r="EZ160" s="532"/>
      <c r="FA160" s="532"/>
      <c r="FB160" s="532"/>
      <c r="FC160" s="532"/>
      <c r="FD160" s="532"/>
      <c r="FE160" s="532"/>
      <c r="FF160" s="532"/>
      <c r="FG160" s="532"/>
      <c r="FH160" s="532"/>
      <c r="FI160" s="532"/>
      <c r="FJ160" s="532"/>
      <c r="FK160" s="532"/>
      <c r="FL160" s="532"/>
      <c r="FM160" s="532"/>
      <c r="FN160" s="532"/>
      <c r="FO160" s="532"/>
      <c r="FP160" s="532"/>
    </row>
    <row r="161" spans="1:172" ht="12" customHeight="1" x14ac:dyDescent="0.2">
      <c r="A161" s="533" t="s">
        <v>107</v>
      </c>
      <c r="B161" s="534" t="s">
        <v>55</v>
      </c>
      <c r="C161" s="208">
        <v>3</v>
      </c>
      <c r="D161" s="208">
        <v>2</v>
      </c>
      <c r="E161" s="208">
        <v>0</v>
      </c>
      <c r="F161" s="208">
        <v>0</v>
      </c>
      <c r="G161" s="208">
        <v>1</v>
      </c>
      <c r="H161" s="208">
        <v>2</v>
      </c>
      <c r="I161" s="208">
        <v>0</v>
      </c>
      <c r="J161" s="208">
        <v>0</v>
      </c>
      <c r="K161" s="208">
        <v>1</v>
      </c>
      <c r="L161" s="562">
        <v>2</v>
      </c>
      <c r="M161" s="562">
        <v>0</v>
      </c>
      <c r="N161" s="562">
        <v>3</v>
      </c>
      <c r="O161" s="530">
        <f>SUM(C161:N161)</f>
        <v>14</v>
      </c>
      <c r="P161" s="536"/>
      <c r="Q161" s="531"/>
      <c r="R161" s="531"/>
      <c r="S161" s="531"/>
      <c r="T161" s="531"/>
      <c r="U161" s="531"/>
      <c r="V161" s="531"/>
      <c r="W161" s="531"/>
      <c r="X161" s="531"/>
      <c r="Y161" s="531"/>
      <c r="Z161" s="531"/>
      <c r="AA161" s="531"/>
      <c r="AB161" s="531"/>
      <c r="AC161" s="531"/>
      <c r="AD161" s="531"/>
      <c r="AE161" s="531"/>
      <c r="AF161" s="531"/>
      <c r="AG161" s="531"/>
      <c r="AH161" s="532"/>
      <c r="AI161" s="532"/>
      <c r="AJ161" s="532"/>
      <c r="AK161" s="532"/>
      <c r="AL161" s="532"/>
      <c r="AM161" s="532"/>
      <c r="AN161" s="532"/>
      <c r="AO161" s="532"/>
      <c r="AP161" s="532"/>
      <c r="AQ161" s="532"/>
      <c r="AR161" s="532"/>
      <c r="AS161" s="532"/>
      <c r="AT161" s="532"/>
      <c r="AU161" s="532"/>
      <c r="AV161" s="532"/>
      <c r="AW161" s="532"/>
      <c r="AX161" s="532"/>
      <c r="AY161" s="532"/>
      <c r="AZ161" s="532"/>
      <c r="BA161" s="532"/>
      <c r="BB161" s="532"/>
      <c r="BC161" s="532"/>
      <c r="BD161" s="532"/>
      <c r="BE161" s="532"/>
      <c r="BF161" s="532"/>
      <c r="BG161" s="532"/>
      <c r="BH161" s="532"/>
      <c r="BI161" s="532"/>
      <c r="BJ161" s="532"/>
      <c r="BK161" s="532"/>
      <c r="BL161" s="532"/>
      <c r="BM161" s="532"/>
      <c r="BN161" s="532"/>
      <c r="BO161" s="532"/>
      <c r="BP161" s="532"/>
      <c r="BQ161" s="532"/>
      <c r="BR161" s="532"/>
      <c r="BS161" s="532"/>
      <c r="BT161" s="532"/>
      <c r="BU161" s="532"/>
      <c r="BV161" s="532"/>
      <c r="BW161" s="532"/>
      <c r="BX161" s="532"/>
      <c r="BY161" s="532"/>
      <c r="BZ161" s="532"/>
      <c r="CA161" s="532"/>
      <c r="CB161" s="532"/>
      <c r="CC161" s="532"/>
      <c r="CD161" s="532"/>
      <c r="CE161" s="532"/>
      <c r="CF161" s="532"/>
      <c r="CG161" s="532"/>
      <c r="CH161" s="532"/>
      <c r="CI161" s="532"/>
      <c r="CJ161" s="532"/>
      <c r="CK161" s="532"/>
      <c r="CL161" s="532"/>
      <c r="CM161" s="532"/>
      <c r="CN161" s="532"/>
      <c r="CO161" s="532"/>
      <c r="CP161" s="532"/>
      <c r="CQ161" s="532"/>
      <c r="CR161" s="532"/>
      <c r="CS161" s="532"/>
      <c r="CT161" s="532"/>
      <c r="CU161" s="532"/>
      <c r="CV161" s="532"/>
      <c r="CW161" s="532"/>
      <c r="CX161" s="532"/>
      <c r="CY161" s="532"/>
      <c r="CZ161" s="532"/>
      <c r="DA161" s="532"/>
      <c r="DB161" s="532"/>
      <c r="DC161" s="532"/>
      <c r="DD161" s="532"/>
      <c r="DE161" s="532"/>
      <c r="DF161" s="532"/>
      <c r="DG161" s="532"/>
      <c r="DH161" s="532"/>
      <c r="DI161" s="532"/>
      <c r="DJ161" s="532"/>
      <c r="DK161" s="532"/>
      <c r="DL161" s="532"/>
      <c r="DM161" s="532"/>
      <c r="DN161" s="532"/>
      <c r="DO161" s="532"/>
      <c r="DP161" s="532"/>
      <c r="DQ161" s="532"/>
      <c r="DR161" s="532"/>
      <c r="DS161" s="532"/>
      <c r="DT161" s="532"/>
      <c r="DU161" s="532"/>
      <c r="DV161" s="532"/>
      <c r="DW161" s="532"/>
      <c r="DX161" s="532"/>
      <c r="DY161" s="532"/>
      <c r="DZ161" s="532"/>
      <c r="EA161" s="532"/>
      <c r="EB161" s="532"/>
      <c r="EC161" s="532"/>
      <c r="ED161" s="532"/>
      <c r="EE161" s="532"/>
      <c r="EF161" s="532"/>
      <c r="EG161" s="532"/>
      <c r="EH161" s="532"/>
      <c r="EI161" s="532"/>
      <c r="EJ161" s="532"/>
      <c r="EK161" s="532"/>
      <c r="EL161" s="532"/>
      <c r="EM161" s="532"/>
      <c r="EN161" s="532"/>
      <c r="EO161" s="532"/>
      <c r="EP161" s="532"/>
      <c r="EQ161" s="532"/>
      <c r="ER161" s="532"/>
      <c r="ES161" s="532"/>
      <c r="ET161" s="532"/>
      <c r="EU161" s="532"/>
      <c r="EV161" s="532"/>
      <c r="EW161" s="532"/>
      <c r="EX161" s="532"/>
      <c r="EY161" s="532"/>
      <c r="EZ161" s="532"/>
      <c r="FA161" s="532"/>
      <c r="FB161" s="532"/>
      <c r="FC161" s="532"/>
      <c r="FD161" s="532"/>
      <c r="FE161" s="532"/>
      <c r="FF161" s="532"/>
      <c r="FG161" s="532"/>
      <c r="FH161" s="532"/>
      <c r="FI161" s="532"/>
      <c r="FJ161" s="532"/>
      <c r="FK161" s="532"/>
      <c r="FL161" s="532"/>
      <c r="FM161" s="532"/>
      <c r="FN161" s="532"/>
      <c r="FO161" s="532"/>
      <c r="FP161" s="532"/>
    </row>
    <row r="162" spans="1:172" ht="12" customHeight="1" x14ac:dyDescent="0.2">
      <c r="A162" s="533" t="s">
        <v>108</v>
      </c>
      <c r="B162" s="534" t="s">
        <v>55</v>
      </c>
      <c r="C162" s="208">
        <v>0</v>
      </c>
      <c r="D162" s="208">
        <v>0</v>
      </c>
      <c r="E162" s="208">
        <v>0</v>
      </c>
      <c r="F162" s="208">
        <v>0</v>
      </c>
      <c r="G162" s="208">
        <v>0</v>
      </c>
      <c r="H162" s="208">
        <v>0</v>
      </c>
      <c r="I162" s="208">
        <v>0</v>
      </c>
      <c r="J162" s="208">
        <v>0</v>
      </c>
      <c r="K162" s="208">
        <v>0</v>
      </c>
      <c r="L162" s="562">
        <v>0</v>
      </c>
      <c r="M162" s="562">
        <v>0</v>
      </c>
      <c r="N162" s="562">
        <v>0</v>
      </c>
      <c r="O162" s="530">
        <f t="shared" ref="O162:O170" si="109">SUM(C162:N162)</f>
        <v>0</v>
      </c>
      <c r="P162" s="536"/>
      <c r="Q162" s="531"/>
      <c r="R162" s="531"/>
      <c r="S162" s="531"/>
      <c r="T162" s="531"/>
      <c r="U162" s="531"/>
      <c r="V162" s="531"/>
      <c r="W162" s="531"/>
      <c r="X162" s="531"/>
      <c r="Y162" s="531"/>
      <c r="Z162" s="531"/>
      <c r="AA162" s="531"/>
      <c r="AB162" s="531"/>
      <c r="AC162" s="531"/>
      <c r="AD162" s="531"/>
      <c r="AE162" s="531"/>
      <c r="AF162" s="531"/>
      <c r="AG162" s="531"/>
      <c r="AH162" s="532"/>
      <c r="AI162" s="532"/>
      <c r="AJ162" s="532"/>
      <c r="AK162" s="532"/>
      <c r="AL162" s="532"/>
      <c r="AM162" s="532"/>
      <c r="AN162" s="532"/>
      <c r="AO162" s="532"/>
      <c r="AP162" s="532"/>
      <c r="AQ162" s="532"/>
      <c r="AR162" s="532"/>
      <c r="AS162" s="532"/>
      <c r="AT162" s="532"/>
      <c r="AU162" s="532"/>
      <c r="AV162" s="532"/>
      <c r="AW162" s="532"/>
      <c r="AX162" s="532"/>
      <c r="AY162" s="532"/>
      <c r="AZ162" s="532"/>
      <c r="BA162" s="532"/>
      <c r="BB162" s="532"/>
      <c r="BC162" s="532"/>
      <c r="BD162" s="532"/>
      <c r="BE162" s="532"/>
      <c r="BF162" s="532"/>
      <c r="BG162" s="532"/>
      <c r="BH162" s="532"/>
      <c r="BI162" s="532"/>
      <c r="BJ162" s="532"/>
      <c r="BK162" s="532"/>
      <c r="BL162" s="532"/>
      <c r="BM162" s="532"/>
      <c r="BN162" s="532"/>
      <c r="BO162" s="532"/>
      <c r="BP162" s="532"/>
      <c r="BQ162" s="532"/>
      <c r="BR162" s="532"/>
      <c r="BS162" s="532"/>
      <c r="BT162" s="532"/>
      <c r="BU162" s="532"/>
      <c r="BV162" s="532"/>
      <c r="BW162" s="532"/>
      <c r="BX162" s="532"/>
      <c r="BY162" s="532"/>
      <c r="BZ162" s="532"/>
      <c r="CA162" s="532"/>
      <c r="CB162" s="532"/>
      <c r="CC162" s="532"/>
      <c r="CD162" s="532"/>
      <c r="CE162" s="532"/>
      <c r="CF162" s="532"/>
      <c r="CG162" s="532"/>
      <c r="CH162" s="532"/>
      <c r="CI162" s="532"/>
      <c r="CJ162" s="532"/>
      <c r="CK162" s="532"/>
      <c r="CL162" s="532"/>
      <c r="CM162" s="532"/>
      <c r="CN162" s="532"/>
      <c r="CO162" s="532"/>
      <c r="CP162" s="532"/>
      <c r="CQ162" s="532"/>
      <c r="CR162" s="532"/>
      <c r="CS162" s="532"/>
      <c r="CT162" s="532"/>
      <c r="CU162" s="532"/>
      <c r="CV162" s="532"/>
      <c r="CW162" s="532"/>
      <c r="CX162" s="532"/>
      <c r="CY162" s="532"/>
      <c r="CZ162" s="532"/>
      <c r="DA162" s="532"/>
      <c r="DB162" s="532"/>
      <c r="DC162" s="532"/>
      <c r="DD162" s="532"/>
      <c r="DE162" s="532"/>
      <c r="DF162" s="532"/>
      <c r="DG162" s="532"/>
      <c r="DH162" s="532"/>
      <c r="DI162" s="532"/>
      <c r="DJ162" s="532"/>
      <c r="DK162" s="532"/>
      <c r="DL162" s="532"/>
      <c r="DM162" s="532"/>
      <c r="DN162" s="532"/>
      <c r="DO162" s="532"/>
      <c r="DP162" s="532"/>
      <c r="DQ162" s="532"/>
      <c r="DR162" s="532"/>
      <c r="DS162" s="532"/>
      <c r="DT162" s="532"/>
      <c r="DU162" s="532"/>
      <c r="DV162" s="532"/>
      <c r="DW162" s="532"/>
      <c r="DX162" s="532"/>
      <c r="DY162" s="532"/>
      <c r="DZ162" s="532"/>
      <c r="EA162" s="532"/>
      <c r="EB162" s="532"/>
      <c r="EC162" s="532"/>
      <c r="ED162" s="532"/>
      <c r="EE162" s="532"/>
      <c r="EF162" s="532"/>
      <c r="EG162" s="532"/>
      <c r="EH162" s="532"/>
      <c r="EI162" s="532"/>
      <c r="EJ162" s="532"/>
      <c r="EK162" s="532"/>
      <c r="EL162" s="532"/>
      <c r="EM162" s="532"/>
      <c r="EN162" s="532"/>
      <c r="EO162" s="532"/>
      <c r="EP162" s="532"/>
      <c r="EQ162" s="532"/>
      <c r="ER162" s="532"/>
      <c r="ES162" s="532"/>
      <c r="ET162" s="532"/>
      <c r="EU162" s="532"/>
      <c r="EV162" s="532"/>
      <c r="EW162" s="532"/>
      <c r="EX162" s="532"/>
      <c r="EY162" s="532"/>
      <c r="EZ162" s="532"/>
      <c r="FA162" s="532"/>
      <c r="FB162" s="532"/>
      <c r="FC162" s="532"/>
      <c r="FD162" s="532"/>
      <c r="FE162" s="532"/>
      <c r="FF162" s="532"/>
      <c r="FG162" s="532"/>
      <c r="FH162" s="532"/>
      <c r="FI162" s="532"/>
      <c r="FJ162" s="532"/>
      <c r="FK162" s="532"/>
      <c r="FL162" s="532"/>
      <c r="FM162" s="532"/>
      <c r="FN162" s="532"/>
      <c r="FO162" s="532"/>
      <c r="FP162" s="532"/>
    </row>
    <row r="163" spans="1:172" ht="12" customHeight="1" x14ac:dyDescent="0.2">
      <c r="A163" s="533" t="s">
        <v>99</v>
      </c>
      <c r="B163" s="534"/>
      <c r="C163" s="208">
        <v>0</v>
      </c>
      <c r="D163" s="208">
        <v>0</v>
      </c>
      <c r="E163" s="208">
        <v>0</v>
      </c>
      <c r="F163" s="208">
        <v>0</v>
      </c>
      <c r="G163" s="208">
        <v>1</v>
      </c>
      <c r="H163" s="208">
        <v>0</v>
      </c>
      <c r="I163" s="208">
        <v>0</v>
      </c>
      <c r="J163" s="208">
        <v>0</v>
      </c>
      <c r="K163" s="208">
        <v>0</v>
      </c>
      <c r="L163" s="562">
        <v>0</v>
      </c>
      <c r="M163" s="562">
        <v>0</v>
      </c>
      <c r="N163" s="562">
        <v>1</v>
      </c>
      <c r="O163" s="530">
        <f t="shared" si="109"/>
        <v>2</v>
      </c>
      <c r="P163" s="536"/>
      <c r="Q163" s="531"/>
      <c r="R163" s="531"/>
      <c r="S163" s="531"/>
      <c r="T163" s="531"/>
      <c r="U163" s="531"/>
      <c r="V163" s="531"/>
      <c r="W163" s="531"/>
      <c r="X163" s="531"/>
      <c r="Y163" s="531"/>
      <c r="Z163" s="531"/>
      <c r="AA163" s="531"/>
      <c r="AB163" s="531"/>
      <c r="AC163" s="531"/>
      <c r="AD163" s="531"/>
      <c r="AE163" s="531"/>
      <c r="AF163" s="531"/>
      <c r="AG163" s="531"/>
      <c r="AH163" s="532"/>
      <c r="AI163" s="532"/>
      <c r="AJ163" s="532"/>
      <c r="AK163" s="532"/>
      <c r="AL163" s="532"/>
      <c r="AM163" s="532"/>
      <c r="AN163" s="532"/>
      <c r="AO163" s="532"/>
      <c r="AP163" s="532"/>
      <c r="AQ163" s="532"/>
      <c r="AR163" s="532"/>
      <c r="AS163" s="532"/>
      <c r="AT163" s="532"/>
      <c r="AU163" s="532"/>
      <c r="AV163" s="532"/>
      <c r="AW163" s="532"/>
      <c r="AX163" s="532"/>
      <c r="AY163" s="532"/>
      <c r="AZ163" s="532"/>
      <c r="BA163" s="532"/>
      <c r="BB163" s="532"/>
      <c r="BC163" s="532"/>
      <c r="BD163" s="532"/>
      <c r="BE163" s="532"/>
      <c r="BF163" s="532"/>
      <c r="BG163" s="532"/>
      <c r="BH163" s="532"/>
      <c r="BI163" s="532"/>
      <c r="BJ163" s="532"/>
      <c r="BK163" s="532"/>
      <c r="BL163" s="532"/>
      <c r="BM163" s="532"/>
      <c r="BN163" s="532"/>
      <c r="BO163" s="532"/>
      <c r="BP163" s="532"/>
      <c r="BQ163" s="532"/>
      <c r="BR163" s="532"/>
      <c r="BS163" s="532"/>
      <c r="BT163" s="532"/>
      <c r="BU163" s="532"/>
      <c r="BV163" s="532"/>
      <c r="BW163" s="532"/>
      <c r="BX163" s="532"/>
      <c r="BY163" s="532"/>
      <c r="BZ163" s="532"/>
      <c r="CA163" s="532"/>
      <c r="CB163" s="532"/>
      <c r="CC163" s="532"/>
      <c r="CD163" s="532"/>
      <c r="CE163" s="532"/>
      <c r="CF163" s="532"/>
      <c r="CG163" s="532"/>
      <c r="CH163" s="532"/>
      <c r="CI163" s="532"/>
      <c r="CJ163" s="532"/>
      <c r="CK163" s="532"/>
      <c r="CL163" s="532"/>
      <c r="CM163" s="532"/>
      <c r="CN163" s="532"/>
      <c r="CO163" s="532"/>
      <c r="CP163" s="532"/>
      <c r="CQ163" s="532"/>
      <c r="CR163" s="532"/>
      <c r="CS163" s="532"/>
      <c r="CT163" s="532"/>
      <c r="CU163" s="532"/>
      <c r="CV163" s="532"/>
      <c r="CW163" s="532"/>
      <c r="CX163" s="532"/>
      <c r="CY163" s="532"/>
      <c r="CZ163" s="532"/>
      <c r="DA163" s="532"/>
      <c r="DB163" s="532"/>
      <c r="DC163" s="532"/>
      <c r="DD163" s="532"/>
      <c r="DE163" s="532"/>
      <c r="DF163" s="532"/>
      <c r="DG163" s="532"/>
      <c r="DH163" s="532"/>
      <c r="DI163" s="532"/>
      <c r="DJ163" s="532"/>
      <c r="DK163" s="532"/>
      <c r="DL163" s="532"/>
      <c r="DM163" s="532"/>
      <c r="DN163" s="532"/>
      <c r="DO163" s="532"/>
      <c r="DP163" s="532"/>
      <c r="DQ163" s="532"/>
      <c r="DR163" s="532"/>
      <c r="DS163" s="532"/>
      <c r="DT163" s="532"/>
      <c r="DU163" s="532"/>
      <c r="DV163" s="532"/>
      <c r="DW163" s="532"/>
      <c r="DX163" s="532"/>
      <c r="DY163" s="532"/>
      <c r="DZ163" s="532"/>
      <c r="EA163" s="532"/>
      <c r="EB163" s="532"/>
      <c r="EC163" s="532"/>
      <c r="ED163" s="532"/>
      <c r="EE163" s="532"/>
      <c r="EF163" s="532"/>
      <c r="EG163" s="532"/>
      <c r="EH163" s="532"/>
      <c r="EI163" s="532"/>
      <c r="EJ163" s="532"/>
      <c r="EK163" s="532"/>
      <c r="EL163" s="532"/>
      <c r="EM163" s="532"/>
      <c r="EN163" s="532"/>
      <c r="EO163" s="532"/>
      <c r="EP163" s="532"/>
      <c r="EQ163" s="532"/>
      <c r="ER163" s="532"/>
      <c r="ES163" s="532"/>
      <c r="ET163" s="532"/>
      <c r="EU163" s="532"/>
      <c r="EV163" s="532"/>
      <c r="EW163" s="532"/>
      <c r="EX163" s="532"/>
      <c r="EY163" s="532"/>
      <c r="EZ163" s="532"/>
      <c r="FA163" s="532"/>
      <c r="FB163" s="532"/>
      <c r="FC163" s="532"/>
      <c r="FD163" s="532"/>
      <c r="FE163" s="532"/>
      <c r="FF163" s="532"/>
      <c r="FG163" s="532"/>
      <c r="FH163" s="532"/>
      <c r="FI163" s="532"/>
      <c r="FJ163" s="532"/>
      <c r="FK163" s="532"/>
      <c r="FL163" s="532"/>
      <c r="FM163" s="532"/>
      <c r="FN163" s="532"/>
      <c r="FO163" s="532"/>
      <c r="FP163" s="532"/>
    </row>
    <row r="164" spans="1:172" ht="12" customHeight="1" x14ac:dyDescent="0.2">
      <c r="A164" s="533" t="s">
        <v>109</v>
      </c>
      <c r="B164" s="534"/>
      <c r="C164" s="208">
        <v>0</v>
      </c>
      <c r="D164" s="208">
        <v>0</v>
      </c>
      <c r="E164" s="208">
        <v>0</v>
      </c>
      <c r="F164" s="208">
        <v>0</v>
      </c>
      <c r="G164" s="208">
        <v>0</v>
      </c>
      <c r="H164" s="208">
        <v>1</v>
      </c>
      <c r="I164" s="208">
        <v>0</v>
      </c>
      <c r="J164" s="208">
        <v>1</v>
      </c>
      <c r="K164" s="208">
        <v>0</v>
      </c>
      <c r="L164" s="562">
        <v>0</v>
      </c>
      <c r="M164" s="562">
        <v>0</v>
      </c>
      <c r="N164" s="562">
        <v>0</v>
      </c>
      <c r="O164" s="530">
        <f t="shared" si="109"/>
        <v>2</v>
      </c>
      <c r="P164" s="536"/>
      <c r="Q164" s="531"/>
      <c r="R164" s="531"/>
      <c r="S164" s="531"/>
      <c r="T164" s="531"/>
      <c r="U164" s="531"/>
      <c r="V164" s="531"/>
      <c r="W164" s="531"/>
      <c r="X164" s="531"/>
      <c r="Y164" s="531"/>
      <c r="Z164" s="531"/>
      <c r="AA164" s="531"/>
      <c r="AB164" s="531"/>
      <c r="AC164" s="531"/>
      <c r="AD164" s="531"/>
      <c r="AE164" s="531"/>
      <c r="AF164" s="531"/>
      <c r="AG164" s="531"/>
      <c r="AH164" s="532"/>
      <c r="AI164" s="532"/>
      <c r="AJ164" s="532"/>
      <c r="AK164" s="532"/>
      <c r="AL164" s="532"/>
      <c r="AM164" s="532"/>
      <c r="AN164" s="532"/>
      <c r="AO164" s="532"/>
      <c r="AP164" s="532"/>
      <c r="AQ164" s="532"/>
      <c r="AR164" s="532"/>
      <c r="AS164" s="532"/>
      <c r="AT164" s="532"/>
      <c r="AU164" s="532"/>
      <c r="AV164" s="532"/>
      <c r="AW164" s="532"/>
      <c r="AX164" s="532"/>
      <c r="AY164" s="532"/>
      <c r="AZ164" s="532"/>
      <c r="BA164" s="532"/>
      <c r="BB164" s="532"/>
      <c r="BC164" s="532"/>
      <c r="BD164" s="532"/>
      <c r="BE164" s="532"/>
      <c r="BF164" s="532"/>
      <c r="BG164" s="532"/>
      <c r="BH164" s="532"/>
      <c r="BI164" s="532"/>
      <c r="BJ164" s="532"/>
      <c r="BK164" s="532"/>
      <c r="BL164" s="532"/>
      <c r="BM164" s="532"/>
      <c r="BN164" s="532"/>
      <c r="BO164" s="532"/>
      <c r="BP164" s="532"/>
      <c r="BQ164" s="532"/>
      <c r="BR164" s="532"/>
      <c r="BS164" s="532"/>
      <c r="BT164" s="532"/>
      <c r="BU164" s="532"/>
      <c r="BV164" s="532"/>
      <c r="BW164" s="532"/>
      <c r="BX164" s="532"/>
      <c r="BY164" s="532"/>
      <c r="BZ164" s="532"/>
      <c r="CA164" s="532"/>
      <c r="CB164" s="532"/>
      <c r="CC164" s="532"/>
      <c r="CD164" s="532"/>
      <c r="CE164" s="532"/>
      <c r="CF164" s="532"/>
      <c r="CG164" s="532"/>
      <c r="CH164" s="532"/>
      <c r="CI164" s="532"/>
      <c r="CJ164" s="532"/>
      <c r="CK164" s="532"/>
      <c r="CL164" s="532"/>
      <c r="CM164" s="532"/>
      <c r="CN164" s="532"/>
      <c r="CO164" s="532"/>
      <c r="CP164" s="532"/>
      <c r="CQ164" s="532"/>
      <c r="CR164" s="532"/>
      <c r="CS164" s="532"/>
      <c r="CT164" s="532"/>
      <c r="CU164" s="532"/>
      <c r="CV164" s="532"/>
      <c r="CW164" s="532"/>
      <c r="CX164" s="532"/>
      <c r="CY164" s="532"/>
      <c r="CZ164" s="532"/>
      <c r="DA164" s="532"/>
      <c r="DB164" s="532"/>
      <c r="DC164" s="532"/>
      <c r="DD164" s="532"/>
      <c r="DE164" s="532"/>
      <c r="DF164" s="532"/>
      <c r="DG164" s="532"/>
      <c r="DH164" s="532"/>
      <c r="DI164" s="532"/>
      <c r="DJ164" s="532"/>
      <c r="DK164" s="532"/>
      <c r="DL164" s="532"/>
      <c r="DM164" s="532"/>
      <c r="DN164" s="532"/>
      <c r="DO164" s="532"/>
      <c r="DP164" s="532"/>
      <c r="DQ164" s="532"/>
      <c r="DR164" s="532"/>
      <c r="DS164" s="532"/>
      <c r="DT164" s="532"/>
      <c r="DU164" s="532"/>
      <c r="DV164" s="532"/>
      <c r="DW164" s="532"/>
      <c r="DX164" s="532"/>
      <c r="DY164" s="532"/>
      <c r="DZ164" s="532"/>
      <c r="EA164" s="532"/>
      <c r="EB164" s="532"/>
      <c r="EC164" s="532"/>
      <c r="ED164" s="532"/>
      <c r="EE164" s="532"/>
      <c r="EF164" s="532"/>
      <c r="EG164" s="532"/>
      <c r="EH164" s="532"/>
      <c r="EI164" s="532"/>
      <c r="EJ164" s="532"/>
      <c r="EK164" s="532"/>
      <c r="EL164" s="532"/>
      <c r="EM164" s="532"/>
      <c r="EN164" s="532"/>
      <c r="EO164" s="532"/>
      <c r="EP164" s="532"/>
      <c r="EQ164" s="532"/>
      <c r="ER164" s="532"/>
      <c r="ES164" s="532"/>
      <c r="ET164" s="532"/>
      <c r="EU164" s="532"/>
      <c r="EV164" s="532"/>
      <c r="EW164" s="532"/>
      <c r="EX164" s="532"/>
      <c r="EY164" s="532"/>
      <c r="EZ164" s="532"/>
      <c r="FA164" s="532"/>
      <c r="FB164" s="532"/>
      <c r="FC164" s="532"/>
      <c r="FD164" s="532"/>
      <c r="FE164" s="532"/>
      <c r="FF164" s="532"/>
      <c r="FG164" s="532"/>
      <c r="FH164" s="532"/>
      <c r="FI164" s="532"/>
      <c r="FJ164" s="532"/>
      <c r="FK164" s="532"/>
      <c r="FL164" s="532"/>
      <c r="FM164" s="532"/>
      <c r="FN164" s="532"/>
      <c r="FO164" s="532"/>
      <c r="FP164" s="532"/>
    </row>
    <row r="165" spans="1:172" ht="12" customHeight="1" x14ac:dyDescent="0.2">
      <c r="A165" s="533" t="s">
        <v>110</v>
      </c>
      <c r="B165" s="534"/>
      <c r="C165" s="208">
        <v>0</v>
      </c>
      <c r="D165" s="208">
        <v>0</v>
      </c>
      <c r="E165" s="208">
        <v>0</v>
      </c>
      <c r="F165" s="208">
        <v>0</v>
      </c>
      <c r="G165" s="208">
        <v>0</v>
      </c>
      <c r="H165" s="208">
        <v>0</v>
      </c>
      <c r="I165" s="208">
        <v>0</v>
      </c>
      <c r="J165" s="208">
        <v>0</v>
      </c>
      <c r="K165" s="208">
        <v>0</v>
      </c>
      <c r="L165" s="562">
        <v>0</v>
      </c>
      <c r="M165" s="562">
        <v>0</v>
      </c>
      <c r="N165" s="562">
        <v>0</v>
      </c>
      <c r="O165" s="530">
        <f t="shared" si="109"/>
        <v>0</v>
      </c>
      <c r="P165" s="536"/>
      <c r="Q165" s="531"/>
      <c r="R165" s="531"/>
      <c r="S165" s="531"/>
      <c r="T165" s="531"/>
      <c r="U165" s="531"/>
      <c r="V165" s="531"/>
      <c r="W165" s="531"/>
      <c r="X165" s="531"/>
      <c r="Y165" s="531"/>
      <c r="Z165" s="531"/>
      <c r="AA165" s="531"/>
      <c r="AB165" s="531"/>
      <c r="AC165" s="531"/>
      <c r="AD165" s="531"/>
      <c r="AE165" s="531"/>
      <c r="AF165" s="531"/>
      <c r="AG165" s="531"/>
      <c r="AH165" s="532"/>
      <c r="AI165" s="532"/>
      <c r="AJ165" s="532"/>
      <c r="AK165" s="532"/>
      <c r="AL165" s="532"/>
      <c r="AM165" s="532"/>
      <c r="AN165" s="532"/>
      <c r="AO165" s="532"/>
      <c r="AP165" s="532"/>
      <c r="AQ165" s="532"/>
      <c r="AR165" s="532"/>
      <c r="AS165" s="532"/>
      <c r="AT165" s="532"/>
      <c r="AU165" s="532"/>
      <c r="AV165" s="532"/>
      <c r="AW165" s="532"/>
      <c r="AX165" s="532"/>
      <c r="AY165" s="532"/>
      <c r="AZ165" s="532"/>
      <c r="BA165" s="532"/>
      <c r="BB165" s="532"/>
      <c r="BC165" s="532"/>
      <c r="BD165" s="532"/>
      <c r="BE165" s="532"/>
      <c r="BF165" s="532"/>
      <c r="BG165" s="532"/>
      <c r="BH165" s="532"/>
      <c r="BI165" s="532"/>
      <c r="BJ165" s="532"/>
      <c r="BK165" s="532"/>
      <c r="BL165" s="532"/>
      <c r="BM165" s="532"/>
      <c r="BN165" s="532"/>
      <c r="BO165" s="532"/>
      <c r="BP165" s="532"/>
      <c r="BQ165" s="532"/>
      <c r="BR165" s="532"/>
      <c r="BS165" s="532"/>
      <c r="BT165" s="532"/>
      <c r="BU165" s="532"/>
      <c r="BV165" s="532"/>
      <c r="BW165" s="532"/>
      <c r="BX165" s="532"/>
      <c r="BY165" s="532"/>
      <c r="BZ165" s="532"/>
      <c r="CA165" s="532"/>
      <c r="CB165" s="532"/>
      <c r="CC165" s="532"/>
      <c r="CD165" s="532"/>
      <c r="CE165" s="532"/>
      <c r="CF165" s="532"/>
      <c r="CG165" s="532"/>
      <c r="CH165" s="532"/>
      <c r="CI165" s="532"/>
      <c r="CJ165" s="532"/>
      <c r="CK165" s="532"/>
      <c r="CL165" s="532"/>
      <c r="CM165" s="532"/>
      <c r="CN165" s="532"/>
      <c r="CO165" s="532"/>
      <c r="CP165" s="532"/>
      <c r="CQ165" s="532"/>
      <c r="CR165" s="532"/>
      <c r="CS165" s="532"/>
      <c r="CT165" s="532"/>
      <c r="CU165" s="532"/>
      <c r="CV165" s="532"/>
      <c r="CW165" s="532"/>
      <c r="CX165" s="532"/>
      <c r="CY165" s="532"/>
      <c r="CZ165" s="532"/>
      <c r="DA165" s="532"/>
      <c r="DB165" s="532"/>
      <c r="DC165" s="532"/>
      <c r="DD165" s="532"/>
      <c r="DE165" s="532"/>
      <c r="DF165" s="532"/>
      <c r="DG165" s="532"/>
      <c r="DH165" s="532"/>
      <c r="DI165" s="532"/>
      <c r="DJ165" s="532"/>
      <c r="DK165" s="532"/>
      <c r="DL165" s="532"/>
      <c r="DM165" s="532"/>
      <c r="DN165" s="532"/>
      <c r="DO165" s="532"/>
      <c r="DP165" s="532"/>
      <c r="DQ165" s="532"/>
      <c r="DR165" s="532"/>
      <c r="DS165" s="532"/>
      <c r="DT165" s="532"/>
      <c r="DU165" s="532"/>
      <c r="DV165" s="532"/>
      <c r="DW165" s="532"/>
      <c r="DX165" s="532"/>
      <c r="DY165" s="532"/>
      <c r="DZ165" s="532"/>
      <c r="EA165" s="532"/>
      <c r="EB165" s="532"/>
      <c r="EC165" s="532"/>
      <c r="ED165" s="532"/>
      <c r="EE165" s="532"/>
      <c r="EF165" s="532"/>
      <c r="EG165" s="532"/>
      <c r="EH165" s="532"/>
      <c r="EI165" s="532"/>
      <c r="EJ165" s="532"/>
      <c r="EK165" s="532"/>
      <c r="EL165" s="532"/>
      <c r="EM165" s="532"/>
      <c r="EN165" s="532"/>
      <c r="EO165" s="532"/>
      <c r="EP165" s="532"/>
      <c r="EQ165" s="532"/>
      <c r="ER165" s="532"/>
      <c r="ES165" s="532"/>
      <c r="ET165" s="532"/>
      <c r="EU165" s="532"/>
      <c r="EV165" s="532"/>
      <c r="EW165" s="532"/>
      <c r="EX165" s="532"/>
      <c r="EY165" s="532"/>
      <c r="EZ165" s="532"/>
      <c r="FA165" s="532"/>
      <c r="FB165" s="532"/>
      <c r="FC165" s="532"/>
      <c r="FD165" s="532"/>
      <c r="FE165" s="532"/>
      <c r="FF165" s="532"/>
      <c r="FG165" s="532"/>
      <c r="FH165" s="532"/>
      <c r="FI165" s="532"/>
      <c r="FJ165" s="532"/>
      <c r="FK165" s="532"/>
      <c r="FL165" s="532"/>
      <c r="FM165" s="532"/>
      <c r="FN165" s="532"/>
      <c r="FO165" s="532"/>
      <c r="FP165" s="532"/>
    </row>
    <row r="166" spans="1:172" ht="12" customHeight="1" x14ac:dyDescent="0.2">
      <c r="A166" s="533" t="s">
        <v>102</v>
      </c>
      <c r="B166" s="534"/>
      <c r="C166" s="208">
        <v>0</v>
      </c>
      <c r="D166" s="208">
        <v>1</v>
      </c>
      <c r="E166" s="208">
        <v>0</v>
      </c>
      <c r="F166" s="208">
        <v>0</v>
      </c>
      <c r="G166" s="208">
        <v>0</v>
      </c>
      <c r="H166" s="208">
        <v>0</v>
      </c>
      <c r="I166" s="208">
        <v>0</v>
      </c>
      <c r="J166" s="208">
        <v>0</v>
      </c>
      <c r="K166" s="208">
        <v>0</v>
      </c>
      <c r="L166" s="562">
        <v>0</v>
      </c>
      <c r="M166" s="562">
        <v>0</v>
      </c>
      <c r="N166" s="562">
        <v>0</v>
      </c>
      <c r="O166" s="530">
        <f t="shared" si="109"/>
        <v>1</v>
      </c>
      <c r="P166" s="536"/>
      <c r="Q166" s="531"/>
      <c r="R166" s="531"/>
      <c r="S166" s="531"/>
      <c r="T166" s="531"/>
      <c r="U166" s="531"/>
      <c r="V166" s="531"/>
      <c r="W166" s="531"/>
      <c r="X166" s="531"/>
      <c r="Y166" s="531"/>
      <c r="Z166" s="531"/>
      <c r="AA166" s="531"/>
      <c r="AB166" s="531"/>
      <c r="AC166" s="531"/>
      <c r="AD166" s="531"/>
      <c r="AE166" s="531"/>
      <c r="AF166" s="531"/>
      <c r="AG166" s="531"/>
      <c r="AH166" s="532"/>
      <c r="AI166" s="532"/>
      <c r="AJ166" s="532"/>
      <c r="AK166" s="532"/>
      <c r="AL166" s="532"/>
      <c r="AM166" s="532"/>
      <c r="AN166" s="532"/>
      <c r="AO166" s="532"/>
      <c r="AP166" s="532"/>
      <c r="AQ166" s="532"/>
      <c r="AR166" s="532"/>
      <c r="AS166" s="532"/>
      <c r="AT166" s="532"/>
      <c r="AU166" s="532"/>
      <c r="AV166" s="532"/>
      <c r="AW166" s="532"/>
      <c r="AX166" s="532"/>
      <c r="AY166" s="532"/>
      <c r="AZ166" s="532"/>
      <c r="BA166" s="532"/>
      <c r="BB166" s="532"/>
      <c r="BC166" s="532"/>
      <c r="BD166" s="532"/>
      <c r="BE166" s="532"/>
      <c r="BF166" s="532"/>
      <c r="BG166" s="532"/>
      <c r="BH166" s="532"/>
      <c r="BI166" s="532"/>
      <c r="BJ166" s="532"/>
      <c r="BK166" s="532"/>
      <c r="BL166" s="532"/>
      <c r="BM166" s="532"/>
      <c r="BN166" s="532"/>
      <c r="BO166" s="532"/>
      <c r="BP166" s="532"/>
      <c r="BQ166" s="532"/>
      <c r="BR166" s="532"/>
      <c r="BS166" s="532"/>
      <c r="BT166" s="532"/>
      <c r="BU166" s="532"/>
      <c r="BV166" s="532"/>
      <c r="BW166" s="532"/>
      <c r="BX166" s="532"/>
      <c r="BY166" s="532"/>
      <c r="BZ166" s="532"/>
      <c r="CA166" s="532"/>
      <c r="CB166" s="532"/>
      <c r="CC166" s="532"/>
      <c r="CD166" s="532"/>
      <c r="CE166" s="532"/>
      <c r="CF166" s="532"/>
      <c r="CG166" s="532"/>
      <c r="CH166" s="532"/>
      <c r="CI166" s="532"/>
      <c r="CJ166" s="532"/>
      <c r="CK166" s="532"/>
      <c r="CL166" s="532"/>
      <c r="CM166" s="532"/>
      <c r="CN166" s="532"/>
      <c r="CO166" s="532"/>
      <c r="CP166" s="532"/>
      <c r="CQ166" s="532"/>
      <c r="CR166" s="532"/>
      <c r="CS166" s="532"/>
      <c r="CT166" s="532"/>
      <c r="CU166" s="532"/>
      <c r="CV166" s="532"/>
      <c r="CW166" s="532"/>
      <c r="CX166" s="532"/>
      <c r="CY166" s="532"/>
      <c r="CZ166" s="532"/>
      <c r="DA166" s="532"/>
      <c r="DB166" s="532"/>
      <c r="DC166" s="532"/>
      <c r="DD166" s="532"/>
      <c r="DE166" s="532"/>
      <c r="DF166" s="532"/>
      <c r="DG166" s="532"/>
      <c r="DH166" s="532"/>
      <c r="DI166" s="532"/>
      <c r="DJ166" s="532"/>
      <c r="DK166" s="532"/>
      <c r="DL166" s="532"/>
      <c r="DM166" s="532"/>
      <c r="DN166" s="532"/>
      <c r="DO166" s="532"/>
      <c r="DP166" s="532"/>
      <c r="DQ166" s="532"/>
      <c r="DR166" s="532"/>
      <c r="DS166" s="532"/>
      <c r="DT166" s="532"/>
      <c r="DU166" s="532"/>
      <c r="DV166" s="532"/>
      <c r="DW166" s="532"/>
      <c r="DX166" s="532"/>
      <c r="DY166" s="532"/>
      <c r="DZ166" s="532"/>
      <c r="EA166" s="532"/>
      <c r="EB166" s="532"/>
      <c r="EC166" s="532"/>
      <c r="ED166" s="532"/>
      <c r="EE166" s="532"/>
      <c r="EF166" s="532"/>
      <c r="EG166" s="532"/>
      <c r="EH166" s="532"/>
      <c r="EI166" s="532"/>
      <c r="EJ166" s="532"/>
      <c r="EK166" s="532"/>
      <c r="EL166" s="532"/>
      <c r="EM166" s="532"/>
      <c r="EN166" s="532"/>
      <c r="EO166" s="532"/>
      <c r="EP166" s="532"/>
      <c r="EQ166" s="532"/>
      <c r="ER166" s="532"/>
      <c r="ES166" s="532"/>
      <c r="ET166" s="532"/>
      <c r="EU166" s="532"/>
      <c r="EV166" s="532"/>
      <c r="EW166" s="532"/>
      <c r="EX166" s="532"/>
      <c r="EY166" s="532"/>
      <c r="EZ166" s="532"/>
      <c r="FA166" s="532"/>
      <c r="FB166" s="532"/>
      <c r="FC166" s="532"/>
      <c r="FD166" s="532"/>
      <c r="FE166" s="532"/>
      <c r="FF166" s="532"/>
      <c r="FG166" s="532"/>
      <c r="FH166" s="532"/>
      <c r="FI166" s="532"/>
      <c r="FJ166" s="532"/>
      <c r="FK166" s="532"/>
      <c r="FL166" s="532"/>
      <c r="FM166" s="532"/>
      <c r="FN166" s="532"/>
      <c r="FO166" s="532"/>
      <c r="FP166" s="532"/>
    </row>
    <row r="167" spans="1:172" ht="12" customHeight="1" x14ac:dyDescent="0.2">
      <c r="A167" s="533" t="s">
        <v>111</v>
      </c>
      <c r="B167" s="534"/>
      <c r="C167" s="208">
        <v>0</v>
      </c>
      <c r="D167" s="208">
        <v>0</v>
      </c>
      <c r="E167" s="208">
        <v>1</v>
      </c>
      <c r="F167" s="208">
        <v>0</v>
      </c>
      <c r="G167" s="208">
        <v>1</v>
      </c>
      <c r="H167" s="208">
        <v>1</v>
      </c>
      <c r="I167" s="208">
        <v>1</v>
      </c>
      <c r="J167" s="208">
        <v>0</v>
      </c>
      <c r="K167" s="208">
        <v>0</v>
      </c>
      <c r="L167" s="562">
        <v>1</v>
      </c>
      <c r="M167" s="562">
        <v>1</v>
      </c>
      <c r="N167" s="562">
        <v>0</v>
      </c>
      <c r="O167" s="530">
        <f t="shared" si="109"/>
        <v>6</v>
      </c>
      <c r="P167" s="536"/>
      <c r="Q167" s="531"/>
      <c r="R167" s="531"/>
      <c r="S167" s="531"/>
      <c r="T167" s="531"/>
      <c r="U167" s="531"/>
      <c r="V167" s="531"/>
      <c r="W167" s="531"/>
      <c r="X167" s="531"/>
      <c r="Y167" s="531"/>
      <c r="Z167" s="531"/>
      <c r="AA167" s="531"/>
      <c r="AB167" s="531"/>
      <c r="AC167" s="531"/>
      <c r="AD167" s="531"/>
      <c r="AE167" s="531"/>
      <c r="AF167" s="531"/>
      <c r="AG167" s="531"/>
      <c r="AH167" s="532"/>
      <c r="AI167" s="532"/>
      <c r="AJ167" s="532"/>
      <c r="AK167" s="532"/>
      <c r="AL167" s="532"/>
      <c r="AM167" s="532"/>
      <c r="AN167" s="532"/>
      <c r="AO167" s="532"/>
      <c r="AP167" s="532"/>
      <c r="AQ167" s="532"/>
      <c r="AR167" s="532"/>
      <c r="AS167" s="532"/>
      <c r="AT167" s="532"/>
      <c r="AU167" s="532"/>
      <c r="AV167" s="532"/>
      <c r="AW167" s="532"/>
      <c r="AX167" s="532"/>
      <c r="AY167" s="532"/>
      <c r="AZ167" s="532"/>
      <c r="BA167" s="532"/>
      <c r="BB167" s="532"/>
      <c r="BC167" s="532"/>
      <c r="BD167" s="532"/>
      <c r="BE167" s="532"/>
      <c r="BF167" s="532"/>
      <c r="BG167" s="532"/>
      <c r="BH167" s="532"/>
      <c r="BI167" s="532"/>
      <c r="BJ167" s="532"/>
      <c r="BK167" s="532"/>
      <c r="BL167" s="532"/>
      <c r="BM167" s="532"/>
      <c r="BN167" s="532"/>
      <c r="BO167" s="532"/>
      <c r="BP167" s="532"/>
      <c r="BQ167" s="532"/>
      <c r="BR167" s="532"/>
      <c r="BS167" s="532"/>
      <c r="BT167" s="532"/>
      <c r="BU167" s="532"/>
      <c r="BV167" s="532"/>
      <c r="BW167" s="532"/>
      <c r="BX167" s="532"/>
      <c r="BY167" s="532"/>
      <c r="BZ167" s="532"/>
      <c r="CA167" s="532"/>
      <c r="CB167" s="532"/>
      <c r="CC167" s="532"/>
      <c r="CD167" s="532"/>
      <c r="CE167" s="532"/>
      <c r="CF167" s="532"/>
      <c r="CG167" s="532"/>
      <c r="CH167" s="532"/>
      <c r="CI167" s="532"/>
      <c r="CJ167" s="532"/>
      <c r="CK167" s="532"/>
      <c r="CL167" s="532"/>
      <c r="CM167" s="532"/>
      <c r="CN167" s="532"/>
      <c r="CO167" s="532"/>
      <c r="CP167" s="532"/>
      <c r="CQ167" s="532"/>
      <c r="CR167" s="532"/>
      <c r="CS167" s="532"/>
      <c r="CT167" s="532"/>
      <c r="CU167" s="532"/>
      <c r="CV167" s="532"/>
      <c r="CW167" s="532"/>
      <c r="CX167" s="532"/>
      <c r="CY167" s="532"/>
      <c r="CZ167" s="532"/>
      <c r="DA167" s="532"/>
      <c r="DB167" s="532"/>
      <c r="DC167" s="532"/>
      <c r="DD167" s="532"/>
      <c r="DE167" s="532"/>
      <c r="DF167" s="532"/>
      <c r="DG167" s="532"/>
      <c r="DH167" s="532"/>
      <c r="DI167" s="532"/>
      <c r="DJ167" s="532"/>
      <c r="DK167" s="532"/>
      <c r="DL167" s="532"/>
      <c r="DM167" s="532"/>
      <c r="DN167" s="532"/>
      <c r="DO167" s="532"/>
      <c r="DP167" s="532"/>
      <c r="DQ167" s="532"/>
      <c r="DR167" s="532"/>
      <c r="DS167" s="532"/>
      <c r="DT167" s="532"/>
      <c r="DU167" s="532"/>
      <c r="DV167" s="532"/>
      <c r="DW167" s="532"/>
      <c r="DX167" s="532"/>
      <c r="DY167" s="532"/>
      <c r="DZ167" s="532"/>
      <c r="EA167" s="532"/>
      <c r="EB167" s="532"/>
      <c r="EC167" s="532"/>
      <c r="ED167" s="532"/>
      <c r="EE167" s="532"/>
      <c r="EF167" s="532"/>
      <c r="EG167" s="532"/>
      <c r="EH167" s="532"/>
      <c r="EI167" s="532"/>
      <c r="EJ167" s="532"/>
      <c r="EK167" s="532"/>
      <c r="EL167" s="532"/>
      <c r="EM167" s="532"/>
      <c r="EN167" s="532"/>
      <c r="EO167" s="532"/>
      <c r="EP167" s="532"/>
      <c r="EQ167" s="532"/>
      <c r="ER167" s="532"/>
      <c r="ES167" s="532"/>
      <c r="ET167" s="532"/>
      <c r="EU167" s="532"/>
      <c r="EV167" s="532"/>
      <c r="EW167" s="532"/>
      <c r="EX167" s="532"/>
      <c r="EY167" s="532"/>
      <c r="EZ167" s="532"/>
      <c r="FA167" s="532"/>
      <c r="FB167" s="532"/>
      <c r="FC167" s="532"/>
      <c r="FD167" s="532"/>
      <c r="FE167" s="532"/>
      <c r="FF167" s="532"/>
      <c r="FG167" s="532"/>
      <c r="FH167" s="532"/>
      <c r="FI167" s="532"/>
      <c r="FJ167" s="532"/>
      <c r="FK167" s="532"/>
      <c r="FL167" s="532"/>
      <c r="FM167" s="532"/>
      <c r="FN167" s="532"/>
      <c r="FO167" s="532"/>
      <c r="FP167" s="532"/>
    </row>
    <row r="168" spans="1:172" ht="12" customHeight="1" x14ac:dyDescent="0.2">
      <c r="A168" s="537" t="s">
        <v>115</v>
      </c>
      <c r="B168" s="534" t="s">
        <v>55</v>
      </c>
      <c r="C168" s="208">
        <f t="shared" ref="C168:N168" si="110">SUM(C161:C167)</f>
        <v>3</v>
      </c>
      <c r="D168" s="208">
        <f t="shared" si="110"/>
        <v>3</v>
      </c>
      <c r="E168" s="208">
        <f t="shared" si="110"/>
        <v>1</v>
      </c>
      <c r="F168" s="208">
        <f t="shared" si="110"/>
        <v>0</v>
      </c>
      <c r="G168" s="208">
        <f t="shared" si="110"/>
        <v>3</v>
      </c>
      <c r="H168" s="208">
        <f t="shared" si="110"/>
        <v>4</v>
      </c>
      <c r="I168" s="208">
        <f t="shared" si="110"/>
        <v>1</v>
      </c>
      <c r="J168" s="208">
        <f t="shared" si="110"/>
        <v>1</v>
      </c>
      <c r="K168" s="208">
        <f t="shared" si="110"/>
        <v>1</v>
      </c>
      <c r="L168" s="562">
        <f t="shared" si="110"/>
        <v>3</v>
      </c>
      <c r="M168" s="562">
        <f t="shared" si="110"/>
        <v>1</v>
      </c>
      <c r="N168" s="562">
        <f t="shared" si="110"/>
        <v>4</v>
      </c>
      <c r="O168" s="530">
        <f t="shared" si="109"/>
        <v>25</v>
      </c>
      <c r="P168" s="536"/>
      <c r="Q168" s="531"/>
      <c r="R168" s="531"/>
      <c r="S168" s="531"/>
      <c r="T168" s="531"/>
      <c r="U168" s="531"/>
      <c r="V168" s="531"/>
      <c r="W168" s="531"/>
      <c r="X168" s="531"/>
      <c r="Y168" s="531"/>
      <c r="Z168" s="531"/>
      <c r="AA168" s="531"/>
      <c r="AB168" s="531"/>
      <c r="AC168" s="531"/>
      <c r="AD168" s="531"/>
      <c r="AE168" s="531"/>
      <c r="AF168" s="531"/>
      <c r="AG168" s="531"/>
      <c r="AH168" s="532"/>
      <c r="AI168" s="532"/>
      <c r="AJ168" s="532"/>
      <c r="AK168" s="532"/>
      <c r="AL168" s="532"/>
      <c r="AM168" s="532"/>
      <c r="AN168" s="532"/>
      <c r="AO168" s="532"/>
      <c r="AP168" s="532"/>
      <c r="AQ168" s="532"/>
      <c r="AR168" s="532"/>
      <c r="AS168" s="532"/>
      <c r="AT168" s="532"/>
      <c r="AU168" s="532"/>
      <c r="AV168" s="532"/>
      <c r="AW168" s="532"/>
      <c r="AX168" s="532"/>
      <c r="AY168" s="532"/>
      <c r="AZ168" s="532"/>
      <c r="BA168" s="532"/>
      <c r="BB168" s="532"/>
      <c r="BC168" s="532"/>
      <c r="BD168" s="532"/>
      <c r="BE168" s="532"/>
      <c r="BF168" s="532"/>
      <c r="BG168" s="532"/>
      <c r="BH168" s="532"/>
      <c r="BI168" s="532"/>
      <c r="BJ168" s="532"/>
      <c r="BK168" s="532"/>
      <c r="BL168" s="532"/>
      <c r="BM168" s="532"/>
      <c r="BN168" s="532"/>
      <c r="BO168" s="532"/>
      <c r="BP168" s="532"/>
      <c r="BQ168" s="532"/>
      <c r="BR168" s="532"/>
      <c r="BS168" s="532"/>
      <c r="BT168" s="532"/>
      <c r="BU168" s="532"/>
      <c r="BV168" s="532"/>
      <c r="BW168" s="532"/>
      <c r="BX168" s="532"/>
      <c r="BY168" s="532"/>
      <c r="BZ168" s="532"/>
      <c r="CA168" s="532"/>
      <c r="CB168" s="532"/>
      <c r="CC168" s="532"/>
      <c r="CD168" s="532"/>
      <c r="CE168" s="532"/>
      <c r="CF168" s="532"/>
      <c r="CG168" s="532"/>
      <c r="CH168" s="532"/>
      <c r="CI168" s="532"/>
      <c r="CJ168" s="532"/>
      <c r="CK168" s="532"/>
      <c r="CL168" s="532"/>
      <c r="CM168" s="532"/>
      <c r="CN168" s="532"/>
      <c r="CO168" s="532"/>
      <c r="CP168" s="532"/>
      <c r="CQ168" s="532"/>
      <c r="CR168" s="532"/>
      <c r="CS168" s="532"/>
      <c r="CT168" s="532"/>
      <c r="CU168" s="532"/>
      <c r="CV168" s="532"/>
      <c r="CW168" s="532"/>
      <c r="CX168" s="532"/>
      <c r="CY168" s="532"/>
      <c r="CZ168" s="532"/>
      <c r="DA168" s="532"/>
      <c r="DB168" s="532"/>
      <c r="DC168" s="532"/>
      <c r="DD168" s="532"/>
      <c r="DE168" s="532"/>
      <c r="DF168" s="532"/>
      <c r="DG168" s="532"/>
      <c r="DH168" s="532"/>
      <c r="DI168" s="532"/>
      <c r="DJ168" s="532"/>
      <c r="DK168" s="532"/>
      <c r="DL168" s="532"/>
      <c r="DM168" s="532"/>
      <c r="DN168" s="532"/>
      <c r="DO168" s="532"/>
      <c r="DP168" s="532"/>
      <c r="DQ168" s="532"/>
      <c r="DR168" s="532"/>
      <c r="DS168" s="532"/>
      <c r="DT168" s="532"/>
      <c r="DU168" s="532"/>
      <c r="DV168" s="532"/>
      <c r="DW168" s="532"/>
      <c r="DX168" s="532"/>
      <c r="DY168" s="532"/>
      <c r="DZ168" s="532"/>
      <c r="EA168" s="532"/>
      <c r="EB168" s="532"/>
      <c r="EC168" s="532"/>
      <c r="ED168" s="532"/>
      <c r="EE168" s="532"/>
      <c r="EF168" s="532"/>
      <c r="EG168" s="532"/>
      <c r="EH168" s="532"/>
      <c r="EI168" s="532"/>
      <c r="EJ168" s="532"/>
      <c r="EK168" s="532"/>
      <c r="EL168" s="532"/>
      <c r="EM168" s="532"/>
      <c r="EN168" s="532"/>
      <c r="EO168" s="532"/>
      <c r="EP168" s="532"/>
      <c r="EQ168" s="532"/>
      <c r="ER168" s="532"/>
      <c r="ES168" s="532"/>
      <c r="ET168" s="532"/>
      <c r="EU168" s="532"/>
      <c r="EV168" s="532"/>
      <c r="EW168" s="532"/>
      <c r="EX168" s="532"/>
      <c r="EY168" s="532"/>
      <c r="EZ168" s="532"/>
      <c r="FA168" s="532"/>
      <c r="FB168" s="532"/>
      <c r="FC168" s="532"/>
      <c r="FD168" s="532"/>
      <c r="FE168" s="532"/>
      <c r="FF168" s="532"/>
      <c r="FG168" s="532"/>
      <c r="FH168" s="532"/>
      <c r="FI168" s="532"/>
      <c r="FJ168" s="532"/>
      <c r="FK168" s="532"/>
      <c r="FL168" s="532"/>
      <c r="FM168" s="532"/>
      <c r="FN168" s="532"/>
      <c r="FO168" s="532"/>
      <c r="FP168" s="532"/>
    </row>
    <row r="169" spans="1:172" ht="12" customHeight="1" x14ac:dyDescent="0.2">
      <c r="A169" s="537" t="s">
        <v>116</v>
      </c>
      <c r="B169" s="534"/>
      <c r="C169" s="208">
        <v>0</v>
      </c>
      <c r="D169" s="208">
        <v>0</v>
      </c>
      <c r="E169" s="208">
        <v>0</v>
      </c>
      <c r="F169" s="208">
        <v>0</v>
      </c>
      <c r="G169" s="208">
        <v>0</v>
      </c>
      <c r="H169" s="208">
        <v>0</v>
      </c>
      <c r="I169" s="208">
        <v>0</v>
      </c>
      <c r="J169" s="208">
        <v>0</v>
      </c>
      <c r="K169" s="208">
        <v>0</v>
      </c>
      <c r="L169" s="562">
        <v>0</v>
      </c>
      <c r="M169" s="562">
        <v>0</v>
      </c>
      <c r="N169" s="562">
        <v>0</v>
      </c>
      <c r="O169" s="530">
        <f t="shared" si="109"/>
        <v>0</v>
      </c>
      <c r="P169" s="536"/>
      <c r="Q169" s="531"/>
      <c r="R169" s="531"/>
      <c r="S169" s="531"/>
      <c r="T169" s="531"/>
      <c r="U169" s="531"/>
      <c r="V169" s="531"/>
      <c r="W169" s="531"/>
      <c r="X169" s="531"/>
      <c r="Y169" s="531"/>
      <c r="Z169" s="531"/>
      <c r="AA169" s="531"/>
      <c r="AB169" s="531"/>
      <c r="AC169" s="531"/>
      <c r="AD169" s="531"/>
      <c r="AE169" s="531"/>
      <c r="AF169" s="531"/>
      <c r="AG169" s="531"/>
      <c r="AH169" s="532"/>
      <c r="AI169" s="532"/>
      <c r="AJ169" s="532"/>
      <c r="AK169" s="532"/>
      <c r="AL169" s="532"/>
      <c r="AM169" s="532"/>
      <c r="AN169" s="532"/>
      <c r="AO169" s="532"/>
      <c r="AP169" s="532"/>
      <c r="AQ169" s="532"/>
      <c r="AR169" s="532"/>
      <c r="AS169" s="532"/>
      <c r="AT169" s="532"/>
      <c r="AU169" s="532"/>
      <c r="AV169" s="532"/>
      <c r="AW169" s="532"/>
      <c r="AX169" s="532"/>
      <c r="AY169" s="532"/>
      <c r="AZ169" s="532"/>
      <c r="BA169" s="532"/>
      <c r="BB169" s="532"/>
      <c r="BC169" s="532"/>
      <c r="BD169" s="532"/>
      <c r="BE169" s="532"/>
      <c r="BF169" s="532"/>
      <c r="BG169" s="532"/>
      <c r="BH169" s="532"/>
      <c r="BI169" s="532"/>
      <c r="BJ169" s="532"/>
      <c r="BK169" s="532"/>
      <c r="BL169" s="532"/>
      <c r="BM169" s="532"/>
      <c r="BN169" s="532"/>
      <c r="BO169" s="532"/>
      <c r="BP169" s="532"/>
      <c r="BQ169" s="532"/>
      <c r="BR169" s="532"/>
      <c r="BS169" s="532"/>
      <c r="BT169" s="532"/>
      <c r="BU169" s="532"/>
      <c r="BV169" s="532"/>
      <c r="BW169" s="532"/>
      <c r="BX169" s="532"/>
      <c r="BY169" s="532"/>
      <c r="BZ169" s="532"/>
      <c r="CA169" s="532"/>
      <c r="CB169" s="532"/>
      <c r="CC169" s="532"/>
      <c r="CD169" s="532"/>
      <c r="CE169" s="532"/>
      <c r="CF169" s="532"/>
      <c r="CG169" s="532"/>
      <c r="CH169" s="532"/>
      <c r="CI169" s="532"/>
      <c r="CJ169" s="532"/>
      <c r="CK169" s="532"/>
      <c r="CL169" s="532"/>
      <c r="CM169" s="532"/>
      <c r="CN169" s="532"/>
      <c r="CO169" s="532"/>
      <c r="CP169" s="532"/>
      <c r="CQ169" s="532"/>
      <c r="CR169" s="532"/>
      <c r="CS169" s="532"/>
      <c r="CT169" s="532"/>
      <c r="CU169" s="532"/>
      <c r="CV169" s="532"/>
      <c r="CW169" s="532"/>
      <c r="CX169" s="532"/>
      <c r="CY169" s="532"/>
      <c r="CZ169" s="532"/>
      <c r="DA169" s="532"/>
      <c r="DB169" s="532"/>
      <c r="DC169" s="532"/>
      <c r="DD169" s="532"/>
      <c r="DE169" s="532"/>
      <c r="DF169" s="532"/>
      <c r="DG169" s="532"/>
      <c r="DH169" s="532"/>
      <c r="DI169" s="532"/>
      <c r="DJ169" s="532"/>
      <c r="DK169" s="532"/>
      <c r="DL169" s="532"/>
      <c r="DM169" s="532"/>
      <c r="DN169" s="532"/>
      <c r="DO169" s="532"/>
      <c r="DP169" s="532"/>
      <c r="DQ169" s="532"/>
      <c r="DR169" s="532"/>
      <c r="DS169" s="532"/>
      <c r="DT169" s="532"/>
      <c r="DU169" s="532"/>
      <c r="DV169" s="532"/>
      <c r="DW169" s="532"/>
      <c r="DX169" s="532"/>
      <c r="DY169" s="532"/>
      <c r="DZ169" s="532"/>
      <c r="EA169" s="532"/>
      <c r="EB169" s="532"/>
      <c r="EC169" s="532"/>
      <c r="ED169" s="532"/>
      <c r="EE169" s="532"/>
      <c r="EF169" s="532"/>
      <c r="EG169" s="532"/>
      <c r="EH169" s="532"/>
      <c r="EI169" s="532"/>
      <c r="EJ169" s="532"/>
      <c r="EK169" s="532"/>
      <c r="EL169" s="532"/>
      <c r="EM169" s="532"/>
      <c r="EN169" s="532"/>
      <c r="EO169" s="532"/>
      <c r="EP169" s="532"/>
      <c r="EQ169" s="532"/>
      <c r="ER169" s="532"/>
      <c r="ES169" s="532"/>
      <c r="ET169" s="532"/>
      <c r="EU169" s="532"/>
      <c r="EV169" s="532"/>
      <c r="EW169" s="532"/>
      <c r="EX169" s="532"/>
      <c r="EY169" s="532"/>
      <c r="EZ169" s="532"/>
      <c r="FA169" s="532"/>
      <c r="FB169" s="532"/>
      <c r="FC169" s="532"/>
      <c r="FD169" s="532"/>
      <c r="FE169" s="532"/>
      <c r="FF169" s="532"/>
      <c r="FG169" s="532"/>
      <c r="FH169" s="532"/>
      <c r="FI169" s="532"/>
      <c r="FJ169" s="532"/>
      <c r="FK169" s="532"/>
      <c r="FL169" s="532"/>
      <c r="FM169" s="532"/>
      <c r="FN169" s="532"/>
      <c r="FO169" s="532"/>
      <c r="FP169" s="532"/>
    </row>
    <row r="170" spans="1:172" ht="12" customHeight="1" x14ac:dyDescent="0.2">
      <c r="A170" s="534" t="s">
        <v>117</v>
      </c>
      <c r="B170" s="534"/>
      <c r="C170" s="208">
        <f t="shared" ref="C170:N170" si="111">SUM(C168:C169)</f>
        <v>3</v>
      </c>
      <c r="D170" s="208">
        <f t="shared" si="111"/>
        <v>3</v>
      </c>
      <c r="E170" s="208">
        <f t="shared" si="111"/>
        <v>1</v>
      </c>
      <c r="F170" s="208">
        <f t="shared" si="111"/>
        <v>0</v>
      </c>
      <c r="G170" s="208">
        <f t="shared" si="111"/>
        <v>3</v>
      </c>
      <c r="H170" s="208">
        <f t="shared" si="111"/>
        <v>4</v>
      </c>
      <c r="I170" s="208">
        <f t="shared" si="111"/>
        <v>1</v>
      </c>
      <c r="J170" s="208">
        <f t="shared" si="111"/>
        <v>1</v>
      </c>
      <c r="K170" s="208">
        <f t="shared" si="111"/>
        <v>1</v>
      </c>
      <c r="L170" s="562">
        <f t="shared" si="111"/>
        <v>3</v>
      </c>
      <c r="M170" s="562">
        <f t="shared" si="111"/>
        <v>1</v>
      </c>
      <c r="N170" s="562">
        <f t="shared" si="111"/>
        <v>4</v>
      </c>
      <c r="O170" s="530">
        <f t="shared" si="109"/>
        <v>25</v>
      </c>
      <c r="P170" s="536"/>
      <c r="Q170" s="531"/>
      <c r="R170" s="531"/>
      <c r="S170" s="531"/>
      <c r="T170" s="531"/>
      <c r="U170" s="531"/>
      <c r="V170" s="531"/>
      <c r="W170" s="531"/>
      <c r="X170" s="531"/>
      <c r="Y170" s="531"/>
      <c r="Z170" s="531"/>
      <c r="AA170" s="531"/>
      <c r="AB170" s="531"/>
      <c r="AC170" s="531"/>
      <c r="AD170" s="531"/>
      <c r="AE170" s="531"/>
      <c r="AF170" s="531"/>
      <c r="AG170" s="531"/>
      <c r="AH170" s="532"/>
      <c r="AI170" s="532"/>
      <c r="AJ170" s="532"/>
      <c r="AK170" s="532"/>
      <c r="AL170" s="532"/>
      <c r="AM170" s="532"/>
      <c r="AN170" s="532"/>
      <c r="AO170" s="532"/>
      <c r="AP170" s="532"/>
      <c r="AQ170" s="532"/>
      <c r="AR170" s="532"/>
      <c r="AS170" s="532"/>
      <c r="AT170" s="532"/>
      <c r="AU170" s="532"/>
      <c r="AV170" s="532"/>
      <c r="AW170" s="532"/>
      <c r="AX170" s="532"/>
      <c r="AY170" s="532"/>
      <c r="AZ170" s="532"/>
      <c r="BA170" s="532"/>
      <c r="BB170" s="532"/>
      <c r="BC170" s="532"/>
      <c r="BD170" s="532"/>
      <c r="BE170" s="532"/>
      <c r="BF170" s="532"/>
      <c r="BG170" s="532"/>
      <c r="BH170" s="532"/>
      <c r="BI170" s="532"/>
      <c r="BJ170" s="532"/>
      <c r="BK170" s="532"/>
      <c r="BL170" s="532"/>
      <c r="BM170" s="532"/>
      <c r="BN170" s="532"/>
      <c r="BO170" s="532"/>
      <c r="BP170" s="532"/>
      <c r="BQ170" s="532"/>
      <c r="BR170" s="532"/>
      <c r="BS170" s="532"/>
      <c r="BT170" s="532"/>
      <c r="BU170" s="532"/>
      <c r="BV170" s="532"/>
      <c r="BW170" s="532"/>
      <c r="BX170" s="532"/>
      <c r="BY170" s="532"/>
      <c r="BZ170" s="532"/>
      <c r="CA170" s="532"/>
      <c r="CB170" s="532"/>
      <c r="CC170" s="532"/>
      <c r="CD170" s="532"/>
      <c r="CE170" s="532"/>
      <c r="CF170" s="532"/>
      <c r="CG170" s="532"/>
      <c r="CH170" s="532"/>
      <c r="CI170" s="532"/>
      <c r="CJ170" s="532"/>
      <c r="CK170" s="532"/>
      <c r="CL170" s="532"/>
      <c r="CM170" s="532"/>
      <c r="CN170" s="532"/>
      <c r="CO170" s="532"/>
      <c r="CP170" s="532"/>
      <c r="CQ170" s="532"/>
      <c r="CR170" s="532"/>
      <c r="CS170" s="532"/>
      <c r="CT170" s="532"/>
      <c r="CU170" s="532"/>
      <c r="CV170" s="532"/>
      <c r="CW170" s="532"/>
      <c r="CX170" s="532"/>
      <c r="CY170" s="532"/>
      <c r="CZ170" s="532"/>
      <c r="DA170" s="532"/>
      <c r="DB170" s="532"/>
      <c r="DC170" s="532"/>
      <c r="DD170" s="532"/>
      <c r="DE170" s="532"/>
      <c r="DF170" s="532"/>
      <c r="DG170" s="532"/>
      <c r="DH170" s="532"/>
      <c r="DI170" s="532"/>
      <c r="DJ170" s="532"/>
      <c r="DK170" s="532"/>
      <c r="DL170" s="532"/>
      <c r="DM170" s="532"/>
      <c r="DN170" s="532"/>
      <c r="DO170" s="532"/>
      <c r="DP170" s="532"/>
      <c r="DQ170" s="532"/>
      <c r="DR170" s="532"/>
      <c r="DS170" s="532"/>
      <c r="DT170" s="532"/>
      <c r="DU170" s="532"/>
      <c r="DV170" s="532"/>
      <c r="DW170" s="532"/>
      <c r="DX170" s="532"/>
      <c r="DY170" s="532"/>
      <c r="DZ170" s="532"/>
      <c r="EA170" s="532"/>
      <c r="EB170" s="532"/>
      <c r="EC170" s="532"/>
      <c r="ED170" s="532"/>
      <c r="EE170" s="532"/>
      <c r="EF170" s="532"/>
      <c r="EG170" s="532"/>
      <c r="EH170" s="532"/>
      <c r="EI170" s="532"/>
      <c r="EJ170" s="532"/>
      <c r="EK170" s="532"/>
      <c r="EL170" s="532"/>
      <c r="EM170" s="532"/>
      <c r="EN170" s="532"/>
      <c r="EO170" s="532"/>
      <c r="EP170" s="532"/>
      <c r="EQ170" s="532"/>
      <c r="ER170" s="532"/>
      <c r="ES170" s="532"/>
      <c r="ET170" s="532"/>
      <c r="EU170" s="532"/>
      <c r="EV170" s="532"/>
      <c r="EW170" s="532"/>
      <c r="EX170" s="532"/>
      <c r="EY170" s="532"/>
      <c r="EZ170" s="532"/>
      <c r="FA170" s="532"/>
      <c r="FB170" s="532"/>
      <c r="FC170" s="532"/>
      <c r="FD170" s="532"/>
      <c r="FE170" s="532"/>
      <c r="FF170" s="532"/>
      <c r="FG170" s="532"/>
      <c r="FH170" s="532"/>
      <c r="FI170" s="532"/>
      <c r="FJ170" s="532"/>
      <c r="FK170" s="532"/>
      <c r="FL170" s="532"/>
      <c r="FM170" s="532"/>
      <c r="FN170" s="532"/>
      <c r="FO170" s="532"/>
      <c r="FP170" s="532"/>
    </row>
    <row r="171" spans="1:172" ht="12" customHeight="1" x14ac:dyDescent="0.2">
      <c r="A171" s="533"/>
      <c r="B171" s="534"/>
      <c r="C171" s="534"/>
      <c r="D171" s="534"/>
      <c r="E171" s="534"/>
      <c r="F171" s="534"/>
      <c r="G171" s="534"/>
      <c r="H171" s="534"/>
      <c r="I171" s="534"/>
      <c r="J171" s="534"/>
      <c r="K171" s="658"/>
      <c r="L171" s="562"/>
      <c r="M171" s="562"/>
      <c r="N171" s="562"/>
      <c r="O171" s="530"/>
      <c r="P171" s="536"/>
      <c r="Q171" s="531"/>
      <c r="R171" s="531"/>
      <c r="S171" s="531"/>
      <c r="T171" s="531"/>
      <c r="U171" s="531"/>
      <c r="V171" s="531"/>
      <c r="W171" s="531"/>
      <c r="X171" s="531"/>
      <c r="Y171" s="531"/>
      <c r="Z171" s="531"/>
      <c r="AA171" s="531"/>
      <c r="AB171" s="531"/>
      <c r="AC171" s="531"/>
      <c r="AD171" s="531"/>
      <c r="AE171" s="531"/>
      <c r="AF171" s="531"/>
      <c r="AG171" s="531"/>
      <c r="AH171" s="532"/>
      <c r="AI171" s="532"/>
      <c r="AJ171" s="532"/>
      <c r="AK171" s="532"/>
      <c r="AL171" s="532"/>
      <c r="AM171" s="532"/>
      <c r="AN171" s="532"/>
      <c r="AO171" s="532"/>
      <c r="AP171" s="532"/>
      <c r="AQ171" s="532"/>
      <c r="AR171" s="532"/>
      <c r="AS171" s="532"/>
      <c r="AT171" s="532"/>
      <c r="AU171" s="532"/>
      <c r="AV171" s="532"/>
      <c r="AW171" s="532"/>
      <c r="AX171" s="532"/>
      <c r="AY171" s="532"/>
      <c r="AZ171" s="532"/>
      <c r="BA171" s="532"/>
      <c r="BB171" s="532"/>
      <c r="BC171" s="532"/>
      <c r="BD171" s="532"/>
      <c r="BE171" s="532"/>
      <c r="BF171" s="532"/>
      <c r="BG171" s="532"/>
      <c r="BH171" s="532"/>
      <c r="BI171" s="532"/>
      <c r="BJ171" s="532"/>
      <c r="BK171" s="532"/>
      <c r="BL171" s="532"/>
      <c r="BM171" s="532"/>
      <c r="BN171" s="532"/>
      <c r="BO171" s="532"/>
      <c r="BP171" s="532"/>
      <c r="BQ171" s="532"/>
      <c r="BR171" s="532"/>
      <c r="BS171" s="532"/>
      <c r="BT171" s="532"/>
      <c r="BU171" s="532"/>
      <c r="BV171" s="532"/>
      <c r="BW171" s="532"/>
      <c r="BX171" s="532"/>
      <c r="BY171" s="532"/>
      <c r="BZ171" s="532"/>
      <c r="CA171" s="532"/>
      <c r="CB171" s="532"/>
      <c r="CC171" s="532"/>
      <c r="CD171" s="532"/>
      <c r="CE171" s="532"/>
      <c r="CF171" s="532"/>
      <c r="CG171" s="532"/>
      <c r="CH171" s="532"/>
      <c r="CI171" s="532"/>
      <c r="CJ171" s="532"/>
      <c r="CK171" s="532"/>
      <c r="CL171" s="532"/>
      <c r="CM171" s="532"/>
      <c r="CN171" s="532"/>
      <c r="CO171" s="532"/>
      <c r="CP171" s="532"/>
      <c r="CQ171" s="532"/>
      <c r="CR171" s="532"/>
      <c r="CS171" s="532"/>
      <c r="CT171" s="532"/>
      <c r="CU171" s="532"/>
      <c r="CV171" s="532"/>
      <c r="CW171" s="532"/>
      <c r="CX171" s="532"/>
      <c r="CY171" s="532"/>
      <c r="CZ171" s="532"/>
      <c r="DA171" s="532"/>
      <c r="DB171" s="532"/>
      <c r="DC171" s="532"/>
      <c r="DD171" s="532"/>
      <c r="DE171" s="532"/>
      <c r="DF171" s="532"/>
      <c r="DG171" s="532"/>
      <c r="DH171" s="532"/>
      <c r="DI171" s="532"/>
      <c r="DJ171" s="532"/>
      <c r="DK171" s="532"/>
      <c r="DL171" s="532"/>
      <c r="DM171" s="532"/>
      <c r="DN171" s="532"/>
      <c r="DO171" s="532"/>
      <c r="DP171" s="532"/>
      <c r="DQ171" s="532"/>
      <c r="DR171" s="532"/>
      <c r="DS171" s="532"/>
      <c r="DT171" s="532"/>
      <c r="DU171" s="532"/>
      <c r="DV171" s="532"/>
      <c r="DW171" s="532"/>
      <c r="DX171" s="532"/>
      <c r="DY171" s="532"/>
      <c r="DZ171" s="532"/>
      <c r="EA171" s="532"/>
      <c r="EB171" s="532"/>
      <c r="EC171" s="532"/>
      <c r="ED171" s="532"/>
      <c r="EE171" s="532"/>
      <c r="EF171" s="532"/>
      <c r="EG171" s="532"/>
      <c r="EH171" s="532"/>
      <c r="EI171" s="532"/>
      <c r="EJ171" s="532"/>
      <c r="EK171" s="532"/>
      <c r="EL171" s="532"/>
      <c r="EM171" s="532"/>
      <c r="EN171" s="532"/>
      <c r="EO171" s="532"/>
      <c r="EP171" s="532"/>
      <c r="EQ171" s="532"/>
      <c r="ER171" s="532"/>
      <c r="ES171" s="532"/>
      <c r="ET171" s="532"/>
      <c r="EU171" s="532"/>
      <c r="EV171" s="532"/>
      <c r="EW171" s="532"/>
      <c r="EX171" s="532"/>
      <c r="EY171" s="532"/>
      <c r="EZ171" s="532"/>
      <c r="FA171" s="532"/>
      <c r="FB171" s="532"/>
      <c r="FC171" s="532"/>
      <c r="FD171" s="532"/>
      <c r="FE171" s="532"/>
      <c r="FF171" s="532"/>
      <c r="FG171" s="532"/>
      <c r="FH171" s="532"/>
      <c r="FI171" s="532"/>
      <c r="FJ171" s="532"/>
      <c r="FK171" s="532"/>
      <c r="FL171" s="532"/>
      <c r="FM171" s="532"/>
      <c r="FN171" s="532"/>
      <c r="FO171" s="532"/>
      <c r="FP171" s="532"/>
    </row>
    <row r="172" spans="1:172" ht="12" customHeight="1" x14ac:dyDescent="0.2">
      <c r="A172" s="533" t="s">
        <v>118</v>
      </c>
      <c r="B172" s="534"/>
      <c r="C172" s="534"/>
      <c r="D172" s="534"/>
      <c r="E172" s="534"/>
      <c r="F172" s="534"/>
      <c r="G172" s="534"/>
      <c r="H172" s="534"/>
      <c r="I172" s="534"/>
      <c r="J172" s="534"/>
      <c r="K172" s="658"/>
      <c r="L172" s="562"/>
      <c r="M172" s="562"/>
      <c r="N172" s="562"/>
      <c r="O172" s="530" t="s">
        <v>55</v>
      </c>
      <c r="P172" s="536"/>
      <c r="Q172" s="531"/>
      <c r="R172" s="531"/>
      <c r="S172" s="531"/>
      <c r="T172" s="531"/>
      <c r="U172" s="531"/>
      <c r="V172" s="531"/>
      <c r="W172" s="531"/>
      <c r="X172" s="531"/>
      <c r="Y172" s="531"/>
      <c r="Z172" s="531"/>
      <c r="AA172" s="531"/>
      <c r="AB172" s="531"/>
      <c r="AC172" s="531"/>
      <c r="AD172" s="531"/>
      <c r="AE172" s="531"/>
      <c r="AF172" s="531"/>
      <c r="AG172" s="531"/>
      <c r="AH172" s="532"/>
      <c r="AI172" s="532"/>
      <c r="AJ172" s="532"/>
      <c r="AK172" s="532"/>
      <c r="AL172" s="532"/>
      <c r="AM172" s="532"/>
      <c r="AN172" s="532"/>
      <c r="AO172" s="532"/>
      <c r="AP172" s="532"/>
      <c r="AQ172" s="532"/>
      <c r="AR172" s="532"/>
      <c r="AS172" s="532"/>
      <c r="AT172" s="532"/>
      <c r="AU172" s="532"/>
      <c r="AV172" s="532"/>
      <c r="AW172" s="532"/>
      <c r="AX172" s="532"/>
      <c r="AY172" s="532"/>
      <c r="AZ172" s="532"/>
      <c r="BA172" s="532"/>
      <c r="BB172" s="532"/>
      <c r="BC172" s="532"/>
      <c r="BD172" s="532"/>
      <c r="BE172" s="532"/>
      <c r="BF172" s="532"/>
      <c r="BG172" s="532"/>
      <c r="BH172" s="532"/>
      <c r="BI172" s="532"/>
      <c r="BJ172" s="532"/>
      <c r="BK172" s="532"/>
      <c r="BL172" s="532"/>
      <c r="BM172" s="532"/>
      <c r="BN172" s="532"/>
      <c r="BO172" s="532"/>
      <c r="BP172" s="532"/>
      <c r="BQ172" s="532"/>
      <c r="BR172" s="532"/>
      <c r="BS172" s="532"/>
      <c r="BT172" s="532"/>
      <c r="BU172" s="532"/>
      <c r="BV172" s="532"/>
      <c r="BW172" s="532"/>
      <c r="BX172" s="532"/>
      <c r="BY172" s="532"/>
      <c r="BZ172" s="532"/>
      <c r="CA172" s="532"/>
      <c r="CB172" s="532"/>
      <c r="CC172" s="532"/>
      <c r="CD172" s="532"/>
      <c r="CE172" s="532"/>
      <c r="CF172" s="532"/>
      <c r="CG172" s="532"/>
      <c r="CH172" s="532"/>
      <c r="CI172" s="532"/>
      <c r="CJ172" s="532"/>
      <c r="CK172" s="532"/>
      <c r="CL172" s="532"/>
      <c r="CM172" s="532"/>
      <c r="CN172" s="532"/>
      <c r="CO172" s="532"/>
      <c r="CP172" s="532"/>
      <c r="CQ172" s="532"/>
      <c r="CR172" s="532"/>
      <c r="CS172" s="532"/>
      <c r="CT172" s="532"/>
      <c r="CU172" s="532"/>
      <c r="CV172" s="532"/>
      <c r="CW172" s="532"/>
      <c r="CX172" s="532"/>
      <c r="CY172" s="532"/>
      <c r="CZ172" s="532"/>
      <c r="DA172" s="532"/>
      <c r="DB172" s="532"/>
      <c r="DC172" s="532"/>
      <c r="DD172" s="532"/>
      <c r="DE172" s="532"/>
      <c r="DF172" s="532"/>
      <c r="DG172" s="532"/>
      <c r="DH172" s="532"/>
      <c r="DI172" s="532"/>
      <c r="DJ172" s="532"/>
      <c r="DK172" s="532"/>
      <c r="DL172" s="532"/>
      <c r="DM172" s="532"/>
      <c r="DN172" s="532"/>
      <c r="DO172" s="532"/>
      <c r="DP172" s="532"/>
      <c r="DQ172" s="532"/>
      <c r="DR172" s="532"/>
      <c r="DS172" s="532"/>
      <c r="DT172" s="532"/>
      <c r="DU172" s="532"/>
      <c r="DV172" s="532"/>
      <c r="DW172" s="532"/>
      <c r="DX172" s="532"/>
      <c r="DY172" s="532"/>
      <c r="DZ172" s="532"/>
      <c r="EA172" s="532"/>
      <c r="EB172" s="532"/>
      <c r="EC172" s="532"/>
      <c r="ED172" s="532"/>
      <c r="EE172" s="532"/>
      <c r="EF172" s="532"/>
      <c r="EG172" s="532"/>
      <c r="EH172" s="532"/>
      <c r="EI172" s="532"/>
      <c r="EJ172" s="532"/>
      <c r="EK172" s="532"/>
      <c r="EL172" s="532"/>
      <c r="EM172" s="532"/>
      <c r="EN172" s="532"/>
      <c r="EO172" s="532"/>
      <c r="EP172" s="532"/>
      <c r="EQ172" s="532"/>
      <c r="ER172" s="532"/>
      <c r="ES172" s="532"/>
      <c r="ET172" s="532"/>
      <c r="EU172" s="532"/>
      <c r="EV172" s="532"/>
      <c r="EW172" s="532"/>
      <c r="EX172" s="532"/>
      <c r="EY172" s="532"/>
      <c r="EZ172" s="532"/>
      <c r="FA172" s="532"/>
      <c r="FB172" s="532"/>
      <c r="FC172" s="532"/>
      <c r="FD172" s="532"/>
      <c r="FE172" s="532"/>
      <c r="FF172" s="532"/>
      <c r="FG172" s="532"/>
      <c r="FH172" s="532"/>
      <c r="FI172" s="532"/>
      <c r="FJ172" s="532"/>
      <c r="FK172" s="532"/>
      <c r="FL172" s="532"/>
      <c r="FM172" s="532"/>
      <c r="FN172" s="532"/>
      <c r="FO172" s="532"/>
      <c r="FP172" s="532"/>
    </row>
    <row r="173" spans="1:172" ht="12" customHeight="1" x14ac:dyDescent="0.2">
      <c r="A173" s="533" t="s">
        <v>107</v>
      </c>
      <c r="B173" s="534" t="s">
        <v>55</v>
      </c>
      <c r="C173" s="658">
        <v>82</v>
      </c>
      <c r="D173" s="208">
        <v>77</v>
      </c>
      <c r="E173" s="208">
        <v>64</v>
      </c>
      <c r="F173" s="208">
        <v>80</v>
      </c>
      <c r="G173" s="208">
        <f>93-1</f>
        <v>92</v>
      </c>
      <c r="H173" s="208">
        <v>151</v>
      </c>
      <c r="I173" s="208">
        <v>88</v>
      </c>
      <c r="J173" s="208">
        <v>98</v>
      </c>
      <c r="K173" s="208">
        <v>105</v>
      </c>
      <c r="L173" s="562">
        <v>109</v>
      </c>
      <c r="M173" s="562">
        <v>121</v>
      </c>
      <c r="N173" s="562">
        <v>133</v>
      </c>
      <c r="O173" s="530">
        <f>SUM(C173:N173)</f>
        <v>1200</v>
      </c>
      <c r="P173" s="536"/>
      <c r="Q173" s="531"/>
      <c r="R173" s="531"/>
      <c r="S173" s="531"/>
      <c r="T173" s="531"/>
      <c r="U173" s="531"/>
      <c r="V173" s="531"/>
      <c r="W173" s="531"/>
      <c r="X173" s="531"/>
      <c r="Y173" s="531"/>
      <c r="Z173" s="531"/>
      <c r="AA173" s="531"/>
      <c r="AB173" s="531"/>
      <c r="AC173" s="531"/>
      <c r="AD173" s="531"/>
      <c r="AE173" s="531"/>
      <c r="AF173" s="531"/>
      <c r="AG173" s="531"/>
      <c r="AH173" s="532"/>
      <c r="AI173" s="532"/>
      <c r="AJ173" s="532"/>
      <c r="AK173" s="532"/>
      <c r="AL173" s="532"/>
      <c r="AM173" s="532"/>
      <c r="AN173" s="532"/>
      <c r="AO173" s="532"/>
      <c r="AP173" s="532"/>
      <c r="AQ173" s="532"/>
      <c r="AR173" s="532"/>
      <c r="AS173" s="532"/>
      <c r="AT173" s="532"/>
      <c r="AU173" s="532"/>
      <c r="AV173" s="532"/>
      <c r="AW173" s="532"/>
      <c r="AX173" s="532"/>
      <c r="AY173" s="532"/>
      <c r="AZ173" s="532"/>
      <c r="BA173" s="532"/>
      <c r="BB173" s="532"/>
      <c r="BC173" s="532"/>
      <c r="BD173" s="532"/>
      <c r="BE173" s="532"/>
      <c r="BF173" s="532"/>
      <c r="BG173" s="532"/>
      <c r="BH173" s="532"/>
      <c r="BI173" s="532"/>
      <c r="BJ173" s="532"/>
      <c r="BK173" s="532"/>
      <c r="BL173" s="532"/>
      <c r="BM173" s="532"/>
      <c r="BN173" s="532"/>
      <c r="BO173" s="532"/>
      <c r="BP173" s="532"/>
      <c r="BQ173" s="532"/>
      <c r="BR173" s="532"/>
      <c r="BS173" s="532"/>
      <c r="BT173" s="532"/>
      <c r="BU173" s="532"/>
      <c r="BV173" s="532"/>
      <c r="BW173" s="532"/>
      <c r="BX173" s="532"/>
      <c r="BY173" s="532"/>
      <c r="BZ173" s="532"/>
      <c r="CA173" s="532"/>
      <c r="CB173" s="532"/>
      <c r="CC173" s="532"/>
      <c r="CD173" s="532"/>
      <c r="CE173" s="532"/>
      <c r="CF173" s="532"/>
      <c r="CG173" s="532"/>
      <c r="CH173" s="532"/>
      <c r="CI173" s="532"/>
      <c r="CJ173" s="532"/>
      <c r="CK173" s="532"/>
      <c r="CL173" s="532"/>
      <c r="CM173" s="532"/>
      <c r="CN173" s="532"/>
      <c r="CO173" s="532"/>
      <c r="CP173" s="532"/>
      <c r="CQ173" s="532"/>
      <c r="CR173" s="532"/>
      <c r="CS173" s="532"/>
      <c r="CT173" s="532"/>
      <c r="CU173" s="532"/>
      <c r="CV173" s="532"/>
      <c r="CW173" s="532"/>
      <c r="CX173" s="532"/>
      <c r="CY173" s="532"/>
      <c r="CZ173" s="532"/>
      <c r="DA173" s="532"/>
      <c r="DB173" s="532"/>
      <c r="DC173" s="532"/>
      <c r="DD173" s="532"/>
      <c r="DE173" s="532"/>
      <c r="DF173" s="532"/>
      <c r="DG173" s="532"/>
      <c r="DH173" s="532"/>
      <c r="DI173" s="532"/>
      <c r="DJ173" s="532"/>
      <c r="DK173" s="532"/>
      <c r="DL173" s="532"/>
      <c r="DM173" s="532"/>
      <c r="DN173" s="532"/>
      <c r="DO173" s="532"/>
      <c r="DP173" s="532"/>
      <c r="DQ173" s="532"/>
      <c r="DR173" s="532"/>
      <c r="DS173" s="532"/>
      <c r="DT173" s="532"/>
      <c r="DU173" s="532"/>
      <c r="DV173" s="532"/>
      <c r="DW173" s="532"/>
      <c r="DX173" s="532"/>
      <c r="DY173" s="532"/>
      <c r="DZ173" s="532"/>
      <c r="EA173" s="532"/>
      <c r="EB173" s="532"/>
      <c r="EC173" s="532"/>
      <c r="ED173" s="532"/>
      <c r="EE173" s="532"/>
      <c r="EF173" s="532"/>
      <c r="EG173" s="532"/>
      <c r="EH173" s="532"/>
      <c r="EI173" s="532"/>
      <c r="EJ173" s="532"/>
      <c r="EK173" s="532"/>
      <c r="EL173" s="532"/>
      <c r="EM173" s="532"/>
      <c r="EN173" s="532"/>
      <c r="EO173" s="532"/>
      <c r="EP173" s="532"/>
      <c r="EQ173" s="532"/>
      <c r="ER173" s="532"/>
      <c r="ES173" s="532"/>
      <c r="ET173" s="532"/>
      <c r="EU173" s="532"/>
      <c r="EV173" s="532"/>
      <c r="EW173" s="532"/>
      <c r="EX173" s="532"/>
      <c r="EY173" s="532"/>
      <c r="EZ173" s="532"/>
      <c r="FA173" s="532"/>
      <c r="FB173" s="532"/>
      <c r="FC173" s="532"/>
      <c r="FD173" s="532"/>
      <c r="FE173" s="532"/>
      <c r="FF173" s="532"/>
      <c r="FG173" s="532"/>
      <c r="FH173" s="532"/>
      <c r="FI173" s="532"/>
      <c r="FJ173" s="532"/>
      <c r="FK173" s="532"/>
      <c r="FL173" s="532"/>
      <c r="FM173" s="532"/>
      <c r="FN173" s="532"/>
      <c r="FO173" s="532"/>
      <c r="FP173" s="532"/>
    </row>
    <row r="174" spans="1:172" ht="12" customHeight="1" x14ac:dyDescent="0.2">
      <c r="A174" s="533" t="s">
        <v>108</v>
      </c>
      <c r="B174" s="534" t="s">
        <v>55</v>
      </c>
      <c r="C174" s="208">
        <v>2</v>
      </c>
      <c r="D174" s="208">
        <v>0</v>
      </c>
      <c r="E174" s="208">
        <v>0</v>
      </c>
      <c r="F174" s="208">
        <v>3</v>
      </c>
      <c r="G174" s="208">
        <v>0</v>
      </c>
      <c r="H174" s="208">
        <v>0</v>
      </c>
      <c r="I174" s="208">
        <v>0</v>
      </c>
      <c r="J174" s="208">
        <v>0</v>
      </c>
      <c r="K174" s="208">
        <v>2</v>
      </c>
      <c r="L174" s="562">
        <v>4</v>
      </c>
      <c r="M174" s="562">
        <v>5</v>
      </c>
      <c r="N174" s="562">
        <v>0</v>
      </c>
      <c r="O174" s="530">
        <f t="shared" ref="O174:O182" si="112">SUM(C174:N174)</f>
        <v>16</v>
      </c>
      <c r="P174" s="536"/>
      <c r="Q174" s="531"/>
      <c r="R174" s="531"/>
      <c r="S174" s="531"/>
      <c r="T174" s="531"/>
      <c r="U174" s="531"/>
      <c r="V174" s="531"/>
      <c r="W174" s="531"/>
      <c r="X174" s="531"/>
      <c r="Y174" s="531"/>
      <c r="Z174" s="531"/>
      <c r="AA174" s="531"/>
      <c r="AB174" s="531"/>
      <c r="AC174" s="531"/>
      <c r="AD174" s="531"/>
      <c r="AE174" s="531"/>
      <c r="AF174" s="531"/>
      <c r="AG174" s="531"/>
      <c r="AH174" s="532"/>
      <c r="AI174" s="532"/>
      <c r="AJ174" s="532"/>
      <c r="AK174" s="532"/>
      <c r="AL174" s="532"/>
      <c r="AM174" s="532"/>
      <c r="AN174" s="532"/>
      <c r="AO174" s="532"/>
      <c r="AP174" s="532"/>
      <c r="AQ174" s="532"/>
      <c r="AR174" s="532"/>
      <c r="AS174" s="532"/>
      <c r="AT174" s="532"/>
      <c r="AU174" s="532"/>
      <c r="AV174" s="532"/>
      <c r="AW174" s="532"/>
      <c r="AX174" s="532"/>
      <c r="AY174" s="532"/>
      <c r="AZ174" s="532"/>
      <c r="BA174" s="532"/>
      <c r="BB174" s="532"/>
      <c r="BC174" s="532"/>
      <c r="BD174" s="532"/>
      <c r="BE174" s="532"/>
      <c r="BF174" s="532"/>
      <c r="BG174" s="532"/>
      <c r="BH174" s="532"/>
      <c r="BI174" s="532"/>
      <c r="BJ174" s="532"/>
      <c r="BK174" s="532"/>
      <c r="BL174" s="532"/>
      <c r="BM174" s="532"/>
      <c r="BN174" s="532"/>
      <c r="BO174" s="532"/>
      <c r="BP174" s="532"/>
      <c r="BQ174" s="532"/>
      <c r="BR174" s="532"/>
      <c r="BS174" s="532"/>
      <c r="BT174" s="532"/>
      <c r="BU174" s="532"/>
      <c r="BV174" s="532"/>
      <c r="BW174" s="532"/>
      <c r="BX174" s="532"/>
      <c r="BY174" s="532"/>
      <c r="BZ174" s="532"/>
      <c r="CA174" s="532"/>
      <c r="CB174" s="532"/>
      <c r="CC174" s="532"/>
      <c r="CD174" s="532"/>
      <c r="CE174" s="532"/>
      <c r="CF174" s="532"/>
      <c r="CG174" s="532"/>
      <c r="CH174" s="532"/>
      <c r="CI174" s="532"/>
      <c r="CJ174" s="532"/>
      <c r="CK174" s="532"/>
      <c r="CL174" s="532"/>
      <c r="CM174" s="532"/>
      <c r="CN174" s="532"/>
      <c r="CO174" s="532"/>
      <c r="CP174" s="532"/>
      <c r="CQ174" s="532"/>
      <c r="CR174" s="532"/>
      <c r="CS174" s="532"/>
      <c r="CT174" s="532"/>
      <c r="CU174" s="532"/>
      <c r="CV174" s="532"/>
      <c r="CW174" s="532"/>
      <c r="CX174" s="532"/>
      <c r="CY174" s="532"/>
      <c r="CZ174" s="532"/>
      <c r="DA174" s="532"/>
      <c r="DB174" s="532"/>
      <c r="DC174" s="532"/>
      <c r="DD174" s="532"/>
      <c r="DE174" s="532"/>
      <c r="DF174" s="532"/>
      <c r="DG174" s="532"/>
      <c r="DH174" s="532"/>
      <c r="DI174" s="532"/>
      <c r="DJ174" s="532"/>
      <c r="DK174" s="532"/>
      <c r="DL174" s="532"/>
      <c r="DM174" s="532"/>
      <c r="DN174" s="532"/>
      <c r="DO174" s="532"/>
      <c r="DP174" s="532"/>
      <c r="DQ174" s="532"/>
      <c r="DR174" s="532"/>
      <c r="DS174" s="532"/>
      <c r="DT174" s="532"/>
      <c r="DU174" s="532"/>
      <c r="DV174" s="532"/>
      <c r="DW174" s="532"/>
      <c r="DX174" s="532"/>
      <c r="DY174" s="532"/>
      <c r="DZ174" s="532"/>
      <c r="EA174" s="532"/>
      <c r="EB174" s="532"/>
      <c r="EC174" s="532"/>
      <c r="ED174" s="532"/>
      <c r="EE174" s="532"/>
      <c r="EF174" s="532"/>
      <c r="EG174" s="532"/>
      <c r="EH174" s="532"/>
      <c r="EI174" s="532"/>
      <c r="EJ174" s="532"/>
      <c r="EK174" s="532"/>
      <c r="EL174" s="532"/>
      <c r="EM174" s="532"/>
      <c r="EN174" s="532"/>
      <c r="EO174" s="532"/>
      <c r="EP174" s="532"/>
      <c r="EQ174" s="532"/>
      <c r="ER174" s="532"/>
      <c r="ES174" s="532"/>
      <c r="ET174" s="532"/>
      <c r="EU174" s="532"/>
      <c r="EV174" s="532"/>
      <c r="EW174" s="532"/>
      <c r="EX174" s="532"/>
      <c r="EY174" s="532"/>
      <c r="EZ174" s="532"/>
      <c r="FA174" s="532"/>
      <c r="FB174" s="532"/>
      <c r="FC174" s="532"/>
      <c r="FD174" s="532"/>
      <c r="FE174" s="532"/>
      <c r="FF174" s="532"/>
      <c r="FG174" s="532"/>
      <c r="FH174" s="532"/>
      <c r="FI174" s="532"/>
      <c r="FJ174" s="532"/>
      <c r="FK174" s="532"/>
      <c r="FL174" s="532"/>
      <c r="FM174" s="532"/>
      <c r="FN174" s="532"/>
      <c r="FO174" s="532"/>
      <c r="FP174" s="532"/>
    </row>
    <row r="175" spans="1:172" ht="12" customHeight="1" x14ac:dyDescent="0.2">
      <c r="A175" s="533" t="s">
        <v>99</v>
      </c>
      <c r="B175" s="534"/>
      <c r="C175" s="208">
        <v>4</v>
      </c>
      <c r="D175" s="208">
        <v>12</v>
      </c>
      <c r="E175" s="208">
        <v>4</v>
      </c>
      <c r="F175" s="208">
        <v>11</v>
      </c>
      <c r="G175" s="208">
        <v>15</v>
      </c>
      <c r="H175" s="208">
        <v>14</v>
      </c>
      <c r="I175" s="208">
        <f>5</f>
        <v>5</v>
      </c>
      <c r="J175" s="208">
        <v>4</v>
      </c>
      <c r="K175" s="208">
        <v>2</v>
      </c>
      <c r="L175" s="562">
        <v>4</v>
      </c>
      <c r="M175" s="562">
        <v>25</v>
      </c>
      <c r="N175" s="562">
        <v>12</v>
      </c>
      <c r="O175" s="530">
        <f t="shared" si="112"/>
        <v>112</v>
      </c>
      <c r="P175" s="536"/>
      <c r="Q175" s="531"/>
      <c r="R175" s="531"/>
      <c r="S175" s="531"/>
      <c r="T175" s="531"/>
      <c r="U175" s="531"/>
      <c r="V175" s="531"/>
      <c r="W175" s="531"/>
      <c r="X175" s="531"/>
      <c r="Y175" s="531"/>
      <c r="Z175" s="531"/>
      <c r="AA175" s="531"/>
      <c r="AB175" s="531"/>
      <c r="AC175" s="531"/>
      <c r="AD175" s="531"/>
      <c r="AE175" s="531"/>
      <c r="AF175" s="531"/>
      <c r="AG175" s="531"/>
      <c r="AH175" s="532"/>
      <c r="AI175" s="532"/>
      <c r="AJ175" s="532"/>
      <c r="AK175" s="532"/>
      <c r="AL175" s="532"/>
      <c r="AM175" s="532"/>
      <c r="AN175" s="532"/>
      <c r="AO175" s="532"/>
      <c r="AP175" s="532"/>
      <c r="AQ175" s="532"/>
      <c r="AR175" s="532"/>
      <c r="AS175" s="532"/>
      <c r="AT175" s="532"/>
      <c r="AU175" s="532"/>
      <c r="AV175" s="532"/>
      <c r="AW175" s="532"/>
      <c r="AX175" s="532"/>
      <c r="AY175" s="532"/>
      <c r="AZ175" s="532"/>
      <c r="BA175" s="532"/>
      <c r="BB175" s="532"/>
      <c r="BC175" s="532"/>
      <c r="BD175" s="532"/>
      <c r="BE175" s="532"/>
      <c r="BF175" s="532"/>
      <c r="BG175" s="532"/>
      <c r="BH175" s="532"/>
      <c r="BI175" s="532"/>
      <c r="BJ175" s="532"/>
      <c r="BK175" s="532"/>
      <c r="BL175" s="532"/>
      <c r="BM175" s="532"/>
      <c r="BN175" s="532"/>
      <c r="BO175" s="532"/>
      <c r="BP175" s="532"/>
      <c r="BQ175" s="532"/>
      <c r="BR175" s="532"/>
      <c r="BS175" s="532"/>
      <c r="BT175" s="532"/>
      <c r="BU175" s="532"/>
      <c r="BV175" s="532"/>
      <c r="BW175" s="532"/>
      <c r="BX175" s="532"/>
      <c r="BY175" s="532"/>
      <c r="BZ175" s="532"/>
      <c r="CA175" s="532"/>
      <c r="CB175" s="532"/>
      <c r="CC175" s="532"/>
      <c r="CD175" s="532"/>
      <c r="CE175" s="532"/>
      <c r="CF175" s="532"/>
      <c r="CG175" s="532"/>
      <c r="CH175" s="532"/>
      <c r="CI175" s="532"/>
      <c r="CJ175" s="532"/>
      <c r="CK175" s="532"/>
      <c r="CL175" s="532"/>
      <c r="CM175" s="532"/>
      <c r="CN175" s="532"/>
      <c r="CO175" s="532"/>
      <c r="CP175" s="532"/>
      <c r="CQ175" s="532"/>
      <c r="CR175" s="532"/>
      <c r="CS175" s="532"/>
      <c r="CT175" s="532"/>
      <c r="CU175" s="532"/>
      <c r="CV175" s="532"/>
      <c r="CW175" s="532"/>
      <c r="CX175" s="532"/>
      <c r="CY175" s="532"/>
      <c r="CZ175" s="532"/>
      <c r="DA175" s="532"/>
      <c r="DB175" s="532"/>
      <c r="DC175" s="532"/>
      <c r="DD175" s="532"/>
      <c r="DE175" s="532"/>
      <c r="DF175" s="532"/>
      <c r="DG175" s="532"/>
      <c r="DH175" s="532"/>
      <c r="DI175" s="532"/>
      <c r="DJ175" s="532"/>
      <c r="DK175" s="532"/>
      <c r="DL175" s="532"/>
      <c r="DM175" s="532"/>
      <c r="DN175" s="532"/>
      <c r="DO175" s="532"/>
      <c r="DP175" s="532"/>
      <c r="DQ175" s="532"/>
      <c r="DR175" s="532"/>
      <c r="DS175" s="532"/>
      <c r="DT175" s="532"/>
      <c r="DU175" s="532"/>
      <c r="DV175" s="532"/>
      <c r="DW175" s="532"/>
      <c r="DX175" s="532"/>
      <c r="DY175" s="532"/>
      <c r="DZ175" s="532"/>
      <c r="EA175" s="532"/>
      <c r="EB175" s="532"/>
      <c r="EC175" s="532"/>
      <c r="ED175" s="532"/>
      <c r="EE175" s="532"/>
      <c r="EF175" s="532"/>
      <c r="EG175" s="532"/>
      <c r="EH175" s="532"/>
      <c r="EI175" s="532"/>
      <c r="EJ175" s="532"/>
      <c r="EK175" s="532"/>
      <c r="EL175" s="532"/>
      <c r="EM175" s="532"/>
      <c r="EN175" s="532"/>
      <c r="EO175" s="532"/>
      <c r="EP175" s="532"/>
      <c r="EQ175" s="532"/>
      <c r="ER175" s="532"/>
      <c r="ES175" s="532"/>
      <c r="ET175" s="532"/>
      <c r="EU175" s="532"/>
      <c r="EV175" s="532"/>
      <c r="EW175" s="532"/>
      <c r="EX175" s="532"/>
      <c r="EY175" s="532"/>
      <c r="EZ175" s="532"/>
      <c r="FA175" s="532"/>
      <c r="FB175" s="532"/>
      <c r="FC175" s="532"/>
      <c r="FD175" s="532"/>
      <c r="FE175" s="532"/>
      <c r="FF175" s="532"/>
      <c r="FG175" s="532"/>
      <c r="FH175" s="532"/>
      <c r="FI175" s="532"/>
      <c r="FJ175" s="532"/>
      <c r="FK175" s="532"/>
      <c r="FL175" s="532"/>
      <c r="FM175" s="532"/>
      <c r="FN175" s="532"/>
      <c r="FO175" s="532"/>
      <c r="FP175" s="532"/>
    </row>
    <row r="176" spans="1:172" ht="12" customHeight="1" x14ac:dyDescent="0.2">
      <c r="A176" s="533" t="s">
        <v>109</v>
      </c>
      <c r="B176" s="534"/>
      <c r="C176" s="208">
        <v>21</v>
      </c>
      <c r="D176" s="208">
        <v>34</v>
      </c>
      <c r="E176" s="208">
        <v>54</v>
      </c>
      <c r="F176" s="208">
        <v>28</v>
      </c>
      <c r="G176" s="208">
        <v>25</v>
      </c>
      <c r="H176" s="208">
        <v>18</v>
      </c>
      <c r="I176" s="208">
        <f>30</f>
        <v>30</v>
      </c>
      <c r="J176" s="208">
        <v>25</v>
      </c>
      <c r="K176" s="208">
        <v>25</v>
      </c>
      <c r="L176" s="562">
        <v>22</v>
      </c>
      <c r="M176" s="562">
        <v>22</v>
      </c>
      <c r="N176" s="562">
        <v>34</v>
      </c>
      <c r="O176" s="530">
        <f t="shared" si="112"/>
        <v>338</v>
      </c>
      <c r="P176" s="536"/>
      <c r="Q176" s="531"/>
      <c r="R176" s="531"/>
      <c r="S176" s="531"/>
      <c r="T176" s="531"/>
      <c r="U176" s="531"/>
      <c r="V176" s="531"/>
      <c r="W176" s="531"/>
      <c r="X176" s="531"/>
      <c r="Y176" s="531"/>
      <c r="Z176" s="531"/>
      <c r="AA176" s="531"/>
      <c r="AB176" s="531"/>
      <c r="AC176" s="531"/>
      <c r="AD176" s="531"/>
      <c r="AE176" s="531"/>
      <c r="AF176" s="531"/>
      <c r="AG176" s="531"/>
      <c r="AH176" s="532"/>
      <c r="AI176" s="532"/>
      <c r="AJ176" s="532"/>
      <c r="AK176" s="532"/>
      <c r="AL176" s="532"/>
      <c r="AM176" s="532"/>
      <c r="AN176" s="532"/>
      <c r="AO176" s="532"/>
      <c r="AP176" s="532"/>
      <c r="AQ176" s="532"/>
      <c r="AR176" s="532"/>
      <c r="AS176" s="532"/>
      <c r="AT176" s="532"/>
      <c r="AU176" s="532"/>
      <c r="AV176" s="532"/>
      <c r="AW176" s="532"/>
      <c r="AX176" s="532"/>
      <c r="AY176" s="532"/>
      <c r="AZ176" s="532"/>
      <c r="BA176" s="532"/>
      <c r="BB176" s="532"/>
      <c r="BC176" s="532"/>
      <c r="BD176" s="532"/>
      <c r="BE176" s="532"/>
      <c r="BF176" s="532"/>
      <c r="BG176" s="532"/>
      <c r="BH176" s="532"/>
      <c r="BI176" s="532"/>
      <c r="BJ176" s="532"/>
      <c r="BK176" s="532"/>
      <c r="BL176" s="532"/>
      <c r="BM176" s="532"/>
      <c r="BN176" s="532"/>
      <c r="BO176" s="532"/>
      <c r="BP176" s="532"/>
      <c r="BQ176" s="532"/>
      <c r="BR176" s="532"/>
      <c r="BS176" s="532"/>
      <c r="BT176" s="532"/>
      <c r="BU176" s="532"/>
      <c r="BV176" s="532"/>
      <c r="BW176" s="532"/>
      <c r="BX176" s="532"/>
      <c r="BY176" s="532"/>
      <c r="BZ176" s="532"/>
      <c r="CA176" s="532"/>
      <c r="CB176" s="532"/>
      <c r="CC176" s="532"/>
      <c r="CD176" s="532"/>
      <c r="CE176" s="532"/>
      <c r="CF176" s="532"/>
      <c r="CG176" s="532"/>
      <c r="CH176" s="532"/>
      <c r="CI176" s="532"/>
      <c r="CJ176" s="532"/>
      <c r="CK176" s="532"/>
      <c r="CL176" s="532"/>
      <c r="CM176" s="532"/>
      <c r="CN176" s="532"/>
      <c r="CO176" s="532"/>
      <c r="CP176" s="532"/>
      <c r="CQ176" s="532"/>
      <c r="CR176" s="532"/>
      <c r="CS176" s="532"/>
      <c r="CT176" s="532"/>
      <c r="CU176" s="532"/>
      <c r="CV176" s="532"/>
      <c r="CW176" s="532"/>
      <c r="CX176" s="532"/>
      <c r="CY176" s="532"/>
      <c r="CZ176" s="532"/>
      <c r="DA176" s="532"/>
      <c r="DB176" s="532"/>
      <c r="DC176" s="532"/>
      <c r="DD176" s="532"/>
      <c r="DE176" s="532"/>
      <c r="DF176" s="532"/>
      <c r="DG176" s="532"/>
      <c r="DH176" s="532"/>
      <c r="DI176" s="532"/>
      <c r="DJ176" s="532"/>
      <c r="DK176" s="532"/>
      <c r="DL176" s="532"/>
      <c r="DM176" s="532"/>
      <c r="DN176" s="532"/>
      <c r="DO176" s="532"/>
      <c r="DP176" s="532"/>
      <c r="DQ176" s="532"/>
      <c r="DR176" s="532"/>
      <c r="DS176" s="532"/>
      <c r="DT176" s="532"/>
      <c r="DU176" s="532"/>
      <c r="DV176" s="532"/>
      <c r="DW176" s="532"/>
      <c r="DX176" s="532"/>
      <c r="DY176" s="532"/>
      <c r="DZ176" s="532"/>
      <c r="EA176" s="532"/>
      <c r="EB176" s="532"/>
      <c r="EC176" s="532"/>
      <c r="ED176" s="532"/>
      <c r="EE176" s="532"/>
      <c r="EF176" s="532"/>
      <c r="EG176" s="532"/>
      <c r="EH176" s="532"/>
      <c r="EI176" s="532"/>
      <c r="EJ176" s="532"/>
      <c r="EK176" s="532"/>
      <c r="EL176" s="532"/>
      <c r="EM176" s="532"/>
      <c r="EN176" s="532"/>
      <c r="EO176" s="532"/>
      <c r="EP176" s="532"/>
      <c r="EQ176" s="532"/>
      <c r="ER176" s="532"/>
      <c r="ES176" s="532"/>
      <c r="ET176" s="532"/>
      <c r="EU176" s="532"/>
      <c r="EV176" s="532"/>
      <c r="EW176" s="532"/>
      <c r="EX176" s="532"/>
      <c r="EY176" s="532"/>
      <c r="EZ176" s="532"/>
      <c r="FA176" s="532"/>
      <c r="FB176" s="532"/>
      <c r="FC176" s="532"/>
      <c r="FD176" s="532"/>
      <c r="FE176" s="532"/>
      <c r="FF176" s="532"/>
      <c r="FG176" s="532"/>
      <c r="FH176" s="532"/>
      <c r="FI176" s="532"/>
      <c r="FJ176" s="532"/>
      <c r="FK176" s="532"/>
      <c r="FL176" s="532"/>
      <c r="FM176" s="532"/>
      <c r="FN176" s="532"/>
      <c r="FO176" s="532"/>
      <c r="FP176" s="532"/>
    </row>
    <row r="177" spans="1:172" ht="12" customHeight="1" x14ac:dyDescent="0.2">
      <c r="A177" s="533" t="s">
        <v>110</v>
      </c>
      <c r="B177" s="534"/>
      <c r="C177" s="208">
        <v>14</v>
      </c>
      <c r="D177" s="208">
        <v>8</v>
      </c>
      <c r="E177" s="208">
        <v>11</v>
      </c>
      <c r="F177" s="208">
        <v>7</v>
      </c>
      <c r="G177" s="208">
        <v>3</v>
      </c>
      <c r="H177" s="208">
        <v>14</v>
      </c>
      <c r="I177" s="208">
        <v>8</v>
      </c>
      <c r="J177" s="208">
        <v>3</v>
      </c>
      <c r="K177" s="208">
        <v>11</v>
      </c>
      <c r="L177" s="562">
        <v>2</v>
      </c>
      <c r="M177" s="562">
        <v>2</v>
      </c>
      <c r="N177" s="562">
        <v>0</v>
      </c>
      <c r="O177" s="530">
        <f t="shared" si="112"/>
        <v>83</v>
      </c>
      <c r="P177" s="536"/>
      <c r="Q177" s="531"/>
      <c r="R177" s="531"/>
      <c r="S177" s="531"/>
      <c r="T177" s="531"/>
      <c r="U177" s="531"/>
      <c r="V177" s="531"/>
      <c r="W177" s="531"/>
      <c r="X177" s="531"/>
      <c r="Y177" s="531"/>
      <c r="Z177" s="531"/>
      <c r="AA177" s="531"/>
      <c r="AB177" s="531"/>
      <c r="AC177" s="531"/>
      <c r="AD177" s="531"/>
      <c r="AE177" s="531"/>
      <c r="AF177" s="531"/>
      <c r="AG177" s="531"/>
      <c r="AH177" s="532"/>
      <c r="AI177" s="532"/>
      <c r="AJ177" s="532"/>
      <c r="AK177" s="532"/>
      <c r="AL177" s="532"/>
      <c r="AM177" s="532"/>
      <c r="AN177" s="532"/>
      <c r="AO177" s="532"/>
      <c r="AP177" s="532"/>
      <c r="AQ177" s="532"/>
      <c r="AR177" s="532"/>
      <c r="AS177" s="532"/>
      <c r="AT177" s="532"/>
      <c r="AU177" s="532"/>
      <c r="AV177" s="532"/>
      <c r="AW177" s="532"/>
      <c r="AX177" s="532"/>
      <c r="AY177" s="532"/>
      <c r="AZ177" s="532"/>
      <c r="BA177" s="532"/>
      <c r="BB177" s="532"/>
      <c r="BC177" s="532"/>
      <c r="BD177" s="532"/>
      <c r="BE177" s="532"/>
      <c r="BF177" s="532"/>
      <c r="BG177" s="532"/>
      <c r="BH177" s="532"/>
      <c r="BI177" s="532"/>
      <c r="BJ177" s="532"/>
      <c r="BK177" s="532"/>
      <c r="BL177" s="532"/>
      <c r="BM177" s="532"/>
      <c r="BN177" s="532"/>
      <c r="BO177" s="532"/>
      <c r="BP177" s="532"/>
      <c r="BQ177" s="532"/>
      <c r="BR177" s="532"/>
      <c r="BS177" s="532"/>
      <c r="BT177" s="532"/>
      <c r="BU177" s="532"/>
      <c r="BV177" s="532"/>
      <c r="BW177" s="532"/>
      <c r="BX177" s="532"/>
      <c r="BY177" s="532"/>
      <c r="BZ177" s="532"/>
      <c r="CA177" s="532"/>
      <c r="CB177" s="532"/>
      <c r="CC177" s="532"/>
      <c r="CD177" s="532"/>
      <c r="CE177" s="532"/>
      <c r="CF177" s="532"/>
      <c r="CG177" s="532"/>
      <c r="CH177" s="532"/>
      <c r="CI177" s="532"/>
      <c r="CJ177" s="532"/>
      <c r="CK177" s="532"/>
      <c r="CL177" s="532"/>
      <c r="CM177" s="532"/>
      <c r="CN177" s="532"/>
      <c r="CO177" s="532"/>
      <c r="CP177" s="532"/>
      <c r="CQ177" s="532"/>
      <c r="CR177" s="532"/>
      <c r="CS177" s="532"/>
      <c r="CT177" s="532"/>
      <c r="CU177" s="532"/>
      <c r="CV177" s="532"/>
      <c r="CW177" s="532"/>
      <c r="CX177" s="532"/>
      <c r="CY177" s="532"/>
      <c r="CZ177" s="532"/>
      <c r="DA177" s="532"/>
      <c r="DB177" s="532"/>
      <c r="DC177" s="532"/>
      <c r="DD177" s="532"/>
      <c r="DE177" s="532"/>
      <c r="DF177" s="532"/>
      <c r="DG177" s="532"/>
      <c r="DH177" s="532"/>
      <c r="DI177" s="532"/>
      <c r="DJ177" s="532"/>
      <c r="DK177" s="532"/>
      <c r="DL177" s="532"/>
      <c r="DM177" s="532"/>
      <c r="DN177" s="532"/>
      <c r="DO177" s="532"/>
      <c r="DP177" s="532"/>
      <c r="DQ177" s="532"/>
      <c r="DR177" s="532"/>
      <c r="DS177" s="532"/>
      <c r="DT177" s="532"/>
      <c r="DU177" s="532"/>
      <c r="DV177" s="532"/>
      <c r="DW177" s="532"/>
      <c r="DX177" s="532"/>
      <c r="DY177" s="532"/>
      <c r="DZ177" s="532"/>
      <c r="EA177" s="532"/>
      <c r="EB177" s="532"/>
      <c r="EC177" s="532"/>
      <c r="ED177" s="532"/>
      <c r="EE177" s="532"/>
      <c r="EF177" s="532"/>
      <c r="EG177" s="532"/>
      <c r="EH177" s="532"/>
      <c r="EI177" s="532"/>
      <c r="EJ177" s="532"/>
      <c r="EK177" s="532"/>
      <c r="EL177" s="532"/>
      <c r="EM177" s="532"/>
      <c r="EN177" s="532"/>
      <c r="EO177" s="532"/>
      <c r="EP177" s="532"/>
      <c r="EQ177" s="532"/>
      <c r="ER177" s="532"/>
      <c r="ES177" s="532"/>
      <c r="ET177" s="532"/>
      <c r="EU177" s="532"/>
      <c r="EV177" s="532"/>
      <c r="EW177" s="532"/>
      <c r="EX177" s="532"/>
      <c r="EY177" s="532"/>
      <c r="EZ177" s="532"/>
      <c r="FA177" s="532"/>
      <c r="FB177" s="532"/>
      <c r="FC177" s="532"/>
      <c r="FD177" s="532"/>
      <c r="FE177" s="532"/>
      <c r="FF177" s="532"/>
      <c r="FG177" s="532"/>
      <c r="FH177" s="532"/>
      <c r="FI177" s="532"/>
      <c r="FJ177" s="532"/>
      <c r="FK177" s="532"/>
      <c r="FL177" s="532"/>
      <c r="FM177" s="532"/>
      <c r="FN177" s="532"/>
      <c r="FO177" s="532"/>
      <c r="FP177" s="532"/>
    </row>
    <row r="178" spans="1:172" ht="12" customHeight="1" x14ac:dyDescent="0.2">
      <c r="A178" s="533" t="s">
        <v>102</v>
      </c>
      <c r="B178" s="534"/>
      <c r="C178" s="208">
        <v>3</v>
      </c>
      <c r="D178" s="208">
        <v>3</v>
      </c>
      <c r="E178" s="208">
        <v>13</v>
      </c>
      <c r="F178" s="208">
        <v>1</v>
      </c>
      <c r="G178" s="208">
        <v>6</v>
      </c>
      <c r="H178" s="208">
        <v>3</v>
      </c>
      <c r="I178" s="208">
        <v>5</v>
      </c>
      <c r="J178" s="208">
        <v>0</v>
      </c>
      <c r="K178" s="208">
        <v>28</v>
      </c>
      <c r="L178" s="562">
        <v>19</v>
      </c>
      <c r="M178" s="562">
        <v>10</v>
      </c>
      <c r="N178" s="562">
        <v>0</v>
      </c>
      <c r="O178" s="530">
        <f t="shared" si="112"/>
        <v>91</v>
      </c>
      <c r="P178" s="536"/>
      <c r="Q178" s="531"/>
      <c r="R178" s="531"/>
      <c r="S178" s="531"/>
      <c r="T178" s="531"/>
      <c r="U178" s="531"/>
      <c r="V178" s="531"/>
      <c r="W178" s="531"/>
      <c r="X178" s="531"/>
      <c r="Y178" s="531"/>
      <c r="Z178" s="531"/>
      <c r="AA178" s="531"/>
      <c r="AB178" s="531"/>
      <c r="AC178" s="531"/>
      <c r="AD178" s="531"/>
      <c r="AE178" s="531"/>
      <c r="AF178" s="531"/>
      <c r="AG178" s="531"/>
      <c r="AH178" s="532"/>
      <c r="AI178" s="532"/>
      <c r="AJ178" s="532"/>
      <c r="AK178" s="532"/>
      <c r="AL178" s="532"/>
      <c r="AM178" s="532"/>
      <c r="AN178" s="532"/>
      <c r="AO178" s="532"/>
      <c r="AP178" s="532"/>
      <c r="AQ178" s="532"/>
      <c r="AR178" s="532"/>
      <c r="AS178" s="532"/>
      <c r="AT178" s="532"/>
      <c r="AU178" s="532"/>
      <c r="AV178" s="532"/>
      <c r="AW178" s="532"/>
      <c r="AX178" s="532"/>
      <c r="AY178" s="532"/>
      <c r="AZ178" s="532"/>
      <c r="BA178" s="532"/>
      <c r="BB178" s="532"/>
      <c r="BC178" s="532"/>
      <c r="BD178" s="532"/>
      <c r="BE178" s="532"/>
      <c r="BF178" s="532"/>
      <c r="BG178" s="532"/>
      <c r="BH178" s="532"/>
      <c r="BI178" s="532"/>
      <c r="BJ178" s="532"/>
      <c r="BK178" s="532"/>
      <c r="BL178" s="532"/>
      <c r="BM178" s="532"/>
      <c r="BN178" s="532"/>
      <c r="BO178" s="532"/>
      <c r="BP178" s="532"/>
      <c r="BQ178" s="532"/>
      <c r="BR178" s="532"/>
      <c r="BS178" s="532"/>
      <c r="BT178" s="532"/>
      <c r="BU178" s="532"/>
      <c r="BV178" s="532"/>
      <c r="BW178" s="532"/>
      <c r="BX178" s="532"/>
      <c r="BY178" s="532"/>
      <c r="BZ178" s="532"/>
      <c r="CA178" s="532"/>
      <c r="CB178" s="532"/>
      <c r="CC178" s="532"/>
      <c r="CD178" s="532"/>
      <c r="CE178" s="532"/>
      <c r="CF178" s="532"/>
      <c r="CG178" s="532"/>
      <c r="CH178" s="532"/>
      <c r="CI178" s="532"/>
      <c r="CJ178" s="532"/>
      <c r="CK178" s="532"/>
      <c r="CL178" s="532"/>
      <c r="CM178" s="532"/>
      <c r="CN178" s="532"/>
      <c r="CO178" s="532"/>
      <c r="CP178" s="532"/>
      <c r="CQ178" s="532"/>
      <c r="CR178" s="532"/>
      <c r="CS178" s="532"/>
      <c r="CT178" s="532"/>
      <c r="CU178" s="532"/>
      <c r="CV178" s="532"/>
      <c r="CW178" s="532"/>
      <c r="CX178" s="532"/>
      <c r="CY178" s="532"/>
      <c r="CZ178" s="532"/>
      <c r="DA178" s="532"/>
      <c r="DB178" s="532"/>
      <c r="DC178" s="532"/>
      <c r="DD178" s="532"/>
      <c r="DE178" s="532"/>
      <c r="DF178" s="532"/>
      <c r="DG178" s="532"/>
      <c r="DH178" s="532"/>
      <c r="DI178" s="532"/>
      <c r="DJ178" s="532"/>
      <c r="DK178" s="532"/>
      <c r="DL178" s="532"/>
      <c r="DM178" s="532"/>
      <c r="DN178" s="532"/>
      <c r="DO178" s="532"/>
      <c r="DP178" s="532"/>
      <c r="DQ178" s="532"/>
      <c r="DR178" s="532"/>
      <c r="DS178" s="532"/>
      <c r="DT178" s="532"/>
      <c r="DU178" s="532"/>
      <c r="DV178" s="532"/>
      <c r="DW178" s="532"/>
      <c r="DX178" s="532"/>
      <c r="DY178" s="532"/>
      <c r="DZ178" s="532"/>
      <c r="EA178" s="532"/>
      <c r="EB178" s="532"/>
      <c r="EC178" s="532"/>
      <c r="ED178" s="532"/>
      <c r="EE178" s="532"/>
      <c r="EF178" s="532"/>
      <c r="EG178" s="532"/>
      <c r="EH178" s="532"/>
      <c r="EI178" s="532"/>
      <c r="EJ178" s="532"/>
      <c r="EK178" s="532"/>
      <c r="EL178" s="532"/>
      <c r="EM178" s="532"/>
      <c r="EN178" s="532"/>
      <c r="EO178" s="532"/>
      <c r="EP178" s="532"/>
      <c r="EQ178" s="532"/>
      <c r="ER178" s="532"/>
      <c r="ES178" s="532"/>
      <c r="ET178" s="532"/>
      <c r="EU178" s="532"/>
      <c r="EV178" s="532"/>
      <c r="EW178" s="532"/>
      <c r="EX178" s="532"/>
      <c r="EY178" s="532"/>
      <c r="EZ178" s="532"/>
      <c r="FA178" s="532"/>
      <c r="FB178" s="532"/>
      <c r="FC178" s="532"/>
      <c r="FD178" s="532"/>
      <c r="FE178" s="532"/>
      <c r="FF178" s="532"/>
      <c r="FG178" s="532"/>
      <c r="FH178" s="532"/>
      <c r="FI178" s="532"/>
      <c r="FJ178" s="532"/>
      <c r="FK178" s="532"/>
      <c r="FL178" s="532"/>
      <c r="FM178" s="532"/>
      <c r="FN178" s="532"/>
      <c r="FO178" s="532"/>
      <c r="FP178" s="532"/>
    </row>
    <row r="179" spans="1:172" ht="12" customHeight="1" x14ac:dyDescent="0.2">
      <c r="A179" s="533" t="s">
        <v>111</v>
      </c>
      <c r="B179" s="534"/>
      <c r="C179" s="208">
        <v>2</v>
      </c>
      <c r="D179" s="208">
        <v>16</v>
      </c>
      <c r="E179" s="208">
        <v>12</v>
      </c>
      <c r="F179" s="208">
        <f>3+3</f>
        <v>6</v>
      </c>
      <c r="G179" s="208">
        <f>1+3+3</f>
        <v>7</v>
      </c>
      <c r="H179" s="208">
        <f>48+14+1</f>
        <v>63</v>
      </c>
      <c r="I179" s="208">
        <f>1+11</f>
        <v>12</v>
      </c>
      <c r="J179" s="208">
        <v>4</v>
      </c>
      <c r="K179" s="208">
        <v>6</v>
      </c>
      <c r="L179" s="562">
        <f>5+16+5+2</f>
        <v>28</v>
      </c>
      <c r="M179" s="562">
        <f>3+2+3</f>
        <v>8</v>
      </c>
      <c r="N179" s="562">
        <f>3+5</f>
        <v>8</v>
      </c>
      <c r="O179" s="530">
        <f t="shared" si="112"/>
        <v>172</v>
      </c>
      <c r="P179" s="536"/>
      <c r="Q179" s="531"/>
      <c r="R179" s="531"/>
      <c r="S179" s="531"/>
      <c r="T179" s="531"/>
      <c r="U179" s="531"/>
      <c r="V179" s="531"/>
      <c r="W179" s="531"/>
      <c r="X179" s="531"/>
      <c r="Y179" s="531"/>
      <c r="Z179" s="531"/>
      <c r="AA179" s="531"/>
      <c r="AB179" s="531"/>
      <c r="AC179" s="531"/>
      <c r="AD179" s="531"/>
      <c r="AE179" s="531"/>
      <c r="AF179" s="531"/>
      <c r="AG179" s="531"/>
      <c r="AH179" s="532"/>
      <c r="AI179" s="532"/>
      <c r="AJ179" s="532"/>
      <c r="AK179" s="532"/>
      <c r="AL179" s="532"/>
      <c r="AM179" s="532"/>
      <c r="AN179" s="532"/>
      <c r="AO179" s="532"/>
      <c r="AP179" s="532"/>
      <c r="AQ179" s="532"/>
      <c r="AR179" s="532"/>
      <c r="AS179" s="532"/>
      <c r="AT179" s="532"/>
      <c r="AU179" s="532"/>
      <c r="AV179" s="532"/>
      <c r="AW179" s="532"/>
      <c r="AX179" s="532"/>
      <c r="AY179" s="532"/>
      <c r="AZ179" s="532"/>
      <c r="BA179" s="532"/>
      <c r="BB179" s="532"/>
      <c r="BC179" s="532"/>
      <c r="BD179" s="532"/>
      <c r="BE179" s="532"/>
      <c r="BF179" s="532"/>
      <c r="BG179" s="532"/>
      <c r="BH179" s="532"/>
      <c r="BI179" s="532"/>
      <c r="BJ179" s="532"/>
      <c r="BK179" s="532"/>
      <c r="BL179" s="532"/>
      <c r="BM179" s="532"/>
      <c r="BN179" s="532"/>
      <c r="BO179" s="532"/>
      <c r="BP179" s="532"/>
      <c r="BQ179" s="532"/>
      <c r="BR179" s="532"/>
      <c r="BS179" s="532"/>
      <c r="BT179" s="532"/>
      <c r="BU179" s="532"/>
      <c r="BV179" s="532"/>
      <c r="BW179" s="532"/>
      <c r="BX179" s="532"/>
      <c r="BY179" s="532"/>
      <c r="BZ179" s="532"/>
      <c r="CA179" s="532"/>
      <c r="CB179" s="532"/>
      <c r="CC179" s="532"/>
      <c r="CD179" s="532"/>
      <c r="CE179" s="532"/>
      <c r="CF179" s="532"/>
      <c r="CG179" s="532"/>
      <c r="CH179" s="532"/>
      <c r="CI179" s="532"/>
      <c r="CJ179" s="532"/>
      <c r="CK179" s="532"/>
      <c r="CL179" s="532"/>
      <c r="CM179" s="532"/>
      <c r="CN179" s="532"/>
      <c r="CO179" s="532"/>
      <c r="CP179" s="532"/>
      <c r="CQ179" s="532"/>
      <c r="CR179" s="532"/>
      <c r="CS179" s="532"/>
      <c r="CT179" s="532"/>
      <c r="CU179" s="532"/>
      <c r="CV179" s="532"/>
      <c r="CW179" s="532"/>
      <c r="CX179" s="532"/>
      <c r="CY179" s="532"/>
      <c r="CZ179" s="532"/>
      <c r="DA179" s="532"/>
      <c r="DB179" s="532"/>
      <c r="DC179" s="532"/>
      <c r="DD179" s="532"/>
      <c r="DE179" s="532"/>
      <c r="DF179" s="532"/>
      <c r="DG179" s="532"/>
      <c r="DH179" s="532"/>
      <c r="DI179" s="532"/>
      <c r="DJ179" s="532"/>
      <c r="DK179" s="532"/>
      <c r="DL179" s="532"/>
      <c r="DM179" s="532"/>
      <c r="DN179" s="532"/>
      <c r="DO179" s="532"/>
      <c r="DP179" s="532"/>
      <c r="DQ179" s="532"/>
      <c r="DR179" s="532"/>
      <c r="DS179" s="532"/>
      <c r="DT179" s="532"/>
      <c r="DU179" s="532"/>
      <c r="DV179" s="532"/>
      <c r="DW179" s="532"/>
      <c r="DX179" s="532"/>
      <c r="DY179" s="532"/>
      <c r="DZ179" s="532"/>
      <c r="EA179" s="532"/>
      <c r="EB179" s="532"/>
      <c r="EC179" s="532"/>
      <c r="ED179" s="532"/>
      <c r="EE179" s="532"/>
      <c r="EF179" s="532"/>
      <c r="EG179" s="532"/>
      <c r="EH179" s="532"/>
      <c r="EI179" s="532"/>
      <c r="EJ179" s="532"/>
      <c r="EK179" s="532"/>
      <c r="EL179" s="532"/>
      <c r="EM179" s="532"/>
      <c r="EN179" s="532"/>
      <c r="EO179" s="532"/>
      <c r="EP179" s="532"/>
      <c r="EQ179" s="532"/>
      <c r="ER179" s="532"/>
      <c r="ES179" s="532"/>
      <c r="ET179" s="532"/>
      <c r="EU179" s="532"/>
      <c r="EV179" s="532"/>
      <c r="EW179" s="532"/>
      <c r="EX179" s="532"/>
      <c r="EY179" s="532"/>
      <c r="EZ179" s="532"/>
      <c r="FA179" s="532"/>
      <c r="FB179" s="532"/>
      <c r="FC179" s="532"/>
      <c r="FD179" s="532"/>
      <c r="FE179" s="532"/>
      <c r="FF179" s="532"/>
      <c r="FG179" s="532"/>
      <c r="FH179" s="532"/>
      <c r="FI179" s="532"/>
      <c r="FJ179" s="532"/>
      <c r="FK179" s="532"/>
      <c r="FL179" s="532"/>
      <c r="FM179" s="532"/>
      <c r="FN179" s="532"/>
      <c r="FO179" s="532"/>
      <c r="FP179" s="532"/>
    </row>
    <row r="180" spans="1:172" ht="12" customHeight="1" x14ac:dyDescent="0.2">
      <c r="A180" s="537" t="s">
        <v>119</v>
      </c>
      <c r="B180" s="534" t="s">
        <v>55</v>
      </c>
      <c r="C180" s="208">
        <f t="shared" ref="C180:N180" si="113">SUM(C173:C179)</f>
        <v>128</v>
      </c>
      <c r="D180" s="208">
        <f t="shared" si="113"/>
        <v>150</v>
      </c>
      <c r="E180" s="208">
        <f t="shared" si="113"/>
        <v>158</v>
      </c>
      <c r="F180" s="208">
        <f t="shared" si="113"/>
        <v>136</v>
      </c>
      <c r="G180" s="208">
        <f t="shared" si="113"/>
        <v>148</v>
      </c>
      <c r="H180" s="208">
        <f t="shared" si="113"/>
        <v>263</v>
      </c>
      <c r="I180" s="208">
        <f t="shared" si="113"/>
        <v>148</v>
      </c>
      <c r="J180" s="208">
        <f t="shared" si="113"/>
        <v>134</v>
      </c>
      <c r="K180" s="208">
        <f t="shared" si="113"/>
        <v>179</v>
      </c>
      <c r="L180" s="562">
        <f t="shared" si="113"/>
        <v>188</v>
      </c>
      <c r="M180" s="562">
        <f t="shared" si="113"/>
        <v>193</v>
      </c>
      <c r="N180" s="562">
        <f t="shared" si="113"/>
        <v>187</v>
      </c>
      <c r="O180" s="530">
        <f t="shared" si="112"/>
        <v>2012</v>
      </c>
      <c r="P180" s="536"/>
      <c r="Q180" s="531"/>
      <c r="R180" s="531"/>
      <c r="S180" s="531"/>
      <c r="T180" s="531"/>
      <c r="U180" s="531"/>
      <c r="V180" s="531"/>
      <c r="W180" s="531"/>
      <c r="X180" s="531"/>
      <c r="Y180" s="531"/>
      <c r="Z180" s="531"/>
      <c r="AA180" s="531"/>
      <c r="AB180" s="531"/>
      <c r="AC180" s="531"/>
      <c r="AD180" s="531"/>
      <c r="AE180" s="531"/>
      <c r="AF180" s="531"/>
      <c r="AG180" s="531"/>
      <c r="AH180" s="532"/>
      <c r="AI180" s="532"/>
      <c r="AJ180" s="532"/>
      <c r="AK180" s="532"/>
      <c r="AL180" s="532"/>
      <c r="AM180" s="532"/>
      <c r="AN180" s="532"/>
      <c r="AO180" s="532"/>
      <c r="AP180" s="532"/>
      <c r="AQ180" s="532"/>
      <c r="AR180" s="532"/>
      <c r="AS180" s="532"/>
      <c r="AT180" s="532"/>
      <c r="AU180" s="532"/>
      <c r="AV180" s="532"/>
      <c r="AW180" s="532"/>
      <c r="AX180" s="532"/>
      <c r="AY180" s="532"/>
      <c r="AZ180" s="532"/>
      <c r="BA180" s="532"/>
      <c r="BB180" s="532"/>
      <c r="BC180" s="532"/>
      <c r="BD180" s="532"/>
      <c r="BE180" s="532"/>
      <c r="BF180" s="532"/>
      <c r="BG180" s="532"/>
      <c r="BH180" s="532"/>
      <c r="BI180" s="532"/>
      <c r="BJ180" s="532"/>
      <c r="BK180" s="532"/>
      <c r="BL180" s="532"/>
      <c r="BM180" s="532"/>
      <c r="BN180" s="532"/>
      <c r="BO180" s="532"/>
      <c r="BP180" s="532"/>
      <c r="BQ180" s="532"/>
      <c r="BR180" s="532"/>
      <c r="BS180" s="532"/>
      <c r="BT180" s="532"/>
      <c r="BU180" s="532"/>
      <c r="BV180" s="532"/>
      <c r="BW180" s="532"/>
      <c r="BX180" s="532"/>
      <c r="BY180" s="532"/>
      <c r="BZ180" s="532"/>
      <c r="CA180" s="532"/>
      <c r="CB180" s="532"/>
      <c r="CC180" s="532"/>
      <c r="CD180" s="532"/>
      <c r="CE180" s="532"/>
      <c r="CF180" s="532"/>
      <c r="CG180" s="532"/>
      <c r="CH180" s="532"/>
      <c r="CI180" s="532"/>
      <c r="CJ180" s="532"/>
      <c r="CK180" s="532"/>
      <c r="CL180" s="532"/>
      <c r="CM180" s="532"/>
      <c r="CN180" s="532"/>
      <c r="CO180" s="532"/>
      <c r="CP180" s="532"/>
      <c r="CQ180" s="532"/>
      <c r="CR180" s="532"/>
      <c r="CS180" s="532"/>
      <c r="CT180" s="532"/>
      <c r="CU180" s="532"/>
      <c r="CV180" s="532"/>
      <c r="CW180" s="532"/>
      <c r="CX180" s="532"/>
      <c r="CY180" s="532"/>
      <c r="CZ180" s="532"/>
      <c r="DA180" s="532"/>
      <c r="DB180" s="532"/>
      <c r="DC180" s="532"/>
      <c r="DD180" s="532"/>
      <c r="DE180" s="532"/>
      <c r="DF180" s="532"/>
      <c r="DG180" s="532"/>
      <c r="DH180" s="532"/>
      <c r="DI180" s="532"/>
      <c r="DJ180" s="532"/>
      <c r="DK180" s="532"/>
      <c r="DL180" s="532"/>
      <c r="DM180" s="532"/>
      <c r="DN180" s="532"/>
      <c r="DO180" s="532"/>
      <c r="DP180" s="532"/>
      <c r="DQ180" s="532"/>
      <c r="DR180" s="532"/>
      <c r="DS180" s="532"/>
      <c r="DT180" s="532"/>
      <c r="DU180" s="532"/>
      <c r="DV180" s="532"/>
      <c r="DW180" s="532"/>
      <c r="DX180" s="532"/>
      <c r="DY180" s="532"/>
      <c r="DZ180" s="532"/>
      <c r="EA180" s="532"/>
      <c r="EB180" s="532"/>
      <c r="EC180" s="532"/>
      <c r="ED180" s="532"/>
      <c r="EE180" s="532"/>
      <c r="EF180" s="532"/>
      <c r="EG180" s="532"/>
      <c r="EH180" s="532"/>
      <c r="EI180" s="532"/>
      <c r="EJ180" s="532"/>
      <c r="EK180" s="532"/>
      <c r="EL180" s="532"/>
      <c r="EM180" s="532"/>
      <c r="EN180" s="532"/>
      <c r="EO180" s="532"/>
      <c r="EP180" s="532"/>
      <c r="EQ180" s="532"/>
      <c r="ER180" s="532"/>
      <c r="ES180" s="532"/>
      <c r="ET180" s="532"/>
      <c r="EU180" s="532"/>
      <c r="EV180" s="532"/>
      <c r="EW180" s="532"/>
      <c r="EX180" s="532"/>
      <c r="EY180" s="532"/>
      <c r="EZ180" s="532"/>
      <c r="FA180" s="532"/>
      <c r="FB180" s="532"/>
      <c r="FC180" s="532"/>
      <c r="FD180" s="532"/>
      <c r="FE180" s="532"/>
      <c r="FF180" s="532"/>
      <c r="FG180" s="532"/>
      <c r="FH180" s="532"/>
      <c r="FI180" s="532"/>
      <c r="FJ180" s="532"/>
      <c r="FK180" s="532"/>
      <c r="FL180" s="532"/>
      <c r="FM180" s="532"/>
      <c r="FN180" s="532"/>
      <c r="FO180" s="532"/>
      <c r="FP180" s="532"/>
    </row>
    <row r="181" spans="1:172" ht="12" customHeight="1" x14ac:dyDescent="0.2">
      <c r="A181" s="537" t="s">
        <v>120</v>
      </c>
      <c r="B181" s="534"/>
      <c r="C181" s="658">
        <v>234</v>
      </c>
      <c r="D181" s="208">
        <v>109</v>
      </c>
      <c r="E181" s="208">
        <v>167</v>
      </c>
      <c r="F181" s="208">
        <v>126</v>
      </c>
      <c r="G181" s="208">
        <v>76</v>
      </c>
      <c r="H181" s="208">
        <v>245</v>
      </c>
      <c r="I181" s="208">
        <v>72</v>
      </c>
      <c r="J181" s="208">
        <v>174</v>
      </c>
      <c r="K181" s="208">
        <v>110</v>
      </c>
      <c r="L181" s="562">
        <v>375</v>
      </c>
      <c r="M181" s="562">
        <v>115</v>
      </c>
      <c r="N181" s="562">
        <v>242</v>
      </c>
      <c r="O181" s="530">
        <f t="shared" si="112"/>
        <v>2045</v>
      </c>
      <c r="P181" s="536"/>
      <c r="Q181" s="531"/>
      <c r="R181" s="531"/>
      <c r="S181" s="531"/>
      <c r="T181" s="531"/>
      <c r="U181" s="531"/>
      <c r="V181" s="531"/>
      <c r="W181" s="531"/>
      <c r="X181" s="531"/>
      <c r="Y181" s="531"/>
      <c r="Z181" s="531"/>
      <c r="AA181" s="531"/>
      <c r="AB181" s="531"/>
      <c r="AC181" s="531"/>
      <c r="AD181" s="531"/>
      <c r="AE181" s="531"/>
      <c r="AF181" s="531"/>
      <c r="AG181" s="531"/>
      <c r="AH181" s="532"/>
      <c r="AI181" s="532"/>
      <c r="AJ181" s="532"/>
      <c r="AK181" s="532"/>
      <c r="AL181" s="532"/>
      <c r="AM181" s="532"/>
      <c r="AN181" s="532"/>
      <c r="AO181" s="532"/>
      <c r="AP181" s="532"/>
      <c r="AQ181" s="532"/>
      <c r="AR181" s="532"/>
      <c r="AS181" s="532"/>
      <c r="AT181" s="532"/>
      <c r="AU181" s="532"/>
      <c r="AV181" s="532"/>
      <c r="AW181" s="532"/>
      <c r="AX181" s="532"/>
      <c r="AY181" s="532"/>
      <c r="AZ181" s="532"/>
      <c r="BA181" s="532"/>
      <c r="BB181" s="532"/>
      <c r="BC181" s="532"/>
      <c r="BD181" s="532"/>
      <c r="BE181" s="532"/>
      <c r="BF181" s="532"/>
      <c r="BG181" s="532"/>
      <c r="BH181" s="532"/>
      <c r="BI181" s="532"/>
      <c r="BJ181" s="532"/>
      <c r="BK181" s="532"/>
      <c r="BL181" s="532"/>
      <c r="BM181" s="532"/>
      <c r="BN181" s="532"/>
      <c r="BO181" s="532"/>
      <c r="BP181" s="532"/>
      <c r="BQ181" s="532"/>
      <c r="BR181" s="532"/>
      <c r="BS181" s="532"/>
      <c r="BT181" s="532"/>
      <c r="BU181" s="532"/>
      <c r="BV181" s="532"/>
      <c r="BW181" s="532"/>
      <c r="BX181" s="532"/>
      <c r="BY181" s="532"/>
      <c r="BZ181" s="532"/>
      <c r="CA181" s="532"/>
      <c r="CB181" s="532"/>
      <c r="CC181" s="532"/>
      <c r="CD181" s="532"/>
      <c r="CE181" s="532"/>
      <c r="CF181" s="532"/>
      <c r="CG181" s="532"/>
      <c r="CH181" s="532"/>
      <c r="CI181" s="532"/>
      <c r="CJ181" s="532"/>
      <c r="CK181" s="532"/>
      <c r="CL181" s="532"/>
      <c r="CM181" s="532"/>
      <c r="CN181" s="532"/>
      <c r="CO181" s="532"/>
      <c r="CP181" s="532"/>
      <c r="CQ181" s="532"/>
      <c r="CR181" s="532"/>
      <c r="CS181" s="532"/>
      <c r="CT181" s="532"/>
      <c r="CU181" s="532"/>
      <c r="CV181" s="532"/>
      <c r="CW181" s="532"/>
      <c r="CX181" s="532"/>
      <c r="CY181" s="532"/>
      <c r="CZ181" s="532"/>
      <c r="DA181" s="532"/>
      <c r="DB181" s="532"/>
      <c r="DC181" s="532"/>
      <c r="DD181" s="532"/>
      <c r="DE181" s="532"/>
      <c r="DF181" s="532"/>
      <c r="DG181" s="532"/>
      <c r="DH181" s="532"/>
      <c r="DI181" s="532"/>
      <c r="DJ181" s="532"/>
      <c r="DK181" s="532"/>
      <c r="DL181" s="532"/>
      <c r="DM181" s="532"/>
      <c r="DN181" s="532"/>
      <c r="DO181" s="532"/>
      <c r="DP181" s="532"/>
      <c r="DQ181" s="532"/>
      <c r="DR181" s="532"/>
      <c r="DS181" s="532"/>
      <c r="DT181" s="532"/>
      <c r="DU181" s="532"/>
      <c r="DV181" s="532"/>
      <c r="DW181" s="532"/>
      <c r="DX181" s="532"/>
      <c r="DY181" s="532"/>
      <c r="DZ181" s="532"/>
      <c r="EA181" s="532"/>
      <c r="EB181" s="532"/>
      <c r="EC181" s="532"/>
      <c r="ED181" s="532"/>
      <c r="EE181" s="532"/>
      <c r="EF181" s="532"/>
      <c r="EG181" s="532"/>
      <c r="EH181" s="532"/>
      <c r="EI181" s="532"/>
      <c r="EJ181" s="532"/>
      <c r="EK181" s="532"/>
      <c r="EL181" s="532"/>
      <c r="EM181" s="532"/>
      <c r="EN181" s="532"/>
      <c r="EO181" s="532"/>
      <c r="EP181" s="532"/>
      <c r="EQ181" s="532"/>
      <c r="ER181" s="532"/>
      <c r="ES181" s="532"/>
      <c r="ET181" s="532"/>
      <c r="EU181" s="532"/>
      <c r="EV181" s="532"/>
      <c r="EW181" s="532"/>
      <c r="EX181" s="532"/>
      <c r="EY181" s="532"/>
      <c r="EZ181" s="532"/>
      <c r="FA181" s="532"/>
      <c r="FB181" s="532"/>
      <c r="FC181" s="532"/>
      <c r="FD181" s="532"/>
      <c r="FE181" s="532"/>
      <c r="FF181" s="532"/>
      <c r="FG181" s="532"/>
      <c r="FH181" s="532"/>
      <c r="FI181" s="532"/>
      <c r="FJ181" s="532"/>
      <c r="FK181" s="532"/>
      <c r="FL181" s="532"/>
      <c r="FM181" s="532"/>
      <c r="FN181" s="532"/>
      <c r="FO181" s="532"/>
      <c r="FP181" s="532"/>
    </row>
    <row r="182" spans="1:172" ht="12" customHeight="1" x14ac:dyDescent="0.2">
      <c r="A182" s="534" t="s">
        <v>77</v>
      </c>
      <c r="B182" s="534"/>
      <c r="C182" s="208">
        <f t="shared" ref="C182:N182" si="114">SUM(C180:C181)</f>
        <v>362</v>
      </c>
      <c r="D182" s="208">
        <f t="shared" si="114"/>
        <v>259</v>
      </c>
      <c r="E182" s="208">
        <f t="shared" si="114"/>
        <v>325</v>
      </c>
      <c r="F182" s="208">
        <f t="shared" si="114"/>
        <v>262</v>
      </c>
      <c r="G182" s="208">
        <f t="shared" si="114"/>
        <v>224</v>
      </c>
      <c r="H182" s="208">
        <f t="shared" si="114"/>
        <v>508</v>
      </c>
      <c r="I182" s="208">
        <f t="shared" si="114"/>
        <v>220</v>
      </c>
      <c r="J182" s="208">
        <f t="shared" si="114"/>
        <v>308</v>
      </c>
      <c r="K182" s="208">
        <f t="shared" si="114"/>
        <v>289</v>
      </c>
      <c r="L182" s="562">
        <f t="shared" si="114"/>
        <v>563</v>
      </c>
      <c r="M182" s="562">
        <f t="shared" si="114"/>
        <v>308</v>
      </c>
      <c r="N182" s="562">
        <f t="shared" si="114"/>
        <v>429</v>
      </c>
      <c r="O182" s="530">
        <f t="shared" si="112"/>
        <v>4057</v>
      </c>
      <c r="P182" s="536"/>
      <c r="Q182" s="531"/>
      <c r="R182" s="531"/>
      <c r="S182" s="531"/>
      <c r="T182" s="531"/>
      <c r="U182" s="531"/>
      <c r="V182" s="531"/>
      <c r="W182" s="531"/>
      <c r="X182" s="531"/>
      <c r="Y182" s="531"/>
      <c r="Z182" s="531"/>
      <c r="AA182" s="531"/>
      <c r="AB182" s="531"/>
      <c r="AC182" s="531"/>
      <c r="AD182" s="531"/>
      <c r="AE182" s="531"/>
      <c r="AF182" s="531"/>
      <c r="AG182" s="531"/>
      <c r="AH182" s="532"/>
      <c r="AI182" s="532"/>
      <c r="AJ182" s="532"/>
      <c r="AK182" s="532"/>
      <c r="AL182" s="532"/>
      <c r="AM182" s="532"/>
      <c r="AN182" s="532"/>
      <c r="AO182" s="532"/>
      <c r="AP182" s="532"/>
      <c r="AQ182" s="532"/>
      <c r="AR182" s="532"/>
      <c r="AS182" s="532"/>
      <c r="AT182" s="532"/>
      <c r="AU182" s="532"/>
      <c r="AV182" s="532"/>
      <c r="AW182" s="532"/>
      <c r="AX182" s="532"/>
      <c r="AY182" s="532"/>
      <c r="AZ182" s="532"/>
      <c r="BA182" s="532"/>
      <c r="BB182" s="532"/>
      <c r="BC182" s="532"/>
      <c r="BD182" s="532"/>
      <c r="BE182" s="532"/>
      <c r="BF182" s="532"/>
      <c r="BG182" s="532"/>
      <c r="BH182" s="532"/>
      <c r="BI182" s="532"/>
      <c r="BJ182" s="532"/>
      <c r="BK182" s="532"/>
      <c r="BL182" s="532"/>
      <c r="BM182" s="532"/>
      <c r="BN182" s="532"/>
      <c r="BO182" s="532"/>
      <c r="BP182" s="532"/>
      <c r="BQ182" s="532"/>
      <c r="BR182" s="532"/>
      <c r="BS182" s="532"/>
      <c r="BT182" s="532"/>
      <c r="BU182" s="532"/>
      <c r="BV182" s="532"/>
      <c r="BW182" s="532"/>
      <c r="BX182" s="532"/>
      <c r="BY182" s="532"/>
      <c r="BZ182" s="532"/>
      <c r="CA182" s="532"/>
      <c r="CB182" s="532"/>
      <c r="CC182" s="532"/>
      <c r="CD182" s="532"/>
      <c r="CE182" s="532"/>
      <c r="CF182" s="532"/>
      <c r="CG182" s="532"/>
      <c r="CH182" s="532"/>
      <c r="CI182" s="532"/>
      <c r="CJ182" s="532"/>
      <c r="CK182" s="532"/>
      <c r="CL182" s="532"/>
      <c r="CM182" s="532"/>
      <c r="CN182" s="532"/>
      <c r="CO182" s="532"/>
      <c r="CP182" s="532"/>
      <c r="CQ182" s="532"/>
      <c r="CR182" s="532"/>
      <c r="CS182" s="532"/>
      <c r="CT182" s="532"/>
      <c r="CU182" s="532"/>
      <c r="CV182" s="532"/>
      <c r="CW182" s="532"/>
      <c r="CX182" s="532"/>
      <c r="CY182" s="532"/>
      <c r="CZ182" s="532"/>
      <c r="DA182" s="532"/>
      <c r="DB182" s="532"/>
      <c r="DC182" s="532"/>
      <c r="DD182" s="532"/>
      <c r="DE182" s="532"/>
      <c r="DF182" s="532"/>
      <c r="DG182" s="532"/>
      <c r="DH182" s="532"/>
      <c r="DI182" s="532"/>
      <c r="DJ182" s="532"/>
      <c r="DK182" s="532"/>
      <c r="DL182" s="532"/>
      <c r="DM182" s="532"/>
      <c r="DN182" s="532"/>
      <c r="DO182" s="532"/>
      <c r="DP182" s="532"/>
      <c r="DQ182" s="532"/>
      <c r="DR182" s="532"/>
      <c r="DS182" s="532"/>
      <c r="DT182" s="532"/>
      <c r="DU182" s="532"/>
      <c r="DV182" s="532"/>
      <c r="DW182" s="532"/>
      <c r="DX182" s="532"/>
      <c r="DY182" s="532"/>
      <c r="DZ182" s="532"/>
      <c r="EA182" s="532"/>
      <c r="EB182" s="532"/>
      <c r="EC182" s="532"/>
      <c r="ED182" s="532"/>
      <c r="EE182" s="532"/>
      <c r="EF182" s="532"/>
      <c r="EG182" s="532"/>
      <c r="EH182" s="532"/>
      <c r="EI182" s="532"/>
      <c r="EJ182" s="532"/>
      <c r="EK182" s="532"/>
      <c r="EL182" s="532"/>
      <c r="EM182" s="532"/>
      <c r="EN182" s="532"/>
      <c r="EO182" s="532"/>
      <c r="EP182" s="532"/>
      <c r="EQ182" s="532"/>
      <c r="ER182" s="532"/>
      <c r="ES182" s="532"/>
      <c r="ET182" s="532"/>
      <c r="EU182" s="532"/>
      <c r="EV182" s="532"/>
      <c r="EW182" s="532"/>
      <c r="EX182" s="532"/>
      <c r="EY182" s="532"/>
      <c r="EZ182" s="532"/>
      <c r="FA182" s="532"/>
      <c r="FB182" s="532"/>
      <c r="FC182" s="532"/>
      <c r="FD182" s="532"/>
      <c r="FE182" s="532"/>
      <c r="FF182" s="532"/>
      <c r="FG182" s="532"/>
      <c r="FH182" s="532"/>
      <c r="FI182" s="532"/>
      <c r="FJ182" s="532"/>
      <c r="FK182" s="532"/>
      <c r="FL182" s="532"/>
      <c r="FM182" s="532"/>
      <c r="FN182" s="532"/>
      <c r="FO182" s="532"/>
      <c r="FP182" s="532"/>
    </row>
    <row r="183" spans="1:172" ht="12" customHeight="1" x14ac:dyDescent="0.2">
      <c r="A183" s="533"/>
      <c r="B183" s="534"/>
      <c r="C183" s="534"/>
      <c r="D183" s="534"/>
      <c r="E183" s="534"/>
      <c r="F183" s="534"/>
      <c r="G183" s="534"/>
      <c r="H183" s="534"/>
      <c r="I183" s="534"/>
      <c r="J183" s="534"/>
      <c r="K183" s="658"/>
      <c r="L183" s="562"/>
      <c r="M183" s="562"/>
      <c r="N183" s="562"/>
      <c r="O183" s="530"/>
      <c r="P183" s="531"/>
      <c r="Q183" s="531"/>
      <c r="R183" s="531"/>
      <c r="S183" s="531"/>
      <c r="T183" s="531"/>
      <c r="U183" s="531"/>
      <c r="V183" s="531"/>
      <c r="W183" s="531"/>
      <c r="X183" s="531"/>
      <c r="Y183" s="531"/>
      <c r="Z183" s="531"/>
      <c r="AA183" s="531"/>
      <c r="AB183" s="531"/>
      <c r="AC183" s="531"/>
      <c r="AD183" s="531"/>
      <c r="AE183" s="531"/>
      <c r="AF183" s="531"/>
      <c r="AG183" s="531"/>
      <c r="AH183" s="532"/>
      <c r="AI183" s="532"/>
      <c r="AJ183" s="532"/>
      <c r="AK183" s="532"/>
      <c r="AL183" s="532"/>
      <c r="AM183" s="532"/>
      <c r="AN183" s="532"/>
      <c r="AO183" s="532"/>
      <c r="AP183" s="532"/>
      <c r="AQ183" s="532"/>
      <c r="AR183" s="532"/>
      <c r="AS183" s="532"/>
      <c r="AT183" s="532"/>
      <c r="AU183" s="532"/>
      <c r="AV183" s="532"/>
      <c r="AW183" s="532"/>
      <c r="AX183" s="532"/>
      <c r="AY183" s="532"/>
      <c r="AZ183" s="532"/>
      <c r="BA183" s="532"/>
      <c r="BB183" s="532"/>
      <c r="BC183" s="532"/>
      <c r="BD183" s="532"/>
      <c r="BE183" s="532"/>
      <c r="BF183" s="532"/>
      <c r="BG183" s="532"/>
      <c r="BH183" s="532"/>
      <c r="BI183" s="532"/>
      <c r="BJ183" s="532"/>
      <c r="BK183" s="532"/>
      <c r="BL183" s="532"/>
      <c r="BM183" s="532"/>
      <c r="BN183" s="532"/>
      <c r="BO183" s="532"/>
      <c r="BP183" s="532"/>
      <c r="BQ183" s="532"/>
      <c r="BR183" s="532"/>
      <c r="BS183" s="532"/>
      <c r="BT183" s="532"/>
      <c r="BU183" s="532"/>
      <c r="BV183" s="532"/>
      <c r="BW183" s="532"/>
      <c r="BX183" s="532"/>
      <c r="BY183" s="532"/>
      <c r="BZ183" s="532"/>
      <c r="CA183" s="532"/>
      <c r="CB183" s="532"/>
      <c r="CC183" s="532"/>
      <c r="CD183" s="532"/>
      <c r="CE183" s="532"/>
      <c r="CF183" s="532"/>
      <c r="CG183" s="532"/>
      <c r="CH183" s="532"/>
      <c r="CI183" s="532"/>
      <c r="CJ183" s="532"/>
      <c r="CK183" s="532"/>
      <c r="CL183" s="532"/>
      <c r="CM183" s="532"/>
      <c r="CN183" s="532"/>
      <c r="CO183" s="532"/>
      <c r="CP183" s="532"/>
      <c r="CQ183" s="532"/>
      <c r="CR183" s="532"/>
      <c r="CS183" s="532"/>
      <c r="CT183" s="532"/>
      <c r="CU183" s="532"/>
      <c r="CV183" s="532"/>
      <c r="CW183" s="532"/>
      <c r="CX183" s="532"/>
      <c r="CY183" s="532"/>
      <c r="CZ183" s="532"/>
      <c r="DA183" s="532"/>
      <c r="DB183" s="532"/>
      <c r="DC183" s="532"/>
      <c r="DD183" s="532"/>
      <c r="DE183" s="532"/>
      <c r="DF183" s="532"/>
      <c r="DG183" s="532"/>
      <c r="DH183" s="532"/>
      <c r="DI183" s="532"/>
      <c r="DJ183" s="532"/>
      <c r="DK183" s="532"/>
      <c r="DL183" s="532"/>
      <c r="DM183" s="532"/>
      <c r="DN183" s="532"/>
      <c r="DO183" s="532"/>
      <c r="DP183" s="532"/>
      <c r="DQ183" s="532"/>
      <c r="DR183" s="532"/>
      <c r="DS183" s="532"/>
      <c r="DT183" s="532"/>
      <c r="DU183" s="532"/>
      <c r="DV183" s="532"/>
      <c r="DW183" s="532"/>
      <c r="DX183" s="532"/>
      <c r="DY183" s="532"/>
      <c r="DZ183" s="532"/>
      <c r="EA183" s="532"/>
      <c r="EB183" s="532"/>
      <c r="EC183" s="532"/>
      <c r="ED183" s="532"/>
      <c r="EE183" s="532"/>
      <c r="EF183" s="532"/>
      <c r="EG183" s="532"/>
      <c r="EH183" s="532"/>
      <c r="EI183" s="532"/>
      <c r="EJ183" s="532"/>
      <c r="EK183" s="532"/>
      <c r="EL183" s="532"/>
      <c r="EM183" s="532"/>
      <c r="EN183" s="532"/>
      <c r="EO183" s="532"/>
      <c r="EP183" s="532"/>
      <c r="EQ183" s="532"/>
      <c r="ER183" s="532"/>
      <c r="ES183" s="532"/>
      <c r="ET183" s="532"/>
      <c r="EU183" s="532"/>
      <c r="EV183" s="532"/>
      <c r="EW183" s="532"/>
      <c r="EX183" s="532"/>
      <c r="EY183" s="532"/>
      <c r="EZ183" s="532"/>
      <c r="FA183" s="532"/>
      <c r="FB183" s="532"/>
      <c r="FC183" s="532"/>
      <c r="FD183" s="532"/>
      <c r="FE183" s="532"/>
      <c r="FF183" s="532"/>
      <c r="FG183" s="532"/>
      <c r="FH183" s="532"/>
      <c r="FI183" s="532"/>
      <c r="FJ183" s="532"/>
      <c r="FK183" s="532"/>
      <c r="FL183" s="532"/>
      <c r="FM183" s="532"/>
      <c r="FN183" s="532"/>
      <c r="FO183" s="532"/>
      <c r="FP183" s="532"/>
    </row>
    <row r="184" spans="1:172" ht="12" customHeight="1" x14ac:dyDescent="0.2">
      <c r="A184" s="533" t="s">
        <v>121</v>
      </c>
      <c r="B184" s="534"/>
      <c r="C184" s="534"/>
      <c r="D184" s="534"/>
      <c r="E184" s="534"/>
      <c r="F184" s="534"/>
      <c r="G184" s="534"/>
      <c r="H184" s="534"/>
      <c r="I184" s="534"/>
      <c r="J184" s="534"/>
      <c r="K184" s="658"/>
      <c r="L184" s="562"/>
      <c r="M184" s="562"/>
      <c r="N184" s="562"/>
      <c r="O184" s="530"/>
      <c r="P184" s="531"/>
      <c r="Q184" s="531"/>
      <c r="R184" s="531"/>
      <c r="S184" s="531"/>
      <c r="T184" s="531"/>
      <c r="U184" s="531"/>
      <c r="V184" s="531"/>
      <c r="W184" s="531"/>
      <c r="X184" s="531"/>
      <c r="Y184" s="531"/>
      <c r="Z184" s="531"/>
      <c r="AA184" s="531"/>
      <c r="AB184" s="531"/>
      <c r="AC184" s="531"/>
      <c r="AD184" s="531"/>
      <c r="AE184" s="531"/>
      <c r="AF184" s="531"/>
      <c r="AG184" s="531"/>
      <c r="AH184" s="532"/>
      <c r="AI184" s="532"/>
      <c r="AJ184" s="532"/>
      <c r="AK184" s="532"/>
      <c r="AL184" s="532"/>
      <c r="AM184" s="532"/>
      <c r="AN184" s="532"/>
      <c r="AO184" s="532"/>
      <c r="AP184" s="532"/>
      <c r="AQ184" s="532"/>
      <c r="AR184" s="532"/>
      <c r="AS184" s="532"/>
      <c r="AT184" s="532"/>
      <c r="AU184" s="532"/>
      <c r="AV184" s="532"/>
      <c r="AW184" s="532"/>
      <c r="AX184" s="532"/>
      <c r="AY184" s="532"/>
      <c r="AZ184" s="532"/>
      <c r="BA184" s="532"/>
      <c r="BB184" s="532"/>
      <c r="BC184" s="532"/>
      <c r="BD184" s="532"/>
      <c r="BE184" s="532"/>
      <c r="BF184" s="532"/>
      <c r="BG184" s="532"/>
      <c r="BH184" s="532"/>
      <c r="BI184" s="532"/>
      <c r="BJ184" s="532"/>
      <c r="BK184" s="532"/>
      <c r="BL184" s="532"/>
      <c r="BM184" s="532"/>
      <c r="BN184" s="532"/>
      <c r="BO184" s="532"/>
      <c r="BP184" s="532"/>
      <c r="BQ184" s="532"/>
      <c r="BR184" s="532"/>
      <c r="BS184" s="532"/>
      <c r="BT184" s="532"/>
      <c r="BU184" s="532"/>
      <c r="BV184" s="532"/>
      <c r="BW184" s="532"/>
      <c r="BX184" s="532"/>
      <c r="BY184" s="532"/>
      <c r="BZ184" s="532"/>
      <c r="CA184" s="532"/>
      <c r="CB184" s="532"/>
      <c r="CC184" s="532"/>
      <c r="CD184" s="532"/>
      <c r="CE184" s="532"/>
      <c r="CF184" s="532"/>
      <c r="CG184" s="532"/>
      <c r="CH184" s="532"/>
      <c r="CI184" s="532"/>
      <c r="CJ184" s="532"/>
      <c r="CK184" s="532"/>
      <c r="CL184" s="532"/>
      <c r="CM184" s="532"/>
      <c r="CN184" s="532"/>
      <c r="CO184" s="532"/>
      <c r="CP184" s="532"/>
      <c r="CQ184" s="532"/>
      <c r="CR184" s="532"/>
      <c r="CS184" s="532"/>
      <c r="CT184" s="532"/>
      <c r="CU184" s="532"/>
      <c r="CV184" s="532"/>
      <c r="CW184" s="532"/>
      <c r="CX184" s="532"/>
      <c r="CY184" s="532"/>
      <c r="CZ184" s="532"/>
      <c r="DA184" s="532"/>
      <c r="DB184" s="532"/>
      <c r="DC184" s="532"/>
      <c r="DD184" s="532"/>
      <c r="DE184" s="532"/>
      <c r="DF184" s="532"/>
      <c r="DG184" s="532"/>
      <c r="DH184" s="532"/>
      <c r="DI184" s="532"/>
      <c r="DJ184" s="532"/>
      <c r="DK184" s="532"/>
      <c r="DL184" s="532"/>
      <c r="DM184" s="532"/>
      <c r="DN184" s="532"/>
      <c r="DO184" s="532"/>
      <c r="DP184" s="532"/>
      <c r="DQ184" s="532"/>
      <c r="DR184" s="532"/>
      <c r="DS184" s="532"/>
      <c r="DT184" s="532"/>
      <c r="DU184" s="532"/>
      <c r="DV184" s="532"/>
      <c r="DW184" s="532"/>
      <c r="DX184" s="532"/>
      <c r="DY184" s="532"/>
      <c r="DZ184" s="532"/>
      <c r="EA184" s="532"/>
      <c r="EB184" s="532"/>
      <c r="EC184" s="532"/>
      <c r="ED184" s="532"/>
      <c r="EE184" s="532"/>
      <c r="EF184" s="532"/>
      <c r="EG184" s="532"/>
      <c r="EH184" s="532"/>
      <c r="EI184" s="532"/>
      <c r="EJ184" s="532"/>
      <c r="EK184" s="532"/>
      <c r="EL184" s="532"/>
      <c r="EM184" s="532"/>
      <c r="EN184" s="532"/>
      <c r="EO184" s="532"/>
      <c r="EP184" s="532"/>
      <c r="EQ184" s="532"/>
      <c r="ER184" s="532"/>
      <c r="ES184" s="532"/>
      <c r="ET184" s="532"/>
      <c r="EU184" s="532"/>
      <c r="EV184" s="532"/>
      <c r="EW184" s="532"/>
      <c r="EX184" s="532"/>
      <c r="EY184" s="532"/>
      <c r="EZ184" s="532"/>
      <c r="FA184" s="532"/>
      <c r="FB184" s="532"/>
      <c r="FC184" s="532"/>
      <c r="FD184" s="532"/>
      <c r="FE184" s="532"/>
      <c r="FF184" s="532"/>
      <c r="FG184" s="532"/>
      <c r="FH184" s="532"/>
      <c r="FI184" s="532"/>
      <c r="FJ184" s="532"/>
      <c r="FK184" s="532"/>
      <c r="FL184" s="532"/>
      <c r="FM184" s="532"/>
      <c r="FN184" s="532"/>
      <c r="FO184" s="532"/>
      <c r="FP184" s="532"/>
    </row>
    <row r="185" spans="1:172" ht="12" customHeight="1" x14ac:dyDescent="0.2">
      <c r="A185" s="533" t="s">
        <v>107</v>
      </c>
      <c r="B185" s="534" t="s">
        <v>55</v>
      </c>
      <c r="C185" s="545">
        <f t="shared" ref="C185:O194" si="115">IF(C149=0,0,(SUM(C111/C149)))</f>
        <v>3.9565217391304346</v>
      </c>
      <c r="D185" s="545">
        <f t="shared" si="115"/>
        <v>3.8947368421052633</v>
      </c>
      <c r="E185" s="545">
        <f t="shared" si="115"/>
        <v>2.3333333333333335</v>
      </c>
      <c r="F185" s="545">
        <f t="shared" si="115"/>
        <v>2.8571428571428572</v>
      </c>
      <c r="G185" s="545">
        <f t="shared" si="115"/>
        <v>5</v>
      </c>
      <c r="H185" s="545">
        <f t="shared" si="115"/>
        <v>4.129032258064516</v>
      </c>
      <c r="I185" s="545">
        <f t="shared" si="115"/>
        <v>4.2608695652173916</v>
      </c>
      <c r="J185" s="545">
        <f t="shared" si="115"/>
        <v>3.8695652173913042</v>
      </c>
      <c r="K185" s="661">
        <f t="shared" si="115"/>
        <v>4.1071428571428568</v>
      </c>
      <c r="L185" s="565">
        <f t="shared" si="115"/>
        <v>3.125</v>
      </c>
      <c r="M185" s="565">
        <f t="shared" si="115"/>
        <v>4.5666666666666664</v>
      </c>
      <c r="N185" s="565">
        <f t="shared" si="115"/>
        <v>3.4848484848484849</v>
      </c>
      <c r="O185" s="546">
        <f t="shared" si="115"/>
        <v>3.7791798107255521</v>
      </c>
      <c r="P185" s="531"/>
      <c r="Q185" s="531"/>
      <c r="R185" s="531"/>
      <c r="S185" s="531"/>
      <c r="T185" s="531"/>
      <c r="U185" s="531"/>
      <c r="V185" s="531"/>
      <c r="W185" s="531"/>
      <c r="X185" s="531"/>
      <c r="Y185" s="531"/>
      <c r="Z185" s="531"/>
      <c r="AA185" s="531"/>
      <c r="AB185" s="531"/>
      <c r="AC185" s="531"/>
      <c r="AD185" s="531"/>
      <c r="AE185" s="531"/>
      <c r="AF185" s="531"/>
      <c r="AG185" s="531"/>
      <c r="AH185" s="532"/>
      <c r="AI185" s="532"/>
      <c r="AJ185" s="532"/>
      <c r="AK185" s="532"/>
      <c r="AL185" s="532"/>
      <c r="AM185" s="532"/>
      <c r="AN185" s="532"/>
      <c r="AO185" s="532"/>
      <c r="AP185" s="532"/>
      <c r="AQ185" s="532"/>
      <c r="AR185" s="532"/>
      <c r="AS185" s="532"/>
      <c r="AT185" s="532"/>
      <c r="AU185" s="532"/>
      <c r="AV185" s="532"/>
      <c r="AW185" s="532"/>
      <c r="AX185" s="532"/>
      <c r="AY185" s="532"/>
      <c r="AZ185" s="532"/>
      <c r="BA185" s="532"/>
      <c r="BB185" s="532"/>
      <c r="BC185" s="532"/>
      <c r="BD185" s="532"/>
      <c r="BE185" s="532"/>
      <c r="BF185" s="532"/>
      <c r="BG185" s="532"/>
      <c r="BH185" s="532"/>
      <c r="BI185" s="532"/>
      <c r="BJ185" s="532"/>
      <c r="BK185" s="532"/>
      <c r="BL185" s="532"/>
      <c r="BM185" s="532"/>
      <c r="BN185" s="532"/>
      <c r="BO185" s="532"/>
      <c r="BP185" s="532"/>
      <c r="BQ185" s="532"/>
      <c r="BR185" s="532"/>
      <c r="BS185" s="532"/>
      <c r="BT185" s="532"/>
      <c r="BU185" s="532"/>
      <c r="BV185" s="532"/>
      <c r="BW185" s="532"/>
      <c r="BX185" s="532"/>
      <c r="BY185" s="532"/>
      <c r="BZ185" s="532"/>
      <c r="CA185" s="532"/>
      <c r="CB185" s="532"/>
      <c r="CC185" s="532"/>
      <c r="CD185" s="532"/>
      <c r="CE185" s="532"/>
      <c r="CF185" s="532"/>
      <c r="CG185" s="532"/>
      <c r="CH185" s="532"/>
      <c r="CI185" s="532"/>
      <c r="CJ185" s="532"/>
      <c r="CK185" s="532"/>
      <c r="CL185" s="532"/>
      <c r="CM185" s="532"/>
      <c r="CN185" s="532"/>
      <c r="CO185" s="532"/>
      <c r="CP185" s="532"/>
      <c r="CQ185" s="532"/>
      <c r="CR185" s="532"/>
      <c r="CS185" s="532"/>
      <c r="CT185" s="532"/>
      <c r="CU185" s="532"/>
      <c r="CV185" s="532"/>
      <c r="CW185" s="532"/>
      <c r="CX185" s="532"/>
      <c r="CY185" s="532"/>
      <c r="CZ185" s="532"/>
      <c r="DA185" s="532"/>
      <c r="DB185" s="532"/>
      <c r="DC185" s="532"/>
      <c r="DD185" s="532"/>
      <c r="DE185" s="532"/>
      <c r="DF185" s="532"/>
      <c r="DG185" s="532"/>
      <c r="DH185" s="532"/>
      <c r="DI185" s="532"/>
      <c r="DJ185" s="532"/>
      <c r="DK185" s="532"/>
      <c r="DL185" s="532"/>
      <c r="DM185" s="532"/>
      <c r="DN185" s="532"/>
      <c r="DO185" s="532"/>
      <c r="DP185" s="532"/>
      <c r="DQ185" s="532"/>
      <c r="DR185" s="532"/>
      <c r="DS185" s="532"/>
      <c r="DT185" s="532"/>
      <c r="DU185" s="532"/>
      <c r="DV185" s="532"/>
      <c r="DW185" s="532"/>
      <c r="DX185" s="532"/>
      <c r="DY185" s="532"/>
      <c r="DZ185" s="532"/>
      <c r="EA185" s="532"/>
      <c r="EB185" s="532"/>
      <c r="EC185" s="532"/>
      <c r="ED185" s="532"/>
      <c r="EE185" s="532"/>
      <c r="EF185" s="532"/>
      <c r="EG185" s="532"/>
      <c r="EH185" s="532"/>
      <c r="EI185" s="532"/>
      <c r="EJ185" s="532"/>
      <c r="EK185" s="532"/>
      <c r="EL185" s="532"/>
      <c r="EM185" s="532"/>
      <c r="EN185" s="532"/>
      <c r="EO185" s="532"/>
      <c r="EP185" s="532"/>
      <c r="EQ185" s="532"/>
      <c r="ER185" s="532"/>
      <c r="ES185" s="532"/>
      <c r="ET185" s="532"/>
      <c r="EU185" s="532"/>
      <c r="EV185" s="532"/>
      <c r="EW185" s="532"/>
      <c r="EX185" s="532"/>
      <c r="EY185" s="532"/>
      <c r="EZ185" s="532"/>
      <c r="FA185" s="532"/>
      <c r="FB185" s="532"/>
      <c r="FC185" s="532"/>
      <c r="FD185" s="532"/>
      <c r="FE185" s="532"/>
      <c r="FF185" s="532"/>
      <c r="FG185" s="532"/>
      <c r="FH185" s="532"/>
      <c r="FI185" s="532"/>
      <c r="FJ185" s="532"/>
      <c r="FK185" s="532"/>
      <c r="FL185" s="532"/>
      <c r="FM185" s="532"/>
      <c r="FN185" s="532"/>
      <c r="FO185" s="532"/>
      <c r="FP185" s="532"/>
    </row>
    <row r="186" spans="1:172" ht="12" customHeight="1" x14ac:dyDescent="0.2">
      <c r="A186" s="533" t="s">
        <v>108</v>
      </c>
      <c r="B186" s="534" t="s">
        <v>55</v>
      </c>
      <c r="C186" s="545">
        <f t="shared" si="115"/>
        <v>0</v>
      </c>
      <c r="D186" s="545">
        <f t="shared" si="115"/>
        <v>0</v>
      </c>
      <c r="E186" s="545">
        <f t="shared" si="115"/>
        <v>0</v>
      </c>
      <c r="F186" s="545">
        <f t="shared" si="115"/>
        <v>0</v>
      </c>
      <c r="G186" s="545">
        <f t="shared" si="115"/>
        <v>0</v>
      </c>
      <c r="H186" s="545">
        <f t="shared" si="115"/>
        <v>0</v>
      </c>
      <c r="I186" s="545">
        <f t="shared" si="115"/>
        <v>0</v>
      </c>
      <c r="J186" s="545">
        <f t="shared" si="115"/>
        <v>0</v>
      </c>
      <c r="K186" s="661">
        <f t="shared" si="115"/>
        <v>2</v>
      </c>
      <c r="L186" s="565">
        <f t="shared" si="115"/>
        <v>4</v>
      </c>
      <c r="M186" s="565">
        <f t="shared" si="115"/>
        <v>1</v>
      </c>
      <c r="N186" s="565">
        <f t="shared" si="115"/>
        <v>0</v>
      </c>
      <c r="O186" s="546">
        <f t="shared" si="115"/>
        <v>2.4</v>
      </c>
      <c r="P186" s="531"/>
      <c r="Q186" s="531"/>
      <c r="R186" s="531"/>
      <c r="S186" s="531"/>
      <c r="T186" s="531"/>
      <c r="U186" s="531"/>
      <c r="V186" s="531"/>
      <c r="W186" s="531"/>
      <c r="X186" s="531"/>
      <c r="Y186" s="531"/>
      <c r="Z186" s="531"/>
      <c r="AA186" s="531"/>
      <c r="AB186" s="531"/>
      <c r="AC186" s="531"/>
      <c r="AD186" s="531"/>
      <c r="AE186" s="531"/>
      <c r="AF186" s="531"/>
      <c r="AG186" s="531"/>
      <c r="AH186" s="532"/>
      <c r="AI186" s="532"/>
      <c r="AJ186" s="532"/>
      <c r="AK186" s="532"/>
      <c r="AL186" s="532"/>
      <c r="AM186" s="532"/>
      <c r="AN186" s="532"/>
      <c r="AO186" s="532"/>
      <c r="AP186" s="532"/>
      <c r="AQ186" s="532"/>
      <c r="AR186" s="532"/>
      <c r="AS186" s="532"/>
      <c r="AT186" s="532"/>
      <c r="AU186" s="532"/>
      <c r="AV186" s="532"/>
      <c r="AW186" s="532"/>
      <c r="AX186" s="532"/>
      <c r="AY186" s="532"/>
      <c r="AZ186" s="532"/>
      <c r="BA186" s="532"/>
      <c r="BB186" s="532"/>
      <c r="BC186" s="532"/>
      <c r="BD186" s="532"/>
      <c r="BE186" s="532"/>
      <c r="BF186" s="532"/>
      <c r="BG186" s="532"/>
      <c r="BH186" s="532"/>
      <c r="BI186" s="532"/>
      <c r="BJ186" s="532"/>
      <c r="BK186" s="532"/>
      <c r="BL186" s="532"/>
      <c r="BM186" s="532"/>
      <c r="BN186" s="532"/>
      <c r="BO186" s="532"/>
      <c r="BP186" s="532"/>
      <c r="BQ186" s="532"/>
      <c r="BR186" s="532"/>
      <c r="BS186" s="532"/>
      <c r="BT186" s="532"/>
      <c r="BU186" s="532"/>
      <c r="BV186" s="532"/>
      <c r="BW186" s="532"/>
      <c r="BX186" s="532"/>
      <c r="BY186" s="532"/>
      <c r="BZ186" s="532"/>
      <c r="CA186" s="532"/>
      <c r="CB186" s="532"/>
      <c r="CC186" s="532"/>
      <c r="CD186" s="532"/>
      <c r="CE186" s="532"/>
      <c r="CF186" s="532"/>
      <c r="CG186" s="532"/>
      <c r="CH186" s="532"/>
      <c r="CI186" s="532"/>
      <c r="CJ186" s="532"/>
      <c r="CK186" s="532"/>
      <c r="CL186" s="532"/>
      <c r="CM186" s="532"/>
      <c r="CN186" s="532"/>
      <c r="CO186" s="532"/>
      <c r="CP186" s="532"/>
      <c r="CQ186" s="532"/>
      <c r="CR186" s="532"/>
      <c r="CS186" s="532"/>
      <c r="CT186" s="532"/>
      <c r="CU186" s="532"/>
      <c r="CV186" s="532"/>
      <c r="CW186" s="532"/>
      <c r="CX186" s="532"/>
      <c r="CY186" s="532"/>
      <c r="CZ186" s="532"/>
      <c r="DA186" s="532"/>
      <c r="DB186" s="532"/>
      <c r="DC186" s="532"/>
      <c r="DD186" s="532"/>
      <c r="DE186" s="532"/>
      <c r="DF186" s="532"/>
      <c r="DG186" s="532"/>
      <c r="DH186" s="532"/>
      <c r="DI186" s="532"/>
      <c r="DJ186" s="532"/>
      <c r="DK186" s="532"/>
      <c r="DL186" s="532"/>
      <c r="DM186" s="532"/>
      <c r="DN186" s="532"/>
      <c r="DO186" s="532"/>
      <c r="DP186" s="532"/>
      <c r="DQ186" s="532"/>
      <c r="DR186" s="532"/>
      <c r="DS186" s="532"/>
      <c r="DT186" s="532"/>
      <c r="DU186" s="532"/>
      <c r="DV186" s="532"/>
      <c r="DW186" s="532"/>
      <c r="DX186" s="532"/>
      <c r="DY186" s="532"/>
      <c r="DZ186" s="532"/>
      <c r="EA186" s="532"/>
      <c r="EB186" s="532"/>
      <c r="EC186" s="532"/>
      <c r="ED186" s="532"/>
      <c r="EE186" s="532"/>
      <c r="EF186" s="532"/>
      <c r="EG186" s="532"/>
      <c r="EH186" s="532"/>
      <c r="EI186" s="532"/>
      <c r="EJ186" s="532"/>
      <c r="EK186" s="532"/>
      <c r="EL186" s="532"/>
      <c r="EM186" s="532"/>
      <c r="EN186" s="532"/>
      <c r="EO186" s="532"/>
      <c r="EP186" s="532"/>
      <c r="EQ186" s="532"/>
      <c r="ER186" s="532"/>
      <c r="ES186" s="532"/>
      <c r="ET186" s="532"/>
      <c r="EU186" s="532"/>
      <c r="EV186" s="532"/>
      <c r="EW186" s="532"/>
      <c r="EX186" s="532"/>
      <c r="EY186" s="532"/>
      <c r="EZ186" s="532"/>
      <c r="FA186" s="532"/>
      <c r="FB186" s="532"/>
      <c r="FC186" s="532"/>
      <c r="FD186" s="532"/>
      <c r="FE186" s="532"/>
      <c r="FF186" s="532"/>
      <c r="FG186" s="532"/>
      <c r="FH186" s="532"/>
      <c r="FI186" s="532"/>
      <c r="FJ186" s="532"/>
      <c r="FK186" s="532"/>
      <c r="FL186" s="532"/>
      <c r="FM186" s="532"/>
      <c r="FN186" s="532"/>
      <c r="FO186" s="532"/>
      <c r="FP186" s="532"/>
    </row>
    <row r="187" spans="1:172" ht="12" customHeight="1" x14ac:dyDescent="0.2">
      <c r="A187" s="533" t="s">
        <v>99</v>
      </c>
      <c r="B187" s="534"/>
      <c r="C187" s="545">
        <f t="shared" si="115"/>
        <v>4</v>
      </c>
      <c r="D187" s="545">
        <f t="shared" si="115"/>
        <v>4</v>
      </c>
      <c r="E187" s="545">
        <f t="shared" si="115"/>
        <v>3</v>
      </c>
      <c r="F187" s="545">
        <f t="shared" si="115"/>
        <v>4.5</v>
      </c>
      <c r="G187" s="545">
        <f t="shared" si="115"/>
        <v>4.75</v>
      </c>
      <c r="H187" s="545">
        <f t="shared" si="115"/>
        <v>1.6666666666666667</v>
      </c>
      <c r="I187" s="545">
        <f t="shared" si="115"/>
        <v>2.5</v>
      </c>
      <c r="J187" s="545">
        <f t="shared" si="115"/>
        <v>2</v>
      </c>
      <c r="K187" s="661">
        <f t="shared" si="115"/>
        <v>7</v>
      </c>
      <c r="L187" s="565">
        <f t="shared" si="115"/>
        <v>0</v>
      </c>
      <c r="M187" s="565">
        <f t="shared" si="115"/>
        <v>3.5714285714285716</v>
      </c>
      <c r="N187" s="565">
        <f t="shared" si="115"/>
        <v>4</v>
      </c>
      <c r="O187" s="546">
        <f t="shared" si="115"/>
        <v>3.3235294117647061</v>
      </c>
      <c r="P187" s="531"/>
      <c r="Q187" s="531"/>
      <c r="R187" s="531"/>
      <c r="S187" s="531"/>
      <c r="T187" s="531"/>
      <c r="U187" s="531"/>
      <c r="V187" s="531"/>
      <c r="W187" s="531"/>
      <c r="X187" s="531"/>
      <c r="Y187" s="531"/>
      <c r="Z187" s="531"/>
      <c r="AA187" s="531"/>
      <c r="AB187" s="531"/>
      <c r="AC187" s="531"/>
      <c r="AD187" s="531"/>
      <c r="AE187" s="531"/>
      <c r="AF187" s="531"/>
      <c r="AG187" s="531"/>
      <c r="AH187" s="532"/>
      <c r="AI187" s="532"/>
      <c r="AJ187" s="532"/>
      <c r="AK187" s="532"/>
      <c r="AL187" s="532"/>
      <c r="AM187" s="532"/>
      <c r="AN187" s="532"/>
      <c r="AO187" s="532"/>
      <c r="AP187" s="532"/>
      <c r="AQ187" s="532"/>
      <c r="AR187" s="532"/>
      <c r="AS187" s="532"/>
      <c r="AT187" s="532"/>
      <c r="AU187" s="532"/>
      <c r="AV187" s="532"/>
      <c r="AW187" s="532"/>
      <c r="AX187" s="532"/>
      <c r="AY187" s="532"/>
      <c r="AZ187" s="532"/>
      <c r="BA187" s="532"/>
      <c r="BB187" s="532"/>
      <c r="BC187" s="532"/>
      <c r="BD187" s="532"/>
      <c r="BE187" s="532"/>
      <c r="BF187" s="532"/>
      <c r="BG187" s="532"/>
      <c r="BH187" s="532"/>
      <c r="BI187" s="532"/>
      <c r="BJ187" s="532"/>
      <c r="BK187" s="532"/>
      <c r="BL187" s="532"/>
      <c r="BM187" s="532"/>
      <c r="BN187" s="532"/>
      <c r="BO187" s="532"/>
      <c r="BP187" s="532"/>
      <c r="BQ187" s="532"/>
      <c r="BR187" s="532"/>
      <c r="BS187" s="532"/>
      <c r="BT187" s="532"/>
      <c r="BU187" s="532"/>
      <c r="BV187" s="532"/>
      <c r="BW187" s="532"/>
      <c r="BX187" s="532"/>
      <c r="BY187" s="532"/>
      <c r="BZ187" s="532"/>
      <c r="CA187" s="532"/>
      <c r="CB187" s="532"/>
      <c r="CC187" s="532"/>
      <c r="CD187" s="532"/>
      <c r="CE187" s="532"/>
      <c r="CF187" s="532"/>
      <c r="CG187" s="532"/>
      <c r="CH187" s="532"/>
      <c r="CI187" s="532"/>
      <c r="CJ187" s="532"/>
      <c r="CK187" s="532"/>
      <c r="CL187" s="532"/>
      <c r="CM187" s="532"/>
      <c r="CN187" s="532"/>
      <c r="CO187" s="532"/>
      <c r="CP187" s="532"/>
      <c r="CQ187" s="532"/>
      <c r="CR187" s="532"/>
      <c r="CS187" s="532"/>
      <c r="CT187" s="532"/>
      <c r="CU187" s="532"/>
      <c r="CV187" s="532"/>
      <c r="CW187" s="532"/>
      <c r="CX187" s="532"/>
      <c r="CY187" s="532"/>
      <c r="CZ187" s="532"/>
      <c r="DA187" s="532"/>
      <c r="DB187" s="532"/>
      <c r="DC187" s="532"/>
      <c r="DD187" s="532"/>
      <c r="DE187" s="532"/>
      <c r="DF187" s="532"/>
      <c r="DG187" s="532"/>
      <c r="DH187" s="532"/>
      <c r="DI187" s="532"/>
      <c r="DJ187" s="532"/>
      <c r="DK187" s="532"/>
      <c r="DL187" s="532"/>
      <c r="DM187" s="532"/>
      <c r="DN187" s="532"/>
      <c r="DO187" s="532"/>
      <c r="DP187" s="532"/>
      <c r="DQ187" s="532"/>
      <c r="DR187" s="532"/>
      <c r="DS187" s="532"/>
      <c r="DT187" s="532"/>
      <c r="DU187" s="532"/>
      <c r="DV187" s="532"/>
      <c r="DW187" s="532"/>
      <c r="DX187" s="532"/>
      <c r="DY187" s="532"/>
      <c r="DZ187" s="532"/>
      <c r="EA187" s="532"/>
      <c r="EB187" s="532"/>
      <c r="EC187" s="532"/>
      <c r="ED187" s="532"/>
      <c r="EE187" s="532"/>
      <c r="EF187" s="532"/>
      <c r="EG187" s="532"/>
      <c r="EH187" s="532"/>
      <c r="EI187" s="532"/>
      <c r="EJ187" s="532"/>
      <c r="EK187" s="532"/>
      <c r="EL187" s="532"/>
      <c r="EM187" s="532"/>
      <c r="EN187" s="532"/>
      <c r="EO187" s="532"/>
      <c r="EP187" s="532"/>
      <c r="EQ187" s="532"/>
      <c r="ER187" s="532"/>
      <c r="ES187" s="532"/>
      <c r="ET187" s="532"/>
      <c r="EU187" s="532"/>
      <c r="EV187" s="532"/>
      <c r="EW187" s="532"/>
      <c r="EX187" s="532"/>
      <c r="EY187" s="532"/>
      <c r="EZ187" s="532"/>
      <c r="FA187" s="532"/>
      <c r="FB187" s="532"/>
      <c r="FC187" s="532"/>
      <c r="FD187" s="532"/>
      <c r="FE187" s="532"/>
      <c r="FF187" s="532"/>
      <c r="FG187" s="532"/>
      <c r="FH187" s="532"/>
      <c r="FI187" s="532"/>
      <c r="FJ187" s="532"/>
      <c r="FK187" s="532"/>
      <c r="FL187" s="532"/>
      <c r="FM187" s="532"/>
      <c r="FN187" s="532"/>
      <c r="FO187" s="532"/>
      <c r="FP187" s="532"/>
    </row>
    <row r="188" spans="1:172" ht="12" customHeight="1" x14ac:dyDescent="0.2">
      <c r="A188" s="533" t="s">
        <v>109</v>
      </c>
      <c r="B188" s="534"/>
      <c r="C188" s="545">
        <f t="shared" si="115"/>
        <v>3</v>
      </c>
      <c r="D188" s="545">
        <f t="shared" si="115"/>
        <v>6.7142857142857144</v>
      </c>
      <c r="E188" s="545">
        <f t="shared" si="115"/>
        <v>3.0833333333333335</v>
      </c>
      <c r="F188" s="545">
        <f t="shared" si="115"/>
        <v>3.6666666666666665</v>
      </c>
      <c r="G188" s="545">
        <f t="shared" si="115"/>
        <v>3.6</v>
      </c>
      <c r="H188" s="545">
        <f t="shared" si="115"/>
        <v>4</v>
      </c>
      <c r="I188" s="545">
        <f t="shared" si="115"/>
        <v>2.1818181818181817</v>
      </c>
      <c r="J188" s="545">
        <f t="shared" si="115"/>
        <v>3.375</v>
      </c>
      <c r="K188" s="661">
        <f t="shared" si="115"/>
        <v>5</v>
      </c>
      <c r="L188" s="565">
        <f t="shared" si="115"/>
        <v>2.75</v>
      </c>
      <c r="M188" s="565">
        <f t="shared" si="115"/>
        <v>4.1111111111111107</v>
      </c>
      <c r="N188" s="565">
        <f t="shared" si="115"/>
        <v>2.5</v>
      </c>
      <c r="O188" s="546">
        <f t="shared" si="115"/>
        <v>3.5051546391752577</v>
      </c>
      <c r="P188" s="531"/>
      <c r="Q188" s="531"/>
      <c r="R188" s="531"/>
      <c r="S188" s="531"/>
      <c r="T188" s="531"/>
      <c r="U188" s="531"/>
      <c r="V188" s="531"/>
      <c r="W188" s="531"/>
      <c r="X188" s="531"/>
      <c r="Y188" s="531"/>
      <c r="Z188" s="531"/>
      <c r="AA188" s="531"/>
      <c r="AB188" s="531"/>
      <c r="AC188" s="531"/>
      <c r="AD188" s="531"/>
      <c r="AE188" s="531"/>
      <c r="AF188" s="531"/>
      <c r="AG188" s="531"/>
      <c r="AH188" s="532"/>
      <c r="AI188" s="532"/>
      <c r="AJ188" s="532"/>
      <c r="AK188" s="532"/>
      <c r="AL188" s="532"/>
      <c r="AM188" s="532"/>
      <c r="AN188" s="532"/>
      <c r="AO188" s="532"/>
      <c r="AP188" s="532"/>
      <c r="AQ188" s="532"/>
      <c r="AR188" s="532"/>
      <c r="AS188" s="532"/>
      <c r="AT188" s="532"/>
      <c r="AU188" s="532"/>
      <c r="AV188" s="532"/>
      <c r="AW188" s="532"/>
      <c r="AX188" s="532"/>
      <c r="AY188" s="532"/>
      <c r="AZ188" s="532"/>
      <c r="BA188" s="532"/>
      <c r="BB188" s="532"/>
      <c r="BC188" s="532"/>
      <c r="BD188" s="532"/>
      <c r="BE188" s="532"/>
      <c r="BF188" s="532"/>
      <c r="BG188" s="532"/>
      <c r="BH188" s="532"/>
      <c r="BI188" s="532"/>
      <c r="BJ188" s="532"/>
      <c r="BK188" s="532"/>
      <c r="BL188" s="532"/>
      <c r="BM188" s="532"/>
      <c r="BN188" s="532"/>
      <c r="BO188" s="532"/>
      <c r="BP188" s="532"/>
      <c r="BQ188" s="532"/>
      <c r="BR188" s="532"/>
      <c r="BS188" s="532"/>
      <c r="BT188" s="532"/>
      <c r="BU188" s="532"/>
      <c r="BV188" s="532"/>
      <c r="BW188" s="532"/>
      <c r="BX188" s="532"/>
      <c r="BY188" s="532"/>
      <c r="BZ188" s="532"/>
      <c r="CA188" s="532"/>
      <c r="CB188" s="532"/>
      <c r="CC188" s="532"/>
      <c r="CD188" s="532"/>
      <c r="CE188" s="532"/>
      <c r="CF188" s="532"/>
      <c r="CG188" s="532"/>
      <c r="CH188" s="532"/>
      <c r="CI188" s="532"/>
      <c r="CJ188" s="532"/>
      <c r="CK188" s="532"/>
      <c r="CL188" s="532"/>
      <c r="CM188" s="532"/>
      <c r="CN188" s="532"/>
      <c r="CO188" s="532"/>
      <c r="CP188" s="532"/>
      <c r="CQ188" s="532"/>
      <c r="CR188" s="532"/>
      <c r="CS188" s="532"/>
      <c r="CT188" s="532"/>
      <c r="CU188" s="532"/>
      <c r="CV188" s="532"/>
      <c r="CW188" s="532"/>
      <c r="CX188" s="532"/>
      <c r="CY188" s="532"/>
      <c r="CZ188" s="532"/>
      <c r="DA188" s="532"/>
      <c r="DB188" s="532"/>
      <c r="DC188" s="532"/>
      <c r="DD188" s="532"/>
      <c r="DE188" s="532"/>
      <c r="DF188" s="532"/>
      <c r="DG188" s="532"/>
      <c r="DH188" s="532"/>
      <c r="DI188" s="532"/>
      <c r="DJ188" s="532"/>
      <c r="DK188" s="532"/>
      <c r="DL188" s="532"/>
      <c r="DM188" s="532"/>
      <c r="DN188" s="532"/>
      <c r="DO188" s="532"/>
      <c r="DP188" s="532"/>
      <c r="DQ188" s="532"/>
      <c r="DR188" s="532"/>
      <c r="DS188" s="532"/>
      <c r="DT188" s="532"/>
      <c r="DU188" s="532"/>
      <c r="DV188" s="532"/>
      <c r="DW188" s="532"/>
      <c r="DX188" s="532"/>
      <c r="DY188" s="532"/>
      <c r="DZ188" s="532"/>
      <c r="EA188" s="532"/>
      <c r="EB188" s="532"/>
      <c r="EC188" s="532"/>
      <c r="ED188" s="532"/>
      <c r="EE188" s="532"/>
      <c r="EF188" s="532"/>
      <c r="EG188" s="532"/>
      <c r="EH188" s="532"/>
      <c r="EI188" s="532"/>
      <c r="EJ188" s="532"/>
      <c r="EK188" s="532"/>
      <c r="EL188" s="532"/>
      <c r="EM188" s="532"/>
      <c r="EN188" s="532"/>
      <c r="EO188" s="532"/>
      <c r="EP188" s="532"/>
      <c r="EQ188" s="532"/>
      <c r="ER188" s="532"/>
      <c r="ES188" s="532"/>
      <c r="ET188" s="532"/>
      <c r="EU188" s="532"/>
      <c r="EV188" s="532"/>
      <c r="EW188" s="532"/>
      <c r="EX188" s="532"/>
      <c r="EY188" s="532"/>
      <c r="EZ188" s="532"/>
      <c r="FA188" s="532"/>
      <c r="FB188" s="532"/>
      <c r="FC188" s="532"/>
      <c r="FD188" s="532"/>
      <c r="FE188" s="532"/>
      <c r="FF188" s="532"/>
      <c r="FG188" s="532"/>
      <c r="FH188" s="532"/>
      <c r="FI188" s="532"/>
      <c r="FJ188" s="532"/>
      <c r="FK188" s="532"/>
      <c r="FL188" s="532"/>
      <c r="FM188" s="532"/>
      <c r="FN188" s="532"/>
      <c r="FO188" s="532"/>
      <c r="FP188" s="532"/>
    </row>
    <row r="189" spans="1:172" ht="12" customHeight="1" x14ac:dyDescent="0.2">
      <c r="A189" s="533" t="s">
        <v>110</v>
      </c>
      <c r="B189" s="534"/>
      <c r="C189" s="545">
        <f t="shared" si="115"/>
        <v>2.8</v>
      </c>
      <c r="D189" s="545">
        <f t="shared" si="115"/>
        <v>4</v>
      </c>
      <c r="E189" s="545">
        <f t="shared" si="115"/>
        <v>2.75</v>
      </c>
      <c r="F189" s="545">
        <f t="shared" si="115"/>
        <v>2.6666666666666665</v>
      </c>
      <c r="G189" s="545">
        <f t="shared" si="115"/>
        <v>1</v>
      </c>
      <c r="H189" s="545">
        <f t="shared" si="115"/>
        <v>3</v>
      </c>
      <c r="I189" s="545">
        <f t="shared" si="115"/>
        <v>1.75</v>
      </c>
      <c r="J189" s="545">
        <f t="shared" si="115"/>
        <v>3</v>
      </c>
      <c r="K189" s="661">
        <f t="shared" si="115"/>
        <v>3</v>
      </c>
      <c r="L189" s="565">
        <f t="shared" si="115"/>
        <v>1</v>
      </c>
      <c r="M189" s="565">
        <f t="shared" si="115"/>
        <v>1</v>
      </c>
      <c r="N189" s="565">
        <f t="shared" si="115"/>
        <v>0</v>
      </c>
      <c r="O189" s="546">
        <f t="shared" si="115"/>
        <v>2.4705882352941178</v>
      </c>
      <c r="P189" s="531"/>
      <c r="Q189" s="531"/>
      <c r="R189" s="531"/>
      <c r="S189" s="531"/>
      <c r="T189" s="531"/>
      <c r="U189" s="531"/>
      <c r="V189" s="531"/>
      <c r="W189" s="531"/>
      <c r="X189" s="531"/>
      <c r="Y189" s="531"/>
      <c r="Z189" s="531"/>
      <c r="AA189" s="531"/>
      <c r="AB189" s="531"/>
      <c r="AC189" s="531"/>
      <c r="AD189" s="531"/>
      <c r="AE189" s="531"/>
      <c r="AF189" s="531"/>
      <c r="AG189" s="531"/>
      <c r="AH189" s="532"/>
      <c r="AI189" s="532"/>
      <c r="AJ189" s="532"/>
      <c r="AK189" s="532"/>
      <c r="AL189" s="532"/>
      <c r="AM189" s="532"/>
      <c r="AN189" s="532"/>
      <c r="AO189" s="532"/>
      <c r="AP189" s="532"/>
      <c r="AQ189" s="532"/>
      <c r="AR189" s="532"/>
      <c r="AS189" s="532"/>
      <c r="AT189" s="532"/>
      <c r="AU189" s="532"/>
      <c r="AV189" s="532"/>
      <c r="AW189" s="532"/>
      <c r="AX189" s="532"/>
      <c r="AY189" s="532"/>
      <c r="AZ189" s="532"/>
      <c r="BA189" s="532"/>
      <c r="BB189" s="532"/>
      <c r="BC189" s="532"/>
      <c r="BD189" s="532"/>
      <c r="BE189" s="532"/>
      <c r="BF189" s="532"/>
      <c r="BG189" s="532"/>
      <c r="BH189" s="532"/>
      <c r="BI189" s="532"/>
      <c r="BJ189" s="532"/>
      <c r="BK189" s="532"/>
      <c r="BL189" s="532"/>
      <c r="BM189" s="532"/>
      <c r="BN189" s="532"/>
      <c r="BO189" s="532"/>
      <c r="BP189" s="532"/>
      <c r="BQ189" s="532"/>
      <c r="BR189" s="532"/>
      <c r="BS189" s="532"/>
      <c r="BT189" s="532"/>
      <c r="BU189" s="532"/>
      <c r="BV189" s="532"/>
      <c r="BW189" s="532"/>
      <c r="BX189" s="532"/>
      <c r="BY189" s="532"/>
      <c r="BZ189" s="532"/>
      <c r="CA189" s="532"/>
      <c r="CB189" s="532"/>
      <c r="CC189" s="532"/>
      <c r="CD189" s="532"/>
      <c r="CE189" s="532"/>
      <c r="CF189" s="532"/>
      <c r="CG189" s="532"/>
      <c r="CH189" s="532"/>
      <c r="CI189" s="532"/>
      <c r="CJ189" s="532"/>
      <c r="CK189" s="532"/>
      <c r="CL189" s="532"/>
      <c r="CM189" s="532"/>
      <c r="CN189" s="532"/>
      <c r="CO189" s="532"/>
      <c r="CP189" s="532"/>
      <c r="CQ189" s="532"/>
      <c r="CR189" s="532"/>
      <c r="CS189" s="532"/>
      <c r="CT189" s="532"/>
      <c r="CU189" s="532"/>
      <c r="CV189" s="532"/>
      <c r="CW189" s="532"/>
      <c r="CX189" s="532"/>
      <c r="CY189" s="532"/>
      <c r="CZ189" s="532"/>
      <c r="DA189" s="532"/>
      <c r="DB189" s="532"/>
      <c r="DC189" s="532"/>
      <c r="DD189" s="532"/>
      <c r="DE189" s="532"/>
      <c r="DF189" s="532"/>
      <c r="DG189" s="532"/>
      <c r="DH189" s="532"/>
      <c r="DI189" s="532"/>
      <c r="DJ189" s="532"/>
      <c r="DK189" s="532"/>
      <c r="DL189" s="532"/>
      <c r="DM189" s="532"/>
      <c r="DN189" s="532"/>
      <c r="DO189" s="532"/>
      <c r="DP189" s="532"/>
      <c r="DQ189" s="532"/>
      <c r="DR189" s="532"/>
      <c r="DS189" s="532"/>
      <c r="DT189" s="532"/>
      <c r="DU189" s="532"/>
      <c r="DV189" s="532"/>
      <c r="DW189" s="532"/>
      <c r="DX189" s="532"/>
      <c r="DY189" s="532"/>
      <c r="DZ189" s="532"/>
      <c r="EA189" s="532"/>
      <c r="EB189" s="532"/>
      <c r="EC189" s="532"/>
      <c r="ED189" s="532"/>
      <c r="EE189" s="532"/>
      <c r="EF189" s="532"/>
      <c r="EG189" s="532"/>
      <c r="EH189" s="532"/>
      <c r="EI189" s="532"/>
      <c r="EJ189" s="532"/>
      <c r="EK189" s="532"/>
      <c r="EL189" s="532"/>
      <c r="EM189" s="532"/>
      <c r="EN189" s="532"/>
      <c r="EO189" s="532"/>
      <c r="EP189" s="532"/>
      <c r="EQ189" s="532"/>
      <c r="ER189" s="532"/>
      <c r="ES189" s="532"/>
      <c r="ET189" s="532"/>
      <c r="EU189" s="532"/>
      <c r="EV189" s="532"/>
      <c r="EW189" s="532"/>
      <c r="EX189" s="532"/>
      <c r="EY189" s="532"/>
      <c r="EZ189" s="532"/>
      <c r="FA189" s="532"/>
      <c r="FB189" s="532"/>
      <c r="FC189" s="532"/>
      <c r="FD189" s="532"/>
      <c r="FE189" s="532"/>
      <c r="FF189" s="532"/>
      <c r="FG189" s="532"/>
      <c r="FH189" s="532"/>
      <c r="FI189" s="532"/>
      <c r="FJ189" s="532"/>
      <c r="FK189" s="532"/>
      <c r="FL189" s="532"/>
      <c r="FM189" s="532"/>
      <c r="FN189" s="532"/>
      <c r="FO189" s="532"/>
      <c r="FP189" s="532"/>
    </row>
    <row r="190" spans="1:172" ht="12" customHeight="1" x14ac:dyDescent="0.2">
      <c r="A190" s="533" t="s">
        <v>102</v>
      </c>
      <c r="B190" s="534"/>
      <c r="C190" s="545">
        <f t="shared" si="115"/>
        <v>3</v>
      </c>
      <c r="D190" s="545">
        <f t="shared" si="115"/>
        <v>3</v>
      </c>
      <c r="E190" s="545">
        <f t="shared" si="115"/>
        <v>4.333333333333333</v>
      </c>
      <c r="F190" s="545">
        <f t="shared" si="115"/>
        <v>1</v>
      </c>
      <c r="G190" s="545">
        <f t="shared" si="115"/>
        <v>6.5</v>
      </c>
      <c r="H190" s="545">
        <f t="shared" si="115"/>
        <v>1.5</v>
      </c>
      <c r="I190" s="545">
        <f t="shared" si="115"/>
        <v>2.5</v>
      </c>
      <c r="J190" s="545">
        <f t="shared" si="115"/>
        <v>0</v>
      </c>
      <c r="K190" s="661">
        <f t="shared" si="115"/>
        <v>6.75</v>
      </c>
      <c r="L190" s="565">
        <f t="shared" si="115"/>
        <v>9.5</v>
      </c>
      <c r="M190" s="565">
        <f t="shared" si="115"/>
        <v>2.5</v>
      </c>
      <c r="N190" s="565">
        <f t="shared" si="115"/>
        <v>0</v>
      </c>
      <c r="O190" s="546">
        <f t="shared" si="115"/>
        <v>4.625</v>
      </c>
      <c r="P190" s="531"/>
      <c r="Q190" s="531"/>
      <c r="R190" s="531"/>
      <c r="S190" s="531"/>
      <c r="T190" s="531"/>
      <c r="U190" s="531"/>
      <c r="V190" s="531"/>
      <c r="W190" s="531"/>
      <c r="X190" s="531"/>
      <c r="Y190" s="531"/>
      <c r="Z190" s="531"/>
      <c r="AA190" s="531"/>
      <c r="AB190" s="531"/>
      <c r="AC190" s="531"/>
      <c r="AD190" s="531"/>
      <c r="AE190" s="531"/>
      <c r="AF190" s="531"/>
      <c r="AG190" s="531"/>
      <c r="AH190" s="532"/>
      <c r="AI190" s="532"/>
      <c r="AJ190" s="532"/>
      <c r="AK190" s="532"/>
      <c r="AL190" s="532"/>
      <c r="AM190" s="532"/>
      <c r="AN190" s="532"/>
      <c r="AO190" s="532"/>
      <c r="AP190" s="532"/>
      <c r="AQ190" s="532"/>
      <c r="AR190" s="532"/>
      <c r="AS190" s="532"/>
      <c r="AT190" s="532"/>
      <c r="AU190" s="532"/>
      <c r="AV190" s="532"/>
      <c r="AW190" s="532"/>
      <c r="AX190" s="532"/>
      <c r="AY190" s="532"/>
      <c r="AZ190" s="532"/>
      <c r="BA190" s="532"/>
      <c r="BB190" s="532"/>
      <c r="BC190" s="532"/>
      <c r="BD190" s="532"/>
      <c r="BE190" s="532"/>
      <c r="BF190" s="532"/>
      <c r="BG190" s="532"/>
      <c r="BH190" s="532"/>
      <c r="BI190" s="532"/>
      <c r="BJ190" s="532"/>
      <c r="BK190" s="532"/>
      <c r="BL190" s="532"/>
      <c r="BM190" s="532"/>
      <c r="BN190" s="532"/>
      <c r="BO190" s="532"/>
      <c r="BP190" s="532"/>
      <c r="BQ190" s="532"/>
      <c r="BR190" s="532"/>
      <c r="BS190" s="532"/>
      <c r="BT190" s="532"/>
      <c r="BU190" s="532"/>
      <c r="BV190" s="532"/>
      <c r="BW190" s="532"/>
      <c r="BX190" s="532"/>
      <c r="BY190" s="532"/>
      <c r="BZ190" s="532"/>
      <c r="CA190" s="532"/>
      <c r="CB190" s="532"/>
      <c r="CC190" s="532"/>
      <c r="CD190" s="532"/>
      <c r="CE190" s="532"/>
      <c r="CF190" s="532"/>
      <c r="CG190" s="532"/>
      <c r="CH190" s="532"/>
      <c r="CI190" s="532"/>
      <c r="CJ190" s="532"/>
      <c r="CK190" s="532"/>
      <c r="CL190" s="532"/>
      <c r="CM190" s="532"/>
      <c r="CN190" s="532"/>
      <c r="CO190" s="532"/>
      <c r="CP190" s="532"/>
      <c r="CQ190" s="532"/>
      <c r="CR190" s="532"/>
      <c r="CS190" s="532"/>
      <c r="CT190" s="532"/>
      <c r="CU190" s="532"/>
      <c r="CV190" s="532"/>
      <c r="CW190" s="532"/>
      <c r="CX190" s="532"/>
      <c r="CY190" s="532"/>
      <c r="CZ190" s="532"/>
      <c r="DA190" s="532"/>
      <c r="DB190" s="532"/>
      <c r="DC190" s="532"/>
      <c r="DD190" s="532"/>
      <c r="DE190" s="532"/>
      <c r="DF190" s="532"/>
      <c r="DG190" s="532"/>
      <c r="DH190" s="532"/>
      <c r="DI190" s="532"/>
      <c r="DJ190" s="532"/>
      <c r="DK190" s="532"/>
      <c r="DL190" s="532"/>
      <c r="DM190" s="532"/>
      <c r="DN190" s="532"/>
      <c r="DO190" s="532"/>
      <c r="DP190" s="532"/>
      <c r="DQ190" s="532"/>
      <c r="DR190" s="532"/>
      <c r="DS190" s="532"/>
      <c r="DT190" s="532"/>
      <c r="DU190" s="532"/>
      <c r="DV190" s="532"/>
      <c r="DW190" s="532"/>
      <c r="DX190" s="532"/>
      <c r="DY190" s="532"/>
      <c r="DZ190" s="532"/>
      <c r="EA190" s="532"/>
      <c r="EB190" s="532"/>
      <c r="EC190" s="532"/>
      <c r="ED190" s="532"/>
      <c r="EE190" s="532"/>
      <c r="EF190" s="532"/>
      <c r="EG190" s="532"/>
      <c r="EH190" s="532"/>
      <c r="EI190" s="532"/>
      <c r="EJ190" s="532"/>
      <c r="EK190" s="532"/>
      <c r="EL190" s="532"/>
      <c r="EM190" s="532"/>
      <c r="EN190" s="532"/>
      <c r="EO190" s="532"/>
      <c r="EP190" s="532"/>
      <c r="EQ190" s="532"/>
      <c r="ER190" s="532"/>
      <c r="ES190" s="532"/>
      <c r="ET190" s="532"/>
      <c r="EU190" s="532"/>
      <c r="EV190" s="532"/>
      <c r="EW190" s="532"/>
      <c r="EX190" s="532"/>
      <c r="EY190" s="532"/>
      <c r="EZ190" s="532"/>
      <c r="FA190" s="532"/>
      <c r="FB190" s="532"/>
      <c r="FC190" s="532"/>
      <c r="FD190" s="532"/>
      <c r="FE190" s="532"/>
      <c r="FF190" s="532"/>
      <c r="FG190" s="532"/>
      <c r="FH190" s="532"/>
      <c r="FI190" s="532"/>
      <c r="FJ190" s="532"/>
      <c r="FK190" s="532"/>
      <c r="FL190" s="532"/>
      <c r="FM190" s="532"/>
      <c r="FN190" s="532"/>
      <c r="FO190" s="532"/>
      <c r="FP190" s="532"/>
    </row>
    <row r="191" spans="1:172" ht="12" customHeight="1" x14ac:dyDescent="0.2">
      <c r="A191" s="533" t="s">
        <v>111</v>
      </c>
      <c r="B191" s="534"/>
      <c r="C191" s="545">
        <f t="shared" si="115"/>
        <v>2</v>
      </c>
      <c r="D191" s="545">
        <f t="shared" si="115"/>
        <v>6.333333333333333</v>
      </c>
      <c r="E191" s="545">
        <f t="shared" si="115"/>
        <v>3</v>
      </c>
      <c r="F191" s="545">
        <f t="shared" si="115"/>
        <v>3.5</v>
      </c>
      <c r="G191" s="545">
        <f t="shared" si="115"/>
        <v>1.6666666666666667</v>
      </c>
      <c r="H191" s="545">
        <f t="shared" si="115"/>
        <v>10.75</v>
      </c>
      <c r="I191" s="545">
        <f t="shared" si="115"/>
        <v>2.2000000000000002</v>
      </c>
      <c r="J191" s="545">
        <f t="shared" si="115"/>
        <v>4</v>
      </c>
      <c r="K191" s="661">
        <f t="shared" si="115"/>
        <v>3</v>
      </c>
      <c r="L191" s="565">
        <f t="shared" si="115"/>
        <v>3.1428571428571428</v>
      </c>
      <c r="M191" s="565">
        <f t="shared" si="115"/>
        <v>2.6666666666666665</v>
      </c>
      <c r="N191" s="565">
        <f t="shared" si="115"/>
        <v>2.6666666666666665</v>
      </c>
      <c r="O191" s="546">
        <f t="shared" si="115"/>
        <v>3.8918918918918921</v>
      </c>
      <c r="P191" s="531"/>
      <c r="Q191" s="531"/>
      <c r="R191" s="531"/>
      <c r="S191" s="531"/>
      <c r="T191" s="531"/>
      <c r="U191" s="531"/>
      <c r="V191" s="531"/>
      <c r="W191" s="531"/>
      <c r="X191" s="531"/>
      <c r="Y191" s="531"/>
      <c r="Z191" s="531"/>
      <c r="AA191" s="531"/>
      <c r="AB191" s="531"/>
      <c r="AC191" s="531"/>
      <c r="AD191" s="531"/>
      <c r="AE191" s="531"/>
      <c r="AF191" s="531"/>
      <c r="AG191" s="531"/>
      <c r="AH191" s="532"/>
      <c r="AI191" s="532"/>
      <c r="AJ191" s="532"/>
      <c r="AK191" s="532"/>
      <c r="AL191" s="532"/>
      <c r="AM191" s="532"/>
      <c r="AN191" s="532"/>
      <c r="AO191" s="532"/>
      <c r="AP191" s="532"/>
      <c r="AQ191" s="532"/>
      <c r="AR191" s="532"/>
      <c r="AS191" s="532"/>
      <c r="AT191" s="532"/>
      <c r="AU191" s="532"/>
      <c r="AV191" s="532"/>
      <c r="AW191" s="532"/>
      <c r="AX191" s="532"/>
      <c r="AY191" s="532"/>
      <c r="AZ191" s="532"/>
      <c r="BA191" s="532"/>
      <c r="BB191" s="532"/>
      <c r="BC191" s="532"/>
      <c r="BD191" s="532"/>
      <c r="BE191" s="532"/>
      <c r="BF191" s="532"/>
      <c r="BG191" s="532"/>
      <c r="BH191" s="532"/>
      <c r="BI191" s="532"/>
      <c r="BJ191" s="532"/>
      <c r="BK191" s="532"/>
      <c r="BL191" s="532"/>
      <c r="BM191" s="532"/>
      <c r="BN191" s="532"/>
      <c r="BO191" s="532"/>
      <c r="BP191" s="532"/>
      <c r="BQ191" s="532"/>
      <c r="BR191" s="532"/>
      <c r="BS191" s="532"/>
      <c r="BT191" s="532"/>
      <c r="BU191" s="532"/>
      <c r="BV191" s="532"/>
      <c r="BW191" s="532"/>
      <c r="BX191" s="532"/>
      <c r="BY191" s="532"/>
      <c r="BZ191" s="532"/>
      <c r="CA191" s="532"/>
      <c r="CB191" s="532"/>
      <c r="CC191" s="532"/>
      <c r="CD191" s="532"/>
      <c r="CE191" s="532"/>
      <c r="CF191" s="532"/>
      <c r="CG191" s="532"/>
      <c r="CH191" s="532"/>
      <c r="CI191" s="532"/>
      <c r="CJ191" s="532"/>
      <c r="CK191" s="532"/>
      <c r="CL191" s="532"/>
      <c r="CM191" s="532"/>
      <c r="CN191" s="532"/>
      <c r="CO191" s="532"/>
      <c r="CP191" s="532"/>
      <c r="CQ191" s="532"/>
      <c r="CR191" s="532"/>
      <c r="CS191" s="532"/>
      <c r="CT191" s="532"/>
      <c r="CU191" s="532"/>
      <c r="CV191" s="532"/>
      <c r="CW191" s="532"/>
      <c r="CX191" s="532"/>
      <c r="CY191" s="532"/>
      <c r="CZ191" s="532"/>
      <c r="DA191" s="532"/>
      <c r="DB191" s="532"/>
      <c r="DC191" s="532"/>
      <c r="DD191" s="532"/>
      <c r="DE191" s="532"/>
      <c r="DF191" s="532"/>
      <c r="DG191" s="532"/>
      <c r="DH191" s="532"/>
      <c r="DI191" s="532"/>
      <c r="DJ191" s="532"/>
      <c r="DK191" s="532"/>
      <c r="DL191" s="532"/>
      <c r="DM191" s="532"/>
      <c r="DN191" s="532"/>
      <c r="DO191" s="532"/>
      <c r="DP191" s="532"/>
      <c r="DQ191" s="532"/>
      <c r="DR191" s="532"/>
      <c r="DS191" s="532"/>
      <c r="DT191" s="532"/>
      <c r="DU191" s="532"/>
      <c r="DV191" s="532"/>
      <c r="DW191" s="532"/>
      <c r="DX191" s="532"/>
      <c r="DY191" s="532"/>
      <c r="DZ191" s="532"/>
      <c r="EA191" s="532"/>
      <c r="EB191" s="532"/>
      <c r="EC191" s="532"/>
      <c r="ED191" s="532"/>
      <c r="EE191" s="532"/>
      <c r="EF191" s="532"/>
      <c r="EG191" s="532"/>
      <c r="EH191" s="532"/>
      <c r="EI191" s="532"/>
      <c r="EJ191" s="532"/>
      <c r="EK191" s="532"/>
      <c r="EL191" s="532"/>
      <c r="EM191" s="532"/>
      <c r="EN191" s="532"/>
      <c r="EO191" s="532"/>
      <c r="EP191" s="532"/>
      <c r="EQ191" s="532"/>
      <c r="ER191" s="532"/>
      <c r="ES191" s="532"/>
      <c r="ET191" s="532"/>
      <c r="EU191" s="532"/>
      <c r="EV191" s="532"/>
      <c r="EW191" s="532"/>
      <c r="EX191" s="532"/>
      <c r="EY191" s="532"/>
      <c r="EZ191" s="532"/>
      <c r="FA191" s="532"/>
      <c r="FB191" s="532"/>
      <c r="FC191" s="532"/>
      <c r="FD191" s="532"/>
      <c r="FE191" s="532"/>
      <c r="FF191" s="532"/>
      <c r="FG191" s="532"/>
      <c r="FH191" s="532"/>
      <c r="FI191" s="532"/>
      <c r="FJ191" s="532"/>
      <c r="FK191" s="532"/>
      <c r="FL191" s="532"/>
      <c r="FM191" s="532"/>
      <c r="FN191" s="532"/>
      <c r="FO191" s="532"/>
      <c r="FP191" s="532"/>
    </row>
    <row r="192" spans="1:172" ht="12" customHeight="1" x14ac:dyDescent="0.2">
      <c r="A192" s="537" t="s">
        <v>122</v>
      </c>
      <c r="B192" s="534"/>
      <c r="C192" s="545">
        <f t="shared" si="115"/>
        <v>3.4615384615384617</v>
      </c>
      <c r="D192" s="545">
        <f t="shared" si="115"/>
        <v>4.6571428571428575</v>
      </c>
      <c r="E192" s="545">
        <f t="shared" si="115"/>
        <v>2.8125</v>
      </c>
      <c r="F192" s="545">
        <f t="shared" si="115"/>
        <v>3</v>
      </c>
      <c r="G192" s="545">
        <f t="shared" si="115"/>
        <v>4.5121951219512191</v>
      </c>
      <c r="H192" s="545">
        <f t="shared" si="115"/>
        <v>4.1296296296296298</v>
      </c>
      <c r="I192" s="545">
        <f t="shared" si="115"/>
        <v>3.1914893617021276</v>
      </c>
      <c r="J192" s="545">
        <f t="shared" si="115"/>
        <v>3.657142857142857</v>
      </c>
      <c r="K192" s="661">
        <f t="shared" si="115"/>
        <v>4.3111111111111109</v>
      </c>
      <c r="L192" s="565">
        <f t="shared" si="115"/>
        <v>3.1886792452830188</v>
      </c>
      <c r="M192" s="565">
        <f t="shared" si="115"/>
        <v>3.9285714285714284</v>
      </c>
      <c r="N192" s="565">
        <f t="shared" si="115"/>
        <v>3.306122448979592</v>
      </c>
      <c r="O192" s="546">
        <f t="shared" si="115"/>
        <v>3.6532846715328469</v>
      </c>
      <c r="P192" s="531"/>
      <c r="Q192" s="531"/>
      <c r="R192" s="531"/>
      <c r="S192" s="531"/>
      <c r="T192" s="531"/>
      <c r="U192" s="531"/>
      <c r="V192" s="531"/>
      <c r="W192" s="531"/>
      <c r="X192" s="531"/>
      <c r="Y192" s="531"/>
      <c r="Z192" s="531"/>
      <c r="AA192" s="531"/>
      <c r="AB192" s="531"/>
      <c r="AC192" s="531"/>
      <c r="AD192" s="531"/>
      <c r="AE192" s="531"/>
      <c r="AF192" s="531"/>
      <c r="AG192" s="531"/>
      <c r="AH192" s="532"/>
      <c r="AI192" s="532"/>
      <c r="AJ192" s="532"/>
      <c r="AK192" s="532"/>
      <c r="AL192" s="532"/>
      <c r="AM192" s="532"/>
      <c r="AN192" s="532"/>
      <c r="AO192" s="532"/>
      <c r="AP192" s="532"/>
      <c r="AQ192" s="532"/>
      <c r="AR192" s="532"/>
      <c r="AS192" s="532"/>
      <c r="AT192" s="532"/>
      <c r="AU192" s="532"/>
      <c r="AV192" s="532"/>
      <c r="AW192" s="532"/>
      <c r="AX192" s="532"/>
      <c r="AY192" s="532"/>
      <c r="AZ192" s="532"/>
      <c r="BA192" s="532"/>
      <c r="BB192" s="532"/>
      <c r="BC192" s="532"/>
      <c r="BD192" s="532"/>
      <c r="BE192" s="532"/>
      <c r="BF192" s="532"/>
      <c r="BG192" s="532"/>
      <c r="BH192" s="532"/>
      <c r="BI192" s="532"/>
      <c r="BJ192" s="532"/>
      <c r="BK192" s="532"/>
      <c r="BL192" s="532"/>
      <c r="BM192" s="532"/>
      <c r="BN192" s="532"/>
      <c r="BO192" s="532"/>
      <c r="BP192" s="532"/>
      <c r="BQ192" s="532"/>
      <c r="BR192" s="532"/>
      <c r="BS192" s="532"/>
      <c r="BT192" s="532"/>
      <c r="BU192" s="532"/>
      <c r="BV192" s="532"/>
      <c r="BW192" s="532"/>
      <c r="BX192" s="532"/>
      <c r="BY192" s="532"/>
      <c r="BZ192" s="532"/>
      <c r="CA192" s="532"/>
      <c r="CB192" s="532"/>
      <c r="CC192" s="532"/>
      <c r="CD192" s="532"/>
      <c r="CE192" s="532"/>
      <c r="CF192" s="532"/>
      <c r="CG192" s="532"/>
      <c r="CH192" s="532"/>
      <c r="CI192" s="532"/>
      <c r="CJ192" s="532"/>
      <c r="CK192" s="532"/>
      <c r="CL192" s="532"/>
      <c r="CM192" s="532"/>
      <c r="CN192" s="532"/>
      <c r="CO192" s="532"/>
      <c r="CP192" s="532"/>
      <c r="CQ192" s="532"/>
      <c r="CR192" s="532"/>
      <c r="CS192" s="532"/>
      <c r="CT192" s="532"/>
      <c r="CU192" s="532"/>
      <c r="CV192" s="532"/>
      <c r="CW192" s="532"/>
      <c r="CX192" s="532"/>
      <c r="CY192" s="532"/>
      <c r="CZ192" s="532"/>
      <c r="DA192" s="532"/>
      <c r="DB192" s="532"/>
      <c r="DC192" s="532"/>
      <c r="DD192" s="532"/>
      <c r="DE192" s="532"/>
      <c r="DF192" s="532"/>
      <c r="DG192" s="532"/>
      <c r="DH192" s="532"/>
      <c r="DI192" s="532"/>
      <c r="DJ192" s="532"/>
      <c r="DK192" s="532"/>
      <c r="DL192" s="532"/>
      <c r="DM192" s="532"/>
      <c r="DN192" s="532"/>
      <c r="DO192" s="532"/>
      <c r="DP192" s="532"/>
      <c r="DQ192" s="532"/>
      <c r="DR192" s="532"/>
      <c r="DS192" s="532"/>
      <c r="DT192" s="532"/>
      <c r="DU192" s="532"/>
      <c r="DV192" s="532"/>
      <c r="DW192" s="532"/>
      <c r="DX192" s="532"/>
      <c r="DY192" s="532"/>
      <c r="DZ192" s="532"/>
      <c r="EA192" s="532"/>
      <c r="EB192" s="532"/>
      <c r="EC192" s="532"/>
      <c r="ED192" s="532"/>
      <c r="EE192" s="532"/>
      <c r="EF192" s="532"/>
      <c r="EG192" s="532"/>
      <c r="EH192" s="532"/>
      <c r="EI192" s="532"/>
      <c r="EJ192" s="532"/>
      <c r="EK192" s="532"/>
      <c r="EL192" s="532"/>
      <c r="EM192" s="532"/>
      <c r="EN192" s="532"/>
      <c r="EO192" s="532"/>
      <c r="EP192" s="532"/>
      <c r="EQ192" s="532"/>
      <c r="ER192" s="532"/>
      <c r="ES192" s="532"/>
      <c r="ET192" s="532"/>
      <c r="EU192" s="532"/>
      <c r="EV192" s="532"/>
      <c r="EW192" s="532"/>
      <c r="EX192" s="532"/>
      <c r="EY192" s="532"/>
      <c r="EZ192" s="532"/>
      <c r="FA192" s="532"/>
      <c r="FB192" s="532"/>
      <c r="FC192" s="532"/>
      <c r="FD192" s="532"/>
      <c r="FE192" s="532"/>
      <c r="FF192" s="532"/>
      <c r="FG192" s="532"/>
      <c r="FH192" s="532"/>
      <c r="FI192" s="532"/>
      <c r="FJ192" s="532"/>
      <c r="FK192" s="532"/>
      <c r="FL192" s="532"/>
      <c r="FM192" s="532"/>
      <c r="FN192" s="532"/>
      <c r="FO192" s="532"/>
      <c r="FP192" s="532"/>
    </row>
    <row r="193" spans="1:172" ht="12" customHeight="1" x14ac:dyDescent="0.2">
      <c r="A193" s="537" t="s">
        <v>123</v>
      </c>
      <c r="B193" s="534"/>
      <c r="C193" s="545">
        <f t="shared" si="115"/>
        <v>17.666666666666668</v>
      </c>
      <c r="D193" s="545">
        <f t="shared" si="115"/>
        <v>17.833333333333332</v>
      </c>
      <c r="E193" s="545">
        <f t="shared" si="115"/>
        <v>12.727272727272727</v>
      </c>
      <c r="F193" s="545">
        <f t="shared" si="115"/>
        <v>17.5</v>
      </c>
      <c r="G193" s="545">
        <f t="shared" si="115"/>
        <v>15.555555555555555</v>
      </c>
      <c r="H193" s="545">
        <f t="shared" si="115"/>
        <v>17.09090909090909</v>
      </c>
      <c r="I193" s="545">
        <f t="shared" si="115"/>
        <v>24.4</v>
      </c>
      <c r="J193" s="545">
        <f t="shared" si="115"/>
        <v>19</v>
      </c>
      <c r="K193" s="661">
        <f t="shared" si="115"/>
        <v>15.888888888888889</v>
      </c>
      <c r="L193" s="565">
        <f t="shared" si="115"/>
        <v>19.071428571428573</v>
      </c>
      <c r="M193" s="565">
        <f t="shared" si="115"/>
        <v>29.571428571428573</v>
      </c>
      <c r="N193" s="565">
        <f t="shared" si="115"/>
        <v>21.9</v>
      </c>
      <c r="O193" s="546">
        <f t="shared" si="115"/>
        <v>18.542056074766354</v>
      </c>
      <c r="P193" s="531"/>
      <c r="Q193" s="531"/>
      <c r="R193" s="531"/>
      <c r="S193" s="531"/>
      <c r="T193" s="531"/>
      <c r="U193" s="531"/>
      <c r="V193" s="531"/>
      <c r="W193" s="531"/>
      <c r="X193" s="531"/>
      <c r="Y193" s="531"/>
      <c r="Z193" s="531"/>
      <c r="AA193" s="531"/>
      <c r="AB193" s="531"/>
      <c r="AC193" s="531"/>
      <c r="AD193" s="531"/>
      <c r="AE193" s="531"/>
      <c r="AF193" s="531"/>
      <c r="AG193" s="531"/>
      <c r="AH193" s="532"/>
      <c r="AI193" s="532"/>
      <c r="AJ193" s="532"/>
      <c r="AK193" s="532"/>
      <c r="AL193" s="532"/>
      <c r="AM193" s="532"/>
      <c r="AN193" s="532"/>
      <c r="AO193" s="532"/>
      <c r="AP193" s="532"/>
      <c r="AQ193" s="532"/>
      <c r="AR193" s="532"/>
      <c r="AS193" s="532"/>
      <c r="AT193" s="532"/>
      <c r="AU193" s="532"/>
      <c r="AV193" s="532"/>
      <c r="AW193" s="532"/>
      <c r="AX193" s="532"/>
      <c r="AY193" s="532"/>
      <c r="AZ193" s="532"/>
      <c r="BA193" s="532"/>
      <c r="BB193" s="532"/>
      <c r="BC193" s="532"/>
      <c r="BD193" s="532"/>
      <c r="BE193" s="532"/>
      <c r="BF193" s="532"/>
      <c r="BG193" s="532"/>
      <c r="BH193" s="532"/>
      <c r="BI193" s="532"/>
      <c r="BJ193" s="532"/>
      <c r="BK193" s="532"/>
      <c r="BL193" s="532"/>
      <c r="BM193" s="532"/>
      <c r="BN193" s="532"/>
      <c r="BO193" s="532"/>
      <c r="BP193" s="532"/>
      <c r="BQ193" s="532"/>
      <c r="BR193" s="532"/>
      <c r="BS193" s="532"/>
      <c r="BT193" s="532"/>
      <c r="BU193" s="532"/>
      <c r="BV193" s="532"/>
      <c r="BW193" s="532"/>
      <c r="BX193" s="532"/>
      <c r="BY193" s="532"/>
      <c r="BZ193" s="532"/>
      <c r="CA193" s="532"/>
      <c r="CB193" s="532"/>
      <c r="CC193" s="532"/>
      <c r="CD193" s="532"/>
      <c r="CE193" s="532"/>
      <c r="CF193" s="532"/>
      <c r="CG193" s="532"/>
      <c r="CH193" s="532"/>
      <c r="CI193" s="532"/>
      <c r="CJ193" s="532"/>
      <c r="CK193" s="532"/>
      <c r="CL193" s="532"/>
      <c r="CM193" s="532"/>
      <c r="CN193" s="532"/>
      <c r="CO193" s="532"/>
      <c r="CP193" s="532"/>
      <c r="CQ193" s="532"/>
      <c r="CR193" s="532"/>
      <c r="CS193" s="532"/>
      <c r="CT193" s="532"/>
      <c r="CU193" s="532"/>
      <c r="CV193" s="532"/>
      <c r="CW193" s="532"/>
      <c r="CX193" s="532"/>
      <c r="CY193" s="532"/>
      <c r="CZ193" s="532"/>
      <c r="DA193" s="532"/>
      <c r="DB193" s="532"/>
      <c r="DC193" s="532"/>
      <c r="DD193" s="532"/>
      <c r="DE193" s="532"/>
      <c r="DF193" s="532"/>
      <c r="DG193" s="532"/>
      <c r="DH193" s="532"/>
      <c r="DI193" s="532"/>
      <c r="DJ193" s="532"/>
      <c r="DK193" s="532"/>
      <c r="DL193" s="532"/>
      <c r="DM193" s="532"/>
      <c r="DN193" s="532"/>
      <c r="DO193" s="532"/>
      <c r="DP193" s="532"/>
      <c r="DQ193" s="532"/>
      <c r="DR193" s="532"/>
      <c r="DS193" s="532"/>
      <c r="DT193" s="532"/>
      <c r="DU193" s="532"/>
      <c r="DV193" s="532"/>
      <c r="DW193" s="532"/>
      <c r="DX193" s="532"/>
      <c r="DY193" s="532"/>
      <c r="DZ193" s="532"/>
      <c r="EA193" s="532"/>
      <c r="EB193" s="532"/>
      <c r="EC193" s="532"/>
      <c r="ED193" s="532"/>
      <c r="EE193" s="532"/>
      <c r="EF193" s="532"/>
      <c r="EG193" s="532"/>
      <c r="EH193" s="532"/>
      <c r="EI193" s="532"/>
      <c r="EJ193" s="532"/>
      <c r="EK193" s="532"/>
      <c r="EL193" s="532"/>
      <c r="EM193" s="532"/>
      <c r="EN193" s="532"/>
      <c r="EO193" s="532"/>
      <c r="EP193" s="532"/>
      <c r="EQ193" s="532"/>
      <c r="ER193" s="532"/>
      <c r="ES193" s="532"/>
      <c r="ET193" s="532"/>
      <c r="EU193" s="532"/>
      <c r="EV193" s="532"/>
      <c r="EW193" s="532"/>
      <c r="EX193" s="532"/>
      <c r="EY193" s="532"/>
      <c r="EZ193" s="532"/>
      <c r="FA193" s="532"/>
      <c r="FB193" s="532"/>
      <c r="FC193" s="532"/>
      <c r="FD193" s="532"/>
      <c r="FE193" s="532"/>
      <c r="FF193" s="532"/>
      <c r="FG193" s="532"/>
      <c r="FH193" s="532"/>
      <c r="FI193" s="532"/>
      <c r="FJ193" s="532"/>
      <c r="FK193" s="532"/>
      <c r="FL193" s="532"/>
      <c r="FM193" s="532"/>
      <c r="FN193" s="532"/>
      <c r="FO193" s="532"/>
      <c r="FP193" s="532"/>
    </row>
    <row r="194" spans="1:172" ht="12" customHeight="1" x14ac:dyDescent="0.2">
      <c r="A194" s="534" t="s">
        <v>77</v>
      </c>
      <c r="B194" s="534"/>
      <c r="C194" s="545">
        <f t="shared" si="115"/>
        <v>6.125</v>
      </c>
      <c r="D194" s="545">
        <f t="shared" si="115"/>
        <v>6.5853658536585362</v>
      </c>
      <c r="E194" s="545">
        <f t="shared" si="115"/>
        <v>4.6610169491525424</v>
      </c>
      <c r="F194" s="545">
        <f t="shared" si="115"/>
        <v>5.1481481481481479</v>
      </c>
      <c r="G194" s="545">
        <f t="shared" si="115"/>
        <v>6.5</v>
      </c>
      <c r="H194" s="545">
        <f t="shared" si="115"/>
        <v>6.3230769230769228</v>
      </c>
      <c r="I194" s="545">
        <f t="shared" si="115"/>
        <v>5.2307692307692308</v>
      </c>
      <c r="J194" s="545">
        <f t="shared" si="115"/>
        <v>6.5116279069767442</v>
      </c>
      <c r="K194" s="661">
        <f t="shared" si="115"/>
        <v>6.2407407407407405</v>
      </c>
      <c r="L194" s="565">
        <f t="shared" si="115"/>
        <v>6.5074626865671643</v>
      </c>
      <c r="M194" s="565">
        <f t="shared" si="115"/>
        <v>6.7777777777777777</v>
      </c>
      <c r="N194" s="565">
        <f t="shared" si="115"/>
        <v>6.4576271186440675</v>
      </c>
      <c r="O194" s="546">
        <f t="shared" si="115"/>
        <v>6.0854961832061072</v>
      </c>
      <c r="P194" s="531"/>
      <c r="Q194" s="531"/>
      <c r="R194" s="531"/>
      <c r="S194" s="531"/>
      <c r="T194" s="531"/>
      <c r="U194" s="531"/>
      <c r="V194" s="531"/>
      <c r="W194" s="531"/>
      <c r="X194" s="531"/>
      <c r="Y194" s="531"/>
      <c r="Z194" s="531"/>
      <c r="AA194" s="531"/>
      <c r="AB194" s="531"/>
      <c r="AC194" s="531"/>
      <c r="AD194" s="531"/>
      <c r="AE194" s="531"/>
      <c r="AF194" s="531"/>
      <c r="AG194" s="531"/>
      <c r="AH194" s="532"/>
      <c r="AI194" s="532"/>
      <c r="AJ194" s="532"/>
      <c r="AK194" s="532"/>
      <c r="AL194" s="532"/>
      <c r="AM194" s="532"/>
      <c r="AN194" s="532"/>
      <c r="AO194" s="532"/>
      <c r="AP194" s="532"/>
      <c r="AQ194" s="532"/>
      <c r="AR194" s="532"/>
      <c r="AS194" s="532"/>
      <c r="AT194" s="532"/>
      <c r="AU194" s="532"/>
      <c r="AV194" s="532"/>
      <c r="AW194" s="532"/>
      <c r="AX194" s="532"/>
      <c r="AY194" s="532"/>
      <c r="AZ194" s="532"/>
      <c r="BA194" s="532"/>
      <c r="BB194" s="532"/>
      <c r="BC194" s="532"/>
      <c r="BD194" s="532"/>
      <c r="BE194" s="532"/>
      <c r="BF194" s="532"/>
      <c r="BG194" s="532"/>
      <c r="BH194" s="532"/>
      <c r="BI194" s="532"/>
      <c r="BJ194" s="532"/>
      <c r="BK194" s="532"/>
      <c r="BL194" s="532"/>
      <c r="BM194" s="532"/>
      <c r="BN194" s="532"/>
      <c r="BO194" s="532"/>
      <c r="BP194" s="532"/>
      <c r="BQ194" s="532"/>
      <c r="BR194" s="532"/>
      <c r="BS194" s="532"/>
      <c r="BT194" s="532"/>
      <c r="BU194" s="532"/>
      <c r="BV194" s="532"/>
      <c r="BW194" s="532"/>
      <c r="BX194" s="532"/>
      <c r="BY194" s="532"/>
      <c r="BZ194" s="532"/>
      <c r="CA194" s="532"/>
      <c r="CB194" s="532"/>
      <c r="CC194" s="532"/>
      <c r="CD194" s="532"/>
      <c r="CE194" s="532"/>
      <c r="CF194" s="532"/>
      <c r="CG194" s="532"/>
      <c r="CH194" s="532"/>
      <c r="CI194" s="532"/>
      <c r="CJ194" s="532"/>
      <c r="CK194" s="532"/>
      <c r="CL194" s="532"/>
      <c r="CM194" s="532"/>
      <c r="CN194" s="532"/>
      <c r="CO194" s="532"/>
      <c r="CP194" s="532"/>
      <c r="CQ194" s="532"/>
      <c r="CR194" s="532"/>
      <c r="CS194" s="532"/>
      <c r="CT194" s="532"/>
      <c r="CU194" s="532"/>
      <c r="CV194" s="532"/>
      <c r="CW194" s="532"/>
      <c r="CX194" s="532"/>
      <c r="CY194" s="532"/>
      <c r="CZ194" s="532"/>
      <c r="DA194" s="532"/>
      <c r="DB194" s="532"/>
      <c r="DC194" s="532"/>
      <c r="DD194" s="532"/>
      <c r="DE194" s="532"/>
      <c r="DF194" s="532"/>
      <c r="DG194" s="532"/>
      <c r="DH194" s="532"/>
      <c r="DI194" s="532"/>
      <c r="DJ194" s="532"/>
      <c r="DK194" s="532"/>
      <c r="DL194" s="532"/>
      <c r="DM194" s="532"/>
      <c r="DN194" s="532"/>
      <c r="DO194" s="532"/>
      <c r="DP194" s="532"/>
      <c r="DQ194" s="532"/>
      <c r="DR194" s="532"/>
      <c r="DS194" s="532"/>
      <c r="DT194" s="532"/>
      <c r="DU194" s="532"/>
      <c r="DV194" s="532"/>
      <c r="DW194" s="532"/>
      <c r="DX194" s="532"/>
      <c r="DY194" s="532"/>
      <c r="DZ194" s="532"/>
      <c r="EA194" s="532"/>
      <c r="EB194" s="532"/>
      <c r="EC194" s="532"/>
      <c r="ED194" s="532"/>
      <c r="EE194" s="532"/>
      <c r="EF194" s="532"/>
      <c r="EG194" s="532"/>
      <c r="EH194" s="532"/>
      <c r="EI194" s="532"/>
      <c r="EJ194" s="532"/>
      <c r="EK194" s="532"/>
      <c r="EL194" s="532"/>
      <c r="EM194" s="532"/>
      <c r="EN194" s="532"/>
      <c r="EO194" s="532"/>
      <c r="EP194" s="532"/>
      <c r="EQ194" s="532"/>
      <c r="ER194" s="532"/>
      <c r="ES194" s="532"/>
      <c r="ET194" s="532"/>
      <c r="EU194" s="532"/>
      <c r="EV194" s="532"/>
      <c r="EW194" s="532"/>
      <c r="EX194" s="532"/>
      <c r="EY194" s="532"/>
      <c r="EZ194" s="532"/>
      <c r="FA194" s="532"/>
      <c r="FB194" s="532"/>
      <c r="FC194" s="532"/>
      <c r="FD194" s="532"/>
      <c r="FE194" s="532"/>
      <c r="FF194" s="532"/>
      <c r="FG194" s="532"/>
      <c r="FH194" s="532"/>
      <c r="FI194" s="532"/>
      <c r="FJ194" s="532"/>
      <c r="FK194" s="532"/>
      <c r="FL194" s="532"/>
      <c r="FM194" s="532"/>
      <c r="FN194" s="532"/>
      <c r="FO194" s="532"/>
      <c r="FP194" s="532"/>
    </row>
    <row r="195" spans="1:172" ht="12" customHeight="1" x14ac:dyDescent="0.2">
      <c r="A195" s="534"/>
      <c r="B195" s="534"/>
      <c r="C195" s="534"/>
      <c r="D195" s="534"/>
      <c r="E195" s="534"/>
      <c r="F195" s="534"/>
      <c r="G195" s="534"/>
      <c r="H195" s="534"/>
      <c r="I195" s="534"/>
      <c r="J195" s="534"/>
      <c r="K195" s="658"/>
      <c r="L195" s="562"/>
      <c r="M195" s="562"/>
      <c r="N195" s="562"/>
      <c r="O195" s="530"/>
      <c r="P195" s="531"/>
      <c r="Q195" s="531"/>
      <c r="R195" s="531"/>
      <c r="S195" s="531"/>
      <c r="T195" s="531"/>
      <c r="U195" s="531"/>
      <c r="V195" s="531"/>
      <c r="W195" s="531"/>
      <c r="X195" s="531"/>
      <c r="Y195" s="531"/>
      <c r="Z195" s="531"/>
      <c r="AA195" s="531"/>
      <c r="AB195" s="531"/>
      <c r="AC195" s="531"/>
      <c r="AD195" s="531"/>
      <c r="AE195" s="531"/>
      <c r="AF195" s="531"/>
      <c r="AG195" s="531"/>
      <c r="AH195" s="532"/>
      <c r="AI195" s="532"/>
      <c r="AJ195" s="532"/>
      <c r="AK195" s="532"/>
      <c r="AL195" s="532"/>
      <c r="AM195" s="532"/>
      <c r="AN195" s="532"/>
      <c r="AO195" s="532"/>
      <c r="AP195" s="532"/>
      <c r="AQ195" s="532"/>
      <c r="AR195" s="532"/>
      <c r="AS195" s="532"/>
      <c r="AT195" s="532"/>
      <c r="AU195" s="532"/>
      <c r="AV195" s="532"/>
      <c r="AW195" s="532"/>
      <c r="AX195" s="532"/>
      <c r="AY195" s="532"/>
      <c r="AZ195" s="532"/>
      <c r="BA195" s="532"/>
      <c r="BB195" s="532"/>
      <c r="BC195" s="532"/>
      <c r="BD195" s="532"/>
      <c r="BE195" s="532"/>
      <c r="BF195" s="532"/>
      <c r="BG195" s="532"/>
      <c r="BH195" s="532"/>
      <c r="BI195" s="532"/>
      <c r="BJ195" s="532"/>
      <c r="BK195" s="532"/>
      <c r="BL195" s="532"/>
      <c r="BM195" s="532"/>
      <c r="BN195" s="532"/>
      <c r="BO195" s="532"/>
      <c r="BP195" s="532"/>
      <c r="BQ195" s="532"/>
      <c r="BR195" s="532"/>
      <c r="BS195" s="532"/>
      <c r="BT195" s="532"/>
      <c r="BU195" s="532"/>
      <c r="BV195" s="532"/>
      <c r="BW195" s="532"/>
      <c r="BX195" s="532"/>
      <c r="BY195" s="532"/>
      <c r="BZ195" s="532"/>
      <c r="CA195" s="532"/>
      <c r="CB195" s="532"/>
      <c r="CC195" s="532"/>
      <c r="CD195" s="532"/>
      <c r="CE195" s="532"/>
      <c r="CF195" s="532"/>
      <c r="CG195" s="532"/>
      <c r="CH195" s="532"/>
      <c r="CI195" s="532"/>
      <c r="CJ195" s="532"/>
      <c r="CK195" s="532"/>
      <c r="CL195" s="532"/>
      <c r="CM195" s="532"/>
      <c r="CN195" s="532"/>
      <c r="CO195" s="532"/>
      <c r="CP195" s="532"/>
      <c r="CQ195" s="532"/>
      <c r="CR195" s="532"/>
      <c r="CS195" s="532"/>
      <c r="CT195" s="532"/>
      <c r="CU195" s="532"/>
      <c r="CV195" s="532"/>
      <c r="CW195" s="532"/>
      <c r="CX195" s="532"/>
      <c r="CY195" s="532"/>
      <c r="CZ195" s="532"/>
      <c r="DA195" s="532"/>
      <c r="DB195" s="532"/>
      <c r="DC195" s="532"/>
      <c r="DD195" s="532"/>
      <c r="DE195" s="532"/>
      <c r="DF195" s="532"/>
      <c r="DG195" s="532"/>
      <c r="DH195" s="532"/>
      <c r="DI195" s="532"/>
      <c r="DJ195" s="532"/>
      <c r="DK195" s="532"/>
      <c r="DL195" s="532"/>
      <c r="DM195" s="532"/>
      <c r="DN195" s="532"/>
      <c r="DO195" s="532"/>
      <c r="DP195" s="532"/>
      <c r="DQ195" s="532"/>
      <c r="DR195" s="532"/>
      <c r="DS195" s="532"/>
      <c r="DT195" s="532"/>
      <c r="DU195" s="532"/>
      <c r="DV195" s="532"/>
      <c r="DW195" s="532"/>
      <c r="DX195" s="532"/>
      <c r="DY195" s="532"/>
      <c r="DZ195" s="532"/>
      <c r="EA195" s="532"/>
      <c r="EB195" s="532"/>
      <c r="EC195" s="532"/>
      <c r="ED195" s="532"/>
      <c r="EE195" s="532"/>
      <c r="EF195" s="532"/>
      <c r="EG195" s="532"/>
      <c r="EH195" s="532"/>
      <c r="EI195" s="532"/>
      <c r="EJ195" s="532"/>
      <c r="EK195" s="532"/>
      <c r="EL195" s="532"/>
      <c r="EM195" s="532"/>
      <c r="EN195" s="532"/>
      <c r="EO195" s="532"/>
      <c r="EP195" s="532"/>
      <c r="EQ195" s="532"/>
      <c r="ER195" s="532"/>
      <c r="ES195" s="532"/>
      <c r="ET195" s="532"/>
      <c r="EU195" s="532"/>
      <c r="EV195" s="532"/>
      <c r="EW195" s="532"/>
      <c r="EX195" s="532"/>
      <c r="EY195" s="532"/>
      <c r="EZ195" s="532"/>
      <c r="FA195" s="532"/>
      <c r="FB195" s="532"/>
      <c r="FC195" s="532"/>
      <c r="FD195" s="532"/>
      <c r="FE195" s="532"/>
      <c r="FF195" s="532"/>
      <c r="FG195" s="532"/>
      <c r="FH195" s="532"/>
      <c r="FI195" s="532"/>
      <c r="FJ195" s="532"/>
      <c r="FK195" s="532"/>
      <c r="FL195" s="532"/>
      <c r="FM195" s="532"/>
      <c r="FN195" s="532"/>
      <c r="FO195" s="532"/>
      <c r="FP195" s="532"/>
    </row>
    <row r="196" spans="1:172" ht="12" customHeight="1" x14ac:dyDescent="0.2">
      <c r="A196" s="534" t="s">
        <v>124</v>
      </c>
      <c r="B196" s="534"/>
      <c r="C196" s="547">
        <f>C118/31</f>
        <v>4.354838709677419</v>
      </c>
      <c r="D196" s="547">
        <f>D118/30</f>
        <v>5.4333333333333336</v>
      </c>
      <c r="E196" s="547">
        <f>E118/31</f>
        <v>4.354838709677419</v>
      </c>
      <c r="F196" s="547">
        <f t="shared" ref="F196:J198" si="116">F118/31</f>
        <v>4.4516129032258061</v>
      </c>
      <c r="G196" s="547">
        <f>G118/29</f>
        <v>6.3793103448275863</v>
      </c>
      <c r="H196" s="547">
        <f t="shared" si="116"/>
        <v>7.193548387096774</v>
      </c>
      <c r="I196" s="547">
        <f>I118/30</f>
        <v>5</v>
      </c>
      <c r="J196" s="547">
        <f t="shared" si="116"/>
        <v>4.129032258064516</v>
      </c>
      <c r="K196" s="662">
        <f>K118/30</f>
        <v>6.4666666666666668</v>
      </c>
      <c r="L196" s="566">
        <f>L118/31</f>
        <v>5.4516129032258061</v>
      </c>
      <c r="M196" s="566">
        <f t="shared" ref="M196:M198" si="117">M118/31</f>
        <v>7.096774193548387</v>
      </c>
      <c r="N196" s="566">
        <f>N118/30</f>
        <v>5.4</v>
      </c>
      <c r="O196" s="548">
        <f>O118/365</f>
        <v>5.484931506849315</v>
      </c>
      <c r="P196" s="531"/>
      <c r="Q196" s="531"/>
      <c r="R196" s="531"/>
      <c r="S196" s="531"/>
      <c r="T196" s="531"/>
      <c r="U196" s="531"/>
      <c r="V196" s="531"/>
      <c r="W196" s="531"/>
      <c r="X196" s="531"/>
      <c r="Y196" s="531"/>
      <c r="Z196" s="531"/>
      <c r="AA196" s="531"/>
      <c r="AB196" s="531"/>
      <c r="AC196" s="531"/>
      <c r="AD196" s="531"/>
      <c r="AE196" s="531"/>
      <c r="AF196" s="531"/>
      <c r="AG196" s="531"/>
      <c r="AH196" s="532"/>
      <c r="AI196" s="532"/>
      <c r="AJ196" s="532"/>
      <c r="AK196" s="532"/>
      <c r="AL196" s="532"/>
      <c r="AM196" s="532"/>
      <c r="AN196" s="532"/>
      <c r="AO196" s="532"/>
      <c r="AP196" s="532"/>
      <c r="AQ196" s="532"/>
      <c r="AR196" s="532"/>
      <c r="AS196" s="532"/>
      <c r="AT196" s="532"/>
      <c r="AU196" s="532"/>
      <c r="AV196" s="532"/>
      <c r="AW196" s="532"/>
      <c r="AX196" s="532"/>
      <c r="AY196" s="532"/>
      <c r="AZ196" s="532"/>
      <c r="BA196" s="532"/>
      <c r="BB196" s="532"/>
      <c r="BC196" s="532"/>
      <c r="BD196" s="532"/>
      <c r="BE196" s="532"/>
      <c r="BF196" s="532"/>
      <c r="BG196" s="532"/>
      <c r="BH196" s="532"/>
      <c r="BI196" s="532"/>
      <c r="BJ196" s="532"/>
      <c r="BK196" s="532"/>
      <c r="BL196" s="532"/>
      <c r="BM196" s="532"/>
      <c r="BN196" s="532"/>
      <c r="BO196" s="532"/>
      <c r="BP196" s="532"/>
      <c r="BQ196" s="532"/>
      <c r="BR196" s="532"/>
      <c r="BS196" s="532"/>
      <c r="BT196" s="532"/>
      <c r="BU196" s="532"/>
      <c r="BV196" s="532"/>
      <c r="BW196" s="532"/>
      <c r="BX196" s="532"/>
      <c r="BY196" s="532"/>
      <c r="BZ196" s="532"/>
      <c r="CA196" s="532"/>
      <c r="CB196" s="532"/>
      <c r="CC196" s="532"/>
      <c r="CD196" s="532"/>
      <c r="CE196" s="532"/>
      <c r="CF196" s="532"/>
      <c r="CG196" s="532"/>
      <c r="CH196" s="532"/>
      <c r="CI196" s="532"/>
      <c r="CJ196" s="532"/>
      <c r="CK196" s="532"/>
      <c r="CL196" s="532"/>
      <c r="CM196" s="532"/>
      <c r="CN196" s="532"/>
      <c r="CO196" s="532"/>
      <c r="CP196" s="532"/>
      <c r="CQ196" s="532"/>
      <c r="CR196" s="532"/>
      <c r="CS196" s="532"/>
      <c r="CT196" s="532"/>
      <c r="CU196" s="532"/>
      <c r="CV196" s="532"/>
      <c r="CW196" s="532"/>
      <c r="CX196" s="532"/>
      <c r="CY196" s="532"/>
      <c r="CZ196" s="532"/>
      <c r="DA196" s="532"/>
      <c r="DB196" s="532"/>
      <c r="DC196" s="532"/>
      <c r="DD196" s="532"/>
      <c r="DE196" s="532"/>
      <c r="DF196" s="532"/>
      <c r="DG196" s="532"/>
      <c r="DH196" s="532"/>
      <c r="DI196" s="532"/>
      <c r="DJ196" s="532"/>
      <c r="DK196" s="532"/>
      <c r="DL196" s="532"/>
      <c r="DM196" s="532"/>
      <c r="DN196" s="532"/>
      <c r="DO196" s="532"/>
      <c r="DP196" s="532"/>
      <c r="DQ196" s="532"/>
      <c r="DR196" s="532"/>
      <c r="DS196" s="532"/>
      <c r="DT196" s="532"/>
      <c r="DU196" s="532"/>
      <c r="DV196" s="532"/>
      <c r="DW196" s="532"/>
      <c r="DX196" s="532"/>
      <c r="DY196" s="532"/>
      <c r="DZ196" s="532"/>
      <c r="EA196" s="532"/>
      <c r="EB196" s="532"/>
      <c r="EC196" s="532"/>
      <c r="ED196" s="532"/>
      <c r="EE196" s="532"/>
      <c r="EF196" s="532"/>
      <c r="EG196" s="532"/>
      <c r="EH196" s="532"/>
      <c r="EI196" s="532"/>
      <c r="EJ196" s="532"/>
      <c r="EK196" s="532"/>
      <c r="EL196" s="532"/>
      <c r="EM196" s="532"/>
      <c r="EN196" s="532"/>
      <c r="EO196" s="532"/>
      <c r="EP196" s="532"/>
      <c r="EQ196" s="532"/>
      <c r="ER196" s="532"/>
      <c r="ES196" s="532"/>
      <c r="ET196" s="532"/>
      <c r="EU196" s="532"/>
      <c r="EV196" s="532"/>
      <c r="EW196" s="532"/>
      <c r="EX196" s="532"/>
      <c r="EY196" s="532"/>
      <c r="EZ196" s="532"/>
      <c r="FA196" s="532"/>
      <c r="FB196" s="532"/>
      <c r="FC196" s="532"/>
      <c r="FD196" s="532"/>
      <c r="FE196" s="532"/>
      <c r="FF196" s="532"/>
      <c r="FG196" s="532"/>
      <c r="FH196" s="532"/>
      <c r="FI196" s="532"/>
      <c r="FJ196" s="532"/>
      <c r="FK196" s="532"/>
      <c r="FL196" s="532"/>
      <c r="FM196" s="532"/>
      <c r="FN196" s="532"/>
      <c r="FO196" s="532"/>
      <c r="FP196" s="532"/>
    </row>
    <row r="197" spans="1:172" ht="12" customHeight="1" x14ac:dyDescent="0.2">
      <c r="A197" s="534" t="s">
        <v>125</v>
      </c>
      <c r="B197" s="534"/>
      <c r="C197" s="547">
        <f>C119/31</f>
        <v>5.129032258064516</v>
      </c>
      <c r="D197" s="547">
        <f>D119/30</f>
        <v>3.5666666666666669</v>
      </c>
      <c r="E197" s="547">
        <f>E119/31</f>
        <v>4.5161290322580649</v>
      </c>
      <c r="F197" s="547">
        <f t="shared" si="116"/>
        <v>4.5161290322580649</v>
      </c>
      <c r="G197" s="547">
        <f>G119/29</f>
        <v>4.8275862068965516</v>
      </c>
      <c r="H197" s="547">
        <f t="shared" si="116"/>
        <v>6.064516129032258</v>
      </c>
      <c r="I197" s="547">
        <f>I119/30</f>
        <v>4.0666666666666664</v>
      </c>
      <c r="J197" s="547">
        <f t="shared" si="116"/>
        <v>4.903225806451613</v>
      </c>
      <c r="K197" s="662">
        <f>K119/30</f>
        <v>4.7666666666666666</v>
      </c>
      <c r="L197" s="566">
        <f>L119/31</f>
        <v>8.612903225806452</v>
      </c>
      <c r="M197" s="566">
        <f t="shared" si="117"/>
        <v>6.67741935483871</v>
      </c>
      <c r="N197" s="566">
        <f>N119/30</f>
        <v>7.3</v>
      </c>
      <c r="O197" s="548">
        <f>O119/365</f>
        <v>5.4356164383561643</v>
      </c>
      <c r="P197" s="531"/>
      <c r="Q197" s="531"/>
      <c r="R197" s="531"/>
      <c r="S197" s="531"/>
      <c r="T197" s="531"/>
      <c r="U197" s="531"/>
      <c r="V197" s="531"/>
      <c r="W197" s="531"/>
      <c r="X197" s="531"/>
      <c r="Y197" s="531"/>
      <c r="Z197" s="531"/>
      <c r="AA197" s="531"/>
      <c r="AB197" s="531"/>
      <c r="AC197" s="531"/>
      <c r="AD197" s="531"/>
      <c r="AE197" s="531"/>
      <c r="AF197" s="531"/>
      <c r="AG197" s="531"/>
      <c r="AH197" s="532"/>
      <c r="AI197" s="532"/>
      <c r="AJ197" s="532"/>
      <c r="AK197" s="532"/>
      <c r="AL197" s="532"/>
      <c r="AM197" s="532"/>
      <c r="AN197" s="532"/>
      <c r="AO197" s="532"/>
      <c r="AP197" s="532"/>
      <c r="AQ197" s="532"/>
      <c r="AR197" s="532"/>
      <c r="AS197" s="532"/>
      <c r="AT197" s="532"/>
      <c r="AU197" s="532"/>
      <c r="AV197" s="532"/>
      <c r="AW197" s="532"/>
      <c r="AX197" s="532"/>
      <c r="AY197" s="532"/>
      <c r="AZ197" s="532"/>
      <c r="BA197" s="532"/>
      <c r="BB197" s="532"/>
      <c r="BC197" s="532"/>
      <c r="BD197" s="532"/>
      <c r="BE197" s="532"/>
      <c r="BF197" s="532"/>
      <c r="BG197" s="532"/>
      <c r="BH197" s="532"/>
      <c r="BI197" s="532"/>
      <c r="BJ197" s="532"/>
      <c r="BK197" s="532"/>
      <c r="BL197" s="532"/>
      <c r="BM197" s="532"/>
      <c r="BN197" s="532"/>
      <c r="BO197" s="532"/>
      <c r="BP197" s="532"/>
      <c r="BQ197" s="532"/>
      <c r="BR197" s="532"/>
      <c r="BS197" s="532"/>
      <c r="BT197" s="532"/>
      <c r="BU197" s="532"/>
      <c r="BV197" s="532"/>
      <c r="BW197" s="532"/>
      <c r="BX197" s="532"/>
      <c r="BY197" s="532"/>
      <c r="BZ197" s="532"/>
      <c r="CA197" s="532"/>
      <c r="CB197" s="532"/>
      <c r="CC197" s="532"/>
      <c r="CD197" s="532"/>
      <c r="CE197" s="532"/>
      <c r="CF197" s="532"/>
      <c r="CG197" s="532"/>
      <c r="CH197" s="532"/>
      <c r="CI197" s="532"/>
      <c r="CJ197" s="532"/>
      <c r="CK197" s="532"/>
      <c r="CL197" s="532"/>
      <c r="CM197" s="532"/>
      <c r="CN197" s="532"/>
      <c r="CO197" s="532"/>
      <c r="CP197" s="532"/>
      <c r="CQ197" s="532"/>
      <c r="CR197" s="532"/>
      <c r="CS197" s="532"/>
      <c r="CT197" s="532"/>
      <c r="CU197" s="532"/>
      <c r="CV197" s="532"/>
      <c r="CW197" s="532"/>
      <c r="CX197" s="532"/>
      <c r="CY197" s="532"/>
      <c r="CZ197" s="532"/>
      <c r="DA197" s="532"/>
      <c r="DB197" s="532"/>
      <c r="DC197" s="532"/>
      <c r="DD197" s="532"/>
      <c r="DE197" s="532"/>
      <c r="DF197" s="532"/>
      <c r="DG197" s="532"/>
      <c r="DH197" s="532"/>
      <c r="DI197" s="532"/>
      <c r="DJ197" s="532"/>
      <c r="DK197" s="532"/>
      <c r="DL197" s="532"/>
      <c r="DM197" s="532"/>
      <c r="DN197" s="532"/>
      <c r="DO197" s="532"/>
      <c r="DP197" s="532"/>
      <c r="DQ197" s="532"/>
      <c r="DR197" s="532"/>
      <c r="DS197" s="532"/>
      <c r="DT197" s="532"/>
      <c r="DU197" s="532"/>
      <c r="DV197" s="532"/>
      <c r="DW197" s="532"/>
      <c r="DX197" s="532"/>
      <c r="DY197" s="532"/>
      <c r="DZ197" s="532"/>
      <c r="EA197" s="532"/>
      <c r="EB197" s="532"/>
      <c r="EC197" s="532"/>
      <c r="ED197" s="532"/>
      <c r="EE197" s="532"/>
      <c r="EF197" s="532"/>
      <c r="EG197" s="532"/>
      <c r="EH197" s="532"/>
      <c r="EI197" s="532"/>
      <c r="EJ197" s="532"/>
      <c r="EK197" s="532"/>
      <c r="EL197" s="532"/>
      <c r="EM197" s="532"/>
      <c r="EN197" s="532"/>
      <c r="EO197" s="532"/>
      <c r="EP197" s="532"/>
      <c r="EQ197" s="532"/>
      <c r="ER197" s="532"/>
      <c r="ES197" s="532"/>
      <c r="ET197" s="532"/>
      <c r="EU197" s="532"/>
      <c r="EV197" s="532"/>
      <c r="EW197" s="532"/>
      <c r="EX197" s="532"/>
      <c r="EY197" s="532"/>
      <c r="EZ197" s="532"/>
      <c r="FA197" s="532"/>
      <c r="FB197" s="532"/>
      <c r="FC197" s="532"/>
      <c r="FD197" s="532"/>
      <c r="FE197" s="532"/>
      <c r="FF197" s="532"/>
      <c r="FG197" s="532"/>
      <c r="FH197" s="532"/>
      <c r="FI197" s="532"/>
      <c r="FJ197" s="532"/>
      <c r="FK197" s="532"/>
      <c r="FL197" s="532"/>
      <c r="FM197" s="532"/>
      <c r="FN197" s="532"/>
      <c r="FO197" s="532"/>
      <c r="FP197" s="532"/>
    </row>
    <row r="198" spans="1:172" ht="12" customHeight="1" x14ac:dyDescent="0.2">
      <c r="A198" s="534" t="s">
        <v>126</v>
      </c>
      <c r="B198" s="534"/>
      <c r="C198" s="547">
        <f>C120/31</f>
        <v>9.4838709677419359</v>
      </c>
      <c r="D198" s="547">
        <f>D120/30</f>
        <v>9</v>
      </c>
      <c r="E198" s="547">
        <f>E120/31</f>
        <v>8.870967741935484</v>
      </c>
      <c r="F198" s="547">
        <f t="shared" si="116"/>
        <v>8.9677419354838701</v>
      </c>
      <c r="G198" s="547">
        <f>G120/29</f>
        <v>11.206896551724139</v>
      </c>
      <c r="H198" s="547">
        <f t="shared" si="116"/>
        <v>13.258064516129032</v>
      </c>
      <c r="I198" s="547">
        <f>I120/30</f>
        <v>9.0666666666666664</v>
      </c>
      <c r="J198" s="547">
        <f t="shared" si="116"/>
        <v>9.0322580645161299</v>
      </c>
      <c r="K198" s="662">
        <f>K120/30</f>
        <v>11.233333333333333</v>
      </c>
      <c r="L198" s="566">
        <f>L120/31</f>
        <v>14.064516129032258</v>
      </c>
      <c r="M198" s="566">
        <f t="shared" si="117"/>
        <v>13.774193548387096</v>
      </c>
      <c r="N198" s="566">
        <f>N120/30</f>
        <v>12.7</v>
      </c>
      <c r="O198" s="548">
        <f>O120/365</f>
        <v>10.920547945205479</v>
      </c>
      <c r="P198" s="531"/>
      <c r="Q198" s="531"/>
      <c r="R198" s="531"/>
      <c r="S198" s="531"/>
      <c r="T198" s="531"/>
      <c r="U198" s="531"/>
      <c r="V198" s="531"/>
      <c r="W198" s="531"/>
      <c r="X198" s="531"/>
      <c r="Y198" s="531"/>
      <c r="Z198" s="531"/>
      <c r="AA198" s="531"/>
      <c r="AB198" s="531"/>
      <c r="AC198" s="531"/>
      <c r="AD198" s="531"/>
      <c r="AE198" s="531"/>
      <c r="AF198" s="531"/>
      <c r="AG198" s="531"/>
      <c r="AH198" s="532"/>
      <c r="AI198" s="532"/>
      <c r="AJ198" s="532"/>
      <c r="AK198" s="532"/>
      <c r="AL198" s="532"/>
      <c r="AM198" s="532"/>
      <c r="AN198" s="532"/>
      <c r="AO198" s="532"/>
      <c r="AP198" s="532"/>
      <c r="AQ198" s="532"/>
      <c r="AR198" s="532"/>
      <c r="AS198" s="532"/>
      <c r="AT198" s="532"/>
      <c r="AU198" s="532"/>
      <c r="AV198" s="532"/>
      <c r="AW198" s="532"/>
      <c r="AX198" s="532"/>
      <c r="AY198" s="532"/>
      <c r="AZ198" s="532"/>
      <c r="BA198" s="532"/>
      <c r="BB198" s="532"/>
      <c r="BC198" s="532"/>
      <c r="BD198" s="532"/>
      <c r="BE198" s="532"/>
      <c r="BF198" s="532"/>
      <c r="BG198" s="532"/>
      <c r="BH198" s="532"/>
      <c r="BI198" s="532"/>
      <c r="BJ198" s="532"/>
      <c r="BK198" s="532"/>
      <c r="BL198" s="532"/>
      <c r="BM198" s="532"/>
      <c r="BN198" s="532"/>
      <c r="BO198" s="532"/>
      <c r="BP198" s="532"/>
      <c r="BQ198" s="532"/>
      <c r="BR198" s="532"/>
      <c r="BS198" s="532"/>
      <c r="BT198" s="532"/>
      <c r="BU198" s="532"/>
      <c r="BV198" s="532"/>
      <c r="BW198" s="532"/>
      <c r="BX198" s="532"/>
      <c r="BY198" s="532"/>
      <c r="BZ198" s="532"/>
      <c r="CA198" s="532"/>
      <c r="CB198" s="532"/>
      <c r="CC198" s="532"/>
      <c r="CD198" s="532"/>
      <c r="CE198" s="532"/>
      <c r="CF198" s="532"/>
      <c r="CG198" s="532"/>
      <c r="CH198" s="532"/>
      <c r="CI198" s="532"/>
      <c r="CJ198" s="532"/>
      <c r="CK198" s="532"/>
      <c r="CL198" s="532"/>
      <c r="CM198" s="532"/>
      <c r="CN198" s="532"/>
      <c r="CO198" s="532"/>
      <c r="CP198" s="532"/>
      <c r="CQ198" s="532"/>
      <c r="CR198" s="532"/>
      <c r="CS198" s="532"/>
      <c r="CT198" s="532"/>
      <c r="CU198" s="532"/>
      <c r="CV198" s="532"/>
      <c r="CW198" s="532"/>
      <c r="CX198" s="532"/>
      <c r="CY198" s="532"/>
      <c r="CZ198" s="532"/>
      <c r="DA198" s="532"/>
      <c r="DB198" s="532"/>
      <c r="DC198" s="532"/>
      <c r="DD198" s="532"/>
      <c r="DE198" s="532"/>
      <c r="DF198" s="532"/>
      <c r="DG198" s="532"/>
      <c r="DH198" s="532"/>
      <c r="DI198" s="532"/>
      <c r="DJ198" s="532"/>
      <c r="DK198" s="532"/>
      <c r="DL198" s="532"/>
      <c r="DM198" s="532"/>
      <c r="DN198" s="532"/>
      <c r="DO198" s="532"/>
      <c r="DP198" s="532"/>
      <c r="DQ198" s="532"/>
      <c r="DR198" s="532"/>
      <c r="DS198" s="532"/>
      <c r="DT198" s="532"/>
      <c r="DU198" s="532"/>
      <c r="DV198" s="532"/>
      <c r="DW198" s="532"/>
      <c r="DX198" s="532"/>
      <c r="DY198" s="532"/>
      <c r="DZ198" s="532"/>
      <c r="EA198" s="532"/>
      <c r="EB198" s="532"/>
      <c r="EC198" s="532"/>
      <c r="ED198" s="532"/>
      <c r="EE198" s="532"/>
      <c r="EF198" s="532"/>
      <c r="EG198" s="532"/>
      <c r="EH198" s="532"/>
      <c r="EI198" s="532"/>
      <c r="EJ198" s="532"/>
      <c r="EK198" s="532"/>
      <c r="EL198" s="532"/>
      <c r="EM198" s="532"/>
      <c r="EN198" s="532"/>
      <c r="EO198" s="532"/>
      <c r="EP198" s="532"/>
      <c r="EQ198" s="532"/>
      <c r="ER198" s="532"/>
      <c r="ES198" s="532"/>
      <c r="ET198" s="532"/>
      <c r="EU198" s="532"/>
      <c r="EV198" s="532"/>
      <c r="EW198" s="532"/>
      <c r="EX198" s="532"/>
      <c r="EY198" s="532"/>
      <c r="EZ198" s="532"/>
      <c r="FA198" s="532"/>
      <c r="FB198" s="532"/>
      <c r="FC198" s="532"/>
      <c r="FD198" s="532"/>
      <c r="FE198" s="532"/>
      <c r="FF198" s="532"/>
      <c r="FG198" s="532"/>
      <c r="FH198" s="532"/>
      <c r="FI198" s="532"/>
      <c r="FJ198" s="532"/>
      <c r="FK198" s="532"/>
      <c r="FL198" s="532"/>
      <c r="FM198" s="532"/>
      <c r="FN198" s="532"/>
      <c r="FO198" s="532"/>
      <c r="FP198" s="532"/>
    </row>
    <row r="199" spans="1:172" ht="12" customHeight="1" x14ac:dyDescent="0.2">
      <c r="A199" s="534"/>
      <c r="B199" s="534"/>
      <c r="C199" s="547"/>
      <c r="D199" s="547"/>
      <c r="E199" s="547"/>
      <c r="F199" s="547"/>
      <c r="G199" s="547"/>
      <c r="H199" s="547"/>
      <c r="I199" s="547"/>
      <c r="J199" s="547"/>
      <c r="K199" s="662"/>
      <c r="L199" s="566"/>
      <c r="M199" s="566"/>
      <c r="N199" s="566"/>
      <c r="O199" s="548"/>
      <c r="P199" s="531"/>
      <c r="Q199" s="531"/>
      <c r="R199" s="531"/>
      <c r="S199" s="531"/>
      <c r="T199" s="531"/>
      <c r="U199" s="531"/>
      <c r="V199" s="531"/>
      <c r="W199" s="531"/>
      <c r="X199" s="531"/>
      <c r="Y199" s="531"/>
      <c r="Z199" s="531"/>
      <c r="AA199" s="531"/>
      <c r="AB199" s="531"/>
      <c r="AC199" s="531"/>
      <c r="AD199" s="531"/>
      <c r="AE199" s="531"/>
      <c r="AF199" s="531"/>
      <c r="AG199" s="531"/>
      <c r="AH199" s="532"/>
      <c r="AI199" s="532"/>
      <c r="AJ199" s="532"/>
      <c r="AK199" s="532"/>
      <c r="AL199" s="532"/>
      <c r="AM199" s="532"/>
      <c r="AN199" s="532"/>
      <c r="AO199" s="532"/>
      <c r="AP199" s="532"/>
      <c r="AQ199" s="532"/>
      <c r="AR199" s="532"/>
      <c r="AS199" s="532"/>
      <c r="AT199" s="532"/>
      <c r="AU199" s="532"/>
      <c r="AV199" s="532"/>
      <c r="AW199" s="532"/>
      <c r="AX199" s="532"/>
      <c r="AY199" s="532"/>
      <c r="AZ199" s="532"/>
      <c r="BA199" s="532"/>
      <c r="BB199" s="532"/>
      <c r="BC199" s="532"/>
      <c r="BD199" s="532"/>
      <c r="BE199" s="532"/>
      <c r="BF199" s="532"/>
      <c r="BG199" s="532"/>
      <c r="BH199" s="532"/>
      <c r="BI199" s="532"/>
      <c r="BJ199" s="532"/>
      <c r="BK199" s="532"/>
      <c r="BL199" s="532"/>
      <c r="BM199" s="532"/>
      <c r="BN199" s="532"/>
      <c r="BO199" s="532"/>
      <c r="BP199" s="532"/>
      <c r="BQ199" s="532"/>
      <c r="BR199" s="532"/>
      <c r="BS199" s="532"/>
      <c r="BT199" s="532"/>
      <c r="BU199" s="532"/>
      <c r="BV199" s="532"/>
      <c r="BW199" s="532"/>
      <c r="BX199" s="532"/>
      <c r="BY199" s="532"/>
      <c r="BZ199" s="532"/>
      <c r="CA199" s="532"/>
      <c r="CB199" s="532"/>
      <c r="CC199" s="532"/>
      <c r="CD199" s="532"/>
      <c r="CE199" s="532"/>
      <c r="CF199" s="532"/>
      <c r="CG199" s="532"/>
      <c r="CH199" s="532"/>
      <c r="CI199" s="532"/>
      <c r="CJ199" s="532"/>
      <c r="CK199" s="532"/>
      <c r="CL199" s="532"/>
      <c r="CM199" s="532"/>
      <c r="CN199" s="532"/>
      <c r="CO199" s="532"/>
      <c r="CP199" s="532"/>
      <c r="CQ199" s="532"/>
      <c r="CR199" s="532"/>
      <c r="CS199" s="532"/>
      <c r="CT199" s="532"/>
      <c r="CU199" s="532"/>
      <c r="CV199" s="532"/>
      <c r="CW199" s="532"/>
      <c r="CX199" s="532"/>
      <c r="CY199" s="532"/>
      <c r="CZ199" s="532"/>
      <c r="DA199" s="532"/>
      <c r="DB199" s="532"/>
      <c r="DC199" s="532"/>
      <c r="DD199" s="532"/>
      <c r="DE199" s="532"/>
      <c r="DF199" s="532"/>
      <c r="DG199" s="532"/>
      <c r="DH199" s="532"/>
      <c r="DI199" s="532"/>
      <c r="DJ199" s="532"/>
      <c r="DK199" s="532"/>
      <c r="DL199" s="532"/>
      <c r="DM199" s="532"/>
      <c r="DN199" s="532"/>
      <c r="DO199" s="532"/>
      <c r="DP199" s="532"/>
      <c r="DQ199" s="532"/>
      <c r="DR199" s="532"/>
      <c r="DS199" s="532"/>
      <c r="DT199" s="532"/>
      <c r="DU199" s="532"/>
      <c r="DV199" s="532"/>
      <c r="DW199" s="532"/>
      <c r="DX199" s="532"/>
      <c r="DY199" s="532"/>
      <c r="DZ199" s="532"/>
      <c r="EA199" s="532"/>
      <c r="EB199" s="532"/>
      <c r="EC199" s="532"/>
      <c r="ED199" s="532"/>
      <c r="EE199" s="532"/>
      <c r="EF199" s="532"/>
      <c r="EG199" s="532"/>
      <c r="EH199" s="532"/>
      <c r="EI199" s="532"/>
      <c r="EJ199" s="532"/>
      <c r="EK199" s="532"/>
      <c r="EL199" s="532"/>
      <c r="EM199" s="532"/>
      <c r="EN199" s="532"/>
      <c r="EO199" s="532"/>
      <c r="EP199" s="532"/>
      <c r="EQ199" s="532"/>
      <c r="ER199" s="532"/>
      <c r="ES199" s="532"/>
      <c r="ET199" s="532"/>
      <c r="EU199" s="532"/>
      <c r="EV199" s="532"/>
      <c r="EW199" s="532"/>
      <c r="EX199" s="532"/>
      <c r="EY199" s="532"/>
      <c r="EZ199" s="532"/>
      <c r="FA199" s="532"/>
      <c r="FB199" s="532"/>
      <c r="FC199" s="532"/>
      <c r="FD199" s="532"/>
      <c r="FE199" s="532"/>
      <c r="FF199" s="532"/>
      <c r="FG199" s="532"/>
      <c r="FH199" s="532"/>
      <c r="FI199" s="532"/>
      <c r="FJ199" s="532"/>
      <c r="FK199" s="532"/>
      <c r="FL199" s="532"/>
      <c r="FM199" s="532"/>
      <c r="FN199" s="532"/>
      <c r="FO199" s="532"/>
      <c r="FP199" s="532"/>
    </row>
    <row r="200" spans="1:172" ht="12" customHeight="1" x14ac:dyDescent="0.2">
      <c r="A200" s="533" t="s">
        <v>127</v>
      </c>
      <c r="B200" s="534"/>
      <c r="C200" s="534"/>
      <c r="D200" s="534"/>
      <c r="E200" s="534"/>
      <c r="F200" s="534"/>
      <c r="G200" s="534"/>
      <c r="H200" s="534"/>
      <c r="I200" s="534"/>
      <c r="J200" s="534"/>
      <c r="K200" s="658"/>
      <c r="L200" s="562"/>
      <c r="M200" s="562"/>
      <c r="N200" s="562"/>
      <c r="O200" s="549"/>
      <c r="P200" s="531"/>
      <c r="Q200" s="531"/>
      <c r="R200" s="531"/>
      <c r="S200" s="531"/>
      <c r="T200" s="531"/>
      <c r="U200" s="531"/>
      <c r="V200" s="531"/>
      <c r="W200" s="531"/>
      <c r="X200" s="531"/>
      <c r="Y200" s="531"/>
      <c r="Z200" s="531"/>
      <c r="AA200" s="531"/>
      <c r="AB200" s="531"/>
      <c r="AC200" s="531"/>
      <c r="AD200" s="531"/>
      <c r="AE200" s="531"/>
      <c r="AF200" s="531"/>
      <c r="AG200" s="531"/>
      <c r="AH200" s="532"/>
      <c r="AI200" s="532"/>
      <c r="AJ200" s="532"/>
      <c r="AK200" s="532"/>
      <c r="AL200" s="532"/>
      <c r="AM200" s="532"/>
      <c r="AN200" s="532"/>
      <c r="AO200" s="532"/>
      <c r="AP200" s="532"/>
      <c r="AQ200" s="532"/>
      <c r="AR200" s="532"/>
      <c r="AS200" s="532"/>
      <c r="AT200" s="532"/>
      <c r="AU200" s="532"/>
      <c r="AV200" s="532"/>
      <c r="AW200" s="532"/>
      <c r="AX200" s="532"/>
      <c r="AY200" s="532"/>
      <c r="AZ200" s="532"/>
      <c r="BA200" s="532"/>
      <c r="BB200" s="532"/>
      <c r="BC200" s="532"/>
      <c r="BD200" s="532"/>
      <c r="BE200" s="532"/>
      <c r="BF200" s="532"/>
      <c r="BG200" s="532"/>
      <c r="BH200" s="532"/>
      <c r="BI200" s="532"/>
      <c r="BJ200" s="532"/>
      <c r="BK200" s="532"/>
      <c r="BL200" s="532"/>
      <c r="BM200" s="532"/>
      <c r="BN200" s="532"/>
      <c r="BO200" s="532"/>
      <c r="BP200" s="532"/>
      <c r="BQ200" s="532"/>
      <c r="BR200" s="532"/>
      <c r="BS200" s="532"/>
      <c r="BT200" s="532"/>
      <c r="BU200" s="532"/>
      <c r="BV200" s="532"/>
      <c r="BW200" s="532"/>
      <c r="BX200" s="532"/>
      <c r="BY200" s="532"/>
      <c r="BZ200" s="532"/>
      <c r="CA200" s="532"/>
      <c r="CB200" s="532"/>
      <c r="CC200" s="532"/>
      <c r="CD200" s="532"/>
      <c r="CE200" s="532"/>
      <c r="CF200" s="532"/>
      <c r="CG200" s="532"/>
      <c r="CH200" s="532"/>
      <c r="CI200" s="532"/>
      <c r="CJ200" s="532"/>
      <c r="CK200" s="532"/>
      <c r="CL200" s="532"/>
      <c r="CM200" s="532"/>
      <c r="CN200" s="532"/>
      <c r="CO200" s="532"/>
      <c r="CP200" s="532"/>
      <c r="CQ200" s="532"/>
      <c r="CR200" s="532"/>
      <c r="CS200" s="532"/>
      <c r="CT200" s="532"/>
      <c r="CU200" s="532"/>
      <c r="CV200" s="532"/>
      <c r="CW200" s="532"/>
      <c r="CX200" s="532"/>
      <c r="CY200" s="532"/>
      <c r="CZ200" s="532"/>
      <c r="DA200" s="532"/>
      <c r="DB200" s="532"/>
      <c r="DC200" s="532"/>
      <c r="DD200" s="532"/>
      <c r="DE200" s="532"/>
      <c r="DF200" s="532"/>
      <c r="DG200" s="532"/>
      <c r="DH200" s="532"/>
      <c r="DI200" s="532"/>
      <c r="DJ200" s="532"/>
      <c r="DK200" s="532"/>
      <c r="DL200" s="532"/>
      <c r="DM200" s="532"/>
      <c r="DN200" s="532"/>
      <c r="DO200" s="532"/>
      <c r="DP200" s="532"/>
      <c r="DQ200" s="532"/>
      <c r="DR200" s="532"/>
      <c r="DS200" s="532"/>
      <c r="DT200" s="532"/>
      <c r="DU200" s="532"/>
      <c r="DV200" s="532"/>
      <c r="DW200" s="532"/>
      <c r="DX200" s="532"/>
      <c r="DY200" s="532"/>
      <c r="DZ200" s="532"/>
      <c r="EA200" s="532"/>
      <c r="EB200" s="532"/>
      <c r="EC200" s="532"/>
      <c r="ED200" s="532"/>
      <c r="EE200" s="532"/>
      <c r="EF200" s="532"/>
      <c r="EG200" s="532"/>
      <c r="EH200" s="532"/>
      <c r="EI200" s="532"/>
      <c r="EJ200" s="532"/>
      <c r="EK200" s="532"/>
      <c r="EL200" s="532"/>
      <c r="EM200" s="532"/>
      <c r="EN200" s="532"/>
      <c r="EO200" s="532"/>
      <c r="EP200" s="532"/>
      <c r="EQ200" s="532"/>
      <c r="ER200" s="532"/>
      <c r="ES200" s="532"/>
      <c r="ET200" s="532"/>
      <c r="EU200" s="532"/>
      <c r="EV200" s="532"/>
      <c r="EW200" s="532"/>
      <c r="EX200" s="532"/>
      <c r="EY200" s="532"/>
      <c r="EZ200" s="532"/>
      <c r="FA200" s="532"/>
      <c r="FB200" s="532"/>
      <c r="FC200" s="532"/>
      <c r="FD200" s="532"/>
      <c r="FE200" s="532"/>
      <c r="FF200" s="532"/>
      <c r="FG200" s="532"/>
      <c r="FH200" s="532"/>
      <c r="FI200" s="532"/>
      <c r="FJ200" s="532"/>
      <c r="FK200" s="532"/>
      <c r="FL200" s="532"/>
      <c r="FM200" s="532"/>
      <c r="FN200" s="532"/>
      <c r="FO200" s="532"/>
      <c r="FP200" s="532"/>
    </row>
    <row r="201" spans="1:172" ht="12" customHeight="1" x14ac:dyDescent="0.2">
      <c r="A201" s="533" t="s">
        <v>128</v>
      </c>
      <c r="B201" s="534"/>
      <c r="C201" s="208">
        <v>159</v>
      </c>
      <c r="D201" s="208">
        <v>107</v>
      </c>
      <c r="E201" s="208">
        <v>140</v>
      </c>
      <c r="F201" s="208">
        <v>140</v>
      </c>
      <c r="G201" s="208">
        <v>140</v>
      </c>
      <c r="H201" s="208">
        <v>188</v>
      </c>
      <c r="I201" s="208">
        <v>122</v>
      </c>
      <c r="J201" s="208">
        <v>152</v>
      </c>
      <c r="K201" s="208">
        <v>143</v>
      </c>
      <c r="L201" s="562">
        <f>267-13-5</f>
        <v>249</v>
      </c>
      <c r="M201" s="562">
        <v>207</v>
      </c>
      <c r="N201" s="562">
        <v>219</v>
      </c>
      <c r="O201" s="530">
        <f>SUM(C201:N201)</f>
        <v>1966</v>
      </c>
      <c r="P201" s="531"/>
      <c r="Q201" s="531"/>
      <c r="R201" s="531"/>
      <c r="S201" s="531"/>
      <c r="T201" s="531"/>
      <c r="U201" s="531"/>
      <c r="V201" s="531"/>
      <c r="W201" s="531"/>
      <c r="X201" s="531"/>
      <c r="Y201" s="531"/>
      <c r="Z201" s="531"/>
      <c r="AA201" s="531"/>
      <c r="AB201" s="531"/>
      <c r="AC201" s="531"/>
      <c r="AD201" s="531"/>
      <c r="AE201" s="531"/>
      <c r="AF201" s="531"/>
      <c r="AG201" s="531"/>
      <c r="AH201" s="532"/>
      <c r="AI201" s="532"/>
      <c r="AJ201" s="532"/>
      <c r="AK201" s="532"/>
      <c r="AL201" s="532"/>
      <c r="AM201" s="532"/>
      <c r="AN201" s="532"/>
      <c r="AO201" s="532"/>
      <c r="AP201" s="532"/>
      <c r="AQ201" s="532"/>
      <c r="AR201" s="532"/>
      <c r="AS201" s="532"/>
      <c r="AT201" s="532"/>
      <c r="AU201" s="532"/>
      <c r="AV201" s="532"/>
      <c r="AW201" s="532"/>
      <c r="AX201" s="532"/>
      <c r="AY201" s="532"/>
      <c r="AZ201" s="532"/>
      <c r="BA201" s="532"/>
      <c r="BB201" s="532"/>
      <c r="BC201" s="532"/>
      <c r="BD201" s="532"/>
      <c r="BE201" s="532"/>
      <c r="BF201" s="532"/>
      <c r="BG201" s="532"/>
      <c r="BH201" s="532"/>
      <c r="BI201" s="532"/>
      <c r="BJ201" s="532"/>
      <c r="BK201" s="532"/>
      <c r="BL201" s="532"/>
      <c r="BM201" s="532"/>
      <c r="BN201" s="532"/>
      <c r="BO201" s="532"/>
      <c r="BP201" s="532"/>
      <c r="BQ201" s="532"/>
      <c r="BR201" s="532"/>
      <c r="BS201" s="532"/>
      <c r="BT201" s="532"/>
      <c r="BU201" s="532"/>
      <c r="BV201" s="532"/>
      <c r="BW201" s="532"/>
      <c r="BX201" s="532"/>
      <c r="BY201" s="532"/>
      <c r="BZ201" s="532"/>
      <c r="CA201" s="532"/>
      <c r="CB201" s="532"/>
      <c r="CC201" s="532"/>
      <c r="CD201" s="532"/>
      <c r="CE201" s="532"/>
      <c r="CF201" s="532"/>
      <c r="CG201" s="532"/>
      <c r="CH201" s="532"/>
      <c r="CI201" s="532"/>
      <c r="CJ201" s="532"/>
      <c r="CK201" s="532"/>
      <c r="CL201" s="532"/>
      <c r="CM201" s="532"/>
      <c r="CN201" s="532"/>
      <c r="CO201" s="532"/>
      <c r="CP201" s="532"/>
      <c r="CQ201" s="532"/>
      <c r="CR201" s="532"/>
      <c r="CS201" s="532"/>
      <c r="CT201" s="532"/>
      <c r="CU201" s="532"/>
      <c r="CV201" s="532"/>
      <c r="CW201" s="532"/>
      <c r="CX201" s="532"/>
      <c r="CY201" s="532"/>
      <c r="CZ201" s="532"/>
      <c r="DA201" s="532"/>
      <c r="DB201" s="532"/>
      <c r="DC201" s="532"/>
      <c r="DD201" s="532"/>
      <c r="DE201" s="532"/>
      <c r="DF201" s="532"/>
      <c r="DG201" s="532"/>
      <c r="DH201" s="532"/>
      <c r="DI201" s="532"/>
      <c r="DJ201" s="532"/>
      <c r="DK201" s="532"/>
      <c r="DL201" s="532"/>
      <c r="DM201" s="532"/>
      <c r="DN201" s="532"/>
      <c r="DO201" s="532"/>
      <c r="DP201" s="532"/>
      <c r="DQ201" s="532"/>
      <c r="DR201" s="532"/>
      <c r="DS201" s="532"/>
      <c r="DT201" s="532"/>
      <c r="DU201" s="532"/>
      <c r="DV201" s="532"/>
      <c r="DW201" s="532"/>
      <c r="DX201" s="532"/>
      <c r="DY201" s="532"/>
      <c r="DZ201" s="532"/>
      <c r="EA201" s="532"/>
      <c r="EB201" s="532"/>
      <c r="EC201" s="532"/>
      <c r="ED201" s="532"/>
      <c r="EE201" s="532"/>
      <c r="EF201" s="532"/>
      <c r="EG201" s="532"/>
      <c r="EH201" s="532"/>
      <c r="EI201" s="532"/>
      <c r="EJ201" s="532"/>
      <c r="EK201" s="532"/>
      <c r="EL201" s="532"/>
      <c r="EM201" s="532"/>
      <c r="EN201" s="532"/>
      <c r="EO201" s="532"/>
      <c r="EP201" s="532"/>
      <c r="EQ201" s="532"/>
      <c r="ER201" s="532"/>
      <c r="ES201" s="532"/>
      <c r="ET201" s="532"/>
      <c r="EU201" s="532"/>
      <c r="EV201" s="532"/>
      <c r="EW201" s="532"/>
      <c r="EX201" s="532"/>
      <c r="EY201" s="532"/>
      <c r="EZ201" s="532"/>
      <c r="FA201" s="532"/>
      <c r="FB201" s="532"/>
      <c r="FC201" s="532"/>
      <c r="FD201" s="532"/>
      <c r="FE201" s="532"/>
      <c r="FF201" s="532"/>
      <c r="FG201" s="532"/>
      <c r="FH201" s="532"/>
      <c r="FI201" s="532"/>
      <c r="FJ201" s="532"/>
      <c r="FK201" s="532"/>
      <c r="FL201" s="532"/>
      <c r="FM201" s="532"/>
      <c r="FN201" s="532"/>
      <c r="FO201" s="532"/>
      <c r="FP201" s="532"/>
    </row>
    <row r="202" spans="1:172" ht="12" customHeight="1" x14ac:dyDescent="0.2">
      <c r="A202" s="533" t="s">
        <v>129</v>
      </c>
      <c r="B202" s="534"/>
      <c r="C202" s="208">
        <v>0</v>
      </c>
      <c r="D202" s="208">
        <v>0</v>
      </c>
      <c r="E202" s="208">
        <v>0</v>
      </c>
      <c r="F202" s="208">
        <v>0</v>
      </c>
      <c r="G202" s="208">
        <v>0</v>
      </c>
      <c r="H202" s="208">
        <v>0</v>
      </c>
      <c r="I202" s="208">
        <v>0</v>
      </c>
      <c r="J202" s="208">
        <v>0</v>
      </c>
      <c r="K202" s="208">
        <v>0</v>
      </c>
      <c r="L202" s="562">
        <v>0</v>
      </c>
      <c r="M202" s="562">
        <v>0</v>
      </c>
      <c r="N202" s="562">
        <v>0</v>
      </c>
      <c r="O202" s="530">
        <f t="shared" ref="O202:O208" si="118">SUM(C202:N202)</f>
        <v>0</v>
      </c>
      <c r="P202" s="531"/>
      <c r="Q202" s="531"/>
      <c r="R202" s="531"/>
      <c r="S202" s="531"/>
      <c r="T202" s="531"/>
      <c r="U202" s="531"/>
      <c r="V202" s="531"/>
      <c r="W202" s="531"/>
      <c r="X202" s="531"/>
      <c r="Y202" s="531"/>
      <c r="Z202" s="531"/>
      <c r="AA202" s="531"/>
      <c r="AB202" s="531"/>
      <c r="AC202" s="531"/>
      <c r="AD202" s="531"/>
      <c r="AE202" s="531"/>
      <c r="AF202" s="531"/>
      <c r="AG202" s="531"/>
      <c r="AH202" s="532"/>
      <c r="AI202" s="532"/>
      <c r="AJ202" s="532"/>
      <c r="AK202" s="532"/>
      <c r="AL202" s="532"/>
      <c r="AM202" s="532"/>
      <c r="AN202" s="532"/>
      <c r="AO202" s="532"/>
      <c r="AP202" s="532"/>
      <c r="AQ202" s="532"/>
      <c r="AR202" s="532"/>
      <c r="AS202" s="532"/>
      <c r="AT202" s="532"/>
      <c r="AU202" s="532"/>
      <c r="AV202" s="532"/>
      <c r="AW202" s="532"/>
      <c r="AX202" s="532"/>
      <c r="AY202" s="532"/>
      <c r="AZ202" s="532"/>
      <c r="BA202" s="532"/>
      <c r="BB202" s="532"/>
      <c r="BC202" s="532"/>
      <c r="BD202" s="532"/>
      <c r="BE202" s="532"/>
      <c r="BF202" s="532"/>
      <c r="BG202" s="532"/>
      <c r="BH202" s="532"/>
      <c r="BI202" s="532"/>
      <c r="BJ202" s="532"/>
      <c r="BK202" s="532"/>
      <c r="BL202" s="532"/>
      <c r="BM202" s="532"/>
      <c r="BN202" s="532"/>
      <c r="BO202" s="532"/>
      <c r="BP202" s="532"/>
      <c r="BQ202" s="532"/>
      <c r="BR202" s="532"/>
      <c r="BS202" s="532"/>
      <c r="BT202" s="532"/>
      <c r="BU202" s="532"/>
      <c r="BV202" s="532"/>
      <c r="BW202" s="532"/>
      <c r="BX202" s="532"/>
      <c r="BY202" s="532"/>
      <c r="BZ202" s="532"/>
      <c r="CA202" s="532"/>
      <c r="CB202" s="532"/>
      <c r="CC202" s="532"/>
      <c r="CD202" s="532"/>
      <c r="CE202" s="532"/>
      <c r="CF202" s="532"/>
      <c r="CG202" s="532"/>
      <c r="CH202" s="532"/>
      <c r="CI202" s="532"/>
      <c r="CJ202" s="532"/>
      <c r="CK202" s="532"/>
      <c r="CL202" s="532"/>
      <c r="CM202" s="532"/>
      <c r="CN202" s="532"/>
      <c r="CO202" s="532"/>
      <c r="CP202" s="532"/>
      <c r="CQ202" s="532"/>
      <c r="CR202" s="532"/>
      <c r="CS202" s="532"/>
      <c r="CT202" s="532"/>
      <c r="CU202" s="532"/>
      <c r="CV202" s="532"/>
      <c r="CW202" s="532"/>
      <c r="CX202" s="532"/>
      <c r="CY202" s="532"/>
      <c r="CZ202" s="532"/>
      <c r="DA202" s="532"/>
      <c r="DB202" s="532"/>
      <c r="DC202" s="532"/>
      <c r="DD202" s="532"/>
      <c r="DE202" s="532"/>
      <c r="DF202" s="532"/>
      <c r="DG202" s="532"/>
      <c r="DH202" s="532"/>
      <c r="DI202" s="532"/>
      <c r="DJ202" s="532"/>
      <c r="DK202" s="532"/>
      <c r="DL202" s="532"/>
      <c r="DM202" s="532"/>
      <c r="DN202" s="532"/>
      <c r="DO202" s="532"/>
      <c r="DP202" s="532"/>
      <c r="DQ202" s="532"/>
      <c r="DR202" s="532"/>
      <c r="DS202" s="532"/>
      <c r="DT202" s="532"/>
      <c r="DU202" s="532"/>
      <c r="DV202" s="532"/>
      <c r="DW202" s="532"/>
      <c r="DX202" s="532"/>
      <c r="DY202" s="532"/>
      <c r="DZ202" s="532"/>
      <c r="EA202" s="532"/>
      <c r="EB202" s="532"/>
      <c r="EC202" s="532"/>
      <c r="ED202" s="532"/>
      <c r="EE202" s="532"/>
      <c r="EF202" s="532"/>
      <c r="EG202" s="532"/>
      <c r="EH202" s="532"/>
      <c r="EI202" s="532"/>
      <c r="EJ202" s="532"/>
      <c r="EK202" s="532"/>
      <c r="EL202" s="532"/>
      <c r="EM202" s="532"/>
      <c r="EN202" s="532"/>
      <c r="EO202" s="532"/>
      <c r="EP202" s="532"/>
      <c r="EQ202" s="532"/>
      <c r="ER202" s="532"/>
      <c r="ES202" s="532"/>
      <c r="ET202" s="532"/>
      <c r="EU202" s="532"/>
      <c r="EV202" s="532"/>
      <c r="EW202" s="532"/>
      <c r="EX202" s="532"/>
      <c r="EY202" s="532"/>
      <c r="EZ202" s="532"/>
      <c r="FA202" s="532"/>
      <c r="FB202" s="532"/>
      <c r="FC202" s="532"/>
      <c r="FD202" s="532"/>
      <c r="FE202" s="532"/>
      <c r="FF202" s="532"/>
      <c r="FG202" s="532"/>
      <c r="FH202" s="532"/>
      <c r="FI202" s="532"/>
      <c r="FJ202" s="532"/>
      <c r="FK202" s="532"/>
      <c r="FL202" s="532"/>
      <c r="FM202" s="532"/>
      <c r="FN202" s="532"/>
      <c r="FO202" s="532"/>
      <c r="FP202" s="532"/>
    </row>
    <row r="203" spans="1:172" ht="12" customHeight="1" x14ac:dyDescent="0.2">
      <c r="A203" s="533" t="s">
        <v>99</v>
      </c>
      <c r="B203" s="534"/>
      <c r="C203" s="208">
        <v>0</v>
      </c>
      <c r="D203" s="208">
        <v>0</v>
      </c>
      <c r="E203" s="208">
        <v>0</v>
      </c>
      <c r="F203" s="208">
        <v>0</v>
      </c>
      <c r="G203" s="208">
        <v>0</v>
      </c>
      <c r="H203" s="208">
        <v>0</v>
      </c>
      <c r="I203" s="208">
        <v>0</v>
      </c>
      <c r="J203" s="208">
        <v>0</v>
      </c>
      <c r="K203" s="208">
        <v>0</v>
      </c>
      <c r="L203" s="562">
        <v>0</v>
      </c>
      <c r="M203" s="562">
        <v>0</v>
      </c>
      <c r="N203" s="562">
        <v>0</v>
      </c>
      <c r="O203" s="530">
        <f t="shared" si="118"/>
        <v>0</v>
      </c>
      <c r="P203" s="531"/>
      <c r="Q203" s="531"/>
      <c r="R203" s="531"/>
      <c r="S203" s="531"/>
      <c r="T203" s="531"/>
      <c r="U203" s="531"/>
      <c r="V203" s="531"/>
      <c r="W203" s="531"/>
      <c r="X203" s="531"/>
      <c r="Y203" s="531"/>
      <c r="Z203" s="531"/>
      <c r="AA203" s="531"/>
      <c r="AB203" s="531"/>
      <c r="AC203" s="531"/>
      <c r="AD203" s="531"/>
      <c r="AE203" s="531"/>
      <c r="AF203" s="531"/>
      <c r="AG203" s="531"/>
      <c r="AH203" s="532"/>
      <c r="AI203" s="532"/>
      <c r="AJ203" s="532"/>
      <c r="AK203" s="532"/>
      <c r="AL203" s="532"/>
      <c r="AM203" s="532"/>
      <c r="AN203" s="532"/>
      <c r="AO203" s="532"/>
      <c r="AP203" s="532"/>
      <c r="AQ203" s="532"/>
      <c r="AR203" s="532"/>
      <c r="AS203" s="532"/>
      <c r="AT203" s="532"/>
      <c r="AU203" s="532"/>
      <c r="AV203" s="532"/>
      <c r="AW203" s="532"/>
      <c r="AX203" s="532"/>
      <c r="AY203" s="532"/>
      <c r="AZ203" s="532"/>
      <c r="BA203" s="532"/>
      <c r="BB203" s="532"/>
      <c r="BC203" s="532"/>
      <c r="BD203" s="532"/>
      <c r="BE203" s="532"/>
      <c r="BF203" s="532"/>
      <c r="BG203" s="532"/>
      <c r="BH203" s="532"/>
      <c r="BI203" s="532"/>
      <c r="BJ203" s="532"/>
      <c r="BK203" s="532"/>
      <c r="BL203" s="532"/>
      <c r="BM203" s="532"/>
      <c r="BN203" s="532"/>
      <c r="BO203" s="532"/>
      <c r="BP203" s="532"/>
      <c r="BQ203" s="532"/>
      <c r="BR203" s="532"/>
      <c r="BS203" s="532"/>
      <c r="BT203" s="532"/>
      <c r="BU203" s="532"/>
      <c r="BV203" s="532"/>
      <c r="BW203" s="532"/>
      <c r="BX203" s="532"/>
      <c r="BY203" s="532"/>
      <c r="BZ203" s="532"/>
      <c r="CA203" s="532"/>
      <c r="CB203" s="532"/>
      <c r="CC203" s="532"/>
      <c r="CD203" s="532"/>
      <c r="CE203" s="532"/>
      <c r="CF203" s="532"/>
      <c r="CG203" s="532"/>
      <c r="CH203" s="532"/>
      <c r="CI203" s="532"/>
      <c r="CJ203" s="532"/>
      <c r="CK203" s="532"/>
      <c r="CL203" s="532"/>
      <c r="CM203" s="532"/>
      <c r="CN203" s="532"/>
      <c r="CO203" s="532"/>
      <c r="CP203" s="532"/>
      <c r="CQ203" s="532"/>
      <c r="CR203" s="532"/>
      <c r="CS203" s="532"/>
      <c r="CT203" s="532"/>
      <c r="CU203" s="532"/>
      <c r="CV203" s="532"/>
      <c r="CW203" s="532"/>
      <c r="CX203" s="532"/>
      <c r="CY203" s="532"/>
      <c r="CZ203" s="532"/>
      <c r="DA203" s="532"/>
      <c r="DB203" s="532"/>
      <c r="DC203" s="532"/>
      <c r="DD203" s="532"/>
      <c r="DE203" s="532"/>
      <c r="DF203" s="532"/>
      <c r="DG203" s="532"/>
      <c r="DH203" s="532"/>
      <c r="DI203" s="532"/>
      <c r="DJ203" s="532"/>
      <c r="DK203" s="532"/>
      <c r="DL203" s="532"/>
      <c r="DM203" s="532"/>
      <c r="DN203" s="532"/>
      <c r="DO203" s="532"/>
      <c r="DP203" s="532"/>
      <c r="DQ203" s="532"/>
      <c r="DR203" s="532"/>
      <c r="DS203" s="532"/>
      <c r="DT203" s="532"/>
      <c r="DU203" s="532"/>
      <c r="DV203" s="532"/>
      <c r="DW203" s="532"/>
      <c r="DX203" s="532"/>
      <c r="DY203" s="532"/>
      <c r="DZ203" s="532"/>
      <c r="EA203" s="532"/>
      <c r="EB203" s="532"/>
      <c r="EC203" s="532"/>
      <c r="ED203" s="532"/>
      <c r="EE203" s="532"/>
      <c r="EF203" s="532"/>
      <c r="EG203" s="532"/>
      <c r="EH203" s="532"/>
      <c r="EI203" s="532"/>
      <c r="EJ203" s="532"/>
      <c r="EK203" s="532"/>
      <c r="EL203" s="532"/>
      <c r="EM203" s="532"/>
      <c r="EN203" s="532"/>
      <c r="EO203" s="532"/>
      <c r="EP203" s="532"/>
      <c r="EQ203" s="532"/>
      <c r="ER203" s="532"/>
      <c r="ES203" s="532"/>
      <c r="ET203" s="532"/>
      <c r="EU203" s="532"/>
      <c r="EV203" s="532"/>
      <c r="EW203" s="532"/>
      <c r="EX203" s="532"/>
      <c r="EY203" s="532"/>
      <c r="EZ203" s="532"/>
      <c r="FA203" s="532"/>
      <c r="FB203" s="532"/>
      <c r="FC203" s="532"/>
      <c r="FD203" s="532"/>
      <c r="FE203" s="532"/>
      <c r="FF203" s="532"/>
      <c r="FG203" s="532"/>
      <c r="FH203" s="532"/>
      <c r="FI203" s="532"/>
      <c r="FJ203" s="532"/>
      <c r="FK203" s="532"/>
      <c r="FL203" s="532"/>
      <c r="FM203" s="532"/>
      <c r="FN203" s="532"/>
      <c r="FO203" s="532"/>
      <c r="FP203" s="532"/>
    </row>
    <row r="204" spans="1:172" ht="12" customHeight="1" x14ac:dyDescent="0.2">
      <c r="A204" s="533" t="s">
        <v>109</v>
      </c>
      <c r="B204" s="534"/>
      <c r="C204" s="208">
        <v>0</v>
      </c>
      <c r="D204" s="208">
        <v>0</v>
      </c>
      <c r="E204" s="208">
        <v>0</v>
      </c>
      <c r="F204" s="208">
        <v>0</v>
      </c>
      <c r="G204" s="208">
        <v>0</v>
      </c>
      <c r="H204" s="208">
        <v>0</v>
      </c>
      <c r="I204" s="208">
        <v>0</v>
      </c>
      <c r="J204" s="208">
        <v>0</v>
      </c>
      <c r="K204" s="208">
        <v>0</v>
      </c>
      <c r="L204" s="562">
        <v>0</v>
      </c>
      <c r="M204" s="562">
        <v>0</v>
      </c>
      <c r="N204" s="562">
        <v>0</v>
      </c>
      <c r="O204" s="530">
        <f t="shared" si="118"/>
        <v>0</v>
      </c>
      <c r="P204" s="531"/>
      <c r="Q204" s="531"/>
      <c r="R204" s="531"/>
      <c r="S204" s="531"/>
      <c r="T204" s="531"/>
      <c r="U204" s="531"/>
      <c r="V204" s="531"/>
      <c r="W204" s="531"/>
      <c r="X204" s="531"/>
      <c r="Y204" s="531"/>
      <c r="Z204" s="531"/>
      <c r="AA204" s="531"/>
      <c r="AB204" s="531"/>
      <c r="AC204" s="531"/>
      <c r="AD204" s="531"/>
      <c r="AE204" s="531"/>
      <c r="AF204" s="531"/>
      <c r="AG204" s="531"/>
      <c r="AH204" s="532"/>
      <c r="AI204" s="532"/>
      <c r="AJ204" s="532"/>
      <c r="AK204" s="532"/>
      <c r="AL204" s="532"/>
      <c r="AM204" s="532"/>
      <c r="AN204" s="532"/>
      <c r="AO204" s="532"/>
      <c r="AP204" s="532"/>
      <c r="AQ204" s="532"/>
      <c r="AR204" s="532"/>
      <c r="AS204" s="532"/>
      <c r="AT204" s="532"/>
      <c r="AU204" s="532"/>
      <c r="AV204" s="532"/>
      <c r="AW204" s="532"/>
      <c r="AX204" s="532"/>
      <c r="AY204" s="532"/>
      <c r="AZ204" s="532"/>
      <c r="BA204" s="532"/>
      <c r="BB204" s="532"/>
      <c r="BC204" s="532"/>
      <c r="BD204" s="532"/>
      <c r="BE204" s="532"/>
      <c r="BF204" s="532"/>
      <c r="BG204" s="532"/>
      <c r="BH204" s="532"/>
      <c r="BI204" s="532"/>
      <c r="BJ204" s="532"/>
      <c r="BK204" s="532"/>
      <c r="BL204" s="532"/>
      <c r="BM204" s="532"/>
      <c r="BN204" s="532"/>
      <c r="BO204" s="532"/>
      <c r="BP204" s="532"/>
      <c r="BQ204" s="532"/>
      <c r="BR204" s="532"/>
      <c r="BS204" s="532"/>
      <c r="BT204" s="532"/>
      <c r="BU204" s="532"/>
      <c r="BV204" s="532"/>
      <c r="BW204" s="532"/>
      <c r="BX204" s="532"/>
      <c r="BY204" s="532"/>
      <c r="BZ204" s="532"/>
      <c r="CA204" s="532"/>
      <c r="CB204" s="532"/>
      <c r="CC204" s="532"/>
      <c r="CD204" s="532"/>
      <c r="CE204" s="532"/>
      <c r="CF204" s="532"/>
      <c r="CG204" s="532"/>
      <c r="CH204" s="532"/>
      <c r="CI204" s="532"/>
      <c r="CJ204" s="532"/>
      <c r="CK204" s="532"/>
      <c r="CL204" s="532"/>
      <c r="CM204" s="532"/>
      <c r="CN204" s="532"/>
      <c r="CO204" s="532"/>
      <c r="CP204" s="532"/>
      <c r="CQ204" s="532"/>
      <c r="CR204" s="532"/>
      <c r="CS204" s="532"/>
      <c r="CT204" s="532"/>
      <c r="CU204" s="532"/>
      <c r="CV204" s="532"/>
      <c r="CW204" s="532"/>
      <c r="CX204" s="532"/>
      <c r="CY204" s="532"/>
      <c r="CZ204" s="532"/>
      <c r="DA204" s="532"/>
      <c r="DB204" s="532"/>
      <c r="DC204" s="532"/>
      <c r="DD204" s="532"/>
      <c r="DE204" s="532"/>
      <c r="DF204" s="532"/>
      <c r="DG204" s="532"/>
      <c r="DH204" s="532"/>
      <c r="DI204" s="532"/>
      <c r="DJ204" s="532"/>
      <c r="DK204" s="532"/>
      <c r="DL204" s="532"/>
      <c r="DM204" s="532"/>
      <c r="DN204" s="532"/>
      <c r="DO204" s="532"/>
      <c r="DP204" s="532"/>
      <c r="DQ204" s="532"/>
      <c r="DR204" s="532"/>
      <c r="DS204" s="532"/>
      <c r="DT204" s="532"/>
      <c r="DU204" s="532"/>
      <c r="DV204" s="532"/>
      <c r="DW204" s="532"/>
      <c r="DX204" s="532"/>
      <c r="DY204" s="532"/>
      <c r="DZ204" s="532"/>
      <c r="EA204" s="532"/>
      <c r="EB204" s="532"/>
      <c r="EC204" s="532"/>
      <c r="ED204" s="532"/>
      <c r="EE204" s="532"/>
      <c r="EF204" s="532"/>
      <c r="EG204" s="532"/>
      <c r="EH204" s="532"/>
      <c r="EI204" s="532"/>
      <c r="EJ204" s="532"/>
      <c r="EK204" s="532"/>
      <c r="EL204" s="532"/>
      <c r="EM204" s="532"/>
      <c r="EN204" s="532"/>
      <c r="EO204" s="532"/>
      <c r="EP204" s="532"/>
      <c r="EQ204" s="532"/>
      <c r="ER204" s="532"/>
      <c r="ES204" s="532"/>
      <c r="ET204" s="532"/>
      <c r="EU204" s="532"/>
      <c r="EV204" s="532"/>
      <c r="EW204" s="532"/>
      <c r="EX204" s="532"/>
      <c r="EY204" s="532"/>
      <c r="EZ204" s="532"/>
      <c r="FA204" s="532"/>
      <c r="FB204" s="532"/>
      <c r="FC204" s="532"/>
      <c r="FD204" s="532"/>
      <c r="FE204" s="532"/>
      <c r="FF204" s="532"/>
      <c r="FG204" s="532"/>
      <c r="FH204" s="532"/>
      <c r="FI204" s="532"/>
      <c r="FJ204" s="532"/>
      <c r="FK204" s="532"/>
      <c r="FL204" s="532"/>
      <c r="FM204" s="532"/>
      <c r="FN204" s="532"/>
      <c r="FO204" s="532"/>
      <c r="FP204" s="532"/>
    </row>
    <row r="205" spans="1:172" ht="12" customHeight="1" x14ac:dyDescent="0.2">
      <c r="A205" s="533" t="s">
        <v>110</v>
      </c>
      <c r="B205" s="534"/>
      <c r="C205" s="208">
        <v>0</v>
      </c>
      <c r="D205" s="208">
        <v>0</v>
      </c>
      <c r="E205" s="208">
        <v>0</v>
      </c>
      <c r="F205" s="208">
        <v>0</v>
      </c>
      <c r="G205" s="208">
        <v>0</v>
      </c>
      <c r="H205" s="208">
        <v>0</v>
      </c>
      <c r="I205" s="208">
        <v>0</v>
      </c>
      <c r="J205" s="208">
        <v>0</v>
      </c>
      <c r="K205" s="208">
        <v>0</v>
      </c>
      <c r="L205" s="562">
        <v>0</v>
      </c>
      <c r="M205" s="562">
        <v>0</v>
      </c>
      <c r="N205" s="562">
        <v>0</v>
      </c>
      <c r="O205" s="530">
        <f t="shared" si="118"/>
        <v>0</v>
      </c>
      <c r="P205" s="531"/>
      <c r="Q205" s="531"/>
      <c r="R205" s="531"/>
      <c r="S205" s="531"/>
      <c r="T205" s="531"/>
      <c r="U205" s="531"/>
      <c r="V205" s="531"/>
      <c r="W205" s="531"/>
      <c r="X205" s="531"/>
      <c r="Y205" s="531"/>
      <c r="Z205" s="531"/>
      <c r="AA205" s="531"/>
      <c r="AB205" s="531"/>
      <c r="AC205" s="531"/>
      <c r="AD205" s="531"/>
      <c r="AE205" s="531"/>
      <c r="AF205" s="531"/>
      <c r="AG205" s="531"/>
      <c r="AH205" s="532"/>
      <c r="AI205" s="532"/>
      <c r="AJ205" s="532"/>
      <c r="AK205" s="532"/>
      <c r="AL205" s="532"/>
      <c r="AM205" s="532"/>
      <c r="AN205" s="532"/>
      <c r="AO205" s="532"/>
      <c r="AP205" s="532"/>
      <c r="AQ205" s="532"/>
      <c r="AR205" s="532"/>
      <c r="AS205" s="532"/>
      <c r="AT205" s="532"/>
      <c r="AU205" s="532"/>
      <c r="AV205" s="532"/>
      <c r="AW205" s="532"/>
      <c r="AX205" s="532"/>
      <c r="AY205" s="532"/>
      <c r="AZ205" s="532"/>
      <c r="BA205" s="532"/>
      <c r="BB205" s="532"/>
      <c r="BC205" s="532"/>
      <c r="BD205" s="532"/>
      <c r="BE205" s="532"/>
      <c r="BF205" s="532"/>
      <c r="BG205" s="532"/>
      <c r="BH205" s="532"/>
      <c r="BI205" s="532"/>
      <c r="BJ205" s="532"/>
      <c r="BK205" s="532"/>
      <c r="BL205" s="532"/>
      <c r="BM205" s="532"/>
      <c r="BN205" s="532"/>
      <c r="BO205" s="532"/>
      <c r="BP205" s="532"/>
      <c r="BQ205" s="532"/>
      <c r="BR205" s="532"/>
      <c r="BS205" s="532"/>
      <c r="BT205" s="532"/>
      <c r="BU205" s="532"/>
      <c r="BV205" s="532"/>
      <c r="BW205" s="532"/>
      <c r="BX205" s="532"/>
      <c r="BY205" s="532"/>
      <c r="BZ205" s="532"/>
      <c r="CA205" s="532"/>
      <c r="CB205" s="532"/>
      <c r="CC205" s="532"/>
      <c r="CD205" s="532"/>
      <c r="CE205" s="532"/>
      <c r="CF205" s="532"/>
      <c r="CG205" s="532"/>
      <c r="CH205" s="532"/>
      <c r="CI205" s="532"/>
      <c r="CJ205" s="532"/>
      <c r="CK205" s="532"/>
      <c r="CL205" s="532"/>
      <c r="CM205" s="532"/>
      <c r="CN205" s="532"/>
      <c r="CO205" s="532"/>
      <c r="CP205" s="532"/>
      <c r="CQ205" s="532"/>
      <c r="CR205" s="532"/>
      <c r="CS205" s="532"/>
      <c r="CT205" s="532"/>
      <c r="CU205" s="532"/>
      <c r="CV205" s="532"/>
      <c r="CW205" s="532"/>
      <c r="CX205" s="532"/>
      <c r="CY205" s="532"/>
      <c r="CZ205" s="532"/>
      <c r="DA205" s="532"/>
      <c r="DB205" s="532"/>
      <c r="DC205" s="532"/>
      <c r="DD205" s="532"/>
      <c r="DE205" s="532"/>
      <c r="DF205" s="532"/>
      <c r="DG205" s="532"/>
      <c r="DH205" s="532"/>
      <c r="DI205" s="532"/>
      <c r="DJ205" s="532"/>
      <c r="DK205" s="532"/>
      <c r="DL205" s="532"/>
      <c r="DM205" s="532"/>
      <c r="DN205" s="532"/>
      <c r="DO205" s="532"/>
      <c r="DP205" s="532"/>
      <c r="DQ205" s="532"/>
      <c r="DR205" s="532"/>
      <c r="DS205" s="532"/>
      <c r="DT205" s="532"/>
      <c r="DU205" s="532"/>
      <c r="DV205" s="532"/>
      <c r="DW205" s="532"/>
      <c r="DX205" s="532"/>
      <c r="DY205" s="532"/>
      <c r="DZ205" s="532"/>
      <c r="EA205" s="532"/>
      <c r="EB205" s="532"/>
      <c r="EC205" s="532"/>
      <c r="ED205" s="532"/>
      <c r="EE205" s="532"/>
      <c r="EF205" s="532"/>
      <c r="EG205" s="532"/>
      <c r="EH205" s="532"/>
      <c r="EI205" s="532"/>
      <c r="EJ205" s="532"/>
      <c r="EK205" s="532"/>
      <c r="EL205" s="532"/>
      <c r="EM205" s="532"/>
      <c r="EN205" s="532"/>
      <c r="EO205" s="532"/>
      <c r="EP205" s="532"/>
      <c r="EQ205" s="532"/>
      <c r="ER205" s="532"/>
      <c r="ES205" s="532"/>
      <c r="ET205" s="532"/>
      <c r="EU205" s="532"/>
      <c r="EV205" s="532"/>
      <c r="EW205" s="532"/>
      <c r="EX205" s="532"/>
      <c r="EY205" s="532"/>
      <c r="EZ205" s="532"/>
      <c r="FA205" s="532"/>
      <c r="FB205" s="532"/>
      <c r="FC205" s="532"/>
      <c r="FD205" s="532"/>
      <c r="FE205" s="532"/>
      <c r="FF205" s="532"/>
      <c r="FG205" s="532"/>
      <c r="FH205" s="532"/>
      <c r="FI205" s="532"/>
      <c r="FJ205" s="532"/>
      <c r="FK205" s="532"/>
      <c r="FL205" s="532"/>
      <c r="FM205" s="532"/>
      <c r="FN205" s="532"/>
      <c r="FO205" s="532"/>
      <c r="FP205" s="532"/>
    </row>
    <row r="206" spans="1:172" ht="12" customHeight="1" x14ac:dyDescent="0.2">
      <c r="A206" s="533" t="s">
        <v>102</v>
      </c>
      <c r="B206" s="534"/>
      <c r="C206" s="208">
        <v>0</v>
      </c>
      <c r="D206" s="208">
        <v>0</v>
      </c>
      <c r="E206" s="208">
        <v>0</v>
      </c>
      <c r="F206" s="208">
        <v>0</v>
      </c>
      <c r="G206" s="208">
        <v>0</v>
      </c>
      <c r="H206" s="208">
        <v>0</v>
      </c>
      <c r="I206" s="208">
        <v>0</v>
      </c>
      <c r="J206" s="208">
        <v>0</v>
      </c>
      <c r="K206" s="208">
        <v>0</v>
      </c>
      <c r="L206" s="562">
        <v>0</v>
      </c>
      <c r="M206" s="562">
        <v>0</v>
      </c>
      <c r="N206" s="562">
        <v>0</v>
      </c>
      <c r="O206" s="530">
        <f t="shared" si="118"/>
        <v>0</v>
      </c>
      <c r="P206" s="531"/>
      <c r="Q206" s="531"/>
      <c r="R206" s="531"/>
      <c r="S206" s="531"/>
      <c r="T206" s="531"/>
      <c r="U206" s="531"/>
      <c r="V206" s="531"/>
      <c r="W206" s="531"/>
      <c r="X206" s="531"/>
      <c r="Y206" s="531"/>
      <c r="Z206" s="531"/>
      <c r="AA206" s="531"/>
      <c r="AB206" s="531"/>
      <c r="AC206" s="531"/>
      <c r="AD206" s="531"/>
      <c r="AE206" s="531"/>
      <c r="AF206" s="531"/>
      <c r="AG206" s="531"/>
      <c r="AH206" s="532"/>
      <c r="AI206" s="532"/>
      <c r="AJ206" s="532"/>
      <c r="AK206" s="532"/>
      <c r="AL206" s="532"/>
      <c r="AM206" s="532"/>
      <c r="AN206" s="532"/>
      <c r="AO206" s="532"/>
      <c r="AP206" s="532"/>
      <c r="AQ206" s="532"/>
      <c r="AR206" s="532"/>
      <c r="AS206" s="532"/>
      <c r="AT206" s="532"/>
      <c r="AU206" s="532"/>
      <c r="AV206" s="532"/>
      <c r="AW206" s="532"/>
      <c r="AX206" s="532"/>
      <c r="AY206" s="532"/>
      <c r="AZ206" s="532"/>
      <c r="BA206" s="532"/>
      <c r="BB206" s="532"/>
      <c r="BC206" s="532"/>
      <c r="BD206" s="532"/>
      <c r="BE206" s="532"/>
      <c r="BF206" s="532"/>
      <c r="BG206" s="532"/>
      <c r="BH206" s="532"/>
      <c r="BI206" s="532"/>
      <c r="BJ206" s="532"/>
      <c r="BK206" s="532"/>
      <c r="BL206" s="532"/>
      <c r="BM206" s="532"/>
      <c r="BN206" s="532"/>
      <c r="BO206" s="532"/>
      <c r="BP206" s="532"/>
      <c r="BQ206" s="532"/>
      <c r="BR206" s="532"/>
      <c r="BS206" s="532"/>
      <c r="BT206" s="532"/>
      <c r="BU206" s="532"/>
      <c r="BV206" s="532"/>
      <c r="BW206" s="532"/>
      <c r="BX206" s="532"/>
      <c r="BY206" s="532"/>
      <c r="BZ206" s="532"/>
      <c r="CA206" s="532"/>
      <c r="CB206" s="532"/>
      <c r="CC206" s="532"/>
      <c r="CD206" s="532"/>
      <c r="CE206" s="532"/>
      <c r="CF206" s="532"/>
      <c r="CG206" s="532"/>
      <c r="CH206" s="532"/>
      <c r="CI206" s="532"/>
      <c r="CJ206" s="532"/>
      <c r="CK206" s="532"/>
      <c r="CL206" s="532"/>
      <c r="CM206" s="532"/>
      <c r="CN206" s="532"/>
      <c r="CO206" s="532"/>
      <c r="CP206" s="532"/>
      <c r="CQ206" s="532"/>
      <c r="CR206" s="532"/>
      <c r="CS206" s="532"/>
      <c r="CT206" s="532"/>
      <c r="CU206" s="532"/>
      <c r="CV206" s="532"/>
      <c r="CW206" s="532"/>
      <c r="CX206" s="532"/>
      <c r="CY206" s="532"/>
      <c r="CZ206" s="532"/>
      <c r="DA206" s="532"/>
      <c r="DB206" s="532"/>
      <c r="DC206" s="532"/>
      <c r="DD206" s="532"/>
      <c r="DE206" s="532"/>
      <c r="DF206" s="532"/>
      <c r="DG206" s="532"/>
      <c r="DH206" s="532"/>
      <c r="DI206" s="532"/>
      <c r="DJ206" s="532"/>
      <c r="DK206" s="532"/>
      <c r="DL206" s="532"/>
      <c r="DM206" s="532"/>
      <c r="DN206" s="532"/>
      <c r="DO206" s="532"/>
      <c r="DP206" s="532"/>
      <c r="DQ206" s="532"/>
      <c r="DR206" s="532"/>
      <c r="DS206" s="532"/>
      <c r="DT206" s="532"/>
      <c r="DU206" s="532"/>
      <c r="DV206" s="532"/>
      <c r="DW206" s="532"/>
      <c r="DX206" s="532"/>
      <c r="DY206" s="532"/>
      <c r="DZ206" s="532"/>
      <c r="EA206" s="532"/>
      <c r="EB206" s="532"/>
      <c r="EC206" s="532"/>
      <c r="ED206" s="532"/>
      <c r="EE206" s="532"/>
      <c r="EF206" s="532"/>
      <c r="EG206" s="532"/>
      <c r="EH206" s="532"/>
      <c r="EI206" s="532"/>
      <c r="EJ206" s="532"/>
      <c r="EK206" s="532"/>
      <c r="EL206" s="532"/>
      <c r="EM206" s="532"/>
      <c r="EN206" s="532"/>
      <c r="EO206" s="532"/>
      <c r="EP206" s="532"/>
      <c r="EQ206" s="532"/>
      <c r="ER206" s="532"/>
      <c r="ES206" s="532"/>
      <c r="ET206" s="532"/>
      <c r="EU206" s="532"/>
      <c r="EV206" s="532"/>
      <c r="EW206" s="532"/>
      <c r="EX206" s="532"/>
      <c r="EY206" s="532"/>
      <c r="EZ206" s="532"/>
      <c r="FA206" s="532"/>
      <c r="FB206" s="532"/>
      <c r="FC206" s="532"/>
      <c r="FD206" s="532"/>
      <c r="FE206" s="532"/>
      <c r="FF206" s="532"/>
      <c r="FG206" s="532"/>
      <c r="FH206" s="532"/>
      <c r="FI206" s="532"/>
      <c r="FJ206" s="532"/>
      <c r="FK206" s="532"/>
      <c r="FL206" s="532"/>
      <c r="FM206" s="532"/>
      <c r="FN206" s="532"/>
      <c r="FO206" s="532"/>
      <c r="FP206" s="532"/>
    </row>
    <row r="207" spans="1:172" ht="12" customHeight="1" x14ac:dyDescent="0.2">
      <c r="A207" s="533" t="s">
        <v>111</v>
      </c>
      <c r="B207" s="534"/>
      <c r="C207" s="208">
        <v>0</v>
      </c>
      <c r="D207" s="208">
        <v>0</v>
      </c>
      <c r="E207" s="208">
        <v>0</v>
      </c>
      <c r="F207" s="208">
        <v>0</v>
      </c>
      <c r="G207" s="208">
        <v>0</v>
      </c>
      <c r="H207" s="208">
        <v>0</v>
      </c>
      <c r="I207" s="208">
        <v>0</v>
      </c>
      <c r="J207" s="208">
        <v>0</v>
      </c>
      <c r="K207" s="208">
        <v>0</v>
      </c>
      <c r="L207" s="562">
        <v>18</v>
      </c>
      <c r="M207" s="562">
        <v>0</v>
      </c>
      <c r="N207" s="562">
        <v>0</v>
      </c>
      <c r="O207" s="530">
        <f t="shared" si="118"/>
        <v>18</v>
      </c>
      <c r="P207" s="531"/>
      <c r="Q207" s="531"/>
      <c r="R207" s="531"/>
      <c r="S207" s="531"/>
      <c r="T207" s="531"/>
      <c r="U207" s="531"/>
      <c r="V207" s="531"/>
      <c r="W207" s="531"/>
      <c r="X207" s="531"/>
      <c r="Y207" s="531"/>
      <c r="Z207" s="531"/>
      <c r="AA207" s="531"/>
      <c r="AB207" s="531"/>
      <c r="AC207" s="531"/>
      <c r="AD207" s="531"/>
      <c r="AE207" s="531"/>
      <c r="AF207" s="531"/>
      <c r="AG207" s="531"/>
      <c r="AH207" s="532"/>
      <c r="AI207" s="532"/>
      <c r="AJ207" s="532"/>
      <c r="AK207" s="532"/>
      <c r="AL207" s="532"/>
      <c r="AM207" s="532"/>
      <c r="AN207" s="532"/>
      <c r="AO207" s="532"/>
      <c r="AP207" s="532"/>
      <c r="AQ207" s="532"/>
      <c r="AR207" s="532"/>
      <c r="AS207" s="532"/>
      <c r="AT207" s="532"/>
      <c r="AU207" s="532"/>
      <c r="AV207" s="532"/>
      <c r="AW207" s="532"/>
      <c r="AX207" s="532"/>
      <c r="AY207" s="532"/>
      <c r="AZ207" s="532"/>
      <c r="BA207" s="532"/>
      <c r="BB207" s="532"/>
      <c r="BC207" s="532"/>
      <c r="BD207" s="532"/>
      <c r="BE207" s="532"/>
      <c r="BF207" s="532"/>
      <c r="BG207" s="532"/>
      <c r="BH207" s="532"/>
      <c r="BI207" s="532"/>
      <c r="BJ207" s="532"/>
      <c r="BK207" s="532"/>
      <c r="BL207" s="532"/>
      <c r="BM207" s="532"/>
      <c r="BN207" s="532"/>
      <c r="BO207" s="532"/>
      <c r="BP207" s="532"/>
      <c r="BQ207" s="532"/>
      <c r="BR207" s="532"/>
      <c r="BS207" s="532"/>
      <c r="BT207" s="532"/>
      <c r="BU207" s="532"/>
      <c r="BV207" s="532"/>
      <c r="BW207" s="532"/>
      <c r="BX207" s="532"/>
      <c r="BY207" s="532"/>
      <c r="BZ207" s="532"/>
      <c r="CA207" s="532"/>
      <c r="CB207" s="532"/>
      <c r="CC207" s="532"/>
      <c r="CD207" s="532"/>
      <c r="CE207" s="532"/>
      <c r="CF207" s="532"/>
      <c r="CG207" s="532"/>
      <c r="CH207" s="532"/>
      <c r="CI207" s="532"/>
      <c r="CJ207" s="532"/>
      <c r="CK207" s="532"/>
      <c r="CL207" s="532"/>
      <c r="CM207" s="532"/>
      <c r="CN207" s="532"/>
      <c r="CO207" s="532"/>
      <c r="CP207" s="532"/>
      <c r="CQ207" s="532"/>
      <c r="CR207" s="532"/>
      <c r="CS207" s="532"/>
      <c r="CT207" s="532"/>
      <c r="CU207" s="532"/>
      <c r="CV207" s="532"/>
      <c r="CW207" s="532"/>
      <c r="CX207" s="532"/>
      <c r="CY207" s="532"/>
      <c r="CZ207" s="532"/>
      <c r="DA207" s="532"/>
      <c r="DB207" s="532"/>
      <c r="DC207" s="532"/>
      <c r="DD207" s="532"/>
      <c r="DE207" s="532"/>
      <c r="DF207" s="532"/>
      <c r="DG207" s="532"/>
      <c r="DH207" s="532"/>
      <c r="DI207" s="532"/>
      <c r="DJ207" s="532"/>
      <c r="DK207" s="532"/>
      <c r="DL207" s="532"/>
      <c r="DM207" s="532"/>
      <c r="DN207" s="532"/>
      <c r="DO207" s="532"/>
      <c r="DP207" s="532"/>
      <c r="DQ207" s="532"/>
      <c r="DR207" s="532"/>
      <c r="DS207" s="532"/>
      <c r="DT207" s="532"/>
      <c r="DU207" s="532"/>
      <c r="DV207" s="532"/>
      <c r="DW207" s="532"/>
      <c r="DX207" s="532"/>
      <c r="DY207" s="532"/>
      <c r="DZ207" s="532"/>
      <c r="EA207" s="532"/>
      <c r="EB207" s="532"/>
      <c r="EC207" s="532"/>
      <c r="ED207" s="532"/>
      <c r="EE207" s="532"/>
      <c r="EF207" s="532"/>
      <c r="EG207" s="532"/>
      <c r="EH207" s="532"/>
      <c r="EI207" s="532"/>
      <c r="EJ207" s="532"/>
      <c r="EK207" s="532"/>
      <c r="EL207" s="532"/>
      <c r="EM207" s="532"/>
      <c r="EN207" s="532"/>
      <c r="EO207" s="532"/>
      <c r="EP207" s="532"/>
      <c r="EQ207" s="532"/>
      <c r="ER207" s="532"/>
      <c r="ES207" s="532"/>
      <c r="ET207" s="532"/>
      <c r="EU207" s="532"/>
      <c r="EV207" s="532"/>
      <c r="EW207" s="532"/>
      <c r="EX207" s="532"/>
      <c r="EY207" s="532"/>
      <c r="EZ207" s="532"/>
      <c r="FA207" s="532"/>
      <c r="FB207" s="532"/>
      <c r="FC207" s="532"/>
      <c r="FD207" s="532"/>
      <c r="FE207" s="532"/>
      <c r="FF207" s="532"/>
      <c r="FG207" s="532"/>
      <c r="FH207" s="532"/>
      <c r="FI207" s="532"/>
      <c r="FJ207" s="532"/>
      <c r="FK207" s="532"/>
      <c r="FL207" s="532"/>
      <c r="FM207" s="532"/>
      <c r="FN207" s="532"/>
      <c r="FO207" s="532"/>
      <c r="FP207" s="532"/>
    </row>
    <row r="208" spans="1:172" ht="12" customHeight="1" x14ac:dyDescent="0.2">
      <c r="A208" s="537" t="s">
        <v>75</v>
      </c>
      <c r="B208" s="534"/>
      <c r="C208" s="208">
        <f t="shared" ref="C208:N208" si="119">SUM(C201:C207)</f>
        <v>159</v>
      </c>
      <c r="D208" s="208">
        <f t="shared" si="119"/>
        <v>107</v>
      </c>
      <c r="E208" s="208">
        <f t="shared" si="119"/>
        <v>140</v>
      </c>
      <c r="F208" s="208">
        <f t="shared" si="119"/>
        <v>140</v>
      </c>
      <c r="G208" s="208">
        <f t="shared" si="119"/>
        <v>140</v>
      </c>
      <c r="H208" s="208">
        <f t="shared" si="119"/>
        <v>188</v>
      </c>
      <c r="I208" s="208">
        <f t="shared" si="119"/>
        <v>122</v>
      </c>
      <c r="J208" s="208">
        <f t="shared" si="119"/>
        <v>152</v>
      </c>
      <c r="K208" s="208">
        <f t="shared" si="119"/>
        <v>143</v>
      </c>
      <c r="L208" s="562">
        <f t="shared" si="119"/>
        <v>267</v>
      </c>
      <c r="M208" s="562">
        <f t="shared" si="119"/>
        <v>207</v>
      </c>
      <c r="N208" s="562">
        <f t="shared" si="119"/>
        <v>219</v>
      </c>
      <c r="O208" s="530">
        <f t="shared" si="118"/>
        <v>1984</v>
      </c>
      <c r="P208" s="531"/>
      <c r="Q208" s="531"/>
      <c r="R208" s="531"/>
      <c r="S208" s="531"/>
      <c r="T208" s="531"/>
      <c r="U208" s="531"/>
      <c r="V208" s="531"/>
      <c r="W208" s="531"/>
      <c r="X208" s="531"/>
      <c r="Y208" s="531"/>
      <c r="Z208" s="531"/>
      <c r="AA208" s="531"/>
      <c r="AB208" s="531"/>
      <c r="AC208" s="531"/>
      <c r="AD208" s="531"/>
      <c r="AE208" s="531"/>
      <c r="AF208" s="531"/>
      <c r="AG208" s="531"/>
      <c r="AH208" s="532"/>
      <c r="AI208" s="532"/>
      <c r="AJ208" s="532"/>
      <c r="AK208" s="532"/>
      <c r="AL208" s="532"/>
      <c r="AM208" s="532"/>
      <c r="AN208" s="532"/>
      <c r="AO208" s="532"/>
      <c r="AP208" s="532"/>
      <c r="AQ208" s="532"/>
      <c r="AR208" s="532"/>
      <c r="AS208" s="532"/>
      <c r="AT208" s="532"/>
      <c r="AU208" s="532"/>
      <c r="AV208" s="532"/>
      <c r="AW208" s="532"/>
      <c r="AX208" s="532"/>
      <c r="AY208" s="532"/>
      <c r="AZ208" s="532"/>
      <c r="BA208" s="532"/>
      <c r="BB208" s="532"/>
      <c r="BC208" s="532"/>
      <c r="BD208" s="532"/>
      <c r="BE208" s="532"/>
      <c r="BF208" s="532"/>
      <c r="BG208" s="532"/>
      <c r="BH208" s="532"/>
      <c r="BI208" s="532"/>
      <c r="BJ208" s="532"/>
      <c r="BK208" s="532"/>
      <c r="BL208" s="532"/>
      <c r="BM208" s="532"/>
      <c r="BN208" s="532"/>
      <c r="BO208" s="532"/>
      <c r="BP208" s="532"/>
      <c r="BQ208" s="532"/>
      <c r="BR208" s="532"/>
      <c r="BS208" s="532"/>
      <c r="BT208" s="532"/>
      <c r="BU208" s="532"/>
      <c r="BV208" s="532"/>
      <c r="BW208" s="532"/>
      <c r="BX208" s="532"/>
      <c r="BY208" s="532"/>
      <c r="BZ208" s="532"/>
      <c r="CA208" s="532"/>
      <c r="CB208" s="532"/>
      <c r="CC208" s="532"/>
      <c r="CD208" s="532"/>
      <c r="CE208" s="532"/>
      <c r="CF208" s="532"/>
      <c r="CG208" s="532"/>
      <c r="CH208" s="532"/>
      <c r="CI208" s="532"/>
      <c r="CJ208" s="532"/>
      <c r="CK208" s="532"/>
      <c r="CL208" s="532"/>
      <c r="CM208" s="532"/>
      <c r="CN208" s="532"/>
      <c r="CO208" s="532"/>
      <c r="CP208" s="532"/>
      <c r="CQ208" s="532"/>
      <c r="CR208" s="532"/>
      <c r="CS208" s="532"/>
      <c r="CT208" s="532"/>
      <c r="CU208" s="532"/>
      <c r="CV208" s="532"/>
      <c r="CW208" s="532"/>
      <c r="CX208" s="532"/>
      <c r="CY208" s="532"/>
      <c r="CZ208" s="532"/>
      <c r="DA208" s="532"/>
      <c r="DB208" s="532"/>
      <c r="DC208" s="532"/>
      <c r="DD208" s="532"/>
      <c r="DE208" s="532"/>
      <c r="DF208" s="532"/>
      <c r="DG208" s="532"/>
      <c r="DH208" s="532"/>
      <c r="DI208" s="532"/>
      <c r="DJ208" s="532"/>
      <c r="DK208" s="532"/>
      <c r="DL208" s="532"/>
      <c r="DM208" s="532"/>
      <c r="DN208" s="532"/>
      <c r="DO208" s="532"/>
      <c r="DP208" s="532"/>
      <c r="DQ208" s="532"/>
      <c r="DR208" s="532"/>
      <c r="DS208" s="532"/>
      <c r="DT208" s="532"/>
      <c r="DU208" s="532"/>
      <c r="DV208" s="532"/>
      <c r="DW208" s="532"/>
      <c r="DX208" s="532"/>
      <c r="DY208" s="532"/>
      <c r="DZ208" s="532"/>
      <c r="EA208" s="532"/>
      <c r="EB208" s="532"/>
      <c r="EC208" s="532"/>
      <c r="ED208" s="532"/>
      <c r="EE208" s="532"/>
      <c r="EF208" s="532"/>
      <c r="EG208" s="532"/>
      <c r="EH208" s="532"/>
      <c r="EI208" s="532"/>
      <c r="EJ208" s="532"/>
      <c r="EK208" s="532"/>
      <c r="EL208" s="532"/>
      <c r="EM208" s="532"/>
      <c r="EN208" s="532"/>
      <c r="EO208" s="532"/>
      <c r="EP208" s="532"/>
      <c r="EQ208" s="532"/>
      <c r="ER208" s="532"/>
      <c r="ES208" s="532"/>
      <c r="ET208" s="532"/>
      <c r="EU208" s="532"/>
      <c r="EV208" s="532"/>
      <c r="EW208" s="532"/>
      <c r="EX208" s="532"/>
      <c r="EY208" s="532"/>
      <c r="EZ208" s="532"/>
      <c r="FA208" s="532"/>
      <c r="FB208" s="532"/>
      <c r="FC208" s="532"/>
      <c r="FD208" s="532"/>
      <c r="FE208" s="532"/>
      <c r="FF208" s="532"/>
      <c r="FG208" s="532"/>
      <c r="FH208" s="532"/>
      <c r="FI208" s="532"/>
      <c r="FJ208" s="532"/>
      <c r="FK208" s="532"/>
      <c r="FL208" s="532"/>
      <c r="FM208" s="532"/>
      <c r="FN208" s="532"/>
      <c r="FO208" s="532"/>
      <c r="FP208" s="532"/>
    </row>
    <row r="209" spans="1:172" ht="12" customHeight="1" x14ac:dyDescent="0.2">
      <c r="A209" s="537"/>
      <c r="B209" s="534"/>
      <c r="C209" s="534"/>
      <c r="D209" s="534"/>
      <c r="E209" s="534"/>
      <c r="F209" s="534"/>
      <c r="G209" s="534"/>
      <c r="H209" s="534"/>
      <c r="I209" s="534"/>
      <c r="J209" s="534"/>
      <c r="K209" s="658"/>
      <c r="L209" s="562"/>
      <c r="M209" s="562"/>
      <c r="N209" s="562"/>
      <c r="O209" s="549"/>
      <c r="P209" s="531"/>
      <c r="Q209" s="531"/>
      <c r="R209" s="531"/>
      <c r="S209" s="531"/>
      <c r="T209" s="531"/>
      <c r="U209" s="531"/>
      <c r="V209" s="531"/>
      <c r="W209" s="531"/>
      <c r="X209" s="531"/>
      <c r="Y209" s="531"/>
      <c r="Z209" s="531"/>
      <c r="AA209" s="531"/>
      <c r="AB209" s="531"/>
      <c r="AC209" s="531"/>
      <c r="AD209" s="531"/>
      <c r="AE209" s="531"/>
      <c r="AF209" s="531"/>
      <c r="AG209" s="531"/>
      <c r="AH209" s="532"/>
      <c r="AI209" s="532"/>
      <c r="AJ209" s="532"/>
      <c r="AK209" s="532"/>
      <c r="AL209" s="532"/>
      <c r="AM209" s="532"/>
      <c r="AN209" s="532"/>
      <c r="AO209" s="532"/>
      <c r="AP209" s="532"/>
      <c r="AQ209" s="532"/>
      <c r="AR209" s="532"/>
      <c r="AS209" s="532"/>
      <c r="AT209" s="532"/>
      <c r="AU209" s="532"/>
      <c r="AV209" s="532"/>
      <c r="AW209" s="532"/>
      <c r="AX209" s="532"/>
      <c r="AY209" s="532"/>
      <c r="AZ209" s="532"/>
      <c r="BA209" s="532"/>
      <c r="BB209" s="532"/>
      <c r="BC209" s="532"/>
      <c r="BD209" s="532"/>
      <c r="BE209" s="532"/>
      <c r="BF209" s="532"/>
      <c r="BG209" s="532"/>
      <c r="BH209" s="532"/>
      <c r="BI209" s="532"/>
      <c r="BJ209" s="532"/>
      <c r="BK209" s="532"/>
      <c r="BL209" s="532"/>
      <c r="BM209" s="532"/>
      <c r="BN209" s="532"/>
      <c r="BO209" s="532"/>
      <c r="BP209" s="532"/>
      <c r="BQ209" s="532"/>
      <c r="BR209" s="532"/>
      <c r="BS209" s="532"/>
      <c r="BT209" s="532"/>
      <c r="BU209" s="532"/>
      <c r="BV209" s="532"/>
      <c r="BW209" s="532"/>
      <c r="BX209" s="532"/>
      <c r="BY209" s="532"/>
      <c r="BZ209" s="532"/>
      <c r="CA209" s="532"/>
      <c r="CB209" s="532"/>
      <c r="CC209" s="532"/>
      <c r="CD209" s="532"/>
      <c r="CE209" s="532"/>
      <c r="CF209" s="532"/>
      <c r="CG209" s="532"/>
      <c r="CH209" s="532"/>
      <c r="CI209" s="532"/>
      <c r="CJ209" s="532"/>
      <c r="CK209" s="532"/>
      <c r="CL209" s="532"/>
      <c r="CM209" s="532"/>
      <c r="CN209" s="532"/>
      <c r="CO209" s="532"/>
      <c r="CP209" s="532"/>
      <c r="CQ209" s="532"/>
      <c r="CR209" s="532"/>
      <c r="CS209" s="532"/>
      <c r="CT209" s="532"/>
      <c r="CU209" s="532"/>
      <c r="CV209" s="532"/>
      <c r="CW209" s="532"/>
      <c r="CX209" s="532"/>
      <c r="CY209" s="532"/>
      <c r="CZ209" s="532"/>
      <c r="DA209" s="532"/>
      <c r="DB209" s="532"/>
      <c r="DC209" s="532"/>
      <c r="DD209" s="532"/>
      <c r="DE209" s="532"/>
      <c r="DF209" s="532"/>
      <c r="DG209" s="532"/>
      <c r="DH209" s="532"/>
      <c r="DI209" s="532"/>
      <c r="DJ209" s="532"/>
      <c r="DK209" s="532"/>
      <c r="DL209" s="532"/>
      <c r="DM209" s="532"/>
      <c r="DN209" s="532"/>
      <c r="DO209" s="532"/>
      <c r="DP209" s="532"/>
      <c r="DQ209" s="532"/>
      <c r="DR209" s="532"/>
      <c r="DS209" s="532"/>
      <c r="DT209" s="532"/>
      <c r="DU209" s="532"/>
      <c r="DV209" s="532"/>
      <c r="DW209" s="532"/>
      <c r="DX209" s="532"/>
      <c r="DY209" s="532"/>
      <c r="DZ209" s="532"/>
      <c r="EA209" s="532"/>
      <c r="EB209" s="532"/>
      <c r="EC209" s="532"/>
      <c r="ED209" s="532"/>
      <c r="EE209" s="532"/>
      <c r="EF209" s="532"/>
      <c r="EG209" s="532"/>
      <c r="EH209" s="532"/>
      <c r="EI209" s="532"/>
      <c r="EJ209" s="532"/>
      <c r="EK209" s="532"/>
      <c r="EL209" s="532"/>
      <c r="EM209" s="532"/>
      <c r="EN209" s="532"/>
      <c r="EO209" s="532"/>
      <c r="EP209" s="532"/>
      <c r="EQ209" s="532"/>
      <c r="ER209" s="532"/>
      <c r="ES209" s="532"/>
      <c r="ET209" s="532"/>
      <c r="EU209" s="532"/>
      <c r="EV209" s="532"/>
      <c r="EW209" s="532"/>
      <c r="EX209" s="532"/>
      <c r="EY209" s="532"/>
      <c r="EZ209" s="532"/>
      <c r="FA209" s="532"/>
      <c r="FB209" s="532"/>
      <c r="FC209" s="532"/>
      <c r="FD209" s="532"/>
      <c r="FE209" s="532"/>
      <c r="FF209" s="532"/>
      <c r="FG209" s="532"/>
      <c r="FH209" s="532"/>
      <c r="FI209" s="532"/>
      <c r="FJ209" s="532"/>
      <c r="FK209" s="532"/>
      <c r="FL209" s="532"/>
      <c r="FM209" s="532"/>
      <c r="FN209" s="532"/>
      <c r="FO209" s="532"/>
      <c r="FP209" s="532"/>
    </row>
    <row r="210" spans="1:172" ht="12" customHeight="1" x14ac:dyDescent="0.2">
      <c r="A210" s="533" t="s">
        <v>130</v>
      </c>
      <c r="B210" s="534"/>
      <c r="C210" s="534"/>
      <c r="D210" s="534"/>
      <c r="E210" s="534"/>
      <c r="F210" s="534"/>
      <c r="G210" s="534"/>
      <c r="H210" s="534"/>
      <c r="I210" s="534"/>
      <c r="J210" s="534"/>
      <c r="K210" s="658"/>
      <c r="L210" s="562"/>
      <c r="M210" s="562"/>
      <c r="N210" s="562"/>
      <c r="O210" s="549"/>
      <c r="P210" s="531"/>
      <c r="Q210" s="531"/>
      <c r="R210" s="531"/>
      <c r="S210" s="531"/>
      <c r="T210" s="531"/>
      <c r="U210" s="531"/>
      <c r="V210" s="531"/>
      <c r="W210" s="531"/>
      <c r="X210" s="531"/>
      <c r="Y210" s="531"/>
      <c r="Z210" s="531"/>
      <c r="AA210" s="531"/>
      <c r="AB210" s="531"/>
      <c r="AC210" s="531"/>
      <c r="AD210" s="531"/>
      <c r="AE210" s="531"/>
      <c r="AF210" s="531"/>
      <c r="AG210" s="531"/>
      <c r="AH210" s="532"/>
      <c r="AI210" s="532"/>
      <c r="AJ210" s="532"/>
      <c r="AK210" s="532"/>
      <c r="AL210" s="532"/>
      <c r="AM210" s="532"/>
      <c r="AN210" s="532"/>
      <c r="AO210" s="532"/>
      <c r="AP210" s="532"/>
      <c r="AQ210" s="532"/>
      <c r="AR210" s="532"/>
      <c r="AS210" s="532"/>
      <c r="AT210" s="532"/>
      <c r="AU210" s="532"/>
      <c r="AV210" s="532"/>
      <c r="AW210" s="532"/>
      <c r="AX210" s="532"/>
      <c r="AY210" s="532"/>
      <c r="AZ210" s="532"/>
      <c r="BA210" s="532"/>
      <c r="BB210" s="532"/>
      <c r="BC210" s="532"/>
      <c r="BD210" s="532"/>
      <c r="BE210" s="532"/>
      <c r="BF210" s="532"/>
      <c r="BG210" s="532"/>
      <c r="BH210" s="532"/>
      <c r="BI210" s="532"/>
      <c r="BJ210" s="532"/>
      <c r="BK210" s="532"/>
      <c r="BL210" s="532"/>
      <c r="BM210" s="532"/>
      <c r="BN210" s="532"/>
      <c r="BO210" s="532"/>
      <c r="BP210" s="532"/>
      <c r="BQ210" s="532"/>
      <c r="BR210" s="532"/>
      <c r="BS210" s="532"/>
      <c r="BT210" s="532"/>
      <c r="BU210" s="532"/>
      <c r="BV210" s="532"/>
      <c r="BW210" s="532"/>
      <c r="BX210" s="532"/>
      <c r="BY210" s="532"/>
      <c r="BZ210" s="532"/>
      <c r="CA210" s="532"/>
      <c r="CB210" s="532"/>
      <c r="CC210" s="532"/>
      <c r="CD210" s="532"/>
      <c r="CE210" s="532"/>
      <c r="CF210" s="532"/>
      <c r="CG210" s="532"/>
      <c r="CH210" s="532"/>
      <c r="CI210" s="532"/>
      <c r="CJ210" s="532"/>
      <c r="CK210" s="532"/>
      <c r="CL210" s="532"/>
      <c r="CM210" s="532"/>
      <c r="CN210" s="532"/>
      <c r="CO210" s="532"/>
      <c r="CP210" s="532"/>
      <c r="CQ210" s="532"/>
      <c r="CR210" s="532"/>
      <c r="CS210" s="532"/>
      <c r="CT210" s="532"/>
      <c r="CU210" s="532"/>
      <c r="CV210" s="532"/>
      <c r="CW210" s="532"/>
      <c r="CX210" s="532"/>
      <c r="CY210" s="532"/>
      <c r="CZ210" s="532"/>
      <c r="DA210" s="532"/>
      <c r="DB210" s="532"/>
      <c r="DC210" s="532"/>
      <c r="DD210" s="532"/>
      <c r="DE210" s="532"/>
      <c r="DF210" s="532"/>
      <c r="DG210" s="532"/>
      <c r="DH210" s="532"/>
      <c r="DI210" s="532"/>
      <c r="DJ210" s="532"/>
      <c r="DK210" s="532"/>
      <c r="DL210" s="532"/>
      <c r="DM210" s="532"/>
      <c r="DN210" s="532"/>
      <c r="DO210" s="532"/>
      <c r="DP210" s="532"/>
      <c r="DQ210" s="532"/>
      <c r="DR210" s="532"/>
      <c r="DS210" s="532"/>
      <c r="DT210" s="532"/>
      <c r="DU210" s="532"/>
      <c r="DV210" s="532"/>
      <c r="DW210" s="532"/>
      <c r="DX210" s="532"/>
      <c r="DY210" s="532"/>
      <c r="DZ210" s="532"/>
      <c r="EA210" s="532"/>
      <c r="EB210" s="532"/>
      <c r="EC210" s="532"/>
      <c r="ED210" s="532"/>
      <c r="EE210" s="532"/>
      <c r="EF210" s="532"/>
      <c r="EG210" s="532"/>
      <c r="EH210" s="532"/>
      <c r="EI210" s="532"/>
      <c r="EJ210" s="532"/>
      <c r="EK210" s="532"/>
      <c r="EL210" s="532"/>
      <c r="EM210" s="532"/>
      <c r="EN210" s="532"/>
      <c r="EO210" s="532"/>
      <c r="EP210" s="532"/>
      <c r="EQ210" s="532"/>
      <c r="ER210" s="532"/>
      <c r="ES210" s="532"/>
      <c r="ET210" s="532"/>
      <c r="EU210" s="532"/>
      <c r="EV210" s="532"/>
      <c r="EW210" s="532"/>
      <c r="EX210" s="532"/>
      <c r="EY210" s="532"/>
      <c r="EZ210" s="532"/>
      <c r="FA210" s="532"/>
      <c r="FB210" s="532"/>
      <c r="FC210" s="532"/>
      <c r="FD210" s="532"/>
      <c r="FE210" s="532"/>
      <c r="FF210" s="532"/>
      <c r="FG210" s="532"/>
      <c r="FH210" s="532"/>
      <c r="FI210" s="532"/>
      <c r="FJ210" s="532"/>
      <c r="FK210" s="532"/>
      <c r="FL210" s="532"/>
      <c r="FM210" s="532"/>
      <c r="FN210" s="532"/>
      <c r="FO210" s="532"/>
      <c r="FP210" s="532"/>
    </row>
    <row r="211" spans="1:172" ht="12" customHeight="1" x14ac:dyDescent="0.2">
      <c r="A211" s="533" t="s">
        <v>131</v>
      </c>
      <c r="B211" s="534"/>
      <c r="C211" s="540">
        <f t="shared" ref="C211:O211" si="120">IF(C$208=0,0,(C201/C$208))</f>
        <v>1</v>
      </c>
      <c r="D211" s="540">
        <f t="shared" si="120"/>
        <v>1</v>
      </c>
      <c r="E211" s="540">
        <f t="shared" si="120"/>
        <v>1</v>
      </c>
      <c r="F211" s="540">
        <f t="shared" si="120"/>
        <v>1</v>
      </c>
      <c r="G211" s="540">
        <f t="shared" si="120"/>
        <v>1</v>
      </c>
      <c r="H211" s="540">
        <f t="shared" si="120"/>
        <v>1</v>
      </c>
      <c r="I211" s="540">
        <f t="shared" si="120"/>
        <v>1</v>
      </c>
      <c r="J211" s="540">
        <f t="shared" si="120"/>
        <v>1</v>
      </c>
      <c r="K211" s="660">
        <f t="shared" si="120"/>
        <v>1</v>
      </c>
      <c r="L211" s="564">
        <f t="shared" si="120"/>
        <v>0.93258426966292129</v>
      </c>
      <c r="M211" s="564">
        <f t="shared" si="120"/>
        <v>1</v>
      </c>
      <c r="N211" s="564">
        <f t="shared" si="120"/>
        <v>1</v>
      </c>
      <c r="O211" s="541">
        <f t="shared" si="120"/>
        <v>0.99092741935483875</v>
      </c>
      <c r="P211" s="550"/>
      <c r="Q211" s="531"/>
      <c r="R211" s="531"/>
      <c r="S211" s="531"/>
      <c r="T211" s="531"/>
      <c r="U211" s="531"/>
      <c r="V211" s="531"/>
      <c r="W211" s="531"/>
      <c r="X211" s="531"/>
      <c r="Y211" s="531"/>
      <c r="Z211" s="531"/>
      <c r="AA211" s="531"/>
      <c r="AB211" s="531"/>
      <c r="AC211" s="531"/>
      <c r="AD211" s="531"/>
      <c r="AE211" s="531"/>
      <c r="AF211" s="531"/>
      <c r="AG211" s="531"/>
      <c r="AH211" s="532"/>
      <c r="AI211" s="532"/>
      <c r="AJ211" s="532"/>
      <c r="AK211" s="532"/>
      <c r="AL211" s="532"/>
      <c r="AM211" s="532"/>
      <c r="AN211" s="532"/>
      <c r="AO211" s="532"/>
      <c r="AP211" s="532"/>
      <c r="AQ211" s="532"/>
      <c r="AR211" s="532"/>
      <c r="AS211" s="532"/>
      <c r="AT211" s="532"/>
      <c r="AU211" s="532"/>
      <c r="AV211" s="532"/>
      <c r="AW211" s="532"/>
      <c r="AX211" s="532"/>
      <c r="AY211" s="532"/>
      <c r="AZ211" s="532"/>
      <c r="BA211" s="532"/>
      <c r="BB211" s="532"/>
      <c r="BC211" s="532"/>
      <c r="BD211" s="532"/>
      <c r="BE211" s="532"/>
      <c r="BF211" s="532"/>
      <c r="BG211" s="532"/>
      <c r="BH211" s="532"/>
      <c r="BI211" s="532"/>
      <c r="BJ211" s="532"/>
      <c r="BK211" s="532"/>
      <c r="BL211" s="532"/>
      <c r="BM211" s="532"/>
      <c r="BN211" s="532"/>
      <c r="BO211" s="532"/>
      <c r="BP211" s="532"/>
      <c r="BQ211" s="532"/>
      <c r="BR211" s="532"/>
      <c r="BS211" s="532"/>
      <c r="BT211" s="532"/>
      <c r="BU211" s="532"/>
      <c r="BV211" s="532"/>
      <c r="BW211" s="532"/>
      <c r="BX211" s="532"/>
      <c r="BY211" s="532"/>
      <c r="BZ211" s="532"/>
      <c r="CA211" s="532"/>
      <c r="CB211" s="532"/>
      <c r="CC211" s="532"/>
      <c r="CD211" s="532"/>
      <c r="CE211" s="532"/>
      <c r="CF211" s="532"/>
      <c r="CG211" s="532"/>
      <c r="CH211" s="532"/>
      <c r="CI211" s="532"/>
      <c r="CJ211" s="532"/>
      <c r="CK211" s="532"/>
      <c r="CL211" s="532"/>
      <c r="CM211" s="532"/>
      <c r="CN211" s="532"/>
      <c r="CO211" s="532"/>
      <c r="CP211" s="532"/>
      <c r="CQ211" s="532"/>
      <c r="CR211" s="532"/>
      <c r="CS211" s="532"/>
      <c r="CT211" s="532"/>
      <c r="CU211" s="532"/>
      <c r="CV211" s="532"/>
      <c r="CW211" s="532"/>
      <c r="CX211" s="532"/>
      <c r="CY211" s="532"/>
      <c r="CZ211" s="532"/>
      <c r="DA211" s="532"/>
      <c r="DB211" s="532"/>
      <c r="DC211" s="532"/>
      <c r="DD211" s="532"/>
      <c r="DE211" s="532"/>
      <c r="DF211" s="532"/>
      <c r="DG211" s="532"/>
      <c r="DH211" s="532"/>
      <c r="DI211" s="532"/>
      <c r="DJ211" s="532"/>
      <c r="DK211" s="532"/>
      <c r="DL211" s="532"/>
      <c r="DM211" s="532"/>
      <c r="DN211" s="532"/>
      <c r="DO211" s="532"/>
      <c r="DP211" s="532"/>
      <c r="DQ211" s="532"/>
      <c r="DR211" s="532"/>
      <c r="DS211" s="532"/>
      <c r="DT211" s="532"/>
      <c r="DU211" s="532"/>
      <c r="DV211" s="532"/>
      <c r="DW211" s="532"/>
      <c r="DX211" s="532"/>
      <c r="DY211" s="532"/>
      <c r="DZ211" s="532"/>
      <c r="EA211" s="532"/>
      <c r="EB211" s="532"/>
      <c r="EC211" s="532"/>
      <c r="ED211" s="532"/>
      <c r="EE211" s="532"/>
      <c r="EF211" s="532"/>
      <c r="EG211" s="532"/>
      <c r="EH211" s="532"/>
      <c r="EI211" s="532"/>
      <c r="EJ211" s="532"/>
      <c r="EK211" s="532"/>
      <c r="EL211" s="532"/>
      <c r="EM211" s="532"/>
      <c r="EN211" s="532"/>
      <c r="EO211" s="532"/>
      <c r="EP211" s="532"/>
      <c r="EQ211" s="532"/>
      <c r="ER211" s="532"/>
      <c r="ES211" s="532"/>
      <c r="ET211" s="532"/>
      <c r="EU211" s="532"/>
      <c r="EV211" s="532"/>
      <c r="EW211" s="532"/>
      <c r="EX211" s="532"/>
      <c r="EY211" s="532"/>
      <c r="EZ211" s="532"/>
      <c r="FA211" s="532"/>
      <c r="FB211" s="532"/>
      <c r="FC211" s="532"/>
      <c r="FD211" s="532"/>
      <c r="FE211" s="532"/>
      <c r="FF211" s="532"/>
      <c r="FG211" s="532"/>
      <c r="FH211" s="532"/>
      <c r="FI211" s="532"/>
      <c r="FJ211" s="532"/>
      <c r="FK211" s="532"/>
      <c r="FL211" s="532"/>
      <c r="FM211" s="532"/>
      <c r="FN211" s="532"/>
      <c r="FO211" s="532"/>
      <c r="FP211" s="532"/>
    </row>
    <row r="212" spans="1:172" ht="12" customHeight="1" x14ac:dyDescent="0.2">
      <c r="A212" s="533" t="s">
        <v>132</v>
      </c>
      <c r="B212" s="534"/>
      <c r="C212" s="540">
        <f t="shared" ref="C212:O212" si="121">IF(C$208=0,0,(C202/C$208))</f>
        <v>0</v>
      </c>
      <c r="D212" s="540">
        <f t="shared" si="121"/>
        <v>0</v>
      </c>
      <c r="E212" s="540">
        <f t="shared" si="121"/>
        <v>0</v>
      </c>
      <c r="F212" s="540">
        <f t="shared" si="121"/>
        <v>0</v>
      </c>
      <c r="G212" s="540">
        <f t="shared" si="121"/>
        <v>0</v>
      </c>
      <c r="H212" s="540">
        <f t="shared" si="121"/>
        <v>0</v>
      </c>
      <c r="I212" s="540">
        <f t="shared" si="121"/>
        <v>0</v>
      </c>
      <c r="J212" s="540">
        <f t="shared" si="121"/>
        <v>0</v>
      </c>
      <c r="K212" s="660">
        <f t="shared" si="121"/>
        <v>0</v>
      </c>
      <c r="L212" s="564">
        <f t="shared" si="121"/>
        <v>0</v>
      </c>
      <c r="M212" s="564">
        <f t="shared" si="121"/>
        <v>0</v>
      </c>
      <c r="N212" s="564">
        <f t="shared" si="121"/>
        <v>0</v>
      </c>
      <c r="O212" s="541">
        <f t="shared" si="121"/>
        <v>0</v>
      </c>
      <c r="P212" s="550"/>
      <c r="Q212" s="531"/>
      <c r="R212" s="531"/>
      <c r="S212" s="531"/>
      <c r="T212" s="531"/>
      <c r="U212" s="531"/>
      <c r="V212" s="531"/>
      <c r="W212" s="531"/>
      <c r="X212" s="531"/>
      <c r="Y212" s="531"/>
      <c r="Z212" s="531"/>
      <c r="AA212" s="531"/>
      <c r="AB212" s="531"/>
      <c r="AC212" s="531"/>
      <c r="AD212" s="531"/>
      <c r="AE212" s="531"/>
      <c r="AF212" s="531"/>
      <c r="AG212" s="531"/>
      <c r="AH212" s="532"/>
      <c r="AI212" s="532"/>
      <c r="AJ212" s="532"/>
      <c r="AK212" s="532"/>
      <c r="AL212" s="532"/>
      <c r="AM212" s="532"/>
      <c r="AN212" s="532"/>
      <c r="AO212" s="532"/>
      <c r="AP212" s="532"/>
      <c r="AQ212" s="532"/>
      <c r="AR212" s="532"/>
      <c r="AS212" s="532"/>
      <c r="AT212" s="532"/>
      <c r="AU212" s="532"/>
      <c r="AV212" s="532"/>
      <c r="AW212" s="532"/>
      <c r="AX212" s="532"/>
      <c r="AY212" s="532"/>
      <c r="AZ212" s="532"/>
      <c r="BA212" s="532"/>
      <c r="BB212" s="532"/>
      <c r="BC212" s="532"/>
      <c r="BD212" s="532"/>
      <c r="BE212" s="532"/>
      <c r="BF212" s="532"/>
      <c r="BG212" s="532"/>
      <c r="BH212" s="532"/>
      <c r="BI212" s="532"/>
      <c r="BJ212" s="532"/>
      <c r="BK212" s="532"/>
      <c r="BL212" s="532"/>
      <c r="BM212" s="532"/>
      <c r="BN212" s="532"/>
      <c r="BO212" s="532"/>
      <c r="BP212" s="532"/>
      <c r="BQ212" s="532"/>
      <c r="BR212" s="532"/>
      <c r="BS212" s="532"/>
      <c r="BT212" s="532"/>
      <c r="BU212" s="532"/>
      <c r="BV212" s="532"/>
      <c r="BW212" s="532"/>
      <c r="BX212" s="532"/>
      <c r="BY212" s="532"/>
      <c r="BZ212" s="532"/>
      <c r="CA212" s="532"/>
      <c r="CB212" s="532"/>
      <c r="CC212" s="532"/>
      <c r="CD212" s="532"/>
      <c r="CE212" s="532"/>
      <c r="CF212" s="532"/>
      <c r="CG212" s="532"/>
      <c r="CH212" s="532"/>
      <c r="CI212" s="532"/>
      <c r="CJ212" s="532"/>
      <c r="CK212" s="532"/>
      <c r="CL212" s="532"/>
      <c r="CM212" s="532"/>
      <c r="CN212" s="532"/>
      <c r="CO212" s="532"/>
      <c r="CP212" s="532"/>
      <c r="CQ212" s="532"/>
      <c r="CR212" s="532"/>
      <c r="CS212" s="532"/>
      <c r="CT212" s="532"/>
      <c r="CU212" s="532"/>
      <c r="CV212" s="532"/>
      <c r="CW212" s="532"/>
      <c r="CX212" s="532"/>
      <c r="CY212" s="532"/>
      <c r="CZ212" s="532"/>
      <c r="DA212" s="532"/>
      <c r="DB212" s="532"/>
      <c r="DC212" s="532"/>
      <c r="DD212" s="532"/>
      <c r="DE212" s="532"/>
      <c r="DF212" s="532"/>
      <c r="DG212" s="532"/>
      <c r="DH212" s="532"/>
      <c r="DI212" s="532"/>
      <c r="DJ212" s="532"/>
      <c r="DK212" s="532"/>
      <c r="DL212" s="532"/>
      <c r="DM212" s="532"/>
      <c r="DN212" s="532"/>
      <c r="DO212" s="532"/>
      <c r="DP212" s="532"/>
      <c r="DQ212" s="532"/>
      <c r="DR212" s="532"/>
      <c r="DS212" s="532"/>
      <c r="DT212" s="532"/>
      <c r="DU212" s="532"/>
      <c r="DV212" s="532"/>
      <c r="DW212" s="532"/>
      <c r="DX212" s="532"/>
      <c r="DY212" s="532"/>
      <c r="DZ212" s="532"/>
      <c r="EA212" s="532"/>
      <c r="EB212" s="532"/>
      <c r="EC212" s="532"/>
      <c r="ED212" s="532"/>
      <c r="EE212" s="532"/>
      <c r="EF212" s="532"/>
      <c r="EG212" s="532"/>
      <c r="EH212" s="532"/>
      <c r="EI212" s="532"/>
      <c r="EJ212" s="532"/>
      <c r="EK212" s="532"/>
      <c r="EL212" s="532"/>
      <c r="EM212" s="532"/>
      <c r="EN212" s="532"/>
      <c r="EO212" s="532"/>
      <c r="EP212" s="532"/>
      <c r="EQ212" s="532"/>
      <c r="ER212" s="532"/>
      <c r="ES212" s="532"/>
      <c r="ET212" s="532"/>
      <c r="EU212" s="532"/>
      <c r="EV212" s="532"/>
      <c r="EW212" s="532"/>
      <c r="EX212" s="532"/>
      <c r="EY212" s="532"/>
      <c r="EZ212" s="532"/>
      <c r="FA212" s="532"/>
      <c r="FB212" s="532"/>
      <c r="FC212" s="532"/>
      <c r="FD212" s="532"/>
      <c r="FE212" s="532"/>
      <c r="FF212" s="532"/>
      <c r="FG212" s="532"/>
      <c r="FH212" s="532"/>
      <c r="FI212" s="532"/>
      <c r="FJ212" s="532"/>
      <c r="FK212" s="532"/>
      <c r="FL212" s="532"/>
      <c r="FM212" s="532"/>
      <c r="FN212" s="532"/>
      <c r="FO212" s="532"/>
      <c r="FP212" s="532"/>
    </row>
    <row r="213" spans="1:172" ht="12" customHeight="1" x14ac:dyDescent="0.2">
      <c r="A213" s="533" t="s">
        <v>99</v>
      </c>
      <c r="B213" s="534"/>
      <c r="C213" s="540">
        <f t="shared" ref="C213:O213" si="122">IF(C$208=0,0,(C203/C$208))</f>
        <v>0</v>
      </c>
      <c r="D213" s="540">
        <f t="shared" si="122"/>
        <v>0</v>
      </c>
      <c r="E213" s="540">
        <f t="shared" si="122"/>
        <v>0</v>
      </c>
      <c r="F213" s="540">
        <f t="shared" si="122"/>
        <v>0</v>
      </c>
      <c r="G213" s="540">
        <f t="shared" si="122"/>
        <v>0</v>
      </c>
      <c r="H213" s="540">
        <f t="shared" si="122"/>
        <v>0</v>
      </c>
      <c r="I213" s="540">
        <f t="shared" si="122"/>
        <v>0</v>
      </c>
      <c r="J213" s="540">
        <f t="shared" si="122"/>
        <v>0</v>
      </c>
      <c r="K213" s="660">
        <f t="shared" si="122"/>
        <v>0</v>
      </c>
      <c r="L213" s="564">
        <f t="shared" si="122"/>
        <v>0</v>
      </c>
      <c r="M213" s="564">
        <f t="shared" si="122"/>
        <v>0</v>
      </c>
      <c r="N213" s="564">
        <f t="shared" si="122"/>
        <v>0</v>
      </c>
      <c r="O213" s="541">
        <f t="shared" si="122"/>
        <v>0</v>
      </c>
      <c r="P213" s="550"/>
      <c r="Q213" s="531"/>
      <c r="R213" s="531"/>
      <c r="S213" s="531"/>
      <c r="T213" s="531"/>
      <c r="U213" s="531"/>
      <c r="V213" s="531"/>
      <c r="W213" s="531"/>
      <c r="X213" s="531"/>
      <c r="Y213" s="531"/>
      <c r="Z213" s="531"/>
      <c r="AA213" s="531"/>
      <c r="AB213" s="531"/>
      <c r="AC213" s="531"/>
      <c r="AD213" s="531"/>
      <c r="AE213" s="531"/>
      <c r="AF213" s="531"/>
      <c r="AG213" s="531"/>
      <c r="AH213" s="532"/>
      <c r="AI213" s="532"/>
      <c r="AJ213" s="532"/>
      <c r="AK213" s="532"/>
      <c r="AL213" s="532"/>
      <c r="AM213" s="532"/>
      <c r="AN213" s="532"/>
      <c r="AO213" s="532"/>
      <c r="AP213" s="532"/>
      <c r="AQ213" s="532"/>
      <c r="AR213" s="532"/>
      <c r="AS213" s="532"/>
      <c r="AT213" s="532"/>
      <c r="AU213" s="532"/>
      <c r="AV213" s="532"/>
      <c r="AW213" s="532"/>
      <c r="AX213" s="532"/>
      <c r="AY213" s="532"/>
      <c r="AZ213" s="532"/>
      <c r="BA213" s="532"/>
      <c r="BB213" s="532"/>
      <c r="BC213" s="532"/>
      <c r="BD213" s="532"/>
      <c r="BE213" s="532"/>
      <c r="BF213" s="532"/>
      <c r="BG213" s="532"/>
      <c r="BH213" s="532"/>
      <c r="BI213" s="532"/>
      <c r="BJ213" s="532"/>
      <c r="BK213" s="532"/>
      <c r="BL213" s="532"/>
      <c r="BM213" s="532"/>
      <c r="BN213" s="532"/>
      <c r="BO213" s="532"/>
      <c r="BP213" s="532"/>
      <c r="BQ213" s="532"/>
      <c r="BR213" s="532"/>
      <c r="BS213" s="532"/>
      <c r="BT213" s="532"/>
      <c r="BU213" s="532"/>
      <c r="BV213" s="532"/>
      <c r="BW213" s="532"/>
      <c r="BX213" s="532"/>
      <c r="BY213" s="532"/>
      <c r="BZ213" s="532"/>
      <c r="CA213" s="532"/>
      <c r="CB213" s="532"/>
      <c r="CC213" s="532"/>
      <c r="CD213" s="532"/>
      <c r="CE213" s="532"/>
      <c r="CF213" s="532"/>
      <c r="CG213" s="532"/>
      <c r="CH213" s="532"/>
      <c r="CI213" s="532"/>
      <c r="CJ213" s="532"/>
      <c r="CK213" s="532"/>
      <c r="CL213" s="532"/>
      <c r="CM213" s="532"/>
      <c r="CN213" s="532"/>
      <c r="CO213" s="532"/>
      <c r="CP213" s="532"/>
      <c r="CQ213" s="532"/>
      <c r="CR213" s="532"/>
      <c r="CS213" s="532"/>
      <c r="CT213" s="532"/>
      <c r="CU213" s="532"/>
      <c r="CV213" s="532"/>
      <c r="CW213" s="532"/>
      <c r="CX213" s="532"/>
      <c r="CY213" s="532"/>
      <c r="CZ213" s="532"/>
      <c r="DA213" s="532"/>
      <c r="DB213" s="532"/>
      <c r="DC213" s="532"/>
      <c r="DD213" s="532"/>
      <c r="DE213" s="532"/>
      <c r="DF213" s="532"/>
      <c r="DG213" s="532"/>
      <c r="DH213" s="532"/>
      <c r="DI213" s="532"/>
      <c r="DJ213" s="532"/>
      <c r="DK213" s="532"/>
      <c r="DL213" s="532"/>
      <c r="DM213" s="532"/>
      <c r="DN213" s="532"/>
      <c r="DO213" s="532"/>
      <c r="DP213" s="532"/>
      <c r="DQ213" s="532"/>
      <c r="DR213" s="532"/>
      <c r="DS213" s="532"/>
      <c r="DT213" s="532"/>
      <c r="DU213" s="532"/>
      <c r="DV213" s="532"/>
      <c r="DW213" s="532"/>
      <c r="DX213" s="532"/>
      <c r="DY213" s="532"/>
      <c r="DZ213" s="532"/>
      <c r="EA213" s="532"/>
      <c r="EB213" s="532"/>
      <c r="EC213" s="532"/>
      <c r="ED213" s="532"/>
      <c r="EE213" s="532"/>
      <c r="EF213" s="532"/>
      <c r="EG213" s="532"/>
      <c r="EH213" s="532"/>
      <c r="EI213" s="532"/>
      <c r="EJ213" s="532"/>
      <c r="EK213" s="532"/>
      <c r="EL213" s="532"/>
      <c r="EM213" s="532"/>
      <c r="EN213" s="532"/>
      <c r="EO213" s="532"/>
      <c r="EP213" s="532"/>
      <c r="EQ213" s="532"/>
      <c r="ER213" s="532"/>
      <c r="ES213" s="532"/>
      <c r="ET213" s="532"/>
      <c r="EU213" s="532"/>
      <c r="EV213" s="532"/>
      <c r="EW213" s="532"/>
      <c r="EX213" s="532"/>
      <c r="EY213" s="532"/>
      <c r="EZ213" s="532"/>
      <c r="FA213" s="532"/>
      <c r="FB213" s="532"/>
      <c r="FC213" s="532"/>
      <c r="FD213" s="532"/>
      <c r="FE213" s="532"/>
      <c r="FF213" s="532"/>
      <c r="FG213" s="532"/>
      <c r="FH213" s="532"/>
      <c r="FI213" s="532"/>
      <c r="FJ213" s="532"/>
      <c r="FK213" s="532"/>
      <c r="FL213" s="532"/>
      <c r="FM213" s="532"/>
      <c r="FN213" s="532"/>
      <c r="FO213" s="532"/>
      <c r="FP213" s="532"/>
    </row>
    <row r="214" spans="1:172" ht="12" customHeight="1" x14ac:dyDescent="0.2">
      <c r="A214" s="533" t="s">
        <v>109</v>
      </c>
      <c r="B214" s="534"/>
      <c r="C214" s="540">
        <f t="shared" ref="C214:O214" si="123">IF(C$208=0,0,(C204/C$208))</f>
        <v>0</v>
      </c>
      <c r="D214" s="540">
        <f t="shared" si="123"/>
        <v>0</v>
      </c>
      <c r="E214" s="540">
        <f t="shared" si="123"/>
        <v>0</v>
      </c>
      <c r="F214" s="540">
        <f t="shared" si="123"/>
        <v>0</v>
      </c>
      <c r="G214" s="540">
        <f t="shared" si="123"/>
        <v>0</v>
      </c>
      <c r="H214" s="540">
        <f t="shared" si="123"/>
        <v>0</v>
      </c>
      <c r="I214" s="540">
        <f t="shared" si="123"/>
        <v>0</v>
      </c>
      <c r="J214" s="540">
        <f t="shared" si="123"/>
        <v>0</v>
      </c>
      <c r="K214" s="660">
        <f t="shared" si="123"/>
        <v>0</v>
      </c>
      <c r="L214" s="564">
        <f t="shared" si="123"/>
        <v>0</v>
      </c>
      <c r="M214" s="564">
        <f t="shared" si="123"/>
        <v>0</v>
      </c>
      <c r="N214" s="564">
        <f t="shared" si="123"/>
        <v>0</v>
      </c>
      <c r="O214" s="541">
        <f t="shared" si="123"/>
        <v>0</v>
      </c>
      <c r="P214" s="550"/>
      <c r="Q214" s="531"/>
      <c r="R214" s="531"/>
      <c r="S214" s="531"/>
      <c r="T214" s="531"/>
      <c r="U214" s="531"/>
      <c r="V214" s="531"/>
      <c r="W214" s="531"/>
      <c r="X214" s="531"/>
      <c r="Y214" s="531"/>
      <c r="Z214" s="531"/>
      <c r="AA214" s="531"/>
      <c r="AB214" s="531"/>
      <c r="AC214" s="531"/>
      <c r="AD214" s="531"/>
      <c r="AE214" s="531"/>
      <c r="AF214" s="531"/>
      <c r="AG214" s="531"/>
      <c r="AH214" s="532"/>
      <c r="AI214" s="532"/>
      <c r="AJ214" s="532"/>
      <c r="AK214" s="532"/>
      <c r="AL214" s="532"/>
      <c r="AM214" s="532"/>
      <c r="AN214" s="532"/>
      <c r="AO214" s="532"/>
      <c r="AP214" s="532"/>
      <c r="AQ214" s="532"/>
      <c r="AR214" s="532"/>
      <c r="AS214" s="532"/>
      <c r="AT214" s="532"/>
      <c r="AU214" s="532"/>
      <c r="AV214" s="532"/>
      <c r="AW214" s="532"/>
      <c r="AX214" s="532"/>
      <c r="AY214" s="532"/>
      <c r="AZ214" s="532"/>
      <c r="BA214" s="532"/>
      <c r="BB214" s="532"/>
      <c r="BC214" s="532"/>
      <c r="BD214" s="532"/>
      <c r="BE214" s="532"/>
      <c r="BF214" s="532"/>
      <c r="BG214" s="532"/>
      <c r="BH214" s="532"/>
      <c r="BI214" s="532"/>
      <c r="BJ214" s="532"/>
      <c r="BK214" s="532"/>
      <c r="BL214" s="532"/>
      <c r="BM214" s="532"/>
      <c r="BN214" s="532"/>
      <c r="BO214" s="532"/>
      <c r="BP214" s="532"/>
      <c r="BQ214" s="532"/>
      <c r="BR214" s="532"/>
      <c r="BS214" s="532"/>
      <c r="BT214" s="532"/>
      <c r="BU214" s="532"/>
      <c r="BV214" s="532"/>
      <c r="BW214" s="532"/>
      <c r="BX214" s="532"/>
      <c r="BY214" s="532"/>
      <c r="BZ214" s="532"/>
      <c r="CA214" s="532"/>
      <c r="CB214" s="532"/>
      <c r="CC214" s="532"/>
      <c r="CD214" s="532"/>
      <c r="CE214" s="532"/>
      <c r="CF214" s="532"/>
      <c r="CG214" s="532"/>
      <c r="CH214" s="532"/>
      <c r="CI214" s="532"/>
      <c r="CJ214" s="532"/>
      <c r="CK214" s="532"/>
      <c r="CL214" s="532"/>
      <c r="CM214" s="532"/>
      <c r="CN214" s="532"/>
      <c r="CO214" s="532"/>
      <c r="CP214" s="532"/>
      <c r="CQ214" s="532"/>
      <c r="CR214" s="532"/>
      <c r="CS214" s="532"/>
      <c r="CT214" s="532"/>
      <c r="CU214" s="532"/>
      <c r="CV214" s="532"/>
      <c r="CW214" s="532"/>
      <c r="CX214" s="532"/>
      <c r="CY214" s="532"/>
      <c r="CZ214" s="532"/>
      <c r="DA214" s="532"/>
      <c r="DB214" s="532"/>
      <c r="DC214" s="532"/>
      <c r="DD214" s="532"/>
      <c r="DE214" s="532"/>
      <c r="DF214" s="532"/>
      <c r="DG214" s="532"/>
      <c r="DH214" s="532"/>
      <c r="DI214" s="532"/>
      <c r="DJ214" s="532"/>
      <c r="DK214" s="532"/>
      <c r="DL214" s="532"/>
      <c r="DM214" s="532"/>
      <c r="DN214" s="532"/>
      <c r="DO214" s="532"/>
      <c r="DP214" s="532"/>
      <c r="DQ214" s="532"/>
      <c r="DR214" s="532"/>
      <c r="DS214" s="532"/>
      <c r="DT214" s="532"/>
      <c r="DU214" s="532"/>
      <c r="DV214" s="532"/>
      <c r="DW214" s="532"/>
      <c r="DX214" s="532"/>
      <c r="DY214" s="532"/>
      <c r="DZ214" s="532"/>
      <c r="EA214" s="532"/>
      <c r="EB214" s="532"/>
      <c r="EC214" s="532"/>
      <c r="ED214" s="532"/>
      <c r="EE214" s="532"/>
      <c r="EF214" s="532"/>
      <c r="EG214" s="532"/>
      <c r="EH214" s="532"/>
      <c r="EI214" s="532"/>
      <c r="EJ214" s="532"/>
      <c r="EK214" s="532"/>
      <c r="EL214" s="532"/>
      <c r="EM214" s="532"/>
      <c r="EN214" s="532"/>
      <c r="EO214" s="532"/>
      <c r="EP214" s="532"/>
      <c r="EQ214" s="532"/>
      <c r="ER214" s="532"/>
      <c r="ES214" s="532"/>
      <c r="ET214" s="532"/>
      <c r="EU214" s="532"/>
      <c r="EV214" s="532"/>
      <c r="EW214" s="532"/>
      <c r="EX214" s="532"/>
      <c r="EY214" s="532"/>
      <c r="EZ214" s="532"/>
      <c r="FA214" s="532"/>
      <c r="FB214" s="532"/>
      <c r="FC214" s="532"/>
      <c r="FD214" s="532"/>
      <c r="FE214" s="532"/>
      <c r="FF214" s="532"/>
      <c r="FG214" s="532"/>
      <c r="FH214" s="532"/>
      <c r="FI214" s="532"/>
      <c r="FJ214" s="532"/>
      <c r="FK214" s="532"/>
      <c r="FL214" s="532"/>
      <c r="FM214" s="532"/>
      <c r="FN214" s="532"/>
      <c r="FO214" s="532"/>
      <c r="FP214" s="532"/>
    </row>
    <row r="215" spans="1:172" ht="12" customHeight="1" x14ac:dyDescent="0.2">
      <c r="A215" s="533" t="s">
        <v>110</v>
      </c>
      <c r="B215" s="534"/>
      <c r="C215" s="540">
        <f t="shared" ref="C215:O215" si="124">IF(C$208=0,0,(C205/C$208))</f>
        <v>0</v>
      </c>
      <c r="D215" s="540">
        <f t="shared" si="124"/>
        <v>0</v>
      </c>
      <c r="E215" s="540">
        <f t="shared" si="124"/>
        <v>0</v>
      </c>
      <c r="F215" s="540">
        <f t="shared" si="124"/>
        <v>0</v>
      </c>
      <c r="G215" s="540">
        <f t="shared" si="124"/>
        <v>0</v>
      </c>
      <c r="H215" s="540">
        <f t="shared" si="124"/>
        <v>0</v>
      </c>
      <c r="I215" s="540">
        <f t="shared" si="124"/>
        <v>0</v>
      </c>
      <c r="J215" s="540">
        <f t="shared" si="124"/>
        <v>0</v>
      </c>
      <c r="K215" s="660">
        <f t="shared" si="124"/>
        <v>0</v>
      </c>
      <c r="L215" s="564">
        <f t="shared" si="124"/>
        <v>0</v>
      </c>
      <c r="M215" s="564">
        <f t="shared" si="124"/>
        <v>0</v>
      </c>
      <c r="N215" s="564">
        <f t="shared" si="124"/>
        <v>0</v>
      </c>
      <c r="O215" s="541">
        <f t="shared" si="124"/>
        <v>0</v>
      </c>
      <c r="P215" s="550"/>
      <c r="Q215" s="531"/>
      <c r="R215" s="531"/>
      <c r="S215" s="531"/>
      <c r="T215" s="531"/>
      <c r="U215" s="531"/>
      <c r="V215" s="531"/>
      <c r="W215" s="531"/>
      <c r="X215" s="531"/>
      <c r="Y215" s="531"/>
      <c r="Z215" s="531"/>
      <c r="AA215" s="531"/>
      <c r="AB215" s="531"/>
      <c r="AC215" s="531"/>
      <c r="AD215" s="531"/>
      <c r="AE215" s="531"/>
      <c r="AF215" s="531"/>
      <c r="AG215" s="531"/>
      <c r="AH215" s="532"/>
      <c r="AI215" s="532"/>
      <c r="AJ215" s="532"/>
      <c r="AK215" s="532"/>
      <c r="AL215" s="532"/>
      <c r="AM215" s="532"/>
      <c r="AN215" s="532"/>
      <c r="AO215" s="532"/>
      <c r="AP215" s="532"/>
      <c r="AQ215" s="532"/>
      <c r="AR215" s="532"/>
      <c r="AS215" s="532"/>
      <c r="AT215" s="532"/>
      <c r="AU215" s="532"/>
      <c r="AV215" s="532"/>
      <c r="AW215" s="532"/>
      <c r="AX215" s="532"/>
      <c r="AY215" s="532"/>
      <c r="AZ215" s="532"/>
      <c r="BA215" s="532"/>
      <c r="BB215" s="532"/>
      <c r="BC215" s="532"/>
      <c r="BD215" s="532"/>
      <c r="BE215" s="532"/>
      <c r="BF215" s="532"/>
      <c r="BG215" s="532"/>
      <c r="BH215" s="532"/>
      <c r="BI215" s="532"/>
      <c r="BJ215" s="532"/>
      <c r="BK215" s="532"/>
      <c r="BL215" s="532"/>
      <c r="BM215" s="532"/>
      <c r="BN215" s="532"/>
      <c r="BO215" s="532"/>
      <c r="BP215" s="532"/>
      <c r="BQ215" s="532"/>
      <c r="BR215" s="532"/>
      <c r="BS215" s="532"/>
      <c r="BT215" s="532"/>
      <c r="BU215" s="532"/>
      <c r="BV215" s="532"/>
      <c r="BW215" s="532"/>
      <c r="BX215" s="532"/>
      <c r="BY215" s="532"/>
      <c r="BZ215" s="532"/>
      <c r="CA215" s="532"/>
      <c r="CB215" s="532"/>
      <c r="CC215" s="532"/>
      <c r="CD215" s="532"/>
      <c r="CE215" s="532"/>
      <c r="CF215" s="532"/>
      <c r="CG215" s="532"/>
      <c r="CH215" s="532"/>
      <c r="CI215" s="532"/>
      <c r="CJ215" s="532"/>
      <c r="CK215" s="532"/>
      <c r="CL215" s="532"/>
      <c r="CM215" s="532"/>
      <c r="CN215" s="532"/>
      <c r="CO215" s="532"/>
      <c r="CP215" s="532"/>
      <c r="CQ215" s="532"/>
      <c r="CR215" s="532"/>
      <c r="CS215" s="532"/>
      <c r="CT215" s="532"/>
      <c r="CU215" s="532"/>
      <c r="CV215" s="532"/>
      <c r="CW215" s="532"/>
      <c r="CX215" s="532"/>
      <c r="CY215" s="532"/>
      <c r="CZ215" s="532"/>
      <c r="DA215" s="532"/>
      <c r="DB215" s="532"/>
      <c r="DC215" s="532"/>
      <c r="DD215" s="532"/>
      <c r="DE215" s="532"/>
      <c r="DF215" s="532"/>
      <c r="DG215" s="532"/>
      <c r="DH215" s="532"/>
      <c r="DI215" s="532"/>
      <c r="DJ215" s="532"/>
      <c r="DK215" s="532"/>
      <c r="DL215" s="532"/>
      <c r="DM215" s="532"/>
      <c r="DN215" s="532"/>
      <c r="DO215" s="532"/>
      <c r="DP215" s="532"/>
      <c r="DQ215" s="532"/>
      <c r="DR215" s="532"/>
      <c r="DS215" s="532"/>
      <c r="DT215" s="532"/>
      <c r="DU215" s="532"/>
      <c r="DV215" s="532"/>
      <c r="DW215" s="532"/>
      <c r="DX215" s="532"/>
      <c r="DY215" s="532"/>
      <c r="DZ215" s="532"/>
      <c r="EA215" s="532"/>
      <c r="EB215" s="532"/>
      <c r="EC215" s="532"/>
      <c r="ED215" s="532"/>
      <c r="EE215" s="532"/>
      <c r="EF215" s="532"/>
      <c r="EG215" s="532"/>
      <c r="EH215" s="532"/>
      <c r="EI215" s="532"/>
      <c r="EJ215" s="532"/>
      <c r="EK215" s="532"/>
      <c r="EL215" s="532"/>
      <c r="EM215" s="532"/>
      <c r="EN215" s="532"/>
      <c r="EO215" s="532"/>
      <c r="EP215" s="532"/>
      <c r="EQ215" s="532"/>
      <c r="ER215" s="532"/>
      <c r="ES215" s="532"/>
      <c r="ET215" s="532"/>
      <c r="EU215" s="532"/>
      <c r="EV215" s="532"/>
      <c r="EW215" s="532"/>
      <c r="EX215" s="532"/>
      <c r="EY215" s="532"/>
      <c r="EZ215" s="532"/>
      <c r="FA215" s="532"/>
      <c r="FB215" s="532"/>
      <c r="FC215" s="532"/>
      <c r="FD215" s="532"/>
      <c r="FE215" s="532"/>
      <c r="FF215" s="532"/>
      <c r="FG215" s="532"/>
      <c r="FH215" s="532"/>
      <c r="FI215" s="532"/>
      <c r="FJ215" s="532"/>
      <c r="FK215" s="532"/>
      <c r="FL215" s="532"/>
      <c r="FM215" s="532"/>
      <c r="FN215" s="532"/>
      <c r="FO215" s="532"/>
      <c r="FP215" s="532"/>
    </row>
    <row r="216" spans="1:172" ht="12" customHeight="1" x14ac:dyDescent="0.2">
      <c r="A216" s="533" t="s">
        <v>102</v>
      </c>
      <c r="B216" s="534"/>
      <c r="C216" s="540">
        <f t="shared" ref="C216:J217" si="125">IF(C$208=0,0,(C206/C$208))</f>
        <v>0</v>
      </c>
      <c r="D216" s="540">
        <f t="shared" si="125"/>
        <v>0</v>
      </c>
      <c r="E216" s="540">
        <f t="shared" si="125"/>
        <v>0</v>
      </c>
      <c r="F216" s="540">
        <f t="shared" si="125"/>
        <v>0</v>
      </c>
      <c r="G216" s="540">
        <f t="shared" si="125"/>
        <v>0</v>
      </c>
      <c r="H216" s="540">
        <f t="shared" si="125"/>
        <v>0</v>
      </c>
      <c r="I216" s="540">
        <f t="shared" si="125"/>
        <v>0</v>
      </c>
      <c r="J216" s="540">
        <f t="shared" si="125"/>
        <v>0</v>
      </c>
      <c r="K216" s="660">
        <f t="shared" ref="K216:N217" si="126">IF(K210=0,0,(K206/K$208))</f>
        <v>0</v>
      </c>
      <c r="L216" s="564">
        <f t="shared" si="126"/>
        <v>0</v>
      </c>
      <c r="M216" s="564">
        <f t="shared" si="126"/>
        <v>0</v>
      </c>
      <c r="N216" s="564">
        <f t="shared" si="126"/>
        <v>0</v>
      </c>
      <c r="O216" s="541">
        <f>IF(O$208=0,0,(O206/O$208))</f>
        <v>0</v>
      </c>
      <c r="P216" s="550"/>
      <c r="Q216" s="531"/>
      <c r="R216" s="531"/>
      <c r="S216" s="531"/>
      <c r="T216" s="531"/>
      <c r="U216" s="531"/>
      <c r="V216" s="531"/>
      <c r="W216" s="531"/>
      <c r="X216" s="531"/>
      <c r="Y216" s="531"/>
      <c r="Z216" s="531"/>
      <c r="AA216" s="531"/>
      <c r="AB216" s="531"/>
      <c r="AC216" s="531"/>
      <c r="AD216" s="531"/>
      <c r="AE216" s="531"/>
      <c r="AF216" s="531"/>
      <c r="AG216" s="531"/>
      <c r="AH216" s="532"/>
      <c r="AI216" s="532"/>
      <c r="AJ216" s="532"/>
      <c r="AK216" s="532"/>
      <c r="AL216" s="532"/>
      <c r="AM216" s="532"/>
      <c r="AN216" s="532"/>
      <c r="AO216" s="532"/>
      <c r="AP216" s="532"/>
      <c r="AQ216" s="532"/>
      <c r="AR216" s="532"/>
      <c r="AS216" s="532"/>
      <c r="AT216" s="532"/>
      <c r="AU216" s="532"/>
      <c r="AV216" s="532"/>
      <c r="AW216" s="532"/>
      <c r="AX216" s="532"/>
      <c r="AY216" s="532"/>
      <c r="AZ216" s="532"/>
      <c r="BA216" s="532"/>
      <c r="BB216" s="532"/>
      <c r="BC216" s="532"/>
      <c r="BD216" s="532"/>
      <c r="BE216" s="532"/>
      <c r="BF216" s="532"/>
      <c r="BG216" s="532"/>
      <c r="BH216" s="532"/>
      <c r="BI216" s="532"/>
      <c r="BJ216" s="532"/>
      <c r="BK216" s="532"/>
      <c r="BL216" s="532"/>
      <c r="BM216" s="532"/>
      <c r="BN216" s="532"/>
      <c r="BO216" s="532"/>
      <c r="BP216" s="532"/>
      <c r="BQ216" s="532"/>
      <c r="BR216" s="532"/>
      <c r="BS216" s="532"/>
      <c r="BT216" s="532"/>
      <c r="BU216" s="532"/>
      <c r="BV216" s="532"/>
      <c r="BW216" s="532"/>
      <c r="BX216" s="532"/>
      <c r="BY216" s="532"/>
      <c r="BZ216" s="532"/>
      <c r="CA216" s="532"/>
      <c r="CB216" s="532"/>
      <c r="CC216" s="532"/>
      <c r="CD216" s="532"/>
      <c r="CE216" s="532"/>
      <c r="CF216" s="532"/>
      <c r="CG216" s="532"/>
      <c r="CH216" s="532"/>
      <c r="CI216" s="532"/>
      <c r="CJ216" s="532"/>
      <c r="CK216" s="532"/>
      <c r="CL216" s="532"/>
      <c r="CM216" s="532"/>
      <c r="CN216" s="532"/>
      <c r="CO216" s="532"/>
      <c r="CP216" s="532"/>
      <c r="CQ216" s="532"/>
      <c r="CR216" s="532"/>
      <c r="CS216" s="532"/>
      <c r="CT216" s="532"/>
      <c r="CU216" s="532"/>
      <c r="CV216" s="532"/>
      <c r="CW216" s="532"/>
      <c r="CX216" s="532"/>
      <c r="CY216" s="532"/>
      <c r="CZ216" s="532"/>
      <c r="DA216" s="532"/>
      <c r="DB216" s="532"/>
      <c r="DC216" s="532"/>
      <c r="DD216" s="532"/>
      <c r="DE216" s="532"/>
      <c r="DF216" s="532"/>
      <c r="DG216" s="532"/>
      <c r="DH216" s="532"/>
      <c r="DI216" s="532"/>
      <c r="DJ216" s="532"/>
      <c r="DK216" s="532"/>
      <c r="DL216" s="532"/>
      <c r="DM216" s="532"/>
      <c r="DN216" s="532"/>
      <c r="DO216" s="532"/>
      <c r="DP216" s="532"/>
      <c r="DQ216" s="532"/>
      <c r="DR216" s="532"/>
      <c r="DS216" s="532"/>
      <c r="DT216" s="532"/>
      <c r="DU216" s="532"/>
      <c r="DV216" s="532"/>
      <c r="DW216" s="532"/>
      <c r="DX216" s="532"/>
      <c r="DY216" s="532"/>
      <c r="DZ216" s="532"/>
      <c r="EA216" s="532"/>
      <c r="EB216" s="532"/>
      <c r="EC216" s="532"/>
      <c r="ED216" s="532"/>
      <c r="EE216" s="532"/>
      <c r="EF216" s="532"/>
      <c r="EG216" s="532"/>
      <c r="EH216" s="532"/>
      <c r="EI216" s="532"/>
      <c r="EJ216" s="532"/>
      <c r="EK216" s="532"/>
      <c r="EL216" s="532"/>
      <c r="EM216" s="532"/>
      <c r="EN216" s="532"/>
      <c r="EO216" s="532"/>
      <c r="EP216" s="532"/>
      <c r="EQ216" s="532"/>
      <c r="ER216" s="532"/>
      <c r="ES216" s="532"/>
      <c r="ET216" s="532"/>
      <c r="EU216" s="532"/>
      <c r="EV216" s="532"/>
      <c r="EW216" s="532"/>
      <c r="EX216" s="532"/>
      <c r="EY216" s="532"/>
      <c r="EZ216" s="532"/>
      <c r="FA216" s="532"/>
      <c r="FB216" s="532"/>
      <c r="FC216" s="532"/>
      <c r="FD216" s="532"/>
      <c r="FE216" s="532"/>
      <c r="FF216" s="532"/>
      <c r="FG216" s="532"/>
      <c r="FH216" s="532"/>
      <c r="FI216" s="532"/>
      <c r="FJ216" s="532"/>
      <c r="FK216" s="532"/>
      <c r="FL216" s="532"/>
      <c r="FM216" s="532"/>
      <c r="FN216" s="532"/>
      <c r="FO216" s="532"/>
      <c r="FP216" s="532"/>
    </row>
    <row r="217" spans="1:172" ht="12" customHeight="1" x14ac:dyDescent="0.2">
      <c r="A217" s="533" t="s">
        <v>111</v>
      </c>
      <c r="B217" s="534"/>
      <c r="C217" s="540">
        <f t="shared" si="125"/>
        <v>0</v>
      </c>
      <c r="D217" s="540">
        <f t="shared" si="125"/>
        <v>0</v>
      </c>
      <c r="E217" s="540">
        <f t="shared" si="125"/>
        <v>0</v>
      </c>
      <c r="F217" s="540">
        <f t="shared" si="125"/>
        <v>0</v>
      </c>
      <c r="G217" s="540">
        <f t="shared" si="125"/>
        <v>0</v>
      </c>
      <c r="H217" s="540">
        <f t="shared" si="125"/>
        <v>0</v>
      </c>
      <c r="I217" s="540">
        <f t="shared" si="125"/>
        <v>0</v>
      </c>
      <c r="J217" s="540">
        <f t="shared" si="125"/>
        <v>0</v>
      </c>
      <c r="K217" s="660">
        <f t="shared" si="126"/>
        <v>0</v>
      </c>
      <c r="L217" s="564">
        <f t="shared" si="126"/>
        <v>6.741573033707865E-2</v>
      </c>
      <c r="M217" s="564">
        <f t="shared" si="126"/>
        <v>0</v>
      </c>
      <c r="N217" s="564">
        <f t="shared" si="126"/>
        <v>0</v>
      </c>
      <c r="O217" s="541">
        <f>IF(O$208=0,0,(O207/O$208))</f>
        <v>9.0725806451612909E-3</v>
      </c>
      <c r="P217" s="550"/>
      <c r="Q217" s="531"/>
      <c r="R217" s="531"/>
      <c r="S217" s="531"/>
      <c r="T217" s="531"/>
      <c r="U217" s="531"/>
      <c r="V217" s="531"/>
      <c r="W217" s="531"/>
      <c r="X217" s="531"/>
      <c r="Y217" s="531"/>
      <c r="Z217" s="531"/>
      <c r="AA217" s="531"/>
      <c r="AB217" s="531"/>
      <c r="AC217" s="531"/>
      <c r="AD217" s="531"/>
      <c r="AE217" s="531"/>
      <c r="AF217" s="531"/>
      <c r="AG217" s="531"/>
      <c r="AH217" s="532"/>
      <c r="AI217" s="532"/>
      <c r="AJ217" s="532"/>
      <c r="AK217" s="532"/>
      <c r="AL217" s="532"/>
      <c r="AM217" s="532"/>
      <c r="AN217" s="532"/>
      <c r="AO217" s="532"/>
      <c r="AP217" s="532"/>
      <c r="AQ217" s="532"/>
      <c r="AR217" s="532"/>
      <c r="AS217" s="532"/>
      <c r="AT217" s="532"/>
      <c r="AU217" s="532"/>
      <c r="AV217" s="532"/>
      <c r="AW217" s="532"/>
      <c r="AX217" s="532"/>
      <c r="AY217" s="532"/>
      <c r="AZ217" s="532"/>
      <c r="BA217" s="532"/>
      <c r="BB217" s="532"/>
      <c r="BC217" s="532"/>
      <c r="BD217" s="532"/>
      <c r="BE217" s="532"/>
      <c r="BF217" s="532"/>
      <c r="BG217" s="532"/>
      <c r="BH217" s="532"/>
      <c r="BI217" s="532"/>
      <c r="BJ217" s="532"/>
      <c r="BK217" s="532"/>
      <c r="BL217" s="532"/>
      <c r="BM217" s="532"/>
      <c r="BN217" s="532"/>
      <c r="BO217" s="532"/>
      <c r="BP217" s="532"/>
      <c r="BQ217" s="532"/>
      <c r="BR217" s="532"/>
      <c r="BS217" s="532"/>
      <c r="BT217" s="532"/>
      <c r="BU217" s="532"/>
      <c r="BV217" s="532"/>
      <c r="BW217" s="532"/>
      <c r="BX217" s="532"/>
      <c r="BY217" s="532"/>
      <c r="BZ217" s="532"/>
      <c r="CA217" s="532"/>
      <c r="CB217" s="532"/>
      <c r="CC217" s="532"/>
      <c r="CD217" s="532"/>
      <c r="CE217" s="532"/>
      <c r="CF217" s="532"/>
      <c r="CG217" s="532"/>
      <c r="CH217" s="532"/>
      <c r="CI217" s="532"/>
      <c r="CJ217" s="532"/>
      <c r="CK217" s="532"/>
      <c r="CL217" s="532"/>
      <c r="CM217" s="532"/>
      <c r="CN217" s="532"/>
      <c r="CO217" s="532"/>
      <c r="CP217" s="532"/>
      <c r="CQ217" s="532"/>
      <c r="CR217" s="532"/>
      <c r="CS217" s="532"/>
      <c r="CT217" s="532"/>
      <c r="CU217" s="532"/>
      <c r="CV217" s="532"/>
      <c r="CW217" s="532"/>
      <c r="CX217" s="532"/>
      <c r="CY217" s="532"/>
      <c r="CZ217" s="532"/>
      <c r="DA217" s="532"/>
      <c r="DB217" s="532"/>
      <c r="DC217" s="532"/>
      <c r="DD217" s="532"/>
      <c r="DE217" s="532"/>
      <c r="DF217" s="532"/>
      <c r="DG217" s="532"/>
      <c r="DH217" s="532"/>
      <c r="DI217" s="532"/>
      <c r="DJ217" s="532"/>
      <c r="DK217" s="532"/>
      <c r="DL217" s="532"/>
      <c r="DM217" s="532"/>
      <c r="DN217" s="532"/>
      <c r="DO217" s="532"/>
      <c r="DP217" s="532"/>
      <c r="DQ217" s="532"/>
      <c r="DR217" s="532"/>
      <c r="DS217" s="532"/>
      <c r="DT217" s="532"/>
      <c r="DU217" s="532"/>
      <c r="DV217" s="532"/>
      <c r="DW217" s="532"/>
      <c r="DX217" s="532"/>
      <c r="DY217" s="532"/>
      <c r="DZ217" s="532"/>
      <c r="EA217" s="532"/>
      <c r="EB217" s="532"/>
      <c r="EC217" s="532"/>
      <c r="ED217" s="532"/>
      <c r="EE217" s="532"/>
      <c r="EF217" s="532"/>
      <c r="EG217" s="532"/>
      <c r="EH217" s="532"/>
      <c r="EI217" s="532"/>
      <c r="EJ217" s="532"/>
      <c r="EK217" s="532"/>
      <c r="EL217" s="532"/>
      <c r="EM217" s="532"/>
      <c r="EN217" s="532"/>
      <c r="EO217" s="532"/>
      <c r="EP217" s="532"/>
      <c r="EQ217" s="532"/>
      <c r="ER217" s="532"/>
      <c r="ES217" s="532"/>
      <c r="ET217" s="532"/>
      <c r="EU217" s="532"/>
      <c r="EV217" s="532"/>
      <c r="EW217" s="532"/>
      <c r="EX217" s="532"/>
      <c r="EY217" s="532"/>
      <c r="EZ217" s="532"/>
      <c r="FA217" s="532"/>
      <c r="FB217" s="532"/>
      <c r="FC217" s="532"/>
      <c r="FD217" s="532"/>
      <c r="FE217" s="532"/>
      <c r="FF217" s="532"/>
      <c r="FG217" s="532"/>
      <c r="FH217" s="532"/>
      <c r="FI217" s="532"/>
      <c r="FJ217" s="532"/>
      <c r="FK217" s="532"/>
      <c r="FL217" s="532"/>
      <c r="FM217" s="532"/>
      <c r="FN217" s="532"/>
      <c r="FO217" s="532"/>
      <c r="FP217" s="532"/>
    </row>
    <row r="218" spans="1:172" ht="12" customHeight="1" x14ac:dyDescent="0.2">
      <c r="A218" s="537" t="s">
        <v>75</v>
      </c>
      <c r="B218" s="534"/>
      <c r="C218" s="540">
        <f>SUM(C211:C217)</f>
        <v>1</v>
      </c>
      <c r="D218" s="540">
        <f>SUM(D211:D217)</f>
        <v>1</v>
      </c>
      <c r="E218" s="540">
        <f>SUM(E211:E217)</f>
        <v>1</v>
      </c>
      <c r="F218" s="540">
        <f t="shared" ref="F218:N218" si="127">SUM(F211:F217)</f>
        <v>1</v>
      </c>
      <c r="G218" s="540">
        <f t="shared" si="127"/>
        <v>1</v>
      </c>
      <c r="H218" s="540">
        <f t="shared" si="127"/>
        <v>1</v>
      </c>
      <c r="I218" s="540">
        <f t="shared" si="127"/>
        <v>1</v>
      </c>
      <c r="J218" s="540">
        <f t="shared" si="127"/>
        <v>1</v>
      </c>
      <c r="K218" s="660">
        <f t="shared" si="127"/>
        <v>1</v>
      </c>
      <c r="L218" s="564">
        <f t="shared" si="127"/>
        <v>1</v>
      </c>
      <c r="M218" s="564">
        <f t="shared" si="127"/>
        <v>1</v>
      </c>
      <c r="N218" s="564">
        <f t="shared" si="127"/>
        <v>1</v>
      </c>
      <c r="O218" s="541">
        <f>IF(O$208=0,0,(O208/O$208))</f>
        <v>1</v>
      </c>
      <c r="P218" s="550"/>
      <c r="Q218" s="531"/>
      <c r="R218" s="531"/>
      <c r="S218" s="531"/>
      <c r="T218" s="531"/>
      <c r="U218" s="531"/>
      <c r="V218" s="531"/>
      <c r="W218" s="531"/>
      <c r="X218" s="531"/>
      <c r="Y218" s="531"/>
      <c r="Z218" s="531"/>
      <c r="AA218" s="531"/>
      <c r="AB218" s="531"/>
      <c r="AC218" s="531"/>
      <c r="AD218" s="531"/>
      <c r="AE218" s="531"/>
      <c r="AF218" s="531"/>
      <c r="AG218" s="531"/>
      <c r="AH218" s="532"/>
      <c r="AI218" s="532"/>
      <c r="AJ218" s="532"/>
      <c r="AK218" s="532"/>
      <c r="AL218" s="532"/>
      <c r="AM218" s="532"/>
      <c r="AN218" s="532"/>
      <c r="AO218" s="532"/>
      <c r="AP218" s="532"/>
      <c r="AQ218" s="532"/>
      <c r="AR218" s="532"/>
      <c r="AS218" s="532"/>
      <c r="AT218" s="532"/>
      <c r="AU218" s="532"/>
      <c r="AV218" s="532"/>
      <c r="AW218" s="532"/>
      <c r="AX218" s="532"/>
      <c r="AY218" s="532"/>
      <c r="AZ218" s="532"/>
      <c r="BA218" s="532"/>
      <c r="BB218" s="532"/>
      <c r="BC218" s="532"/>
      <c r="BD218" s="532"/>
      <c r="BE218" s="532"/>
      <c r="BF218" s="532"/>
      <c r="BG218" s="532"/>
      <c r="BH218" s="532"/>
      <c r="BI218" s="532"/>
      <c r="BJ218" s="532"/>
      <c r="BK218" s="532"/>
      <c r="BL218" s="532"/>
      <c r="BM218" s="532"/>
      <c r="BN218" s="532"/>
      <c r="BO218" s="532"/>
      <c r="BP218" s="532"/>
      <c r="BQ218" s="532"/>
      <c r="BR218" s="532"/>
      <c r="BS218" s="532"/>
      <c r="BT218" s="532"/>
      <c r="BU218" s="532"/>
      <c r="BV218" s="532"/>
      <c r="BW218" s="532"/>
      <c r="BX218" s="532"/>
      <c r="BY218" s="532"/>
      <c r="BZ218" s="532"/>
      <c r="CA218" s="532"/>
      <c r="CB218" s="532"/>
      <c r="CC218" s="532"/>
      <c r="CD218" s="532"/>
      <c r="CE218" s="532"/>
      <c r="CF218" s="532"/>
      <c r="CG218" s="532"/>
      <c r="CH218" s="532"/>
      <c r="CI218" s="532"/>
      <c r="CJ218" s="532"/>
      <c r="CK218" s="532"/>
      <c r="CL218" s="532"/>
      <c r="CM218" s="532"/>
      <c r="CN218" s="532"/>
      <c r="CO218" s="532"/>
      <c r="CP218" s="532"/>
      <c r="CQ218" s="532"/>
      <c r="CR218" s="532"/>
      <c r="CS218" s="532"/>
      <c r="CT218" s="532"/>
      <c r="CU218" s="532"/>
      <c r="CV218" s="532"/>
      <c r="CW218" s="532"/>
      <c r="CX218" s="532"/>
      <c r="CY218" s="532"/>
      <c r="CZ218" s="532"/>
      <c r="DA218" s="532"/>
      <c r="DB218" s="532"/>
      <c r="DC218" s="532"/>
      <c r="DD218" s="532"/>
      <c r="DE218" s="532"/>
      <c r="DF218" s="532"/>
      <c r="DG218" s="532"/>
      <c r="DH218" s="532"/>
      <c r="DI218" s="532"/>
      <c r="DJ218" s="532"/>
      <c r="DK218" s="532"/>
      <c r="DL218" s="532"/>
      <c r="DM218" s="532"/>
      <c r="DN218" s="532"/>
      <c r="DO218" s="532"/>
      <c r="DP218" s="532"/>
      <c r="DQ218" s="532"/>
      <c r="DR218" s="532"/>
      <c r="DS218" s="532"/>
      <c r="DT218" s="532"/>
      <c r="DU218" s="532"/>
      <c r="DV218" s="532"/>
      <c r="DW218" s="532"/>
      <c r="DX218" s="532"/>
      <c r="DY218" s="532"/>
      <c r="DZ218" s="532"/>
      <c r="EA218" s="532"/>
      <c r="EB218" s="532"/>
      <c r="EC218" s="532"/>
      <c r="ED218" s="532"/>
      <c r="EE218" s="532"/>
      <c r="EF218" s="532"/>
      <c r="EG218" s="532"/>
      <c r="EH218" s="532"/>
      <c r="EI218" s="532"/>
      <c r="EJ218" s="532"/>
      <c r="EK218" s="532"/>
      <c r="EL218" s="532"/>
      <c r="EM218" s="532"/>
      <c r="EN218" s="532"/>
      <c r="EO218" s="532"/>
      <c r="EP218" s="532"/>
      <c r="EQ218" s="532"/>
      <c r="ER218" s="532"/>
      <c r="ES218" s="532"/>
      <c r="ET218" s="532"/>
      <c r="EU218" s="532"/>
      <c r="EV218" s="532"/>
      <c r="EW218" s="532"/>
      <c r="EX218" s="532"/>
      <c r="EY218" s="532"/>
      <c r="EZ218" s="532"/>
      <c r="FA218" s="532"/>
      <c r="FB218" s="532"/>
      <c r="FC218" s="532"/>
      <c r="FD218" s="532"/>
      <c r="FE218" s="532"/>
      <c r="FF218" s="532"/>
      <c r="FG218" s="532"/>
      <c r="FH218" s="532"/>
      <c r="FI218" s="532"/>
      <c r="FJ218" s="532"/>
      <c r="FK218" s="532"/>
      <c r="FL218" s="532"/>
      <c r="FM218" s="532"/>
      <c r="FN218" s="532"/>
      <c r="FO218" s="532"/>
      <c r="FP218" s="532"/>
    </row>
    <row r="219" spans="1:172" ht="12" customHeight="1" x14ac:dyDescent="0.2">
      <c r="A219" s="537"/>
      <c r="B219" s="534"/>
      <c r="C219" s="534"/>
      <c r="D219" s="534"/>
      <c r="E219" s="534"/>
      <c r="F219" s="534"/>
      <c r="G219" s="534"/>
      <c r="H219" s="534"/>
      <c r="I219" s="534"/>
      <c r="J219" s="534"/>
      <c r="K219" s="658"/>
      <c r="L219" s="562"/>
      <c r="M219" s="562"/>
      <c r="N219" s="562"/>
      <c r="O219" s="549"/>
      <c r="P219" s="531"/>
      <c r="Q219" s="531"/>
      <c r="R219" s="531"/>
      <c r="S219" s="531"/>
      <c r="T219" s="531"/>
      <c r="U219" s="531"/>
      <c r="V219" s="531"/>
      <c r="W219" s="531"/>
      <c r="X219" s="531"/>
      <c r="Y219" s="531"/>
      <c r="Z219" s="531"/>
      <c r="AA219" s="531"/>
      <c r="AB219" s="531"/>
      <c r="AC219" s="531"/>
      <c r="AD219" s="531"/>
      <c r="AE219" s="531"/>
      <c r="AF219" s="531"/>
      <c r="AG219" s="531"/>
      <c r="AH219" s="532"/>
      <c r="AI219" s="532"/>
      <c r="AJ219" s="532"/>
      <c r="AK219" s="532"/>
      <c r="AL219" s="532"/>
      <c r="AM219" s="532"/>
      <c r="AN219" s="532"/>
      <c r="AO219" s="532"/>
      <c r="AP219" s="532"/>
      <c r="AQ219" s="532"/>
      <c r="AR219" s="532"/>
      <c r="AS219" s="532"/>
      <c r="AT219" s="532"/>
      <c r="AU219" s="532"/>
      <c r="AV219" s="532"/>
      <c r="AW219" s="532"/>
      <c r="AX219" s="532"/>
      <c r="AY219" s="532"/>
      <c r="AZ219" s="532"/>
      <c r="BA219" s="532"/>
      <c r="BB219" s="532"/>
      <c r="BC219" s="532"/>
      <c r="BD219" s="532"/>
      <c r="BE219" s="532"/>
      <c r="BF219" s="532"/>
      <c r="BG219" s="532"/>
      <c r="BH219" s="532"/>
      <c r="BI219" s="532"/>
      <c r="BJ219" s="532"/>
      <c r="BK219" s="532"/>
      <c r="BL219" s="532"/>
      <c r="BM219" s="532"/>
      <c r="BN219" s="532"/>
      <c r="BO219" s="532"/>
      <c r="BP219" s="532"/>
      <c r="BQ219" s="532"/>
      <c r="BR219" s="532"/>
      <c r="BS219" s="532"/>
      <c r="BT219" s="532"/>
      <c r="BU219" s="532"/>
      <c r="BV219" s="532"/>
      <c r="BW219" s="532"/>
      <c r="BX219" s="532"/>
      <c r="BY219" s="532"/>
      <c r="BZ219" s="532"/>
      <c r="CA219" s="532"/>
      <c r="CB219" s="532"/>
      <c r="CC219" s="532"/>
      <c r="CD219" s="532"/>
      <c r="CE219" s="532"/>
      <c r="CF219" s="532"/>
      <c r="CG219" s="532"/>
      <c r="CH219" s="532"/>
      <c r="CI219" s="532"/>
      <c r="CJ219" s="532"/>
      <c r="CK219" s="532"/>
      <c r="CL219" s="532"/>
      <c r="CM219" s="532"/>
      <c r="CN219" s="532"/>
      <c r="CO219" s="532"/>
      <c r="CP219" s="532"/>
      <c r="CQ219" s="532"/>
      <c r="CR219" s="532"/>
      <c r="CS219" s="532"/>
      <c r="CT219" s="532"/>
      <c r="CU219" s="532"/>
      <c r="CV219" s="532"/>
      <c r="CW219" s="532"/>
      <c r="CX219" s="532"/>
      <c r="CY219" s="532"/>
      <c r="CZ219" s="532"/>
      <c r="DA219" s="532"/>
      <c r="DB219" s="532"/>
      <c r="DC219" s="532"/>
      <c r="DD219" s="532"/>
      <c r="DE219" s="532"/>
      <c r="DF219" s="532"/>
      <c r="DG219" s="532"/>
      <c r="DH219" s="532"/>
      <c r="DI219" s="532"/>
      <c r="DJ219" s="532"/>
      <c r="DK219" s="532"/>
      <c r="DL219" s="532"/>
      <c r="DM219" s="532"/>
      <c r="DN219" s="532"/>
      <c r="DO219" s="532"/>
      <c r="DP219" s="532"/>
      <c r="DQ219" s="532"/>
      <c r="DR219" s="532"/>
      <c r="DS219" s="532"/>
      <c r="DT219" s="532"/>
      <c r="DU219" s="532"/>
      <c r="DV219" s="532"/>
      <c r="DW219" s="532"/>
      <c r="DX219" s="532"/>
      <c r="DY219" s="532"/>
      <c r="DZ219" s="532"/>
      <c r="EA219" s="532"/>
      <c r="EB219" s="532"/>
      <c r="EC219" s="532"/>
      <c r="ED219" s="532"/>
      <c r="EE219" s="532"/>
      <c r="EF219" s="532"/>
      <c r="EG219" s="532"/>
      <c r="EH219" s="532"/>
      <c r="EI219" s="532"/>
      <c r="EJ219" s="532"/>
      <c r="EK219" s="532"/>
      <c r="EL219" s="532"/>
      <c r="EM219" s="532"/>
      <c r="EN219" s="532"/>
      <c r="EO219" s="532"/>
      <c r="EP219" s="532"/>
      <c r="EQ219" s="532"/>
      <c r="ER219" s="532"/>
      <c r="ES219" s="532"/>
      <c r="ET219" s="532"/>
      <c r="EU219" s="532"/>
      <c r="EV219" s="532"/>
      <c r="EW219" s="532"/>
      <c r="EX219" s="532"/>
      <c r="EY219" s="532"/>
      <c r="EZ219" s="532"/>
      <c r="FA219" s="532"/>
      <c r="FB219" s="532"/>
      <c r="FC219" s="532"/>
      <c r="FD219" s="532"/>
      <c r="FE219" s="532"/>
      <c r="FF219" s="532"/>
      <c r="FG219" s="532"/>
      <c r="FH219" s="532"/>
      <c r="FI219" s="532"/>
      <c r="FJ219" s="532"/>
      <c r="FK219" s="532"/>
      <c r="FL219" s="532"/>
      <c r="FM219" s="532"/>
      <c r="FN219" s="532"/>
      <c r="FO219" s="532"/>
      <c r="FP219" s="532"/>
    </row>
    <row r="220" spans="1:172" ht="12" customHeight="1" x14ac:dyDescent="0.2">
      <c r="A220" s="533" t="s">
        <v>133</v>
      </c>
      <c r="B220" s="534"/>
      <c r="C220" s="534"/>
      <c r="D220" s="534"/>
      <c r="E220" s="534"/>
      <c r="F220" s="534"/>
      <c r="G220" s="534"/>
      <c r="H220" s="534"/>
      <c r="I220" s="534"/>
      <c r="J220" s="534"/>
      <c r="K220" s="658"/>
      <c r="L220" s="562"/>
      <c r="M220" s="562"/>
      <c r="N220" s="562"/>
      <c r="O220" s="549"/>
      <c r="P220" s="531"/>
      <c r="Q220" s="531"/>
      <c r="R220" s="531"/>
      <c r="S220" s="531"/>
      <c r="T220" s="531"/>
      <c r="U220" s="531"/>
      <c r="V220" s="531"/>
      <c r="W220" s="531"/>
      <c r="X220" s="531"/>
      <c r="Y220" s="531"/>
      <c r="Z220" s="531"/>
      <c r="AA220" s="531"/>
      <c r="AB220" s="531"/>
      <c r="AC220" s="531"/>
      <c r="AD220" s="531"/>
      <c r="AE220" s="531"/>
      <c r="AF220" s="531"/>
      <c r="AG220" s="531"/>
      <c r="AH220" s="532"/>
      <c r="AI220" s="532"/>
      <c r="AJ220" s="532"/>
      <c r="AK220" s="532"/>
      <c r="AL220" s="532"/>
      <c r="AM220" s="532"/>
      <c r="AN220" s="532"/>
      <c r="AO220" s="532"/>
      <c r="AP220" s="532"/>
      <c r="AQ220" s="532"/>
      <c r="AR220" s="532"/>
      <c r="AS220" s="532"/>
      <c r="AT220" s="532"/>
      <c r="AU220" s="532"/>
      <c r="AV220" s="532"/>
      <c r="AW220" s="532"/>
      <c r="AX220" s="532"/>
      <c r="AY220" s="532"/>
      <c r="AZ220" s="532"/>
      <c r="BA220" s="532"/>
      <c r="BB220" s="532"/>
      <c r="BC220" s="532"/>
      <c r="BD220" s="532"/>
      <c r="BE220" s="532"/>
      <c r="BF220" s="532"/>
      <c r="BG220" s="532"/>
      <c r="BH220" s="532"/>
      <c r="BI220" s="532"/>
      <c r="BJ220" s="532"/>
      <c r="BK220" s="532"/>
      <c r="BL220" s="532"/>
      <c r="BM220" s="532"/>
      <c r="BN220" s="532"/>
      <c r="BO220" s="532"/>
      <c r="BP220" s="532"/>
      <c r="BQ220" s="532"/>
      <c r="BR220" s="532"/>
      <c r="BS220" s="532"/>
      <c r="BT220" s="532"/>
      <c r="BU220" s="532"/>
      <c r="BV220" s="532"/>
      <c r="BW220" s="532"/>
      <c r="BX220" s="532"/>
      <c r="BY220" s="532"/>
      <c r="BZ220" s="532"/>
      <c r="CA220" s="532"/>
      <c r="CB220" s="532"/>
      <c r="CC220" s="532"/>
      <c r="CD220" s="532"/>
      <c r="CE220" s="532"/>
      <c r="CF220" s="532"/>
      <c r="CG220" s="532"/>
      <c r="CH220" s="532"/>
      <c r="CI220" s="532"/>
      <c r="CJ220" s="532"/>
      <c r="CK220" s="532"/>
      <c r="CL220" s="532"/>
      <c r="CM220" s="532"/>
      <c r="CN220" s="532"/>
      <c r="CO220" s="532"/>
      <c r="CP220" s="532"/>
      <c r="CQ220" s="532"/>
      <c r="CR220" s="532"/>
      <c r="CS220" s="532"/>
      <c r="CT220" s="532"/>
      <c r="CU220" s="532"/>
      <c r="CV220" s="532"/>
      <c r="CW220" s="532"/>
      <c r="CX220" s="532"/>
      <c r="CY220" s="532"/>
      <c r="CZ220" s="532"/>
      <c r="DA220" s="532"/>
      <c r="DB220" s="532"/>
      <c r="DC220" s="532"/>
      <c r="DD220" s="532"/>
      <c r="DE220" s="532"/>
      <c r="DF220" s="532"/>
      <c r="DG220" s="532"/>
      <c r="DH220" s="532"/>
      <c r="DI220" s="532"/>
      <c r="DJ220" s="532"/>
      <c r="DK220" s="532"/>
      <c r="DL220" s="532"/>
      <c r="DM220" s="532"/>
      <c r="DN220" s="532"/>
      <c r="DO220" s="532"/>
      <c r="DP220" s="532"/>
      <c r="DQ220" s="532"/>
      <c r="DR220" s="532"/>
      <c r="DS220" s="532"/>
      <c r="DT220" s="532"/>
      <c r="DU220" s="532"/>
      <c r="DV220" s="532"/>
      <c r="DW220" s="532"/>
      <c r="DX220" s="532"/>
      <c r="DY220" s="532"/>
      <c r="DZ220" s="532"/>
      <c r="EA220" s="532"/>
      <c r="EB220" s="532"/>
      <c r="EC220" s="532"/>
      <c r="ED220" s="532"/>
      <c r="EE220" s="532"/>
      <c r="EF220" s="532"/>
      <c r="EG220" s="532"/>
      <c r="EH220" s="532"/>
      <c r="EI220" s="532"/>
      <c r="EJ220" s="532"/>
      <c r="EK220" s="532"/>
      <c r="EL220" s="532"/>
      <c r="EM220" s="532"/>
      <c r="EN220" s="532"/>
      <c r="EO220" s="532"/>
      <c r="EP220" s="532"/>
      <c r="EQ220" s="532"/>
      <c r="ER220" s="532"/>
      <c r="ES220" s="532"/>
      <c r="ET220" s="532"/>
      <c r="EU220" s="532"/>
      <c r="EV220" s="532"/>
      <c r="EW220" s="532"/>
      <c r="EX220" s="532"/>
      <c r="EY220" s="532"/>
      <c r="EZ220" s="532"/>
      <c r="FA220" s="532"/>
      <c r="FB220" s="532"/>
      <c r="FC220" s="532"/>
      <c r="FD220" s="532"/>
      <c r="FE220" s="532"/>
      <c r="FF220" s="532"/>
      <c r="FG220" s="532"/>
      <c r="FH220" s="532"/>
      <c r="FI220" s="532"/>
      <c r="FJ220" s="532"/>
      <c r="FK220" s="532"/>
      <c r="FL220" s="532"/>
      <c r="FM220" s="532"/>
      <c r="FN220" s="532"/>
      <c r="FO220" s="532"/>
      <c r="FP220" s="532"/>
    </row>
    <row r="221" spans="1:172" ht="12" customHeight="1" x14ac:dyDescent="0.2">
      <c r="A221" s="533" t="s">
        <v>97</v>
      </c>
      <c r="B221" s="534"/>
      <c r="C221" s="208">
        <v>5</v>
      </c>
      <c r="D221" s="208">
        <v>9</v>
      </c>
      <c r="E221" s="208">
        <v>8</v>
      </c>
      <c r="F221" s="208">
        <v>8</v>
      </c>
      <c r="G221" s="208">
        <v>12</v>
      </c>
      <c r="H221" s="208">
        <f>14-6</f>
        <v>8</v>
      </c>
      <c r="I221" s="208">
        <f>11-3</f>
        <v>8</v>
      </c>
      <c r="J221" s="208">
        <v>7</v>
      </c>
      <c r="K221" s="208">
        <f>15-5</f>
        <v>10</v>
      </c>
      <c r="L221" s="562">
        <v>9</v>
      </c>
      <c r="M221" s="562">
        <v>11</v>
      </c>
      <c r="N221" s="562">
        <v>10</v>
      </c>
      <c r="O221" s="530">
        <f>SUM(C221:N221)</f>
        <v>105</v>
      </c>
      <c r="P221" s="531"/>
      <c r="Q221" s="531"/>
      <c r="R221" s="531"/>
      <c r="S221" s="531"/>
      <c r="T221" s="531"/>
      <c r="U221" s="531"/>
      <c r="V221" s="531"/>
      <c r="W221" s="531"/>
      <c r="X221" s="531"/>
      <c r="Y221" s="531"/>
      <c r="Z221" s="531"/>
      <c r="AA221" s="531"/>
      <c r="AB221" s="531"/>
      <c r="AC221" s="531"/>
      <c r="AD221" s="531"/>
      <c r="AE221" s="531"/>
      <c r="AF221" s="531"/>
      <c r="AG221" s="531"/>
      <c r="AH221" s="532"/>
      <c r="AI221" s="532"/>
      <c r="AJ221" s="532"/>
      <c r="AK221" s="532"/>
      <c r="AL221" s="532"/>
      <c r="AM221" s="532"/>
      <c r="AN221" s="532"/>
      <c r="AO221" s="532"/>
      <c r="AP221" s="532"/>
      <c r="AQ221" s="532"/>
      <c r="AR221" s="532"/>
      <c r="AS221" s="532"/>
      <c r="AT221" s="532"/>
      <c r="AU221" s="532"/>
      <c r="AV221" s="532"/>
      <c r="AW221" s="532"/>
      <c r="AX221" s="532"/>
      <c r="AY221" s="532"/>
      <c r="AZ221" s="532"/>
      <c r="BA221" s="532"/>
      <c r="BB221" s="532"/>
      <c r="BC221" s="532"/>
      <c r="BD221" s="532"/>
      <c r="BE221" s="532"/>
      <c r="BF221" s="532"/>
      <c r="BG221" s="532"/>
      <c r="BH221" s="532"/>
      <c r="BI221" s="532"/>
      <c r="BJ221" s="532"/>
      <c r="BK221" s="532"/>
      <c r="BL221" s="532"/>
      <c r="BM221" s="532"/>
      <c r="BN221" s="532"/>
      <c r="BO221" s="532"/>
      <c r="BP221" s="532"/>
      <c r="BQ221" s="532"/>
      <c r="BR221" s="532"/>
      <c r="BS221" s="532"/>
      <c r="BT221" s="532"/>
      <c r="BU221" s="532"/>
      <c r="BV221" s="532"/>
      <c r="BW221" s="532"/>
      <c r="BX221" s="532"/>
      <c r="BY221" s="532"/>
      <c r="BZ221" s="532"/>
      <c r="CA221" s="532"/>
      <c r="CB221" s="532"/>
      <c r="CC221" s="532"/>
      <c r="CD221" s="532"/>
      <c r="CE221" s="532"/>
      <c r="CF221" s="532"/>
      <c r="CG221" s="532"/>
      <c r="CH221" s="532"/>
      <c r="CI221" s="532"/>
      <c r="CJ221" s="532"/>
      <c r="CK221" s="532"/>
      <c r="CL221" s="532"/>
      <c r="CM221" s="532"/>
      <c r="CN221" s="532"/>
      <c r="CO221" s="532"/>
      <c r="CP221" s="532"/>
      <c r="CQ221" s="532"/>
      <c r="CR221" s="532"/>
      <c r="CS221" s="532"/>
      <c r="CT221" s="532"/>
      <c r="CU221" s="532"/>
      <c r="CV221" s="532"/>
      <c r="CW221" s="532"/>
      <c r="CX221" s="532"/>
      <c r="CY221" s="532"/>
      <c r="CZ221" s="532"/>
      <c r="DA221" s="532"/>
      <c r="DB221" s="532"/>
      <c r="DC221" s="532"/>
      <c r="DD221" s="532"/>
      <c r="DE221" s="532"/>
      <c r="DF221" s="532"/>
      <c r="DG221" s="532"/>
      <c r="DH221" s="532"/>
      <c r="DI221" s="532"/>
      <c r="DJ221" s="532"/>
      <c r="DK221" s="532"/>
      <c r="DL221" s="532"/>
      <c r="DM221" s="532"/>
      <c r="DN221" s="532"/>
      <c r="DO221" s="532"/>
      <c r="DP221" s="532"/>
      <c r="DQ221" s="532"/>
      <c r="DR221" s="532"/>
      <c r="DS221" s="532"/>
      <c r="DT221" s="532"/>
      <c r="DU221" s="532"/>
      <c r="DV221" s="532"/>
      <c r="DW221" s="532"/>
      <c r="DX221" s="532"/>
      <c r="DY221" s="532"/>
      <c r="DZ221" s="532"/>
      <c r="EA221" s="532"/>
      <c r="EB221" s="532"/>
      <c r="EC221" s="532"/>
      <c r="ED221" s="532"/>
      <c r="EE221" s="532"/>
      <c r="EF221" s="532"/>
      <c r="EG221" s="532"/>
      <c r="EH221" s="532"/>
      <c r="EI221" s="532"/>
      <c r="EJ221" s="532"/>
      <c r="EK221" s="532"/>
      <c r="EL221" s="532"/>
      <c r="EM221" s="532"/>
      <c r="EN221" s="532"/>
      <c r="EO221" s="532"/>
      <c r="EP221" s="532"/>
      <c r="EQ221" s="532"/>
      <c r="ER221" s="532"/>
      <c r="ES221" s="532"/>
      <c r="ET221" s="532"/>
      <c r="EU221" s="532"/>
      <c r="EV221" s="532"/>
      <c r="EW221" s="532"/>
      <c r="EX221" s="532"/>
      <c r="EY221" s="532"/>
      <c r="EZ221" s="532"/>
      <c r="FA221" s="532"/>
      <c r="FB221" s="532"/>
      <c r="FC221" s="532"/>
      <c r="FD221" s="532"/>
      <c r="FE221" s="532"/>
      <c r="FF221" s="532"/>
      <c r="FG221" s="532"/>
      <c r="FH221" s="532"/>
      <c r="FI221" s="532"/>
      <c r="FJ221" s="532"/>
      <c r="FK221" s="532"/>
      <c r="FL221" s="532"/>
      <c r="FM221" s="532"/>
      <c r="FN221" s="532"/>
      <c r="FO221" s="532"/>
      <c r="FP221" s="532"/>
    </row>
    <row r="222" spans="1:172" ht="12" customHeight="1" x14ac:dyDescent="0.2">
      <c r="A222" s="533" t="s">
        <v>98</v>
      </c>
      <c r="B222" s="534"/>
      <c r="C222" s="208">
        <v>0</v>
      </c>
      <c r="D222" s="208">
        <v>0</v>
      </c>
      <c r="E222" s="208">
        <v>0</v>
      </c>
      <c r="F222" s="208">
        <v>0</v>
      </c>
      <c r="G222" s="208">
        <v>0</v>
      </c>
      <c r="H222" s="208">
        <v>0</v>
      </c>
      <c r="I222" s="208">
        <v>0</v>
      </c>
      <c r="J222" s="208">
        <v>0</v>
      </c>
      <c r="K222" s="208">
        <v>0</v>
      </c>
      <c r="L222" s="562">
        <v>0</v>
      </c>
      <c r="M222" s="562">
        <v>0</v>
      </c>
      <c r="N222" s="562">
        <v>0</v>
      </c>
      <c r="O222" s="530">
        <f t="shared" ref="O222:O228" si="128">SUM(C222:N222)</f>
        <v>0</v>
      </c>
      <c r="P222" s="531"/>
      <c r="Q222" s="531"/>
      <c r="R222" s="531"/>
      <c r="S222" s="531"/>
      <c r="T222" s="531"/>
      <c r="U222" s="531"/>
      <c r="V222" s="531"/>
      <c r="W222" s="531"/>
      <c r="X222" s="531"/>
      <c r="Y222" s="531"/>
      <c r="Z222" s="531"/>
      <c r="AA222" s="531"/>
      <c r="AB222" s="531"/>
      <c r="AC222" s="531"/>
      <c r="AD222" s="531"/>
      <c r="AE222" s="531"/>
      <c r="AF222" s="531"/>
      <c r="AG222" s="531"/>
      <c r="AH222" s="532"/>
      <c r="AI222" s="532"/>
      <c r="AJ222" s="532"/>
      <c r="AK222" s="532"/>
      <c r="AL222" s="532"/>
      <c r="AM222" s="532"/>
      <c r="AN222" s="532"/>
      <c r="AO222" s="532"/>
      <c r="AP222" s="532"/>
      <c r="AQ222" s="532"/>
      <c r="AR222" s="532"/>
      <c r="AS222" s="532"/>
      <c r="AT222" s="532"/>
      <c r="AU222" s="532"/>
      <c r="AV222" s="532"/>
      <c r="AW222" s="532"/>
      <c r="AX222" s="532"/>
      <c r="AY222" s="532"/>
      <c r="AZ222" s="532"/>
      <c r="BA222" s="532"/>
      <c r="BB222" s="532"/>
      <c r="BC222" s="532"/>
      <c r="BD222" s="532"/>
      <c r="BE222" s="532"/>
      <c r="BF222" s="532"/>
      <c r="BG222" s="532"/>
      <c r="BH222" s="532"/>
      <c r="BI222" s="532"/>
      <c r="BJ222" s="532"/>
      <c r="BK222" s="532"/>
      <c r="BL222" s="532"/>
      <c r="BM222" s="532"/>
      <c r="BN222" s="532"/>
      <c r="BO222" s="532"/>
      <c r="BP222" s="532"/>
      <c r="BQ222" s="532"/>
      <c r="BR222" s="532"/>
      <c r="BS222" s="532"/>
      <c r="BT222" s="532"/>
      <c r="BU222" s="532"/>
      <c r="BV222" s="532"/>
      <c r="BW222" s="532"/>
      <c r="BX222" s="532"/>
      <c r="BY222" s="532"/>
      <c r="BZ222" s="532"/>
      <c r="CA222" s="532"/>
      <c r="CB222" s="532"/>
      <c r="CC222" s="532"/>
      <c r="CD222" s="532"/>
      <c r="CE222" s="532"/>
      <c r="CF222" s="532"/>
      <c r="CG222" s="532"/>
      <c r="CH222" s="532"/>
      <c r="CI222" s="532"/>
      <c r="CJ222" s="532"/>
      <c r="CK222" s="532"/>
      <c r="CL222" s="532"/>
      <c r="CM222" s="532"/>
      <c r="CN222" s="532"/>
      <c r="CO222" s="532"/>
      <c r="CP222" s="532"/>
      <c r="CQ222" s="532"/>
      <c r="CR222" s="532"/>
      <c r="CS222" s="532"/>
      <c r="CT222" s="532"/>
      <c r="CU222" s="532"/>
      <c r="CV222" s="532"/>
      <c r="CW222" s="532"/>
      <c r="CX222" s="532"/>
      <c r="CY222" s="532"/>
      <c r="CZ222" s="532"/>
      <c r="DA222" s="532"/>
      <c r="DB222" s="532"/>
      <c r="DC222" s="532"/>
      <c r="DD222" s="532"/>
      <c r="DE222" s="532"/>
      <c r="DF222" s="532"/>
      <c r="DG222" s="532"/>
      <c r="DH222" s="532"/>
      <c r="DI222" s="532"/>
      <c r="DJ222" s="532"/>
      <c r="DK222" s="532"/>
      <c r="DL222" s="532"/>
      <c r="DM222" s="532"/>
      <c r="DN222" s="532"/>
      <c r="DO222" s="532"/>
      <c r="DP222" s="532"/>
      <c r="DQ222" s="532"/>
      <c r="DR222" s="532"/>
      <c r="DS222" s="532"/>
      <c r="DT222" s="532"/>
      <c r="DU222" s="532"/>
      <c r="DV222" s="532"/>
      <c r="DW222" s="532"/>
      <c r="DX222" s="532"/>
      <c r="DY222" s="532"/>
      <c r="DZ222" s="532"/>
      <c r="EA222" s="532"/>
      <c r="EB222" s="532"/>
      <c r="EC222" s="532"/>
      <c r="ED222" s="532"/>
      <c r="EE222" s="532"/>
      <c r="EF222" s="532"/>
      <c r="EG222" s="532"/>
      <c r="EH222" s="532"/>
      <c r="EI222" s="532"/>
      <c r="EJ222" s="532"/>
      <c r="EK222" s="532"/>
      <c r="EL222" s="532"/>
      <c r="EM222" s="532"/>
      <c r="EN222" s="532"/>
      <c r="EO222" s="532"/>
      <c r="EP222" s="532"/>
      <c r="EQ222" s="532"/>
      <c r="ER222" s="532"/>
      <c r="ES222" s="532"/>
      <c r="ET222" s="532"/>
      <c r="EU222" s="532"/>
      <c r="EV222" s="532"/>
      <c r="EW222" s="532"/>
      <c r="EX222" s="532"/>
      <c r="EY222" s="532"/>
      <c r="EZ222" s="532"/>
      <c r="FA222" s="532"/>
      <c r="FB222" s="532"/>
      <c r="FC222" s="532"/>
      <c r="FD222" s="532"/>
      <c r="FE222" s="532"/>
      <c r="FF222" s="532"/>
      <c r="FG222" s="532"/>
      <c r="FH222" s="532"/>
      <c r="FI222" s="532"/>
      <c r="FJ222" s="532"/>
      <c r="FK222" s="532"/>
      <c r="FL222" s="532"/>
      <c r="FM222" s="532"/>
      <c r="FN222" s="532"/>
      <c r="FO222" s="532"/>
      <c r="FP222" s="532"/>
    </row>
    <row r="223" spans="1:172" ht="12" customHeight="1" x14ac:dyDescent="0.2">
      <c r="A223" s="533" t="s">
        <v>99</v>
      </c>
      <c r="B223" s="534"/>
      <c r="C223" s="208">
        <v>0</v>
      </c>
      <c r="D223" s="208">
        <v>0</v>
      </c>
      <c r="E223" s="208">
        <v>0</v>
      </c>
      <c r="F223" s="208">
        <v>0</v>
      </c>
      <c r="G223" s="208">
        <v>0</v>
      </c>
      <c r="H223" s="208">
        <v>0</v>
      </c>
      <c r="I223" s="208">
        <v>0</v>
      </c>
      <c r="J223" s="208">
        <v>0</v>
      </c>
      <c r="K223" s="208">
        <v>0</v>
      </c>
      <c r="L223" s="562">
        <v>0</v>
      </c>
      <c r="M223" s="562">
        <v>0</v>
      </c>
      <c r="N223" s="562">
        <v>0</v>
      </c>
      <c r="O223" s="530">
        <f t="shared" si="128"/>
        <v>0</v>
      </c>
      <c r="P223" s="531"/>
      <c r="Q223" s="531"/>
      <c r="R223" s="531"/>
      <c r="S223" s="531"/>
      <c r="T223" s="531"/>
      <c r="U223" s="531"/>
      <c r="V223" s="531"/>
      <c r="W223" s="531"/>
      <c r="X223" s="531"/>
      <c r="Y223" s="531"/>
      <c r="Z223" s="531"/>
      <c r="AA223" s="531"/>
      <c r="AB223" s="531"/>
      <c r="AC223" s="531"/>
      <c r="AD223" s="531"/>
      <c r="AE223" s="531"/>
      <c r="AF223" s="531"/>
      <c r="AG223" s="531"/>
      <c r="AH223" s="532"/>
      <c r="AI223" s="532"/>
      <c r="AJ223" s="532"/>
      <c r="AK223" s="532"/>
      <c r="AL223" s="532"/>
      <c r="AM223" s="532"/>
      <c r="AN223" s="532"/>
      <c r="AO223" s="532"/>
      <c r="AP223" s="532"/>
      <c r="AQ223" s="532"/>
      <c r="AR223" s="532"/>
      <c r="AS223" s="532"/>
      <c r="AT223" s="532"/>
      <c r="AU223" s="532"/>
      <c r="AV223" s="532"/>
      <c r="AW223" s="532"/>
      <c r="AX223" s="532"/>
      <c r="AY223" s="532"/>
      <c r="AZ223" s="532"/>
      <c r="BA223" s="532"/>
      <c r="BB223" s="532"/>
      <c r="BC223" s="532"/>
      <c r="BD223" s="532"/>
      <c r="BE223" s="532"/>
      <c r="BF223" s="532"/>
      <c r="BG223" s="532"/>
      <c r="BH223" s="532"/>
      <c r="BI223" s="532"/>
      <c r="BJ223" s="532"/>
      <c r="BK223" s="532"/>
      <c r="BL223" s="532"/>
      <c r="BM223" s="532"/>
      <c r="BN223" s="532"/>
      <c r="BO223" s="532"/>
      <c r="BP223" s="532"/>
      <c r="BQ223" s="532"/>
      <c r="BR223" s="532"/>
      <c r="BS223" s="532"/>
      <c r="BT223" s="532"/>
      <c r="BU223" s="532"/>
      <c r="BV223" s="532"/>
      <c r="BW223" s="532"/>
      <c r="BX223" s="532"/>
      <c r="BY223" s="532"/>
      <c r="BZ223" s="532"/>
      <c r="CA223" s="532"/>
      <c r="CB223" s="532"/>
      <c r="CC223" s="532"/>
      <c r="CD223" s="532"/>
      <c r="CE223" s="532"/>
      <c r="CF223" s="532"/>
      <c r="CG223" s="532"/>
      <c r="CH223" s="532"/>
      <c r="CI223" s="532"/>
      <c r="CJ223" s="532"/>
      <c r="CK223" s="532"/>
      <c r="CL223" s="532"/>
      <c r="CM223" s="532"/>
      <c r="CN223" s="532"/>
      <c r="CO223" s="532"/>
      <c r="CP223" s="532"/>
      <c r="CQ223" s="532"/>
      <c r="CR223" s="532"/>
      <c r="CS223" s="532"/>
      <c r="CT223" s="532"/>
      <c r="CU223" s="532"/>
      <c r="CV223" s="532"/>
      <c r="CW223" s="532"/>
      <c r="CX223" s="532"/>
      <c r="CY223" s="532"/>
      <c r="CZ223" s="532"/>
      <c r="DA223" s="532"/>
      <c r="DB223" s="532"/>
      <c r="DC223" s="532"/>
      <c r="DD223" s="532"/>
      <c r="DE223" s="532"/>
      <c r="DF223" s="532"/>
      <c r="DG223" s="532"/>
      <c r="DH223" s="532"/>
      <c r="DI223" s="532"/>
      <c r="DJ223" s="532"/>
      <c r="DK223" s="532"/>
      <c r="DL223" s="532"/>
      <c r="DM223" s="532"/>
      <c r="DN223" s="532"/>
      <c r="DO223" s="532"/>
      <c r="DP223" s="532"/>
      <c r="DQ223" s="532"/>
      <c r="DR223" s="532"/>
      <c r="DS223" s="532"/>
      <c r="DT223" s="532"/>
      <c r="DU223" s="532"/>
      <c r="DV223" s="532"/>
      <c r="DW223" s="532"/>
      <c r="DX223" s="532"/>
      <c r="DY223" s="532"/>
      <c r="DZ223" s="532"/>
      <c r="EA223" s="532"/>
      <c r="EB223" s="532"/>
      <c r="EC223" s="532"/>
      <c r="ED223" s="532"/>
      <c r="EE223" s="532"/>
      <c r="EF223" s="532"/>
      <c r="EG223" s="532"/>
      <c r="EH223" s="532"/>
      <c r="EI223" s="532"/>
      <c r="EJ223" s="532"/>
      <c r="EK223" s="532"/>
      <c r="EL223" s="532"/>
      <c r="EM223" s="532"/>
      <c r="EN223" s="532"/>
      <c r="EO223" s="532"/>
      <c r="EP223" s="532"/>
      <c r="EQ223" s="532"/>
      <c r="ER223" s="532"/>
      <c r="ES223" s="532"/>
      <c r="ET223" s="532"/>
      <c r="EU223" s="532"/>
      <c r="EV223" s="532"/>
      <c r="EW223" s="532"/>
      <c r="EX223" s="532"/>
      <c r="EY223" s="532"/>
      <c r="EZ223" s="532"/>
      <c r="FA223" s="532"/>
      <c r="FB223" s="532"/>
      <c r="FC223" s="532"/>
      <c r="FD223" s="532"/>
      <c r="FE223" s="532"/>
      <c r="FF223" s="532"/>
      <c r="FG223" s="532"/>
      <c r="FH223" s="532"/>
      <c r="FI223" s="532"/>
      <c r="FJ223" s="532"/>
      <c r="FK223" s="532"/>
      <c r="FL223" s="532"/>
      <c r="FM223" s="532"/>
      <c r="FN223" s="532"/>
      <c r="FO223" s="532"/>
      <c r="FP223" s="532"/>
    </row>
    <row r="224" spans="1:172" ht="12" customHeight="1" x14ac:dyDescent="0.2">
      <c r="A224" s="533" t="s">
        <v>109</v>
      </c>
      <c r="B224" s="534"/>
      <c r="C224" s="208">
        <v>0</v>
      </c>
      <c r="D224" s="208">
        <v>0</v>
      </c>
      <c r="E224" s="208">
        <v>0</v>
      </c>
      <c r="F224" s="208">
        <v>0</v>
      </c>
      <c r="G224" s="208">
        <v>0</v>
      </c>
      <c r="H224" s="208">
        <v>0</v>
      </c>
      <c r="I224" s="208">
        <v>0</v>
      </c>
      <c r="J224" s="208">
        <v>0</v>
      </c>
      <c r="K224" s="208">
        <v>0</v>
      </c>
      <c r="L224" s="562">
        <v>0</v>
      </c>
      <c r="M224" s="562">
        <v>0</v>
      </c>
      <c r="N224" s="562">
        <v>0</v>
      </c>
      <c r="O224" s="530">
        <f t="shared" si="128"/>
        <v>0</v>
      </c>
      <c r="P224" s="531"/>
      <c r="Q224" s="531"/>
      <c r="R224" s="531"/>
      <c r="S224" s="531"/>
      <c r="T224" s="531"/>
      <c r="U224" s="531"/>
      <c r="V224" s="531"/>
      <c r="W224" s="531"/>
      <c r="X224" s="531"/>
      <c r="Y224" s="531"/>
      <c r="Z224" s="531"/>
      <c r="AA224" s="531"/>
      <c r="AB224" s="531"/>
      <c r="AC224" s="531"/>
      <c r="AD224" s="531"/>
      <c r="AE224" s="531"/>
      <c r="AF224" s="531"/>
      <c r="AG224" s="531"/>
      <c r="AH224" s="532"/>
      <c r="AI224" s="532"/>
      <c r="AJ224" s="532"/>
      <c r="AK224" s="532"/>
      <c r="AL224" s="532"/>
      <c r="AM224" s="532"/>
      <c r="AN224" s="532"/>
      <c r="AO224" s="532"/>
      <c r="AP224" s="532"/>
      <c r="AQ224" s="532"/>
      <c r="AR224" s="532"/>
      <c r="AS224" s="532"/>
      <c r="AT224" s="532"/>
      <c r="AU224" s="532"/>
      <c r="AV224" s="532"/>
      <c r="AW224" s="532"/>
      <c r="AX224" s="532"/>
      <c r="AY224" s="532"/>
      <c r="AZ224" s="532"/>
      <c r="BA224" s="532"/>
      <c r="BB224" s="532"/>
      <c r="BC224" s="532"/>
      <c r="BD224" s="532"/>
      <c r="BE224" s="532"/>
      <c r="BF224" s="532"/>
      <c r="BG224" s="532"/>
      <c r="BH224" s="532"/>
      <c r="BI224" s="532"/>
      <c r="BJ224" s="532"/>
      <c r="BK224" s="532"/>
      <c r="BL224" s="532"/>
      <c r="BM224" s="532"/>
      <c r="BN224" s="532"/>
      <c r="BO224" s="532"/>
      <c r="BP224" s="532"/>
      <c r="BQ224" s="532"/>
      <c r="BR224" s="532"/>
      <c r="BS224" s="532"/>
      <c r="BT224" s="532"/>
      <c r="BU224" s="532"/>
      <c r="BV224" s="532"/>
      <c r="BW224" s="532"/>
      <c r="BX224" s="532"/>
      <c r="BY224" s="532"/>
      <c r="BZ224" s="532"/>
      <c r="CA224" s="532"/>
      <c r="CB224" s="532"/>
      <c r="CC224" s="532"/>
      <c r="CD224" s="532"/>
      <c r="CE224" s="532"/>
      <c r="CF224" s="532"/>
      <c r="CG224" s="532"/>
      <c r="CH224" s="532"/>
      <c r="CI224" s="532"/>
      <c r="CJ224" s="532"/>
      <c r="CK224" s="532"/>
      <c r="CL224" s="532"/>
      <c r="CM224" s="532"/>
      <c r="CN224" s="532"/>
      <c r="CO224" s="532"/>
      <c r="CP224" s="532"/>
      <c r="CQ224" s="532"/>
      <c r="CR224" s="532"/>
      <c r="CS224" s="532"/>
      <c r="CT224" s="532"/>
      <c r="CU224" s="532"/>
      <c r="CV224" s="532"/>
      <c r="CW224" s="532"/>
      <c r="CX224" s="532"/>
      <c r="CY224" s="532"/>
      <c r="CZ224" s="532"/>
      <c r="DA224" s="532"/>
      <c r="DB224" s="532"/>
      <c r="DC224" s="532"/>
      <c r="DD224" s="532"/>
      <c r="DE224" s="532"/>
      <c r="DF224" s="532"/>
      <c r="DG224" s="532"/>
      <c r="DH224" s="532"/>
      <c r="DI224" s="532"/>
      <c r="DJ224" s="532"/>
      <c r="DK224" s="532"/>
      <c r="DL224" s="532"/>
      <c r="DM224" s="532"/>
      <c r="DN224" s="532"/>
      <c r="DO224" s="532"/>
      <c r="DP224" s="532"/>
      <c r="DQ224" s="532"/>
      <c r="DR224" s="532"/>
      <c r="DS224" s="532"/>
      <c r="DT224" s="532"/>
      <c r="DU224" s="532"/>
      <c r="DV224" s="532"/>
      <c r="DW224" s="532"/>
      <c r="DX224" s="532"/>
      <c r="DY224" s="532"/>
      <c r="DZ224" s="532"/>
      <c r="EA224" s="532"/>
      <c r="EB224" s="532"/>
      <c r="EC224" s="532"/>
      <c r="ED224" s="532"/>
      <c r="EE224" s="532"/>
      <c r="EF224" s="532"/>
      <c r="EG224" s="532"/>
      <c r="EH224" s="532"/>
      <c r="EI224" s="532"/>
      <c r="EJ224" s="532"/>
      <c r="EK224" s="532"/>
      <c r="EL224" s="532"/>
      <c r="EM224" s="532"/>
      <c r="EN224" s="532"/>
      <c r="EO224" s="532"/>
      <c r="EP224" s="532"/>
      <c r="EQ224" s="532"/>
      <c r="ER224" s="532"/>
      <c r="ES224" s="532"/>
      <c r="ET224" s="532"/>
      <c r="EU224" s="532"/>
      <c r="EV224" s="532"/>
      <c r="EW224" s="532"/>
      <c r="EX224" s="532"/>
      <c r="EY224" s="532"/>
      <c r="EZ224" s="532"/>
      <c r="FA224" s="532"/>
      <c r="FB224" s="532"/>
      <c r="FC224" s="532"/>
      <c r="FD224" s="532"/>
      <c r="FE224" s="532"/>
      <c r="FF224" s="532"/>
      <c r="FG224" s="532"/>
      <c r="FH224" s="532"/>
      <c r="FI224" s="532"/>
      <c r="FJ224" s="532"/>
      <c r="FK224" s="532"/>
      <c r="FL224" s="532"/>
      <c r="FM224" s="532"/>
      <c r="FN224" s="532"/>
      <c r="FO224" s="532"/>
      <c r="FP224" s="532"/>
    </row>
    <row r="225" spans="1:172" ht="12" customHeight="1" x14ac:dyDescent="0.2">
      <c r="A225" s="533" t="s">
        <v>110</v>
      </c>
      <c r="B225" s="534"/>
      <c r="C225" s="208">
        <v>0</v>
      </c>
      <c r="D225" s="208">
        <v>0</v>
      </c>
      <c r="E225" s="208">
        <v>0</v>
      </c>
      <c r="F225" s="208">
        <v>0</v>
      </c>
      <c r="G225" s="208">
        <v>0</v>
      </c>
      <c r="H225" s="208">
        <v>0</v>
      </c>
      <c r="I225" s="208">
        <v>0</v>
      </c>
      <c r="J225" s="208">
        <v>0</v>
      </c>
      <c r="K225" s="208">
        <v>0</v>
      </c>
      <c r="L225" s="562">
        <v>0</v>
      </c>
      <c r="M225" s="562">
        <v>0</v>
      </c>
      <c r="N225" s="562">
        <v>0</v>
      </c>
      <c r="O225" s="530">
        <f t="shared" si="128"/>
        <v>0</v>
      </c>
      <c r="P225" s="531"/>
      <c r="Q225" s="531"/>
      <c r="R225" s="531"/>
      <c r="S225" s="531"/>
      <c r="T225" s="531"/>
      <c r="U225" s="531"/>
      <c r="V225" s="531"/>
      <c r="W225" s="531"/>
      <c r="X225" s="531"/>
      <c r="Y225" s="531"/>
      <c r="Z225" s="531"/>
      <c r="AA225" s="531"/>
      <c r="AB225" s="531"/>
      <c r="AC225" s="531"/>
      <c r="AD225" s="531"/>
      <c r="AE225" s="531"/>
      <c r="AF225" s="531"/>
      <c r="AG225" s="531"/>
      <c r="AH225" s="532"/>
      <c r="AI225" s="532"/>
      <c r="AJ225" s="532"/>
      <c r="AK225" s="532"/>
      <c r="AL225" s="532"/>
      <c r="AM225" s="532"/>
      <c r="AN225" s="532"/>
      <c r="AO225" s="532"/>
      <c r="AP225" s="532"/>
      <c r="AQ225" s="532"/>
      <c r="AR225" s="532"/>
      <c r="AS225" s="532"/>
      <c r="AT225" s="532"/>
      <c r="AU225" s="532"/>
      <c r="AV225" s="532"/>
      <c r="AW225" s="532"/>
      <c r="AX225" s="532"/>
      <c r="AY225" s="532"/>
      <c r="AZ225" s="532"/>
      <c r="BA225" s="532"/>
      <c r="BB225" s="532"/>
      <c r="BC225" s="532"/>
      <c r="BD225" s="532"/>
      <c r="BE225" s="532"/>
      <c r="BF225" s="532"/>
      <c r="BG225" s="532"/>
      <c r="BH225" s="532"/>
      <c r="BI225" s="532"/>
      <c r="BJ225" s="532"/>
      <c r="BK225" s="532"/>
      <c r="BL225" s="532"/>
      <c r="BM225" s="532"/>
      <c r="BN225" s="532"/>
      <c r="BO225" s="532"/>
      <c r="BP225" s="532"/>
      <c r="BQ225" s="532"/>
      <c r="BR225" s="532"/>
      <c r="BS225" s="532"/>
      <c r="BT225" s="532"/>
      <c r="BU225" s="532"/>
      <c r="BV225" s="532"/>
      <c r="BW225" s="532"/>
      <c r="BX225" s="532"/>
      <c r="BY225" s="532"/>
      <c r="BZ225" s="532"/>
      <c r="CA225" s="532"/>
      <c r="CB225" s="532"/>
      <c r="CC225" s="532"/>
      <c r="CD225" s="532"/>
      <c r="CE225" s="532"/>
      <c r="CF225" s="532"/>
      <c r="CG225" s="532"/>
      <c r="CH225" s="532"/>
      <c r="CI225" s="532"/>
      <c r="CJ225" s="532"/>
      <c r="CK225" s="532"/>
      <c r="CL225" s="532"/>
      <c r="CM225" s="532"/>
      <c r="CN225" s="532"/>
      <c r="CO225" s="532"/>
      <c r="CP225" s="532"/>
      <c r="CQ225" s="532"/>
      <c r="CR225" s="532"/>
      <c r="CS225" s="532"/>
      <c r="CT225" s="532"/>
      <c r="CU225" s="532"/>
      <c r="CV225" s="532"/>
      <c r="CW225" s="532"/>
      <c r="CX225" s="532"/>
      <c r="CY225" s="532"/>
      <c r="CZ225" s="532"/>
      <c r="DA225" s="532"/>
      <c r="DB225" s="532"/>
      <c r="DC225" s="532"/>
      <c r="DD225" s="532"/>
      <c r="DE225" s="532"/>
      <c r="DF225" s="532"/>
      <c r="DG225" s="532"/>
      <c r="DH225" s="532"/>
      <c r="DI225" s="532"/>
      <c r="DJ225" s="532"/>
      <c r="DK225" s="532"/>
      <c r="DL225" s="532"/>
      <c r="DM225" s="532"/>
      <c r="DN225" s="532"/>
      <c r="DO225" s="532"/>
      <c r="DP225" s="532"/>
      <c r="DQ225" s="532"/>
      <c r="DR225" s="532"/>
      <c r="DS225" s="532"/>
      <c r="DT225" s="532"/>
      <c r="DU225" s="532"/>
      <c r="DV225" s="532"/>
      <c r="DW225" s="532"/>
      <c r="DX225" s="532"/>
      <c r="DY225" s="532"/>
      <c r="DZ225" s="532"/>
      <c r="EA225" s="532"/>
      <c r="EB225" s="532"/>
      <c r="EC225" s="532"/>
      <c r="ED225" s="532"/>
      <c r="EE225" s="532"/>
      <c r="EF225" s="532"/>
      <c r="EG225" s="532"/>
      <c r="EH225" s="532"/>
      <c r="EI225" s="532"/>
      <c r="EJ225" s="532"/>
      <c r="EK225" s="532"/>
      <c r="EL225" s="532"/>
      <c r="EM225" s="532"/>
      <c r="EN225" s="532"/>
      <c r="EO225" s="532"/>
      <c r="EP225" s="532"/>
      <c r="EQ225" s="532"/>
      <c r="ER225" s="532"/>
      <c r="ES225" s="532"/>
      <c r="ET225" s="532"/>
      <c r="EU225" s="532"/>
      <c r="EV225" s="532"/>
      <c r="EW225" s="532"/>
      <c r="EX225" s="532"/>
      <c r="EY225" s="532"/>
      <c r="EZ225" s="532"/>
      <c r="FA225" s="532"/>
      <c r="FB225" s="532"/>
      <c r="FC225" s="532"/>
      <c r="FD225" s="532"/>
      <c r="FE225" s="532"/>
      <c r="FF225" s="532"/>
      <c r="FG225" s="532"/>
      <c r="FH225" s="532"/>
      <c r="FI225" s="532"/>
      <c r="FJ225" s="532"/>
      <c r="FK225" s="532"/>
      <c r="FL225" s="532"/>
      <c r="FM225" s="532"/>
      <c r="FN225" s="532"/>
      <c r="FO225" s="532"/>
      <c r="FP225" s="532"/>
    </row>
    <row r="226" spans="1:172" ht="12" customHeight="1" x14ac:dyDescent="0.2">
      <c r="A226" s="533" t="s">
        <v>102</v>
      </c>
      <c r="B226" s="551"/>
      <c r="C226" s="208">
        <v>0</v>
      </c>
      <c r="D226" s="208">
        <v>0</v>
      </c>
      <c r="E226" s="208">
        <v>0</v>
      </c>
      <c r="F226" s="208">
        <v>0</v>
      </c>
      <c r="G226" s="208">
        <v>0</v>
      </c>
      <c r="H226" s="208">
        <v>0</v>
      </c>
      <c r="I226" s="208">
        <v>0</v>
      </c>
      <c r="J226" s="208">
        <v>0</v>
      </c>
      <c r="K226" s="208">
        <v>0</v>
      </c>
      <c r="L226" s="562">
        <v>0</v>
      </c>
      <c r="M226" s="562">
        <v>0</v>
      </c>
      <c r="N226" s="562">
        <v>0</v>
      </c>
      <c r="O226" s="530">
        <f t="shared" si="128"/>
        <v>0</v>
      </c>
      <c r="P226" s="531"/>
      <c r="Q226" s="531"/>
      <c r="R226" s="531"/>
      <c r="S226" s="531"/>
      <c r="T226" s="531"/>
      <c r="U226" s="531"/>
      <c r="V226" s="531"/>
      <c r="W226" s="531"/>
      <c r="X226" s="531"/>
      <c r="Y226" s="531"/>
      <c r="Z226" s="531"/>
      <c r="AA226" s="531"/>
      <c r="AB226" s="531"/>
      <c r="AC226" s="531"/>
      <c r="AD226" s="531"/>
      <c r="AE226" s="531"/>
      <c r="AF226" s="531"/>
      <c r="AG226" s="531"/>
      <c r="AH226" s="532"/>
      <c r="AI226" s="532"/>
      <c r="AJ226" s="532"/>
      <c r="AK226" s="532"/>
      <c r="AL226" s="532"/>
      <c r="AM226" s="532"/>
      <c r="AN226" s="532"/>
      <c r="AO226" s="532"/>
      <c r="AP226" s="532"/>
      <c r="AQ226" s="532"/>
      <c r="AR226" s="532"/>
      <c r="AS226" s="532"/>
      <c r="AT226" s="532"/>
      <c r="AU226" s="532"/>
      <c r="AV226" s="532"/>
      <c r="AW226" s="532"/>
      <c r="AX226" s="532"/>
      <c r="AY226" s="532"/>
      <c r="AZ226" s="532"/>
      <c r="BA226" s="532"/>
      <c r="BB226" s="532"/>
      <c r="BC226" s="532"/>
      <c r="BD226" s="532"/>
      <c r="BE226" s="532"/>
      <c r="BF226" s="532"/>
      <c r="BG226" s="532"/>
      <c r="BH226" s="532"/>
      <c r="BI226" s="532"/>
      <c r="BJ226" s="532"/>
      <c r="BK226" s="532"/>
      <c r="BL226" s="532"/>
      <c r="BM226" s="532"/>
      <c r="BN226" s="532"/>
      <c r="BO226" s="532"/>
      <c r="BP226" s="532"/>
      <c r="BQ226" s="532"/>
      <c r="BR226" s="532"/>
      <c r="BS226" s="532"/>
      <c r="BT226" s="532"/>
      <c r="BU226" s="532"/>
      <c r="BV226" s="532"/>
      <c r="BW226" s="532"/>
      <c r="BX226" s="532"/>
      <c r="BY226" s="532"/>
      <c r="BZ226" s="532"/>
      <c r="CA226" s="532"/>
      <c r="CB226" s="532"/>
      <c r="CC226" s="532"/>
      <c r="CD226" s="532"/>
      <c r="CE226" s="532"/>
      <c r="CF226" s="532"/>
      <c r="CG226" s="532"/>
      <c r="CH226" s="532"/>
      <c r="CI226" s="532"/>
      <c r="CJ226" s="532"/>
      <c r="CK226" s="532"/>
      <c r="CL226" s="532"/>
      <c r="CM226" s="532"/>
      <c r="CN226" s="532"/>
      <c r="CO226" s="532"/>
      <c r="CP226" s="532"/>
      <c r="CQ226" s="532"/>
      <c r="CR226" s="532"/>
      <c r="CS226" s="532"/>
      <c r="CT226" s="532"/>
      <c r="CU226" s="532"/>
      <c r="CV226" s="532"/>
      <c r="CW226" s="532"/>
      <c r="CX226" s="532"/>
      <c r="CY226" s="532"/>
      <c r="CZ226" s="532"/>
      <c r="DA226" s="532"/>
      <c r="DB226" s="532"/>
      <c r="DC226" s="532"/>
      <c r="DD226" s="532"/>
      <c r="DE226" s="532"/>
      <c r="DF226" s="532"/>
      <c r="DG226" s="532"/>
      <c r="DH226" s="532"/>
      <c r="DI226" s="532"/>
      <c r="DJ226" s="532"/>
      <c r="DK226" s="532"/>
      <c r="DL226" s="532"/>
      <c r="DM226" s="532"/>
      <c r="DN226" s="532"/>
      <c r="DO226" s="532"/>
      <c r="DP226" s="532"/>
      <c r="DQ226" s="532"/>
      <c r="DR226" s="532"/>
      <c r="DS226" s="532"/>
      <c r="DT226" s="532"/>
      <c r="DU226" s="532"/>
      <c r="DV226" s="532"/>
      <c r="DW226" s="532"/>
      <c r="DX226" s="532"/>
      <c r="DY226" s="532"/>
      <c r="DZ226" s="532"/>
      <c r="EA226" s="532"/>
      <c r="EB226" s="532"/>
      <c r="EC226" s="532"/>
      <c r="ED226" s="532"/>
      <c r="EE226" s="532"/>
      <c r="EF226" s="532"/>
      <c r="EG226" s="532"/>
      <c r="EH226" s="532"/>
      <c r="EI226" s="532"/>
      <c r="EJ226" s="532"/>
      <c r="EK226" s="532"/>
      <c r="EL226" s="532"/>
      <c r="EM226" s="532"/>
      <c r="EN226" s="532"/>
      <c r="EO226" s="532"/>
      <c r="EP226" s="532"/>
      <c r="EQ226" s="532"/>
      <c r="ER226" s="532"/>
      <c r="ES226" s="532"/>
      <c r="ET226" s="532"/>
      <c r="EU226" s="532"/>
      <c r="EV226" s="532"/>
      <c r="EW226" s="532"/>
      <c r="EX226" s="532"/>
      <c r="EY226" s="532"/>
      <c r="EZ226" s="532"/>
      <c r="FA226" s="532"/>
      <c r="FB226" s="532"/>
      <c r="FC226" s="532"/>
      <c r="FD226" s="532"/>
      <c r="FE226" s="532"/>
      <c r="FF226" s="532"/>
      <c r="FG226" s="532"/>
      <c r="FH226" s="532"/>
      <c r="FI226" s="532"/>
      <c r="FJ226" s="532"/>
      <c r="FK226" s="532"/>
      <c r="FL226" s="532"/>
      <c r="FM226" s="532"/>
      <c r="FN226" s="532"/>
      <c r="FO226" s="532"/>
      <c r="FP226" s="532"/>
    </row>
    <row r="227" spans="1:172" ht="12" customHeight="1" x14ac:dyDescent="0.2">
      <c r="A227" s="533" t="s">
        <v>111</v>
      </c>
      <c r="B227" s="534"/>
      <c r="C227" s="208">
        <v>0</v>
      </c>
      <c r="D227" s="208">
        <v>0</v>
      </c>
      <c r="E227" s="208">
        <v>0</v>
      </c>
      <c r="F227" s="208">
        <v>0</v>
      </c>
      <c r="G227" s="208">
        <v>0</v>
      </c>
      <c r="H227" s="208">
        <v>0</v>
      </c>
      <c r="I227" s="208">
        <v>0</v>
      </c>
      <c r="J227" s="208">
        <v>0</v>
      </c>
      <c r="K227" s="208">
        <v>0</v>
      </c>
      <c r="L227" s="562">
        <v>1</v>
      </c>
      <c r="M227" s="562">
        <v>0</v>
      </c>
      <c r="N227" s="562">
        <v>0</v>
      </c>
      <c r="O227" s="530">
        <f t="shared" si="128"/>
        <v>1</v>
      </c>
      <c r="P227" s="531"/>
      <c r="Q227" s="531"/>
      <c r="R227" s="531"/>
      <c r="S227" s="531"/>
      <c r="T227" s="531"/>
      <c r="U227" s="531"/>
      <c r="V227" s="531"/>
      <c r="W227" s="531"/>
      <c r="X227" s="531"/>
      <c r="Y227" s="531"/>
      <c r="Z227" s="531"/>
      <c r="AA227" s="531"/>
      <c r="AB227" s="531"/>
      <c r="AC227" s="531"/>
      <c r="AD227" s="531"/>
      <c r="AE227" s="531"/>
      <c r="AF227" s="531"/>
      <c r="AG227" s="531"/>
      <c r="AH227" s="532"/>
      <c r="AI227" s="532"/>
      <c r="AJ227" s="532"/>
      <c r="AK227" s="532"/>
      <c r="AL227" s="532"/>
      <c r="AM227" s="532"/>
      <c r="AN227" s="532"/>
      <c r="AO227" s="532"/>
      <c r="AP227" s="532"/>
      <c r="AQ227" s="532"/>
      <c r="AR227" s="532"/>
      <c r="AS227" s="532"/>
      <c r="AT227" s="532"/>
      <c r="AU227" s="532"/>
      <c r="AV227" s="532"/>
      <c r="AW227" s="532"/>
      <c r="AX227" s="532"/>
      <c r="AY227" s="532"/>
      <c r="AZ227" s="532"/>
      <c r="BA227" s="532"/>
      <c r="BB227" s="532"/>
      <c r="BC227" s="532"/>
      <c r="BD227" s="532"/>
      <c r="BE227" s="532"/>
      <c r="BF227" s="532"/>
      <c r="BG227" s="532"/>
      <c r="BH227" s="532"/>
      <c r="BI227" s="532"/>
      <c r="BJ227" s="532"/>
      <c r="BK227" s="532"/>
      <c r="BL227" s="532"/>
      <c r="BM227" s="532"/>
      <c r="BN227" s="532"/>
      <c r="BO227" s="532"/>
      <c r="BP227" s="532"/>
      <c r="BQ227" s="532"/>
      <c r="BR227" s="532"/>
      <c r="BS227" s="532"/>
      <c r="BT227" s="532"/>
      <c r="BU227" s="532"/>
      <c r="BV227" s="532"/>
      <c r="BW227" s="532"/>
      <c r="BX227" s="532"/>
      <c r="BY227" s="532"/>
      <c r="BZ227" s="532"/>
      <c r="CA227" s="532"/>
      <c r="CB227" s="532"/>
      <c r="CC227" s="532"/>
      <c r="CD227" s="532"/>
      <c r="CE227" s="532"/>
      <c r="CF227" s="532"/>
      <c r="CG227" s="532"/>
      <c r="CH227" s="532"/>
      <c r="CI227" s="532"/>
      <c r="CJ227" s="532"/>
      <c r="CK227" s="532"/>
      <c r="CL227" s="532"/>
      <c r="CM227" s="532"/>
      <c r="CN227" s="532"/>
      <c r="CO227" s="532"/>
      <c r="CP227" s="532"/>
      <c r="CQ227" s="532"/>
      <c r="CR227" s="532"/>
      <c r="CS227" s="532"/>
      <c r="CT227" s="532"/>
      <c r="CU227" s="532"/>
      <c r="CV227" s="532"/>
      <c r="CW227" s="532"/>
      <c r="CX227" s="532"/>
      <c r="CY227" s="532"/>
      <c r="CZ227" s="532"/>
      <c r="DA227" s="532"/>
      <c r="DB227" s="532"/>
      <c r="DC227" s="532"/>
      <c r="DD227" s="532"/>
      <c r="DE227" s="532"/>
      <c r="DF227" s="532"/>
      <c r="DG227" s="532"/>
      <c r="DH227" s="532"/>
      <c r="DI227" s="532"/>
      <c r="DJ227" s="532"/>
      <c r="DK227" s="532"/>
      <c r="DL227" s="532"/>
      <c r="DM227" s="532"/>
      <c r="DN227" s="532"/>
      <c r="DO227" s="532"/>
      <c r="DP227" s="532"/>
      <c r="DQ227" s="532"/>
      <c r="DR227" s="532"/>
      <c r="DS227" s="532"/>
      <c r="DT227" s="532"/>
      <c r="DU227" s="532"/>
      <c r="DV227" s="532"/>
      <c r="DW227" s="532"/>
      <c r="DX227" s="532"/>
      <c r="DY227" s="532"/>
      <c r="DZ227" s="532"/>
      <c r="EA227" s="532"/>
      <c r="EB227" s="532"/>
      <c r="EC227" s="532"/>
      <c r="ED227" s="532"/>
      <c r="EE227" s="532"/>
      <c r="EF227" s="532"/>
      <c r="EG227" s="532"/>
      <c r="EH227" s="532"/>
      <c r="EI227" s="532"/>
      <c r="EJ227" s="532"/>
      <c r="EK227" s="532"/>
      <c r="EL227" s="532"/>
      <c r="EM227" s="532"/>
      <c r="EN227" s="532"/>
      <c r="EO227" s="532"/>
      <c r="EP227" s="532"/>
      <c r="EQ227" s="532"/>
      <c r="ER227" s="532"/>
      <c r="ES227" s="532"/>
      <c r="ET227" s="532"/>
      <c r="EU227" s="532"/>
      <c r="EV227" s="532"/>
      <c r="EW227" s="532"/>
      <c r="EX227" s="532"/>
      <c r="EY227" s="532"/>
      <c r="EZ227" s="532"/>
      <c r="FA227" s="532"/>
      <c r="FB227" s="532"/>
      <c r="FC227" s="532"/>
      <c r="FD227" s="532"/>
      <c r="FE227" s="532"/>
      <c r="FF227" s="532"/>
      <c r="FG227" s="532"/>
      <c r="FH227" s="532"/>
      <c r="FI227" s="532"/>
      <c r="FJ227" s="532"/>
      <c r="FK227" s="532"/>
      <c r="FL227" s="532"/>
      <c r="FM227" s="532"/>
      <c r="FN227" s="532"/>
      <c r="FO227" s="532"/>
      <c r="FP227" s="532"/>
    </row>
    <row r="228" spans="1:172" ht="12" customHeight="1" x14ac:dyDescent="0.2">
      <c r="A228" s="537" t="s">
        <v>104</v>
      </c>
      <c r="B228" s="534"/>
      <c r="C228" s="208">
        <f t="shared" ref="C228:N228" si="129">SUM(C221:C227)</f>
        <v>5</v>
      </c>
      <c r="D228" s="208">
        <f t="shared" si="129"/>
        <v>9</v>
      </c>
      <c r="E228" s="208">
        <f t="shared" si="129"/>
        <v>8</v>
      </c>
      <c r="F228" s="208">
        <f t="shared" si="129"/>
        <v>8</v>
      </c>
      <c r="G228" s="208">
        <f t="shared" si="129"/>
        <v>12</v>
      </c>
      <c r="H228" s="208">
        <f t="shared" si="129"/>
        <v>8</v>
      </c>
      <c r="I228" s="208">
        <f t="shared" si="129"/>
        <v>8</v>
      </c>
      <c r="J228" s="208">
        <f t="shared" si="129"/>
        <v>7</v>
      </c>
      <c r="K228" s="208">
        <f t="shared" si="129"/>
        <v>10</v>
      </c>
      <c r="L228" s="562">
        <f t="shared" si="129"/>
        <v>10</v>
      </c>
      <c r="M228" s="562">
        <f t="shared" si="129"/>
        <v>11</v>
      </c>
      <c r="N228" s="562">
        <f t="shared" si="129"/>
        <v>10</v>
      </c>
      <c r="O228" s="530">
        <f t="shared" si="128"/>
        <v>106</v>
      </c>
      <c r="P228" s="531"/>
      <c r="Q228" s="531"/>
      <c r="R228" s="531"/>
      <c r="S228" s="531"/>
      <c r="T228" s="531"/>
      <c r="U228" s="531"/>
      <c r="V228" s="531"/>
      <c r="W228" s="531"/>
      <c r="X228" s="531"/>
      <c r="Y228" s="531"/>
      <c r="Z228" s="531"/>
      <c r="AA228" s="531"/>
      <c r="AB228" s="531"/>
      <c r="AC228" s="531"/>
      <c r="AD228" s="531"/>
      <c r="AE228" s="531"/>
      <c r="AF228" s="531"/>
      <c r="AG228" s="531"/>
      <c r="AH228" s="532"/>
      <c r="AI228" s="532"/>
      <c r="AJ228" s="532"/>
      <c r="AK228" s="532"/>
      <c r="AL228" s="532"/>
      <c r="AM228" s="532"/>
      <c r="AN228" s="532"/>
      <c r="AO228" s="532"/>
      <c r="AP228" s="532"/>
      <c r="AQ228" s="532"/>
      <c r="AR228" s="532"/>
      <c r="AS228" s="532"/>
      <c r="AT228" s="532"/>
      <c r="AU228" s="532"/>
      <c r="AV228" s="532"/>
      <c r="AW228" s="532"/>
      <c r="AX228" s="532"/>
      <c r="AY228" s="532"/>
      <c r="AZ228" s="532"/>
      <c r="BA228" s="532"/>
      <c r="BB228" s="532"/>
      <c r="BC228" s="532"/>
      <c r="BD228" s="532"/>
      <c r="BE228" s="532"/>
      <c r="BF228" s="532"/>
      <c r="BG228" s="532"/>
      <c r="BH228" s="532"/>
      <c r="BI228" s="532"/>
      <c r="BJ228" s="532"/>
      <c r="BK228" s="532"/>
      <c r="BL228" s="532"/>
      <c r="BM228" s="532"/>
      <c r="BN228" s="532"/>
      <c r="BO228" s="532"/>
      <c r="BP228" s="532"/>
      <c r="BQ228" s="532"/>
      <c r="BR228" s="532"/>
      <c r="BS228" s="532"/>
      <c r="BT228" s="532"/>
      <c r="BU228" s="532"/>
      <c r="BV228" s="532"/>
      <c r="BW228" s="532"/>
      <c r="BX228" s="532"/>
      <c r="BY228" s="532"/>
      <c r="BZ228" s="532"/>
      <c r="CA228" s="532"/>
      <c r="CB228" s="532"/>
      <c r="CC228" s="532"/>
      <c r="CD228" s="532"/>
      <c r="CE228" s="532"/>
      <c r="CF228" s="532"/>
      <c r="CG228" s="532"/>
      <c r="CH228" s="532"/>
      <c r="CI228" s="532"/>
      <c r="CJ228" s="532"/>
      <c r="CK228" s="532"/>
      <c r="CL228" s="532"/>
      <c r="CM228" s="532"/>
      <c r="CN228" s="532"/>
      <c r="CO228" s="532"/>
      <c r="CP228" s="532"/>
      <c r="CQ228" s="532"/>
      <c r="CR228" s="532"/>
      <c r="CS228" s="532"/>
      <c r="CT228" s="532"/>
      <c r="CU228" s="532"/>
      <c r="CV228" s="532"/>
      <c r="CW228" s="532"/>
      <c r="CX228" s="532"/>
      <c r="CY228" s="532"/>
      <c r="CZ228" s="532"/>
      <c r="DA228" s="532"/>
      <c r="DB228" s="532"/>
      <c r="DC228" s="532"/>
      <c r="DD228" s="532"/>
      <c r="DE228" s="532"/>
      <c r="DF228" s="532"/>
      <c r="DG228" s="532"/>
      <c r="DH228" s="532"/>
      <c r="DI228" s="532"/>
      <c r="DJ228" s="532"/>
      <c r="DK228" s="532"/>
      <c r="DL228" s="532"/>
      <c r="DM228" s="532"/>
      <c r="DN228" s="532"/>
      <c r="DO228" s="532"/>
      <c r="DP228" s="532"/>
      <c r="DQ228" s="532"/>
      <c r="DR228" s="532"/>
      <c r="DS228" s="532"/>
      <c r="DT228" s="532"/>
      <c r="DU228" s="532"/>
      <c r="DV228" s="532"/>
      <c r="DW228" s="532"/>
      <c r="DX228" s="532"/>
      <c r="DY228" s="532"/>
      <c r="DZ228" s="532"/>
      <c r="EA228" s="532"/>
      <c r="EB228" s="532"/>
      <c r="EC228" s="532"/>
      <c r="ED228" s="532"/>
      <c r="EE228" s="532"/>
      <c r="EF228" s="532"/>
      <c r="EG228" s="532"/>
      <c r="EH228" s="532"/>
      <c r="EI228" s="532"/>
      <c r="EJ228" s="532"/>
      <c r="EK228" s="532"/>
      <c r="EL228" s="532"/>
      <c r="EM228" s="532"/>
      <c r="EN228" s="532"/>
      <c r="EO228" s="532"/>
      <c r="EP228" s="532"/>
      <c r="EQ228" s="532"/>
      <c r="ER228" s="532"/>
      <c r="ES228" s="532"/>
      <c r="ET228" s="532"/>
      <c r="EU228" s="532"/>
      <c r="EV228" s="532"/>
      <c r="EW228" s="532"/>
      <c r="EX228" s="532"/>
      <c r="EY228" s="532"/>
      <c r="EZ228" s="532"/>
      <c r="FA228" s="532"/>
      <c r="FB228" s="532"/>
      <c r="FC228" s="532"/>
      <c r="FD228" s="532"/>
      <c r="FE228" s="532"/>
      <c r="FF228" s="532"/>
      <c r="FG228" s="532"/>
      <c r="FH228" s="532"/>
      <c r="FI228" s="532"/>
      <c r="FJ228" s="532"/>
      <c r="FK228" s="532"/>
      <c r="FL228" s="532"/>
      <c r="FM228" s="532"/>
      <c r="FN228" s="532"/>
      <c r="FO228" s="532"/>
      <c r="FP228" s="532"/>
    </row>
    <row r="229" spans="1:172" ht="12" customHeight="1" x14ac:dyDescent="0.2">
      <c r="A229" s="537"/>
      <c r="B229" s="534"/>
      <c r="C229" s="534"/>
      <c r="D229" s="534"/>
      <c r="E229" s="534"/>
      <c r="F229" s="534"/>
      <c r="G229" s="534"/>
      <c r="H229" s="534"/>
      <c r="I229" s="534"/>
      <c r="J229" s="534"/>
      <c r="K229" s="658"/>
      <c r="L229" s="562"/>
      <c r="M229" s="562"/>
      <c r="N229" s="562"/>
      <c r="O229" s="530"/>
      <c r="P229" s="531"/>
      <c r="Q229" s="531"/>
      <c r="R229" s="531"/>
      <c r="S229" s="531"/>
      <c r="T229" s="531"/>
      <c r="U229" s="531"/>
      <c r="V229" s="531"/>
      <c r="W229" s="531"/>
      <c r="X229" s="531"/>
      <c r="Y229" s="531"/>
      <c r="Z229" s="531"/>
      <c r="AA229" s="531"/>
      <c r="AB229" s="531"/>
      <c r="AC229" s="531"/>
      <c r="AD229" s="531"/>
      <c r="AE229" s="531"/>
      <c r="AF229" s="531"/>
      <c r="AG229" s="531"/>
      <c r="AH229" s="532"/>
      <c r="AI229" s="532"/>
      <c r="AJ229" s="532"/>
      <c r="AK229" s="532"/>
      <c r="AL229" s="532"/>
      <c r="AM229" s="532"/>
      <c r="AN229" s="532"/>
      <c r="AO229" s="532"/>
      <c r="AP229" s="532"/>
      <c r="AQ229" s="532"/>
      <c r="AR229" s="532"/>
      <c r="AS229" s="532"/>
      <c r="AT229" s="532"/>
      <c r="AU229" s="532"/>
      <c r="AV229" s="532"/>
      <c r="AW229" s="532"/>
      <c r="AX229" s="532"/>
      <c r="AY229" s="532"/>
      <c r="AZ229" s="532"/>
      <c r="BA229" s="532"/>
      <c r="BB229" s="532"/>
      <c r="BC229" s="532"/>
      <c r="BD229" s="532"/>
      <c r="BE229" s="532"/>
      <c r="BF229" s="532"/>
      <c r="BG229" s="532"/>
      <c r="BH229" s="532"/>
      <c r="BI229" s="532"/>
      <c r="BJ229" s="532"/>
      <c r="BK229" s="532"/>
      <c r="BL229" s="532"/>
      <c r="BM229" s="532"/>
      <c r="BN229" s="532"/>
      <c r="BO229" s="532"/>
      <c r="BP229" s="532"/>
      <c r="BQ229" s="532"/>
      <c r="BR229" s="532"/>
      <c r="BS229" s="532"/>
      <c r="BT229" s="532"/>
      <c r="BU229" s="532"/>
      <c r="BV229" s="532"/>
      <c r="BW229" s="532"/>
      <c r="BX229" s="532"/>
      <c r="BY229" s="532"/>
      <c r="BZ229" s="532"/>
      <c r="CA229" s="532"/>
      <c r="CB229" s="532"/>
      <c r="CC229" s="532"/>
      <c r="CD229" s="532"/>
      <c r="CE229" s="532"/>
      <c r="CF229" s="532"/>
      <c r="CG229" s="532"/>
      <c r="CH229" s="532"/>
      <c r="CI229" s="532"/>
      <c r="CJ229" s="532"/>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532"/>
      <c r="DF229" s="532"/>
      <c r="DG229" s="532"/>
      <c r="DH229" s="532"/>
      <c r="DI229" s="532"/>
      <c r="DJ229" s="532"/>
      <c r="DK229" s="532"/>
      <c r="DL229" s="532"/>
      <c r="DM229" s="532"/>
      <c r="DN229" s="532"/>
      <c r="DO229" s="532"/>
      <c r="DP229" s="532"/>
      <c r="DQ229" s="532"/>
      <c r="DR229" s="532"/>
      <c r="DS229" s="532"/>
      <c r="DT229" s="532"/>
      <c r="DU229" s="532"/>
      <c r="DV229" s="532"/>
      <c r="DW229" s="532"/>
      <c r="DX229" s="532"/>
      <c r="DY229" s="532"/>
      <c r="DZ229" s="532"/>
      <c r="EA229" s="532"/>
      <c r="EB229" s="532"/>
      <c r="EC229" s="532"/>
      <c r="ED229" s="532"/>
      <c r="EE229" s="532"/>
      <c r="EF229" s="532"/>
      <c r="EG229" s="532"/>
      <c r="EH229" s="532"/>
      <c r="EI229" s="532"/>
      <c r="EJ229" s="532"/>
      <c r="EK229" s="532"/>
      <c r="EL229" s="532"/>
      <c r="EM229" s="532"/>
      <c r="EN229" s="532"/>
      <c r="EO229" s="532"/>
      <c r="EP229" s="532"/>
      <c r="EQ229" s="532"/>
      <c r="ER229" s="532"/>
      <c r="ES229" s="532"/>
      <c r="ET229" s="532"/>
      <c r="EU229" s="532"/>
      <c r="EV229" s="532"/>
      <c r="EW229" s="532"/>
      <c r="EX229" s="532"/>
      <c r="EY229" s="532"/>
      <c r="EZ229" s="532"/>
      <c r="FA229" s="532"/>
      <c r="FB229" s="532"/>
      <c r="FC229" s="532"/>
      <c r="FD229" s="532"/>
      <c r="FE229" s="532"/>
      <c r="FF229" s="532"/>
      <c r="FG229" s="532"/>
      <c r="FH229" s="532"/>
      <c r="FI229" s="532"/>
      <c r="FJ229" s="532"/>
      <c r="FK229" s="532"/>
      <c r="FL229" s="532"/>
      <c r="FM229" s="532"/>
      <c r="FN229" s="532"/>
      <c r="FO229" s="532"/>
      <c r="FP229" s="532"/>
    </row>
    <row r="230" spans="1:172" ht="12" customHeight="1" x14ac:dyDescent="0.2">
      <c r="A230" s="533" t="s">
        <v>134</v>
      </c>
      <c r="B230" s="534"/>
      <c r="C230" s="534"/>
      <c r="D230" s="534"/>
      <c r="E230" s="534"/>
      <c r="F230" s="534"/>
      <c r="G230" s="534"/>
      <c r="H230" s="534"/>
      <c r="I230" s="534"/>
      <c r="J230" s="534"/>
      <c r="K230" s="658"/>
      <c r="L230" s="562"/>
      <c r="M230" s="562"/>
      <c r="N230" s="562"/>
      <c r="O230" s="549"/>
      <c r="P230" s="531"/>
      <c r="Q230" s="531"/>
      <c r="R230" s="531"/>
      <c r="S230" s="531"/>
      <c r="T230" s="531"/>
      <c r="U230" s="531"/>
      <c r="V230" s="531"/>
      <c r="W230" s="531"/>
      <c r="X230" s="531"/>
      <c r="Y230" s="531"/>
      <c r="Z230" s="531"/>
      <c r="AA230" s="531"/>
      <c r="AB230" s="531"/>
      <c r="AC230" s="531"/>
      <c r="AD230" s="531"/>
      <c r="AE230" s="531"/>
      <c r="AF230" s="531"/>
      <c r="AG230" s="531"/>
      <c r="AH230" s="532"/>
      <c r="AI230" s="532"/>
      <c r="AJ230" s="532"/>
      <c r="AK230" s="532"/>
      <c r="AL230" s="532"/>
      <c r="AM230" s="532"/>
      <c r="AN230" s="532"/>
      <c r="AO230" s="532"/>
      <c r="AP230" s="532"/>
      <c r="AQ230" s="532"/>
      <c r="AR230" s="532"/>
      <c r="AS230" s="532"/>
      <c r="AT230" s="532"/>
      <c r="AU230" s="532"/>
      <c r="AV230" s="532"/>
      <c r="AW230" s="532"/>
      <c r="AX230" s="532"/>
      <c r="AY230" s="532"/>
      <c r="AZ230" s="532"/>
      <c r="BA230" s="532"/>
      <c r="BB230" s="532"/>
      <c r="BC230" s="532"/>
      <c r="BD230" s="532"/>
      <c r="BE230" s="532"/>
      <c r="BF230" s="532"/>
      <c r="BG230" s="532"/>
      <c r="BH230" s="532"/>
      <c r="BI230" s="532"/>
      <c r="BJ230" s="532"/>
      <c r="BK230" s="532"/>
      <c r="BL230" s="532"/>
      <c r="BM230" s="532"/>
      <c r="BN230" s="532"/>
      <c r="BO230" s="532"/>
      <c r="BP230" s="532"/>
      <c r="BQ230" s="532"/>
      <c r="BR230" s="532"/>
      <c r="BS230" s="532"/>
      <c r="BT230" s="532"/>
      <c r="BU230" s="532"/>
      <c r="BV230" s="532"/>
      <c r="BW230" s="532"/>
      <c r="BX230" s="532"/>
      <c r="BY230" s="532"/>
      <c r="BZ230" s="532"/>
      <c r="CA230" s="532"/>
      <c r="CB230" s="532"/>
      <c r="CC230" s="532"/>
      <c r="CD230" s="532"/>
      <c r="CE230" s="532"/>
      <c r="CF230" s="532"/>
      <c r="CG230" s="532"/>
      <c r="CH230" s="532"/>
      <c r="CI230" s="532"/>
      <c r="CJ230" s="532"/>
      <c r="CK230" s="532"/>
      <c r="CL230" s="532"/>
      <c r="CM230" s="532"/>
      <c r="CN230" s="532"/>
      <c r="CO230" s="532"/>
      <c r="CP230" s="532"/>
      <c r="CQ230" s="532"/>
      <c r="CR230" s="532"/>
      <c r="CS230" s="532"/>
      <c r="CT230" s="532"/>
      <c r="CU230" s="532"/>
      <c r="CV230" s="532"/>
      <c r="CW230" s="532"/>
      <c r="CX230" s="532"/>
      <c r="CY230" s="532"/>
      <c r="CZ230" s="532"/>
      <c r="DA230" s="532"/>
      <c r="DB230" s="532"/>
      <c r="DC230" s="532"/>
      <c r="DD230" s="532"/>
      <c r="DE230" s="532"/>
      <c r="DF230" s="532"/>
      <c r="DG230" s="532"/>
      <c r="DH230" s="532"/>
      <c r="DI230" s="532"/>
      <c r="DJ230" s="532"/>
      <c r="DK230" s="532"/>
      <c r="DL230" s="532"/>
      <c r="DM230" s="532"/>
      <c r="DN230" s="532"/>
      <c r="DO230" s="532"/>
      <c r="DP230" s="532"/>
      <c r="DQ230" s="532"/>
      <c r="DR230" s="532"/>
      <c r="DS230" s="532"/>
      <c r="DT230" s="532"/>
      <c r="DU230" s="532"/>
      <c r="DV230" s="532"/>
      <c r="DW230" s="532"/>
      <c r="DX230" s="532"/>
      <c r="DY230" s="532"/>
      <c r="DZ230" s="532"/>
      <c r="EA230" s="532"/>
      <c r="EB230" s="532"/>
      <c r="EC230" s="532"/>
      <c r="ED230" s="532"/>
      <c r="EE230" s="532"/>
      <c r="EF230" s="532"/>
      <c r="EG230" s="532"/>
      <c r="EH230" s="532"/>
      <c r="EI230" s="532"/>
      <c r="EJ230" s="532"/>
      <c r="EK230" s="532"/>
      <c r="EL230" s="532"/>
      <c r="EM230" s="532"/>
      <c r="EN230" s="532"/>
      <c r="EO230" s="532"/>
      <c r="EP230" s="532"/>
      <c r="EQ230" s="532"/>
      <c r="ER230" s="532"/>
      <c r="ES230" s="532"/>
      <c r="ET230" s="532"/>
      <c r="EU230" s="532"/>
      <c r="EV230" s="532"/>
      <c r="EW230" s="532"/>
      <c r="EX230" s="532"/>
      <c r="EY230" s="532"/>
      <c r="EZ230" s="532"/>
      <c r="FA230" s="532"/>
      <c r="FB230" s="532"/>
      <c r="FC230" s="532"/>
      <c r="FD230" s="532"/>
      <c r="FE230" s="532"/>
      <c r="FF230" s="532"/>
      <c r="FG230" s="532"/>
      <c r="FH230" s="532"/>
      <c r="FI230" s="532"/>
      <c r="FJ230" s="532"/>
      <c r="FK230" s="532"/>
      <c r="FL230" s="532"/>
      <c r="FM230" s="532"/>
      <c r="FN230" s="532"/>
      <c r="FO230" s="532"/>
      <c r="FP230" s="532"/>
    </row>
    <row r="231" spans="1:172" ht="12" customHeight="1" x14ac:dyDescent="0.2">
      <c r="A231" s="533" t="s">
        <v>97</v>
      </c>
      <c r="B231" s="534"/>
      <c r="C231" s="208">
        <v>9</v>
      </c>
      <c r="D231" s="208">
        <v>6</v>
      </c>
      <c r="E231" s="208">
        <v>11</v>
      </c>
      <c r="F231" s="208">
        <v>8</v>
      </c>
      <c r="G231" s="208">
        <v>9</v>
      </c>
      <c r="H231" s="208">
        <v>11</v>
      </c>
      <c r="I231" s="208">
        <v>5</v>
      </c>
      <c r="J231" s="208">
        <v>8</v>
      </c>
      <c r="K231" s="208">
        <v>9</v>
      </c>
      <c r="L231" s="562">
        <v>12</v>
      </c>
      <c r="M231" s="562">
        <v>7</v>
      </c>
      <c r="N231" s="562">
        <v>10</v>
      </c>
      <c r="O231" s="530">
        <f>SUM(C231:N231)</f>
        <v>105</v>
      </c>
      <c r="P231" s="531"/>
      <c r="Q231" s="531"/>
      <c r="R231" s="531"/>
      <c r="S231" s="531"/>
      <c r="T231" s="531"/>
      <c r="U231" s="531"/>
      <c r="V231" s="531"/>
      <c r="W231" s="531"/>
      <c r="X231" s="531"/>
      <c r="Y231" s="531"/>
      <c r="Z231" s="531"/>
      <c r="AA231" s="531"/>
      <c r="AB231" s="531"/>
      <c r="AC231" s="531"/>
      <c r="AD231" s="531"/>
      <c r="AE231" s="531"/>
      <c r="AF231" s="531"/>
      <c r="AG231" s="531"/>
      <c r="AH231" s="532"/>
      <c r="AI231" s="532"/>
      <c r="AJ231" s="532"/>
      <c r="AK231" s="532"/>
      <c r="AL231" s="532"/>
      <c r="AM231" s="532"/>
      <c r="AN231" s="532"/>
      <c r="AO231" s="532"/>
      <c r="AP231" s="532"/>
      <c r="AQ231" s="532"/>
      <c r="AR231" s="532"/>
      <c r="AS231" s="532"/>
      <c r="AT231" s="532"/>
      <c r="AU231" s="532"/>
      <c r="AV231" s="532"/>
      <c r="AW231" s="532"/>
      <c r="AX231" s="532"/>
      <c r="AY231" s="532"/>
      <c r="AZ231" s="532"/>
      <c r="BA231" s="532"/>
      <c r="BB231" s="532"/>
      <c r="BC231" s="532"/>
      <c r="BD231" s="532"/>
      <c r="BE231" s="532"/>
      <c r="BF231" s="532"/>
      <c r="BG231" s="532"/>
      <c r="BH231" s="532"/>
      <c r="BI231" s="532"/>
      <c r="BJ231" s="532"/>
      <c r="BK231" s="532"/>
      <c r="BL231" s="532"/>
      <c r="BM231" s="532"/>
      <c r="BN231" s="532"/>
      <c r="BO231" s="532"/>
      <c r="BP231" s="532"/>
      <c r="BQ231" s="532"/>
      <c r="BR231" s="532"/>
      <c r="BS231" s="532"/>
      <c r="BT231" s="532"/>
      <c r="BU231" s="532"/>
      <c r="BV231" s="532"/>
      <c r="BW231" s="532"/>
      <c r="BX231" s="532"/>
      <c r="BY231" s="532"/>
      <c r="BZ231" s="532"/>
      <c r="CA231" s="532"/>
      <c r="CB231" s="532"/>
      <c r="CC231" s="532"/>
      <c r="CD231" s="532"/>
      <c r="CE231" s="532"/>
      <c r="CF231" s="532"/>
      <c r="CG231" s="532"/>
      <c r="CH231" s="532"/>
      <c r="CI231" s="532"/>
      <c r="CJ231" s="532"/>
      <c r="CK231" s="532"/>
      <c r="CL231" s="532"/>
      <c r="CM231" s="532"/>
      <c r="CN231" s="532"/>
      <c r="CO231" s="532"/>
      <c r="CP231" s="532"/>
      <c r="CQ231" s="532"/>
      <c r="CR231" s="532"/>
      <c r="CS231" s="532"/>
      <c r="CT231" s="532"/>
      <c r="CU231" s="532"/>
      <c r="CV231" s="532"/>
      <c r="CW231" s="532"/>
      <c r="CX231" s="532"/>
      <c r="CY231" s="532"/>
      <c r="CZ231" s="532"/>
      <c r="DA231" s="532"/>
      <c r="DB231" s="532"/>
      <c r="DC231" s="532"/>
      <c r="DD231" s="532"/>
      <c r="DE231" s="532"/>
      <c r="DF231" s="532"/>
      <c r="DG231" s="532"/>
      <c r="DH231" s="532"/>
      <c r="DI231" s="532"/>
      <c r="DJ231" s="532"/>
      <c r="DK231" s="532"/>
      <c r="DL231" s="532"/>
      <c r="DM231" s="532"/>
      <c r="DN231" s="532"/>
      <c r="DO231" s="532"/>
      <c r="DP231" s="532"/>
      <c r="DQ231" s="532"/>
      <c r="DR231" s="532"/>
      <c r="DS231" s="532"/>
      <c r="DT231" s="532"/>
      <c r="DU231" s="532"/>
      <c r="DV231" s="532"/>
      <c r="DW231" s="532"/>
      <c r="DX231" s="532"/>
      <c r="DY231" s="532"/>
      <c r="DZ231" s="532"/>
      <c r="EA231" s="532"/>
      <c r="EB231" s="532"/>
      <c r="EC231" s="532"/>
      <c r="ED231" s="532"/>
      <c r="EE231" s="532"/>
      <c r="EF231" s="532"/>
      <c r="EG231" s="532"/>
      <c r="EH231" s="532"/>
      <c r="EI231" s="532"/>
      <c r="EJ231" s="532"/>
      <c r="EK231" s="532"/>
      <c r="EL231" s="532"/>
      <c r="EM231" s="532"/>
      <c r="EN231" s="532"/>
      <c r="EO231" s="532"/>
      <c r="EP231" s="532"/>
      <c r="EQ231" s="532"/>
      <c r="ER231" s="532"/>
      <c r="ES231" s="532"/>
      <c r="ET231" s="532"/>
      <c r="EU231" s="532"/>
      <c r="EV231" s="532"/>
      <c r="EW231" s="532"/>
      <c r="EX231" s="532"/>
      <c r="EY231" s="532"/>
      <c r="EZ231" s="532"/>
      <c r="FA231" s="532"/>
      <c r="FB231" s="532"/>
      <c r="FC231" s="532"/>
      <c r="FD231" s="532"/>
      <c r="FE231" s="532"/>
      <c r="FF231" s="532"/>
      <c r="FG231" s="532"/>
      <c r="FH231" s="532"/>
      <c r="FI231" s="532"/>
      <c r="FJ231" s="532"/>
      <c r="FK231" s="532"/>
      <c r="FL231" s="532"/>
      <c r="FM231" s="532"/>
      <c r="FN231" s="532"/>
      <c r="FO231" s="532"/>
      <c r="FP231" s="532"/>
    </row>
    <row r="232" spans="1:172" ht="12" customHeight="1" x14ac:dyDescent="0.2">
      <c r="A232" s="533" t="s">
        <v>98</v>
      </c>
      <c r="B232" s="534"/>
      <c r="C232" s="208">
        <v>0</v>
      </c>
      <c r="D232" s="208">
        <v>0</v>
      </c>
      <c r="E232" s="208">
        <v>0</v>
      </c>
      <c r="F232" s="208">
        <v>0</v>
      </c>
      <c r="G232" s="208">
        <v>0</v>
      </c>
      <c r="H232" s="208">
        <v>0</v>
      </c>
      <c r="I232" s="208">
        <v>0</v>
      </c>
      <c r="J232" s="208">
        <v>0</v>
      </c>
      <c r="K232" s="208">
        <v>0</v>
      </c>
      <c r="L232" s="562">
        <v>0</v>
      </c>
      <c r="M232" s="562">
        <v>0</v>
      </c>
      <c r="N232" s="562">
        <v>0</v>
      </c>
      <c r="O232" s="530">
        <f t="shared" ref="O232:O238" si="130">SUM(C232:N232)</f>
        <v>0</v>
      </c>
      <c r="P232" s="531"/>
      <c r="Q232" s="531"/>
      <c r="R232" s="531"/>
      <c r="S232" s="531"/>
      <c r="T232" s="531"/>
      <c r="U232" s="531"/>
      <c r="V232" s="531"/>
      <c r="W232" s="531"/>
      <c r="X232" s="531"/>
      <c r="Y232" s="531"/>
      <c r="Z232" s="531"/>
      <c r="AA232" s="531"/>
      <c r="AB232" s="531"/>
      <c r="AC232" s="531"/>
      <c r="AD232" s="531"/>
      <c r="AE232" s="531"/>
      <c r="AF232" s="531"/>
      <c r="AG232" s="531"/>
      <c r="AH232" s="532"/>
      <c r="AI232" s="532"/>
      <c r="AJ232" s="532"/>
      <c r="AK232" s="532"/>
      <c r="AL232" s="532"/>
      <c r="AM232" s="532"/>
      <c r="AN232" s="532"/>
      <c r="AO232" s="532"/>
      <c r="AP232" s="532"/>
      <c r="AQ232" s="532"/>
      <c r="AR232" s="532"/>
      <c r="AS232" s="532"/>
      <c r="AT232" s="532"/>
      <c r="AU232" s="532"/>
      <c r="AV232" s="532"/>
      <c r="AW232" s="532"/>
      <c r="AX232" s="532"/>
      <c r="AY232" s="532"/>
      <c r="AZ232" s="532"/>
      <c r="BA232" s="532"/>
      <c r="BB232" s="532"/>
      <c r="BC232" s="532"/>
      <c r="BD232" s="532"/>
      <c r="BE232" s="532"/>
      <c r="BF232" s="532"/>
      <c r="BG232" s="532"/>
      <c r="BH232" s="532"/>
      <c r="BI232" s="532"/>
      <c r="BJ232" s="532"/>
      <c r="BK232" s="532"/>
      <c r="BL232" s="532"/>
      <c r="BM232" s="532"/>
      <c r="BN232" s="532"/>
      <c r="BO232" s="532"/>
      <c r="BP232" s="532"/>
      <c r="BQ232" s="532"/>
      <c r="BR232" s="532"/>
      <c r="BS232" s="532"/>
      <c r="BT232" s="532"/>
      <c r="BU232" s="532"/>
      <c r="BV232" s="532"/>
      <c r="BW232" s="532"/>
      <c r="BX232" s="532"/>
      <c r="BY232" s="532"/>
      <c r="BZ232" s="532"/>
      <c r="CA232" s="532"/>
      <c r="CB232" s="532"/>
      <c r="CC232" s="532"/>
      <c r="CD232" s="532"/>
      <c r="CE232" s="532"/>
      <c r="CF232" s="532"/>
      <c r="CG232" s="532"/>
      <c r="CH232" s="532"/>
      <c r="CI232" s="532"/>
      <c r="CJ232" s="532"/>
      <c r="CK232" s="532"/>
      <c r="CL232" s="532"/>
      <c r="CM232" s="532"/>
      <c r="CN232" s="532"/>
      <c r="CO232" s="532"/>
      <c r="CP232" s="532"/>
      <c r="CQ232" s="532"/>
      <c r="CR232" s="532"/>
      <c r="CS232" s="532"/>
      <c r="CT232" s="532"/>
      <c r="CU232" s="532"/>
      <c r="CV232" s="532"/>
      <c r="CW232" s="532"/>
      <c r="CX232" s="532"/>
      <c r="CY232" s="532"/>
      <c r="CZ232" s="532"/>
      <c r="DA232" s="532"/>
      <c r="DB232" s="532"/>
      <c r="DC232" s="532"/>
      <c r="DD232" s="532"/>
      <c r="DE232" s="532"/>
      <c r="DF232" s="532"/>
      <c r="DG232" s="532"/>
      <c r="DH232" s="532"/>
      <c r="DI232" s="532"/>
      <c r="DJ232" s="532"/>
      <c r="DK232" s="532"/>
      <c r="DL232" s="532"/>
      <c r="DM232" s="532"/>
      <c r="DN232" s="532"/>
      <c r="DO232" s="532"/>
      <c r="DP232" s="532"/>
      <c r="DQ232" s="532"/>
      <c r="DR232" s="532"/>
      <c r="DS232" s="532"/>
      <c r="DT232" s="532"/>
      <c r="DU232" s="532"/>
      <c r="DV232" s="532"/>
      <c r="DW232" s="532"/>
      <c r="DX232" s="532"/>
      <c r="DY232" s="532"/>
      <c r="DZ232" s="532"/>
      <c r="EA232" s="532"/>
      <c r="EB232" s="532"/>
      <c r="EC232" s="532"/>
      <c r="ED232" s="532"/>
      <c r="EE232" s="532"/>
      <c r="EF232" s="532"/>
      <c r="EG232" s="532"/>
      <c r="EH232" s="532"/>
      <c r="EI232" s="532"/>
      <c r="EJ232" s="532"/>
      <c r="EK232" s="532"/>
      <c r="EL232" s="532"/>
      <c r="EM232" s="532"/>
      <c r="EN232" s="532"/>
      <c r="EO232" s="532"/>
      <c r="EP232" s="532"/>
      <c r="EQ232" s="532"/>
      <c r="ER232" s="532"/>
      <c r="ES232" s="532"/>
      <c r="ET232" s="532"/>
      <c r="EU232" s="532"/>
      <c r="EV232" s="532"/>
      <c r="EW232" s="532"/>
      <c r="EX232" s="532"/>
      <c r="EY232" s="532"/>
      <c r="EZ232" s="532"/>
      <c r="FA232" s="532"/>
      <c r="FB232" s="532"/>
      <c r="FC232" s="532"/>
      <c r="FD232" s="532"/>
      <c r="FE232" s="532"/>
      <c r="FF232" s="532"/>
      <c r="FG232" s="532"/>
      <c r="FH232" s="532"/>
      <c r="FI232" s="532"/>
      <c r="FJ232" s="532"/>
      <c r="FK232" s="532"/>
      <c r="FL232" s="532"/>
      <c r="FM232" s="532"/>
      <c r="FN232" s="532"/>
      <c r="FO232" s="532"/>
      <c r="FP232" s="532"/>
    </row>
    <row r="233" spans="1:172" ht="12" customHeight="1" x14ac:dyDescent="0.2">
      <c r="A233" s="533" t="s">
        <v>99</v>
      </c>
      <c r="B233" s="534"/>
      <c r="C233" s="208">
        <v>0</v>
      </c>
      <c r="D233" s="208">
        <v>0</v>
      </c>
      <c r="E233" s="208">
        <v>0</v>
      </c>
      <c r="F233" s="208">
        <v>0</v>
      </c>
      <c r="G233" s="208">
        <v>0</v>
      </c>
      <c r="H233" s="208">
        <v>0</v>
      </c>
      <c r="I233" s="208">
        <v>0</v>
      </c>
      <c r="J233" s="208">
        <v>0</v>
      </c>
      <c r="K233" s="208">
        <v>0</v>
      </c>
      <c r="L233" s="562">
        <v>0</v>
      </c>
      <c r="M233" s="562">
        <v>0</v>
      </c>
      <c r="N233" s="562">
        <v>0</v>
      </c>
      <c r="O233" s="530">
        <f t="shared" si="130"/>
        <v>0</v>
      </c>
      <c r="P233" s="531"/>
      <c r="Q233" s="531"/>
      <c r="R233" s="531"/>
      <c r="S233" s="531"/>
      <c r="T233" s="531"/>
      <c r="U233" s="531"/>
      <c r="V233" s="531"/>
      <c r="W233" s="531"/>
      <c r="X233" s="531"/>
      <c r="Y233" s="531"/>
      <c r="Z233" s="531"/>
      <c r="AA233" s="531"/>
      <c r="AB233" s="531"/>
      <c r="AC233" s="531"/>
      <c r="AD233" s="531"/>
      <c r="AE233" s="531"/>
      <c r="AF233" s="531"/>
      <c r="AG233" s="531"/>
      <c r="AH233" s="532"/>
      <c r="AI233" s="532"/>
      <c r="AJ233" s="532"/>
      <c r="AK233" s="532"/>
      <c r="AL233" s="532"/>
      <c r="AM233" s="532"/>
      <c r="AN233" s="532"/>
      <c r="AO233" s="532"/>
      <c r="AP233" s="532"/>
      <c r="AQ233" s="532"/>
      <c r="AR233" s="532"/>
      <c r="AS233" s="532"/>
      <c r="AT233" s="532"/>
      <c r="AU233" s="532"/>
      <c r="AV233" s="532"/>
      <c r="AW233" s="532"/>
      <c r="AX233" s="532"/>
      <c r="AY233" s="532"/>
      <c r="AZ233" s="532"/>
      <c r="BA233" s="532"/>
      <c r="BB233" s="532"/>
      <c r="BC233" s="532"/>
      <c r="BD233" s="532"/>
      <c r="BE233" s="532"/>
      <c r="BF233" s="532"/>
      <c r="BG233" s="532"/>
      <c r="BH233" s="532"/>
      <c r="BI233" s="532"/>
      <c r="BJ233" s="532"/>
      <c r="BK233" s="532"/>
      <c r="BL233" s="532"/>
      <c r="BM233" s="532"/>
      <c r="BN233" s="532"/>
      <c r="BO233" s="532"/>
      <c r="BP233" s="532"/>
      <c r="BQ233" s="532"/>
      <c r="BR233" s="532"/>
      <c r="BS233" s="532"/>
      <c r="BT233" s="532"/>
      <c r="BU233" s="532"/>
      <c r="BV233" s="532"/>
      <c r="BW233" s="532"/>
      <c r="BX233" s="532"/>
      <c r="BY233" s="532"/>
      <c r="BZ233" s="532"/>
      <c r="CA233" s="532"/>
      <c r="CB233" s="532"/>
      <c r="CC233" s="532"/>
      <c r="CD233" s="532"/>
      <c r="CE233" s="532"/>
      <c r="CF233" s="532"/>
      <c r="CG233" s="532"/>
      <c r="CH233" s="532"/>
      <c r="CI233" s="532"/>
      <c r="CJ233" s="532"/>
      <c r="CK233" s="532"/>
      <c r="CL233" s="532"/>
      <c r="CM233" s="532"/>
      <c r="CN233" s="532"/>
      <c r="CO233" s="532"/>
      <c r="CP233" s="532"/>
      <c r="CQ233" s="532"/>
      <c r="CR233" s="532"/>
      <c r="CS233" s="532"/>
      <c r="CT233" s="532"/>
      <c r="CU233" s="532"/>
      <c r="CV233" s="532"/>
      <c r="CW233" s="532"/>
      <c r="CX233" s="532"/>
      <c r="CY233" s="532"/>
      <c r="CZ233" s="532"/>
      <c r="DA233" s="532"/>
      <c r="DB233" s="532"/>
      <c r="DC233" s="532"/>
      <c r="DD233" s="532"/>
      <c r="DE233" s="532"/>
      <c r="DF233" s="532"/>
      <c r="DG233" s="532"/>
      <c r="DH233" s="532"/>
      <c r="DI233" s="532"/>
      <c r="DJ233" s="532"/>
      <c r="DK233" s="532"/>
      <c r="DL233" s="532"/>
      <c r="DM233" s="532"/>
      <c r="DN233" s="532"/>
      <c r="DO233" s="532"/>
      <c r="DP233" s="532"/>
      <c r="DQ233" s="532"/>
      <c r="DR233" s="532"/>
      <c r="DS233" s="532"/>
      <c r="DT233" s="532"/>
      <c r="DU233" s="532"/>
      <c r="DV233" s="532"/>
      <c r="DW233" s="532"/>
      <c r="DX233" s="532"/>
      <c r="DY233" s="532"/>
      <c r="DZ233" s="532"/>
      <c r="EA233" s="532"/>
      <c r="EB233" s="532"/>
      <c r="EC233" s="532"/>
      <c r="ED233" s="532"/>
      <c r="EE233" s="532"/>
      <c r="EF233" s="532"/>
      <c r="EG233" s="532"/>
      <c r="EH233" s="532"/>
      <c r="EI233" s="532"/>
      <c r="EJ233" s="532"/>
      <c r="EK233" s="532"/>
      <c r="EL233" s="532"/>
      <c r="EM233" s="532"/>
      <c r="EN233" s="532"/>
      <c r="EO233" s="532"/>
      <c r="EP233" s="532"/>
      <c r="EQ233" s="532"/>
      <c r="ER233" s="532"/>
      <c r="ES233" s="532"/>
      <c r="ET233" s="532"/>
      <c r="EU233" s="532"/>
      <c r="EV233" s="532"/>
      <c r="EW233" s="532"/>
      <c r="EX233" s="532"/>
      <c r="EY233" s="532"/>
      <c r="EZ233" s="532"/>
      <c r="FA233" s="532"/>
      <c r="FB233" s="532"/>
      <c r="FC233" s="532"/>
      <c r="FD233" s="532"/>
      <c r="FE233" s="532"/>
      <c r="FF233" s="532"/>
      <c r="FG233" s="532"/>
      <c r="FH233" s="532"/>
      <c r="FI233" s="532"/>
      <c r="FJ233" s="532"/>
      <c r="FK233" s="532"/>
      <c r="FL233" s="532"/>
      <c r="FM233" s="532"/>
      <c r="FN233" s="532"/>
      <c r="FO233" s="532"/>
      <c r="FP233" s="532"/>
    </row>
    <row r="234" spans="1:172" ht="12" customHeight="1" x14ac:dyDescent="0.2">
      <c r="A234" s="533" t="s">
        <v>109</v>
      </c>
      <c r="B234" s="534"/>
      <c r="C234" s="208">
        <v>0</v>
      </c>
      <c r="D234" s="208">
        <v>0</v>
      </c>
      <c r="E234" s="208">
        <v>0</v>
      </c>
      <c r="F234" s="208">
        <v>0</v>
      </c>
      <c r="G234" s="208">
        <v>0</v>
      </c>
      <c r="H234" s="208">
        <v>0</v>
      </c>
      <c r="I234" s="208">
        <v>0</v>
      </c>
      <c r="J234" s="208">
        <v>0</v>
      </c>
      <c r="K234" s="208">
        <v>0</v>
      </c>
      <c r="L234" s="562">
        <v>0</v>
      </c>
      <c r="M234" s="562">
        <v>0</v>
      </c>
      <c r="N234" s="562">
        <v>0</v>
      </c>
      <c r="O234" s="530">
        <f t="shared" si="130"/>
        <v>0</v>
      </c>
      <c r="P234" s="531"/>
      <c r="Q234" s="531"/>
      <c r="R234" s="531"/>
      <c r="S234" s="531"/>
      <c r="T234" s="531"/>
      <c r="U234" s="531"/>
      <c r="V234" s="531"/>
      <c r="W234" s="531"/>
      <c r="X234" s="531"/>
      <c r="Y234" s="531"/>
      <c r="Z234" s="531"/>
      <c r="AA234" s="531"/>
      <c r="AB234" s="531"/>
      <c r="AC234" s="531"/>
      <c r="AD234" s="531"/>
      <c r="AE234" s="531"/>
      <c r="AF234" s="531"/>
      <c r="AG234" s="531"/>
      <c r="AH234" s="532"/>
      <c r="AI234" s="532"/>
      <c r="AJ234" s="532"/>
      <c r="AK234" s="532"/>
      <c r="AL234" s="532"/>
      <c r="AM234" s="532"/>
      <c r="AN234" s="532"/>
      <c r="AO234" s="532"/>
      <c r="AP234" s="532"/>
      <c r="AQ234" s="532"/>
      <c r="AR234" s="532"/>
      <c r="AS234" s="532"/>
      <c r="AT234" s="532"/>
      <c r="AU234" s="532"/>
      <c r="AV234" s="532"/>
      <c r="AW234" s="532"/>
      <c r="AX234" s="532"/>
      <c r="AY234" s="532"/>
      <c r="AZ234" s="532"/>
      <c r="BA234" s="532"/>
      <c r="BB234" s="532"/>
      <c r="BC234" s="532"/>
      <c r="BD234" s="532"/>
      <c r="BE234" s="532"/>
      <c r="BF234" s="532"/>
      <c r="BG234" s="532"/>
      <c r="BH234" s="532"/>
      <c r="BI234" s="532"/>
      <c r="BJ234" s="532"/>
      <c r="BK234" s="532"/>
      <c r="BL234" s="532"/>
      <c r="BM234" s="532"/>
      <c r="BN234" s="532"/>
      <c r="BO234" s="532"/>
      <c r="BP234" s="532"/>
      <c r="BQ234" s="532"/>
      <c r="BR234" s="532"/>
      <c r="BS234" s="532"/>
      <c r="BT234" s="532"/>
      <c r="BU234" s="532"/>
      <c r="BV234" s="532"/>
      <c r="BW234" s="532"/>
      <c r="BX234" s="532"/>
      <c r="BY234" s="532"/>
      <c r="BZ234" s="532"/>
      <c r="CA234" s="532"/>
      <c r="CB234" s="532"/>
      <c r="CC234" s="532"/>
      <c r="CD234" s="532"/>
      <c r="CE234" s="532"/>
      <c r="CF234" s="532"/>
      <c r="CG234" s="532"/>
      <c r="CH234" s="532"/>
      <c r="CI234" s="532"/>
      <c r="CJ234" s="532"/>
      <c r="CK234" s="532"/>
      <c r="CL234" s="532"/>
      <c r="CM234" s="532"/>
      <c r="CN234" s="532"/>
      <c r="CO234" s="532"/>
      <c r="CP234" s="532"/>
      <c r="CQ234" s="532"/>
      <c r="CR234" s="532"/>
      <c r="CS234" s="532"/>
      <c r="CT234" s="532"/>
      <c r="CU234" s="532"/>
      <c r="CV234" s="532"/>
      <c r="CW234" s="532"/>
      <c r="CX234" s="532"/>
      <c r="CY234" s="532"/>
      <c r="CZ234" s="532"/>
      <c r="DA234" s="532"/>
      <c r="DB234" s="532"/>
      <c r="DC234" s="532"/>
      <c r="DD234" s="532"/>
      <c r="DE234" s="532"/>
      <c r="DF234" s="532"/>
      <c r="DG234" s="532"/>
      <c r="DH234" s="532"/>
      <c r="DI234" s="532"/>
      <c r="DJ234" s="532"/>
      <c r="DK234" s="532"/>
      <c r="DL234" s="532"/>
      <c r="DM234" s="532"/>
      <c r="DN234" s="532"/>
      <c r="DO234" s="532"/>
      <c r="DP234" s="532"/>
      <c r="DQ234" s="532"/>
      <c r="DR234" s="532"/>
      <c r="DS234" s="532"/>
      <c r="DT234" s="532"/>
      <c r="DU234" s="532"/>
      <c r="DV234" s="532"/>
      <c r="DW234" s="532"/>
      <c r="DX234" s="532"/>
      <c r="DY234" s="532"/>
      <c r="DZ234" s="532"/>
      <c r="EA234" s="532"/>
      <c r="EB234" s="532"/>
      <c r="EC234" s="532"/>
      <c r="ED234" s="532"/>
      <c r="EE234" s="532"/>
      <c r="EF234" s="532"/>
      <c r="EG234" s="532"/>
      <c r="EH234" s="532"/>
      <c r="EI234" s="532"/>
      <c r="EJ234" s="532"/>
      <c r="EK234" s="532"/>
      <c r="EL234" s="532"/>
      <c r="EM234" s="532"/>
      <c r="EN234" s="532"/>
      <c r="EO234" s="532"/>
      <c r="EP234" s="532"/>
      <c r="EQ234" s="532"/>
      <c r="ER234" s="532"/>
      <c r="ES234" s="532"/>
      <c r="ET234" s="532"/>
      <c r="EU234" s="532"/>
      <c r="EV234" s="532"/>
      <c r="EW234" s="532"/>
      <c r="EX234" s="532"/>
      <c r="EY234" s="532"/>
      <c r="EZ234" s="532"/>
      <c r="FA234" s="532"/>
      <c r="FB234" s="532"/>
      <c r="FC234" s="532"/>
      <c r="FD234" s="532"/>
      <c r="FE234" s="532"/>
      <c r="FF234" s="532"/>
      <c r="FG234" s="532"/>
      <c r="FH234" s="532"/>
      <c r="FI234" s="532"/>
      <c r="FJ234" s="532"/>
      <c r="FK234" s="532"/>
      <c r="FL234" s="532"/>
      <c r="FM234" s="532"/>
      <c r="FN234" s="532"/>
      <c r="FO234" s="532"/>
      <c r="FP234" s="532"/>
    </row>
    <row r="235" spans="1:172" ht="12" customHeight="1" x14ac:dyDescent="0.2">
      <c r="A235" s="533" t="s">
        <v>110</v>
      </c>
      <c r="B235" s="534"/>
      <c r="C235" s="208">
        <v>0</v>
      </c>
      <c r="D235" s="208">
        <v>0</v>
      </c>
      <c r="E235" s="208">
        <v>0</v>
      </c>
      <c r="F235" s="208">
        <v>0</v>
      </c>
      <c r="G235" s="208">
        <v>0</v>
      </c>
      <c r="H235" s="208">
        <v>0</v>
      </c>
      <c r="I235" s="208">
        <v>0</v>
      </c>
      <c r="J235" s="208">
        <v>0</v>
      </c>
      <c r="K235" s="208">
        <v>0</v>
      </c>
      <c r="L235" s="562">
        <v>0</v>
      </c>
      <c r="M235" s="562">
        <v>0</v>
      </c>
      <c r="N235" s="562">
        <v>0</v>
      </c>
      <c r="O235" s="530">
        <f t="shared" si="130"/>
        <v>0</v>
      </c>
      <c r="P235" s="531"/>
      <c r="Q235" s="531"/>
      <c r="R235" s="531"/>
      <c r="S235" s="531"/>
      <c r="T235" s="531"/>
      <c r="U235" s="531"/>
      <c r="V235" s="531"/>
      <c r="W235" s="531"/>
      <c r="X235" s="531"/>
      <c r="Y235" s="531"/>
      <c r="Z235" s="531"/>
      <c r="AA235" s="531"/>
      <c r="AB235" s="531"/>
      <c r="AC235" s="531"/>
      <c r="AD235" s="531"/>
      <c r="AE235" s="531"/>
      <c r="AF235" s="531"/>
      <c r="AG235" s="531"/>
      <c r="AH235" s="532"/>
      <c r="AI235" s="532"/>
      <c r="AJ235" s="532"/>
      <c r="AK235" s="532"/>
      <c r="AL235" s="532"/>
      <c r="AM235" s="532"/>
      <c r="AN235" s="532"/>
      <c r="AO235" s="532"/>
      <c r="AP235" s="532"/>
      <c r="AQ235" s="532"/>
      <c r="AR235" s="532"/>
      <c r="AS235" s="532"/>
      <c r="AT235" s="532"/>
      <c r="AU235" s="532"/>
      <c r="AV235" s="532"/>
      <c r="AW235" s="532"/>
      <c r="AX235" s="532"/>
      <c r="AY235" s="532"/>
      <c r="AZ235" s="532"/>
      <c r="BA235" s="532"/>
      <c r="BB235" s="532"/>
      <c r="BC235" s="532"/>
      <c r="BD235" s="532"/>
      <c r="BE235" s="532"/>
      <c r="BF235" s="532"/>
      <c r="BG235" s="532"/>
      <c r="BH235" s="532"/>
      <c r="BI235" s="532"/>
      <c r="BJ235" s="532"/>
      <c r="BK235" s="532"/>
      <c r="BL235" s="532"/>
      <c r="BM235" s="532"/>
      <c r="BN235" s="532"/>
      <c r="BO235" s="532"/>
      <c r="BP235" s="532"/>
      <c r="BQ235" s="532"/>
      <c r="BR235" s="532"/>
      <c r="BS235" s="532"/>
      <c r="BT235" s="532"/>
      <c r="BU235" s="532"/>
      <c r="BV235" s="532"/>
      <c r="BW235" s="532"/>
      <c r="BX235" s="532"/>
      <c r="BY235" s="532"/>
      <c r="BZ235" s="532"/>
      <c r="CA235" s="532"/>
      <c r="CB235" s="532"/>
      <c r="CC235" s="532"/>
      <c r="CD235" s="532"/>
      <c r="CE235" s="532"/>
      <c r="CF235" s="532"/>
      <c r="CG235" s="532"/>
      <c r="CH235" s="532"/>
      <c r="CI235" s="532"/>
      <c r="CJ235" s="532"/>
      <c r="CK235" s="532"/>
      <c r="CL235" s="532"/>
      <c r="CM235" s="532"/>
      <c r="CN235" s="532"/>
      <c r="CO235" s="532"/>
      <c r="CP235" s="532"/>
      <c r="CQ235" s="532"/>
      <c r="CR235" s="532"/>
      <c r="CS235" s="532"/>
      <c r="CT235" s="532"/>
      <c r="CU235" s="532"/>
      <c r="CV235" s="532"/>
      <c r="CW235" s="532"/>
      <c r="CX235" s="532"/>
      <c r="CY235" s="532"/>
      <c r="CZ235" s="532"/>
      <c r="DA235" s="532"/>
      <c r="DB235" s="532"/>
      <c r="DC235" s="532"/>
      <c r="DD235" s="532"/>
      <c r="DE235" s="532"/>
      <c r="DF235" s="532"/>
      <c r="DG235" s="532"/>
      <c r="DH235" s="532"/>
      <c r="DI235" s="532"/>
      <c r="DJ235" s="532"/>
      <c r="DK235" s="532"/>
      <c r="DL235" s="532"/>
      <c r="DM235" s="532"/>
      <c r="DN235" s="532"/>
      <c r="DO235" s="532"/>
      <c r="DP235" s="532"/>
      <c r="DQ235" s="532"/>
      <c r="DR235" s="532"/>
      <c r="DS235" s="532"/>
      <c r="DT235" s="532"/>
      <c r="DU235" s="532"/>
      <c r="DV235" s="532"/>
      <c r="DW235" s="532"/>
      <c r="DX235" s="532"/>
      <c r="DY235" s="532"/>
      <c r="DZ235" s="532"/>
      <c r="EA235" s="532"/>
      <c r="EB235" s="532"/>
      <c r="EC235" s="532"/>
      <c r="ED235" s="532"/>
      <c r="EE235" s="532"/>
      <c r="EF235" s="532"/>
      <c r="EG235" s="532"/>
      <c r="EH235" s="532"/>
      <c r="EI235" s="532"/>
      <c r="EJ235" s="532"/>
      <c r="EK235" s="532"/>
      <c r="EL235" s="532"/>
      <c r="EM235" s="532"/>
      <c r="EN235" s="532"/>
      <c r="EO235" s="532"/>
      <c r="EP235" s="532"/>
      <c r="EQ235" s="532"/>
      <c r="ER235" s="532"/>
      <c r="ES235" s="532"/>
      <c r="ET235" s="532"/>
      <c r="EU235" s="532"/>
      <c r="EV235" s="532"/>
      <c r="EW235" s="532"/>
      <c r="EX235" s="532"/>
      <c r="EY235" s="532"/>
      <c r="EZ235" s="532"/>
      <c r="FA235" s="532"/>
      <c r="FB235" s="532"/>
      <c r="FC235" s="532"/>
      <c r="FD235" s="532"/>
      <c r="FE235" s="532"/>
      <c r="FF235" s="532"/>
      <c r="FG235" s="532"/>
      <c r="FH235" s="532"/>
      <c r="FI235" s="532"/>
      <c r="FJ235" s="532"/>
      <c r="FK235" s="532"/>
      <c r="FL235" s="532"/>
      <c r="FM235" s="532"/>
      <c r="FN235" s="532"/>
      <c r="FO235" s="532"/>
      <c r="FP235" s="532"/>
    </row>
    <row r="236" spans="1:172" ht="12" customHeight="1" x14ac:dyDescent="0.2">
      <c r="A236" s="533" t="s">
        <v>102</v>
      </c>
      <c r="B236" s="534"/>
      <c r="C236" s="208">
        <v>0</v>
      </c>
      <c r="D236" s="208">
        <v>0</v>
      </c>
      <c r="E236" s="208">
        <v>0</v>
      </c>
      <c r="F236" s="208">
        <v>0</v>
      </c>
      <c r="G236" s="208">
        <v>0</v>
      </c>
      <c r="H236" s="208">
        <v>0</v>
      </c>
      <c r="I236" s="208">
        <v>0</v>
      </c>
      <c r="J236" s="208">
        <v>0</v>
      </c>
      <c r="K236" s="208">
        <v>0</v>
      </c>
      <c r="L236" s="562">
        <v>0</v>
      </c>
      <c r="M236" s="562">
        <v>0</v>
      </c>
      <c r="N236" s="562">
        <v>0</v>
      </c>
      <c r="O236" s="530">
        <f t="shared" si="130"/>
        <v>0</v>
      </c>
      <c r="P236" s="531"/>
      <c r="Q236" s="531"/>
      <c r="R236" s="531"/>
      <c r="S236" s="531"/>
      <c r="T236" s="531"/>
      <c r="U236" s="531"/>
      <c r="V236" s="531"/>
      <c r="W236" s="531"/>
      <c r="X236" s="531"/>
      <c r="Y236" s="531"/>
      <c r="Z236" s="531"/>
      <c r="AA236" s="531"/>
      <c r="AB236" s="531"/>
      <c r="AC236" s="531"/>
      <c r="AD236" s="531"/>
      <c r="AE236" s="531"/>
      <c r="AF236" s="531"/>
      <c r="AG236" s="531"/>
      <c r="AH236" s="532"/>
      <c r="AI236" s="532"/>
      <c r="AJ236" s="532"/>
      <c r="AK236" s="532"/>
      <c r="AL236" s="532"/>
      <c r="AM236" s="532"/>
      <c r="AN236" s="532"/>
      <c r="AO236" s="532"/>
      <c r="AP236" s="532"/>
      <c r="AQ236" s="532"/>
      <c r="AR236" s="532"/>
      <c r="AS236" s="532"/>
      <c r="AT236" s="532"/>
      <c r="AU236" s="532"/>
      <c r="AV236" s="532"/>
      <c r="AW236" s="532"/>
      <c r="AX236" s="532"/>
      <c r="AY236" s="532"/>
      <c r="AZ236" s="532"/>
      <c r="BA236" s="532"/>
      <c r="BB236" s="532"/>
      <c r="BC236" s="532"/>
      <c r="BD236" s="532"/>
      <c r="BE236" s="532"/>
      <c r="BF236" s="532"/>
      <c r="BG236" s="532"/>
      <c r="BH236" s="532"/>
      <c r="BI236" s="532"/>
      <c r="BJ236" s="532"/>
      <c r="BK236" s="532"/>
      <c r="BL236" s="532"/>
      <c r="BM236" s="532"/>
      <c r="BN236" s="532"/>
      <c r="BO236" s="532"/>
      <c r="BP236" s="532"/>
      <c r="BQ236" s="532"/>
      <c r="BR236" s="532"/>
      <c r="BS236" s="532"/>
      <c r="BT236" s="532"/>
      <c r="BU236" s="532"/>
      <c r="BV236" s="532"/>
      <c r="BW236" s="532"/>
      <c r="BX236" s="532"/>
      <c r="BY236" s="532"/>
      <c r="BZ236" s="532"/>
      <c r="CA236" s="532"/>
      <c r="CB236" s="532"/>
      <c r="CC236" s="532"/>
      <c r="CD236" s="532"/>
      <c r="CE236" s="532"/>
      <c r="CF236" s="532"/>
      <c r="CG236" s="532"/>
      <c r="CH236" s="532"/>
      <c r="CI236" s="532"/>
      <c r="CJ236" s="532"/>
      <c r="CK236" s="532"/>
      <c r="CL236" s="532"/>
      <c r="CM236" s="532"/>
      <c r="CN236" s="532"/>
      <c r="CO236" s="532"/>
      <c r="CP236" s="532"/>
      <c r="CQ236" s="532"/>
      <c r="CR236" s="532"/>
      <c r="CS236" s="532"/>
      <c r="CT236" s="532"/>
      <c r="CU236" s="532"/>
      <c r="CV236" s="532"/>
      <c r="CW236" s="532"/>
      <c r="CX236" s="532"/>
      <c r="CY236" s="532"/>
      <c r="CZ236" s="532"/>
      <c r="DA236" s="532"/>
      <c r="DB236" s="532"/>
      <c r="DC236" s="532"/>
      <c r="DD236" s="532"/>
      <c r="DE236" s="532"/>
      <c r="DF236" s="532"/>
      <c r="DG236" s="532"/>
      <c r="DH236" s="532"/>
      <c r="DI236" s="532"/>
      <c r="DJ236" s="532"/>
      <c r="DK236" s="532"/>
      <c r="DL236" s="532"/>
      <c r="DM236" s="532"/>
      <c r="DN236" s="532"/>
      <c r="DO236" s="532"/>
      <c r="DP236" s="532"/>
      <c r="DQ236" s="532"/>
      <c r="DR236" s="532"/>
      <c r="DS236" s="532"/>
      <c r="DT236" s="532"/>
      <c r="DU236" s="532"/>
      <c r="DV236" s="532"/>
      <c r="DW236" s="532"/>
      <c r="DX236" s="532"/>
      <c r="DY236" s="532"/>
      <c r="DZ236" s="532"/>
      <c r="EA236" s="532"/>
      <c r="EB236" s="532"/>
      <c r="EC236" s="532"/>
      <c r="ED236" s="532"/>
      <c r="EE236" s="532"/>
      <c r="EF236" s="532"/>
      <c r="EG236" s="532"/>
      <c r="EH236" s="532"/>
      <c r="EI236" s="532"/>
      <c r="EJ236" s="532"/>
      <c r="EK236" s="532"/>
      <c r="EL236" s="532"/>
      <c r="EM236" s="532"/>
      <c r="EN236" s="532"/>
      <c r="EO236" s="532"/>
      <c r="EP236" s="532"/>
      <c r="EQ236" s="532"/>
      <c r="ER236" s="532"/>
      <c r="ES236" s="532"/>
      <c r="ET236" s="532"/>
      <c r="EU236" s="532"/>
      <c r="EV236" s="532"/>
      <c r="EW236" s="532"/>
      <c r="EX236" s="532"/>
      <c r="EY236" s="532"/>
      <c r="EZ236" s="532"/>
      <c r="FA236" s="532"/>
      <c r="FB236" s="532"/>
      <c r="FC236" s="532"/>
      <c r="FD236" s="532"/>
      <c r="FE236" s="532"/>
      <c r="FF236" s="532"/>
      <c r="FG236" s="532"/>
      <c r="FH236" s="532"/>
      <c r="FI236" s="532"/>
      <c r="FJ236" s="532"/>
      <c r="FK236" s="532"/>
      <c r="FL236" s="532"/>
      <c r="FM236" s="532"/>
      <c r="FN236" s="532"/>
      <c r="FO236" s="532"/>
      <c r="FP236" s="532"/>
    </row>
    <row r="237" spans="1:172" ht="12" customHeight="1" x14ac:dyDescent="0.2">
      <c r="A237" s="533" t="s">
        <v>111</v>
      </c>
      <c r="B237" s="534"/>
      <c r="C237" s="208">
        <v>0</v>
      </c>
      <c r="D237" s="208">
        <v>0</v>
      </c>
      <c r="E237" s="208">
        <v>0</v>
      </c>
      <c r="F237" s="208">
        <v>0</v>
      </c>
      <c r="G237" s="208">
        <v>0</v>
      </c>
      <c r="H237" s="208">
        <v>0</v>
      </c>
      <c r="I237" s="208">
        <v>0</v>
      </c>
      <c r="J237" s="208">
        <v>0</v>
      </c>
      <c r="K237" s="208">
        <v>0</v>
      </c>
      <c r="L237" s="562">
        <v>2</v>
      </c>
      <c r="M237" s="562">
        <v>0</v>
      </c>
      <c r="N237" s="562">
        <v>0</v>
      </c>
      <c r="O237" s="530">
        <f t="shared" si="130"/>
        <v>2</v>
      </c>
      <c r="P237" s="531"/>
      <c r="Q237" s="531"/>
      <c r="R237" s="531"/>
      <c r="S237" s="531"/>
      <c r="T237" s="531"/>
      <c r="U237" s="531"/>
      <c r="V237" s="531"/>
      <c r="W237" s="531"/>
      <c r="X237" s="531"/>
      <c r="Y237" s="531"/>
      <c r="Z237" s="531"/>
      <c r="AA237" s="531"/>
      <c r="AB237" s="531"/>
      <c r="AC237" s="531"/>
      <c r="AD237" s="531"/>
      <c r="AE237" s="531"/>
      <c r="AF237" s="531"/>
      <c r="AG237" s="531"/>
      <c r="AH237" s="532"/>
      <c r="AI237" s="532"/>
      <c r="AJ237" s="532"/>
      <c r="AK237" s="532"/>
      <c r="AL237" s="532"/>
      <c r="AM237" s="532"/>
      <c r="AN237" s="532"/>
      <c r="AO237" s="532"/>
      <c r="AP237" s="532"/>
      <c r="AQ237" s="532"/>
      <c r="AR237" s="532"/>
      <c r="AS237" s="532"/>
      <c r="AT237" s="532"/>
      <c r="AU237" s="532"/>
      <c r="AV237" s="532"/>
      <c r="AW237" s="532"/>
      <c r="AX237" s="532"/>
      <c r="AY237" s="532"/>
      <c r="AZ237" s="532"/>
      <c r="BA237" s="532"/>
      <c r="BB237" s="532"/>
      <c r="BC237" s="532"/>
      <c r="BD237" s="532"/>
      <c r="BE237" s="532"/>
      <c r="BF237" s="532"/>
      <c r="BG237" s="532"/>
      <c r="BH237" s="532"/>
      <c r="BI237" s="532"/>
      <c r="BJ237" s="532"/>
      <c r="BK237" s="532"/>
      <c r="BL237" s="532"/>
      <c r="BM237" s="532"/>
      <c r="BN237" s="532"/>
      <c r="BO237" s="532"/>
      <c r="BP237" s="532"/>
      <c r="BQ237" s="532"/>
      <c r="BR237" s="532"/>
      <c r="BS237" s="532"/>
      <c r="BT237" s="532"/>
      <c r="BU237" s="532"/>
      <c r="BV237" s="532"/>
      <c r="BW237" s="532"/>
      <c r="BX237" s="532"/>
      <c r="BY237" s="532"/>
      <c r="BZ237" s="532"/>
      <c r="CA237" s="532"/>
      <c r="CB237" s="532"/>
      <c r="CC237" s="532"/>
      <c r="CD237" s="532"/>
      <c r="CE237" s="532"/>
      <c r="CF237" s="532"/>
      <c r="CG237" s="532"/>
      <c r="CH237" s="532"/>
      <c r="CI237" s="532"/>
      <c r="CJ237" s="532"/>
      <c r="CK237" s="532"/>
      <c r="CL237" s="532"/>
      <c r="CM237" s="532"/>
      <c r="CN237" s="532"/>
      <c r="CO237" s="532"/>
      <c r="CP237" s="532"/>
      <c r="CQ237" s="532"/>
      <c r="CR237" s="532"/>
      <c r="CS237" s="532"/>
      <c r="CT237" s="532"/>
      <c r="CU237" s="532"/>
      <c r="CV237" s="532"/>
      <c r="CW237" s="532"/>
      <c r="CX237" s="532"/>
      <c r="CY237" s="532"/>
      <c r="CZ237" s="532"/>
      <c r="DA237" s="532"/>
      <c r="DB237" s="532"/>
      <c r="DC237" s="532"/>
      <c r="DD237" s="532"/>
      <c r="DE237" s="532"/>
      <c r="DF237" s="532"/>
      <c r="DG237" s="532"/>
      <c r="DH237" s="532"/>
      <c r="DI237" s="532"/>
      <c r="DJ237" s="532"/>
      <c r="DK237" s="532"/>
      <c r="DL237" s="532"/>
      <c r="DM237" s="532"/>
      <c r="DN237" s="532"/>
      <c r="DO237" s="532"/>
      <c r="DP237" s="532"/>
      <c r="DQ237" s="532"/>
      <c r="DR237" s="532"/>
      <c r="DS237" s="532"/>
      <c r="DT237" s="532"/>
      <c r="DU237" s="532"/>
      <c r="DV237" s="532"/>
      <c r="DW237" s="532"/>
      <c r="DX237" s="532"/>
      <c r="DY237" s="532"/>
      <c r="DZ237" s="532"/>
      <c r="EA237" s="532"/>
      <c r="EB237" s="532"/>
      <c r="EC237" s="532"/>
      <c r="ED237" s="532"/>
      <c r="EE237" s="532"/>
      <c r="EF237" s="532"/>
      <c r="EG237" s="532"/>
      <c r="EH237" s="532"/>
      <c r="EI237" s="532"/>
      <c r="EJ237" s="532"/>
      <c r="EK237" s="532"/>
      <c r="EL237" s="532"/>
      <c r="EM237" s="532"/>
      <c r="EN237" s="532"/>
      <c r="EO237" s="532"/>
      <c r="EP237" s="532"/>
      <c r="EQ237" s="532"/>
      <c r="ER237" s="532"/>
      <c r="ES237" s="532"/>
      <c r="ET237" s="532"/>
      <c r="EU237" s="532"/>
      <c r="EV237" s="532"/>
      <c r="EW237" s="532"/>
      <c r="EX237" s="532"/>
      <c r="EY237" s="532"/>
      <c r="EZ237" s="532"/>
      <c r="FA237" s="532"/>
      <c r="FB237" s="532"/>
      <c r="FC237" s="532"/>
      <c r="FD237" s="532"/>
      <c r="FE237" s="532"/>
      <c r="FF237" s="532"/>
      <c r="FG237" s="532"/>
      <c r="FH237" s="532"/>
      <c r="FI237" s="532"/>
      <c r="FJ237" s="532"/>
      <c r="FK237" s="532"/>
      <c r="FL237" s="532"/>
      <c r="FM237" s="532"/>
      <c r="FN237" s="532"/>
      <c r="FO237" s="532"/>
      <c r="FP237" s="532"/>
    </row>
    <row r="238" spans="1:172" ht="12" customHeight="1" x14ac:dyDescent="0.2">
      <c r="A238" s="537" t="s">
        <v>135</v>
      </c>
      <c r="B238" s="534"/>
      <c r="C238" s="208">
        <f t="shared" ref="C238:N238" si="131">SUM(C231:C237)</f>
        <v>9</v>
      </c>
      <c r="D238" s="208">
        <f t="shared" si="131"/>
        <v>6</v>
      </c>
      <c r="E238" s="208">
        <f t="shared" si="131"/>
        <v>11</v>
      </c>
      <c r="F238" s="208">
        <f t="shared" si="131"/>
        <v>8</v>
      </c>
      <c r="G238" s="208">
        <f t="shared" si="131"/>
        <v>9</v>
      </c>
      <c r="H238" s="208">
        <f t="shared" si="131"/>
        <v>11</v>
      </c>
      <c r="I238" s="208">
        <f t="shared" si="131"/>
        <v>5</v>
      </c>
      <c r="J238" s="208">
        <f t="shared" si="131"/>
        <v>8</v>
      </c>
      <c r="K238" s="208">
        <f t="shared" si="131"/>
        <v>9</v>
      </c>
      <c r="L238" s="562">
        <f t="shared" si="131"/>
        <v>14</v>
      </c>
      <c r="M238" s="562">
        <f t="shared" si="131"/>
        <v>7</v>
      </c>
      <c r="N238" s="562">
        <f t="shared" si="131"/>
        <v>10</v>
      </c>
      <c r="O238" s="530">
        <f t="shared" si="130"/>
        <v>107</v>
      </c>
      <c r="P238" s="531"/>
      <c r="Q238" s="531"/>
      <c r="R238" s="531"/>
      <c r="S238" s="531"/>
      <c r="T238" s="531"/>
      <c r="U238" s="531"/>
      <c r="V238" s="531"/>
      <c r="W238" s="531"/>
      <c r="X238" s="531"/>
      <c r="Y238" s="531"/>
      <c r="Z238" s="531"/>
      <c r="AA238" s="531"/>
      <c r="AB238" s="531"/>
      <c r="AC238" s="531"/>
      <c r="AD238" s="531"/>
      <c r="AE238" s="531"/>
      <c r="AF238" s="531"/>
      <c r="AG238" s="531"/>
      <c r="AH238" s="532"/>
      <c r="AI238" s="532"/>
      <c r="AJ238" s="532"/>
      <c r="AK238" s="532"/>
      <c r="AL238" s="532"/>
      <c r="AM238" s="532"/>
      <c r="AN238" s="532"/>
      <c r="AO238" s="532"/>
      <c r="AP238" s="532"/>
      <c r="AQ238" s="532"/>
      <c r="AR238" s="532"/>
      <c r="AS238" s="532"/>
      <c r="AT238" s="532"/>
      <c r="AU238" s="532"/>
      <c r="AV238" s="532"/>
      <c r="AW238" s="532"/>
      <c r="AX238" s="532"/>
      <c r="AY238" s="532"/>
      <c r="AZ238" s="532"/>
      <c r="BA238" s="532"/>
      <c r="BB238" s="532"/>
      <c r="BC238" s="532"/>
      <c r="BD238" s="532"/>
      <c r="BE238" s="532"/>
      <c r="BF238" s="532"/>
      <c r="BG238" s="532"/>
      <c r="BH238" s="532"/>
      <c r="BI238" s="532"/>
      <c r="BJ238" s="532"/>
      <c r="BK238" s="532"/>
      <c r="BL238" s="532"/>
      <c r="BM238" s="532"/>
      <c r="BN238" s="532"/>
      <c r="BO238" s="532"/>
      <c r="BP238" s="532"/>
      <c r="BQ238" s="532"/>
      <c r="BR238" s="532"/>
      <c r="BS238" s="532"/>
      <c r="BT238" s="532"/>
      <c r="BU238" s="532"/>
      <c r="BV238" s="532"/>
      <c r="BW238" s="532"/>
      <c r="BX238" s="532"/>
      <c r="BY238" s="532"/>
      <c r="BZ238" s="532"/>
      <c r="CA238" s="532"/>
      <c r="CB238" s="532"/>
      <c r="CC238" s="532"/>
      <c r="CD238" s="532"/>
      <c r="CE238" s="532"/>
      <c r="CF238" s="532"/>
      <c r="CG238" s="532"/>
      <c r="CH238" s="532"/>
      <c r="CI238" s="532"/>
      <c r="CJ238" s="532"/>
      <c r="CK238" s="532"/>
      <c r="CL238" s="532"/>
      <c r="CM238" s="532"/>
      <c r="CN238" s="532"/>
      <c r="CO238" s="532"/>
      <c r="CP238" s="532"/>
      <c r="CQ238" s="532"/>
      <c r="CR238" s="532"/>
      <c r="CS238" s="532"/>
      <c r="CT238" s="532"/>
      <c r="CU238" s="532"/>
      <c r="CV238" s="532"/>
      <c r="CW238" s="532"/>
      <c r="CX238" s="532"/>
      <c r="CY238" s="532"/>
      <c r="CZ238" s="532"/>
      <c r="DA238" s="532"/>
      <c r="DB238" s="532"/>
      <c r="DC238" s="532"/>
      <c r="DD238" s="532"/>
      <c r="DE238" s="532"/>
      <c r="DF238" s="532"/>
      <c r="DG238" s="532"/>
      <c r="DH238" s="532"/>
      <c r="DI238" s="532"/>
      <c r="DJ238" s="532"/>
      <c r="DK238" s="532"/>
      <c r="DL238" s="532"/>
      <c r="DM238" s="532"/>
      <c r="DN238" s="532"/>
      <c r="DO238" s="532"/>
      <c r="DP238" s="532"/>
      <c r="DQ238" s="532"/>
      <c r="DR238" s="532"/>
      <c r="DS238" s="532"/>
      <c r="DT238" s="532"/>
      <c r="DU238" s="532"/>
      <c r="DV238" s="532"/>
      <c r="DW238" s="532"/>
      <c r="DX238" s="532"/>
      <c r="DY238" s="532"/>
      <c r="DZ238" s="532"/>
      <c r="EA238" s="532"/>
      <c r="EB238" s="532"/>
      <c r="EC238" s="532"/>
      <c r="ED238" s="532"/>
      <c r="EE238" s="532"/>
      <c r="EF238" s="532"/>
      <c r="EG238" s="532"/>
      <c r="EH238" s="532"/>
      <c r="EI238" s="532"/>
      <c r="EJ238" s="532"/>
      <c r="EK238" s="532"/>
      <c r="EL238" s="532"/>
      <c r="EM238" s="532"/>
      <c r="EN238" s="532"/>
      <c r="EO238" s="532"/>
      <c r="EP238" s="532"/>
      <c r="EQ238" s="532"/>
      <c r="ER238" s="532"/>
      <c r="ES238" s="532"/>
      <c r="ET238" s="532"/>
      <c r="EU238" s="532"/>
      <c r="EV238" s="532"/>
      <c r="EW238" s="532"/>
      <c r="EX238" s="532"/>
      <c r="EY238" s="532"/>
      <c r="EZ238" s="532"/>
      <c r="FA238" s="532"/>
      <c r="FB238" s="532"/>
      <c r="FC238" s="532"/>
      <c r="FD238" s="532"/>
      <c r="FE238" s="532"/>
      <c r="FF238" s="532"/>
      <c r="FG238" s="532"/>
      <c r="FH238" s="532"/>
      <c r="FI238" s="532"/>
      <c r="FJ238" s="532"/>
      <c r="FK238" s="532"/>
      <c r="FL238" s="532"/>
      <c r="FM238" s="532"/>
      <c r="FN238" s="532"/>
      <c r="FO238" s="532"/>
      <c r="FP238" s="532"/>
    </row>
    <row r="239" spans="1:172" ht="12" customHeight="1" x14ac:dyDescent="0.2">
      <c r="A239" s="533"/>
      <c r="B239" s="534"/>
      <c r="C239" s="534"/>
      <c r="D239" s="534"/>
      <c r="E239" s="534"/>
      <c r="F239" s="534"/>
      <c r="G239" s="534"/>
      <c r="H239" s="534"/>
      <c r="I239" s="534"/>
      <c r="J239" s="534"/>
      <c r="K239" s="658"/>
      <c r="L239" s="562"/>
      <c r="M239" s="562"/>
      <c r="N239" s="562"/>
      <c r="O239" s="549"/>
      <c r="P239" s="531"/>
      <c r="Q239" s="531"/>
      <c r="R239" s="531"/>
      <c r="S239" s="531"/>
      <c r="T239" s="531"/>
      <c r="U239" s="531"/>
      <c r="V239" s="531"/>
      <c r="W239" s="531"/>
      <c r="X239" s="531"/>
      <c r="Y239" s="531"/>
      <c r="Z239" s="531"/>
      <c r="AA239" s="531"/>
      <c r="AB239" s="531"/>
      <c r="AC239" s="531"/>
      <c r="AD239" s="531"/>
      <c r="AE239" s="531"/>
      <c r="AF239" s="531"/>
      <c r="AG239" s="531"/>
      <c r="AH239" s="532"/>
      <c r="AI239" s="532"/>
      <c r="AJ239" s="532"/>
      <c r="AK239" s="532"/>
      <c r="AL239" s="532"/>
      <c r="AM239" s="532"/>
      <c r="AN239" s="532"/>
      <c r="AO239" s="532"/>
      <c r="AP239" s="532"/>
      <c r="AQ239" s="532"/>
      <c r="AR239" s="532"/>
      <c r="AS239" s="532"/>
      <c r="AT239" s="532"/>
      <c r="AU239" s="532"/>
      <c r="AV239" s="532"/>
      <c r="AW239" s="532"/>
      <c r="AX239" s="532"/>
      <c r="AY239" s="532"/>
      <c r="AZ239" s="532"/>
      <c r="BA239" s="532"/>
      <c r="BB239" s="532"/>
      <c r="BC239" s="532"/>
      <c r="BD239" s="532"/>
      <c r="BE239" s="532"/>
      <c r="BF239" s="532"/>
      <c r="BG239" s="532"/>
      <c r="BH239" s="532"/>
      <c r="BI239" s="532"/>
      <c r="BJ239" s="532"/>
      <c r="BK239" s="532"/>
      <c r="BL239" s="532"/>
      <c r="BM239" s="532"/>
      <c r="BN239" s="532"/>
      <c r="BO239" s="532"/>
      <c r="BP239" s="532"/>
      <c r="BQ239" s="532"/>
      <c r="BR239" s="532"/>
      <c r="BS239" s="532"/>
      <c r="BT239" s="532"/>
      <c r="BU239" s="532"/>
      <c r="BV239" s="532"/>
      <c r="BW239" s="532"/>
      <c r="BX239" s="532"/>
      <c r="BY239" s="532"/>
      <c r="BZ239" s="532"/>
      <c r="CA239" s="532"/>
      <c r="CB239" s="532"/>
      <c r="CC239" s="532"/>
      <c r="CD239" s="532"/>
      <c r="CE239" s="532"/>
      <c r="CF239" s="532"/>
      <c r="CG239" s="532"/>
      <c r="CH239" s="532"/>
      <c r="CI239" s="532"/>
      <c r="CJ239" s="532"/>
      <c r="CK239" s="532"/>
      <c r="CL239" s="532"/>
      <c r="CM239" s="532"/>
      <c r="CN239" s="532"/>
      <c r="CO239" s="532"/>
      <c r="CP239" s="532"/>
      <c r="CQ239" s="532"/>
      <c r="CR239" s="532"/>
      <c r="CS239" s="532"/>
      <c r="CT239" s="532"/>
      <c r="CU239" s="532"/>
      <c r="CV239" s="532"/>
      <c r="CW239" s="532"/>
      <c r="CX239" s="532"/>
      <c r="CY239" s="532"/>
      <c r="CZ239" s="532"/>
      <c r="DA239" s="532"/>
      <c r="DB239" s="532"/>
      <c r="DC239" s="532"/>
      <c r="DD239" s="532"/>
      <c r="DE239" s="532"/>
      <c r="DF239" s="532"/>
      <c r="DG239" s="532"/>
      <c r="DH239" s="532"/>
      <c r="DI239" s="532"/>
      <c r="DJ239" s="532"/>
      <c r="DK239" s="532"/>
      <c r="DL239" s="532"/>
      <c r="DM239" s="532"/>
      <c r="DN239" s="532"/>
      <c r="DO239" s="532"/>
      <c r="DP239" s="532"/>
      <c r="DQ239" s="532"/>
      <c r="DR239" s="532"/>
      <c r="DS239" s="532"/>
      <c r="DT239" s="532"/>
      <c r="DU239" s="532"/>
      <c r="DV239" s="532"/>
      <c r="DW239" s="532"/>
      <c r="DX239" s="532"/>
      <c r="DY239" s="532"/>
      <c r="DZ239" s="532"/>
      <c r="EA239" s="532"/>
      <c r="EB239" s="532"/>
      <c r="EC239" s="532"/>
      <c r="ED239" s="532"/>
      <c r="EE239" s="532"/>
      <c r="EF239" s="532"/>
      <c r="EG239" s="532"/>
      <c r="EH239" s="532"/>
      <c r="EI239" s="532"/>
      <c r="EJ239" s="532"/>
      <c r="EK239" s="532"/>
      <c r="EL239" s="532"/>
      <c r="EM239" s="532"/>
      <c r="EN239" s="532"/>
      <c r="EO239" s="532"/>
      <c r="EP239" s="532"/>
      <c r="EQ239" s="532"/>
      <c r="ER239" s="532"/>
      <c r="ES239" s="532"/>
      <c r="ET239" s="532"/>
      <c r="EU239" s="532"/>
      <c r="EV239" s="532"/>
      <c r="EW239" s="532"/>
      <c r="EX239" s="532"/>
      <c r="EY239" s="532"/>
      <c r="EZ239" s="532"/>
      <c r="FA239" s="532"/>
      <c r="FB239" s="532"/>
      <c r="FC239" s="532"/>
      <c r="FD239" s="532"/>
      <c r="FE239" s="532"/>
      <c r="FF239" s="532"/>
      <c r="FG239" s="532"/>
      <c r="FH239" s="532"/>
      <c r="FI239" s="532"/>
      <c r="FJ239" s="532"/>
      <c r="FK239" s="532"/>
      <c r="FL239" s="532"/>
      <c r="FM239" s="532"/>
      <c r="FN239" s="532"/>
      <c r="FO239" s="532"/>
      <c r="FP239" s="532"/>
    </row>
    <row r="240" spans="1:172" ht="12" customHeight="1" x14ac:dyDescent="0.2">
      <c r="A240" s="533" t="s">
        <v>136</v>
      </c>
      <c r="B240" s="534"/>
      <c r="C240" s="534"/>
      <c r="D240" s="534"/>
      <c r="E240" s="534"/>
      <c r="F240" s="534"/>
      <c r="G240" s="534"/>
      <c r="H240" s="534"/>
      <c r="I240" s="534"/>
      <c r="J240" s="534"/>
      <c r="K240" s="658"/>
      <c r="L240" s="562"/>
      <c r="M240" s="562"/>
      <c r="N240" s="562"/>
      <c r="O240" s="549"/>
      <c r="P240" s="531"/>
      <c r="Q240" s="531"/>
      <c r="R240" s="531"/>
      <c r="S240" s="531"/>
      <c r="T240" s="531"/>
      <c r="U240" s="531"/>
      <c r="V240" s="531"/>
      <c r="W240" s="531"/>
      <c r="X240" s="531"/>
      <c r="Y240" s="531"/>
      <c r="Z240" s="531"/>
      <c r="AA240" s="531"/>
      <c r="AB240" s="531"/>
      <c r="AC240" s="531"/>
      <c r="AD240" s="531"/>
      <c r="AE240" s="531"/>
      <c r="AF240" s="531"/>
      <c r="AG240" s="531"/>
      <c r="AH240" s="532"/>
      <c r="AI240" s="532"/>
      <c r="AJ240" s="532"/>
      <c r="AK240" s="532"/>
      <c r="AL240" s="532"/>
      <c r="AM240" s="532"/>
      <c r="AN240" s="532"/>
      <c r="AO240" s="532"/>
      <c r="AP240" s="532"/>
      <c r="AQ240" s="532"/>
      <c r="AR240" s="532"/>
      <c r="AS240" s="532"/>
      <c r="AT240" s="532"/>
      <c r="AU240" s="532"/>
      <c r="AV240" s="532"/>
      <c r="AW240" s="532"/>
      <c r="AX240" s="532"/>
      <c r="AY240" s="532"/>
      <c r="AZ240" s="532"/>
      <c r="BA240" s="532"/>
      <c r="BB240" s="532"/>
      <c r="BC240" s="532"/>
      <c r="BD240" s="532"/>
      <c r="BE240" s="532"/>
      <c r="BF240" s="532"/>
      <c r="BG240" s="532"/>
      <c r="BH240" s="532"/>
      <c r="BI240" s="532"/>
      <c r="BJ240" s="532"/>
      <c r="BK240" s="532"/>
      <c r="BL240" s="532"/>
      <c r="BM240" s="532"/>
      <c r="BN240" s="532"/>
      <c r="BO240" s="532"/>
      <c r="BP240" s="532"/>
      <c r="BQ240" s="532"/>
      <c r="BR240" s="532"/>
      <c r="BS240" s="532"/>
      <c r="BT240" s="532"/>
      <c r="BU240" s="532"/>
      <c r="BV240" s="532"/>
      <c r="BW240" s="532"/>
      <c r="BX240" s="532"/>
      <c r="BY240" s="532"/>
      <c r="BZ240" s="532"/>
      <c r="CA240" s="532"/>
      <c r="CB240" s="532"/>
      <c r="CC240" s="532"/>
      <c r="CD240" s="532"/>
      <c r="CE240" s="532"/>
      <c r="CF240" s="532"/>
      <c r="CG240" s="532"/>
      <c r="CH240" s="532"/>
      <c r="CI240" s="532"/>
      <c r="CJ240" s="532"/>
      <c r="CK240" s="532"/>
      <c r="CL240" s="532"/>
      <c r="CM240" s="532"/>
      <c r="CN240" s="532"/>
      <c r="CO240" s="532"/>
      <c r="CP240" s="532"/>
      <c r="CQ240" s="532"/>
      <c r="CR240" s="532"/>
      <c r="CS240" s="532"/>
      <c r="CT240" s="532"/>
      <c r="CU240" s="532"/>
      <c r="CV240" s="532"/>
      <c r="CW240" s="532"/>
      <c r="CX240" s="532"/>
      <c r="CY240" s="532"/>
      <c r="CZ240" s="532"/>
      <c r="DA240" s="532"/>
      <c r="DB240" s="532"/>
      <c r="DC240" s="532"/>
      <c r="DD240" s="532"/>
      <c r="DE240" s="532"/>
      <c r="DF240" s="532"/>
      <c r="DG240" s="532"/>
      <c r="DH240" s="532"/>
      <c r="DI240" s="532"/>
      <c r="DJ240" s="532"/>
      <c r="DK240" s="532"/>
      <c r="DL240" s="532"/>
      <c r="DM240" s="532"/>
      <c r="DN240" s="532"/>
      <c r="DO240" s="532"/>
      <c r="DP240" s="532"/>
      <c r="DQ240" s="532"/>
      <c r="DR240" s="532"/>
      <c r="DS240" s="532"/>
      <c r="DT240" s="532"/>
      <c r="DU240" s="532"/>
      <c r="DV240" s="532"/>
      <c r="DW240" s="532"/>
      <c r="DX240" s="532"/>
      <c r="DY240" s="532"/>
      <c r="DZ240" s="532"/>
      <c r="EA240" s="532"/>
      <c r="EB240" s="532"/>
      <c r="EC240" s="532"/>
      <c r="ED240" s="532"/>
      <c r="EE240" s="532"/>
      <c r="EF240" s="532"/>
      <c r="EG240" s="532"/>
      <c r="EH240" s="532"/>
      <c r="EI240" s="532"/>
      <c r="EJ240" s="532"/>
      <c r="EK240" s="532"/>
      <c r="EL240" s="532"/>
      <c r="EM240" s="532"/>
      <c r="EN240" s="532"/>
      <c r="EO240" s="532"/>
      <c r="EP240" s="532"/>
      <c r="EQ240" s="532"/>
      <c r="ER240" s="532"/>
      <c r="ES240" s="532"/>
      <c r="ET240" s="532"/>
      <c r="EU240" s="532"/>
      <c r="EV240" s="532"/>
      <c r="EW240" s="532"/>
      <c r="EX240" s="532"/>
      <c r="EY240" s="532"/>
      <c r="EZ240" s="532"/>
      <c r="FA240" s="532"/>
      <c r="FB240" s="532"/>
      <c r="FC240" s="532"/>
      <c r="FD240" s="532"/>
      <c r="FE240" s="532"/>
      <c r="FF240" s="532"/>
      <c r="FG240" s="532"/>
      <c r="FH240" s="532"/>
      <c r="FI240" s="532"/>
      <c r="FJ240" s="532"/>
      <c r="FK240" s="532"/>
      <c r="FL240" s="532"/>
      <c r="FM240" s="532"/>
      <c r="FN240" s="532"/>
      <c r="FO240" s="532"/>
      <c r="FP240" s="532"/>
    </row>
    <row r="241" spans="1:172" ht="12" customHeight="1" x14ac:dyDescent="0.2">
      <c r="A241" s="533" t="s">
        <v>79</v>
      </c>
      <c r="B241" s="534"/>
      <c r="C241" s="208">
        <v>234</v>
      </c>
      <c r="D241" s="208">
        <v>109</v>
      </c>
      <c r="E241" s="208">
        <v>167</v>
      </c>
      <c r="F241" s="208">
        <v>126</v>
      </c>
      <c r="G241" s="208">
        <v>76</v>
      </c>
      <c r="H241" s="208">
        <v>245</v>
      </c>
      <c r="I241" s="208">
        <v>72</v>
      </c>
      <c r="J241" s="208">
        <v>174</v>
      </c>
      <c r="K241" s="208">
        <v>110</v>
      </c>
      <c r="L241" s="562">
        <f>375-46</f>
        <v>329</v>
      </c>
      <c r="M241" s="562">
        <v>115</v>
      </c>
      <c r="N241" s="562">
        <v>242</v>
      </c>
      <c r="O241" s="530">
        <f>SUM(C241:N241)</f>
        <v>1999</v>
      </c>
      <c r="P241" s="531"/>
      <c r="Q241" s="531"/>
      <c r="R241" s="531"/>
      <c r="S241" s="531"/>
      <c r="T241" s="531"/>
      <c r="U241" s="531"/>
      <c r="V241" s="531"/>
      <c r="W241" s="531"/>
      <c r="X241" s="531"/>
      <c r="Y241" s="531"/>
      <c r="Z241" s="531"/>
      <c r="AA241" s="531"/>
      <c r="AB241" s="531"/>
      <c r="AC241" s="531"/>
      <c r="AD241" s="531"/>
      <c r="AE241" s="531"/>
      <c r="AF241" s="531"/>
      <c r="AG241" s="531"/>
      <c r="AH241" s="532"/>
      <c r="AI241" s="532"/>
      <c r="AJ241" s="532"/>
      <c r="AK241" s="532"/>
      <c r="AL241" s="532"/>
      <c r="AM241" s="532"/>
      <c r="AN241" s="532"/>
      <c r="AO241" s="532"/>
      <c r="AP241" s="532"/>
      <c r="AQ241" s="532"/>
      <c r="AR241" s="532"/>
      <c r="AS241" s="532"/>
      <c r="AT241" s="532"/>
      <c r="AU241" s="532"/>
      <c r="AV241" s="532"/>
      <c r="AW241" s="532"/>
      <c r="AX241" s="532"/>
      <c r="AY241" s="532"/>
      <c r="AZ241" s="532"/>
      <c r="BA241" s="532"/>
      <c r="BB241" s="532"/>
      <c r="BC241" s="532"/>
      <c r="BD241" s="532"/>
      <c r="BE241" s="532"/>
      <c r="BF241" s="532"/>
      <c r="BG241" s="532"/>
      <c r="BH241" s="532"/>
      <c r="BI241" s="532"/>
      <c r="BJ241" s="532"/>
      <c r="BK241" s="532"/>
      <c r="BL241" s="532"/>
      <c r="BM241" s="532"/>
      <c r="BN241" s="532"/>
      <c r="BO241" s="532"/>
      <c r="BP241" s="532"/>
      <c r="BQ241" s="532"/>
      <c r="BR241" s="532"/>
      <c r="BS241" s="532"/>
      <c r="BT241" s="532"/>
      <c r="BU241" s="532"/>
      <c r="BV241" s="532"/>
      <c r="BW241" s="532"/>
      <c r="BX241" s="532"/>
      <c r="BY241" s="532"/>
      <c r="BZ241" s="532"/>
      <c r="CA241" s="532"/>
      <c r="CB241" s="532"/>
      <c r="CC241" s="532"/>
      <c r="CD241" s="532"/>
      <c r="CE241" s="532"/>
      <c r="CF241" s="532"/>
      <c r="CG241" s="532"/>
      <c r="CH241" s="532"/>
      <c r="CI241" s="532"/>
      <c r="CJ241" s="532"/>
      <c r="CK241" s="532"/>
      <c r="CL241" s="532"/>
      <c r="CM241" s="532"/>
      <c r="CN241" s="532"/>
      <c r="CO241" s="532"/>
      <c r="CP241" s="532"/>
      <c r="CQ241" s="532"/>
      <c r="CR241" s="532"/>
      <c r="CS241" s="532"/>
      <c r="CT241" s="532"/>
      <c r="CU241" s="532"/>
      <c r="CV241" s="532"/>
      <c r="CW241" s="532"/>
      <c r="CX241" s="532"/>
      <c r="CY241" s="532"/>
      <c r="CZ241" s="532"/>
      <c r="DA241" s="532"/>
      <c r="DB241" s="532"/>
      <c r="DC241" s="532"/>
      <c r="DD241" s="532"/>
      <c r="DE241" s="532"/>
      <c r="DF241" s="532"/>
      <c r="DG241" s="532"/>
      <c r="DH241" s="532"/>
      <c r="DI241" s="532"/>
      <c r="DJ241" s="532"/>
      <c r="DK241" s="532"/>
      <c r="DL241" s="532"/>
      <c r="DM241" s="532"/>
      <c r="DN241" s="532"/>
      <c r="DO241" s="532"/>
      <c r="DP241" s="532"/>
      <c r="DQ241" s="532"/>
      <c r="DR241" s="532"/>
      <c r="DS241" s="532"/>
      <c r="DT241" s="532"/>
      <c r="DU241" s="532"/>
      <c r="DV241" s="532"/>
      <c r="DW241" s="532"/>
      <c r="DX241" s="532"/>
      <c r="DY241" s="532"/>
      <c r="DZ241" s="532"/>
      <c r="EA241" s="532"/>
      <c r="EB241" s="532"/>
      <c r="EC241" s="532"/>
      <c r="ED241" s="532"/>
      <c r="EE241" s="532"/>
      <c r="EF241" s="532"/>
      <c r="EG241" s="532"/>
      <c r="EH241" s="532"/>
      <c r="EI241" s="532"/>
      <c r="EJ241" s="532"/>
      <c r="EK241" s="532"/>
      <c r="EL241" s="532"/>
      <c r="EM241" s="532"/>
      <c r="EN241" s="532"/>
      <c r="EO241" s="532"/>
      <c r="EP241" s="532"/>
      <c r="EQ241" s="532"/>
      <c r="ER241" s="532"/>
      <c r="ES241" s="532"/>
      <c r="ET241" s="532"/>
      <c r="EU241" s="532"/>
      <c r="EV241" s="532"/>
      <c r="EW241" s="532"/>
      <c r="EX241" s="532"/>
      <c r="EY241" s="532"/>
      <c r="EZ241" s="532"/>
      <c r="FA241" s="532"/>
      <c r="FB241" s="532"/>
      <c r="FC241" s="532"/>
      <c r="FD241" s="532"/>
      <c r="FE241" s="532"/>
      <c r="FF241" s="532"/>
      <c r="FG241" s="532"/>
      <c r="FH241" s="532"/>
      <c r="FI241" s="532"/>
      <c r="FJ241" s="532"/>
      <c r="FK241" s="532"/>
      <c r="FL241" s="532"/>
      <c r="FM241" s="532"/>
      <c r="FN241" s="532"/>
      <c r="FO241" s="532"/>
      <c r="FP241" s="532"/>
    </row>
    <row r="242" spans="1:172" ht="12" customHeight="1" x14ac:dyDescent="0.2">
      <c r="A242" s="533" t="s">
        <v>80</v>
      </c>
      <c r="B242" s="534"/>
      <c r="C242" s="208">
        <v>0</v>
      </c>
      <c r="D242" s="208">
        <v>0</v>
      </c>
      <c r="E242" s="208">
        <v>0</v>
      </c>
      <c r="F242" s="208">
        <v>0</v>
      </c>
      <c r="G242" s="208">
        <v>0</v>
      </c>
      <c r="H242" s="208">
        <v>0</v>
      </c>
      <c r="I242" s="208">
        <v>0</v>
      </c>
      <c r="J242" s="208">
        <v>0</v>
      </c>
      <c r="K242" s="208">
        <v>0</v>
      </c>
      <c r="L242" s="562">
        <v>0</v>
      </c>
      <c r="M242" s="562">
        <v>0</v>
      </c>
      <c r="N242" s="562">
        <v>0</v>
      </c>
      <c r="O242" s="530">
        <f t="shared" ref="O242:O248" si="132">SUM(C242:N242)</f>
        <v>0</v>
      </c>
      <c r="P242" s="531"/>
      <c r="Q242" s="531"/>
      <c r="R242" s="531"/>
      <c r="S242" s="531"/>
      <c r="T242" s="531"/>
      <c r="U242" s="531"/>
      <c r="V242" s="531"/>
      <c r="W242" s="531"/>
      <c r="X242" s="531"/>
      <c r="Y242" s="531"/>
      <c r="Z242" s="531"/>
      <c r="AA242" s="531"/>
      <c r="AB242" s="531"/>
      <c r="AC242" s="531"/>
      <c r="AD242" s="531"/>
      <c r="AE242" s="531"/>
      <c r="AF242" s="531"/>
      <c r="AG242" s="531"/>
      <c r="AH242" s="532"/>
      <c r="AI242" s="532"/>
      <c r="AJ242" s="532"/>
      <c r="AK242" s="532"/>
      <c r="AL242" s="532"/>
      <c r="AM242" s="532"/>
      <c r="AN242" s="532"/>
      <c r="AO242" s="532"/>
      <c r="AP242" s="532"/>
      <c r="AQ242" s="532"/>
      <c r="AR242" s="532"/>
      <c r="AS242" s="532"/>
      <c r="AT242" s="532"/>
      <c r="AU242" s="532"/>
      <c r="AV242" s="532"/>
      <c r="AW242" s="532"/>
      <c r="AX242" s="532"/>
      <c r="AY242" s="532"/>
      <c r="AZ242" s="532"/>
      <c r="BA242" s="532"/>
      <c r="BB242" s="532"/>
      <c r="BC242" s="532"/>
      <c r="BD242" s="532"/>
      <c r="BE242" s="532"/>
      <c r="BF242" s="532"/>
      <c r="BG242" s="532"/>
      <c r="BH242" s="532"/>
      <c r="BI242" s="532"/>
      <c r="BJ242" s="532"/>
      <c r="BK242" s="532"/>
      <c r="BL242" s="532"/>
      <c r="BM242" s="532"/>
      <c r="BN242" s="532"/>
      <c r="BO242" s="532"/>
      <c r="BP242" s="532"/>
      <c r="BQ242" s="532"/>
      <c r="BR242" s="532"/>
      <c r="BS242" s="532"/>
      <c r="BT242" s="532"/>
      <c r="BU242" s="532"/>
      <c r="BV242" s="532"/>
      <c r="BW242" s="532"/>
      <c r="BX242" s="532"/>
      <c r="BY242" s="532"/>
      <c r="BZ242" s="532"/>
      <c r="CA242" s="532"/>
      <c r="CB242" s="532"/>
      <c r="CC242" s="532"/>
      <c r="CD242" s="532"/>
      <c r="CE242" s="532"/>
      <c r="CF242" s="532"/>
      <c r="CG242" s="532"/>
      <c r="CH242" s="532"/>
      <c r="CI242" s="532"/>
      <c r="CJ242" s="532"/>
      <c r="CK242" s="532"/>
      <c r="CL242" s="532"/>
      <c r="CM242" s="532"/>
      <c r="CN242" s="532"/>
      <c r="CO242" s="532"/>
      <c r="CP242" s="532"/>
      <c r="CQ242" s="532"/>
      <c r="CR242" s="532"/>
      <c r="CS242" s="532"/>
      <c r="CT242" s="532"/>
      <c r="CU242" s="532"/>
      <c r="CV242" s="532"/>
      <c r="CW242" s="532"/>
      <c r="CX242" s="532"/>
      <c r="CY242" s="532"/>
      <c r="CZ242" s="532"/>
      <c r="DA242" s="532"/>
      <c r="DB242" s="532"/>
      <c r="DC242" s="532"/>
      <c r="DD242" s="532"/>
      <c r="DE242" s="532"/>
      <c r="DF242" s="532"/>
      <c r="DG242" s="532"/>
      <c r="DH242" s="532"/>
      <c r="DI242" s="532"/>
      <c r="DJ242" s="532"/>
      <c r="DK242" s="532"/>
      <c r="DL242" s="532"/>
      <c r="DM242" s="532"/>
      <c r="DN242" s="532"/>
      <c r="DO242" s="532"/>
      <c r="DP242" s="532"/>
      <c r="DQ242" s="532"/>
      <c r="DR242" s="532"/>
      <c r="DS242" s="532"/>
      <c r="DT242" s="532"/>
      <c r="DU242" s="532"/>
      <c r="DV242" s="532"/>
      <c r="DW242" s="532"/>
      <c r="DX242" s="532"/>
      <c r="DY242" s="532"/>
      <c r="DZ242" s="532"/>
      <c r="EA242" s="532"/>
      <c r="EB242" s="532"/>
      <c r="EC242" s="532"/>
      <c r="ED242" s="532"/>
      <c r="EE242" s="532"/>
      <c r="EF242" s="532"/>
      <c r="EG242" s="532"/>
      <c r="EH242" s="532"/>
      <c r="EI242" s="532"/>
      <c r="EJ242" s="532"/>
      <c r="EK242" s="532"/>
      <c r="EL242" s="532"/>
      <c r="EM242" s="532"/>
      <c r="EN242" s="532"/>
      <c r="EO242" s="532"/>
      <c r="EP242" s="532"/>
      <c r="EQ242" s="532"/>
      <c r="ER242" s="532"/>
      <c r="ES242" s="532"/>
      <c r="ET242" s="532"/>
      <c r="EU242" s="532"/>
      <c r="EV242" s="532"/>
      <c r="EW242" s="532"/>
      <c r="EX242" s="532"/>
      <c r="EY242" s="532"/>
      <c r="EZ242" s="532"/>
      <c r="FA242" s="532"/>
      <c r="FB242" s="532"/>
      <c r="FC242" s="532"/>
      <c r="FD242" s="532"/>
      <c r="FE242" s="532"/>
      <c r="FF242" s="532"/>
      <c r="FG242" s="532"/>
      <c r="FH242" s="532"/>
      <c r="FI242" s="532"/>
      <c r="FJ242" s="532"/>
      <c r="FK242" s="532"/>
      <c r="FL242" s="532"/>
      <c r="FM242" s="532"/>
      <c r="FN242" s="532"/>
      <c r="FO242" s="532"/>
      <c r="FP242" s="532"/>
    </row>
    <row r="243" spans="1:172" ht="12" customHeight="1" x14ac:dyDescent="0.2">
      <c r="A243" s="533" t="s">
        <v>99</v>
      </c>
      <c r="B243" s="534"/>
      <c r="C243" s="208">
        <v>0</v>
      </c>
      <c r="D243" s="208">
        <v>0</v>
      </c>
      <c r="E243" s="208">
        <v>0</v>
      </c>
      <c r="F243" s="208">
        <v>0</v>
      </c>
      <c r="G243" s="208">
        <v>0</v>
      </c>
      <c r="H243" s="208">
        <v>0</v>
      </c>
      <c r="I243" s="208">
        <v>0</v>
      </c>
      <c r="J243" s="208">
        <v>0</v>
      </c>
      <c r="K243" s="208">
        <v>0</v>
      </c>
      <c r="L243" s="562">
        <v>0</v>
      </c>
      <c r="M243" s="562">
        <v>0</v>
      </c>
      <c r="N243" s="562">
        <v>0</v>
      </c>
      <c r="O243" s="530">
        <f t="shared" si="132"/>
        <v>0</v>
      </c>
      <c r="P243" s="531"/>
      <c r="Q243" s="531"/>
      <c r="R243" s="531"/>
      <c r="S243" s="531"/>
      <c r="T243" s="531"/>
      <c r="U243" s="531"/>
      <c r="V243" s="531"/>
      <c r="W243" s="531"/>
      <c r="X243" s="531"/>
      <c r="Y243" s="531"/>
      <c r="Z243" s="531"/>
      <c r="AA243" s="531"/>
      <c r="AB243" s="531"/>
      <c r="AC243" s="531"/>
      <c r="AD243" s="531"/>
      <c r="AE243" s="531"/>
      <c r="AF243" s="531"/>
      <c r="AG243" s="531"/>
      <c r="AH243" s="532"/>
      <c r="AI243" s="532"/>
      <c r="AJ243" s="532"/>
      <c r="AK243" s="532"/>
      <c r="AL243" s="532"/>
      <c r="AM243" s="532"/>
      <c r="AN243" s="532"/>
      <c r="AO243" s="532"/>
      <c r="AP243" s="532"/>
      <c r="AQ243" s="532"/>
      <c r="AR243" s="532"/>
      <c r="AS243" s="532"/>
      <c r="AT243" s="532"/>
      <c r="AU243" s="532"/>
      <c r="AV243" s="532"/>
      <c r="AW243" s="532"/>
      <c r="AX243" s="532"/>
      <c r="AY243" s="532"/>
      <c r="AZ243" s="532"/>
      <c r="BA243" s="532"/>
      <c r="BB243" s="532"/>
      <c r="BC243" s="532"/>
      <c r="BD243" s="532"/>
      <c r="BE243" s="532"/>
      <c r="BF243" s="532"/>
      <c r="BG243" s="532"/>
      <c r="BH243" s="532"/>
      <c r="BI243" s="532"/>
      <c r="BJ243" s="532"/>
      <c r="BK243" s="532"/>
      <c r="BL243" s="532"/>
      <c r="BM243" s="532"/>
      <c r="BN243" s="532"/>
      <c r="BO243" s="532"/>
      <c r="BP243" s="532"/>
      <c r="BQ243" s="532"/>
      <c r="BR243" s="532"/>
      <c r="BS243" s="532"/>
      <c r="BT243" s="532"/>
      <c r="BU243" s="532"/>
      <c r="BV243" s="532"/>
      <c r="BW243" s="532"/>
      <c r="BX243" s="532"/>
      <c r="BY243" s="532"/>
      <c r="BZ243" s="532"/>
      <c r="CA243" s="532"/>
      <c r="CB243" s="532"/>
      <c r="CC243" s="532"/>
      <c r="CD243" s="532"/>
      <c r="CE243" s="532"/>
      <c r="CF243" s="532"/>
      <c r="CG243" s="532"/>
      <c r="CH243" s="532"/>
      <c r="CI243" s="532"/>
      <c r="CJ243" s="532"/>
      <c r="CK243" s="532"/>
      <c r="CL243" s="532"/>
      <c r="CM243" s="532"/>
      <c r="CN243" s="532"/>
      <c r="CO243" s="532"/>
      <c r="CP243" s="532"/>
      <c r="CQ243" s="532"/>
      <c r="CR243" s="532"/>
      <c r="CS243" s="532"/>
      <c r="CT243" s="532"/>
      <c r="CU243" s="532"/>
      <c r="CV243" s="532"/>
      <c r="CW243" s="532"/>
      <c r="CX243" s="532"/>
      <c r="CY243" s="532"/>
      <c r="CZ243" s="532"/>
      <c r="DA243" s="532"/>
      <c r="DB243" s="532"/>
      <c r="DC243" s="532"/>
      <c r="DD243" s="532"/>
      <c r="DE243" s="532"/>
      <c r="DF243" s="532"/>
      <c r="DG243" s="532"/>
      <c r="DH243" s="532"/>
      <c r="DI243" s="532"/>
      <c r="DJ243" s="532"/>
      <c r="DK243" s="532"/>
      <c r="DL243" s="532"/>
      <c r="DM243" s="532"/>
      <c r="DN243" s="532"/>
      <c r="DO243" s="532"/>
      <c r="DP243" s="532"/>
      <c r="DQ243" s="532"/>
      <c r="DR243" s="532"/>
      <c r="DS243" s="532"/>
      <c r="DT243" s="532"/>
      <c r="DU243" s="532"/>
      <c r="DV243" s="532"/>
      <c r="DW243" s="532"/>
      <c r="DX243" s="532"/>
      <c r="DY243" s="532"/>
      <c r="DZ243" s="532"/>
      <c r="EA243" s="532"/>
      <c r="EB243" s="532"/>
      <c r="EC243" s="532"/>
      <c r="ED243" s="532"/>
      <c r="EE243" s="532"/>
      <c r="EF243" s="532"/>
      <c r="EG243" s="532"/>
      <c r="EH243" s="532"/>
      <c r="EI243" s="532"/>
      <c r="EJ243" s="532"/>
      <c r="EK243" s="532"/>
      <c r="EL243" s="532"/>
      <c r="EM243" s="532"/>
      <c r="EN243" s="532"/>
      <c r="EO243" s="532"/>
      <c r="EP243" s="532"/>
      <c r="EQ243" s="532"/>
      <c r="ER243" s="532"/>
      <c r="ES243" s="532"/>
      <c r="ET243" s="532"/>
      <c r="EU243" s="532"/>
      <c r="EV243" s="532"/>
      <c r="EW243" s="532"/>
      <c r="EX243" s="532"/>
      <c r="EY243" s="532"/>
      <c r="EZ243" s="532"/>
      <c r="FA243" s="532"/>
      <c r="FB243" s="532"/>
      <c r="FC243" s="532"/>
      <c r="FD243" s="532"/>
      <c r="FE243" s="532"/>
      <c r="FF243" s="532"/>
      <c r="FG243" s="532"/>
      <c r="FH243" s="532"/>
      <c r="FI243" s="532"/>
      <c r="FJ243" s="532"/>
      <c r="FK243" s="532"/>
      <c r="FL243" s="532"/>
      <c r="FM243" s="532"/>
      <c r="FN243" s="532"/>
      <c r="FO243" s="532"/>
      <c r="FP243" s="532"/>
    </row>
    <row r="244" spans="1:172" ht="12" customHeight="1" x14ac:dyDescent="0.2">
      <c r="A244" s="533" t="s">
        <v>109</v>
      </c>
      <c r="B244" s="534"/>
      <c r="C244" s="208">
        <v>0</v>
      </c>
      <c r="D244" s="208">
        <v>0</v>
      </c>
      <c r="E244" s="208">
        <v>0</v>
      </c>
      <c r="F244" s="208">
        <v>0</v>
      </c>
      <c r="G244" s="208">
        <v>0</v>
      </c>
      <c r="H244" s="208">
        <v>0</v>
      </c>
      <c r="I244" s="208">
        <v>0</v>
      </c>
      <c r="J244" s="208">
        <v>0</v>
      </c>
      <c r="K244" s="208">
        <v>0</v>
      </c>
      <c r="L244" s="562">
        <v>0</v>
      </c>
      <c r="M244" s="562">
        <v>0</v>
      </c>
      <c r="N244" s="562">
        <v>0</v>
      </c>
      <c r="O244" s="530">
        <f t="shared" si="132"/>
        <v>0</v>
      </c>
      <c r="P244" s="531"/>
      <c r="Q244" s="531"/>
      <c r="R244" s="531"/>
      <c r="S244" s="531"/>
      <c r="T244" s="531"/>
      <c r="U244" s="531"/>
      <c r="V244" s="531"/>
      <c r="W244" s="531"/>
      <c r="X244" s="531"/>
      <c r="Y244" s="531"/>
      <c r="Z244" s="531"/>
      <c r="AA244" s="531"/>
      <c r="AB244" s="531"/>
      <c r="AC244" s="531"/>
      <c r="AD244" s="531"/>
      <c r="AE244" s="531"/>
      <c r="AF244" s="531"/>
      <c r="AG244" s="531"/>
      <c r="AH244" s="532"/>
      <c r="AI244" s="532"/>
      <c r="AJ244" s="532"/>
      <c r="AK244" s="532"/>
      <c r="AL244" s="532"/>
      <c r="AM244" s="532"/>
      <c r="AN244" s="532"/>
      <c r="AO244" s="532"/>
      <c r="AP244" s="532"/>
      <c r="AQ244" s="532"/>
      <c r="AR244" s="532"/>
      <c r="AS244" s="532"/>
      <c r="AT244" s="532"/>
      <c r="AU244" s="532"/>
      <c r="AV244" s="532"/>
      <c r="AW244" s="532"/>
      <c r="AX244" s="532"/>
      <c r="AY244" s="532"/>
      <c r="AZ244" s="532"/>
      <c r="BA244" s="532"/>
      <c r="BB244" s="532"/>
      <c r="BC244" s="532"/>
      <c r="BD244" s="532"/>
      <c r="BE244" s="532"/>
      <c r="BF244" s="532"/>
      <c r="BG244" s="532"/>
      <c r="BH244" s="532"/>
      <c r="BI244" s="532"/>
      <c r="BJ244" s="532"/>
      <c r="BK244" s="532"/>
      <c r="BL244" s="532"/>
      <c r="BM244" s="532"/>
      <c r="BN244" s="532"/>
      <c r="BO244" s="532"/>
      <c r="BP244" s="532"/>
      <c r="BQ244" s="532"/>
      <c r="BR244" s="532"/>
      <c r="BS244" s="532"/>
      <c r="BT244" s="532"/>
      <c r="BU244" s="532"/>
      <c r="BV244" s="532"/>
      <c r="BW244" s="532"/>
      <c r="BX244" s="532"/>
      <c r="BY244" s="532"/>
      <c r="BZ244" s="532"/>
      <c r="CA244" s="532"/>
      <c r="CB244" s="532"/>
      <c r="CC244" s="532"/>
      <c r="CD244" s="532"/>
      <c r="CE244" s="532"/>
      <c r="CF244" s="532"/>
      <c r="CG244" s="532"/>
      <c r="CH244" s="532"/>
      <c r="CI244" s="532"/>
      <c r="CJ244" s="532"/>
      <c r="CK244" s="532"/>
      <c r="CL244" s="532"/>
      <c r="CM244" s="532"/>
      <c r="CN244" s="532"/>
      <c r="CO244" s="532"/>
      <c r="CP244" s="532"/>
      <c r="CQ244" s="532"/>
      <c r="CR244" s="532"/>
      <c r="CS244" s="532"/>
      <c r="CT244" s="532"/>
      <c r="CU244" s="532"/>
      <c r="CV244" s="532"/>
      <c r="CW244" s="532"/>
      <c r="CX244" s="532"/>
      <c r="CY244" s="532"/>
      <c r="CZ244" s="532"/>
      <c r="DA244" s="532"/>
      <c r="DB244" s="532"/>
      <c r="DC244" s="532"/>
      <c r="DD244" s="532"/>
      <c r="DE244" s="532"/>
      <c r="DF244" s="532"/>
      <c r="DG244" s="532"/>
      <c r="DH244" s="532"/>
      <c r="DI244" s="532"/>
      <c r="DJ244" s="532"/>
      <c r="DK244" s="532"/>
      <c r="DL244" s="532"/>
      <c r="DM244" s="532"/>
      <c r="DN244" s="532"/>
      <c r="DO244" s="532"/>
      <c r="DP244" s="532"/>
      <c r="DQ244" s="532"/>
      <c r="DR244" s="532"/>
      <c r="DS244" s="532"/>
      <c r="DT244" s="532"/>
      <c r="DU244" s="532"/>
      <c r="DV244" s="532"/>
      <c r="DW244" s="532"/>
      <c r="DX244" s="532"/>
      <c r="DY244" s="532"/>
      <c r="DZ244" s="532"/>
      <c r="EA244" s="532"/>
      <c r="EB244" s="532"/>
      <c r="EC244" s="532"/>
      <c r="ED244" s="532"/>
      <c r="EE244" s="532"/>
      <c r="EF244" s="532"/>
      <c r="EG244" s="532"/>
      <c r="EH244" s="532"/>
      <c r="EI244" s="532"/>
      <c r="EJ244" s="532"/>
      <c r="EK244" s="532"/>
      <c r="EL244" s="532"/>
      <c r="EM244" s="532"/>
      <c r="EN244" s="532"/>
      <c r="EO244" s="532"/>
      <c r="EP244" s="532"/>
      <c r="EQ244" s="532"/>
      <c r="ER244" s="532"/>
      <c r="ES244" s="532"/>
      <c r="ET244" s="532"/>
      <c r="EU244" s="532"/>
      <c r="EV244" s="532"/>
      <c r="EW244" s="532"/>
      <c r="EX244" s="532"/>
      <c r="EY244" s="532"/>
      <c r="EZ244" s="532"/>
      <c r="FA244" s="532"/>
      <c r="FB244" s="532"/>
      <c r="FC244" s="532"/>
      <c r="FD244" s="532"/>
      <c r="FE244" s="532"/>
      <c r="FF244" s="532"/>
      <c r="FG244" s="532"/>
      <c r="FH244" s="532"/>
      <c r="FI244" s="532"/>
      <c r="FJ244" s="532"/>
      <c r="FK244" s="532"/>
      <c r="FL244" s="532"/>
      <c r="FM244" s="532"/>
      <c r="FN244" s="532"/>
      <c r="FO244" s="532"/>
      <c r="FP244" s="532"/>
    </row>
    <row r="245" spans="1:172" ht="12" customHeight="1" x14ac:dyDescent="0.2">
      <c r="A245" s="533" t="s">
        <v>110</v>
      </c>
      <c r="B245" s="534"/>
      <c r="C245" s="208">
        <v>0</v>
      </c>
      <c r="D245" s="208">
        <v>0</v>
      </c>
      <c r="E245" s="208">
        <v>0</v>
      </c>
      <c r="F245" s="208">
        <v>0</v>
      </c>
      <c r="G245" s="208">
        <v>0</v>
      </c>
      <c r="H245" s="208">
        <v>0</v>
      </c>
      <c r="I245" s="208">
        <v>0</v>
      </c>
      <c r="J245" s="208">
        <v>0</v>
      </c>
      <c r="K245" s="208">
        <v>0</v>
      </c>
      <c r="L245" s="562">
        <v>0</v>
      </c>
      <c r="M245" s="562">
        <v>0</v>
      </c>
      <c r="N245" s="562">
        <v>0</v>
      </c>
      <c r="O245" s="530">
        <f t="shared" si="132"/>
        <v>0</v>
      </c>
      <c r="P245" s="531"/>
      <c r="Q245" s="531"/>
      <c r="R245" s="531"/>
      <c r="S245" s="531"/>
      <c r="T245" s="531"/>
      <c r="U245" s="531"/>
      <c r="V245" s="531"/>
      <c r="W245" s="531"/>
      <c r="X245" s="531"/>
      <c r="Y245" s="531"/>
      <c r="Z245" s="531"/>
      <c r="AA245" s="531"/>
      <c r="AB245" s="531"/>
      <c r="AC245" s="531"/>
      <c r="AD245" s="531"/>
      <c r="AE245" s="531"/>
      <c r="AF245" s="531"/>
      <c r="AG245" s="531"/>
      <c r="AH245" s="532"/>
      <c r="AI245" s="532"/>
      <c r="AJ245" s="532"/>
      <c r="AK245" s="532"/>
      <c r="AL245" s="532"/>
      <c r="AM245" s="532"/>
      <c r="AN245" s="532"/>
      <c r="AO245" s="532"/>
      <c r="AP245" s="532"/>
      <c r="AQ245" s="532"/>
      <c r="AR245" s="532"/>
      <c r="AS245" s="532"/>
      <c r="AT245" s="532"/>
      <c r="AU245" s="532"/>
      <c r="AV245" s="532"/>
      <c r="AW245" s="532"/>
      <c r="AX245" s="532"/>
      <c r="AY245" s="532"/>
      <c r="AZ245" s="532"/>
      <c r="BA245" s="532"/>
      <c r="BB245" s="532"/>
      <c r="BC245" s="532"/>
      <c r="BD245" s="532"/>
      <c r="BE245" s="532"/>
      <c r="BF245" s="532"/>
      <c r="BG245" s="532"/>
      <c r="BH245" s="532"/>
      <c r="BI245" s="532"/>
      <c r="BJ245" s="532"/>
      <c r="BK245" s="532"/>
      <c r="BL245" s="532"/>
      <c r="BM245" s="532"/>
      <c r="BN245" s="532"/>
      <c r="BO245" s="532"/>
      <c r="BP245" s="532"/>
      <c r="BQ245" s="532"/>
      <c r="BR245" s="532"/>
      <c r="BS245" s="532"/>
      <c r="BT245" s="532"/>
      <c r="BU245" s="532"/>
      <c r="BV245" s="532"/>
      <c r="BW245" s="532"/>
      <c r="BX245" s="532"/>
      <c r="BY245" s="532"/>
      <c r="BZ245" s="532"/>
      <c r="CA245" s="532"/>
      <c r="CB245" s="532"/>
      <c r="CC245" s="532"/>
      <c r="CD245" s="532"/>
      <c r="CE245" s="532"/>
      <c r="CF245" s="532"/>
      <c r="CG245" s="532"/>
      <c r="CH245" s="532"/>
      <c r="CI245" s="532"/>
      <c r="CJ245" s="532"/>
      <c r="CK245" s="532"/>
      <c r="CL245" s="532"/>
      <c r="CM245" s="532"/>
      <c r="CN245" s="532"/>
      <c r="CO245" s="532"/>
      <c r="CP245" s="532"/>
      <c r="CQ245" s="532"/>
      <c r="CR245" s="532"/>
      <c r="CS245" s="532"/>
      <c r="CT245" s="532"/>
      <c r="CU245" s="532"/>
      <c r="CV245" s="532"/>
      <c r="CW245" s="532"/>
      <c r="CX245" s="532"/>
      <c r="CY245" s="532"/>
      <c r="CZ245" s="532"/>
      <c r="DA245" s="532"/>
      <c r="DB245" s="532"/>
      <c r="DC245" s="532"/>
      <c r="DD245" s="532"/>
      <c r="DE245" s="532"/>
      <c r="DF245" s="532"/>
      <c r="DG245" s="532"/>
      <c r="DH245" s="532"/>
      <c r="DI245" s="532"/>
      <c r="DJ245" s="532"/>
      <c r="DK245" s="532"/>
      <c r="DL245" s="532"/>
      <c r="DM245" s="532"/>
      <c r="DN245" s="532"/>
      <c r="DO245" s="532"/>
      <c r="DP245" s="532"/>
      <c r="DQ245" s="532"/>
      <c r="DR245" s="532"/>
      <c r="DS245" s="532"/>
      <c r="DT245" s="532"/>
      <c r="DU245" s="532"/>
      <c r="DV245" s="532"/>
      <c r="DW245" s="532"/>
      <c r="DX245" s="532"/>
      <c r="DY245" s="532"/>
      <c r="DZ245" s="532"/>
      <c r="EA245" s="532"/>
      <c r="EB245" s="532"/>
      <c r="EC245" s="532"/>
      <c r="ED245" s="532"/>
      <c r="EE245" s="532"/>
      <c r="EF245" s="532"/>
      <c r="EG245" s="532"/>
      <c r="EH245" s="532"/>
      <c r="EI245" s="532"/>
      <c r="EJ245" s="532"/>
      <c r="EK245" s="532"/>
      <c r="EL245" s="532"/>
      <c r="EM245" s="532"/>
      <c r="EN245" s="532"/>
      <c r="EO245" s="532"/>
      <c r="EP245" s="532"/>
      <c r="EQ245" s="532"/>
      <c r="ER245" s="532"/>
      <c r="ES245" s="532"/>
      <c r="ET245" s="532"/>
      <c r="EU245" s="532"/>
      <c r="EV245" s="532"/>
      <c r="EW245" s="532"/>
      <c r="EX245" s="532"/>
      <c r="EY245" s="532"/>
      <c r="EZ245" s="532"/>
      <c r="FA245" s="532"/>
      <c r="FB245" s="532"/>
      <c r="FC245" s="532"/>
      <c r="FD245" s="532"/>
      <c r="FE245" s="532"/>
      <c r="FF245" s="532"/>
      <c r="FG245" s="532"/>
      <c r="FH245" s="532"/>
      <c r="FI245" s="532"/>
      <c r="FJ245" s="532"/>
      <c r="FK245" s="532"/>
      <c r="FL245" s="532"/>
      <c r="FM245" s="532"/>
      <c r="FN245" s="532"/>
      <c r="FO245" s="532"/>
      <c r="FP245" s="532"/>
    </row>
    <row r="246" spans="1:172" ht="12" customHeight="1" x14ac:dyDescent="0.2">
      <c r="A246" s="533" t="s">
        <v>102</v>
      </c>
      <c r="B246" s="534"/>
      <c r="C246" s="208">
        <v>0</v>
      </c>
      <c r="D246" s="208">
        <v>0</v>
      </c>
      <c r="E246" s="208">
        <v>0</v>
      </c>
      <c r="F246" s="208">
        <v>0</v>
      </c>
      <c r="G246" s="208">
        <v>0</v>
      </c>
      <c r="H246" s="208">
        <v>0</v>
      </c>
      <c r="I246" s="208">
        <v>0</v>
      </c>
      <c r="J246" s="208">
        <v>0</v>
      </c>
      <c r="K246" s="208">
        <v>0</v>
      </c>
      <c r="L246" s="562">
        <v>0</v>
      </c>
      <c r="M246" s="562">
        <v>0</v>
      </c>
      <c r="N246" s="562">
        <v>0</v>
      </c>
      <c r="O246" s="530">
        <f t="shared" si="132"/>
        <v>0</v>
      </c>
      <c r="P246" s="531"/>
      <c r="Q246" s="531"/>
      <c r="R246" s="531"/>
      <c r="S246" s="531"/>
      <c r="T246" s="531"/>
      <c r="U246" s="531"/>
      <c r="V246" s="531"/>
      <c r="W246" s="531"/>
      <c r="X246" s="531"/>
      <c r="Y246" s="531"/>
      <c r="Z246" s="531"/>
      <c r="AA246" s="531"/>
      <c r="AB246" s="531"/>
      <c r="AC246" s="531"/>
      <c r="AD246" s="531"/>
      <c r="AE246" s="531"/>
      <c r="AF246" s="531"/>
      <c r="AG246" s="531"/>
      <c r="AH246" s="532"/>
      <c r="AI246" s="532"/>
      <c r="AJ246" s="532"/>
      <c r="AK246" s="532"/>
      <c r="AL246" s="532"/>
      <c r="AM246" s="532"/>
      <c r="AN246" s="532"/>
      <c r="AO246" s="532"/>
      <c r="AP246" s="532"/>
      <c r="AQ246" s="532"/>
      <c r="AR246" s="532"/>
      <c r="AS246" s="532"/>
      <c r="AT246" s="532"/>
      <c r="AU246" s="532"/>
      <c r="AV246" s="532"/>
      <c r="AW246" s="532"/>
      <c r="AX246" s="532"/>
      <c r="AY246" s="532"/>
      <c r="AZ246" s="532"/>
      <c r="BA246" s="532"/>
      <c r="BB246" s="532"/>
      <c r="BC246" s="532"/>
      <c r="BD246" s="532"/>
      <c r="BE246" s="532"/>
      <c r="BF246" s="532"/>
      <c r="BG246" s="532"/>
      <c r="BH246" s="532"/>
      <c r="BI246" s="532"/>
      <c r="BJ246" s="532"/>
      <c r="BK246" s="532"/>
      <c r="BL246" s="532"/>
      <c r="BM246" s="532"/>
      <c r="BN246" s="532"/>
      <c r="BO246" s="532"/>
      <c r="BP246" s="532"/>
      <c r="BQ246" s="532"/>
      <c r="BR246" s="532"/>
      <c r="BS246" s="532"/>
      <c r="BT246" s="532"/>
      <c r="BU246" s="532"/>
      <c r="BV246" s="532"/>
      <c r="BW246" s="532"/>
      <c r="BX246" s="532"/>
      <c r="BY246" s="532"/>
      <c r="BZ246" s="532"/>
      <c r="CA246" s="532"/>
      <c r="CB246" s="532"/>
      <c r="CC246" s="532"/>
      <c r="CD246" s="532"/>
      <c r="CE246" s="532"/>
      <c r="CF246" s="532"/>
      <c r="CG246" s="532"/>
      <c r="CH246" s="532"/>
      <c r="CI246" s="532"/>
      <c r="CJ246" s="532"/>
      <c r="CK246" s="532"/>
      <c r="CL246" s="532"/>
      <c r="CM246" s="532"/>
      <c r="CN246" s="532"/>
      <c r="CO246" s="532"/>
      <c r="CP246" s="532"/>
      <c r="CQ246" s="532"/>
      <c r="CR246" s="532"/>
      <c r="CS246" s="532"/>
      <c r="CT246" s="532"/>
      <c r="CU246" s="532"/>
      <c r="CV246" s="532"/>
      <c r="CW246" s="532"/>
      <c r="CX246" s="532"/>
      <c r="CY246" s="532"/>
      <c r="CZ246" s="532"/>
      <c r="DA246" s="532"/>
      <c r="DB246" s="532"/>
      <c r="DC246" s="532"/>
      <c r="DD246" s="532"/>
      <c r="DE246" s="532"/>
      <c r="DF246" s="532"/>
      <c r="DG246" s="532"/>
      <c r="DH246" s="532"/>
      <c r="DI246" s="532"/>
      <c r="DJ246" s="532"/>
      <c r="DK246" s="532"/>
      <c r="DL246" s="532"/>
      <c r="DM246" s="532"/>
      <c r="DN246" s="532"/>
      <c r="DO246" s="532"/>
      <c r="DP246" s="532"/>
      <c r="DQ246" s="532"/>
      <c r="DR246" s="532"/>
      <c r="DS246" s="532"/>
      <c r="DT246" s="532"/>
      <c r="DU246" s="532"/>
      <c r="DV246" s="532"/>
      <c r="DW246" s="532"/>
      <c r="DX246" s="532"/>
      <c r="DY246" s="532"/>
      <c r="DZ246" s="532"/>
      <c r="EA246" s="532"/>
      <c r="EB246" s="532"/>
      <c r="EC246" s="532"/>
      <c r="ED246" s="532"/>
      <c r="EE246" s="532"/>
      <c r="EF246" s="532"/>
      <c r="EG246" s="532"/>
      <c r="EH246" s="532"/>
      <c r="EI246" s="532"/>
      <c r="EJ246" s="532"/>
      <c r="EK246" s="532"/>
      <c r="EL246" s="532"/>
      <c r="EM246" s="532"/>
      <c r="EN246" s="532"/>
      <c r="EO246" s="532"/>
      <c r="EP246" s="532"/>
      <c r="EQ246" s="532"/>
      <c r="ER246" s="532"/>
      <c r="ES246" s="532"/>
      <c r="ET246" s="532"/>
      <c r="EU246" s="532"/>
      <c r="EV246" s="532"/>
      <c r="EW246" s="532"/>
      <c r="EX246" s="532"/>
      <c r="EY246" s="532"/>
      <c r="EZ246" s="532"/>
      <c r="FA246" s="532"/>
      <c r="FB246" s="532"/>
      <c r="FC246" s="532"/>
      <c r="FD246" s="532"/>
      <c r="FE246" s="532"/>
      <c r="FF246" s="532"/>
      <c r="FG246" s="532"/>
      <c r="FH246" s="532"/>
      <c r="FI246" s="532"/>
      <c r="FJ246" s="532"/>
      <c r="FK246" s="532"/>
      <c r="FL246" s="532"/>
      <c r="FM246" s="532"/>
      <c r="FN246" s="532"/>
      <c r="FO246" s="532"/>
      <c r="FP246" s="532"/>
    </row>
    <row r="247" spans="1:172" ht="12" customHeight="1" x14ac:dyDescent="0.2">
      <c r="A247" s="533" t="s">
        <v>111</v>
      </c>
      <c r="B247" s="534"/>
      <c r="C247" s="208">
        <v>0</v>
      </c>
      <c r="D247" s="208">
        <v>0</v>
      </c>
      <c r="E247" s="208">
        <v>0</v>
      </c>
      <c r="F247" s="208">
        <v>0</v>
      </c>
      <c r="G247" s="208">
        <v>0</v>
      </c>
      <c r="H247" s="208">
        <v>0</v>
      </c>
      <c r="I247" s="208">
        <v>0</v>
      </c>
      <c r="J247" s="208">
        <v>0</v>
      </c>
      <c r="K247" s="208">
        <v>0</v>
      </c>
      <c r="L247" s="562">
        <v>46</v>
      </c>
      <c r="M247" s="562">
        <v>0</v>
      </c>
      <c r="N247" s="562">
        <v>0</v>
      </c>
      <c r="O247" s="530">
        <f t="shared" si="132"/>
        <v>46</v>
      </c>
      <c r="P247" s="531"/>
      <c r="Q247" s="531"/>
      <c r="R247" s="531"/>
      <c r="S247" s="531"/>
      <c r="T247" s="531"/>
      <c r="U247" s="531"/>
      <c r="V247" s="531"/>
      <c r="W247" s="531"/>
      <c r="X247" s="531"/>
      <c r="Y247" s="531"/>
      <c r="Z247" s="531"/>
      <c r="AA247" s="531"/>
      <c r="AB247" s="531"/>
      <c r="AC247" s="531"/>
      <c r="AD247" s="531"/>
      <c r="AE247" s="531"/>
      <c r="AF247" s="531"/>
      <c r="AG247" s="531"/>
      <c r="AH247" s="532"/>
      <c r="AI247" s="532"/>
      <c r="AJ247" s="532"/>
      <c r="AK247" s="532"/>
      <c r="AL247" s="532"/>
      <c r="AM247" s="532"/>
      <c r="AN247" s="532"/>
      <c r="AO247" s="532"/>
      <c r="AP247" s="532"/>
      <c r="AQ247" s="532"/>
      <c r="AR247" s="532"/>
      <c r="AS247" s="532"/>
      <c r="AT247" s="532"/>
      <c r="AU247" s="532"/>
      <c r="AV247" s="532"/>
      <c r="AW247" s="532"/>
      <c r="AX247" s="532"/>
      <c r="AY247" s="532"/>
      <c r="AZ247" s="532"/>
      <c r="BA247" s="532"/>
      <c r="BB247" s="532"/>
      <c r="BC247" s="532"/>
      <c r="BD247" s="532"/>
      <c r="BE247" s="532"/>
      <c r="BF247" s="532"/>
      <c r="BG247" s="532"/>
      <c r="BH247" s="532"/>
      <c r="BI247" s="532"/>
      <c r="BJ247" s="532"/>
      <c r="BK247" s="532"/>
      <c r="BL247" s="532"/>
      <c r="BM247" s="532"/>
      <c r="BN247" s="532"/>
      <c r="BO247" s="532"/>
      <c r="BP247" s="532"/>
      <c r="BQ247" s="532"/>
      <c r="BR247" s="532"/>
      <c r="BS247" s="532"/>
      <c r="BT247" s="532"/>
      <c r="BU247" s="532"/>
      <c r="BV247" s="532"/>
      <c r="BW247" s="532"/>
      <c r="BX247" s="532"/>
      <c r="BY247" s="532"/>
      <c r="BZ247" s="532"/>
      <c r="CA247" s="532"/>
      <c r="CB247" s="532"/>
      <c r="CC247" s="532"/>
      <c r="CD247" s="532"/>
      <c r="CE247" s="532"/>
      <c r="CF247" s="532"/>
      <c r="CG247" s="532"/>
      <c r="CH247" s="532"/>
      <c r="CI247" s="532"/>
      <c r="CJ247" s="532"/>
      <c r="CK247" s="532"/>
      <c r="CL247" s="532"/>
      <c r="CM247" s="532"/>
      <c r="CN247" s="532"/>
      <c r="CO247" s="532"/>
      <c r="CP247" s="532"/>
      <c r="CQ247" s="532"/>
      <c r="CR247" s="532"/>
      <c r="CS247" s="532"/>
      <c r="CT247" s="532"/>
      <c r="CU247" s="532"/>
      <c r="CV247" s="532"/>
      <c r="CW247" s="532"/>
      <c r="CX247" s="532"/>
      <c r="CY247" s="532"/>
      <c r="CZ247" s="532"/>
      <c r="DA247" s="532"/>
      <c r="DB247" s="532"/>
      <c r="DC247" s="532"/>
      <c r="DD247" s="532"/>
      <c r="DE247" s="532"/>
      <c r="DF247" s="532"/>
      <c r="DG247" s="532"/>
      <c r="DH247" s="532"/>
      <c r="DI247" s="532"/>
      <c r="DJ247" s="532"/>
      <c r="DK247" s="532"/>
      <c r="DL247" s="532"/>
      <c r="DM247" s="532"/>
      <c r="DN247" s="532"/>
      <c r="DO247" s="532"/>
      <c r="DP247" s="532"/>
      <c r="DQ247" s="532"/>
      <c r="DR247" s="532"/>
      <c r="DS247" s="532"/>
      <c r="DT247" s="532"/>
      <c r="DU247" s="532"/>
      <c r="DV247" s="532"/>
      <c r="DW247" s="532"/>
      <c r="DX247" s="532"/>
      <c r="DY247" s="532"/>
      <c r="DZ247" s="532"/>
      <c r="EA247" s="532"/>
      <c r="EB247" s="532"/>
      <c r="EC247" s="532"/>
      <c r="ED247" s="532"/>
      <c r="EE247" s="532"/>
      <c r="EF247" s="532"/>
      <c r="EG247" s="532"/>
      <c r="EH247" s="532"/>
      <c r="EI247" s="532"/>
      <c r="EJ247" s="532"/>
      <c r="EK247" s="532"/>
      <c r="EL247" s="532"/>
      <c r="EM247" s="532"/>
      <c r="EN247" s="532"/>
      <c r="EO247" s="532"/>
      <c r="EP247" s="532"/>
      <c r="EQ247" s="532"/>
      <c r="ER247" s="532"/>
      <c r="ES247" s="532"/>
      <c r="ET247" s="532"/>
      <c r="EU247" s="532"/>
      <c r="EV247" s="532"/>
      <c r="EW247" s="532"/>
      <c r="EX247" s="532"/>
      <c r="EY247" s="532"/>
      <c r="EZ247" s="532"/>
      <c r="FA247" s="532"/>
      <c r="FB247" s="532"/>
      <c r="FC247" s="532"/>
      <c r="FD247" s="532"/>
      <c r="FE247" s="532"/>
      <c r="FF247" s="532"/>
      <c r="FG247" s="532"/>
      <c r="FH247" s="532"/>
      <c r="FI247" s="532"/>
      <c r="FJ247" s="532"/>
      <c r="FK247" s="532"/>
      <c r="FL247" s="532"/>
      <c r="FM247" s="532"/>
      <c r="FN247" s="532"/>
      <c r="FO247" s="532"/>
      <c r="FP247" s="532"/>
    </row>
    <row r="248" spans="1:172" ht="12" customHeight="1" x14ac:dyDescent="0.2">
      <c r="A248" s="537" t="s">
        <v>137</v>
      </c>
      <c r="B248" s="534"/>
      <c r="C248" s="208">
        <f t="shared" ref="C248:N248" si="133">SUM(C241:C247)</f>
        <v>234</v>
      </c>
      <c r="D248" s="208">
        <f t="shared" si="133"/>
        <v>109</v>
      </c>
      <c r="E248" s="208">
        <f t="shared" si="133"/>
        <v>167</v>
      </c>
      <c r="F248" s="208">
        <f t="shared" si="133"/>
        <v>126</v>
      </c>
      <c r="G248" s="208">
        <f t="shared" si="133"/>
        <v>76</v>
      </c>
      <c r="H248" s="208">
        <f t="shared" si="133"/>
        <v>245</v>
      </c>
      <c r="I248" s="208">
        <f t="shared" si="133"/>
        <v>72</v>
      </c>
      <c r="J248" s="208">
        <f t="shared" si="133"/>
        <v>174</v>
      </c>
      <c r="K248" s="208">
        <f t="shared" si="133"/>
        <v>110</v>
      </c>
      <c r="L248" s="562">
        <f t="shared" si="133"/>
        <v>375</v>
      </c>
      <c r="M248" s="562">
        <f t="shared" si="133"/>
        <v>115</v>
      </c>
      <c r="N248" s="562">
        <f t="shared" si="133"/>
        <v>242</v>
      </c>
      <c r="O248" s="530">
        <f t="shared" si="132"/>
        <v>2045</v>
      </c>
      <c r="P248" s="531"/>
      <c r="Q248" s="531"/>
      <c r="R248" s="531"/>
      <c r="S248" s="531"/>
      <c r="T248" s="531"/>
      <c r="U248" s="531"/>
      <c r="V248" s="531"/>
      <c r="W248" s="531"/>
      <c r="X248" s="531"/>
      <c r="Y248" s="531"/>
      <c r="Z248" s="531"/>
      <c r="AA248" s="531"/>
      <c r="AB248" s="531"/>
      <c r="AC248" s="531"/>
      <c r="AD248" s="531"/>
      <c r="AE248" s="531"/>
      <c r="AF248" s="531"/>
      <c r="AG248" s="531"/>
      <c r="AH248" s="532"/>
      <c r="AI248" s="532"/>
      <c r="AJ248" s="532"/>
      <c r="AK248" s="532"/>
      <c r="AL248" s="532"/>
      <c r="AM248" s="532"/>
      <c r="AN248" s="532"/>
      <c r="AO248" s="532"/>
      <c r="AP248" s="532"/>
      <c r="AQ248" s="532"/>
      <c r="AR248" s="532"/>
      <c r="AS248" s="532"/>
      <c r="AT248" s="532"/>
      <c r="AU248" s="532"/>
      <c r="AV248" s="532"/>
      <c r="AW248" s="532"/>
      <c r="AX248" s="532"/>
      <c r="AY248" s="532"/>
      <c r="AZ248" s="532"/>
      <c r="BA248" s="532"/>
      <c r="BB248" s="532"/>
      <c r="BC248" s="532"/>
      <c r="BD248" s="532"/>
      <c r="BE248" s="532"/>
      <c r="BF248" s="532"/>
      <c r="BG248" s="532"/>
      <c r="BH248" s="532"/>
      <c r="BI248" s="532"/>
      <c r="BJ248" s="532"/>
      <c r="BK248" s="532"/>
      <c r="BL248" s="532"/>
      <c r="BM248" s="532"/>
      <c r="BN248" s="532"/>
      <c r="BO248" s="532"/>
      <c r="BP248" s="532"/>
      <c r="BQ248" s="532"/>
      <c r="BR248" s="532"/>
      <c r="BS248" s="532"/>
      <c r="BT248" s="532"/>
      <c r="BU248" s="532"/>
      <c r="BV248" s="532"/>
      <c r="BW248" s="532"/>
      <c r="BX248" s="532"/>
      <c r="BY248" s="532"/>
      <c r="BZ248" s="532"/>
      <c r="CA248" s="532"/>
      <c r="CB248" s="532"/>
      <c r="CC248" s="532"/>
      <c r="CD248" s="532"/>
      <c r="CE248" s="532"/>
      <c r="CF248" s="532"/>
      <c r="CG248" s="532"/>
      <c r="CH248" s="532"/>
      <c r="CI248" s="532"/>
      <c r="CJ248" s="532"/>
      <c r="CK248" s="532"/>
      <c r="CL248" s="532"/>
      <c r="CM248" s="532"/>
      <c r="CN248" s="532"/>
      <c r="CO248" s="532"/>
      <c r="CP248" s="532"/>
      <c r="CQ248" s="532"/>
      <c r="CR248" s="532"/>
      <c r="CS248" s="532"/>
      <c r="CT248" s="532"/>
      <c r="CU248" s="532"/>
      <c r="CV248" s="532"/>
      <c r="CW248" s="532"/>
      <c r="CX248" s="532"/>
      <c r="CY248" s="532"/>
      <c r="CZ248" s="532"/>
      <c r="DA248" s="532"/>
      <c r="DB248" s="532"/>
      <c r="DC248" s="532"/>
      <c r="DD248" s="532"/>
      <c r="DE248" s="532"/>
      <c r="DF248" s="532"/>
      <c r="DG248" s="532"/>
      <c r="DH248" s="532"/>
      <c r="DI248" s="532"/>
      <c r="DJ248" s="532"/>
      <c r="DK248" s="532"/>
      <c r="DL248" s="532"/>
      <c r="DM248" s="532"/>
      <c r="DN248" s="532"/>
      <c r="DO248" s="532"/>
      <c r="DP248" s="532"/>
      <c r="DQ248" s="532"/>
      <c r="DR248" s="532"/>
      <c r="DS248" s="532"/>
      <c r="DT248" s="532"/>
      <c r="DU248" s="532"/>
      <c r="DV248" s="532"/>
      <c r="DW248" s="532"/>
      <c r="DX248" s="532"/>
      <c r="DY248" s="532"/>
      <c r="DZ248" s="532"/>
      <c r="EA248" s="532"/>
      <c r="EB248" s="532"/>
      <c r="EC248" s="532"/>
      <c r="ED248" s="532"/>
      <c r="EE248" s="532"/>
      <c r="EF248" s="532"/>
      <c r="EG248" s="532"/>
      <c r="EH248" s="532"/>
      <c r="EI248" s="532"/>
      <c r="EJ248" s="532"/>
      <c r="EK248" s="532"/>
      <c r="EL248" s="532"/>
      <c r="EM248" s="532"/>
      <c r="EN248" s="532"/>
      <c r="EO248" s="532"/>
      <c r="EP248" s="532"/>
      <c r="EQ248" s="532"/>
      <c r="ER248" s="532"/>
      <c r="ES248" s="532"/>
      <c r="ET248" s="532"/>
      <c r="EU248" s="532"/>
      <c r="EV248" s="532"/>
      <c r="EW248" s="532"/>
      <c r="EX248" s="532"/>
      <c r="EY248" s="532"/>
      <c r="EZ248" s="532"/>
      <c r="FA248" s="532"/>
      <c r="FB248" s="532"/>
      <c r="FC248" s="532"/>
      <c r="FD248" s="532"/>
      <c r="FE248" s="532"/>
      <c r="FF248" s="532"/>
      <c r="FG248" s="532"/>
      <c r="FH248" s="532"/>
      <c r="FI248" s="532"/>
      <c r="FJ248" s="532"/>
      <c r="FK248" s="532"/>
      <c r="FL248" s="532"/>
      <c r="FM248" s="532"/>
      <c r="FN248" s="532"/>
      <c r="FO248" s="532"/>
      <c r="FP248" s="532"/>
    </row>
    <row r="249" spans="1:172" ht="12" customHeight="1" x14ac:dyDescent="0.2">
      <c r="A249" s="533"/>
      <c r="B249" s="534"/>
      <c r="C249" s="534"/>
      <c r="D249" s="534"/>
      <c r="E249" s="534"/>
      <c r="F249" s="534"/>
      <c r="G249" s="534"/>
      <c r="H249" s="534"/>
      <c r="I249" s="534"/>
      <c r="J249" s="534"/>
      <c r="K249" s="658"/>
      <c r="L249" s="562"/>
      <c r="M249" s="562"/>
      <c r="N249" s="562"/>
      <c r="O249" s="549"/>
      <c r="P249" s="531"/>
      <c r="Q249" s="531"/>
      <c r="R249" s="531"/>
      <c r="S249" s="531"/>
      <c r="T249" s="531"/>
      <c r="U249" s="531"/>
      <c r="V249" s="531"/>
      <c r="W249" s="531"/>
      <c r="X249" s="531"/>
      <c r="Y249" s="531"/>
      <c r="Z249" s="531"/>
      <c r="AA249" s="531"/>
      <c r="AB249" s="531"/>
      <c r="AC249" s="531"/>
      <c r="AD249" s="531"/>
      <c r="AE249" s="531"/>
      <c r="AF249" s="531"/>
      <c r="AG249" s="531"/>
      <c r="AH249" s="532"/>
      <c r="AI249" s="532"/>
      <c r="AJ249" s="532"/>
      <c r="AK249" s="532"/>
      <c r="AL249" s="532"/>
      <c r="AM249" s="532"/>
      <c r="AN249" s="532"/>
      <c r="AO249" s="532"/>
      <c r="AP249" s="532"/>
      <c r="AQ249" s="532"/>
      <c r="AR249" s="532"/>
      <c r="AS249" s="532"/>
      <c r="AT249" s="532"/>
      <c r="AU249" s="532"/>
      <c r="AV249" s="532"/>
      <c r="AW249" s="532"/>
      <c r="AX249" s="532"/>
      <c r="AY249" s="532"/>
      <c r="AZ249" s="532"/>
      <c r="BA249" s="532"/>
      <c r="BB249" s="532"/>
      <c r="BC249" s="532"/>
      <c r="BD249" s="532"/>
      <c r="BE249" s="532"/>
      <c r="BF249" s="532"/>
      <c r="BG249" s="532"/>
      <c r="BH249" s="532"/>
      <c r="BI249" s="532"/>
      <c r="BJ249" s="532"/>
      <c r="BK249" s="532"/>
      <c r="BL249" s="532"/>
      <c r="BM249" s="532"/>
      <c r="BN249" s="532"/>
      <c r="BO249" s="532"/>
      <c r="BP249" s="532"/>
      <c r="BQ249" s="532"/>
      <c r="BR249" s="532"/>
      <c r="BS249" s="532"/>
      <c r="BT249" s="532"/>
      <c r="BU249" s="532"/>
      <c r="BV249" s="532"/>
      <c r="BW249" s="532"/>
      <c r="BX249" s="532"/>
      <c r="BY249" s="532"/>
      <c r="BZ249" s="532"/>
      <c r="CA249" s="532"/>
      <c r="CB249" s="532"/>
      <c r="CC249" s="532"/>
      <c r="CD249" s="532"/>
      <c r="CE249" s="532"/>
      <c r="CF249" s="532"/>
      <c r="CG249" s="532"/>
      <c r="CH249" s="532"/>
      <c r="CI249" s="532"/>
      <c r="CJ249" s="532"/>
      <c r="CK249" s="532"/>
      <c r="CL249" s="532"/>
      <c r="CM249" s="532"/>
      <c r="CN249" s="532"/>
      <c r="CO249" s="532"/>
      <c r="CP249" s="532"/>
      <c r="CQ249" s="532"/>
      <c r="CR249" s="532"/>
      <c r="CS249" s="532"/>
      <c r="CT249" s="532"/>
      <c r="CU249" s="532"/>
      <c r="CV249" s="532"/>
      <c r="CW249" s="532"/>
      <c r="CX249" s="532"/>
      <c r="CY249" s="532"/>
      <c r="CZ249" s="532"/>
      <c r="DA249" s="532"/>
      <c r="DB249" s="532"/>
      <c r="DC249" s="532"/>
      <c r="DD249" s="532"/>
      <c r="DE249" s="532"/>
      <c r="DF249" s="532"/>
      <c r="DG249" s="532"/>
      <c r="DH249" s="532"/>
      <c r="DI249" s="532"/>
      <c r="DJ249" s="532"/>
      <c r="DK249" s="532"/>
      <c r="DL249" s="532"/>
      <c r="DM249" s="532"/>
      <c r="DN249" s="532"/>
      <c r="DO249" s="532"/>
      <c r="DP249" s="532"/>
      <c r="DQ249" s="532"/>
      <c r="DR249" s="532"/>
      <c r="DS249" s="532"/>
      <c r="DT249" s="532"/>
      <c r="DU249" s="532"/>
      <c r="DV249" s="532"/>
      <c r="DW249" s="532"/>
      <c r="DX249" s="532"/>
      <c r="DY249" s="532"/>
      <c r="DZ249" s="532"/>
      <c r="EA249" s="532"/>
      <c r="EB249" s="532"/>
      <c r="EC249" s="532"/>
      <c r="ED249" s="532"/>
      <c r="EE249" s="532"/>
      <c r="EF249" s="532"/>
      <c r="EG249" s="532"/>
      <c r="EH249" s="532"/>
      <c r="EI249" s="532"/>
      <c r="EJ249" s="532"/>
      <c r="EK249" s="532"/>
      <c r="EL249" s="532"/>
      <c r="EM249" s="532"/>
      <c r="EN249" s="532"/>
      <c r="EO249" s="532"/>
      <c r="EP249" s="532"/>
      <c r="EQ249" s="532"/>
      <c r="ER249" s="532"/>
      <c r="ES249" s="532"/>
      <c r="ET249" s="532"/>
      <c r="EU249" s="532"/>
      <c r="EV249" s="532"/>
      <c r="EW249" s="532"/>
      <c r="EX249" s="532"/>
      <c r="EY249" s="532"/>
      <c r="EZ249" s="532"/>
      <c r="FA249" s="532"/>
      <c r="FB249" s="532"/>
      <c r="FC249" s="532"/>
      <c r="FD249" s="532"/>
      <c r="FE249" s="532"/>
      <c r="FF249" s="532"/>
      <c r="FG249" s="532"/>
      <c r="FH249" s="532"/>
      <c r="FI249" s="532"/>
      <c r="FJ249" s="532"/>
      <c r="FK249" s="532"/>
      <c r="FL249" s="532"/>
      <c r="FM249" s="532"/>
      <c r="FN249" s="532"/>
      <c r="FO249" s="532"/>
      <c r="FP249" s="532"/>
    </row>
    <row r="250" spans="1:172" ht="12" customHeight="1" x14ac:dyDescent="0.2">
      <c r="A250" s="533" t="s">
        <v>138</v>
      </c>
      <c r="B250" s="534" t="s">
        <v>55</v>
      </c>
      <c r="C250" s="534"/>
      <c r="D250" s="534"/>
      <c r="E250" s="534"/>
      <c r="F250" s="534"/>
      <c r="G250" s="534"/>
      <c r="H250" s="534"/>
      <c r="I250" s="534"/>
      <c r="J250" s="534"/>
      <c r="K250" s="658"/>
      <c r="L250" s="562"/>
      <c r="M250" s="562"/>
      <c r="N250" s="562"/>
      <c r="O250" s="530"/>
      <c r="P250" s="531"/>
      <c r="Q250" s="531"/>
      <c r="R250" s="531"/>
      <c r="S250" s="531"/>
      <c r="T250" s="531"/>
      <c r="U250" s="531"/>
      <c r="V250" s="531"/>
      <c r="W250" s="531"/>
      <c r="X250" s="531"/>
      <c r="Y250" s="531"/>
      <c r="Z250" s="531"/>
      <c r="AA250" s="531"/>
      <c r="AB250" s="531"/>
      <c r="AC250" s="531"/>
      <c r="AD250" s="531"/>
      <c r="AE250" s="531"/>
      <c r="AF250" s="531"/>
      <c r="AG250" s="531"/>
      <c r="AH250" s="532"/>
      <c r="AI250" s="532"/>
      <c r="AJ250" s="532"/>
      <c r="AK250" s="532"/>
      <c r="AL250" s="532"/>
      <c r="AM250" s="532"/>
      <c r="AN250" s="532"/>
      <c r="AO250" s="532"/>
      <c r="AP250" s="532"/>
      <c r="AQ250" s="532"/>
      <c r="AR250" s="532"/>
      <c r="AS250" s="532"/>
      <c r="AT250" s="532"/>
      <c r="AU250" s="532"/>
      <c r="AV250" s="532"/>
      <c r="AW250" s="532"/>
      <c r="AX250" s="532"/>
      <c r="AY250" s="532"/>
      <c r="AZ250" s="532"/>
      <c r="BA250" s="532"/>
      <c r="BB250" s="532"/>
      <c r="BC250" s="532"/>
      <c r="BD250" s="532"/>
      <c r="BE250" s="532"/>
      <c r="BF250" s="532"/>
      <c r="BG250" s="532"/>
      <c r="BH250" s="532"/>
      <c r="BI250" s="532"/>
      <c r="BJ250" s="532"/>
      <c r="BK250" s="532"/>
      <c r="BL250" s="532"/>
      <c r="BM250" s="532"/>
      <c r="BN250" s="532"/>
      <c r="BO250" s="532"/>
      <c r="BP250" s="532"/>
      <c r="BQ250" s="532"/>
      <c r="BR250" s="532"/>
      <c r="BS250" s="532"/>
      <c r="BT250" s="532"/>
      <c r="BU250" s="532"/>
      <c r="BV250" s="532"/>
      <c r="BW250" s="532"/>
      <c r="BX250" s="532"/>
      <c r="BY250" s="532"/>
      <c r="BZ250" s="532"/>
      <c r="CA250" s="532"/>
      <c r="CB250" s="532"/>
      <c r="CC250" s="532"/>
      <c r="CD250" s="532"/>
      <c r="CE250" s="532"/>
      <c r="CF250" s="532"/>
      <c r="CG250" s="532"/>
      <c r="CH250" s="532"/>
      <c r="CI250" s="532"/>
      <c r="CJ250" s="532"/>
      <c r="CK250" s="532"/>
      <c r="CL250" s="532"/>
      <c r="CM250" s="532"/>
      <c r="CN250" s="532"/>
      <c r="CO250" s="532"/>
      <c r="CP250" s="532"/>
      <c r="CQ250" s="532"/>
      <c r="CR250" s="532"/>
      <c r="CS250" s="532"/>
      <c r="CT250" s="532"/>
      <c r="CU250" s="532"/>
      <c r="CV250" s="532"/>
      <c r="CW250" s="532"/>
      <c r="CX250" s="532"/>
      <c r="CY250" s="532"/>
      <c r="CZ250" s="532"/>
      <c r="DA250" s="532"/>
      <c r="DB250" s="532"/>
      <c r="DC250" s="532"/>
      <c r="DD250" s="532"/>
      <c r="DE250" s="532"/>
      <c r="DF250" s="532"/>
      <c r="DG250" s="532"/>
      <c r="DH250" s="532"/>
      <c r="DI250" s="532"/>
      <c r="DJ250" s="532"/>
      <c r="DK250" s="532"/>
      <c r="DL250" s="532"/>
      <c r="DM250" s="532"/>
      <c r="DN250" s="532"/>
      <c r="DO250" s="532"/>
      <c r="DP250" s="532"/>
      <c r="DQ250" s="532"/>
      <c r="DR250" s="532"/>
      <c r="DS250" s="532"/>
      <c r="DT250" s="532"/>
      <c r="DU250" s="532"/>
      <c r="DV250" s="532"/>
      <c r="DW250" s="532"/>
      <c r="DX250" s="532"/>
      <c r="DY250" s="532"/>
      <c r="DZ250" s="532"/>
      <c r="EA250" s="532"/>
      <c r="EB250" s="532"/>
      <c r="EC250" s="532"/>
      <c r="ED250" s="532"/>
      <c r="EE250" s="532"/>
      <c r="EF250" s="532"/>
      <c r="EG250" s="532"/>
      <c r="EH250" s="532"/>
      <c r="EI250" s="532"/>
      <c r="EJ250" s="532"/>
      <c r="EK250" s="532"/>
      <c r="EL250" s="532"/>
      <c r="EM250" s="532"/>
      <c r="EN250" s="532"/>
      <c r="EO250" s="532"/>
      <c r="EP250" s="532"/>
      <c r="EQ250" s="532"/>
      <c r="ER250" s="532"/>
      <c r="ES250" s="532"/>
      <c r="ET250" s="532"/>
      <c r="EU250" s="532"/>
      <c r="EV250" s="532"/>
      <c r="EW250" s="532"/>
      <c r="EX250" s="532"/>
      <c r="EY250" s="532"/>
      <c r="EZ250" s="532"/>
      <c r="FA250" s="532"/>
      <c r="FB250" s="532"/>
      <c r="FC250" s="532"/>
      <c r="FD250" s="532"/>
      <c r="FE250" s="532"/>
      <c r="FF250" s="532"/>
      <c r="FG250" s="532"/>
      <c r="FH250" s="532"/>
      <c r="FI250" s="532"/>
      <c r="FJ250" s="532"/>
      <c r="FK250" s="532"/>
      <c r="FL250" s="532"/>
      <c r="FM250" s="532"/>
      <c r="FN250" s="532"/>
      <c r="FO250" s="532"/>
      <c r="FP250" s="532"/>
    </row>
    <row r="251" spans="1:172" ht="12" customHeight="1" x14ac:dyDescent="0.2">
      <c r="A251" s="533" t="s">
        <v>107</v>
      </c>
      <c r="B251" s="534" t="s">
        <v>139</v>
      </c>
      <c r="C251" s="208">
        <v>5</v>
      </c>
      <c r="D251" s="208">
        <v>5</v>
      </c>
      <c r="E251" s="208">
        <v>5</v>
      </c>
      <c r="F251" s="208">
        <v>6</v>
      </c>
      <c r="G251" s="208">
        <f>9+1</f>
        <v>10</v>
      </c>
      <c r="H251" s="208">
        <v>3</v>
      </c>
      <c r="I251" s="208">
        <v>9</v>
      </c>
      <c r="J251" s="208">
        <v>13</v>
      </c>
      <c r="K251" s="208">
        <v>6</v>
      </c>
      <c r="L251" s="562">
        <v>8</v>
      </c>
      <c r="M251" s="562">
        <v>9</v>
      </c>
      <c r="N251" s="562">
        <v>9</v>
      </c>
      <c r="O251" s="530">
        <f t="shared" ref="O251:O256" si="134">SUM(C251:N251)</f>
        <v>88</v>
      </c>
      <c r="P251" s="531"/>
      <c r="Q251" s="531"/>
      <c r="R251" s="531"/>
      <c r="S251" s="531"/>
      <c r="T251" s="531"/>
      <c r="U251" s="531"/>
      <c r="V251" s="531"/>
      <c r="W251" s="531"/>
      <c r="X251" s="531"/>
      <c r="Y251" s="531"/>
      <c r="Z251" s="531"/>
      <c r="AA251" s="531"/>
      <c r="AB251" s="531"/>
      <c r="AC251" s="531"/>
      <c r="AD251" s="531"/>
      <c r="AE251" s="531"/>
      <c r="AF251" s="531"/>
      <c r="AG251" s="531"/>
      <c r="AH251" s="532"/>
      <c r="AI251" s="532"/>
      <c r="AJ251" s="532"/>
      <c r="AK251" s="532"/>
      <c r="AL251" s="532"/>
      <c r="AM251" s="532"/>
      <c r="AN251" s="532"/>
      <c r="AO251" s="532"/>
      <c r="AP251" s="532"/>
      <c r="AQ251" s="532"/>
      <c r="AR251" s="532"/>
      <c r="AS251" s="532"/>
      <c r="AT251" s="532"/>
      <c r="AU251" s="532"/>
      <c r="AV251" s="532"/>
      <c r="AW251" s="532"/>
      <c r="AX251" s="532"/>
      <c r="AY251" s="532"/>
      <c r="AZ251" s="532"/>
      <c r="BA251" s="532"/>
      <c r="BB251" s="532"/>
      <c r="BC251" s="532"/>
      <c r="BD251" s="532"/>
      <c r="BE251" s="532"/>
      <c r="BF251" s="532"/>
      <c r="BG251" s="532"/>
      <c r="BH251" s="532"/>
      <c r="BI251" s="532"/>
      <c r="BJ251" s="532"/>
      <c r="BK251" s="532"/>
      <c r="BL251" s="532"/>
      <c r="BM251" s="532"/>
      <c r="BN251" s="532"/>
      <c r="BO251" s="532"/>
      <c r="BP251" s="532"/>
      <c r="BQ251" s="532"/>
      <c r="BR251" s="532"/>
      <c r="BS251" s="532"/>
      <c r="BT251" s="532"/>
      <c r="BU251" s="532"/>
      <c r="BV251" s="532"/>
      <c r="BW251" s="532"/>
      <c r="BX251" s="532"/>
      <c r="BY251" s="532"/>
      <c r="BZ251" s="532"/>
      <c r="CA251" s="532"/>
      <c r="CB251" s="532"/>
      <c r="CC251" s="532"/>
      <c r="CD251" s="532"/>
      <c r="CE251" s="532"/>
      <c r="CF251" s="532"/>
      <c r="CG251" s="532"/>
      <c r="CH251" s="532"/>
      <c r="CI251" s="532"/>
      <c r="CJ251" s="532"/>
      <c r="CK251" s="532"/>
      <c r="CL251" s="532"/>
      <c r="CM251" s="532"/>
      <c r="CN251" s="532"/>
      <c r="CO251" s="532"/>
      <c r="CP251" s="532"/>
      <c r="CQ251" s="532"/>
      <c r="CR251" s="532"/>
      <c r="CS251" s="532"/>
      <c r="CT251" s="532"/>
      <c r="CU251" s="532"/>
      <c r="CV251" s="532"/>
      <c r="CW251" s="532"/>
      <c r="CX251" s="532"/>
      <c r="CY251" s="532"/>
      <c r="CZ251" s="532"/>
      <c r="DA251" s="532"/>
      <c r="DB251" s="532"/>
      <c r="DC251" s="532"/>
      <c r="DD251" s="532"/>
      <c r="DE251" s="532"/>
      <c r="DF251" s="532"/>
      <c r="DG251" s="532"/>
      <c r="DH251" s="532"/>
      <c r="DI251" s="532"/>
      <c r="DJ251" s="532"/>
      <c r="DK251" s="532"/>
      <c r="DL251" s="532"/>
      <c r="DM251" s="532"/>
      <c r="DN251" s="532"/>
      <c r="DO251" s="532"/>
      <c r="DP251" s="532"/>
      <c r="DQ251" s="532"/>
      <c r="DR251" s="532"/>
      <c r="DS251" s="532"/>
      <c r="DT251" s="532"/>
      <c r="DU251" s="532"/>
      <c r="DV251" s="532"/>
      <c r="DW251" s="532"/>
      <c r="DX251" s="532"/>
      <c r="DY251" s="532"/>
      <c r="DZ251" s="532"/>
      <c r="EA251" s="532"/>
      <c r="EB251" s="532"/>
      <c r="EC251" s="532"/>
      <c r="ED251" s="532"/>
      <c r="EE251" s="532"/>
      <c r="EF251" s="532"/>
      <c r="EG251" s="532"/>
      <c r="EH251" s="532"/>
      <c r="EI251" s="532"/>
      <c r="EJ251" s="532"/>
      <c r="EK251" s="532"/>
      <c r="EL251" s="532"/>
      <c r="EM251" s="532"/>
      <c r="EN251" s="532"/>
      <c r="EO251" s="532"/>
      <c r="EP251" s="532"/>
      <c r="EQ251" s="532"/>
      <c r="ER251" s="532"/>
      <c r="ES251" s="532"/>
      <c r="ET251" s="532"/>
      <c r="EU251" s="532"/>
      <c r="EV251" s="532"/>
      <c r="EW251" s="532"/>
      <c r="EX251" s="532"/>
      <c r="EY251" s="532"/>
      <c r="EZ251" s="532"/>
      <c r="FA251" s="532"/>
      <c r="FB251" s="532"/>
      <c r="FC251" s="532"/>
      <c r="FD251" s="532"/>
      <c r="FE251" s="532"/>
      <c r="FF251" s="532"/>
      <c r="FG251" s="532"/>
      <c r="FH251" s="532"/>
      <c r="FI251" s="532"/>
      <c r="FJ251" s="532"/>
      <c r="FK251" s="532"/>
      <c r="FL251" s="532"/>
      <c r="FM251" s="532"/>
      <c r="FN251" s="532"/>
      <c r="FO251" s="532"/>
      <c r="FP251" s="532"/>
    </row>
    <row r="252" spans="1:172" ht="12" customHeight="1" x14ac:dyDescent="0.2">
      <c r="A252" s="533" t="s">
        <v>99</v>
      </c>
      <c r="B252" s="534" t="s">
        <v>139</v>
      </c>
      <c r="C252" s="208">
        <v>0</v>
      </c>
      <c r="D252" s="208">
        <v>2</v>
      </c>
      <c r="E252" s="208">
        <v>2</v>
      </c>
      <c r="F252" s="208">
        <v>0</v>
      </c>
      <c r="G252" s="208">
        <v>2</v>
      </c>
      <c r="H252" s="208">
        <v>3</v>
      </c>
      <c r="I252" s="208">
        <f>3</f>
        <v>3</v>
      </c>
      <c r="J252" s="208">
        <v>2</v>
      </c>
      <c r="K252" s="208">
        <v>0</v>
      </c>
      <c r="L252" s="562">
        <v>0</v>
      </c>
      <c r="M252" s="562">
        <v>0</v>
      </c>
      <c r="N252" s="562">
        <v>1</v>
      </c>
      <c r="O252" s="530">
        <f t="shared" si="134"/>
        <v>15</v>
      </c>
      <c r="P252" s="531"/>
      <c r="Q252" s="531"/>
      <c r="R252" s="531"/>
      <c r="S252" s="531"/>
      <c r="T252" s="531"/>
      <c r="U252" s="531"/>
      <c r="V252" s="531"/>
      <c r="W252" s="531"/>
      <c r="X252" s="531"/>
      <c r="Y252" s="531"/>
      <c r="Z252" s="531"/>
      <c r="AA252" s="531"/>
      <c r="AB252" s="531"/>
      <c r="AC252" s="531"/>
      <c r="AD252" s="531"/>
      <c r="AE252" s="531"/>
      <c r="AF252" s="531"/>
      <c r="AG252" s="531"/>
      <c r="AH252" s="532"/>
      <c r="AI252" s="532"/>
      <c r="AJ252" s="532"/>
      <c r="AK252" s="532"/>
      <c r="AL252" s="532"/>
      <c r="AM252" s="532"/>
      <c r="AN252" s="532"/>
      <c r="AO252" s="532"/>
      <c r="AP252" s="532"/>
      <c r="AQ252" s="532"/>
      <c r="AR252" s="532"/>
      <c r="AS252" s="532"/>
      <c r="AT252" s="532"/>
      <c r="AU252" s="532"/>
      <c r="AV252" s="532"/>
      <c r="AW252" s="532"/>
      <c r="AX252" s="532"/>
      <c r="AY252" s="532"/>
      <c r="AZ252" s="532"/>
      <c r="BA252" s="532"/>
      <c r="BB252" s="532"/>
      <c r="BC252" s="532"/>
      <c r="BD252" s="532"/>
      <c r="BE252" s="532"/>
      <c r="BF252" s="532"/>
      <c r="BG252" s="532"/>
      <c r="BH252" s="532"/>
      <c r="BI252" s="532"/>
      <c r="BJ252" s="532"/>
      <c r="BK252" s="532"/>
      <c r="BL252" s="532"/>
      <c r="BM252" s="532"/>
      <c r="BN252" s="532"/>
      <c r="BO252" s="532"/>
      <c r="BP252" s="532"/>
      <c r="BQ252" s="532"/>
      <c r="BR252" s="532"/>
      <c r="BS252" s="532"/>
      <c r="BT252" s="532"/>
      <c r="BU252" s="532"/>
      <c r="BV252" s="532"/>
      <c r="BW252" s="532"/>
      <c r="BX252" s="532"/>
      <c r="BY252" s="532"/>
      <c r="BZ252" s="532"/>
      <c r="CA252" s="532"/>
      <c r="CB252" s="532"/>
      <c r="CC252" s="532"/>
      <c r="CD252" s="532"/>
      <c r="CE252" s="532"/>
      <c r="CF252" s="532"/>
      <c r="CG252" s="532"/>
      <c r="CH252" s="532"/>
      <c r="CI252" s="532"/>
      <c r="CJ252" s="532"/>
      <c r="CK252" s="532"/>
      <c r="CL252" s="532"/>
      <c r="CM252" s="532"/>
      <c r="CN252" s="532"/>
      <c r="CO252" s="532"/>
      <c r="CP252" s="532"/>
      <c r="CQ252" s="532"/>
      <c r="CR252" s="532"/>
      <c r="CS252" s="532"/>
      <c r="CT252" s="532"/>
      <c r="CU252" s="532"/>
      <c r="CV252" s="532"/>
      <c r="CW252" s="532"/>
      <c r="CX252" s="532"/>
      <c r="CY252" s="532"/>
      <c r="CZ252" s="532"/>
      <c r="DA252" s="532"/>
      <c r="DB252" s="532"/>
      <c r="DC252" s="532"/>
      <c r="DD252" s="532"/>
      <c r="DE252" s="532"/>
      <c r="DF252" s="532"/>
      <c r="DG252" s="532"/>
      <c r="DH252" s="532"/>
      <c r="DI252" s="532"/>
      <c r="DJ252" s="532"/>
      <c r="DK252" s="532"/>
      <c r="DL252" s="532"/>
      <c r="DM252" s="532"/>
      <c r="DN252" s="532"/>
      <c r="DO252" s="532"/>
      <c r="DP252" s="532"/>
      <c r="DQ252" s="532"/>
      <c r="DR252" s="532"/>
      <c r="DS252" s="532"/>
      <c r="DT252" s="532"/>
      <c r="DU252" s="532"/>
      <c r="DV252" s="532"/>
      <c r="DW252" s="532"/>
      <c r="DX252" s="532"/>
      <c r="DY252" s="532"/>
      <c r="DZ252" s="532"/>
      <c r="EA252" s="532"/>
      <c r="EB252" s="532"/>
      <c r="EC252" s="532"/>
      <c r="ED252" s="532"/>
      <c r="EE252" s="532"/>
      <c r="EF252" s="532"/>
      <c r="EG252" s="532"/>
      <c r="EH252" s="532"/>
      <c r="EI252" s="532"/>
      <c r="EJ252" s="532"/>
      <c r="EK252" s="532"/>
      <c r="EL252" s="532"/>
      <c r="EM252" s="532"/>
      <c r="EN252" s="532"/>
      <c r="EO252" s="532"/>
      <c r="EP252" s="532"/>
      <c r="EQ252" s="532"/>
      <c r="ER252" s="532"/>
      <c r="ES252" s="532"/>
      <c r="ET252" s="532"/>
      <c r="EU252" s="532"/>
      <c r="EV252" s="532"/>
      <c r="EW252" s="532"/>
      <c r="EX252" s="532"/>
      <c r="EY252" s="532"/>
      <c r="EZ252" s="532"/>
      <c r="FA252" s="532"/>
      <c r="FB252" s="532"/>
      <c r="FC252" s="532"/>
      <c r="FD252" s="532"/>
      <c r="FE252" s="532"/>
      <c r="FF252" s="532"/>
      <c r="FG252" s="532"/>
      <c r="FH252" s="532"/>
      <c r="FI252" s="532"/>
      <c r="FJ252" s="532"/>
      <c r="FK252" s="532"/>
      <c r="FL252" s="532"/>
      <c r="FM252" s="532"/>
      <c r="FN252" s="532"/>
      <c r="FO252" s="532"/>
      <c r="FP252" s="532"/>
    </row>
    <row r="253" spans="1:172" ht="12" customHeight="1" x14ac:dyDescent="0.2">
      <c r="A253" s="533" t="s">
        <v>108</v>
      </c>
      <c r="B253" s="534" t="s">
        <v>139</v>
      </c>
      <c r="C253" s="208">
        <v>0</v>
      </c>
      <c r="D253" s="208">
        <v>0</v>
      </c>
      <c r="E253" s="208">
        <v>0</v>
      </c>
      <c r="F253" s="208">
        <v>0</v>
      </c>
      <c r="G253" s="208">
        <v>0</v>
      </c>
      <c r="H253" s="208">
        <v>0</v>
      </c>
      <c r="I253" s="208">
        <f>0</f>
        <v>0</v>
      </c>
      <c r="J253" s="208">
        <v>0</v>
      </c>
      <c r="K253" s="208">
        <v>0</v>
      </c>
      <c r="L253" s="562">
        <v>0</v>
      </c>
      <c r="M253" s="562">
        <v>0</v>
      </c>
      <c r="N253" s="562">
        <v>0</v>
      </c>
      <c r="O253" s="530">
        <f t="shared" si="134"/>
        <v>0</v>
      </c>
      <c r="P253" s="531"/>
      <c r="Q253" s="531"/>
      <c r="R253" s="531"/>
      <c r="S253" s="531"/>
      <c r="T253" s="531"/>
      <c r="U253" s="531"/>
      <c r="V253" s="531"/>
      <c r="W253" s="531"/>
      <c r="X253" s="531"/>
      <c r="Y253" s="531"/>
      <c r="Z253" s="531"/>
      <c r="AA253" s="531"/>
      <c r="AB253" s="531"/>
      <c r="AC253" s="531"/>
      <c r="AD253" s="531"/>
      <c r="AE253" s="531"/>
      <c r="AF253" s="531"/>
      <c r="AG253" s="531"/>
      <c r="AH253" s="532"/>
      <c r="AI253" s="532"/>
      <c r="AJ253" s="532"/>
      <c r="AK253" s="532"/>
      <c r="AL253" s="532"/>
      <c r="AM253" s="532"/>
      <c r="AN253" s="532"/>
      <c r="AO253" s="532"/>
      <c r="AP253" s="532"/>
      <c r="AQ253" s="532"/>
      <c r="AR253" s="532"/>
      <c r="AS253" s="532"/>
      <c r="AT253" s="532"/>
      <c r="AU253" s="532"/>
      <c r="AV253" s="532"/>
      <c r="AW253" s="532"/>
      <c r="AX253" s="532"/>
      <c r="AY253" s="532"/>
      <c r="AZ253" s="532"/>
      <c r="BA253" s="532"/>
      <c r="BB253" s="532"/>
      <c r="BC253" s="532"/>
      <c r="BD253" s="532"/>
      <c r="BE253" s="532"/>
      <c r="BF253" s="532"/>
      <c r="BG253" s="532"/>
      <c r="BH253" s="532"/>
      <c r="BI253" s="532"/>
      <c r="BJ253" s="532"/>
      <c r="BK253" s="532"/>
      <c r="BL253" s="532"/>
      <c r="BM253" s="532"/>
      <c r="BN253" s="532"/>
      <c r="BO253" s="532"/>
      <c r="BP253" s="532"/>
      <c r="BQ253" s="532"/>
      <c r="BR253" s="532"/>
      <c r="BS253" s="532"/>
      <c r="BT253" s="532"/>
      <c r="BU253" s="532"/>
      <c r="BV253" s="532"/>
      <c r="BW253" s="532"/>
      <c r="BX253" s="532"/>
      <c r="BY253" s="532"/>
      <c r="BZ253" s="532"/>
      <c r="CA253" s="532"/>
      <c r="CB253" s="532"/>
      <c r="CC253" s="532"/>
      <c r="CD253" s="532"/>
      <c r="CE253" s="532"/>
      <c r="CF253" s="532"/>
      <c r="CG253" s="532"/>
      <c r="CH253" s="532"/>
      <c r="CI253" s="532"/>
      <c r="CJ253" s="532"/>
      <c r="CK253" s="532"/>
      <c r="CL253" s="532"/>
      <c r="CM253" s="532"/>
      <c r="CN253" s="532"/>
      <c r="CO253" s="532"/>
      <c r="CP253" s="532"/>
      <c r="CQ253" s="532"/>
      <c r="CR253" s="532"/>
      <c r="CS253" s="532"/>
      <c r="CT253" s="532"/>
      <c r="CU253" s="532"/>
      <c r="CV253" s="532"/>
      <c r="CW253" s="532"/>
      <c r="CX253" s="532"/>
      <c r="CY253" s="532"/>
      <c r="CZ253" s="532"/>
      <c r="DA253" s="532"/>
      <c r="DB253" s="532"/>
      <c r="DC253" s="532"/>
      <c r="DD253" s="532"/>
      <c r="DE253" s="532"/>
      <c r="DF253" s="532"/>
      <c r="DG253" s="532"/>
      <c r="DH253" s="532"/>
      <c r="DI253" s="532"/>
      <c r="DJ253" s="532"/>
      <c r="DK253" s="532"/>
      <c r="DL253" s="532"/>
      <c r="DM253" s="532"/>
      <c r="DN253" s="532"/>
      <c r="DO253" s="532"/>
      <c r="DP253" s="532"/>
      <c r="DQ253" s="532"/>
      <c r="DR253" s="532"/>
      <c r="DS253" s="532"/>
      <c r="DT253" s="532"/>
      <c r="DU253" s="532"/>
      <c r="DV253" s="532"/>
      <c r="DW253" s="532"/>
      <c r="DX253" s="532"/>
      <c r="DY253" s="532"/>
      <c r="DZ253" s="532"/>
      <c r="EA253" s="532"/>
      <c r="EB253" s="532"/>
      <c r="EC253" s="532"/>
      <c r="ED253" s="532"/>
      <c r="EE253" s="532"/>
      <c r="EF253" s="532"/>
      <c r="EG253" s="532"/>
      <c r="EH253" s="532"/>
      <c r="EI253" s="532"/>
      <c r="EJ253" s="532"/>
      <c r="EK253" s="532"/>
      <c r="EL253" s="532"/>
      <c r="EM253" s="532"/>
      <c r="EN253" s="532"/>
      <c r="EO253" s="532"/>
      <c r="EP253" s="532"/>
      <c r="EQ253" s="532"/>
      <c r="ER253" s="532"/>
      <c r="ES253" s="532"/>
      <c r="ET253" s="532"/>
      <c r="EU253" s="532"/>
      <c r="EV253" s="532"/>
      <c r="EW253" s="532"/>
      <c r="EX253" s="532"/>
      <c r="EY253" s="532"/>
      <c r="EZ253" s="532"/>
      <c r="FA253" s="532"/>
      <c r="FB253" s="532"/>
      <c r="FC253" s="532"/>
      <c r="FD253" s="532"/>
      <c r="FE253" s="532"/>
      <c r="FF253" s="532"/>
      <c r="FG253" s="532"/>
      <c r="FH253" s="532"/>
      <c r="FI253" s="532"/>
      <c r="FJ253" s="532"/>
      <c r="FK253" s="532"/>
      <c r="FL253" s="532"/>
      <c r="FM253" s="532"/>
      <c r="FN253" s="532"/>
      <c r="FO253" s="532"/>
      <c r="FP253" s="532"/>
    </row>
    <row r="254" spans="1:172" ht="12" customHeight="1" x14ac:dyDescent="0.2">
      <c r="A254" s="533" t="s">
        <v>109</v>
      </c>
      <c r="B254" s="534" t="s">
        <v>139</v>
      </c>
      <c r="C254" s="208">
        <v>2</v>
      </c>
      <c r="D254" s="208">
        <v>3</v>
      </c>
      <c r="E254" s="208">
        <v>1</v>
      </c>
      <c r="F254" s="208">
        <v>4</v>
      </c>
      <c r="G254" s="208">
        <v>1</v>
      </c>
      <c r="H254" s="208">
        <v>0</v>
      </c>
      <c r="I254" s="208">
        <v>4</v>
      </c>
      <c r="J254" s="208">
        <v>3</v>
      </c>
      <c r="K254" s="208">
        <v>4</v>
      </c>
      <c r="L254" s="562">
        <v>0</v>
      </c>
      <c r="M254" s="562">
        <v>2</v>
      </c>
      <c r="N254" s="562">
        <v>0</v>
      </c>
      <c r="O254" s="530">
        <f t="shared" si="134"/>
        <v>24</v>
      </c>
      <c r="P254" s="531"/>
      <c r="Q254" s="531"/>
      <c r="R254" s="531"/>
      <c r="S254" s="531"/>
      <c r="T254" s="531"/>
      <c r="U254" s="531"/>
      <c r="V254" s="531"/>
      <c r="W254" s="531"/>
      <c r="X254" s="531"/>
      <c r="Y254" s="531"/>
      <c r="Z254" s="531"/>
      <c r="AA254" s="531"/>
      <c r="AB254" s="531"/>
      <c r="AC254" s="531"/>
      <c r="AD254" s="531"/>
      <c r="AE254" s="531"/>
      <c r="AF254" s="531"/>
      <c r="AG254" s="531"/>
      <c r="AH254" s="532"/>
      <c r="AI254" s="532"/>
      <c r="AJ254" s="532"/>
      <c r="AK254" s="532"/>
      <c r="AL254" s="532"/>
      <c r="AM254" s="532"/>
      <c r="AN254" s="532"/>
      <c r="AO254" s="532"/>
      <c r="AP254" s="532"/>
      <c r="AQ254" s="532"/>
      <c r="AR254" s="532"/>
      <c r="AS254" s="532"/>
      <c r="AT254" s="532"/>
      <c r="AU254" s="532"/>
      <c r="AV254" s="532"/>
      <c r="AW254" s="532"/>
      <c r="AX254" s="532"/>
      <c r="AY254" s="532"/>
      <c r="AZ254" s="532"/>
      <c r="BA254" s="532"/>
      <c r="BB254" s="532"/>
      <c r="BC254" s="532"/>
      <c r="BD254" s="532"/>
      <c r="BE254" s="532"/>
      <c r="BF254" s="532"/>
      <c r="BG254" s="532"/>
      <c r="BH254" s="532"/>
      <c r="BI254" s="532"/>
      <c r="BJ254" s="532"/>
      <c r="BK254" s="532"/>
      <c r="BL254" s="532"/>
      <c r="BM254" s="532"/>
      <c r="BN254" s="532"/>
      <c r="BO254" s="532"/>
      <c r="BP254" s="532"/>
      <c r="BQ254" s="532"/>
      <c r="BR254" s="532"/>
      <c r="BS254" s="532"/>
      <c r="BT254" s="532"/>
      <c r="BU254" s="532"/>
      <c r="BV254" s="532"/>
      <c r="BW254" s="532"/>
      <c r="BX254" s="532"/>
      <c r="BY254" s="532"/>
      <c r="BZ254" s="532"/>
      <c r="CA254" s="532"/>
      <c r="CB254" s="532"/>
      <c r="CC254" s="532"/>
      <c r="CD254" s="532"/>
      <c r="CE254" s="532"/>
      <c r="CF254" s="532"/>
      <c r="CG254" s="532"/>
      <c r="CH254" s="532"/>
      <c r="CI254" s="532"/>
      <c r="CJ254" s="532"/>
      <c r="CK254" s="532"/>
      <c r="CL254" s="532"/>
      <c r="CM254" s="532"/>
      <c r="CN254" s="532"/>
      <c r="CO254" s="532"/>
      <c r="CP254" s="532"/>
      <c r="CQ254" s="532"/>
      <c r="CR254" s="532"/>
      <c r="CS254" s="532"/>
      <c r="CT254" s="532"/>
      <c r="CU254" s="532"/>
      <c r="CV254" s="532"/>
      <c r="CW254" s="532"/>
      <c r="CX254" s="532"/>
      <c r="CY254" s="532"/>
      <c r="CZ254" s="532"/>
      <c r="DA254" s="532"/>
      <c r="DB254" s="532"/>
      <c r="DC254" s="532"/>
      <c r="DD254" s="532"/>
      <c r="DE254" s="532"/>
      <c r="DF254" s="532"/>
      <c r="DG254" s="532"/>
      <c r="DH254" s="532"/>
      <c r="DI254" s="532"/>
      <c r="DJ254" s="532"/>
      <c r="DK254" s="532"/>
      <c r="DL254" s="532"/>
      <c r="DM254" s="532"/>
      <c r="DN254" s="532"/>
      <c r="DO254" s="532"/>
      <c r="DP254" s="532"/>
      <c r="DQ254" s="532"/>
      <c r="DR254" s="532"/>
      <c r="DS254" s="532"/>
      <c r="DT254" s="532"/>
      <c r="DU254" s="532"/>
      <c r="DV254" s="532"/>
      <c r="DW254" s="532"/>
      <c r="DX254" s="532"/>
      <c r="DY254" s="532"/>
      <c r="DZ254" s="532"/>
      <c r="EA254" s="532"/>
      <c r="EB254" s="532"/>
      <c r="EC254" s="532"/>
      <c r="ED254" s="532"/>
      <c r="EE254" s="532"/>
      <c r="EF254" s="532"/>
      <c r="EG254" s="532"/>
      <c r="EH254" s="532"/>
      <c r="EI254" s="532"/>
      <c r="EJ254" s="532"/>
      <c r="EK254" s="532"/>
      <c r="EL254" s="532"/>
      <c r="EM254" s="532"/>
      <c r="EN254" s="532"/>
      <c r="EO254" s="532"/>
      <c r="EP254" s="532"/>
      <c r="EQ254" s="532"/>
      <c r="ER254" s="532"/>
      <c r="ES254" s="532"/>
      <c r="ET254" s="532"/>
      <c r="EU254" s="532"/>
      <c r="EV254" s="532"/>
      <c r="EW254" s="532"/>
      <c r="EX254" s="532"/>
      <c r="EY254" s="532"/>
      <c r="EZ254" s="532"/>
      <c r="FA254" s="532"/>
      <c r="FB254" s="532"/>
      <c r="FC254" s="532"/>
      <c r="FD254" s="532"/>
      <c r="FE254" s="532"/>
      <c r="FF254" s="532"/>
      <c r="FG254" s="532"/>
      <c r="FH254" s="532"/>
      <c r="FI254" s="532"/>
      <c r="FJ254" s="532"/>
      <c r="FK254" s="532"/>
      <c r="FL254" s="532"/>
      <c r="FM254" s="532"/>
      <c r="FN254" s="532"/>
      <c r="FO254" s="532"/>
      <c r="FP254" s="532"/>
    </row>
    <row r="255" spans="1:172" ht="12" customHeight="1" x14ac:dyDescent="0.2">
      <c r="A255" s="533" t="s">
        <v>140</v>
      </c>
      <c r="B255" s="534" t="s">
        <v>139</v>
      </c>
      <c r="C255" s="208">
        <v>1</v>
      </c>
      <c r="D255" s="208">
        <v>2</v>
      </c>
      <c r="E255" s="208">
        <v>3</v>
      </c>
      <c r="F255" s="208">
        <v>1</v>
      </c>
      <c r="G255" s="208">
        <v>2</v>
      </c>
      <c r="H255" s="208">
        <v>5</v>
      </c>
      <c r="I255" s="208">
        <v>4</v>
      </c>
      <c r="J255" s="208">
        <v>5</v>
      </c>
      <c r="K255" s="208">
        <v>4</v>
      </c>
      <c r="L255" s="562">
        <v>0</v>
      </c>
      <c r="M255" s="562">
        <f>1+1</f>
        <v>2</v>
      </c>
      <c r="N255" s="562">
        <v>1</v>
      </c>
      <c r="O255" s="530">
        <f t="shared" si="134"/>
        <v>30</v>
      </c>
      <c r="P255" s="531"/>
      <c r="Q255" s="531"/>
      <c r="R255" s="531"/>
      <c r="S255" s="531"/>
      <c r="T255" s="531"/>
      <c r="U255" s="531"/>
      <c r="V255" s="531"/>
      <c r="W255" s="531"/>
      <c r="X255" s="531"/>
      <c r="Y255" s="531"/>
      <c r="Z255" s="531"/>
      <c r="AA255" s="531"/>
      <c r="AB255" s="531"/>
      <c r="AC255" s="531"/>
      <c r="AD255" s="531"/>
      <c r="AE255" s="531"/>
      <c r="AF255" s="531"/>
      <c r="AG255" s="531"/>
      <c r="AH255" s="532"/>
      <c r="AI255" s="532"/>
      <c r="AJ255" s="532"/>
      <c r="AK255" s="532"/>
      <c r="AL255" s="532"/>
      <c r="AM255" s="532"/>
      <c r="AN255" s="532"/>
      <c r="AO255" s="532"/>
      <c r="AP255" s="532"/>
      <c r="AQ255" s="532"/>
      <c r="AR255" s="532"/>
      <c r="AS255" s="532"/>
      <c r="AT255" s="532"/>
      <c r="AU255" s="532"/>
      <c r="AV255" s="532"/>
      <c r="AW255" s="532"/>
      <c r="AX255" s="532"/>
      <c r="AY255" s="532"/>
      <c r="AZ255" s="532"/>
      <c r="BA255" s="532"/>
      <c r="BB255" s="532"/>
      <c r="BC255" s="532"/>
      <c r="BD255" s="532"/>
      <c r="BE255" s="532"/>
      <c r="BF255" s="532"/>
      <c r="BG255" s="532"/>
      <c r="BH255" s="532"/>
      <c r="BI255" s="532"/>
      <c r="BJ255" s="532"/>
      <c r="BK255" s="532"/>
      <c r="BL255" s="532"/>
      <c r="BM255" s="532"/>
      <c r="BN255" s="532"/>
      <c r="BO255" s="532"/>
      <c r="BP255" s="532"/>
      <c r="BQ255" s="532"/>
      <c r="BR255" s="532"/>
      <c r="BS255" s="532"/>
      <c r="BT255" s="532"/>
      <c r="BU255" s="532"/>
      <c r="BV255" s="532"/>
      <c r="BW255" s="532"/>
      <c r="BX255" s="532"/>
      <c r="BY255" s="532"/>
      <c r="BZ255" s="532"/>
      <c r="CA255" s="532"/>
      <c r="CB255" s="532"/>
      <c r="CC255" s="532"/>
      <c r="CD255" s="532"/>
      <c r="CE255" s="532"/>
      <c r="CF255" s="532"/>
      <c r="CG255" s="532"/>
      <c r="CH255" s="532"/>
      <c r="CI255" s="532"/>
      <c r="CJ255" s="532"/>
      <c r="CK255" s="532"/>
      <c r="CL255" s="532"/>
      <c r="CM255" s="532"/>
      <c r="CN255" s="532"/>
      <c r="CO255" s="532"/>
      <c r="CP255" s="532"/>
      <c r="CQ255" s="532"/>
      <c r="CR255" s="532"/>
      <c r="CS255" s="532"/>
      <c r="CT255" s="532"/>
      <c r="CU255" s="532"/>
      <c r="CV255" s="532"/>
      <c r="CW255" s="532"/>
      <c r="CX255" s="532"/>
      <c r="CY255" s="532"/>
      <c r="CZ255" s="532"/>
      <c r="DA255" s="532"/>
      <c r="DB255" s="532"/>
      <c r="DC255" s="532"/>
      <c r="DD255" s="532"/>
      <c r="DE255" s="532"/>
      <c r="DF255" s="532"/>
      <c r="DG255" s="532"/>
      <c r="DH255" s="532"/>
      <c r="DI255" s="532"/>
      <c r="DJ255" s="532"/>
      <c r="DK255" s="532"/>
      <c r="DL255" s="532"/>
      <c r="DM255" s="532"/>
      <c r="DN255" s="532"/>
      <c r="DO255" s="532"/>
      <c r="DP255" s="532"/>
      <c r="DQ255" s="532"/>
      <c r="DR255" s="532"/>
      <c r="DS255" s="532"/>
      <c r="DT255" s="532"/>
      <c r="DU255" s="532"/>
      <c r="DV255" s="532"/>
      <c r="DW255" s="532"/>
      <c r="DX255" s="532"/>
      <c r="DY255" s="532"/>
      <c r="DZ255" s="532"/>
      <c r="EA255" s="532"/>
      <c r="EB255" s="532"/>
      <c r="EC255" s="532"/>
      <c r="ED255" s="532"/>
      <c r="EE255" s="532"/>
      <c r="EF255" s="532"/>
      <c r="EG255" s="532"/>
      <c r="EH255" s="532"/>
      <c r="EI255" s="532"/>
      <c r="EJ255" s="532"/>
      <c r="EK255" s="532"/>
      <c r="EL255" s="532"/>
      <c r="EM255" s="532"/>
      <c r="EN255" s="532"/>
      <c r="EO255" s="532"/>
      <c r="EP255" s="532"/>
      <c r="EQ255" s="532"/>
      <c r="ER255" s="532"/>
      <c r="ES255" s="532"/>
      <c r="ET255" s="532"/>
      <c r="EU255" s="532"/>
      <c r="EV255" s="532"/>
      <c r="EW255" s="532"/>
      <c r="EX255" s="532"/>
      <c r="EY255" s="532"/>
      <c r="EZ255" s="532"/>
      <c r="FA255" s="532"/>
      <c r="FB255" s="532"/>
      <c r="FC255" s="532"/>
      <c r="FD255" s="532"/>
      <c r="FE255" s="532"/>
      <c r="FF255" s="532"/>
      <c r="FG255" s="532"/>
      <c r="FH255" s="532"/>
      <c r="FI255" s="532"/>
      <c r="FJ255" s="532"/>
      <c r="FK255" s="532"/>
      <c r="FL255" s="532"/>
      <c r="FM255" s="532"/>
      <c r="FN255" s="532"/>
      <c r="FO255" s="532"/>
      <c r="FP255" s="532"/>
    </row>
    <row r="256" spans="1:172" ht="12" customHeight="1" x14ac:dyDescent="0.2">
      <c r="A256" s="537" t="s">
        <v>141</v>
      </c>
      <c r="B256" s="534"/>
      <c r="C256" s="208">
        <f t="shared" ref="C256:N256" si="135">SUM(C251:C255)</f>
        <v>8</v>
      </c>
      <c r="D256" s="208">
        <f t="shared" si="135"/>
        <v>12</v>
      </c>
      <c r="E256" s="208">
        <f t="shared" si="135"/>
        <v>11</v>
      </c>
      <c r="F256" s="208">
        <f t="shared" si="135"/>
        <v>11</v>
      </c>
      <c r="G256" s="208">
        <f t="shared" si="135"/>
        <v>15</v>
      </c>
      <c r="H256" s="208">
        <f t="shared" si="135"/>
        <v>11</v>
      </c>
      <c r="I256" s="208">
        <f t="shared" si="135"/>
        <v>20</v>
      </c>
      <c r="J256" s="208">
        <f t="shared" si="135"/>
        <v>23</v>
      </c>
      <c r="K256" s="208">
        <f t="shared" si="135"/>
        <v>14</v>
      </c>
      <c r="L256" s="562">
        <f t="shared" si="135"/>
        <v>8</v>
      </c>
      <c r="M256" s="562">
        <f t="shared" si="135"/>
        <v>13</v>
      </c>
      <c r="N256" s="562">
        <f t="shared" si="135"/>
        <v>11</v>
      </c>
      <c r="O256" s="530">
        <f t="shared" si="134"/>
        <v>157</v>
      </c>
      <c r="P256" s="531"/>
      <c r="Q256" s="531"/>
      <c r="R256" s="531"/>
      <c r="S256" s="531"/>
      <c r="T256" s="531"/>
      <c r="U256" s="531"/>
      <c r="V256" s="531"/>
      <c r="W256" s="531"/>
      <c r="X256" s="531"/>
      <c r="Y256" s="531"/>
      <c r="Z256" s="531"/>
      <c r="AA256" s="531"/>
      <c r="AB256" s="531"/>
      <c r="AC256" s="531"/>
      <c r="AD256" s="531"/>
      <c r="AE256" s="531"/>
      <c r="AF256" s="531"/>
      <c r="AG256" s="531"/>
      <c r="AH256" s="532"/>
      <c r="AI256" s="532"/>
      <c r="AJ256" s="532"/>
      <c r="AK256" s="532"/>
      <c r="AL256" s="532"/>
      <c r="AM256" s="532"/>
      <c r="AN256" s="532"/>
      <c r="AO256" s="532"/>
      <c r="AP256" s="532"/>
      <c r="AQ256" s="532"/>
      <c r="AR256" s="532"/>
      <c r="AS256" s="532"/>
      <c r="AT256" s="532"/>
      <c r="AU256" s="532"/>
      <c r="AV256" s="532"/>
      <c r="AW256" s="532"/>
      <c r="AX256" s="532"/>
      <c r="AY256" s="532"/>
      <c r="AZ256" s="532"/>
      <c r="BA256" s="532"/>
      <c r="BB256" s="532"/>
      <c r="BC256" s="532"/>
      <c r="BD256" s="532"/>
      <c r="BE256" s="532"/>
      <c r="BF256" s="532"/>
      <c r="BG256" s="532"/>
      <c r="BH256" s="532"/>
      <c r="BI256" s="532"/>
      <c r="BJ256" s="532"/>
      <c r="BK256" s="532"/>
      <c r="BL256" s="532"/>
      <c r="BM256" s="532"/>
      <c r="BN256" s="532"/>
      <c r="BO256" s="532"/>
      <c r="BP256" s="532"/>
      <c r="BQ256" s="532"/>
      <c r="BR256" s="532"/>
      <c r="BS256" s="532"/>
      <c r="BT256" s="532"/>
      <c r="BU256" s="532"/>
      <c r="BV256" s="532"/>
      <c r="BW256" s="532"/>
      <c r="BX256" s="532"/>
      <c r="BY256" s="532"/>
      <c r="BZ256" s="532"/>
      <c r="CA256" s="532"/>
      <c r="CB256" s="532"/>
      <c r="CC256" s="532"/>
      <c r="CD256" s="532"/>
      <c r="CE256" s="532"/>
      <c r="CF256" s="532"/>
      <c r="CG256" s="532"/>
      <c r="CH256" s="532"/>
      <c r="CI256" s="532"/>
      <c r="CJ256" s="532"/>
      <c r="CK256" s="532"/>
      <c r="CL256" s="532"/>
      <c r="CM256" s="532"/>
      <c r="CN256" s="532"/>
      <c r="CO256" s="532"/>
      <c r="CP256" s="532"/>
      <c r="CQ256" s="532"/>
      <c r="CR256" s="532"/>
      <c r="CS256" s="532"/>
      <c r="CT256" s="532"/>
      <c r="CU256" s="532"/>
      <c r="CV256" s="532"/>
      <c r="CW256" s="532"/>
      <c r="CX256" s="532"/>
      <c r="CY256" s="532"/>
      <c r="CZ256" s="532"/>
      <c r="DA256" s="532"/>
      <c r="DB256" s="532"/>
      <c r="DC256" s="532"/>
      <c r="DD256" s="532"/>
      <c r="DE256" s="532"/>
      <c r="DF256" s="532"/>
      <c r="DG256" s="532"/>
      <c r="DH256" s="532"/>
      <c r="DI256" s="532"/>
      <c r="DJ256" s="532"/>
      <c r="DK256" s="532"/>
      <c r="DL256" s="532"/>
      <c r="DM256" s="532"/>
      <c r="DN256" s="532"/>
      <c r="DO256" s="532"/>
      <c r="DP256" s="532"/>
      <c r="DQ256" s="532"/>
      <c r="DR256" s="532"/>
      <c r="DS256" s="532"/>
      <c r="DT256" s="532"/>
      <c r="DU256" s="532"/>
      <c r="DV256" s="532"/>
      <c r="DW256" s="532"/>
      <c r="DX256" s="532"/>
      <c r="DY256" s="532"/>
      <c r="DZ256" s="532"/>
      <c r="EA256" s="532"/>
      <c r="EB256" s="532"/>
      <c r="EC256" s="532"/>
      <c r="ED256" s="532"/>
      <c r="EE256" s="532"/>
      <c r="EF256" s="532"/>
      <c r="EG256" s="532"/>
      <c r="EH256" s="532"/>
      <c r="EI256" s="532"/>
      <c r="EJ256" s="532"/>
      <c r="EK256" s="532"/>
      <c r="EL256" s="532"/>
      <c r="EM256" s="532"/>
      <c r="EN256" s="532"/>
      <c r="EO256" s="532"/>
      <c r="EP256" s="532"/>
      <c r="EQ256" s="532"/>
      <c r="ER256" s="532"/>
      <c r="ES256" s="532"/>
      <c r="ET256" s="532"/>
      <c r="EU256" s="532"/>
      <c r="EV256" s="532"/>
      <c r="EW256" s="532"/>
      <c r="EX256" s="532"/>
      <c r="EY256" s="532"/>
      <c r="EZ256" s="532"/>
      <c r="FA256" s="532"/>
      <c r="FB256" s="532"/>
      <c r="FC256" s="532"/>
      <c r="FD256" s="532"/>
      <c r="FE256" s="532"/>
      <c r="FF256" s="532"/>
      <c r="FG256" s="532"/>
      <c r="FH256" s="532"/>
      <c r="FI256" s="532"/>
      <c r="FJ256" s="532"/>
      <c r="FK256" s="532"/>
      <c r="FL256" s="532"/>
      <c r="FM256" s="532"/>
      <c r="FN256" s="532"/>
      <c r="FO256" s="532"/>
      <c r="FP256" s="532"/>
    </row>
    <row r="257" spans="1:172" ht="12" customHeight="1" x14ac:dyDescent="0.2">
      <c r="A257" s="537"/>
      <c r="B257" s="534"/>
      <c r="C257" s="534"/>
      <c r="D257" s="534"/>
      <c r="E257" s="534"/>
      <c r="F257" s="534"/>
      <c r="G257" s="534"/>
      <c r="H257" s="534"/>
      <c r="I257" s="534"/>
      <c r="J257" s="534"/>
      <c r="K257" s="658"/>
      <c r="L257" s="562"/>
      <c r="M257" s="562"/>
      <c r="N257" s="562"/>
      <c r="O257" s="530" t="s">
        <v>55</v>
      </c>
      <c r="P257" s="531"/>
      <c r="Q257" s="531"/>
      <c r="R257" s="531"/>
      <c r="S257" s="531"/>
      <c r="T257" s="531"/>
      <c r="U257" s="531"/>
      <c r="V257" s="531"/>
      <c r="W257" s="531"/>
      <c r="X257" s="531"/>
      <c r="Y257" s="531"/>
      <c r="Z257" s="531"/>
      <c r="AA257" s="531"/>
      <c r="AB257" s="531"/>
      <c r="AC257" s="531"/>
      <c r="AD257" s="531"/>
      <c r="AE257" s="531"/>
      <c r="AF257" s="531"/>
      <c r="AG257" s="531"/>
      <c r="AH257" s="532"/>
      <c r="AI257" s="532"/>
      <c r="AJ257" s="532"/>
      <c r="AK257" s="532"/>
      <c r="AL257" s="532"/>
      <c r="AM257" s="532"/>
      <c r="AN257" s="532"/>
      <c r="AO257" s="532"/>
      <c r="AP257" s="532"/>
      <c r="AQ257" s="532"/>
      <c r="AR257" s="532"/>
      <c r="AS257" s="532"/>
      <c r="AT257" s="532"/>
      <c r="AU257" s="532"/>
      <c r="AV257" s="532"/>
      <c r="AW257" s="532"/>
      <c r="AX257" s="532"/>
      <c r="AY257" s="532"/>
      <c r="AZ257" s="532"/>
      <c r="BA257" s="532"/>
      <c r="BB257" s="532"/>
      <c r="BC257" s="532"/>
      <c r="BD257" s="532"/>
      <c r="BE257" s="532"/>
      <c r="BF257" s="532"/>
      <c r="BG257" s="532"/>
      <c r="BH257" s="532"/>
      <c r="BI257" s="532"/>
      <c r="BJ257" s="532"/>
      <c r="BK257" s="532"/>
      <c r="BL257" s="532"/>
      <c r="BM257" s="532"/>
      <c r="BN257" s="532"/>
      <c r="BO257" s="532"/>
      <c r="BP257" s="532"/>
      <c r="BQ257" s="532"/>
      <c r="BR257" s="532"/>
      <c r="BS257" s="532"/>
      <c r="BT257" s="532"/>
      <c r="BU257" s="532"/>
      <c r="BV257" s="532"/>
      <c r="BW257" s="532"/>
      <c r="BX257" s="532"/>
      <c r="BY257" s="532"/>
      <c r="BZ257" s="532"/>
      <c r="CA257" s="532"/>
      <c r="CB257" s="532"/>
      <c r="CC257" s="532"/>
      <c r="CD257" s="532"/>
      <c r="CE257" s="532"/>
      <c r="CF257" s="532"/>
      <c r="CG257" s="532"/>
      <c r="CH257" s="532"/>
      <c r="CI257" s="532"/>
      <c r="CJ257" s="532"/>
      <c r="CK257" s="532"/>
      <c r="CL257" s="532"/>
      <c r="CM257" s="532"/>
      <c r="CN257" s="532"/>
      <c r="CO257" s="532"/>
      <c r="CP257" s="532"/>
      <c r="CQ257" s="532"/>
      <c r="CR257" s="532"/>
      <c r="CS257" s="532"/>
      <c r="CT257" s="532"/>
      <c r="CU257" s="532"/>
      <c r="CV257" s="532"/>
      <c r="CW257" s="532"/>
      <c r="CX257" s="532"/>
      <c r="CY257" s="532"/>
      <c r="CZ257" s="532"/>
      <c r="DA257" s="532"/>
      <c r="DB257" s="532"/>
      <c r="DC257" s="532"/>
      <c r="DD257" s="532"/>
      <c r="DE257" s="532"/>
      <c r="DF257" s="532"/>
      <c r="DG257" s="532"/>
      <c r="DH257" s="532"/>
      <c r="DI257" s="532"/>
      <c r="DJ257" s="532"/>
      <c r="DK257" s="532"/>
      <c r="DL257" s="532"/>
      <c r="DM257" s="532"/>
      <c r="DN257" s="532"/>
      <c r="DO257" s="532"/>
      <c r="DP257" s="532"/>
      <c r="DQ257" s="532"/>
      <c r="DR257" s="532"/>
      <c r="DS257" s="532"/>
      <c r="DT257" s="532"/>
      <c r="DU257" s="532"/>
      <c r="DV257" s="532"/>
      <c r="DW257" s="532"/>
      <c r="DX257" s="532"/>
      <c r="DY257" s="532"/>
      <c r="DZ257" s="532"/>
      <c r="EA257" s="532"/>
      <c r="EB257" s="532"/>
      <c r="EC257" s="532"/>
      <c r="ED257" s="532"/>
      <c r="EE257" s="532"/>
      <c r="EF257" s="532"/>
      <c r="EG257" s="532"/>
      <c r="EH257" s="532"/>
      <c r="EI257" s="532"/>
      <c r="EJ257" s="532"/>
      <c r="EK257" s="532"/>
      <c r="EL257" s="532"/>
      <c r="EM257" s="532"/>
      <c r="EN257" s="532"/>
      <c r="EO257" s="532"/>
      <c r="EP257" s="532"/>
      <c r="EQ257" s="532"/>
      <c r="ER257" s="532"/>
      <c r="ES257" s="532"/>
      <c r="ET257" s="532"/>
      <c r="EU257" s="532"/>
      <c r="EV257" s="532"/>
      <c r="EW257" s="532"/>
      <c r="EX257" s="532"/>
      <c r="EY257" s="532"/>
      <c r="EZ257" s="532"/>
      <c r="FA257" s="532"/>
      <c r="FB257" s="532"/>
      <c r="FC257" s="532"/>
      <c r="FD257" s="532"/>
      <c r="FE257" s="532"/>
      <c r="FF257" s="532"/>
      <c r="FG257" s="532"/>
      <c r="FH257" s="532"/>
      <c r="FI257" s="532"/>
      <c r="FJ257" s="532"/>
      <c r="FK257" s="532"/>
      <c r="FL257" s="532"/>
      <c r="FM257" s="532"/>
      <c r="FN257" s="532"/>
      <c r="FO257" s="532"/>
      <c r="FP257" s="532"/>
    </row>
    <row r="258" spans="1:172" ht="12" customHeight="1" x14ac:dyDescent="0.2">
      <c r="A258" s="533" t="s">
        <v>142</v>
      </c>
      <c r="B258" s="534" t="s">
        <v>143</v>
      </c>
      <c r="C258" s="666">
        <v>271</v>
      </c>
      <c r="D258" s="208">
        <v>318</v>
      </c>
      <c r="E258" s="208">
        <v>236</v>
      </c>
      <c r="F258" s="208">
        <v>248</v>
      </c>
      <c r="G258" s="208">
        <f>467+24</f>
        <v>491</v>
      </c>
      <c r="H258" s="208">
        <v>216</v>
      </c>
      <c r="I258" s="208">
        <f>771</f>
        <v>771</v>
      </c>
      <c r="J258" s="208">
        <v>646</v>
      </c>
      <c r="K258" s="208">
        <v>474</v>
      </c>
      <c r="L258" s="562">
        <v>210</v>
      </c>
      <c r="M258" s="562">
        <v>432</v>
      </c>
      <c r="N258" s="562">
        <v>395</v>
      </c>
      <c r="O258" s="530">
        <f>SUM(C258:N258)</f>
        <v>4708</v>
      </c>
      <c r="P258" s="531"/>
      <c r="Q258" s="531"/>
      <c r="R258" s="531"/>
      <c r="S258" s="531"/>
      <c r="T258" s="531"/>
      <c r="U258" s="531"/>
      <c r="V258" s="531"/>
      <c r="W258" s="531"/>
      <c r="X258" s="531"/>
      <c r="Y258" s="531"/>
      <c r="Z258" s="531"/>
      <c r="AA258" s="531"/>
      <c r="AB258" s="531"/>
      <c r="AC258" s="531"/>
      <c r="AD258" s="531"/>
      <c r="AE258" s="531"/>
      <c r="AF258" s="531"/>
      <c r="AG258" s="531"/>
      <c r="AH258" s="532"/>
      <c r="AI258" s="532"/>
      <c r="AJ258" s="532"/>
      <c r="AK258" s="532"/>
      <c r="AL258" s="532"/>
      <c r="AM258" s="532"/>
      <c r="AN258" s="532"/>
      <c r="AO258" s="532"/>
      <c r="AP258" s="532"/>
      <c r="AQ258" s="532"/>
      <c r="AR258" s="532"/>
      <c r="AS258" s="532"/>
      <c r="AT258" s="532"/>
      <c r="AU258" s="532"/>
      <c r="AV258" s="532"/>
      <c r="AW258" s="532"/>
      <c r="AX258" s="532"/>
      <c r="AY258" s="532"/>
      <c r="AZ258" s="532"/>
      <c r="BA258" s="532"/>
      <c r="BB258" s="532"/>
      <c r="BC258" s="532"/>
      <c r="BD258" s="532"/>
      <c r="BE258" s="532"/>
      <c r="BF258" s="532"/>
      <c r="BG258" s="532"/>
      <c r="BH258" s="532"/>
      <c r="BI258" s="532"/>
      <c r="BJ258" s="532"/>
      <c r="BK258" s="532"/>
      <c r="BL258" s="532"/>
      <c r="BM258" s="532"/>
      <c r="BN258" s="532"/>
      <c r="BO258" s="532"/>
      <c r="BP258" s="532"/>
      <c r="BQ258" s="532"/>
      <c r="BR258" s="532"/>
      <c r="BS258" s="532"/>
      <c r="BT258" s="532"/>
      <c r="BU258" s="532"/>
      <c r="BV258" s="532"/>
      <c r="BW258" s="532"/>
      <c r="BX258" s="532"/>
      <c r="BY258" s="532"/>
      <c r="BZ258" s="532"/>
      <c r="CA258" s="532"/>
      <c r="CB258" s="532"/>
      <c r="CC258" s="532"/>
      <c r="CD258" s="532"/>
      <c r="CE258" s="532"/>
      <c r="CF258" s="532"/>
      <c r="CG258" s="532"/>
      <c r="CH258" s="532"/>
      <c r="CI258" s="532"/>
      <c r="CJ258" s="532"/>
      <c r="CK258" s="532"/>
      <c r="CL258" s="532"/>
      <c r="CM258" s="532"/>
      <c r="CN258" s="532"/>
      <c r="CO258" s="532"/>
      <c r="CP258" s="532"/>
      <c r="CQ258" s="532"/>
      <c r="CR258" s="532"/>
      <c r="CS258" s="532"/>
      <c r="CT258" s="532"/>
      <c r="CU258" s="532"/>
      <c r="CV258" s="532"/>
      <c r="CW258" s="532"/>
      <c r="CX258" s="532"/>
      <c r="CY258" s="532"/>
      <c r="CZ258" s="532"/>
      <c r="DA258" s="532"/>
      <c r="DB258" s="532"/>
      <c r="DC258" s="532"/>
      <c r="DD258" s="532"/>
      <c r="DE258" s="532"/>
      <c r="DF258" s="532"/>
      <c r="DG258" s="532"/>
      <c r="DH258" s="532"/>
      <c r="DI258" s="532"/>
      <c r="DJ258" s="532"/>
      <c r="DK258" s="532"/>
      <c r="DL258" s="532"/>
      <c r="DM258" s="532"/>
      <c r="DN258" s="532"/>
      <c r="DO258" s="532"/>
      <c r="DP258" s="532"/>
      <c r="DQ258" s="532"/>
      <c r="DR258" s="532"/>
      <c r="DS258" s="532"/>
      <c r="DT258" s="532"/>
      <c r="DU258" s="532"/>
      <c r="DV258" s="532"/>
      <c r="DW258" s="532"/>
      <c r="DX258" s="532"/>
      <c r="DY258" s="532"/>
      <c r="DZ258" s="532"/>
      <c r="EA258" s="532"/>
      <c r="EB258" s="532"/>
      <c r="EC258" s="532"/>
      <c r="ED258" s="532"/>
      <c r="EE258" s="532"/>
      <c r="EF258" s="532"/>
      <c r="EG258" s="532"/>
      <c r="EH258" s="532"/>
      <c r="EI258" s="532"/>
      <c r="EJ258" s="532"/>
      <c r="EK258" s="532"/>
      <c r="EL258" s="532"/>
      <c r="EM258" s="532"/>
      <c r="EN258" s="532"/>
      <c r="EO258" s="532"/>
      <c r="EP258" s="532"/>
      <c r="EQ258" s="532"/>
      <c r="ER258" s="532"/>
      <c r="ES258" s="532"/>
      <c r="ET258" s="532"/>
      <c r="EU258" s="532"/>
      <c r="EV258" s="532"/>
      <c r="EW258" s="532"/>
      <c r="EX258" s="532"/>
      <c r="EY258" s="532"/>
      <c r="EZ258" s="532"/>
      <c r="FA258" s="532"/>
      <c r="FB258" s="532"/>
      <c r="FC258" s="532"/>
      <c r="FD258" s="532"/>
      <c r="FE258" s="532"/>
      <c r="FF258" s="532"/>
      <c r="FG258" s="532"/>
      <c r="FH258" s="532"/>
      <c r="FI258" s="532"/>
      <c r="FJ258" s="532"/>
      <c r="FK258" s="532"/>
      <c r="FL258" s="532"/>
      <c r="FM258" s="532"/>
      <c r="FN258" s="532"/>
      <c r="FO258" s="532"/>
      <c r="FP258" s="532"/>
    </row>
    <row r="259" spans="1:172" ht="12" customHeight="1" x14ac:dyDescent="0.2">
      <c r="A259" s="533" t="s">
        <v>144</v>
      </c>
      <c r="B259" s="534" t="s">
        <v>145</v>
      </c>
      <c r="C259" s="667">
        <f t="shared" ref="C259:N259" si="136">SUM(C258/24)</f>
        <v>11.291666666666666</v>
      </c>
      <c r="D259" s="668">
        <f t="shared" si="136"/>
        <v>13.25</v>
      </c>
      <c r="E259" s="667">
        <f t="shared" si="136"/>
        <v>9.8333333333333339</v>
      </c>
      <c r="F259" s="667">
        <f t="shared" si="136"/>
        <v>10.333333333333334</v>
      </c>
      <c r="G259" s="667">
        <f t="shared" si="136"/>
        <v>20.458333333333332</v>
      </c>
      <c r="H259" s="667">
        <f t="shared" si="136"/>
        <v>9</v>
      </c>
      <c r="I259" s="667">
        <f t="shared" si="136"/>
        <v>32.125</v>
      </c>
      <c r="J259" s="667">
        <f t="shared" si="136"/>
        <v>26.916666666666668</v>
      </c>
      <c r="K259" s="667">
        <f t="shared" si="136"/>
        <v>19.75</v>
      </c>
      <c r="L259" s="567">
        <f t="shared" si="136"/>
        <v>8.75</v>
      </c>
      <c r="M259" s="567">
        <f t="shared" si="136"/>
        <v>18</v>
      </c>
      <c r="N259" s="567">
        <f t="shared" si="136"/>
        <v>16.458333333333332</v>
      </c>
      <c r="O259" s="552">
        <f>SUM(O258/24)</f>
        <v>196.16666666666666</v>
      </c>
      <c r="P259" s="531"/>
      <c r="Q259" s="531"/>
      <c r="R259" s="531"/>
      <c r="S259" s="531"/>
      <c r="T259" s="531"/>
      <c r="U259" s="531"/>
      <c r="V259" s="531"/>
      <c r="W259" s="531"/>
      <c r="X259" s="531"/>
      <c r="Y259" s="531"/>
      <c r="Z259" s="531"/>
      <c r="AA259" s="531"/>
      <c r="AB259" s="531"/>
      <c r="AC259" s="531"/>
      <c r="AD259" s="531"/>
      <c r="AE259" s="531"/>
      <c r="AF259" s="531"/>
      <c r="AG259" s="531"/>
      <c r="AH259" s="532"/>
      <c r="AI259" s="532"/>
      <c r="AJ259" s="532"/>
      <c r="AK259" s="532"/>
      <c r="AL259" s="532"/>
      <c r="AM259" s="532"/>
      <c r="AN259" s="532"/>
      <c r="AO259" s="532"/>
      <c r="AP259" s="532"/>
      <c r="AQ259" s="532"/>
      <c r="AR259" s="532"/>
      <c r="AS259" s="532"/>
      <c r="AT259" s="532"/>
      <c r="AU259" s="532"/>
      <c r="AV259" s="532"/>
      <c r="AW259" s="532"/>
      <c r="AX259" s="532"/>
      <c r="AY259" s="532"/>
      <c r="AZ259" s="532"/>
      <c r="BA259" s="532"/>
      <c r="BB259" s="532"/>
      <c r="BC259" s="532"/>
      <c r="BD259" s="532"/>
      <c r="BE259" s="532"/>
      <c r="BF259" s="532"/>
      <c r="BG259" s="532"/>
      <c r="BH259" s="532"/>
      <c r="BI259" s="532"/>
      <c r="BJ259" s="532"/>
      <c r="BK259" s="532"/>
      <c r="BL259" s="532"/>
      <c r="BM259" s="532"/>
      <c r="BN259" s="532"/>
      <c r="BO259" s="532"/>
      <c r="BP259" s="532"/>
      <c r="BQ259" s="532"/>
      <c r="BR259" s="532"/>
      <c r="BS259" s="532"/>
      <c r="BT259" s="532"/>
      <c r="BU259" s="532"/>
      <c r="BV259" s="532"/>
      <c r="BW259" s="532"/>
      <c r="BX259" s="532"/>
      <c r="BY259" s="532"/>
      <c r="BZ259" s="532"/>
      <c r="CA259" s="532"/>
      <c r="CB259" s="532"/>
      <c r="CC259" s="532"/>
      <c r="CD259" s="532"/>
      <c r="CE259" s="532"/>
      <c r="CF259" s="532"/>
      <c r="CG259" s="532"/>
      <c r="CH259" s="532"/>
      <c r="CI259" s="532"/>
      <c r="CJ259" s="532"/>
      <c r="CK259" s="532"/>
      <c r="CL259" s="532"/>
      <c r="CM259" s="532"/>
      <c r="CN259" s="532"/>
      <c r="CO259" s="532"/>
      <c r="CP259" s="532"/>
      <c r="CQ259" s="532"/>
      <c r="CR259" s="532"/>
      <c r="CS259" s="532"/>
      <c r="CT259" s="532"/>
      <c r="CU259" s="532"/>
      <c r="CV259" s="532"/>
      <c r="CW259" s="532"/>
      <c r="CX259" s="532"/>
      <c r="CY259" s="532"/>
      <c r="CZ259" s="532"/>
      <c r="DA259" s="532"/>
      <c r="DB259" s="532"/>
      <c r="DC259" s="532"/>
      <c r="DD259" s="532"/>
      <c r="DE259" s="532"/>
      <c r="DF259" s="532"/>
      <c r="DG259" s="532"/>
      <c r="DH259" s="532"/>
      <c r="DI259" s="532"/>
      <c r="DJ259" s="532"/>
      <c r="DK259" s="532"/>
      <c r="DL259" s="532"/>
      <c r="DM259" s="532"/>
      <c r="DN259" s="532"/>
      <c r="DO259" s="532"/>
      <c r="DP259" s="532"/>
      <c r="DQ259" s="532"/>
      <c r="DR259" s="532"/>
      <c r="DS259" s="532"/>
      <c r="DT259" s="532"/>
      <c r="DU259" s="532"/>
      <c r="DV259" s="532"/>
      <c r="DW259" s="532"/>
      <c r="DX259" s="532"/>
      <c r="DY259" s="532"/>
      <c r="DZ259" s="532"/>
      <c r="EA259" s="532"/>
      <c r="EB259" s="532"/>
      <c r="EC259" s="532"/>
      <c r="ED259" s="532"/>
      <c r="EE259" s="532"/>
      <c r="EF259" s="532"/>
      <c r="EG259" s="532"/>
      <c r="EH259" s="532"/>
      <c r="EI259" s="532"/>
      <c r="EJ259" s="532"/>
      <c r="EK259" s="532"/>
      <c r="EL259" s="532"/>
      <c r="EM259" s="532"/>
      <c r="EN259" s="532"/>
      <c r="EO259" s="532"/>
      <c r="EP259" s="532"/>
      <c r="EQ259" s="532"/>
      <c r="ER259" s="532"/>
      <c r="ES259" s="532"/>
      <c r="ET259" s="532"/>
      <c r="EU259" s="532"/>
      <c r="EV259" s="532"/>
      <c r="EW259" s="532"/>
      <c r="EX259" s="532"/>
      <c r="EY259" s="532"/>
      <c r="EZ259" s="532"/>
      <c r="FA259" s="532"/>
      <c r="FB259" s="532"/>
      <c r="FC259" s="532"/>
      <c r="FD259" s="532"/>
      <c r="FE259" s="532"/>
      <c r="FF259" s="532"/>
      <c r="FG259" s="532"/>
      <c r="FH259" s="532"/>
      <c r="FI259" s="532"/>
      <c r="FJ259" s="532"/>
      <c r="FK259" s="532"/>
      <c r="FL259" s="532"/>
      <c r="FM259" s="532"/>
      <c r="FN259" s="532"/>
      <c r="FO259" s="532"/>
      <c r="FP259" s="532"/>
    </row>
    <row r="260" spans="1:172" ht="12" customHeight="1" x14ac:dyDescent="0.2">
      <c r="A260" s="533"/>
      <c r="B260" s="534"/>
      <c r="C260" s="534"/>
      <c r="D260" s="534"/>
      <c r="E260" s="534"/>
      <c r="F260" s="534"/>
      <c r="G260" s="534"/>
      <c r="H260" s="534"/>
      <c r="I260" s="534"/>
      <c r="J260" s="534"/>
      <c r="K260" s="658"/>
      <c r="L260" s="562"/>
      <c r="M260" s="562"/>
      <c r="N260" s="562"/>
      <c r="O260" s="530"/>
      <c r="P260" s="531"/>
      <c r="Q260" s="531"/>
      <c r="R260" s="531"/>
      <c r="S260" s="531"/>
      <c r="T260" s="531"/>
      <c r="U260" s="531"/>
      <c r="V260" s="531"/>
      <c r="W260" s="531"/>
      <c r="X260" s="531"/>
      <c r="Y260" s="531"/>
      <c r="Z260" s="531"/>
      <c r="AA260" s="531"/>
      <c r="AB260" s="531"/>
      <c r="AC260" s="531"/>
      <c r="AD260" s="531"/>
      <c r="AE260" s="531"/>
      <c r="AF260" s="531"/>
      <c r="AG260" s="531"/>
      <c r="AH260" s="532"/>
      <c r="AI260" s="532"/>
      <c r="AJ260" s="532"/>
      <c r="AK260" s="532"/>
      <c r="AL260" s="532"/>
      <c r="AM260" s="532"/>
      <c r="AN260" s="532"/>
      <c r="AO260" s="532"/>
      <c r="AP260" s="532"/>
      <c r="AQ260" s="532"/>
      <c r="AR260" s="532"/>
      <c r="AS260" s="532"/>
      <c r="AT260" s="532"/>
      <c r="AU260" s="532"/>
      <c r="AV260" s="532"/>
      <c r="AW260" s="532"/>
      <c r="AX260" s="532"/>
      <c r="AY260" s="532"/>
      <c r="AZ260" s="532"/>
      <c r="BA260" s="532"/>
      <c r="BB260" s="532"/>
      <c r="BC260" s="532"/>
      <c r="BD260" s="532"/>
      <c r="BE260" s="532"/>
      <c r="BF260" s="532"/>
      <c r="BG260" s="532"/>
      <c r="BH260" s="532"/>
      <c r="BI260" s="532"/>
      <c r="BJ260" s="532"/>
      <c r="BK260" s="532"/>
      <c r="BL260" s="532"/>
      <c r="BM260" s="532"/>
      <c r="BN260" s="532"/>
      <c r="BO260" s="532"/>
      <c r="BP260" s="532"/>
      <c r="BQ260" s="532"/>
      <c r="BR260" s="532"/>
      <c r="BS260" s="532"/>
      <c r="BT260" s="532"/>
      <c r="BU260" s="532"/>
      <c r="BV260" s="532"/>
      <c r="BW260" s="532"/>
      <c r="BX260" s="532"/>
      <c r="BY260" s="532"/>
      <c r="BZ260" s="532"/>
      <c r="CA260" s="532"/>
      <c r="CB260" s="532"/>
      <c r="CC260" s="532"/>
      <c r="CD260" s="532"/>
      <c r="CE260" s="532"/>
      <c r="CF260" s="532"/>
      <c r="CG260" s="532"/>
      <c r="CH260" s="532"/>
      <c r="CI260" s="532"/>
      <c r="CJ260" s="532"/>
      <c r="CK260" s="532"/>
      <c r="CL260" s="532"/>
      <c r="CM260" s="532"/>
      <c r="CN260" s="532"/>
      <c r="CO260" s="532"/>
      <c r="CP260" s="532"/>
      <c r="CQ260" s="532"/>
      <c r="CR260" s="532"/>
      <c r="CS260" s="532"/>
      <c r="CT260" s="532"/>
      <c r="CU260" s="532"/>
      <c r="CV260" s="532"/>
      <c r="CW260" s="532"/>
      <c r="CX260" s="532"/>
      <c r="CY260" s="532"/>
      <c r="CZ260" s="532"/>
      <c r="DA260" s="532"/>
      <c r="DB260" s="532"/>
      <c r="DC260" s="532"/>
      <c r="DD260" s="532"/>
      <c r="DE260" s="532"/>
      <c r="DF260" s="532"/>
      <c r="DG260" s="532"/>
      <c r="DH260" s="532"/>
      <c r="DI260" s="532"/>
      <c r="DJ260" s="532"/>
      <c r="DK260" s="532"/>
      <c r="DL260" s="532"/>
      <c r="DM260" s="532"/>
      <c r="DN260" s="532"/>
      <c r="DO260" s="532"/>
      <c r="DP260" s="532"/>
      <c r="DQ260" s="532"/>
      <c r="DR260" s="532"/>
      <c r="DS260" s="532"/>
      <c r="DT260" s="532"/>
      <c r="DU260" s="532"/>
      <c r="DV260" s="532"/>
      <c r="DW260" s="532"/>
      <c r="DX260" s="532"/>
      <c r="DY260" s="532"/>
      <c r="DZ260" s="532"/>
      <c r="EA260" s="532"/>
      <c r="EB260" s="532"/>
      <c r="EC260" s="532"/>
      <c r="ED260" s="532"/>
      <c r="EE260" s="532"/>
      <c r="EF260" s="532"/>
      <c r="EG260" s="532"/>
      <c r="EH260" s="532"/>
      <c r="EI260" s="532"/>
      <c r="EJ260" s="532"/>
      <c r="EK260" s="532"/>
      <c r="EL260" s="532"/>
      <c r="EM260" s="532"/>
      <c r="EN260" s="532"/>
      <c r="EO260" s="532"/>
      <c r="EP260" s="532"/>
      <c r="EQ260" s="532"/>
      <c r="ER260" s="532"/>
      <c r="ES260" s="532"/>
      <c r="ET260" s="532"/>
      <c r="EU260" s="532"/>
      <c r="EV260" s="532"/>
      <c r="EW260" s="532"/>
      <c r="EX260" s="532"/>
      <c r="EY260" s="532"/>
      <c r="EZ260" s="532"/>
      <c r="FA260" s="532"/>
      <c r="FB260" s="532"/>
      <c r="FC260" s="532"/>
      <c r="FD260" s="532"/>
      <c r="FE260" s="532"/>
      <c r="FF260" s="532"/>
      <c r="FG260" s="532"/>
      <c r="FH260" s="532"/>
      <c r="FI260" s="532"/>
      <c r="FJ260" s="532"/>
      <c r="FK260" s="532"/>
      <c r="FL260" s="532"/>
      <c r="FM260" s="532"/>
      <c r="FN260" s="532"/>
      <c r="FO260" s="532"/>
      <c r="FP260" s="532"/>
    </row>
    <row r="261" spans="1:172" ht="12" customHeight="1" x14ac:dyDescent="0.2">
      <c r="A261" s="533" t="s">
        <v>146</v>
      </c>
      <c r="B261" s="534"/>
      <c r="C261" s="208">
        <v>165</v>
      </c>
      <c r="D261" s="208">
        <v>128</v>
      </c>
      <c r="E261" s="208">
        <v>111</v>
      </c>
      <c r="F261" s="208">
        <v>132</v>
      </c>
      <c r="G261" s="208">
        <f>333+24</f>
        <v>357</v>
      </c>
      <c r="H261" s="208">
        <f>26+16</f>
        <v>42</v>
      </c>
      <c r="I261" s="208">
        <v>235</v>
      </c>
      <c r="J261" s="208">
        <f>333+1</f>
        <v>334</v>
      </c>
      <c r="K261" s="208">
        <f>186+1+5</f>
        <v>192</v>
      </c>
      <c r="L261" s="562">
        <v>210</v>
      </c>
      <c r="M261" s="562">
        <f>312-13</f>
        <v>299</v>
      </c>
      <c r="N261" s="562">
        <f>315+13</f>
        <v>328</v>
      </c>
      <c r="O261" s="530">
        <f>SUM(C261:N261)</f>
        <v>2533</v>
      </c>
      <c r="P261" s="531"/>
      <c r="Q261" s="531"/>
      <c r="R261" s="531"/>
      <c r="S261" s="531"/>
      <c r="T261" s="531"/>
      <c r="U261" s="531"/>
      <c r="V261" s="531"/>
      <c r="W261" s="531"/>
      <c r="X261" s="531"/>
      <c r="Y261" s="531"/>
      <c r="Z261" s="531"/>
      <c r="AA261" s="531"/>
      <c r="AB261" s="531"/>
      <c r="AC261" s="531"/>
      <c r="AD261" s="531"/>
      <c r="AE261" s="531"/>
      <c r="AF261" s="531"/>
      <c r="AG261" s="531"/>
      <c r="AH261" s="532"/>
      <c r="AI261" s="532"/>
      <c r="AJ261" s="532"/>
      <c r="AK261" s="532"/>
      <c r="AL261" s="532"/>
      <c r="AM261" s="532"/>
      <c r="AN261" s="532"/>
      <c r="AO261" s="532"/>
      <c r="AP261" s="532"/>
      <c r="AQ261" s="532"/>
      <c r="AR261" s="532"/>
      <c r="AS261" s="532"/>
      <c r="AT261" s="532"/>
      <c r="AU261" s="532"/>
      <c r="AV261" s="532"/>
      <c r="AW261" s="532"/>
      <c r="AX261" s="532"/>
      <c r="AY261" s="532"/>
      <c r="AZ261" s="532"/>
      <c r="BA261" s="532"/>
      <c r="BB261" s="532"/>
      <c r="BC261" s="532"/>
      <c r="BD261" s="532"/>
      <c r="BE261" s="532"/>
      <c r="BF261" s="532"/>
      <c r="BG261" s="532"/>
      <c r="BH261" s="532"/>
      <c r="BI261" s="532"/>
      <c r="BJ261" s="532"/>
      <c r="BK261" s="532"/>
      <c r="BL261" s="532"/>
      <c r="BM261" s="532"/>
      <c r="BN261" s="532"/>
      <c r="BO261" s="532"/>
      <c r="BP261" s="532"/>
      <c r="BQ261" s="532"/>
      <c r="BR261" s="532"/>
      <c r="BS261" s="532"/>
      <c r="BT261" s="532"/>
      <c r="BU261" s="532"/>
      <c r="BV261" s="532"/>
      <c r="BW261" s="532"/>
      <c r="BX261" s="532"/>
      <c r="BY261" s="532"/>
      <c r="BZ261" s="532"/>
      <c r="CA261" s="532"/>
      <c r="CB261" s="532"/>
      <c r="CC261" s="532"/>
      <c r="CD261" s="532"/>
      <c r="CE261" s="532"/>
      <c r="CF261" s="532"/>
      <c r="CG261" s="532"/>
      <c r="CH261" s="532"/>
      <c r="CI261" s="532"/>
      <c r="CJ261" s="532"/>
      <c r="CK261" s="532"/>
      <c r="CL261" s="532"/>
      <c r="CM261" s="532"/>
      <c r="CN261" s="532"/>
      <c r="CO261" s="532"/>
      <c r="CP261" s="532"/>
      <c r="CQ261" s="532"/>
      <c r="CR261" s="532"/>
      <c r="CS261" s="532"/>
      <c r="CT261" s="532"/>
      <c r="CU261" s="532"/>
      <c r="CV261" s="532"/>
      <c r="CW261" s="532"/>
      <c r="CX261" s="532"/>
      <c r="CY261" s="532"/>
      <c r="CZ261" s="532"/>
      <c r="DA261" s="532"/>
      <c r="DB261" s="532"/>
      <c r="DC261" s="532"/>
      <c r="DD261" s="532"/>
      <c r="DE261" s="532"/>
      <c r="DF261" s="532"/>
      <c r="DG261" s="532"/>
      <c r="DH261" s="532"/>
      <c r="DI261" s="532"/>
      <c r="DJ261" s="532"/>
      <c r="DK261" s="532"/>
      <c r="DL261" s="532"/>
      <c r="DM261" s="532"/>
      <c r="DN261" s="532"/>
      <c r="DO261" s="532"/>
      <c r="DP261" s="532"/>
      <c r="DQ261" s="532"/>
      <c r="DR261" s="532"/>
      <c r="DS261" s="532"/>
      <c r="DT261" s="532"/>
      <c r="DU261" s="532"/>
      <c r="DV261" s="532"/>
      <c r="DW261" s="532"/>
      <c r="DX261" s="532"/>
      <c r="DY261" s="532"/>
      <c r="DZ261" s="532"/>
      <c r="EA261" s="532"/>
      <c r="EB261" s="532"/>
      <c r="EC261" s="532"/>
      <c r="ED261" s="532"/>
      <c r="EE261" s="532"/>
      <c r="EF261" s="532"/>
      <c r="EG261" s="532"/>
      <c r="EH261" s="532"/>
      <c r="EI261" s="532"/>
      <c r="EJ261" s="532"/>
      <c r="EK261" s="532"/>
      <c r="EL261" s="532"/>
      <c r="EM261" s="532"/>
      <c r="EN261" s="532"/>
      <c r="EO261" s="532"/>
      <c r="EP261" s="532"/>
      <c r="EQ261" s="532"/>
      <c r="ER261" s="532"/>
      <c r="ES261" s="532"/>
      <c r="ET261" s="532"/>
      <c r="EU261" s="532"/>
      <c r="EV261" s="532"/>
      <c r="EW261" s="532"/>
      <c r="EX261" s="532"/>
      <c r="EY261" s="532"/>
      <c r="EZ261" s="532"/>
      <c r="FA261" s="532"/>
      <c r="FB261" s="532"/>
      <c r="FC261" s="532"/>
      <c r="FD261" s="532"/>
      <c r="FE261" s="532"/>
      <c r="FF261" s="532"/>
      <c r="FG261" s="532"/>
      <c r="FH261" s="532"/>
      <c r="FI261" s="532"/>
      <c r="FJ261" s="532"/>
      <c r="FK261" s="532"/>
      <c r="FL261" s="532"/>
      <c r="FM261" s="532"/>
      <c r="FN261" s="532"/>
      <c r="FO261" s="532"/>
      <c r="FP261" s="532"/>
    </row>
    <row r="262" spans="1:172" ht="12" customHeight="1" x14ac:dyDescent="0.2">
      <c r="A262" s="533" t="s">
        <v>147</v>
      </c>
      <c r="B262" s="534"/>
      <c r="C262" s="666">
        <f t="shared" ref="C262:N262" si="137">SUM(C261)/24</f>
        <v>6.875</v>
      </c>
      <c r="D262" s="666">
        <f t="shared" si="137"/>
        <v>5.333333333333333</v>
      </c>
      <c r="E262" s="666">
        <f t="shared" si="137"/>
        <v>4.625</v>
      </c>
      <c r="F262" s="666">
        <f t="shared" si="137"/>
        <v>5.5</v>
      </c>
      <c r="G262" s="666">
        <f t="shared" si="137"/>
        <v>14.875</v>
      </c>
      <c r="H262" s="666">
        <f t="shared" si="137"/>
        <v>1.75</v>
      </c>
      <c r="I262" s="666">
        <f t="shared" si="137"/>
        <v>9.7916666666666661</v>
      </c>
      <c r="J262" s="666">
        <f t="shared" si="137"/>
        <v>13.916666666666666</v>
      </c>
      <c r="K262" s="666">
        <f t="shared" si="137"/>
        <v>8</v>
      </c>
      <c r="L262" s="562">
        <f t="shared" si="137"/>
        <v>8.75</v>
      </c>
      <c r="M262" s="562">
        <f t="shared" si="137"/>
        <v>12.458333333333334</v>
      </c>
      <c r="N262" s="562">
        <f t="shared" si="137"/>
        <v>13.666666666666666</v>
      </c>
      <c r="O262" s="530">
        <f>SUM(O261)/24</f>
        <v>105.54166666666667</v>
      </c>
      <c r="P262" s="531"/>
      <c r="Q262" s="531"/>
      <c r="R262" s="531"/>
      <c r="S262" s="531"/>
      <c r="T262" s="531"/>
      <c r="U262" s="531"/>
      <c r="V262" s="531"/>
      <c r="W262" s="531"/>
      <c r="X262" s="531"/>
      <c r="Y262" s="531"/>
      <c r="Z262" s="531"/>
      <c r="AA262" s="531"/>
      <c r="AB262" s="531"/>
      <c r="AC262" s="531"/>
      <c r="AD262" s="531"/>
      <c r="AE262" s="531"/>
      <c r="AF262" s="531"/>
      <c r="AG262" s="531"/>
      <c r="AH262" s="532"/>
      <c r="AI262" s="532"/>
      <c r="AJ262" s="532"/>
      <c r="AK262" s="532"/>
      <c r="AL262" s="532"/>
      <c r="AM262" s="532"/>
      <c r="AN262" s="532"/>
      <c r="AO262" s="532"/>
      <c r="AP262" s="532"/>
      <c r="AQ262" s="532"/>
      <c r="AR262" s="532"/>
      <c r="AS262" s="532"/>
      <c r="AT262" s="532"/>
      <c r="AU262" s="532"/>
      <c r="AV262" s="532"/>
      <c r="AW262" s="532"/>
      <c r="AX262" s="532"/>
      <c r="AY262" s="532"/>
      <c r="AZ262" s="532"/>
      <c r="BA262" s="532"/>
      <c r="BB262" s="532"/>
      <c r="BC262" s="532"/>
      <c r="BD262" s="532"/>
      <c r="BE262" s="532"/>
      <c r="BF262" s="532"/>
      <c r="BG262" s="532"/>
      <c r="BH262" s="532"/>
      <c r="BI262" s="532"/>
      <c r="BJ262" s="532"/>
      <c r="BK262" s="532"/>
      <c r="BL262" s="532"/>
      <c r="BM262" s="532"/>
      <c r="BN262" s="532"/>
      <c r="BO262" s="532"/>
      <c r="BP262" s="532"/>
      <c r="BQ262" s="532"/>
      <c r="BR262" s="532"/>
      <c r="BS262" s="532"/>
      <c r="BT262" s="532"/>
      <c r="BU262" s="532"/>
      <c r="BV262" s="532"/>
      <c r="BW262" s="532"/>
      <c r="BX262" s="532"/>
      <c r="BY262" s="532"/>
      <c r="BZ262" s="532"/>
      <c r="CA262" s="532"/>
      <c r="CB262" s="532"/>
      <c r="CC262" s="532"/>
      <c r="CD262" s="532"/>
      <c r="CE262" s="532"/>
      <c r="CF262" s="532"/>
      <c r="CG262" s="532"/>
      <c r="CH262" s="532"/>
      <c r="CI262" s="532"/>
      <c r="CJ262" s="532"/>
      <c r="CK262" s="532"/>
      <c r="CL262" s="532"/>
      <c r="CM262" s="532"/>
      <c r="CN262" s="532"/>
      <c r="CO262" s="532"/>
      <c r="CP262" s="532"/>
      <c r="CQ262" s="532"/>
      <c r="CR262" s="532"/>
      <c r="CS262" s="532"/>
      <c r="CT262" s="532"/>
      <c r="CU262" s="532"/>
      <c r="CV262" s="532"/>
      <c r="CW262" s="532"/>
      <c r="CX262" s="532"/>
      <c r="CY262" s="532"/>
      <c r="CZ262" s="532"/>
      <c r="DA262" s="532"/>
      <c r="DB262" s="532"/>
      <c r="DC262" s="532"/>
      <c r="DD262" s="532"/>
      <c r="DE262" s="532"/>
      <c r="DF262" s="532"/>
      <c r="DG262" s="532"/>
      <c r="DH262" s="532"/>
      <c r="DI262" s="532"/>
      <c r="DJ262" s="532"/>
      <c r="DK262" s="532"/>
      <c r="DL262" s="532"/>
      <c r="DM262" s="532"/>
      <c r="DN262" s="532"/>
      <c r="DO262" s="532"/>
      <c r="DP262" s="532"/>
      <c r="DQ262" s="532"/>
      <c r="DR262" s="532"/>
      <c r="DS262" s="532"/>
      <c r="DT262" s="532"/>
      <c r="DU262" s="532"/>
      <c r="DV262" s="532"/>
      <c r="DW262" s="532"/>
      <c r="DX262" s="532"/>
      <c r="DY262" s="532"/>
      <c r="DZ262" s="532"/>
      <c r="EA262" s="532"/>
      <c r="EB262" s="532"/>
      <c r="EC262" s="532"/>
      <c r="ED262" s="532"/>
      <c r="EE262" s="532"/>
      <c r="EF262" s="532"/>
      <c r="EG262" s="532"/>
      <c r="EH262" s="532"/>
      <c r="EI262" s="532"/>
      <c r="EJ262" s="532"/>
      <c r="EK262" s="532"/>
      <c r="EL262" s="532"/>
      <c r="EM262" s="532"/>
      <c r="EN262" s="532"/>
      <c r="EO262" s="532"/>
      <c r="EP262" s="532"/>
      <c r="EQ262" s="532"/>
      <c r="ER262" s="532"/>
      <c r="ES262" s="532"/>
      <c r="ET262" s="532"/>
      <c r="EU262" s="532"/>
      <c r="EV262" s="532"/>
      <c r="EW262" s="532"/>
      <c r="EX262" s="532"/>
      <c r="EY262" s="532"/>
      <c r="EZ262" s="532"/>
      <c r="FA262" s="532"/>
      <c r="FB262" s="532"/>
      <c r="FC262" s="532"/>
      <c r="FD262" s="532"/>
      <c r="FE262" s="532"/>
      <c r="FF262" s="532"/>
      <c r="FG262" s="532"/>
      <c r="FH262" s="532"/>
      <c r="FI262" s="532"/>
      <c r="FJ262" s="532"/>
      <c r="FK262" s="532"/>
      <c r="FL262" s="532"/>
      <c r="FM262" s="532"/>
      <c r="FN262" s="532"/>
      <c r="FO262" s="532"/>
      <c r="FP262" s="532"/>
    </row>
    <row r="263" spans="1:172" ht="12" customHeight="1" x14ac:dyDescent="0.2">
      <c r="A263" s="533"/>
      <c r="B263" s="534"/>
      <c r="C263" s="534"/>
      <c r="D263" s="534"/>
      <c r="E263" s="534"/>
      <c r="F263" s="534"/>
      <c r="G263" s="534"/>
      <c r="H263" s="534"/>
      <c r="I263" s="534"/>
      <c r="J263" s="534"/>
      <c r="K263" s="658"/>
      <c r="L263" s="562"/>
      <c r="M263" s="562"/>
      <c r="N263" s="562"/>
      <c r="O263" s="530"/>
      <c r="P263" s="531"/>
      <c r="Q263" s="531"/>
      <c r="R263" s="531"/>
      <c r="S263" s="531"/>
      <c r="T263" s="531"/>
      <c r="U263" s="531"/>
      <c r="V263" s="531"/>
      <c r="W263" s="531"/>
      <c r="X263" s="531"/>
      <c r="Y263" s="531"/>
      <c r="Z263" s="531"/>
      <c r="AA263" s="531"/>
      <c r="AB263" s="531"/>
      <c r="AC263" s="531"/>
      <c r="AD263" s="531"/>
      <c r="AE263" s="531"/>
      <c r="AF263" s="531"/>
      <c r="AG263" s="531"/>
      <c r="AH263" s="532"/>
      <c r="AI263" s="532"/>
      <c r="AJ263" s="532"/>
      <c r="AK263" s="532"/>
      <c r="AL263" s="532"/>
      <c r="AM263" s="532"/>
      <c r="AN263" s="532"/>
      <c r="AO263" s="532"/>
      <c r="AP263" s="532"/>
      <c r="AQ263" s="532"/>
      <c r="AR263" s="532"/>
      <c r="AS263" s="532"/>
      <c r="AT263" s="532"/>
      <c r="AU263" s="532"/>
      <c r="AV263" s="532"/>
      <c r="AW263" s="532"/>
      <c r="AX263" s="532"/>
      <c r="AY263" s="532"/>
      <c r="AZ263" s="532"/>
      <c r="BA263" s="532"/>
      <c r="BB263" s="532"/>
      <c r="BC263" s="532"/>
      <c r="BD263" s="532"/>
      <c r="BE263" s="532"/>
      <c r="BF263" s="532"/>
      <c r="BG263" s="532"/>
      <c r="BH263" s="532"/>
      <c r="BI263" s="532"/>
      <c r="BJ263" s="532"/>
      <c r="BK263" s="532"/>
      <c r="BL263" s="532"/>
      <c r="BM263" s="532"/>
      <c r="BN263" s="532"/>
      <c r="BO263" s="532"/>
      <c r="BP263" s="532"/>
      <c r="BQ263" s="532"/>
      <c r="BR263" s="532"/>
      <c r="BS263" s="532"/>
      <c r="BT263" s="532"/>
      <c r="BU263" s="532"/>
      <c r="BV263" s="532"/>
      <c r="BW263" s="532"/>
      <c r="BX263" s="532"/>
      <c r="BY263" s="532"/>
      <c r="BZ263" s="532"/>
      <c r="CA263" s="532"/>
      <c r="CB263" s="532"/>
      <c r="CC263" s="532"/>
      <c r="CD263" s="532"/>
      <c r="CE263" s="532"/>
      <c r="CF263" s="532"/>
      <c r="CG263" s="532"/>
      <c r="CH263" s="532"/>
      <c r="CI263" s="532"/>
      <c r="CJ263" s="532"/>
      <c r="CK263" s="532"/>
      <c r="CL263" s="532"/>
      <c r="CM263" s="532"/>
      <c r="CN263" s="532"/>
      <c r="CO263" s="532"/>
      <c r="CP263" s="532"/>
      <c r="CQ263" s="532"/>
      <c r="CR263" s="532"/>
      <c r="CS263" s="532"/>
      <c r="CT263" s="532"/>
      <c r="CU263" s="532"/>
      <c r="CV263" s="532"/>
      <c r="CW263" s="532"/>
      <c r="CX263" s="532"/>
      <c r="CY263" s="532"/>
      <c r="CZ263" s="532"/>
      <c r="DA263" s="532"/>
      <c r="DB263" s="532"/>
      <c r="DC263" s="532"/>
      <c r="DD263" s="532"/>
      <c r="DE263" s="532"/>
      <c r="DF263" s="532"/>
      <c r="DG263" s="532"/>
      <c r="DH263" s="532"/>
      <c r="DI263" s="532"/>
      <c r="DJ263" s="532"/>
      <c r="DK263" s="532"/>
      <c r="DL263" s="532"/>
      <c r="DM263" s="532"/>
      <c r="DN263" s="532"/>
      <c r="DO263" s="532"/>
      <c r="DP263" s="532"/>
      <c r="DQ263" s="532"/>
      <c r="DR263" s="532"/>
      <c r="DS263" s="532"/>
      <c r="DT263" s="532"/>
      <c r="DU263" s="532"/>
      <c r="DV263" s="532"/>
      <c r="DW263" s="532"/>
      <c r="DX263" s="532"/>
      <c r="DY263" s="532"/>
      <c r="DZ263" s="532"/>
      <c r="EA263" s="532"/>
      <c r="EB263" s="532"/>
      <c r="EC263" s="532"/>
      <c r="ED263" s="532"/>
      <c r="EE263" s="532"/>
      <c r="EF263" s="532"/>
      <c r="EG263" s="532"/>
      <c r="EH263" s="532"/>
      <c r="EI263" s="532"/>
      <c r="EJ263" s="532"/>
      <c r="EK263" s="532"/>
      <c r="EL263" s="532"/>
      <c r="EM263" s="532"/>
      <c r="EN263" s="532"/>
      <c r="EO263" s="532"/>
      <c r="EP263" s="532"/>
      <c r="EQ263" s="532"/>
      <c r="ER263" s="532"/>
      <c r="ES263" s="532"/>
      <c r="ET263" s="532"/>
      <c r="EU263" s="532"/>
      <c r="EV263" s="532"/>
      <c r="EW263" s="532"/>
      <c r="EX263" s="532"/>
      <c r="EY263" s="532"/>
      <c r="EZ263" s="532"/>
      <c r="FA263" s="532"/>
      <c r="FB263" s="532"/>
      <c r="FC263" s="532"/>
      <c r="FD263" s="532"/>
      <c r="FE263" s="532"/>
      <c r="FF263" s="532"/>
      <c r="FG263" s="532"/>
      <c r="FH263" s="532"/>
      <c r="FI263" s="532"/>
      <c r="FJ263" s="532"/>
      <c r="FK263" s="532"/>
      <c r="FL263" s="532"/>
      <c r="FM263" s="532"/>
      <c r="FN263" s="532"/>
      <c r="FO263" s="532"/>
      <c r="FP263" s="532"/>
    </row>
    <row r="264" spans="1:172" ht="12" customHeight="1" x14ac:dyDescent="0.2">
      <c r="A264" s="533" t="s">
        <v>148</v>
      </c>
      <c r="B264" s="534"/>
      <c r="C264" s="534"/>
      <c r="D264" s="534"/>
      <c r="E264" s="534"/>
      <c r="F264" s="534"/>
      <c r="G264" s="534"/>
      <c r="H264" s="534"/>
      <c r="I264" s="534"/>
      <c r="J264" s="534"/>
      <c r="K264" s="658"/>
      <c r="L264" s="562"/>
      <c r="M264" s="562"/>
      <c r="N264" s="562"/>
      <c r="O264" s="530"/>
      <c r="P264" s="531"/>
      <c r="Q264" s="531"/>
      <c r="R264" s="531"/>
      <c r="S264" s="531"/>
      <c r="T264" s="531"/>
      <c r="U264" s="531"/>
      <c r="V264" s="531"/>
      <c r="W264" s="531"/>
      <c r="X264" s="531"/>
      <c r="Y264" s="531"/>
      <c r="Z264" s="531"/>
      <c r="AA264" s="531"/>
      <c r="AB264" s="531"/>
      <c r="AC264" s="531"/>
      <c r="AD264" s="531"/>
      <c r="AE264" s="531"/>
      <c r="AF264" s="531"/>
      <c r="AG264" s="531"/>
      <c r="AH264" s="532"/>
      <c r="AI264" s="532"/>
      <c r="AJ264" s="532"/>
      <c r="AK264" s="532"/>
      <c r="AL264" s="532"/>
      <c r="AM264" s="532"/>
      <c r="AN264" s="532"/>
      <c r="AO264" s="532"/>
      <c r="AP264" s="532"/>
      <c r="AQ264" s="532"/>
      <c r="AR264" s="532"/>
      <c r="AS264" s="532"/>
      <c r="AT264" s="532"/>
      <c r="AU264" s="532"/>
      <c r="AV264" s="532"/>
      <c r="AW264" s="532"/>
      <c r="AX264" s="532"/>
      <c r="AY264" s="532"/>
      <c r="AZ264" s="532"/>
      <c r="BA264" s="532"/>
      <c r="BB264" s="532"/>
      <c r="BC264" s="532"/>
      <c r="BD264" s="532"/>
      <c r="BE264" s="532"/>
      <c r="BF264" s="532"/>
      <c r="BG264" s="532"/>
      <c r="BH264" s="532"/>
      <c r="BI264" s="532"/>
      <c r="BJ264" s="532"/>
      <c r="BK264" s="532"/>
      <c r="BL264" s="532"/>
      <c r="BM264" s="532"/>
      <c r="BN264" s="532"/>
      <c r="BO264" s="532"/>
      <c r="BP264" s="532"/>
      <c r="BQ264" s="532"/>
      <c r="BR264" s="532"/>
      <c r="BS264" s="532"/>
      <c r="BT264" s="532"/>
      <c r="BU264" s="532"/>
      <c r="BV264" s="532"/>
      <c r="BW264" s="532"/>
      <c r="BX264" s="532"/>
      <c r="BY264" s="532"/>
      <c r="BZ264" s="532"/>
      <c r="CA264" s="532"/>
      <c r="CB264" s="532"/>
      <c r="CC264" s="532"/>
      <c r="CD264" s="532"/>
      <c r="CE264" s="532"/>
      <c r="CF264" s="532"/>
      <c r="CG264" s="532"/>
      <c r="CH264" s="532"/>
      <c r="CI264" s="532"/>
      <c r="CJ264" s="532"/>
      <c r="CK264" s="532"/>
      <c r="CL264" s="532"/>
      <c r="CM264" s="532"/>
      <c r="CN264" s="532"/>
      <c r="CO264" s="532"/>
      <c r="CP264" s="532"/>
      <c r="CQ264" s="532"/>
      <c r="CR264" s="532"/>
      <c r="CS264" s="532"/>
      <c r="CT264" s="532"/>
      <c r="CU264" s="532"/>
      <c r="CV264" s="532"/>
      <c r="CW264" s="532"/>
      <c r="CX264" s="532"/>
      <c r="CY264" s="532"/>
      <c r="CZ264" s="532"/>
      <c r="DA264" s="532"/>
      <c r="DB264" s="532"/>
      <c r="DC264" s="532"/>
      <c r="DD264" s="532"/>
      <c r="DE264" s="532"/>
      <c r="DF264" s="532"/>
      <c r="DG264" s="532"/>
      <c r="DH264" s="532"/>
      <c r="DI264" s="532"/>
      <c r="DJ264" s="532"/>
      <c r="DK264" s="532"/>
      <c r="DL264" s="532"/>
      <c r="DM264" s="532"/>
      <c r="DN264" s="532"/>
      <c r="DO264" s="532"/>
      <c r="DP264" s="532"/>
      <c r="DQ264" s="532"/>
      <c r="DR264" s="532"/>
      <c r="DS264" s="532"/>
      <c r="DT264" s="532"/>
      <c r="DU264" s="532"/>
      <c r="DV264" s="532"/>
      <c r="DW264" s="532"/>
      <c r="DX264" s="532"/>
      <c r="DY264" s="532"/>
      <c r="DZ264" s="532"/>
      <c r="EA264" s="532"/>
      <c r="EB264" s="532"/>
      <c r="EC264" s="532"/>
      <c r="ED264" s="532"/>
      <c r="EE264" s="532"/>
      <c r="EF264" s="532"/>
      <c r="EG264" s="532"/>
      <c r="EH264" s="532"/>
      <c r="EI264" s="532"/>
      <c r="EJ264" s="532"/>
      <c r="EK264" s="532"/>
      <c r="EL264" s="532"/>
      <c r="EM264" s="532"/>
      <c r="EN264" s="532"/>
      <c r="EO264" s="532"/>
      <c r="EP264" s="532"/>
      <c r="EQ264" s="532"/>
      <c r="ER264" s="532"/>
      <c r="ES264" s="532"/>
      <c r="ET264" s="532"/>
      <c r="EU264" s="532"/>
      <c r="EV264" s="532"/>
      <c r="EW264" s="532"/>
      <c r="EX264" s="532"/>
      <c r="EY264" s="532"/>
      <c r="EZ264" s="532"/>
      <c r="FA264" s="532"/>
      <c r="FB264" s="532"/>
      <c r="FC264" s="532"/>
      <c r="FD264" s="532"/>
      <c r="FE264" s="532"/>
      <c r="FF264" s="532"/>
      <c r="FG264" s="532"/>
      <c r="FH264" s="532"/>
      <c r="FI264" s="532"/>
      <c r="FJ264" s="532"/>
      <c r="FK264" s="532"/>
      <c r="FL264" s="532"/>
      <c r="FM264" s="532"/>
      <c r="FN264" s="532"/>
      <c r="FO264" s="532"/>
      <c r="FP264" s="532"/>
    </row>
    <row r="265" spans="1:172" ht="12" customHeight="1" x14ac:dyDescent="0.2">
      <c r="A265" s="533" t="s">
        <v>107</v>
      </c>
      <c r="B265" s="534" t="s">
        <v>139</v>
      </c>
      <c r="C265" s="208">
        <v>2</v>
      </c>
      <c r="D265" s="208">
        <v>0</v>
      </c>
      <c r="E265" s="208">
        <v>1</v>
      </c>
      <c r="F265" s="208">
        <v>0</v>
      </c>
      <c r="G265" s="208">
        <v>1</v>
      </c>
      <c r="H265" s="208">
        <v>1</v>
      </c>
      <c r="I265" s="208">
        <v>5</v>
      </c>
      <c r="J265" s="208">
        <v>5</v>
      </c>
      <c r="K265" s="208">
        <v>3</v>
      </c>
      <c r="L265" s="562">
        <v>3</v>
      </c>
      <c r="M265" s="562">
        <v>3</v>
      </c>
      <c r="N265" s="562">
        <v>2</v>
      </c>
      <c r="O265" s="530">
        <f t="shared" ref="O265:O270" si="138">SUM(C265:N265)</f>
        <v>26</v>
      </c>
      <c r="P265" s="531"/>
      <c r="Q265" s="531"/>
      <c r="R265" s="531"/>
      <c r="S265" s="531"/>
      <c r="T265" s="531"/>
      <c r="U265" s="531"/>
      <c r="V265" s="531"/>
      <c r="W265" s="531"/>
      <c r="X265" s="531"/>
      <c r="Y265" s="531"/>
      <c r="Z265" s="531"/>
      <c r="AA265" s="531"/>
      <c r="AB265" s="531"/>
      <c r="AC265" s="531"/>
      <c r="AD265" s="531"/>
      <c r="AE265" s="531"/>
      <c r="AF265" s="531"/>
      <c r="AG265" s="531"/>
      <c r="AH265" s="532"/>
      <c r="AI265" s="532"/>
      <c r="AJ265" s="532"/>
      <c r="AK265" s="532"/>
      <c r="AL265" s="532"/>
      <c r="AM265" s="532"/>
      <c r="AN265" s="532"/>
      <c r="AO265" s="532"/>
      <c r="AP265" s="532"/>
      <c r="AQ265" s="532"/>
      <c r="AR265" s="532"/>
      <c r="AS265" s="532"/>
      <c r="AT265" s="532"/>
      <c r="AU265" s="532"/>
      <c r="AV265" s="532"/>
      <c r="AW265" s="532"/>
      <c r="AX265" s="532"/>
      <c r="AY265" s="532"/>
      <c r="AZ265" s="532"/>
      <c r="BA265" s="532"/>
      <c r="BB265" s="532"/>
      <c r="BC265" s="532"/>
      <c r="BD265" s="532"/>
      <c r="BE265" s="532"/>
      <c r="BF265" s="532"/>
      <c r="BG265" s="532"/>
      <c r="BH265" s="532"/>
      <c r="BI265" s="532"/>
      <c r="BJ265" s="532"/>
      <c r="BK265" s="532"/>
      <c r="BL265" s="532"/>
      <c r="BM265" s="532"/>
      <c r="BN265" s="532"/>
      <c r="BO265" s="532"/>
      <c r="BP265" s="532"/>
      <c r="BQ265" s="532"/>
      <c r="BR265" s="532"/>
      <c r="BS265" s="532"/>
      <c r="BT265" s="532"/>
      <c r="BU265" s="532"/>
      <c r="BV265" s="532"/>
      <c r="BW265" s="532"/>
      <c r="BX265" s="532"/>
      <c r="BY265" s="532"/>
      <c r="BZ265" s="532"/>
      <c r="CA265" s="532"/>
      <c r="CB265" s="532"/>
      <c r="CC265" s="532"/>
      <c r="CD265" s="532"/>
      <c r="CE265" s="532"/>
      <c r="CF265" s="532"/>
      <c r="CG265" s="532"/>
      <c r="CH265" s="532"/>
      <c r="CI265" s="532"/>
      <c r="CJ265" s="532"/>
      <c r="CK265" s="532"/>
      <c r="CL265" s="532"/>
      <c r="CM265" s="532"/>
      <c r="CN265" s="532"/>
      <c r="CO265" s="532"/>
      <c r="CP265" s="532"/>
      <c r="CQ265" s="532"/>
      <c r="CR265" s="532"/>
      <c r="CS265" s="532"/>
      <c r="CT265" s="532"/>
      <c r="CU265" s="532"/>
      <c r="CV265" s="532"/>
      <c r="CW265" s="532"/>
      <c r="CX265" s="532"/>
      <c r="CY265" s="532"/>
      <c r="CZ265" s="532"/>
      <c r="DA265" s="532"/>
      <c r="DB265" s="532"/>
      <c r="DC265" s="532"/>
      <c r="DD265" s="532"/>
      <c r="DE265" s="532"/>
      <c r="DF265" s="532"/>
      <c r="DG265" s="532"/>
      <c r="DH265" s="532"/>
      <c r="DI265" s="532"/>
      <c r="DJ265" s="532"/>
      <c r="DK265" s="532"/>
      <c r="DL265" s="532"/>
      <c r="DM265" s="532"/>
      <c r="DN265" s="532"/>
      <c r="DO265" s="532"/>
      <c r="DP265" s="532"/>
      <c r="DQ265" s="532"/>
      <c r="DR265" s="532"/>
      <c r="DS265" s="532"/>
      <c r="DT265" s="532"/>
      <c r="DU265" s="532"/>
      <c r="DV265" s="532"/>
      <c r="DW265" s="532"/>
      <c r="DX265" s="532"/>
      <c r="DY265" s="532"/>
      <c r="DZ265" s="532"/>
      <c r="EA265" s="532"/>
      <c r="EB265" s="532"/>
      <c r="EC265" s="532"/>
      <c r="ED265" s="532"/>
      <c r="EE265" s="532"/>
      <c r="EF265" s="532"/>
      <c r="EG265" s="532"/>
      <c r="EH265" s="532"/>
      <c r="EI265" s="532"/>
      <c r="EJ265" s="532"/>
      <c r="EK265" s="532"/>
      <c r="EL265" s="532"/>
      <c r="EM265" s="532"/>
      <c r="EN265" s="532"/>
      <c r="EO265" s="532"/>
      <c r="EP265" s="532"/>
      <c r="EQ265" s="532"/>
      <c r="ER265" s="532"/>
      <c r="ES265" s="532"/>
      <c r="ET265" s="532"/>
      <c r="EU265" s="532"/>
      <c r="EV265" s="532"/>
      <c r="EW265" s="532"/>
      <c r="EX265" s="532"/>
      <c r="EY265" s="532"/>
      <c r="EZ265" s="532"/>
      <c r="FA265" s="532"/>
      <c r="FB265" s="532"/>
      <c r="FC265" s="532"/>
      <c r="FD265" s="532"/>
      <c r="FE265" s="532"/>
      <c r="FF265" s="532"/>
      <c r="FG265" s="532"/>
      <c r="FH265" s="532"/>
      <c r="FI265" s="532"/>
      <c r="FJ265" s="532"/>
      <c r="FK265" s="532"/>
      <c r="FL265" s="532"/>
      <c r="FM265" s="532"/>
      <c r="FN265" s="532"/>
      <c r="FO265" s="532"/>
      <c r="FP265" s="532"/>
    </row>
    <row r="266" spans="1:172" ht="12" customHeight="1" x14ac:dyDescent="0.2">
      <c r="A266" s="533" t="s">
        <v>99</v>
      </c>
      <c r="B266" s="534" t="s">
        <v>139</v>
      </c>
      <c r="C266" s="208">
        <v>0</v>
      </c>
      <c r="D266" s="208">
        <v>1</v>
      </c>
      <c r="E266" s="208">
        <v>0</v>
      </c>
      <c r="F266" s="208">
        <v>0</v>
      </c>
      <c r="G266" s="208">
        <v>0</v>
      </c>
      <c r="H266" s="208">
        <v>1</v>
      </c>
      <c r="I266" s="208">
        <v>0</v>
      </c>
      <c r="J266" s="208">
        <v>0</v>
      </c>
      <c r="K266" s="208">
        <v>0</v>
      </c>
      <c r="L266" s="562">
        <v>0</v>
      </c>
      <c r="M266" s="562">
        <v>0</v>
      </c>
      <c r="N266" s="562">
        <v>0</v>
      </c>
      <c r="O266" s="530">
        <f t="shared" si="138"/>
        <v>2</v>
      </c>
      <c r="P266" s="531"/>
      <c r="Q266" s="531"/>
      <c r="R266" s="531"/>
      <c r="S266" s="531"/>
      <c r="T266" s="531"/>
      <c r="U266" s="531"/>
      <c r="V266" s="531"/>
      <c r="W266" s="531"/>
      <c r="X266" s="531"/>
      <c r="Y266" s="531"/>
      <c r="Z266" s="531"/>
      <c r="AA266" s="531"/>
      <c r="AB266" s="531"/>
      <c r="AC266" s="531"/>
      <c r="AD266" s="531"/>
      <c r="AE266" s="531"/>
      <c r="AF266" s="531"/>
      <c r="AG266" s="531"/>
      <c r="AH266" s="532"/>
      <c r="AI266" s="532"/>
      <c r="AJ266" s="532"/>
      <c r="AK266" s="532"/>
      <c r="AL266" s="532"/>
      <c r="AM266" s="532"/>
      <c r="AN266" s="532"/>
      <c r="AO266" s="532"/>
      <c r="AP266" s="532"/>
      <c r="AQ266" s="532"/>
      <c r="AR266" s="532"/>
      <c r="AS266" s="532"/>
      <c r="AT266" s="532"/>
      <c r="AU266" s="532"/>
      <c r="AV266" s="532"/>
      <c r="AW266" s="532"/>
      <c r="AX266" s="532"/>
      <c r="AY266" s="532"/>
      <c r="AZ266" s="532"/>
      <c r="BA266" s="532"/>
      <c r="BB266" s="532"/>
      <c r="BC266" s="532"/>
      <c r="BD266" s="532"/>
      <c r="BE266" s="532"/>
      <c r="BF266" s="532"/>
      <c r="BG266" s="532"/>
      <c r="BH266" s="532"/>
      <c r="BI266" s="532"/>
      <c r="BJ266" s="532"/>
      <c r="BK266" s="532"/>
      <c r="BL266" s="532"/>
      <c r="BM266" s="532"/>
      <c r="BN266" s="532"/>
      <c r="BO266" s="532"/>
      <c r="BP266" s="532"/>
      <c r="BQ266" s="532"/>
      <c r="BR266" s="532"/>
      <c r="BS266" s="532"/>
      <c r="BT266" s="532"/>
      <c r="BU266" s="532"/>
      <c r="BV266" s="532"/>
      <c r="BW266" s="532"/>
      <c r="BX266" s="532"/>
      <c r="BY266" s="532"/>
      <c r="BZ266" s="532"/>
      <c r="CA266" s="532"/>
      <c r="CB266" s="532"/>
      <c r="CC266" s="532"/>
      <c r="CD266" s="532"/>
      <c r="CE266" s="532"/>
      <c r="CF266" s="532"/>
      <c r="CG266" s="532"/>
      <c r="CH266" s="532"/>
      <c r="CI266" s="532"/>
      <c r="CJ266" s="532"/>
      <c r="CK266" s="532"/>
      <c r="CL266" s="532"/>
      <c r="CM266" s="532"/>
      <c r="CN266" s="532"/>
      <c r="CO266" s="532"/>
      <c r="CP266" s="532"/>
      <c r="CQ266" s="532"/>
      <c r="CR266" s="532"/>
      <c r="CS266" s="532"/>
      <c r="CT266" s="532"/>
      <c r="CU266" s="532"/>
      <c r="CV266" s="532"/>
      <c r="CW266" s="532"/>
      <c r="CX266" s="532"/>
      <c r="CY266" s="532"/>
      <c r="CZ266" s="532"/>
      <c r="DA266" s="532"/>
      <c r="DB266" s="532"/>
      <c r="DC266" s="532"/>
      <c r="DD266" s="532"/>
      <c r="DE266" s="532"/>
      <c r="DF266" s="532"/>
      <c r="DG266" s="532"/>
      <c r="DH266" s="532"/>
      <c r="DI266" s="532"/>
      <c r="DJ266" s="532"/>
      <c r="DK266" s="532"/>
      <c r="DL266" s="532"/>
      <c r="DM266" s="532"/>
      <c r="DN266" s="532"/>
      <c r="DO266" s="532"/>
      <c r="DP266" s="532"/>
      <c r="DQ266" s="532"/>
      <c r="DR266" s="532"/>
      <c r="DS266" s="532"/>
      <c r="DT266" s="532"/>
      <c r="DU266" s="532"/>
      <c r="DV266" s="532"/>
      <c r="DW266" s="532"/>
      <c r="DX266" s="532"/>
      <c r="DY266" s="532"/>
      <c r="DZ266" s="532"/>
      <c r="EA266" s="532"/>
      <c r="EB266" s="532"/>
      <c r="EC266" s="532"/>
      <c r="ED266" s="532"/>
      <c r="EE266" s="532"/>
      <c r="EF266" s="532"/>
      <c r="EG266" s="532"/>
      <c r="EH266" s="532"/>
      <c r="EI266" s="532"/>
      <c r="EJ266" s="532"/>
      <c r="EK266" s="532"/>
      <c r="EL266" s="532"/>
      <c r="EM266" s="532"/>
      <c r="EN266" s="532"/>
      <c r="EO266" s="532"/>
      <c r="EP266" s="532"/>
      <c r="EQ266" s="532"/>
      <c r="ER266" s="532"/>
      <c r="ES266" s="532"/>
      <c r="ET266" s="532"/>
      <c r="EU266" s="532"/>
      <c r="EV266" s="532"/>
      <c r="EW266" s="532"/>
      <c r="EX266" s="532"/>
      <c r="EY266" s="532"/>
      <c r="EZ266" s="532"/>
      <c r="FA266" s="532"/>
      <c r="FB266" s="532"/>
      <c r="FC266" s="532"/>
      <c r="FD266" s="532"/>
      <c r="FE266" s="532"/>
      <c r="FF266" s="532"/>
      <c r="FG266" s="532"/>
      <c r="FH266" s="532"/>
      <c r="FI266" s="532"/>
      <c r="FJ266" s="532"/>
      <c r="FK266" s="532"/>
      <c r="FL266" s="532"/>
      <c r="FM266" s="532"/>
      <c r="FN266" s="532"/>
      <c r="FO266" s="532"/>
      <c r="FP266" s="532"/>
    </row>
    <row r="267" spans="1:172" ht="12" customHeight="1" x14ac:dyDescent="0.2">
      <c r="A267" s="533" t="s">
        <v>108</v>
      </c>
      <c r="B267" s="534" t="s">
        <v>139</v>
      </c>
      <c r="C267" s="208">
        <v>0</v>
      </c>
      <c r="D267" s="208">
        <v>0</v>
      </c>
      <c r="E267" s="208">
        <v>0</v>
      </c>
      <c r="F267" s="208">
        <v>0</v>
      </c>
      <c r="G267" s="208">
        <v>0</v>
      </c>
      <c r="H267" s="208">
        <v>0</v>
      </c>
      <c r="I267" s="208">
        <v>0</v>
      </c>
      <c r="J267" s="208">
        <v>0</v>
      </c>
      <c r="K267" s="208">
        <v>0</v>
      </c>
      <c r="L267" s="562">
        <v>0</v>
      </c>
      <c r="M267" s="562">
        <v>0</v>
      </c>
      <c r="N267" s="562">
        <v>0</v>
      </c>
      <c r="O267" s="530">
        <f t="shared" si="138"/>
        <v>0</v>
      </c>
      <c r="P267" s="531"/>
      <c r="Q267" s="531"/>
      <c r="R267" s="531"/>
      <c r="S267" s="531"/>
      <c r="T267" s="531"/>
      <c r="U267" s="531"/>
      <c r="V267" s="531"/>
      <c r="W267" s="531"/>
      <c r="X267" s="531"/>
      <c r="Y267" s="531"/>
      <c r="Z267" s="531"/>
      <c r="AA267" s="531"/>
      <c r="AB267" s="531"/>
      <c r="AC267" s="531"/>
      <c r="AD267" s="531"/>
      <c r="AE267" s="531"/>
      <c r="AF267" s="531"/>
      <c r="AG267" s="531"/>
      <c r="AH267" s="532"/>
      <c r="AI267" s="532"/>
      <c r="AJ267" s="532"/>
      <c r="AK267" s="532"/>
      <c r="AL267" s="532"/>
      <c r="AM267" s="532"/>
      <c r="AN267" s="532"/>
      <c r="AO267" s="532"/>
      <c r="AP267" s="532"/>
      <c r="AQ267" s="532"/>
      <c r="AR267" s="532"/>
      <c r="AS267" s="532"/>
      <c r="AT267" s="532"/>
      <c r="AU267" s="532"/>
      <c r="AV267" s="532"/>
      <c r="AW267" s="532"/>
      <c r="AX267" s="532"/>
      <c r="AY267" s="532"/>
      <c r="AZ267" s="532"/>
      <c r="BA267" s="532"/>
      <c r="BB267" s="532"/>
      <c r="BC267" s="532"/>
      <c r="BD267" s="532"/>
      <c r="BE267" s="532"/>
      <c r="BF267" s="532"/>
      <c r="BG267" s="532"/>
      <c r="BH267" s="532"/>
      <c r="BI267" s="532"/>
      <c r="BJ267" s="532"/>
      <c r="BK267" s="532"/>
      <c r="BL267" s="532"/>
      <c r="BM267" s="532"/>
      <c r="BN267" s="532"/>
      <c r="BO267" s="532"/>
      <c r="BP267" s="532"/>
      <c r="BQ267" s="532"/>
      <c r="BR267" s="532"/>
      <c r="BS267" s="532"/>
      <c r="BT267" s="532"/>
      <c r="BU267" s="532"/>
      <c r="BV267" s="532"/>
      <c r="BW267" s="532"/>
      <c r="BX267" s="532"/>
      <c r="BY267" s="532"/>
      <c r="BZ267" s="532"/>
      <c r="CA267" s="532"/>
      <c r="CB267" s="532"/>
      <c r="CC267" s="532"/>
      <c r="CD267" s="532"/>
      <c r="CE267" s="532"/>
      <c r="CF267" s="532"/>
      <c r="CG267" s="532"/>
      <c r="CH267" s="532"/>
      <c r="CI267" s="532"/>
      <c r="CJ267" s="532"/>
      <c r="CK267" s="532"/>
      <c r="CL267" s="532"/>
      <c r="CM267" s="532"/>
      <c r="CN267" s="532"/>
      <c r="CO267" s="532"/>
      <c r="CP267" s="532"/>
      <c r="CQ267" s="532"/>
      <c r="CR267" s="532"/>
      <c r="CS267" s="532"/>
      <c r="CT267" s="532"/>
      <c r="CU267" s="532"/>
      <c r="CV267" s="532"/>
      <c r="CW267" s="532"/>
      <c r="CX267" s="532"/>
      <c r="CY267" s="532"/>
      <c r="CZ267" s="532"/>
      <c r="DA267" s="532"/>
      <c r="DB267" s="532"/>
      <c r="DC267" s="532"/>
      <c r="DD267" s="532"/>
      <c r="DE267" s="532"/>
      <c r="DF267" s="532"/>
      <c r="DG267" s="532"/>
      <c r="DH267" s="532"/>
      <c r="DI267" s="532"/>
      <c r="DJ267" s="532"/>
      <c r="DK267" s="532"/>
      <c r="DL267" s="532"/>
      <c r="DM267" s="532"/>
      <c r="DN267" s="532"/>
      <c r="DO267" s="532"/>
      <c r="DP267" s="532"/>
      <c r="DQ267" s="532"/>
      <c r="DR267" s="532"/>
      <c r="DS267" s="532"/>
      <c r="DT267" s="532"/>
      <c r="DU267" s="532"/>
      <c r="DV267" s="532"/>
      <c r="DW267" s="532"/>
      <c r="DX267" s="532"/>
      <c r="DY267" s="532"/>
      <c r="DZ267" s="532"/>
      <c r="EA267" s="532"/>
      <c r="EB267" s="532"/>
      <c r="EC267" s="532"/>
      <c r="ED267" s="532"/>
      <c r="EE267" s="532"/>
      <c r="EF267" s="532"/>
      <c r="EG267" s="532"/>
      <c r="EH267" s="532"/>
      <c r="EI267" s="532"/>
      <c r="EJ267" s="532"/>
      <c r="EK267" s="532"/>
      <c r="EL267" s="532"/>
      <c r="EM267" s="532"/>
      <c r="EN267" s="532"/>
      <c r="EO267" s="532"/>
      <c r="EP267" s="532"/>
      <c r="EQ267" s="532"/>
      <c r="ER267" s="532"/>
      <c r="ES267" s="532"/>
      <c r="ET267" s="532"/>
      <c r="EU267" s="532"/>
      <c r="EV267" s="532"/>
      <c r="EW267" s="532"/>
      <c r="EX267" s="532"/>
      <c r="EY267" s="532"/>
      <c r="EZ267" s="532"/>
      <c r="FA267" s="532"/>
      <c r="FB267" s="532"/>
      <c r="FC267" s="532"/>
      <c r="FD267" s="532"/>
      <c r="FE267" s="532"/>
      <c r="FF267" s="532"/>
      <c r="FG267" s="532"/>
      <c r="FH267" s="532"/>
      <c r="FI267" s="532"/>
      <c r="FJ267" s="532"/>
      <c r="FK267" s="532"/>
      <c r="FL267" s="532"/>
      <c r="FM267" s="532"/>
      <c r="FN267" s="532"/>
      <c r="FO267" s="532"/>
      <c r="FP267" s="532"/>
    </row>
    <row r="268" spans="1:172" ht="12" customHeight="1" x14ac:dyDescent="0.2">
      <c r="A268" s="533" t="s">
        <v>109</v>
      </c>
      <c r="B268" s="534" t="s">
        <v>139</v>
      </c>
      <c r="C268" s="208">
        <v>0</v>
      </c>
      <c r="D268" s="208">
        <v>0</v>
      </c>
      <c r="E268" s="208">
        <v>0</v>
      </c>
      <c r="F268" s="208">
        <v>1</v>
      </c>
      <c r="G268" s="208">
        <v>0</v>
      </c>
      <c r="H268" s="208">
        <v>0</v>
      </c>
      <c r="I268" s="208">
        <v>0</v>
      </c>
      <c r="J268" s="208">
        <v>1</v>
      </c>
      <c r="K268" s="208">
        <v>1</v>
      </c>
      <c r="L268" s="562">
        <v>0</v>
      </c>
      <c r="M268" s="562">
        <v>0</v>
      </c>
      <c r="N268" s="562">
        <v>0</v>
      </c>
      <c r="O268" s="530">
        <f t="shared" si="138"/>
        <v>3</v>
      </c>
      <c r="P268" s="531"/>
      <c r="Q268" s="531"/>
      <c r="R268" s="531"/>
      <c r="S268" s="531"/>
      <c r="T268" s="531"/>
      <c r="U268" s="531"/>
      <c r="V268" s="531"/>
      <c r="W268" s="531"/>
      <c r="X268" s="531"/>
      <c r="Y268" s="531"/>
      <c r="Z268" s="531"/>
      <c r="AA268" s="531"/>
      <c r="AB268" s="531"/>
      <c r="AC268" s="531"/>
      <c r="AD268" s="531"/>
      <c r="AE268" s="531"/>
      <c r="AF268" s="531"/>
      <c r="AG268" s="531"/>
      <c r="AH268" s="532"/>
      <c r="AI268" s="532"/>
      <c r="AJ268" s="532"/>
      <c r="AK268" s="532"/>
      <c r="AL268" s="532"/>
      <c r="AM268" s="532"/>
      <c r="AN268" s="532"/>
      <c r="AO268" s="532"/>
      <c r="AP268" s="532"/>
      <c r="AQ268" s="532"/>
      <c r="AR268" s="532"/>
      <c r="AS268" s="532"/>
      <c r="AT268" s="532"/>
      <c r="AU268" s="532"/>
      <c r="AV268" s="532"/>
      <c r="AW268" s="532"/>
      <c r="AX268" s="532"/>
      <c r="AY268" s="532"/>
      <c r="AZ268" s="532"/>
      <c r="BA268" s="532"/>
      <c r="BB268" s="532"/>
      <c r="BC268" s="532"/>
      <c r="BD268" s="532"/>
      <c r="BE268" s="532"/>
      <c r="BF268" s="532"/>
      <c r="BG268" s="532"/>
      <c r="BH268" s="532"/>
      <c r="BI268" s="532"/>
      <c r="BJ268" s="532"/>
      <c r="BK268" s="532"/>
      <c r="BL268" s="532"/>
      <c r="BM268" s="532"/>
      <c r="BN268" s="532"/>
      <c r="BO268" s="532"/>
      <c r="BP268" s="532"/>
      <c r="BQ268" s="532"/>
      <c r="BR268" s="532"/>
      <c r="BS268" s="532"/>
      <c r="BT268" s="532"/>
      <c r="BU268" s="532"/>
      <c r="BV268" s="532"/>
      <c r="BW268" s="532"/>
      <c r="BX268" s="532"/>
      <c r="BY268" s="532"/>
      <c r="BZ268" s="532"/>
      <c r="CA268" s="532"/>
      <c r="CB268" s="532"/>
      <c r="CC268" s="532"/>
      <c r="CD268" s="532"/>
      <c r="CE268" s="532"/>
      <c r="CF268" s="532"/>
      <c r="CG268" s="532"/>
      <c r="CH268" s="532"/>
      <c r="CI268" s="532"/>
      <c r="CJ268" s="532"/>
      <c r="CK268" s="532"/>
      <c r="CL268" s="532"/>
      <c r="CM268" s="532"/>
      <c r="CN268" s="532"/>
      <c r="CO268" s="532"/>
      <c r="CP268" s="532"/>
      <c r="CQ268" s="532"/>
      <c r="CR268" s="532"/>
      <c r="CS268" s="532"/>
      <c r="CT268" s="532"/>
      <c r="CU268" s="532"/>
      <c r="CV268" s="532"/>
      <c r="CW268" s="532"/>
      <c r="CX268" s="532"/>
      <c r="CY268" s="532"/>
      <c r="CZ268" s="532"/>
      <c r="DA268" s="532"/>
      <c r="DB268" s="532"/>
      <c r="DC268" s="532"/>
      <c r="DD268" s="532"/>
      <c r="DE268" s="532"/>
      <c r="DF268" s="532"/>
      <c r="DG268" s="532"/>
      <c r="DH268" s="532"/>
      <c r="DI268" s="532"/>
      <c r="DJ268" s="532"/>
      <c r="DK268" s="532"/>
      <c r="DL268" s="532"/>
      <c r="DM268" s="532"/>
      <c r="DN268" s="532"/>
      <c r="DO268" s="532"/>
      <c r="DP268" s="532"/>
      <c r="DQ268" s="532"/>
      <c r="DR268" s="532"/>
      <c r="DS268" s="532"/>
      <c r="DT268" s="532"/>
      <c r="DU268" s="532"/>
      <c r="DV268" s="532"/>
      <c r="DW268" s="532"/>
      <c r="DX268" s="532"/>
      <c r="DY268" s="532"/>
      <c r="DZ268" s="532"/>
      <c r="EA268" s="532"/>
      <c r="EB268" s="532"/>
      <c r="EC268" s="532"/>
      <c r="ED268" s="532"/>
      <c r="EE268" s="532"/>
      <c r="EF268" s="532"/>
      <c r="EG268" s="532"/>
      <c r="EH268" s="532"/>
      <c r="EI268" s="532"/>
      <c r="EJ268" s="532"/>
      <c r="EK268" s="532"/>
      <c r="EL268" s="532"/>
      <c r="EM268" s="532"/>
      <c r="EN268" s="532"/>
      <c r="EO268" s="532"/>
      <c r="EP268" s="532"/>
      <c r="EQ268" s="532"/>
      <c r="ER268" s="532"/>
      <c r="ES268" s="532"/>
      <c r="ET268" s="532"/>
      <c r="EU268" s="532"/>
      <c r="EV268" s="532"/>
      <c r="EW268" s="532"/>
      <c r="EX268" s="532"/>
      <c r="EY268" s="532"/>
      <c r="EZ268" s="532"/>
      <c r="FA268" s="532"/>
      <c r="FB268" s="532"/>
      <c r="FC268" s="532"/>
      <c r="FD268" s="532"/>
      <c r="FE268" s="532"/>
      <c r="FF268" s="532"/>
      <c r="FG268" s="532"/>
      <c r="FH268" s="532"/>
      <c r="FI268" s="532"/>
      <c r="FJ268" s="532"/>
      <c r="FK268" s="532"/>
      <c r="FL268" s="532"/>
      <c r="FM268" s="532"/>
      <c r="FN268" s="532"/>
      <c r="FO268" s="532"/>
      <c r="FP268" s="532"/>
    </row>
    <row r="269" spans="1:172" ht="12" customHeight="1" x14ac:dyDescent="0.2">
      <c r="A269" s="533" t="s">
        <v>140</v>
      </c>
      <c r="B269" s="534" t="s">
        <v>139</v>
      </c>
      <c r="C269" s="208">
        <v>0</v>
      </c>
      <c r="D269" s="208">
        <v>0</v>
      </c>
      <c r="E269" s="208">
        <v>0</v>
      </c>
      <c r="F269" s="208">
        <v>0</v>
      </c>
      <c r="G269" s="208">
        <v>1</v>
      </c>
      <c r="H269" s="208">
        <v>0</v>
      </c>
      <c r="I269" s="208">
        <v>0</v>
      </c>
      <c r="J269" s="208">
        <v>0</v>
      </c>
      <c r="K269" s="208">
        <v>0</v>
      </c>
      <c r="L269" s="562">
        <v>0</v>
      </c>
      <c r="M269" s="562">
        <v>0</v>
      </c>
      <c r="N269" s="562">
        <v>0</v>
      </c>
      <c r="O269" s="530">
        <f t="shared" si="138"/>
        <v>1</v>
      </c>
      <c r="P269" s="531"/>
      <c r="Q269" s="531"/>
      <c r="R269" s="531"/>
      <c r="S269" s="531"/>
      <c r="T269" s="531"/>
      <c r="U269" s="531"/>
      <c r="V269" s="531"/>
      <c r="W269" s="531"/>
      <c r="X269" s="531"/>
      <c r="Y269" s="531"/>
      <c r="Z269" s="531"/>
      <c r="AA269" s="531"/>
      <c r="AB269" s="531"/>
      <c r="AC269" s="531"/>
      <c r="AD269" s="531"/>
      <c r="AE269" s="531"/>
      <c r="AF269" s="531"/>
      <c r="AG269" s="531"/>
      <c r="AH269" s="532"/>
      <c r="AI269" s="532"/>
      <c r="AJ269" s="532"/>
      <c r="AK269" s="532"/>
      <c r="AL269" s="532"/>
      <c r="AM269" s="532"/>
      <c r="AN269" s="532"/>
      <c r="AO269" s="532"/>
      <c r="AP269" s="532"/>
      <c r="AQ269" s="532"/>
      <c r="AR269" s="532"/>
      <c r="AS269" s="532"/>
      <c r="AT269" s="532"/>
      <c r="AU269" s="532"/>
      <c r="AV269" s="532"/>
      <c r="AW269" s="532"/>
      <c r="AX269" s="532"/>
      <c r="AY269" s="532"/>
      <c r="AZ269" s="532"/>
      <c r="BA269" s="532"/>
      <c r="BB269" s="532"/>
      <c r="BC269" s="532"/>
      <c r="BD269" s="532"/>
      <c r="BE269" s="532"/>
      <c r="BF269" s="532"/>
      <c r="BG269" s="532"/>
      <c r="BH269" s="532"/>
      <c r="BI269" s="532"/>
      <c r="BJ269" s="532"/>
      <c r="BK269" s="532"/>
      <c r="BL269" s="532"/>
      <c r="BM269" s="532"/>
      <c r="BN269" s="532"/>
      <c r="BO269" s="532"/>
      <c r="BP269" s="532"/>
      <c r="BQ269" s="532"/>
      <c r="BR269" s="532"/>
      <c r="BS269" s="532"/>
      <c r="BT269" s="532"/>
      <c r="BU269" s="532"/>
      <c r="BV269" s="532"/>
      <c r="BW269" s="532"/>
      <c r="BX269" s="532"/>
      <c r="BY269" s="532"/>
      <c r="BZ269" s="532"/>
      <c r="CA269" s="532"/>
      <c r="CB269" s="532"/>
      <c r="CC269" s="532"/>
      <c r="CD269" s="532"/>
      <c r="CE269" s="532"/>
      <c r="CF269" s="532"/>
      <c r="CG269" s="532"/>
      <c r="CH269" s="532"/>
      <c r="CI269" s="532"/>
      <c r="CJ269" s="532"/>
      <c r="CK269" s="532"/>
      <c r="CL269" s="532"/>
      <c r="CM269" s="532"/>
      <c r="CN269" s="532"/>
      <c r="CO269" s="532"/>
      <c r="CP269" s="532"/>
      <c r="CQ269" s="532"/>
      <c r="CR269" s="532"/>
      <c r="CS269" s="532"/>
      <c r="CT269" s="532"/>
      <c r="CU269" s="532"/>
      <c r="CV269" s="532"/>
      <c r="CW269" s="532"/>
      <c r="CX269" s="532"/>
      <c r="CY269" s="532"/>
      <c r="CZ269" s="532"/>
      <c r="DA269" s="532"/>
      <c r="DB269" s="532"/>
      <c r="DC269" s="532"/>
      <c r="DD269" s="532"/>
      <c r="DE269" s="532"/>
      <c r="DF269" s="532"/>
      <c r="DG269" s="532"/>
      <c r="DH269" s="532"/>
      <c r="DI269" s="532"/>
      <c r="DJ269" s="532"/>
      <c r="DK269" s="532"/>
      <c r="DL269" s="532"/>
      <c r="DM269" s="532"/>
      <c r="DN269" s="532"/>
      <c r="DO269" s="532"/>
      <c r="DP269" s="532"/>
      <c r="DQ269" s="532"/>
      <c r="DR269" s="532"/>
      <c r="DS269" s="532"/>
      <c r="DT269" s="532"/>
      <c r="DU269" s="532"/>
      <c r="DV269" s="532"/>
      <c r="DW269" s="532"/>
      <c r="DX269" s="532"/>
      <c r="DY269" s="532"/>
      <c r="DZ269" s="532"/>
      <c r="EA269" s="532"/>
      <c r="EB269" s="532"/>
      <c r="EC269" s="532"/>
      <c r="ED269" s="532"/>
      <c r="EE269" s="532"/>
      <c r="EF269" s="532"/>
      <c r="EG269" s="532"/>
      <c r="EH269" s="532"/>
      <c r="EI269" s="532"/>
      <c r="EJ269" s="532"/>
      <c r="EK269" s="532"/>
      <c r="EL269" s="532"/>
      <c r="EM269" s="532"/>
      <c r="EN269" s="532"/>
      <c r="EO269" s="532"/>
      <c r="EP269" s="532"/>
      <c r="EQ269" s="532"/>
      <c r="ER269" s="532"/>
      <c r="ES269" s="532"/>
      <c r="ET269" s="532"/>
      <c r="EU269" s="532"/>
      <c r="EV269" s="532"/>
      <c r="EW269" s="532"/>
      <c r="EX269" s="532"/>
      <c r="EY269" s="532"/>
      <c r="EZ269" s="532"/>
      <c r="FA269" s="532"/>
      <c r="FB269" s="532"/>
      <c r="FC269" s="532"/>
      <c r="FD269" s="532"/>
      <c r="FE269" s="532"/>
      <c r="FF269" s="532"/>
      <c r="FG269" s="532"/>
      <c r="FH269" s="532"/>
      <c r="FI269" s="532"/>
      <c r="FJ269" s="532"/>
      <c r="FK269" s="532"/>
      <c r="FL269" s="532"/>
      <c r="FM269" s="532"/>
      <c r="FN269" s="532"/>
      <c r="FO269" s="532"/>
      <c r="FP269" s="532"/>
    </row>
    <row r="270" spans="1:172" ht="12" customHeight="1" x14ac:dyDescent="0.2">
      <c r="A270" s="537" t="s">
        <v>149</v>
      </c>
      <c r="B270" s="534"/>
      <c r="C270" s="208">
        <f t="shared" ref="C270:N270" si="139">SUM(C265:C269)</f>
        <v>2</v>
      </c>
      <c r="D270" s="208">
        <f t="shared" si="139"/>
        <v>1</v>
      </c>
      <c r="E270" s="208">
        <f t="shared" si="139"/>
        <v>1</v>
      </c>
      <c r="F270" s="208">
        <f t="shared" si="139"/>
        <v>1</v>
      </c>
      <c r="G270" s="208">
        <f t="shared" si="139"/>
        <v>2</v>
      </c>
      <c r="H270" s="208">
        <f t="shared" si="139"/>
        <v>2</v>
      </c>
      <c r="I270" s="208">
        <f t="shared" si="139"/>
        <v>5</v>
      </c>
      <c r="J270" s="208">
        <f t="shared" si="139"/>
        <v>6</v>
      </c>
      <c r="K270" s="208">
        <f t="shared" si="139"/>
        <v>4</v>
      </c>
      <c r="L270" s="562">
        <f t="shared" si="139"/>
        <v>3</v>
      </c>
      <c r="M270" s="562">
        <f t="shared" si="139"/>
        <v>3</v>
      </c>
      <c r="N270" s="562">
        <f t="shared" si="139"/>
        <v>2</v>
      </c>
      <c r="O270" s="530">
        <f t="shared" si="138"/>
        <v>32</v>
      </c>
      <c r="P270" s="531"/>
      <c r="Q270" s="531"/>
      <c r="R270" s="531"/>
      <c r="S270" s="531"/>
      <c r="T270" s="531"/>
      <c r="U270" s="531"/>
      <c r="V270" s="531"/>
      <c r="W270" s="531"/>
      <c r="X270" s="531"/>
      <c r="Y270" s="531"/>
      <c r="Z270" s="531"/>
      <c r="AA270" s="531"/>
      <c r="AB270" s="531"/>
      <c r="AC270" s="531"/>
      <c r="AD270" s="531"/>
      <c r="AE270" s="531"/>
      <c r="AF270" s="531"/>
      <c r="AG270" s="531"/>
      <c r="AH270" s="532"/>
      <c r="AI270" s="532"/>
      <c r="AJ270" s="532"/>
      <c r="AK270" s="532"/>
      <c r="AL270" s="532"/>
      <c r="AM270" s="532"/>
      <c r="AN270" s="532"/>
      <c r="AO270" s="532"/>
      <c r="AP270" s="532"/>
      <c r="AQ270" s="532"/>
      <c r="AR270" s="532"/>
      <c r="AS270" s="532"/>
      <c r="AT270" s="532"/>
      <c r="AU270" s="532"/>
      <c r="AV270" s="532"/>
      <c r="AW270" s="532"/>
      <c r="AX270" s="532"/>
      <c r="AY270" s="532"/>
      <c r="AZ270" s="532"/>
      <c r="BA270" s="532"/>
      <c r="BB270" s="532"/>
      <c r="BC270" s="532"/>
      <c r="BD270" s="532"/>
      <c r="BE270" s="532"/>
      <c r="BF270" s="532"/>
      <c r="BG270" s="532"/>
      <c r="BH270" s="532"/>
      <c r="BI270" s="532"/>
      <c r="BJ270" s="532"/>
      <c r="BK270" s="532"/>
      <c r="BL270" s="532"/>
      <c r="BM270" s="532"/>
      <c r="BN270" s="532"/>
      <c r="BO270" s="532"/>
      <c r="BP270" s="532"/>
      <c r="BQ270" s="532"/>
      <c r="BR270" s="532"/>
      <c r="BS270" s="532"/>
      <c r="BT270" s="532"/>
      <c r="BU270" s="532"/>
      <c r="BV270" s="532"/>
      <c r="BW270" s="532"/>
      <c r="BX270" s="532"/>
      <c r="BY270" s="532"/>
      <c r="BZ270" s="532"/>
      <c r="CA270" s="532"/>
      <c r="CB270" s="532"/>
      <c r="CC270" s="532"/>
      <c r="CD270" s="532"/>
      <c r="CE270" s="532"/>
      <c r="CF270" s="532"/>
      <c r="CG270" s="532"/>
      <c r="CH270" s="532"/>
      <c r="CI270" s="532"/>
      <c r="CJ270" s="532"/>
      <c r="CK270" s="532"/>
      <c r="CL270" s="532"/>
      <c r="CM270" s="532"/>
      <c r="CN270" s="532"/>
      <c r="CO270" s="532"/>
      <c r="CP270" s="532"/>
      <c r="CQ270" s="532"/>
      <c r="CR270" s="532"/>
      <c r="CS270" s="532"/>
      <c r="CT270" s="532"/>
      <c r="CU270" s="532"/>
      <c r="CV270" s="532"/>
      <c r="CW270" s="532"/>
      <c r="CX270" s="532"/>
      <c r="CY270" s="532"/>
      <c r="CZ270" s="532"/>
      <c r="DA270" s="532"/>
      <c r="DB270" s="532"/>
      <c r="DC270" s="532"/>
      <c r="DD270" s="532"/>
      <c r="DE270" s="532"/>
      <c r="DF270" s="532"/>
      <c r="DG270" s="532"/>
      <c r="DH270" s="532"/>
      <c r="DI270" s="532"/>
      <c r="DJ270" s="532"/>
      <c r="DK270" s="532"/>
      <c r="DL270" s="532"/>
      <c r="DM270" s="532"/>
      <c r="DN270" s="532"/>
      <c r="DO270" s="532"/>
      <c r="DP270" s="532"/>
      <c r="DQ270" s="532"/>
      <c r="DR270" s="532"/>
      <c r="DS270" s="532"/>
      <c r="DT270" s="532"/>
      <c r="DU270" s="532"/>
      <c r="DV270" s="532"/>
      <c r="DW270" s="532"/>
      <c r="DX270" s="532"/>
      <c r="DY270" s="532"/>
      <c r="DZ270" s="532"/>
      <c r="EA270" s="532"/>
      <c r="EB270" s="532"/>
      <c r="EC270" s="532"/>
      <c r="ED270" s="532"/>
      <c r="EE270" s="532"/>
      <c r="EF270" s="532"/>
      <c r="EG270" s="532"/>
      <c r="EH270" s="532"/>
      <c r="EI270" s="532"/>
      <c r="EJ270" s="532"/>
      <c r="EK270" s="532"/>
      <c r="EL270" s="532"/>
      <c r="EM270" s="532"/>
      <c r="EN270" s="532"/>
      <c r="EO270" s="532"/>
      <c r="EP270" s="532"/>
      <c r="EQ270" s="532"/>
      <c r="ER270" s="532"/>
      <c r="ES270" s="532"/>
      <c r="ET270" s="532"/>
      <c r="EU270" s="532"/>
      <c r="EV270" s="532"/>
      <c r="EW270" s="532"/>
      <c r="EX270" s="532"/>
      <c r="EY270" s="532"/>
      <c r="EZ270" s="532"/>
      <c r="FA270" s="532"/>
      <c r="FB270" s="532"/>
      <c r="FC270" s="532"/>
      <c r="FD270" s="532"/>
      <c r="FE270" s="532"/>
      <c r="FF270" s="532"/>
      <c r="FG270" s="532"/>
      <c r="FH270" s="532"/>
      <c r="FI270" s="532"/>
      <c r="FJ270" s="532"/>
      <c r="FK270" s="532"/>
      <c r="FL270" s="532"/>
      <c r="FM270" s="532"/>
      <c r="FN270" s="532"/>
      <c r="FO270" s="532"/>
      <c r="FP270" s="532"/>
    </row>
    <row r="271" spans="1:172" ht="12" customHeight="1" x14ac:dyDescent="0.2">
      <c r="A271" s="533"/>
      <c r="B271" s="534"/>
      <c r="C271" s="534"/>
      <c r="D271" s="534"/>
      <c r="E271" s="534"/>
      <c r="F271" s="534"/>
      <c r="G271" s="534"/>
      <c r="H271" s="534"/>
      <c r="I271" s="534"/>
      <c r="J271" s="534"/>
      <c r="K271" s="658"/>
      <c r="L271" s="562"/>
      <c r="M271" s="562"/>
      <c r="N271" s="562"/>
      <c r="O271" s="530"/>
      <c r="P271" s="531"/>
      <c r="Q271" s="531"/>
      <c r="R271" s="531"/>
      <c r="S271" s="531"/>
      <c r="T271" s="531"/>
      <c r="U271" s="531"/>
      <c r="V271" s="531"/>
      <c r="W271" s="531"/>
      <c r="X271" s="531"/>
      <c r="Y271" s="531"/>
      <c r="Z271" s="531"/>
      <c r="AA271" s="531"/>
      <c r="AB271" s="531"/>
      <c r="AC271" s="531"/>
      <c r="AD271" s="531"/>
      <c r="AE271" s="531"/>
      <c r="AF271" s="531"/>
      <c r="AG271" s="531"/>
      <c r="AH271" s="532"/>
      <c r="AI271" s="532"/>
      <c r="AJ271" s="532"/>
      <c r="AK271" s="532"/>
      <c r="AL271" s="532"/>
      <c r="AM271" s="532"/>
      <c r="AN271" s="532"/>
      <c r="AO271" s="532"/>
      <c r="AP271" s="532"/>
      <c r="AQ271" s="532"/>
      <c r="AR271" s="532"/>
      <c r="AS271" s="532"/>
      <c r="AT271" s="532"/>
      <c r="AU271" s="532"/>
      <c r="AV271" s="532"/>
      <c r="AW271" s="532"/>
      <c r="AX271" s="532"/>
      <c r="AY271" s="532"/>
      <c r="AZ271" s="532"/>
      <c r="BA271" s="532"/>
      <c r="BB271" s="532"/>
      <c r="BC271" s="532"/>
      <c r="BD271" s="532"/>
      <c r="BE271" s="532"/>
      <c r="BF271" s="532"/>
      <c r="BG271" s="532"/>
      <c r="BH271" s="532"/>
      <c r="BI271" s="532"/>
      <c r="BJ271" s="532"/>
      <c r="BK271" s="532"/>
      <c r="BL271" s="532"/>
      <c r="BM271" s="532"/>
      <c r="BN271" s="532"/>
      <c r="BO271" s="532"/>
      <c r="BP271" s="532"/>
      <c r="BQ271" s="532"/>
      <c r="BR271" s="532"/>
      <c r="BS271" s="532"/>
      <c r="BT271" s="532"/>
      <c r="BU271" s="532"/>
      <c r="BV271" s="532"/>
      <c r="BW271" s="532"/>
      <c r="BX271" s="532"/>
      <c r="BY271" s="532"/>
      <c r="BZ271" s="532"/>
      <c r="CA271" s="532"/>
      <c r="CB271" s="532"/>
      <c r="CC271" s="532"/>
      <c r="CD271" s="532"/>
      <c r="CE271" s="532"/>
      <c r="CF271" s="532"/>
      <c r="CG271" s="532"/>
      <c r="CH271" s="532"/>
      <c r="CI271" s="532"/>
      <c r="CJ271" s="532"/>
      <c r="CK271" s="532"/>
      <c r="CL271" s="532"/>
      <c r="CM271" s="532"/>
      <c r="CN271" s="532"/>
      <c r="CO271" s="532"/>
      <c r="CP271" s="532"/>
      <c r="CQ271" s="532"/>
      <c r="CR271" s="532"/>
      <c r="CS271" s="532"/>
      <c r="CT271" s="532"/>
      <c r="CU271" s="532"/>
      <c r="CV271" s="532"/>
      <c r="CW271" s="532"/>
      <c r="CX271" s="532"/>
      <c r="CY271" s="532"/>
      <c r="CZ271" s="532"/>
      <c r="DA271" s="532"/>
      <c r="DB271" s="532"/>
      <c r="DC271" s="532"/>
      <c r="DD271" s="532"/>
      <c r="DE271" s="532"/>
      <c r="DF271" s="532"/>
      <c r="DG271" s="532"/>
      <c r="DH271" s="532"/>
      <c r="DI271" s="532"/>
      <c r="DJ271" s="532"/>
      <c r="DK271" s="532"/>
      <c r="DL271" s="532"/>
      <c r="DM271" s="532"/>
      <c r="DN271" s="532"/>
      <c r="DO271" s="532"/>
      <c r="DP271" s="532"/>
      <c r="DQ271" s="532"/>
      <c r="DR271" s="532"/>
      <c r="DS271" s="532"/>
      <c r="DT271" s="532"/>
      <c r="DU271" s="532"/>
      <c r="DV271" s="532"/>
      <c r="DW271" s="532"/>
      <c r="DX271" s="532"/>
      <c r="DY271" s="532"/>
      <c r="DZ271" s="532"/>
      <c r="EA271" s="532"/>
      <c r="EB271" s="532"/>
      <c r="EC271" s="532"/>
      <c r="ED271" s="532"/>
      <c r="EE271" s="532"/>
      <c r="EF271" s="532"/>
      <c r="EG271" s="532"/>
      <c r="EH271" s="532"/>
      <c r="EI271" s="532"/>
      <c r="EJ271" s="532"/>
      <c r="EK271" s="532"/>
      <c r="EL271" s="532"/>
      <c r="EM271" s="532"/>
      <c r="EN271" s="532"/>
      <c r="EO271" s="532"/>
      <c r="EP271" s="532"/>
      <c r="EQ271" s="532"/>
      <c r="ER271" s="532"/>
      <c r="ES271" s="532"/>
      <c r="ET271" s="532"/>
      <c r="EU271" s="532"/>
      <c r="EV271" s="532"/>
      <c r="EW271" s="532"/>
      <c r="EX271" s="532"/>
      <c r="EY271" s="532"/>
      <c r="EZ271" s="532"/>
      <c r="FA271" s="532"/>
      <c r="FB271" s="532"/>
      <c r="FC271" s="532"/>
      <c r="FD271" s="532"/>
      <c r="FE271" s="532"/>
      <c r="FF271" s="532"/>
      <c r="FG271" s="532"/>
      <c r="FH271" s="532"/>
      <c r="FI271" s="532"/>
      <c r="FJ271" s="532"/>
      <c r="FK271" s="532"/>
      <c r="FL271" s="532"/>
      <c r="FM271" s="532"/>
      <c r="FN271" s="532"/>
      <c r="FO271" s="532"/>
      <c r="FP271" s="532"/>
    </row>
    <row r="272" spans="1:172" ht="12" customHeight="1" x14ac:dyDescent="0.2">
      <c r="A272" s="533" t="s">
        <v>150</v>
      </c>
      <c r="B272" s="534"/>
      <c r="C272" s="534"/>
      <c r="D272" s="534"/>
      <c r="E272" s="534"/>
      <c r="F272" s="534"/>
      <c r="G272" s="534"/>
      <c r="H272" s="534"/>
      <c r="I272" s="534"/>
      <c r="J272" s="534"/>
      <c r="K272" s="658"/>
      <c r="L272" s="562"/>
      <c r="M272" s="562"/>
      <c r="N272" s="562"/>
      <c r="O272" s="530"/>
      <c r="P272" s="531"/>
      <c r="Q272" s="531"/>
      <c r="R272" s="531"/>
      <c r="S272" s="531"/>
      <c r="T272" s="531"/>
      <c r="U272" s="531"/>
      <c r="V272" s="531"/>
      <c r="W272" s="531"/>
      <c r="X272" s="531"/>
      <c r="Y272" s="531"/>
      <c r="Z272" s="531"/>
      <c r="AA272" s="531"/>
      <c r="AB272" s="531"/>
      <c r="AC272" s="531"/>
      <c r="AD272" s="531"/>
      <c r="AE272" s="531"/>
      <c r="AF272" s="531"/>
      <c r="AG272" s="531"/>
      <c r="AH272" s="532"/>
      <c r="AI272" s="532"/>
      <c r="AJ272" s="532"/>
      <c r="AK272" s="532"/>
      <c r="AL272" s="532"/>
      <c r="AM272" s="532"/>
      <c r="AN272" s="532"/>
      <c r="AO272" s="532"/>
      <c r="AP272" s="532"/>
      <c r="AQ272" s="532"/>
      <c r="AR272" s="532"/>
      <c r="AS272" s="532"/>
      <c r="AT272" s="532"/>
      <c r="AU272" s="532"/>
      <c r="AV272" s="532"/>
      <c r="AW272" s="532"/>
      <c r="AX272" s="532"/>
      <c r="AY272" s="532"/>
      <c r="AZ272" s="532"/>
      <c r="BA272" s="532"/>
      <c r="BB272" s="532"/>
      <c r="BC272" s="532"/>
      <c r="BD272" s="532"/>
      <c r="BE272" s="532"/>
      <c r="BF272" s="532"/>
      <c r="BG272" s="532"/>
      <c r="BH272" s="532"/>
      <c r="BI272" s="532"/>
      <c r="BJ272" s="532"/>
      <c r="BK272" s="532"/>
      <c r="BL272" s="532"/>
      <c r="BM272" s="532"/>
      <c r="BN272" s="532"/>
      <c r="BO272" s="532"/>
      <c r="BP272" s="532"/>
      <c r="BQ272" s="532"/>
      <c r="BR272" s="532"/>
      <c r="BS272" s="532"/>
      <c r="BT272" s="532"/>
      <c r="BU272" s="532"/>
      <c r="BV272" s="532"/>
      <c r="BW272" s="532"/>
      <c r="BX272" s="532"/>
      <c r="BY272" s="532"/>
      <c r="BZ272" s="532"/>
      <c r="CA272" s="532"/>
      <c r="CB272" s="532"/>
      <c r="CC272" s="532"/>
      <c r="CD272" s="532"/>
      <c r="CE272" s="532"/>
      <c r="CF272" s="532"/>
      <c r="CG272" s="532"/>
      <c r="CH272" s="532"/>
      <c r="CI272" s="532"/>
      <c r="CJ272" s="532"/>
      <c r="CK272" s="532"/>
      <c r="CL272" s="532"/>
      <c r="CM272" s="532"/>
      <c r="CN272" s="532"/>
      <c r="CO272" s="532"/>
      <c r="CP272" s="532"/>
      <c r="CQ272" s="532"/>
      <c r="CR272" s="532"/>
      <c r="CS272" s="532"/>
      <c r="CT272" s="532"/>
      <c r="CU272" s="532"/>
      <c r="CV272" s="532"/>
      <c r="CW272" s="532"/>
      <c r="CX272" s="532"/>
      <c r="CY272" s="532"/>
      <c r="CZ272" s="532"/>
      <c r="DA272" s="532"/>
      <c r="DB272" s="532"/>
      <c r="DC272" s="532"/>
      <c r="DD272" s="532"/>
      <c r="DE272" s="532"/>
      <c r="DF272" s="532"/>
      <c r="DG272" s="532"/>
      <c r="DH272" s="532"/>
      <c r="DI272" s="532"/>
      <c r="DJ272" s="532"/>
      <c r="DK272" s="532"/>
      <c r="DL272" s="532"/>
      <c r="DM272" s="532"/>
      <c r="DN272" s="532"/>
      <c r="DO272" s="532"/>
      <c r="DP272" s="532"/>
      <c r="DQ272" s="532"/>
      <c r="DR272" s="532"/>
      <c r="DS272" s="532"/>
      <c r="DT272" s="532"/>
      <c r="DU272" s="532"/>
      <c r="DV272" s="532"/>
      <c r="DW272" s="532"/>
      <c r="DX272" s="532"/>
      <c r="DY272" s="532"/>
      <c r="DZ272" s="532"/>
      <c r="EA272" s="532"/>
      <c r="EB272" s="532"/>
      <c r="EC272" s="532"/>
      <c r="ED272" s="532"/>
      <c r="EE272" s="532"/>
      <c r="EF272" s="532"/>
      <c r="EG272" s="532"/>
      <c r="EH272" s="532"/>
      <c r="EI272" s="532"/>
      <c r="EJ272" s="532"/>
      <c r="EK272" s="532"/>
      <c r="EL272" s="532"/>
      <c r="EM272" s="532"/>
      <c r="EN272" s="532"/>
      <c r="EO272" s="532"/>
      <c r="EP272" s="532"/>
      <c r="EQ272" s="532"/>
      <c r="ER272" s="532"/>
      <c r="ES272" s="532"/>
      <c r="ET272" s="532"/>
      <c r="EU272" s="532"/>
      <c r="EV272" s="532"/>
      <c r="EW272" s="532"/>
      <c r="EX272" s="532"/>
      <c r="EY272" s="532"/>
      <c r="EZ272" s="532"/>
      <c r="FA272" s="532"/>
      <c r="FB272" s="532"/>
      <c r="FC272" s="532"/>
      <c r="FD272" s="532"/>
      <c r="FE272" s="532"/>
      <c r="FF272" s="532"/>
      <c r="FG272" s="532"/>
      <c r="FH272" s="532"/>
      <c r="FI272" s="532"/>
      <c r="FJ272" s="532"/>
      <c r="FK272" s="532"/>
      <c r="FL272" s="532"/>
      <c r="FM272" s="532"/>
      <c r="FN272" s="532"/>
      <c r="FO272" s="532"/>
      <c r="FP272" s="532"/>
    </row>
    <row r="273" spans="1:172" ht="12" customHeight="1" x14ac:dyDescent="0.2">
      <c r="A273" s="533" t="s">
        <v>960</v>
      </c>
      <c r="B273" s="534" t="s">
        <v>55</v>
      </c>
      <c r="C273" s="658">
        <v>592</v>
      </c>
      <c r="D273" s="658">
        <v>573</v>
      </c>
      <c r="E273" s="658">
        <v>598</v>
      </c>
      <c r="F273" s="658">
        <v>612</v>
      </c>
      <c r="G273" s="658">
        <v>592</v>
      </c>
      <c r="H273" s="658">
        <v>649</v>
      </c>
      <c r="I273" s="658">
        <v>624</v>
      </c>
      <c r="J273" s="658">
        <v>664</v>
      </c>
      <c r="K273" s="658">
        <v>598</v>
      </c>
      <c r="L273" s="562">
        <v>559</v>
      </c>
      <c r="M273" s="562">
        <v>616</v>
      </c>
      <c r="N273" s="562">
        <v>644</v>
      </c>
      <c r="O273" s="530">
        <f>SUM(C273:N273)</f>
        <v>7321</v>
      </c>
      <c r="P273" s="531"/>
      <c r="Q273" s="531"/>
      <c r="R273" s="531"/>
      <c r="S273" s="531"/>
      <c r="T273" s="531"/>
      <c r="U273" s="531"/>
      <c r="V273" s="531"/>
      <c r="W273" s="531"/>
      <c r="X273" s="531"/>
      <c r="Y273" s="531"/>
      <c r="Z273" s="531"/>
      <c r="AA273" s="531"/>
      <c r="AB273" s="531"/>
      <c r="AC273" s="531"/>
      <c r="AD273" s="531"/>
      <c r="AE273" s="531"/>
      <c r="AF273" s="531"/>
      <c r="AG273" s="531"/>
      <c r="AH273" s="532"/>
      <c r="AI273" s="532"/>
      <c r="AJ273" s="532"/>
      <c r="AK273" s="532"/>
      <c r="AL273" s="532"/>
      <c r="AM273" s="532"/>
      <c r="AN273" s="532"/>
      <c r="AO273" s="532"/>
      <c r="AP273" s="532"/>
      <c r="AQ273" s="532"/>
      <c r="AR273" s="532"/>
      <c r="AS273" s="532"/>
      <c r="AT273" s="532"/>
      <c r="AU273" s="532"/>
      <c r="AV273" s="532"/>
      <c r="AW273" s="532"/>
      <c r="AX273" s="532"/>
      <c r="AY273" s="532"/>
      <c r="AZ273" s="532"/>
      <c r="BA273" s="532"/>
      <c r="BB273" s="532"/>
      <c r="BC273" s="532"/>
      <c r="BD273" s="532"/>
      <c r="BE273" s="532"/>
      <c r="BF273" s="532"/>
      <c r="BG273" s="532"/>
      <c r="BH273" s="532"/>
      <c r="BI273" s="532"/>
      <c r="BJ273" s="532"/>
      <c r="BK273" s="532"/>
      <c r="BL273" s="532"/>
      <c r="BM273" s="532"/>
      <c r="BN273" s="532"/>
      <c r="BO273" s="532"/>
      <c r="BP273" s="532"/>
      <c r="BQ273" s="532"/>
      <c r="BR273" s="532"/>
      <c r="BS273" s="532"/>
      <c r="BT273" s="532"/>
      <c r="BU273" s="532"/>
      <c r="BV273" s="532"/>
      <c r="BW273" s="532"/>
      <c r="BX273" s="532"/>
      <c r="BY273" s="532"/>
      <c r="BZ273" s="532"/>
      <c r="CA273" s="532"/>
      <c r="CB273" s="532"/>
      <c r="CC273" s="532"/>
      <c r="CD273" s="532"/>
      <c r="CE273" s="532"/>
      <c r="CF273" s="532"/>
      <c r="CG273" s="532"/>
      <c r="CH273" s="532"/>
      <c r="CI273" s="532"/>
      <c r="CJ273" s="532"/>
      <c r="CK273" s="532"/>
      <c r="CL273" s="532"/>
      <c r="CM273" s="532"/>
      <c r="CN273" s="532"/>
      <c r="CO273" s="532"/>
      <c r="CP273" s="532"/>
      <c r="CQ273" s="532"/>
      <c r="CR273" s="532"/>
      <c r="CS273" s="532"/>
      <c r="CT273" s="532"/>
      <c r="CU273" s="532"/>
      <c r="CV273" s="532"/>
      <c r="CW273" s="532"/>
      <c r="CX273" s="532"/>
      <c r="CY273" s="532"/>
      <c r="CZ273" s="532"/>
      <c r="DA273" s="532"/>
      <c r="DB273" s="532"/>
      <c r="DC273" s="532"/>
      <c r="DD273" s="532"/>
      <c r="DE273" s="532"/>
      <c r="DF273" s="532"/>
      <c r="DG273" s="532"/>
      <c r="DH273" s="532"/>
      <c r="DI273" s="532"/>
      <c r="DJ273" s="532"/>
      <c r="DK273" s="532"/>
      <c r="DL273" s="532"/>
      <c r="DM273" s="532"/>
      <c r="DN273" s="532"/>
      <c r="DO273" s="532"/>
      <c r="DP273" s="532"/>
      <c r="DQ273" s="532"/>
      <c r="DR273" s="532"/>
      <c r="DS273" s="532"/>
      <c r="DT273" s="532"/>
      <c r="DU273" s="532"/>
      <c r="DV273" s="532"/>
      <c r="DW273" s="532"/>
      <c r="DX273" s="532"/>
      <c r="DY273" s="532"/>
      <c r="DZ273" s="532"/>
      <c r="EA273" s="532"/>
      <c r="EB273" s="532"/>
      <c r="EC273" s="532"/>
      <c r="ED273" s="532"/>
      <c r="EE273" s="532"/>
      <c r="EF273" s="532"/>
      <c r="EG273" s="532"/>
      <c r="EH273" s="532"/>
      <c r="EI273" s="532"/>
      <c r="EJ273" s="532"/>
      <c r="EK273" s="532"/>
      <c r="EL273" s="532"/>
      <c r="EM273" s="532"/>
      <c r="EN273" s="532"/>
      <c r="EO273" s="532"/>
      <c r="EP273" s="532"/>
      <c r="EQ273" s="532"/>
      <c r="ER273" s="532"/>
      <c r="ES273" s="532"/>
      <c r="ET273" s="532"/>
      <c r="EU273" s="532"/>
      <c r="EV273" s="532"/>
      <c r="EW273" s="532"/>
      <c r="EX273" s="532"/>
      <c r="EY273" s="532"/>
      <c r="EZ273" s="532"/>
      <c r="FA273" s="532"/>
      <c r="FB273" s="532"/>
      <c r="FC273" s="532"/>
      <c r="FD273" s="532"/>
      <c r="FE273" s="532"/>
      <c r="FF273" s="532"/>
      <c r="FG273" s="532"/>
      <c r="FH273" s="532"/>
      <c r="FI273" s="532"/>
      <c r="FJ273" s="532"/>
      <c r="FK273" s="532"/>
      <c r="FL273" s="532"/>
      <c r="FM273" s="532"/>
      <c r="FN273" s="532"/>
      <c r="FO273" s="532"/>
      <c r="FP273" s="532"/>
    </row>
    <row r="274" spans="1:172" ht="12" customHeight="1" x14ac:dyDescent="0.2">
      <c r="A274" s="533" t="s">
        <v>151</v>
      </c>
      <c r="B274" s="534"/>
      <c r="C274" s="658">
        <v>1069</v>
      </c>
      <c r="D274" s="666">
        <v>1001</v>
      </c>
      <c r="E274" s="666">
        <v>911</v>
      </c>
      <c r="F274" s="666">
        <v>1073</v>
      </c>
      <c r="G274" s="666">
        <v>1127</v>
      </c>
      <c r="H274" s="666">
        <v>1224</v>
      </c>
      <c r="I274" s="666">
        <v>1111</v>
      </c>
      <c r="J274" s="666">
        <v>1189</v>
      </c>
      <c r="K274" s="666">
        <v>1078</v>
      </c>
      <c r="L274" s="562">
        <f>977-28</f>
        <v>949</v>
      </c>
      <c r="M274" s="562">
        <f>2096-960</f>
        <v>1136</v>
      </c>
      <c r="N274" s="562">
        <f>2081-918</f>
        <v>1163</v>
      </c>
      <c r="O274" s="530">
        <f>SUM(C274:N274)</f>
        <v>13031</v>
      </c>
      <c r="P274" s="531"/>
      <c r="Q274" s="531"/>
      <c r="R274" s="531"/>
      <c r="S274" s="531"/>
      <c r="T274" s="531"/>
      <c r="U274" s="531"/>
      <c r="V274" s="531"/>
      <c r="W274" s="531"/>
      <c r="X274" s="531"/>
      <c r="Y274" s="531"/>
      <c r="Z274" s="531"/>
      <c r="AA274" s="531"/>
      <c r="AB274" s="531"/>
      <c r="AC274" s="531"/>
      <c r="AD274" s="531"/>
      <c r="AE274" s="531"/>
      <c r="AF274" s="531"/>
      <c r="AG274" s="531"/>
      <c r="AH274" s="532"/>
      <c r="AI274" s="532"/>
      <c r="AJ274" s="532"/>
      <c r="AK274" s="532"/>
      <c r="AL274" s="532"/>
      <c r="AM274" s="532"/>
      <c r="AN274" s="532"/>
      <c r="AO274" s="532"/>
      <c r="AP274" s="532"/>
      <c r="AQ274" s="532"/>
      <c r="AR274" s="532"/>
      <c r="AS274" s="532"/>
      <c r="AT274" s="532"/>
      <c r="AU274" s="532"/>
      <c r="AV274" s="532"/>
      <c r="AW274" s="532"/>
      <c r="AX274" s="532"/>
      <c r="AY274" s="532"/>
      <c r="AZ274" s="532"/>
      <c r="BA274" s="532"/>
      <c r="BB274" s="532"/>
      <c r="BC274" s="532"/>
      <c r="BD274" s="532"/>
      <c r="BE274" s="532"/>
      <c r="BF274" s="532"/>
      <c r="BG274" s="532"/>
      <c r="BH274" s="532"/>
      <c r="BI274" s="532"/>
      <c r="BJ274" s="532"/>
      <c r="BK274" s="532"/>
      <c r="BL274" s="532"/>
      <c r="BM274" s="532"/>
      <c r="BN274" s="532"/>
      <c r="BO274" s="532"/>
      <c r="BP274" s="532"/>
      <c r="BQ274" s="532"/>
      <c r="BR274" s="532"/>
      <c r="BS274" s="532"/>
      <c r="BT274" s="532"/>
      <c r="BU274" s="532"/>
      <c r="BV274" s="532"/>
      <c r="BW274" s="532"/>
      <c r="BX274" s="532"/>
      <c r="BY274" s="532"/>
      <c r="BZ274" s="532"/>
      <c r="CA274" s="532"/>
      <c r="CB274" s="532"/>
      <c r="CC274" s="532"/>
      <c r="CD274" s="532"/>
      <c r="CE274" s="532"/>
      <c r="CF274" s="532"/>
      <c r="CG274" s="532"/>
      <c r="CH274" s="532"/>
      <c r="CI274" s="532"/>
      <c r="CJ274" s="532"/>
      <c r="CK274" s="532"/>
      <c r="CL274" s="532"/>
      <c r="CM274" s="532"/>
      <c r="CN274" s="532"/>
      <c r="CO274" s="532"/>
      <c r="CP274" s="532"/>
      <c r="CQ274" s="532"/>
      <c r="CR274" s="532"/>
      <c r="CS274" s="532"/>
      <c r="CT274" s="532"/>
      <c r="CU274" s="532"/>
      <c r="CV274" s="532"/>
      <c r="CW274" s="532"/>
      <c r="CX274" s="532"/>
      <c r="CY274" s="532"/>
      <c r="CZ274" s="532"/>
      <c r="DA274" s="532"/>
      <c r="DB274" s="532"/>
      <c r="DC274" s="532"/>
      <c r="DD274" s="532"/>
      <c r="DE274" s="532"/>
      <c r="DF274" s="532"/>
      <c r="DG274" s="532"/>
      <c r="DH274" s="532"/>
      <c r="DI274" s="532"/>
      <c r="DJ274" s="532"/>
      <c r="DK274" s="532"/>
      <c r="DL274" s="532"/>
      <c r="DM274" s="532"/>
      <c r="DN274" s="532"/>
      <c r="DO274" s="532"/>
      <c r="DP274" s="532"/>
      <c r="DQ274" s="532"/>
      <c r="DR274" s="532"/>
      <c r="DS274" s="532"/>
      <c r="DT274" s="532"/>
      <c r="DU274" s="532"/>
      <c r="DV274" s="532"/>
      <c r="DW274" s="532"/>
      <c r="DX274" s="532"/>
      <c r="DY274" s="532"/>
      <c r="DZ274" s="532"/>
      <c r="EA274" s="532"/>
      <c r="EB274" s="532"/>
      <c r="EC274" s="532"/>
      <c r="ED274" s="532"/>
      <c r="EE274" s="532"/>
      <c r="EF274" s="532"/>
      <c r="EG274" s="532"/>
      <c r="EH274" s="532"/>
      <c r="EI274" s="532"/>
      <c r="EJ274" s="532"/>
      <c r="EK274" s="532"/>
      <c r="EL274" s="532"/>
      <c r="EM274" s="532"/>
      <c r="EN274" s="532"/>
      <c r="EO274" s="532"/>
      <c r="EP274" s="532"/>
      <c r="EQ274" s="532"/>
      <c r="ER274" s="532"/>
      <c r="ES274" s="532"/>
      <c r="ET274" s="532"/>
      <c r="EU274" s="532"/>
      <c r="EV274" s="532"/>
      <c r="EW274" s="532"/>
      <c r="EX274" s="532"/>
      <c r="EY274" s="532"/>
      <c r="EZ274" s="532"/>
      <c r="FA274" s="532"/>
      <c r="FB274" s="532"/>
      <c r="FC274" s="532"/>
      <c r="FD274" s="532"/>
      <c r="FE274" s="532"/>
      <c r="FF274" s="532"/>
      <c r="FG274" s="532"/>
      <c r="FH274" s="532"/>
      <c r="FI274" s="532"/>
      <c r="FJ274" s="532"/>
      <c r="FK274" s="532"/>
      <c r="FL274" s="532"/>
      <c r="FM274" s="532"/>
      <c r="FN274" s="532"/>
      <c r="FO274" s="532"/>
      <c r="FP274" s="532"/>
    </row>
    <row r="275" spans="1:172" ht="12" customHeight="1" x14ac:dyDescent="0.2">
      <c r="A275" s="533" t="s">
        <v>152</v>
      </c>
      <c r="B275" s="534"/>
      <c r="C275" s="658">
        <f t="shared" ref="C275:N275" si="140">SUM(C273:C274)</f>
        <v>1661</v>
      </c>
      <c r="D275" s="658">
        <f t="shared" si="140"/>
        <v>1574</v>
      </c>
      <c r="E275" s="208">
        <f t="shared" si="140"/>
        <v>1509</v>
      </c>
      <c r="F275" s="208">
        <f t="shared" si="140"/>
        <v>1685</v>
      </c>
      <c r="G275" s="208">
        <f t="shared" si="140"/>
        <v>1719</v>
      </c>
      <c r="H275" s="208">
        <f t="shared" si="140"/>
        <v>1873</v>
      </c>
      <c r="I275" s="208">
        <f t="shared" si="140"/>
        <v>1735</v>
      </c>
      <c r="J275" s="208">
        <f t="shared" si="140"/>
        <v>1853</v>
      </c>
      <c r="K275" s="208">
        <f t="shared" si="140"/>
        <v>1676</v>
      </c>
      <c r="L275" s="562">
        <f t="shared" si="140"/>
        <v>1508</v>
      </c>
      <c r="M275" s="562">
        <f t="shared" si="140"/>
        <v>1752</v>
      </c>
      <c r="N275" s="562">
        <f t="shared" si="140"/>
        <v>1807</v>
      </c>
      <c r="O275" s="530">
        <f>SUM(C275:N275)</f>
        <v>20352</v>
      </c>
      <c r="P275" s="553"/>
      <c r="Q275" s="531"/>
      <c r="R275" s="531"/>
      <c r="S275" s="531"/>
      <c r="T275" s="531"/>
      <c r="U275" s="531"/>
      <c r="V275" s="531"/>
      <c r="W275" s="531"/>
      <c r="X275" s="531"/>
      <c r="Y275" s="531"/>
      <c r="Z275" s="531"/>
      <c r="AA275" s="531"/>
      <c r="AB275" s="531"/>
      <c r="AC275" s="531"/>
      <c r="AD275" s="531"/>
      <c r="AE275" s="531"/>
      <c r="AF275" s="531"/>
      <c r="AG275" s="531"/>
      <c r="AH275" s="532"/>
      <c r="AI275" s="532"/>
      <c r="AJ275" s="532"/>
      <c r="AK275" s="532"/>
      <c r="AL275" s="532"/>
      <c r="AM275" s="532"/>
      <c r="AN275" s="532"/>
      <c r="AO275" s="532"/>
      <c r="AP275" s="532"/>
      <c r="AQ275" s="532"/>
      <c r="AR275" s="532"/>
      <c r="AS275" s="532"/>
      <c r="AT275" s="532"/>
      <c r="AU275" s="532"/>
      <c r="AV275" s="532"/>
      <c r="AW275" s="532"/>
      <c r="AX275" s="532"/>
      <c r="AY275" s="532"/>
      <c r="AZ275" s="532"/>
      <c r="BA275" s="532"/>
      <c r="BB275" s="532"/>
      <c r="BC275" s="532"/>
      <c r="BD275" s="532"/>
      <c r="BE275" s="532"/>
      <c r="BF275" s="532"/>
      <c r="BG275" s="532"/>
      <c r="BH275" s="532"/>
      <c r="BI275" s="532"/>
      <c r="BJ275" s="532"/>
      <c r="BK275" s="532"/>
      <c r="BL275" s="532"/>
      <c r="BM275" s="532"/>
      <c r="BN275" s="532"/>
      <c r="BO275" s="532"/>
      <c r="BP275" s="532"/>
      <c r="BQ275" s="532"/>
      <c r="BR275" s="532"/>
      <c r="BS275" s="532"/>
      <c r="BT275" s="532"/>
      <c r="BU275" s="532"/>
      <c r="BV275" s="532"/>
      <c r="BW275" s="532"/>
      <c r="BX275" s="532"/>
      <c r="BY275" s="532"/>
      <c r="BZ275" s="532"/>
      <c r="CA275" s="532"/>
      <c r="CB275" s="532"/>
      <c r="CC275" s="532"/>
      <c r="CD275" s="532"/>
      <c r="CE275" s="532"/>
      <c r="CF275" s="532"/>
      <c r="CG275" s="532"/>
      <c r="CH275" s="532"/>
      <c r="CI275" s="532"/>
      <c r="CJ275" s="532"/>
      <c r="CK275" s="532"/>
      <c r="CL275" s="532"/>
      <c r="CM275" s="532"/>
      <c r="CN275" s="532"/>
      <c r="CO275" s="532"/>
      <c r="CP275" s="532"/>
      <c r="CQ275" s="532"/>
      <c r="CR275" s="532"/>
      <c r="CS275" s="532"/>
      <c r="CT275" s="532"/>
      <c r="CU275" s="532"/>
      <c r="CV275" s="532"/>
      <c r="CW275" s="532"/>
      <c r="CX275" s="532"/>
      <c r="CY275" s="532"/>
      <c r="CZ275" s="532"/>
      <c r="DA275" s="532"/>
      <c r="DB275" s="532"/>
      <c r="DC275" s="532"/>
      <c r="DD275" s="532"/>
      <c r="DE275" s="532"/>
      <c r="DF275" s="532"/>
      <c r="DG275" s="532"/>
      <c r="DH275" s="532"/>
      <c r="DI275" s="532"/>
      <c r="DJ275" s="532"/>
      <c r="DK275" s="532"/>
      <c r="DL275" s="532"/>
      <c r="DM275" s="532"/>
      <c r="DN275" s="532"/>
      <c r="DO275" s="532"/>
      <c r="DP275" s="532"/>
      <c r="DQ275" s="532"/>
      <c r="DR275" s="532"/>
      <c r="DS275" s="532"/>
      <c r="DT275" s="532"/>
      <c r="DU275" s="532"/>
      <c r="DV275" s="532"/>
      <c r="DW275" s="532"/>
      <c r="DX275" s="532"/>
      <c r="DY275" s="532"/>
      <c r="DZ275" s="532"/>
      <c r="EA275" s="532"/>
      <c r="EB275" s="532"/>
      <c r="EC275" s="532"/>
      <c r="ED275" s="532"/>
      <c r="EE275" s="532"/>
      <c r="EF275" s="532"/>
      <c r="EG275" s="532"/>
      <c r="EH275" s="532"/>
      <c r="EI275" s="532"/>
      <c r="EJ275" s="532"/>
      <c r="EK275" s="532"/>
      <c r="EL275" s="532"/>
      <c r="EM275" s="532"/>
      <c r="EN275" s="532"/>
      <c r="EO275" s="532"/>
      <c r="EP275" s="532"/>
      <c r="EQ275" s="532"/>
      <c r="ER275" s="532"/>
      <c r="ES275" s="532"/>
      <c r="ET275" s="532"/>
      <c r="EU275" s="532"/>
      <c r="EV275" s="532"/>
      <c r="EW275" s="532"/>
      <c r="EX275" s="532"/>
      <c r="EY275" s="532"/>
      <c r="EZ275" s="532"/>
      <c r="FA275" s="532"/>
      <c r="FB275" s="532"/>
      <c r="FC275" s="532"/>
      <c r="FD275" s="532"/>
      <c r="FE275" s="532"/>
      <c r="FF275" s="532"/>
      <c r="FG275" s="532"/>
      <c r="FH275" s="532"/>
      <c r="FI275" s="532"/>
      <c r="FJ275" s="532"/>
      <c r="FK275" s="532"/>
      <c r="FL275" s="532"/>
      <c r="FM275" s="532"/>
      <c r="FN275" s="532"/>
      <c r="FO275" s="532"/>
      <c r="FP275" s="532"/>
    </row>
    <row r="276" spans="1:172" ht="12" customHeight="1" x14ac:dyDescent="0.2">
      <c r="A276" s="537"/>
      <c r="B276" s="534"/>
      <c r="C276" s="534"/>
      <c r="D276" s="534"/>
      <c r="E276" s="534"/>
      <c r="F276" s="534"/>
      <c r="G276" s="534"/>
      <c r="H276" s="534"/>
      <c r="I276" s="534"/>
      <c r="J276" s="534"/>
      <c r="K276" s="658"/>
      <c r="L276" s="562"/>
      <c r="M276" s="562"/>
      <c r="N276" s="562"/>
      <c r="O276" s="530"/>
      <c r="P276" s="531"/>
      <c r="Q276" s="531"/>
      <c r="R276" s="531"/>
      <c r="S276" s="531"/>
      <c r="T276" s="531"/>
      <c r="U276" s="531"/>
      <c r="V276" s="531"/>
      <c r="W276" s="531"/>
      <c r="X276" s="531"/>
      <c r="Y276" s="531"/>
      <c r="Z276" s="531"/>
      <c r="AA276" s="531"/>
      <c r="AB276" s="531"/>
      <c r="AC276" s="531"/>
      <c r="AD276" s="531"/>
      <c r="AE276" s="531"/>
      <c r="AF276" s="531"/>
      <c r="AG276" s="531"/>
      <c r="AH276" s="532"/>
      <c r="AI276" s="532"/>
      <c r="AJ276" s="532"/>
      <c r="AK276" s="532"/>
      <c r="AL276" s="532"/>
      <c r="AM276" s="532"/>
      <c r="AN276" s="532"/>
      <c r="AO276" s="532"/>
      <c r="AP276" s="532"/>
      <c r="AQ276" s="532"/>
      <c r="AR276" s="532"/>
      <c r="AS276" s="532"/>
      <c r="AT276" s="532"/>
      <c r="AU276" s="532"/>
      <c r="AV276" s="532"/>
      <c r="AW276" s="532"/>
      <c r="AX276" s="532"/>
      <c r="AY276" s="532"/>
      <c r="AZ276" s="532"/>
      <c r="BA276" s="532"/>
      <c r="BB276" s="532"/>
      <c r="BC276" s="532"/>
      <c r="BD276" s="532"/>
      <c r="BE276" s="532"/>
      <c r="BF276" s="532"/>
      <c r="BG276" s="532"/>
      <c r="BH276" s="532"/>
      <c r="BI276" s="532"/>
      <c r="BJ276" s="532"/>
      <c r="BK276" s="532"/>
      <c r="BL276" s="532"/>
      <c r="BM276" s="532"/>
      <c r="BN276" s="532"/>
      <c r="BO276" s="532"/>
      <c r="BP276" s="532"/>
      <c r="BQ276" s="532"/>
      <c r="BR276" s="532"/>
      <c r="BS276" s="532"/>
      <c r="BT276" s="532"/>
      <c r="BU276" s="532"/>
      <c r="BV276" s="532"/>
      <c r="BW276" s="532"/>
      <c r="BX276" s="532"/>
      <c r="BY276" s="532"/>
      <c r="BZ276" s="532"/>
      <c r="CA276" s="532"/>
      <c r="CB276" s="532"/>
      <c r="CC276" s="532"/>
      <c r="CD276" s="532"/>
      <c r="CE276" s="532"/>
      <c r="CF276" s="532"/>
      <c r="CG276" s="532"/>
      <c r="CH276" s="532"/>
      <c r="CI276" s="532"/>
      <c r="CJ276" s="532"/>
      <c r="CK276" s="532"/>
      <c r="CL276" s="532"/>
      <c r="CM276" s="532"/>
      <c r="CN276" s="532"/>
      <c r="CO276" s="532"/>
      <c r="CP276" s="532"/>
      <c r="CQ276" s="532"/>
      <c r="CR276" s="532"/>
      <c r="CS276" s="532"/>
      <c r="CT276" s="532"/>
      <c r="CU276" s="532"/>
      <c r="CV276" s="532"/>
      <c r="CW276" s="532"/>
      <c r="CX276" s="532"/>
      <c r="CY276" s="532"/>
      <c r="CZ276" s="532"/>
      <c r="DA276" s="532"/>
      <c r="DB276" s="532"/>
      <c r="DC276" s="532"/>
      <c r="DD276" s="532"/>
      <c r="DE276" s="532"/>
      <c r="DF276" s="532"/>
      <c r="DG276" s="532"/>
      <c r="DH276" s="532"/>
      <c r="DI276" s="532"/>
      <c r="DJ276" s="532"/>
      <c r="DK276" s="532"/>
      <c r="DL276" s="532"/>
      <c r="DM276" s="532"/>
      <c r="DN276" s="532"/>
      <c r="DO276" s="532"/>
      <c r="DP276" s="532"/>
      <c r="DQ276" s="532"/>
      <c r="DR276" s="532"/>
      <c r="DS276" s="532"/>
      <c r="DT276" s="532"/>
      <c r="DU276" s="532"/>
      <c r="DV276" s="532"/>
      <c r="DW276" s="532"/>
      <c r="DX276" s="532"/>
      <c r="DY276" s="532"/>
      <c r="DZ276" s="532"/>
      <c r="EA276" s="532"/>
      <c r="EB276" s="532"/>
      <c r="EC276" s="532"/>
      <c r="ED276" s="532"/>
      <c r="EE276" s="532"/>
      <c r="EF276" s="532"/>
      <c r="EG276" s="532"/>
      <c r="EH276" s="532"/>
      <c r="EI276" s="532"/>
      <c r="EJ276" s="532"/>
      <c r="EK276" s="532"/>
      <c r="EL276" s="532"/>
      <c r="EM276" s="532"/>
      <c r="EN276" s="532"/>
      <c r="EO276" s="532"/>
      <c r="EP276" s="532"/>
      <c r="EQ276" s="532"/>
      <c r="ER276" s="532"/>
      <c r="ES276" s="532"/>
      <c r="ET276" s="532"/>
      <c r="EU276" s="532"/>
      <c r="EV276" s="532"/>
      <c r="EW276" s="532"/>
      <c r="EX276" s="532"/>
      <c r="EY276" s="532"/>
      <c r="EZ276" s="532"/>
      <c r="FA276" s="532"/>
      <c r="FB276" s="532"/>
      <c r="FC276" s="532"/>
      <c r="FD276" s="532"/>
      <c r="FE276" s="532"/>
      <c r="FF276" s="532"/>
      <c r="FG276" s="532"/>
      <c r="FH276" s="532"/>
      <c r="FI276" s="532"/>
      <c r="FJ276" s="532"/>
      <c r="FK276" s="532"/>
      <c r="FL276" s="532"/>
      <c r="FM276" s="532"/>
      <c r="FN276" s="532"/>
      <c r="FO276" s="532"/>
      <c r="FP276" s="532"/>
    </row>
    <row r="277" spans="1:172" ht="12" customHeight="1" x14ac:dyDescent="0.2">
      <c r="A277" s="538" t="s">
        <v>153</v>
      </c>
      <c r="B277" s="534"/>
      <c r="C277" s="534"/>
      <c r="D277" s="534"/>
      <c r="E277" s="534"/>
      <c r="F277" s="534"/>
      <c r="G277" s="534"/>
      <c r="H277" s="534"/>
      <c r="I277" s="534"/>
      <c r="J277" s="534"/>
      <c r="K277" s="658"/>
      <c r="L277" s="562"/>
      <c r="M277" s="562"/>
      <c r="N277" s="562"/>
      <c r="O277" s="530"/>
      <c r="P277" s="531"/>
      <c r="Q277" s="531"/>
      <c r="R277" s="531"/>
      <c r="S277" s="531"/>
      <c r="T277" s="531"/>
      <c r="U277" s="531"/>
      <c r="V277" s="531"/>
      <c r="W277" s="531"/>
      <c r="X277" s="531"/>
      <c r="Y277" s="531"/>
      <c r="Z277" s="531"/>
      <c r="AA277" s="531"/>
      <c r="AB277" s="531"/>
      <c r="AC277" s="531"/>
      <c r="AD277" s="531"/>
      <c r="AE277" s="531"/>
      <c r="AF277" s="531"/>
      <c r="AG277" s="531"/>
      <c r="AH277" s="532"/>
      <c r="AI277" s="532"/>
      <c r="AJ277" s="532"/>
      <c r="AK277" s="532"/>
      <c r="AL277" s="532"/>
      <c r="AM277" s="532"/>
      <c r="AN277" s="532"/>
      <c r="AO277" s="532"/>
      <c r="AP277" s="532"/>
      <c r="AQ277" s="532"/>
      <c r="AR277" s="532"/>
      <c r="AS277" s="532"/>
      <c r="AT277" s="532"/>
      <c r="AU277" s="532"/>
      <c r="AV277" s="532"/>
      <c r="AW277" s="532"/>
      <c r="AX277" s="532"/>
      <c r="AY277" s="532"/>
      <c r="AZ277" s="532"/>
      <c r="BA277" s="532"/>
      <c r="BB277" s="532"/>
      <c r="BC277" s="532"/>
      <c r="BD277" s="532"/>
      <c r="BE277" s="532"/>
      <c r="BF277" s="532"/>
      <c r="BG277" s="532"/>
      <c r="BH277" s="532"/>
      <c r="BI277" s="532"/>
      <c r="BJ277" s="532"/>
      <c r="BK277" s="532"/>
      <c r="BL277" s="532"/>
      <c r="BM277" s="532"/>
      <c r="BN277" s="532"/>
      <c r="BO277" s="532"/>
      <c r="BP277" s="532"/>
      <c r="BQ277" s="532"/>
      <c r="BR277" s="532"/>
      <c r="BS277" s="532"/>
      <c r="BT277" s="532"/>
      <c r="BU277" s="532"/>
      <c r="BV277" s="532"/>
      <c r="BW277" s="532"/>
      <c r="BX277" s="532"/>
      <c r="BY277" s="532"/>
      <c r="BZ277" s="532"/>
      <c r="CA277" s="532"/>
      <c r="CB277" s="532"/>
      <c r="CC277" s="532"/>
      <c r="CD277" s="532"/>
      <c r="CE277" s="532"/>
      <c r="CF277" s="532"/>
      <c r="CG277" s="532"/>
      <c r="CH277" s="532"/>
      <c r="CI277" s="532"/>
      <c r="CJ277" s="532"/>
      <c r="CK277" s="532"/>
      <c r="CL277" s="532"/>
      <c r="CM277" s="532"/>
      <c r="CN277" s="532"/>
      <c r="CO277" s="532"/>
      <c r="CP277" s="532"/>
      <c r="CQ277" s="532"/>
      <c r="CR277" s="532"/>
      <c r="CS277" s="532"/>
      <c r="CT277" s="532"/>
      <c r="CU277" s="532"/>
      <c r="CV277" s="532"/>
      <c r="CW277" s="532"/>
      <c r="CX277" s="532"/>
      <c r="CY277" s="532"/>
      <c r="CZ277" s="532"/>
      <c r="DA277" s="532"/>
      <c r="DB277" s="532"/>
      <c r="DC277" s="532"/>
      <c r="DD277" s="532"/>
      <c r="DE277" s="532"/>
      <c r="DF277" s="532"/>
      <c r="DG277" s="532"/>
      <c r="DH277" s="532"/>
      <c r="DI277" s="532"/>
      <c r="DJ277" s="532"/>
      <c r="DK277" s="532"/>
      <c r="DL277" s="532"/>
      <c r="DM277" s="532"/>
      <c r="DN277" s="532"/>
      <c r="DO277" s="532"/>
      <c r="DP277" s="532"/>
      <c r="DQ277" s="532"/>
      <c r="DR277" s="532"/>
      <c r="DS277" s="532"/>
      <c r="DT277" s="532"/>
      <c r="DU277" s="532"/>
      <c r="DV277" s="532"/>
      <c r="DW277" s="532"/>
      <c r="DX277" s="532"/>
      <c r="DY277" s="532"/>
      <c r="DZ277" s="532"/>
      <c r="EA277" s="532"/>
      <c r="EB277" s="532"/>
      <c r="EC277" s="532"/>
      <c r="ED277" s="532"/>
      <c r="EE277" s="532"/>
      <c r="EF277" s="532"/>
      <c r="EG277" s="532"/>
      <c r="EH277" s="532"/>
      <c r="EI277" s="532"/>
      <c r="EJ277" s="532"/>
      <c r="EK277" s="532"/>
      <c r="EL277" s="532"/>
      <c r="EM277" s="532"/>
      <c r="EN277" s="532"/>
      <c r="EO277" s="532"/>
      <c r="EP277" s="532"/>
      <c r="EQ277" s="532"/>
      <c r="ER277" s="532"/>
      <c r="ES277" s="532"/>
      <c r="ET277" s="532"/>
      <c r="EU277" s="532"/>
      <c r="EV277" s="532"/>
      <c r="EW277" s="532"/>
      <c r="EX277" s="532"/>
      <c r="EY277" s="532"/>
      <c r="EZ277" s="532"/>
      <c r="FA277" s="532"/>
      <c r="FB277" s="532"/>
      <c r="FC277" s="532"/>
      <c r="FD277" s="532"/>
      <c r="FE277" s="532"/>
      <c r="FF277" s="532"/>
      <c r="FG277" s="532"/>
      <c r="FH277" s="532"/>
      <c r="FI277" s="532"/>
      <c r="FJ277" s="532"/>
      <c r="FK277" s="532"/>
      <c r="FL277" s="532"/>
      <c r="FM277" s="532"/>
      <c r="FN277" s="532"/>
      <c r="FO277" s="532"/>
      <c r="FP277" s="532"/>
    </row>
    <row r="278" spans="1:172" ht="12" customHeight="1" x14ac:dyDescent="0.2">
      <c r="A278" s="538" t="s">
        <v>154</v>
      </c>
      <c r="B278" s="534"/>
      <c r="C278" s="208">
        <f>255+18+108+56+56+33+34+4+6+21+8+21+1+8+1+2+3+2+2</f>
        <v>639</v>
      </c>
      <c r="D278" s="208">
        <f>62+214+61+25+106+25+5+9+5+18+5+7+18+12+8+3+4+1+1</f>
        <v>589</v>
      </c>
      <c r="E278" s="208">
        <f>206+33+42+14+3+102+31+5+24+7+9+5+2+15+3+1+1+2+38</f>
        <v>543</v>
      </c>
      <c r="F278" s="208">
        <f>233+113+21+36+14+9+35+50+52+6+1+9+12+1+4+23+6+3+4+2</f>
        <v>634</v>
      </c>
      <c r="G278" s="208">
        <f>34+50+19+9+263+66+115+13+33+2+1+21+11+3+26+5+7+6+8+3</f>
        <v>695</v>
      </c>
      <c r="H278" s="208">
        <f>42+72+255+90+79+18+37+16+14+1+6+31+9+5+8+3+1+5+2+4+2</f>
        <v>700</v>
      </c>
      <c r="I278" s="208">
        <f>258+10+10+22+123+42+52+26+65+3+7+3+9+2+3+2+1+2+2+1</f>
        <v>643</v>
      </c>
      <c r="J278" s="208">
        <f>111+291+33+49+22+36+11+17+59+4+1+5+3+2+27+3+8+4+2+1</f>
        <v>689</v>
      </c>
      <c r="K278" s="208">
        <f>229+66+27+55+88+28+23+32+4+8+12+6+6+2+2+2+3+1+1</f>
        <v>595</v>
      </c>
      <c r="L278" s="562">
        <f>66+207+16+23+42+29+5+9+81+3+20+24+4+10+2+2+6+1+2+1</f>
        <v>553</v>
      </c>
      <c r="M278" s="562">
        <f>281+121+66+31+60+37+3+13+8+22+24+34+4+4+9+1+4+3+2</f>
        <v>727</v>
      </c>
      <c r="N278" s="562">
        <f>255+1+60+22+27+97+4+21+18+46+4+7+102+11+4+20+3+2+1+1</f>
        <v>706</v>
      </c>
      <c r="O278" s="530">
        <f>SUM(C278:N278)</f>
        <v>7713</v>
      </c>
      <c r="P278" s="531"/>
      <c r="Q278" s="531"/>
      <c r="R278" s="531"/>
      <c r="S278" s="531"/>
      <c r="T278" s="531"/>
      <c r="U278" s="531"/>
      <c r="V278" s="531"/>
      <c r="W278" s="531"/>
      <c r="X278" s="531"/>
      <c r="Y278" s="531"/>
      <c r="Z278" s="531"/>
      <c r="AA278" s="531"/>
      <c r="AB278" s="531"/>
      <c r="AC278" s="531"/>
      <c r="AD278" s="531"/>
      <c r="AE278" s="531"/>
      <c r="AF278" s="531"/>
      <c r="AG278" s="531"/>
      <c r="AH278" s="532"/>
      <c r="AI278" s="532"/>
      <c r="AJ278" s="532"/>
      <c r="AK278" s="532"/>
      <c r="AL278" s="532"/>
      <c r="AM278" s="532"/>
      <c r="AN278" s="532"/>
      <c r="AO278" s="532"/>
      <c r="AP278" s="532"/>
      <c r="AQ278" s="532"/>
      <c r="AR278" s="532"/>
      <c r="AS278" s="532"/>
      <c r="AT278" s="532"/>
      <c r="AU278" s="532"/>
      <c r="AV278" s="532"/>
      <c r="AW278" s="532"/>
      <c r="AX278" s="532"/>
      <c r="AY278" s="532"/>
      <c r="AZ278" s="532"/>
      <c r="BA278" s="532"/>
      <c r="BB278" s="532"/>
      <c r="BC278" s="532"/>
      <c r="BD278" s="532"/>
      <c r="BE278" s="532"/>
      <c r="BF278" s="532"/>
      <c r="BG278" s="532"/>
      <c r="BH278" s="532"/>
      <c r="BI278" s="532"/>
      <c r="BJ278" s="532"/>
      <c r="BK278" s="532"/>
      <c r="BL278" s="532"/>
      <c r="BM278" s="532"/>
      <c r="BN278" s="532"/>
      <c r="BO278" s="532"/>
      <c r="BP278" s="532"/>
      <c r="BQ278" s="532"/>
      <c r="BR278" s="532"/>
      <c r="BS278" s="532"/>
      <c r="BT278" s="532"/>
      <c r="BU278" s="532"/>
      <c r="BV278" s="532"/>
      <c r="BW278" s="532"/>
      <c r="BX278" s="532"/>
      <c r="BY278" s="532"/>
      <c r="BZ278" s="532"/>
      <c r="CA278" s="532"/>
      <c r="CB278" s="532"/>
      <c r="CC278" s="532"/>
      <c r="CD278" s="532"/>
      <c r="CE278" s="532"/>
      <c r="CF278" s="532"/>
      <c r="CG278" s="532"/>
      <c r="CH278" s="532"/>
      <c r="CI278" s="532"/>
      <c r="CJ278" s="532"/>
      <c r="CK278" s="532"/>
      <c r="CL278" s="532"/>
      <c r="CM278" s="532"/>
      <c r="CN278" s="532"/>
      <c r="CO278" s="532"/>
      <c r="CP278" s="532"/>
      <c r="CQ278" s="532"/>
      <c r="CR278" s="532"/>
      <c r="CS278" s="532"/>
      <c r="CT278" s="532"/>
      <c r="CU278" s="532"/>
      <c r="CV278" s="532"/>
      <c r="CW278" s="532"/>
      <c r="CX278" s="532"/>
      <c r="CY278" s="532"/>
      <c r="CZ278" s="532"/>
      <c r="DA278" s="532"/>
      <c r="DB278" s="532"/>
      <c r="DC278" s="532"/>
      <c r="DD278" s="532"/>
      <c r="DE278" s="532"/>
      <c r="DF278" s="532"/>
      <c r="DG278" s="532"/>
      <c r="DH278" s="532"/>
      <c r="DI278" s="532"/>
      <c r="DJ278" s="532"/>
      <c r="DK278" s="532"/>
      <c r="DL278" s="532"/>
      <c r="DM278" s="532"/>
      <c r="DN278" s="532"/>
      <c r="DO278" s="532"/>
      <c r="DP278" s="532"/>
      <c r="DQ278" s="532"/>
      <c r="DR278" s="532"/>
      <c r="DS278" s="532"/>
      <c r="DT278" s="532"/>
      <c r="DU278" s="532"/>
      <c r="DV278" s="532"/>
      <c r="DW278" s="532"/>
      <c r="DX278" s="532"/>
      <c r="DY278" s="532"/>
      <c r="DZ278" s="532"/>
      <c r="EA278" s="532"/>
      <c r="EB278" s="532"/>
      <c r="EC278" s="532"/>
      <c r="ED278" s="532"/>
      <c r="EE278" s="532"/>
      <c r="EF278" s="532"/>
      <c r="EG278" s="532"/>
      <c r="EH278" s="532"/>
      <c r="EI278" s="532"/>
      <c r="EJ278" s="532"/>
      <c r="EK278" s="532"/>
      <c r="EL278" s="532"/>
      <c r="EM278" s="532"/>
      <c r="EN278" s="532"/>
      <c r="EO278" s="532"/>
      <c r="EP278" s="532"/>
      <c r="EQ278" s="532"/>
      <c r="ER278" s="532"/>
      <c r="ES278" s="532"/>
      <c r="ET278" s="532"/>
      <c r="EU278" s="532"/>
      <c r="EV278" s="532"/>
      <c r="EW278" s="532"/>
      <c r="EX278" s="532"/>
      <c r="EY278" s="532"/>
      <c r="EZ278" s="532"/>
      <c r="FA278" s="532"/>
      <c r="FB278" s="532"/>
      <c r="FC278" s="532"/>
      <c r="FD278" s="532"/>
      <c r="FE278" s="532"/>
      <c r="FF278" s="532"/>
      <c r="FG278" s="532"/>
      <c r="FH278" s="532"/>
      <c r="FI278" s="532"/>
      <c r="FJ278" s="532"/>
      <c r="FK278" s="532"/>
      <c r="FL278" s="532"/>
      <c r="FM278" s="532"/>
      <c r="FN278" s="532"/>
      <c r="FO278" s="532"/>
      <c r="FP278" s="532"/>
    </row>
    <row r="279" spans="1:172" ht="12" customHeight="1" x14ac:dyDescent="0.2">
      <c r="A279" s="538" t="s">
        <v>155</v>
      </c>
      <c r="B279" s="534"/>
      <c r="C279" s="208">
        <f>93+2</f>
        <v>95</v>
      </c>
      <c r="D279" s="208">
        <f>70+1</f>
        <v>71</v>
      </c>
      <c r="E279" s="208">
        <f>78</f>
        <v>78</v>
      </c>
      <c r="F279" s="208">
        <v>79</v>
      </c>
      <c r="G279" s="208">
        <v>80</v>
      </c>
      <c r="H279" s="208">
        <v>101</v>
      </c>
      <c r="I279" s="208">
        <f>88</f>
        <v>88</v>
      </c>
      <c r="J279" s="208">
        <f>85+1</f>
        <v>86</v>
      </c>
      <c r="K279" s="208">
        <f>92+1</f>
        <v>93</v>
      </c>
      <c r="L279" s="562">
        <f>80</f>
        <v>80</v>
      </c>
      <c r="M279" s="562">
        <f>113+1</f>
        <v>114</v>
      </c>
      <c r="N279" s="562">
        <f>77+1</f>
        <v>78</v>
      </c>
      <c r="O279" s="530">
        <f t="shared" ref="O279:O284" si="141">SUM(C279:N279)</f>
        <v>1043</v>
      </c>
      <c r="P279" s="531"/>
      <c r="Q279" s="531"/>
      <c r="R279" s="531"/>
      <c r="S279" s="531"/>
      <c r="T279" s="531"/>
      <c r="U279" s="531"/>
      <c r="V279" s="531"/>
      <c r="W279" s="531"/>
      <c r="X279" s="531"/>
      <c r="Y279" s="531"/>
      <c r="Z279" s="531"/>
      <c r="AA279" s="531"/>
      <c r="AB279" s="531"/>
      <c r="AC279" s="531"/>
      <c r="AD279" s="531"/>
      <c r="AE279" s="531"/>
      <c r="AF279" s="531"/>
      <c r="AG279" s="531"/>
      <c r="AH279" s="532"/>
      <c r="AI279" s="532"/>
      <c r="AJ279" s="532"/>
      <c r="AK279" s="532"/>
      <c r="AL279" s="532"/>
      <c r="AM279" s="532"/>
      <c r="AN279" s="532"/>
      <c r="AO279" s="532"/>
      <c r="AP279" s="532"/>
      <c r="AQ279" s="532"/>
      <c r="AR279" s="532"/>
      <c r="AS279" s="532"/>
      <c r="AT279" s="532"/>
      <c r="AU279" s="532"/>
      <c r="AV279" s="532"/>
      <c r="AW279" s="532"/>
      <c r="AX279" s="532"/>
      <c r="AY279" s="532"/>
      <c r="AZ279" s="532"/>
      <c r="BA279" s="532"/>
      <c r="BB279" s="532"/>
      <c r="BC279" s="532"/>
      <c r="BD279" s="532"/>
      <c r="BE279" s="532"/>
      <c r="BF279" s="532"/>
      <c r="BG279" s="532"/>
      <c r="BH279" s="532"/>
      <c r="BI279" s="532"/>
      <c r="BJ279" s="532"/>
      <c r="BK279" s="532"/>
      <c r="BL279" s="532"/>
      <c r="BM279" s="532"/>
      <c r="BN279" s="532"/>
      <c r="BO279" s="532"/>
      <c r="BP279" s="532"/>
      <c r="BQ279" s="532"/>
      <c r="BR279" s="532"/>
      <c r="BS279" s="532"/>
      <c r="BT279" s="532"/>
      <c r="BU279" s="532"/>
      <c r="BV279" s="532"/>
      <c r="BW279" s="532"/>
      <c r="BX279" s="532"/>
      <c r="BY279" s="532"/>
      <c r="BZ279" s="532"/>
      <c r="CA279" s="532"/>
      <c r="CB279" s="532"/>
      <c r="CC279" s="532"/>
      <c r="CD279" s="532"/>
      <c r="CE279" s="532"/>
      <c r="CF279" s="532"/>
      <c r="CG279" s="532"/>
      <c r="CH279" s="532"/>
      <c r="CI279" s="532"/>
      <c r="CJ279" s="532"/>
      <c r="CK279" s="532"/>
      <c r="CL279" s="532"/>
      <c r="CM279" s="532"/>
      <c r="CN279" s="532"/>
      <c r="CO279" s="532"/>
      <c r="CP279" s="532"/>
      <c r="CQ279" s="532"/>
      <c r="CR279" s="532"/>
      <c r="CS279" s="532"/>
      <c r="CT279" s="532"/>
      <c r="CU279" s="532"/>
      <c r="CV279" s="532"/>
      <c r="CW279" s="532"/>
      <c r="CX279" s="532"/>
      <c r="CY279" s="532"/>
      <c r="CZ279" s="532"/>
      <c r="DA279" s="532"/>
      <c r="DB279" s="532"/>
      <c r="DC279" s="532"/>
      <c r="DD279" s="532"/>
      <c r="DE279" s="532"/>
      <c r="DF279" s="532"/>
      <c r="DG279" s="532"/>
      <c r="DH279" s="532"/>
      <c r="DI279" s="532"/>
      <c r="DJ279" s="532"/>
      <c r="DK279" s="532"/>
      <c r="DL279" s="532"/>
      <c r="DM279" s="532"/>
      <c r="DN279" s="532"/>
      <c r="DO279" s="532"/>
      <c r="DP279" s="532"/>
      <c r="DQ279" s="532"/>
      <c r="DR279" s="532"/>
      <c r="DS279" s="532"/>
      <c r="DT279" s="532"/>
      <c r="DU279" s="532"/>
      <c r="DV279" s="532"/>
      <c r="DW279" s="532"/>
      <c r="DX279" s="532"/>
      <c r="DY279" s="532"/>
      <c r="DZ279" s="532"/>
      <c r="EA279" s="532"/>
      <c r="EB279" s="532"/>
      <c r="EC279" s="532"/>
      <c r="ED279" s="532"/>
      <c r="EE279" s="532"/>
      <c r="EF279" s="532"/>
      <c r="EG279" s="532"/>
      <c r="EH279" s="532"/>
      <c r="EI279" s="532"/>
      <c r="EJ279" s="532"/>
      <c r="EK279" s="532"/>
      <c r="EL279" s="532"/>
      <c r="EM279" s="532"/>
      <c r="EN279" s="532"/>
      <c r="EO279" s="532"/>
      <c r="EP279" s="532"/>
      <c r="EQ279" s="532"/>
      <c r="ER279" s="532"/>
      <c r="ES279" s="532"/>
      <c r="ET279" s="532"/>
      <c r="EU279" s="532"/>
      <c r="EV279" s="532"/>
      <c r="EW279" s="532"/>
      <c r="EX279" s="532"/>
      <c r="EY279" s="532"/>
      <c r="EZ279" s="532"/>
      <c r="FA279" s="532"/>
      <c r="FB279" s="532"/>
      <c r="FC279" s="532"/>
      <c r="FD279" s="532"/>
      <c r="FE279" s="532"/>
      <c r="FF279" s="532"/>
      <c r="FG279" s="532"/>
      <c r="FH279" s="532"/>
      <c r="FI279" s="532"/>
      <c r="FJ279" s="532"/>
      <c r="FK279" s="532"/>
      <c r="FL279" s="532"/>
      <c r="FM279" s="532"/>
      <c r="FN279" s="532"/>
      <c r="FO279" s="532"/>
      <c r="FP279" s="532"/>
    </row>
    <row r="280" spans="1:172" ht="12" customHeight="1" x14ac:dyDescent="0.2">
      <c r="A280" s="538" t="s">
        <v>156</v>
      </c>
      <c r="B280" s="534"/>
      <c r="C280" s="208">
        <f>24+18</f>
        <v>42</v>
      </c>
      <c r="D280" s="208">
        <f>25+23</f>
        <v>48</v>
      </c>
      <c r="E280" s="208">
        <f>18+9</f>
        <v>27</v>
      </c>
      <c r="F280" s="208">
        <f>14+15</f>
        <v>29</v>
      </c>
      <c r="G280" s="208">
        <f>25+17</f>
        <v>42</v>
      </c>
      <c r="H280" s="208">
        <f>15+21</f>
        <v>36</v>
      </c>
      <c r="I280" s="208">
        <f>17+19+1</f>
        <v>37</v>
      </c>
      <c r="J280" s="208">
        <f>22+23</f>
        <v>45</v>
      </c>
      <c r="K280" s="208">
        <f>3+21+14+1</f>
        <v>39</v>
      </c>
      <c r="L280" s="562">
        <f>19+17</f>
        <v>36</v>
      </c>
      <c r="M280" s="562">
        <f>17+29</f>
        <v>46</v>
      </c>
      <c r="N280" s="562">
        <f>22+13+1</f>
        <v>36</v>
      </c>
      <c r="O280" s="530">
        <f t="shared" si="141"/>
        <v>463</v>
      </c>
      <c r="P280" s="531"/>
      <c r="Q280" s="531"/>
      <c r="R280" s="531"/>
      <c r="S280" s="531"/>
      <c r="T280" s="531"/>
      <c r="U280" s="531"/>
      <c r="V280" s="531"/>
      <c r="W280" s="531"/>
      <c r="X280" s="531"/>
      <c r="Y280" s="531"/>
      <c r="Z280" s="531"/>
      <c r="AA280" s="531"/>
      <c r="AB280" s="531"/>
      <c r="AC280" s="531"/>
      <c r="AD280" s="531"/>
      <c r="AE280" s="531"/>
      <c r="AF280" s="531"/>
      <c r="AG280" s="531"/>
      <c r="AH280" s="532"/>
      <c r="AI280" s="532"/>
      <c r="AJ280" s="532"/>
      <c r="AK280" s="532"/>
      <c r="AL280" s="532"/>
      <c r="AM280" s="532"/>
      <c r="AN280" s="532"/>
      <c r="AO280" s="532"/>
      <c r="AP280" s="532"/>
      <c r="AQ280" s="532"/>
      <c r="AR280" s="532"/>
      <c r="AS280" s="532"/>
      <c r="AT280" s="532"/>
      <c r="AU280" s="532"/>
      <c r="AV280" s="532"/>
      <c r="AW280" s="532"/>
      <c r="AX280" s="532"/>
      <c r="AY280" s="532"/>
      <c r="AZ280" s="532"/>
      <c r="BA280" s="532"/>
      <c r="BB280" s="532"/>
      <c r="BC280" s="532"/>
      <c r="BD280" s="532"/>
      <c r="BE280" s="532"/>
      <c r="BF280" s="532"/>
      <c r="BG280" s="532"/>
      <c r="BH280" s="532"/>
      <c r="BI280" s="532"/>
      <c r="BJ280" s="532"/>
      <c r="BK280" s="532"/>
      <c r="BL280" s="532"/>
      <c r="BM280" s="532"/>
      <c r="BN280" s="532"/>
      <c r="BO280" s="532"/>
      <c r="BP280" s="532"/>
      <c r="BQ280" s="532"/>
      <c r="BR280" s="532"/>
      <c r="BS280" s="532"/>
      <c r="BT280" s="532"/>
      <c r="BU280" s="532"/>
      <c r="BV280" s="532"/>
      <c r="BW280" s="532"/>
      <c r="BX280" s="532"/>
      <c r="BY280" s="532"/>
      <c r="BZ280" s="532"/>
      <c r="CA280" s="532"/>
      <c r="CB280" s="532"/>
      <c r="CC280" s="532"/>
      <c r="CD280" s="532"/>
      <c r="CE280" s="532"/>
      <c r="CF280" s="532"/>
      <c r="CG280" s="532"/>
      <c r="CH280" s="532"/>
      <c r="CI280" s="532"/>
      <c r="CJ280" s="532"/>
      <c r="CK280" s="532"/>
      <c r="CL280" s="532"/>
      <c r="CM280" s="532"/>
      <c r="CN280" s="532"/>
      <c r="CO280" s="532"/>
      <c r="CP280" s="532"/>
      <c r="CQ280" s="532"/>
      <c r="CR280" s="532"/>
      <c r="CS280" s="532"/>
      <c r="CT280" s="532"/>
      <c r="CU280" s="532"/>
      <c r="CV280" s="532"/>
      <c r="CW280" s="532"/>
      <c r="CX280" s="532"/>
      <c r="CY280" s="532"/>
      <c r="CZ280" s="532"/>
      <c r="DA280" s="532"/>
      <c r="DB280" s="532"/>
      <c r="DC280" s="532"/>
      <c r="DD280" s="532"/>
      <c r="DE280" s="532"/>
      <c r="DF280" s="532"/>
      <c r="DG280" s="532"/>
      <c r="DH280" s="532"/>
      <c r="DI280" s="532"/>
      <c r="DJ280" s="532"/>
      <c r="DK280" s="532"/>
      <c r="DL280" s="532"/>
      <c r="DM280" s="532"/>
      <c r="DN280" s="532"/>
      <c r="DO280" s="532"/>
      <c r="DP280" s="532"/>
      <c r="DQ280" s="532"/>
      <c r="DR280" s="532"/>
      <c r="DS280" s="532"/>
      <c r="DT280" s="532"/>
      <c r="DU280" s="532"/>
      <c r="DV280" s="532"/>
      <c r="DW280" s="532"/>
      <c r="DX280" s="532"/>
      <c r="DY280" s="532"/>
      <c r="DZ280" s="532"/>
      <c r="EA280" s="532"/>
      <c r="EB280" s="532"/>
      <c r="EC280" s="532"/>
      <c r="ED280" s="532"/>
      <c r="EE280" s="532"/>
      <c r="EF280" s="532"/>
      <c r="EG280" s="532"/>
      <c r="EH280" s="532"/>
      <c r="EI280" s="532"/>
      <c r="EJ280" s="532"/>
      <c r="EK280" s="532"/>
      <c r="EL280" s="532"/>
      <c r="EM280" s="532"/>
      <c r="EN280" s="532"/>
      <c r="EO280" s="532"/>
      <c r="EP280" s="532"/>
      <c r="EQ280" s="532"/>
      <c r="ER280" s="532"/>
      <c r="ES280" s="532"/>
      <c r="ET280" s="532"/>
      <c r="EU280" s="532"/>
      <c r="EV280" s="532"/>
      <c r="EW280" s="532"/>
      <c r="EX280" s="532"/>
      <c r="EY280" s="532"/>
      <c r="EZ280" s="532"/>
      <c r="FA280" s="532"/>
      <c r="FB280" s="532"/>
      <c r="FC280" s="532"/>
      <c r="FD280" s="532"/>
      <c r="FE280" s="532"/>
      <c r="FF280" s="532"/>
      <c r="FG280" s="532"/>
      <c r="FH280" s="532"/>
      <c r="FI280" s="532"/>
      <c r="FJ280" s="532"/>
      <c r="FK280" s="532"/>
      <c r="FL280" s="532"/>
      <c r="FM280" s="532"/>
      <c r="FN280" s="532"/>
      <c r="FO280" s="532"/>
      <c r="FP280" s="532"/>
    </row>
    <row r="281" spans="1:172" ht="12" customHeight="1" x14ac:dyDescent="0.2">
      <c r="A281" s="538" t="s">
        <v>157</v>
      </c>
      <c r="B281" s="534"/>
      <c r="C281" s="208">
        <v>279</v>
      </c>
      <c r="D281" s="208">
        <v>281</v>
      </c>
      <c r="E281" s="208">
        <v>259</v>
      </c>
      <c r="F281" s="208">
        <v>324</v>
      </c>
      <c r="G281" s="208">
        <v>308</v>
      </c>
      <c r="H281" s="208">
        <v>385</v>
      </c>
      <c r="I281" s="208">
        <v>343</v>
      </c>
      <c r="J281" s="208">
        <v>365</v>
      </c>
      <c r="K281" s="208">
        <v>348</v>
      </c>
      <c r="L281" s="562">
        <v>259</v>
      </c>
      <c r="M281" s="562">
        <v>240</v>
      </c>
      <c r="N281" s="562">
        <f>227</f>
        <v>227</v>
      </c>
      <c r="O281" s="530">
        <f t="shared" si="141"/>
        <v>3618</v>
      </c>
      <c r="P281" s="531"/>
      <c r="Q281" s="531"/>
      <c r="R281" s="531"/>
      <c r="S281" s="531"/>
      <c r="T281" s="531"/>
      <c r="U281" s="531"/>
      <c r="V281" s="531"/>
      <c r="W281" s="531"/>
      <c r="X281" s="531"/>
      <c r="Y281" s="531"/>
      <c r="Z281" s="531"/>
      <c r="AA281" s="531"/>
      <c r="AB281" s="531"/>
      <c r="AC281" s="531"/>
      <c r="AD281" s="531"/>
      <c r="AE281" s="531"/>
      <c r="AF281" s="531"/>
      <c r="AG281" s="531"/>
      <c r="AH281" s="532"/>
      <c r="AI281" s="532"/>
      <c r="AJ281" s="532"/>
      <c r="AK281" s="532"/>
      <c r="AL281" s="532"/>
      <c r="AM281" s="532"/>
      <c r="AN281" s="532"/>
      <c r="AO281" s="532"/>
      <c r="AP281" s="532"/>
      <c r="AQ281" s="532"/>
      <c r="AR281" s="532"/>
      <c r="AS281" s="532"/>
      <c r="AT281" s="532"/>
      <c r="AU281" s="532"/>
      <c r="AV281" s="532"/>
      <c r="AW281" s="532"/>
      <c r="AX281" s="532"/>
      <c r="AY281" s="532"/>
      <c r="AZ281" s="532"/>
      <c r="BA281" s="532"/>
      <c r="BB281" s="532"/>
      <c r="BC281" s="532"/>
      <c r="BD281" s="532"/>
      <c r="BE281" s="532"/>
      <c r="BF281" s="532"/>
      <c r="BG281" s="532"/>
      <c r="BH281" s="532"/>
      <c r="BI281" s="532"/>
      <c r="BJ281" s="532"/>
      <c r="BK281" s="532"/>
      <c r="BL281" s="532"/>
      <c r="BM281" s="532"/>
      <c r="BN281" s="532"/>
      <c r="BO281" s="532"/>
      <c r="BP281" s="532"/>
      <c r="BQ281" s="532"/>
      <c r="BR281" s="532"/>
      <c r="BS281" s="532"/>
      <c r="BT281" s="532"/>
      <c r="BU281" s="532"/>
      <c r="BV281" s="532"/>
      <c r="BW281" s="532"/>
      <c r="BX281" s="532"/>
      <c r="BY281" s="532"/>
      <c r="BZ281" s="532"/>
      <c r="CA281" s="532"/>
      <c r="CB281" s="532"/>
      <c r="CC281" s="532"/>
      <c r="CD281" s="532"/>
      <c r="CE281" s="532"/>
      <c r="CF281" s="532"/>
      <c r="CG281" s="532"/>
      <c r="CH281" s="532"/>
      <c r="CI281" s="532"/>
      <c r="CJ281" s="532"/>
      <c r="CK281" s="532"/>
      <c r="CL281" s="532"/>
      <c r="CM281" s="532"/>
      <c r="CN281" s="532"/>
      <c r="CO281" s="532"/>
      <c r="CP281" s="532"/>
      <c r="CQ281" s="532"/>
      <c r="CR281" s="532"/>
      <c r="CS281" s="532"/>
      <c r="CT281" s="532"/>
      <c r="CU281" s="532"/>
      <c r="CV281" s="532"/>
      <c r="CW281" s="532"/>
      <c r="CX281" s="532"/>
      <c r="CY281" s="532"/>
      <c r="CZ281" s="532"/>
      <c r="DA281" s="532"/>
      <c r="DB281" s="532"/>
      <c r="DC281" s="532"/>
      <c r="DD281" s="532"/>
      <c r="DE281" s="532"/>
      <c r="DF281" s="532"/>
      <c r="DG281" s="532"/>
      <c r="DH281" s="532"/>
      <c r="DI281" s="532"/>
      <c r="DJ281" s="532"/>
      <c r="DK281" s="532"/>
      <c r="DL281" s="532"/>
      <c r="DM281" s="532"/>
      <c r="DN281" s="532"/>
      <c r="DO281" s="532"/>
      <c r="DP281" s="532"/>
      <c r="DQ281" s="532"/>
      <c r="DR281" s="532"/>
      <c r="DS281" s="532"/>
      <c r="DT281" s="532"/>
      <c r="DU281" s="532"/>
      <c r="DV281" s="532"/>
      <c r="DW281" s="532"/>
      <c r="DX281" s="532"/>
      <c r="DY281" s="532"/>
      <c r="DZ281" s="532"/>
      <c r="EA281" s="532"/>
      <c r="EB281" s="532"/>
      <c r="EC281" s="532"/>
      <c r="ED281" s="532"/>
      <c r="EE281" s="532"/>
      <c r="EF281" s="532"/>
      <c r="EG281" s="532"/>
      <c r="EH281" s="532"/>
      <c r="EI281" s="532"/>
      <c r="EJ281" s="532"/>
      <c r="EK281" s="532"/>
      <c r="EL281" s="532"/>
      <c r="EM281" s="532"/>
      <c r="EN281" s="532"/>
      <c r="EO281" s="532"/>
      <c r="EP281" s="532"/>
      <c r="EQ281" s="532"/>
      <c r="ER281" s="532"/>
      <c r="ES281" s="532"/>
      <c r="ET281" s="532"/>
      <c r="EU281" s="532"/>
      <c r="EV281" s="532"/>
      <c r="EW281" s="532"/>
      <c r="EX281" s="532"/>
      <c r="EY281" s="532"/>
      <c r="EZ281" s="532"/>
      <c r="FA281" s="532"/>
      <c r="FB281" s="532"/>
      <c r="FC281" s="532"/>
      <c r="FD281" s="532"/>
      <c r="FE281" s="532"/>
      <c r="FF281" s="532"/>
      <c r="FG281" s="532"/>
      <c r="FH281" s="532"/>
      <c r="FI281" s="532"/>
      <c r="FJ281" s="532"/>
      <c r="FK281" s="532"/>
      <c r="FL281" s="532"/>
      <c r="FM281" s="532"/>
      <c r="FN281" s="532"/>
      <c r="FO281" s="532"/>
      <c r="FP281" s="532"/>
    </row>
    <row r="282" spans="1:172" ht="12" customHeight="1" x14ac:dyDescent="0.2">
      <c r="A282" s="538" t="s">
        <v>158</v>
      </c>
      <c r="B282" s="534"/>
      <c r="C282" s="208">
        <v>12</v>
      </c>
      <c r="D282" s="208">
        <v>12</v>
      </c>
      <c r="E282" s="208">
        <v>4</v>
      </c>
      <c r="F282" s="208">
        <v>6</v>
      </c>
      <c r="G282" s="208">
        <v>0</v>
      </c>
      <c r="H282" s="208">
        <v>0</v>
      </c>
      <c r="I282" s="208">
        <v>0</v>
      </c>
      <c r="J282" s="208">
        <v>2</v>
      </c>
      <c r="K282" s="208">
        <v>2</v>
      </c>
      <c r="L282" s="562">
        <v>19</v>
      </c>
      <c r="M282" s="562">
        <v>7</v>
      </c>
      <c r="N282" s="562">
        <v>114</v>
      </c>
      <c r="O282" s="530">
        <f t="shared" si="141"/>
        <v>178</v>
      </c>
      <c r="P282" s="531"/>
      <c r="Q282" s="531"/>
      <c r="R282" s="531"/>
      <c r="S282" s="531"/>
      <c r="T282" s="531"/>
      <c r="U282" s="531"/>
      <c r="V282" s="531"/>
      <c r="W282" s="531"/>
      <c r="X282" s="531"/>
      <c r="Y282" s="531"/>
      <c r="Z282" s="531"/>
      <c r="AA282" s="531"/>
      <c r="AB282" s="531"/>
      <c r="AC282" s="531"/>
      <c r="AD282" s="531"/>
      <c r="AE282" s="531"/>
      <c r="AF282" s="531"/>
      <c r="AG282" s="531"/>
      <c r="AH282" s="532"/>
      <c r="AI282" s="532"/>
      <c r="AJ282" s="532"/>
      <c r="AK282" s="532"/>
      <c r="AL282" s="532"/>
      <c r="AM282" s="532"/>
      <c r="AN282" s="532"/>
      <c r="AO282" s="532"/>
      <c r="AP282" s="532"/>
      <c r="AQ282" s="532"/>
      <c r="AR282" s="532"/>
      <c r="AS282" s="532"/>
      <c r="AT282" s="532"/>
      <c r="AU282" s="532"/>
      <c r="AV282" s="532"/>
      <c r="AW282" s="532"/>
      <c r="AX282" s="532"/>
      <c r="AY282" s="532"/>
      <c r="AZ282" s="532"/>
      <c r="BA282" s="532"/>
      <c r="BB282" s="532"/>
      <c r="BC282" s="532"/>
      <c r="BD282" s="532"/>
      <c r="BE282" s="532"/>
      <c r="BF282" s="532"/>
      <c r="BG282" s="532"/>
      <c r="BH282" s="532"/>
      <c r="BI282" s="532"/>
      <c r="BJ282" s="532"/>
      <c r="BK282" s="532"/>
      <c r="BL282" s="532"/>
      <c r="BM282" s="532"/>
      <c r="BN282" s="532"/>
      <c r="BO282" s="532"/>
      <c r="BP282" s="532"/>
      <c r="BQ282" s="532"/>
      <c r="BR282" s="532"/>
      <c r="BS282" s="532"/>
      <c r="BT282" s="532"/>
      <c r="BU282" s="532"/>
      <c r="BV282" s="532"/>
      <c r="BW282" s="532"/>
      <c r="BX282" s="532"/>
      <c r="BY282" s="532"/>
      <c r="BZ282" s="532"/>
      <c r="CA282" s="532"/>
      <c r="CB282" s="532"/>
      <c r="CC282" s="532"/>
      <c r="CD282" s="532"/>
      <c r="CE282" s="532"/>
      <c r="CF282" s="532"/>
      <c r="CG282" s="532"/>
      <c r="CH282" s="532"/>
      <c r="CI282" s="532"/>
      <c r="CJ282" s="532"/>
      <c r="CK282" s="532"/>
      <c r="CL282" s="532"/>
      <c r="CM282" s="532"/>
      <c r="CN282" s="532"/>
      <c r="CO282" s="532"/>
      <c r="CP282" s="532"/>
      <c r="CQ282" s="532"/>
      <c r="CR282" s="532"/>
      <c r="CS282" s="532"/>
      <c r="CT282" s="532"/>
      <c r="CU282" s="532"/>
      <c r="CV282" s="532"/>
      <c r="CW282" s="532"/>
      <c r="CX282" s="532"/>
      <c r="CY282" s="532"/>
      <c r="CZ282" s="532"/>
      <c r="DA282" s="532"/>
      <c r="DB282" s="532"/>
      <c r="DC282" s="532"/>
      <c r="DD282" s="532"/>
      <c r="DE282" s="532"/>
      <c r="DF282" s="532"/>
      <c r="DG282" s="532"/>
      <c r="DH282" s="532"/>
      <c r="DI282" s="532"/>
      <c r="DJ282" s="532"/>
      <c r="DK282" s="532"/>
      <c r="DL282" s="532"/>
      <c r="DM282" s="532"/>
      <c r="DN282" s="532"/>
      <c r="DO282" s="532"/>
      <c r="DP282" s="532"/>
      <c r="DQ282" s="532"/>
      <c r="DR282" s="532"/>
      <c r="DS282" s="532"/>
      <c r="DT282" s="532"/>
      <c r="DU282" s="532"/>
      <c r="DV282" s="532"/>
      <c r="DW282" s="532"/>
      <c r="DX282" s="532"/>
      <c r="DY282" s="532"/>
      <c r="DZ282" s="532"/>
      <c r="EA282" s="532"/>
      <c r="EB282" s="532"/>
      <c r="EC282" s="532"/>
      <c r="ED282" s="532"/>
      <c r="EE282" s="532"/>
      <c r="EF282" s="532"/>
      <c r="EG282" s="532"/>
      <c r="EH282" s="532"/>
      <c r="EI282" s="532"/>
      <c r="EJ282" s="532"/>
      <c r="EK282" s="532"/>
      <c r="EL282" s="532"/>
      <c r="EM282" s="532"/>
      <c r="EN282" s="532"/>
      <c r="EO282" s="532"/>
      <c r="EP282" s="532"/>
      <c r="EQ282" s="532"/>
      <c r="ER282" s="532"/>
      <c r="ES282" s="532"/>
      <c r="ET282" s="532"/>
      <c r="EU282" s="532"/>
      <c r="EV282" s="532"/>
      <c r="EW282" s="532"/>
      <c r="EX282" s="532"/>
      <c r="EY282" s="532"/>
      <c r="EZ282" s="532"/>
      <c r="FA282" s="532"/>
      <c r="FB282" s="532"/>
      <c r="FC282" s="532"/>
      <c r="FD282" s="532"/>
      <c r="FE282" s="532"/>
      <c r="FF282" s="532"/>
      <c r="FG282" s="532"/>
      <c r="FH282" s="532"/>
      <c r="FI282" s="532"/>
      <c r="FJ282" s="532"/>
      <c r="FK282" s="532"/>
      <c r="FL282" s="532"/>
      <c r="FM282" s="532"/>
      <c r="FN282" s="532"/>
      <c r="FO282" s="532"/>
      <c r="FP282" s="532"/>
    </row>
    <row r="283" spans="1:172" ht="12" customHeight="1" x14ac:dyDescent="0.2">
      <c r="A283" s="538" t="s">
        <v>159</v>
      </c>
      <c r="B283" s="534"/>
      <c r="C283" s="208">
        <v>2</v>
      </c>
      <c r="D283" s="208">
        <v>0</v>
      </c>
      <c r="E283" s="208">
        <v>0</v>
      </c>
      <c r="F283" s="208">
        <v>1</v>
      </c>
      <c r="G283" s="208">
        <v>2</v>
      </c>
      <c r="H283" s="208">
        <v>2</v>
      </c>
      <c r="I283" s="208">
        <v>0</v>
      </c>
      <c r="J283" s="208">
        <v>2</v>
      </c>
      <c r="K283" s="208">
        <v>1</v>
      </c>
      <c r="L283" s="562">
        <v>2</v>
      </c>
      <c r="M283" s="562">
        <v>2</v>
      </c>
      <c r="N283" s="562">
        <v>2</v>
      </c>
      <c r="O283" s="530">
        <f t="shared" si="141"/>
        <v>16</v>
      </c>
      <c r="P283" s="531"/>
      <c r="Q283" s="531"/>
      <c r="R283" s="531"/>
      <c r="S283" s="531"/>
      <c r="T283" s="531"/>
      <c r="U283" s="531"/>
      <c r="V283" s="531"/>
      <c r="W283" s="531"/>
      <c r="X283" s="531"/>
      <c r="Y283" s="531"/>
      <c r="Z283" s="531"/>
      <c r="AA283" s="531"/>
      <c r="AB283" s="531"/>
      <c r="AC283" s="531"/>
      <c r="AD283" s="531"/>
      <c r="AE283" s="531"/>
      <c r="AF283" s="531"/>
      <c r="AG283" s="531"/>
      <c r="AH283" s="532"/>
      <c r="AI283" s="532"/>
      <c r="AJ283" s="532"/>
      <c r="AK283" s="532"/>
      <c r="AL283" s="532"/>
      <c r="AM283" s="532"/>
      <c r="AN283" s="532"/>
      <c r="AO283" s="532"/>
      <c r="AP283" s="532"/>
      <c r="AQ283" s="532"/>
      <c r="AR283" s="532"/>
      <c r="AS283" s="532"/>
      <c r="AT283" s="532"/>
      <c r="AU283" s="532"/>
      <c r="AV283" s="532"/>
      <c r="AW283" s="532"/>
      <c r="AX283" s="532"/>
      <c r="AY283" s="532"/>
      <c r="AZ283" s="532"/>
      <c r="BA283" s="532"/>
      <c r="BB283" s="532"/>
      <c r="BC283" s="532"/>
      <c r="BD283" s="532"/>
      <c r="BE283" s="532"/>
      <c r="BF283" s="532"/>
      <c r="BG283" s="532"/>
      <c r="BH283" s="532"/>
      <c r="BI283" s="532"/>
      <c r="BJ283" s="532"/>
      <c r="BK283" s="532"/>
      <c r="BL283" s="532"/>
      <c r="BM283" s="532"/>
      <c r="BN283" s="532"/>
      <c r="BO283" s="532"/>
      <c r="BP283" s="532"/>
      <c r="BQ283" s="532"/>
      <c r="BR283" s="532"/>
      <c r="BS283" s="532"/>
      <c r="BT283" s="532"/>
      <c r="BU283" s="532"/>
      <c r="BV283" s="532"/>
      <c r="BW283" s="532"/>
      <c r="BX283" s="532"/>
      <c r="BY283" s="532"/>
      <c r="BZ283" s="532"/>
      <c r="CA283" s="532"/>
      <c r="CB283" s="532"/>
      <c r="CC283" s="532"/>
      <c r="CD283" s="532"/>
      <c r="CE283" s="532"/>
      <c r="CF283" s="532"/>
      <c r="CG283" s="532"/>
      <c r="CH283" s="532"/>
      <c r="CI283" s="532"/>
      <c r="CJ283" s="532"/>
      <c r="CK283" s="532"/>
      <c r="CL283" s="532"/>
      <c r="CM283" s="532"/>
      <c r="CN283" s="532"/>
      <c r="CO283" s="532"/>
      <c r="CP283" s="532"/>
      <c r="CQ283" s="532"/>
      <c r="CR283" s="532"/>
      <c r="CS283" s="532"/>
      <c r="CT283" s="532"/>
      <c r="CU283" s="532"/>
      <c r="CV283" s="532"/>
      <c r="CW283" s="532"/>
      <c r="CX283" s="532"/>
      <c r="CY283" s="532"/>
      <c r="CZ283" s="532"/>
      <c r="DA283" s="532"/>
      <c r="DB283" s="532"/>
      <c r="DC283" s="532"/>
      <c r="DD283" s="532"/>
      <c r="DE283" s="532"/>
      <c r="DF283" s="532"/>
      <c r="DG283" s="532"/>
      <c r="DH283" s="532"/>
      <c r="DI283" s="532"/>
      <c r="DJ283" s="532"/>
      <c r="DK283" s="532"/>
      <c r="DL283" s="532"/>
      <c r="DM283" s="532"/>
      <c r="DN283" s="532"/>
      <c r="DO283" s="532"/>
      <c r="DP283" s="532"/>
      <c r="DQ283" s="532"/>
      <c r="DR283" s="532"/>
      <c r="DS283" s="532"/>
      <c r="DT283" s="532"/>
      <c r="DU283" s="532"/>
      <c r="DV283" s="532"/>
      <c r="DW283" s="532"/>
      <c r="DX283" s="532"/>
      <c r="DY283" s="532"/>
      <c r="DZ283" s="532"/>
      <c r="EA283" s="532"/>
      <c r="EB283" s="532"/>
      <c r="EC283" s="532"/>
      <c r="ED283" s="532"/>
      <c r="EE283" s="532"/>
      <c r="EF283" s="532"/>
      <c r="EG283" s="532"/>
      <c r="EH283" s="532"/>
      <c r="EI283" s="532"/>
      <c r="EJ283" s="532"/>
      <c r="EK283" s="532"/>
      <c r="EL283" s="532"/>
      <c r="EM283" s="532"/>
      <c r="EN283" s="532"/>
      <c r="EO283" s="532"/>
      <c r="EP283" s="532"/>
      <c r="EQ283" s="532"/>
      <c r="ER283" s="532"/>
      <c r="ES283" s="532"/>
      <c r="ET283" s="532"/>
      <c r="EU283" s="532"/>
      <c r="EV283" s="532"/>
      <c r="EW283" s="532"/>
      <c r="EX283" s="532"/>
      <c r="EY283" s="532"/>
      <c r="EZ283" s="532"/>
      <c r="FA283" s="532"/>
      <c r="FB283" s="532"/>
      <c r="FC283" s="532"/>
      <c r="FD283" s="532"/>
      <c r="FE283" s="532"/>
      <c r="FF283" s="532"/>
      <c r="FG283" s="532"/>
      <c r="FH283" s="532"/>
      <c r="FI283" s="532"/>
      <c r="FJ283" s="532"/>
      <c r="FK283" s="532"/>
      <c r="FL283" s="532"/>
      <c r="FM283" s="532"/>
      <c r="FN283" s="532"/>
      <c r="FO283" s="532"/>
      <c r="FP283" s="532"/>
    </row>
    <row r="284" spans="1:172" ht="12" customHeight="1" x14ac:dyDescent="0.2">
      <c r="A284" s="537" t="s">
        <v>160</v>
      </c>
      <c r="B284" s="534"/>
      <c r="C284" s="208">
        <f t="shared" ref="C284:N284" si="142">SUM(C278:C283)</f>
        <v>1069</v>
      </c>
      <c r="D284" s="208">
        <f t="shared" si="142"/>
        <v>1001</v>
      </c>
      <c r="E284" s="208">
        <f t="shared" si="142"/>
        <v>911</v>
      </c>
      <c r="F284" s="208">
        <f t="shared" si="142"/>
        <v>1073</v>
      </c>
      <c r="G284" s="208">
        <f t="shared" si="142"/>
        <v>1127</v>
      </c>
      <c r="H284" s="208">
        <f t="shared" si="142"/>
        <v>1224</v>
      </c>
      <c r="I284" s="208">
        <f t="shared" si="142"/>
        <v>1111</v>
      </c>
      <c r="J284" s="208">
        <f t="shared" si="142"/>
        <v>1189</v>
      </c>
      <c r="K284" s="208">
        <f t="shared" si="142"/>
        <v>1078</v>
      </c>
      <c r="L284" s="562">
        <f t="shared" si="142"/>
        <v>949</v>
      </c>
      <c r="M284" s="562">
        <f t="shared" si="142"/>
        <v>1136</v>
      </c>
      <c r="N284" s="562">
        <f t="shared" si="142"/>
        <v>1163</v>
      </c>
      <c r="O284" s="530">
        <f t="shared" si="141"/>
        <v>13031</v>
      </c>
      <c r="P284" s="531"/>
      <c r="Q284" s="531"/>
      <c r="R284" s="531"/>
      <c r="S284" s="531"/>
      <c r="T284" s="531"/>
      <c r="U284" s="531"/>
      <c r="V284" s="531"/>
      <c r="W284" s="531"/>
      <c r="X284" s="531"/>
      <c r="Y284" s="531"/>
      <c r="Z284" s="531"/>
      <c r="AA284" s="531"/>
      <c r="AB284" s="531"/>
      <c r="AC284" s="531"/>
      <c r="AD284" s="531"/>
      <c r="AE284" s="531"/>
      <c r="AF284" s="531"/>
      <c r="AG284" s="531"/>
      <c r="AH284" s="532"/>
      <c r="AI284" s="532"/>
      <c r="AJ284" s="532"/>
      <c r="AK284" s="532"/>
      <c r="AL284" s="532"/>
      <c r="AM284" s="532"/>
      <c r="AN284" s="532"/>
      <c r="AO284" s="532"/>
      <c r="AP284" s="532"/>
      <c r="AQ284" s="532"/>
      <c r="AR284" s="532"/>
      <c r="AS284" s="532"/>
      <c r="AT284" s="532"/>
      <c r="AU284" s="532"/>
      <c r="AV284" s="532"/>
      <c r="AW284" s="532"/>
      <c r="AX284" s="532"/>
      <c r="AY284" s="532"/>
      <c r="AZ284" s="532"/>
      <c r="BA284" s="532"/>
      <c r="BB284" s="532"/>
      <c r="BC284" s="532"/>
      <c r="BD284" s="532"/>
      <c r="BE284" s="532"/>
      <c r="BF284" s="532"/>
      <c r="BG284" s="532"/>
      <c r="BH284" s="532"/>
      <c r="BI284" s="532"/>
      <c r="BJ284" s="532"/>
      <c r="BK284" s="532"/>
      <c r="BL284" s="532"/>
      <c r="BM284" s="532"/>
      <c r="BN284" s="532"/>
      <c r="BO284" s="532"/>
      <c r="BP284" s="532"/>
      <c r="BQ284" s="532"/>
      <c r="BR284" s="532"/>
      <c r="BS284" s="532"/>
      <c r="BT284" s="532"/>
      <c r="BU284" s="532"/>
      <c r="BV284" s="532"/>
      <c r="BW284" s="532"/>
      <c r="BX284" s="532"/>
      <c r="BY284" s="532"/>
      <c r="BZ284" s="532"/>
      <c r="CA284" s="532"/>
      <c r="CB284" s="532"/>
      <c r="CC284" s="532"/>
      <c r="CD284" s="532"/>
      <c r="CE284" s="532"/>
      <c r="CF284" s="532"/>
      <c r="CG284" s="532"/>
      <c r="CH284" s="532"/>
      <c r="CI284" s="532"/>
      <c r="CJ284" s="532"/>
      <c r="CK284" s="532"/>
      <c r="CL284" s="532"/>
      <c r="CM284" s="532"/>
      <c r="CN284" s="532"/>
      <c r="CO284" s="532"/>
      <c r="CP284" s="532"/>
      <c r="CQ284" s="532"/>
      <c r="CR284" s="532"/>
      <c r="CS284" s="532"/>
      <c r="CT284" s="532"/>
      <c r="CU284" s="532"/>
      <c r="CV284" s="532"/>
      <c r="CW284" s="532"/>
      <c r="CX284" s="532"/>
      <c r="CY284" s="532"/>
      <c r="CZ284" s="532"/>
      <c r="DA284" s="532"/>
      <c r="DB284" s="532"/>
      <c r="DC284" s="532"/>
      <c r="DD284" s="532"/>
      <c r="DE284" s="532"/>
      <c r="DF284" s="532"/>
      <c r="DG284" s="532"/>
      <c r="DH284" s="532"/>
      <c r="DI284" s="532"/>
      <c r="DJ284" s="532"/>
      <c r="DK284" s="532"/>
      <c r="DL284" s="532"/>
      <c r="DM284" s="532"/>
      <c r="DN284" s="532"/>
      <c r="DO284" s="532"/>
      <c r="DP284" s="532"/>
      <c r="DQ284" s="532"/>
      <c r="DR284" s="532"/>
      <c r="DS284" s="532"/>
      <c r="DT284" s="532"/>
      <c r="DU284" s="532"/>
      <c r="DV284" s="532"/>
      <c r="DW284" s="532"/>
      <c r="DX284" s="532"/>
      <c r="DY284" s="532"/>
      <c r="DZ284" s="532"/>
      <c r="EA284" s="532"/>
      <c r="EB284" s="532"/>
      <c r="EC284" s="532"/>
      <c r="ED284" s="532"/>
      <c r="EE284" s="532"/>
      <c r="EF284" s="532"/>
      <c r="EG284" s="532"/>
      <c r="EH284" s="532"/>
      <c r="EI284" s="532"/>
      <c r="EJ284" s="532"/>
      <c r="EK284" s="532"/>
      <c r="EL284" s="532"/>
      <c r="EM284" s="532"/>
      <c r="EN284" s="532"/>
      <c r="EO284" s="532"/>
      <c r="EP284" s="532"/>
      <c r="EQ284" s="532"/>
      <c r="ER284" s="532"/>
      <c r="ES284" s="532"/>
      <c r="ET284" s="532"/>
      <c r="EU284" s="532"/>
      <c r="EV284" s="532"/>
      <c r="EW284" s="532"/>
      <c r="EX284" s="532"/>
      <c r="EY284" s="532"/>
      <c r="EZ284" s="532"/>
      <c r="FA284" s="532"/>
      <c r="FB284" s="532"/>
      <c r="FC284" s="532"/>
      <c r="FD284" s="532"/>
      <c r="FE284" s="532"/>
      <c r="FF284" s="532"/>
      <c r="FG284" s="532"/>
      <c r="FH284" s="532"/>
      <c r="FI284" s="532"/>
      <c r="FJ284" s="532"/>
      <c r="FK284" s="532"/>
      <c r="FL284" s="532"/>
      <c r="FM284" s="532"/>
      <c r="FN284" s="532"/>
      <c r="FO284" s="532"/>
      <c r="FP284" s="532"/>
    </row>
    <row r="285" spans="1:172" ht="12" customHeight="1" x14ac:dyDescent="0.2">
      <c r="A285" s="537"/>
      <c r="B285" s="534"/>
      <c r="C285" s="534"/>
      <c r="D285" s="534"/>
      <c r="E285" s="534"/>
      <c r="F285" s="534"/>
      <c r="G285" s="534"/>
      <c r="H285" s="534"/>
      <c r="I285" s="534"/>
      <c r="J285" s="534"/>
      <c r="K285" s="658"/>
      <c r="L285" s="562"/>
      <c r="M285" s="562"/>
      <c r="N285" s="562"/>
      <c r="O285" s="530"/>
      <c r="P285" s="531"/>
      <c r="Q285" s="531"/>
      <c r="R285" s="531"/>
      <c r="S285" s="531"/>
      <c r="T285" s="531"/>
      <c r="U285" s="531"/>
      <c r="V285" s="531"/>
      <c r="W285" s="531"/>
      <c r="X285" s="531"/>
      <c r="Y285" s="531"/>
      <c r="Z285" s="531"/>
      <c r="AA285" s="531"/>
      <c r="AB285" s="531"/>
      <c r="AC285" s="531"/>
      <c r="AD285" s="531"/>
      <c r="AE285" s="531"/>
      <c r="AF285" s="531"/>
      <c r="AG285" s="531"/>
      <c r="AH285" s="532"/>
      <c r="AI285" s="532"/>
      <c r="AJ285" s="532"/>
      <c r="AK285" s="532"/>
      <c r="AL285" s="532"/>
      <c r="AM285" s="532"/>
      <c r="AN285" s="532"/>
      <c r="AO285" s="532"/>
      <c r="AP285" s="532"/>
      <c r="AQ285" s="532"/>
      <c r="AR285" s="532"/>
      <c r="AS285" s="532"/>
      <c r="AT285" s="532"/>
      <c r="AU285" s="532"/>
      <c r="AV285" s="532"/>
      <c r="AW285" s="532"/>
      <c r="AX285" s="532"/>
      <c r="AY285" s="532"/>
      <c r="AZ285" s="532"/>
      <c r="BA285" s="532"/>
      <c r="BB285" s="532"/>
      <c r="BC285" s="532"/>
      <c r="BD285" s="532"/>
      <c r="BE285" s="532"/>
      <c r="BF285" s="532"/>
      <c r="BG285" s="532"/>
      <c r="BH285" s="532"/>
      <c r="BI285" s="532"/>
      <c r="BJ285" s="532"/>
      <c r="BK285" s="532"/>
      <c r="BL285" s="532"/>
      <c r="BM285" s="532"/>
      <c r="BN285" s="532"/>
      <c r="BO285" s="532"/>
      <c r="BP285" s="532"/>
      <c r="BQ285" s="532"/>
      <c r="BR285" s="532"/>
      <c r="BS285" s="532"/>
      <c r="BT285" s="532"/>
      <c r="BU285" s="532"/>
      <c r="BV285" s="532"/>
      <c r="BW285" s="532"/>
      <c r="BX285" s="532"/>
      <c r="BY285" s="532"/>
      <c r="BZ285" s="532"/>
      <c r="CA285" s="532"/>
      <c r="CB285" s="532"/>
      <c r="CC285" s="532"/>
      <c r="CD285" s="532"/>
      <c r="CE285" s="532"/>
      <c r="CF285" s="532"/>
      <c r="CG285" s="532"/>
      <c r="CH285" s="532"/>
      <c r="CI285" s="532"/>
      <c r="CJ285" s="532"/>
      <c r="CK285" s="532"/>
      <c r="CL285" s="532"/>
      <c r="CM285" s="532"/>
      <c r="CN285" s="532"/>
      <c r="CO285" s="532"/>
      <c r="CP285" s="532"/>
      <c r="CQ285" s="532"/>
      <c r="CR285" s="532"/>
      <c r="CS285" s="532"/>
      <c r="CT285" s="532"/>
      <c r="CU285" s="532"/>
      <c r="CV285" s="532"/>
      <c r="CW285" s="532"/>
      <c r="CX285" s="532"/>
      <c r="CY285" s="532"/>
      <c r="CZ285" s="532"/>
      <c r="DA285" s="532"/>
      <c r="DB285" s="532"/>
      <c r="DC285" s="532"/>
      <c r="DD285" s="532"/>
      <c r="DE285" s="532"/>
      <c r="DF285" s="532"/>
      <c r="DG285" s="532"/>
      <c r="DH285" s="532"/>
      <c r="DI285" s="532"/>
      <c r="DJ285" s="532"/>
      <c r="DK285" s="532"/>
      <c r="DL285" s="532"/>
      <c r="DM285" s="532"/>
      <c r="DN285" s="532"/>
      <c r="DO285" s="532"/>
      <c r="DP285" s="532"/>
      <c r="DQ285" s="532"/>
      <c r="DR285" s="532"/>
      <c r="DS285" s="532"/>
      <c r="DT285" s="532"/>
      <c r="DU285" s="532"/>
      <c r="DV285" s="532"/>
      <c r="DW285" s="532"/>
      <c r="DX285" s="532"/>
      <c r="DY285" s="532"/>
      <c r="DZ285" s="532"/>
      <c r="EA285" s="532"/>
      <c r="EB285" s="532"/>
      <c r="EC285" s="532"/>
      <c r="ED285" s="532"/>
      <c r="EE285" s="532"/>
      <c r="EF285" s="532"/>
      <c r="EG285" s="532"/>
      <c r="EH285" s="532"/>
      <c r="EI285" s="532"/>
      <c r="EJ285" s="532"/>
      <c r="EK285" s="532"/>
      <c r="EL285" s="532"/>
      <c r="EM285" s="532"/>
      <c r="EN285" s="532"/>
      <c r="EO285" s="532"/>
      <c r="EP285" s="532"/>
      <c r="EQ285" s="532"/>
      <c r="ER285" s="532"/>
      <c r="ES285" s="532"/>
      <c r="ET285" s="532"/>
      <c r="EU285" s="532"/>
      <c r="EV285" s="532"/>
      <c r="EW285" s="532"/>
      <c r="EX285" s="532"/>
      <c r="EY285" s="532"/>
      <c r="EZ285" s="532"/>
      <c r="FA285" s="532"/>
      <c r="FB285" s="532"/>
      <c r="FC285" s="532"/>
      <c r="FD285" s="532"/>
      <c r="FE285" s="532"/>
      <c r="FF285" s="532"/>
      <c r="FG285" s="532"/>
      <c r="FH285" s="532"/>
      <c r="FI285" s="532"/>
      <c r="FJ285" s="532"/>
      <c r="FK285" s="532"/>
      <c r="FL285" s="532"/>
      <c r="FM285" s="532"/>
      <c r="FN285" s="532"/>
      <c r="FO285" s="532"/>
      <c r="FP285" s="532"/>
    </row>
    <row r="286" spans="1:172" ht="12" customHeight="1" x14ac:dyDescent="0.2">
      <c r="A286" s="538" t="s">
        <v>161</v>
      </c>
      <c r="B286" s="534"/>
      <c r="C286" s="534"/>
      <c r="D286" s="534"/>
      <c r="E286" s="534"/>
      <c r="F286" s="534"/>
      <c r="G286" s="534"/>
      <c r="H286" s="534"/>
      <c r="I286" s="534"/>
      <c r="J286" s="534"/>
      <c r="K286" s="658"/>
      <c r="L286" s="562"/>
      <c r="M286" s="562"/>
      <c r="N286" s="562"/>
      <c r="O286" s="530"/>
      <c r="P286" s="531"/>
      <c r="Q286" s="531"/>
      <c r="R286" s="531"/>
      <c r="S286" s="531"/>
      <c r="T286" s="531"/>
      <c r="U286" s="531"/>
      <c r="V286" s="531"/>
      <c r="W286" s="531"/>
      <c r="X286" s="531"/>
      <c r="Y286" s="531"/>
      <c r="Z286" s="531"/>
      <c r="AA286" s="531"/>
      <c r="AB286" s="531"/>
      <c r="AC286" s="531"/>
      <c r="AD286" s="531"/>
      <c r="AE286" s="531"/>
      <c r="AF286" s="531"/>
      <c r="AG286" s="531"/>
      <c r="AH286" s="532"/>
      <c r="AI286" s="532"/>
      <c r="AJ286" s="532"/>
      <c r="AK286" s="532"/>
      <c r="AL286" s="532"/>
      <c r="AM286" s="532"/>
      <c r="AN286" s="532"/>
      <c r="AO286" s="532"/>
      <c r="AP286" s="532"/>
      <c r="AQ286" s="532"/>
      <c r="AR286" s="532"/>
      <c r="AS286" s="532"/>
      <c r="AT286" s="532"/>
      <c r="AU286" s="532"/>
      <c r="AV286" s="532"/>
      <c r="AW286" s="532"/>
      <c r="AX286" s="532"/>
      <c r="AY286" s="532"/>
      <c r="AZ286" s="532"/>
      <c r="BA286" s="532"/>
      <c r="BB286" s="532"/>
      <c r="BC286" s="532"/>
      <c r="BD286" s="532"/>
      <c r="BE286" s="532"/>
      <c r="BF286" s="532"/>
      <c r="BG286" s="532"/>
      <c r="BH286" s="532"/>
      <c r="BI286" s="532"/>
      <c r="BJ286" s="532"/>
      <c r="BK286" s="532"/>
      <c r="BL286" s="532"/>
      <c r="BM286" s="532"/>
      <c r="BN286" s="532"/>
      <c r="BO286" s="532"/>
      <c r="BP286" s="532"/>
      <c r="BQ286" s="532"/>
      <c r="BR286" s="532"/>
      <c r="BS286" s="532"/>
      <c r="BT286" s="532"/>
      <c r="BU286" s="532"/>
      <c r="BV286" s="532"/>
      <c r="BW286" s="532"/>
      <c r="BX286" s="532"/>
      <c r="BY286" s="532"/>
      <c r="BZ286" s="532"/>
      <c r="CA286" s="532"/>
      <c r="CB286" s="532"/>
      <c r="CC286" s="532"/>
      <c r="CD286" s="532"/>
      <c r="CE286" s="532"/>
      <c r="CF286" s="532"/>
      <c r="CG286" s="532"/>
      <c r="CH286" s="532"/>
      <c r="CI286" s="532"/>
      <c r="CJ286" s="532"/>
      <c r="CK286" s="532"/>
      <c r="CL286" s="532"/>
      <c r="CM286" s="532"/>
      <c r="CN286" s="532"/>
      <c r="CO286" s="532"/>
      <c r="CP286" s="532"/>
      <c r="CQ286" s="532"/>
      <c r="CR286" s="532"/>
      <c r="CS286" s="532"/>
      <c r="CT286" s="532"/>
      <c r="CU286" s="532"/>
      <c r="CV286" s="532"/>
      <c r="CW286" s="532"/>
      <c r="CX286" s="532"/>
      <c r="CY286" s="532"/>
      <c r="CZ286" s="532"/>
      <c r="DA286" s="532"/>
      <c r="DB286" s="532"/>
      <c r="DC286" s="532"/>
      <c r="DD286" s="532"/>
      <c r="DE286" s="532"/>
      <c r="DF286" s="532"/>
      <c r="DG286" s="532"/>
      <c r="DH286" s="532"/>
      <c r="DI286" s="532"/>
      <c r="DJ286" s="532"/>
      <c r="DK286" s="532"/>
      <c r="DL286" s="532"/>
      <c r="DM286" s="532"/>
      <c r="DN286" s="532"/>
      <c r="DO286" s="532"/>
      <c r="DP286" s="532"/>
      <c r="DQ286" s="532"/>
      <c r="DR286" s="532"/>
      <c r="DS286" s="532"/>
      <c r="DT286" s="532"/>
      <c r="DU286" s="532"/>
      <c r="DV286" s="532"/>
      <c r="DW286" s="532"/>
      <c r="DX286" s="532"/>
      <c r="DY286" s="532"/>
      <c r="DZ286" s="532"/>
      <c r="EA286" s="532"/>
      <c r="EB286" s="532"/>
      <c r="EC286" s="532"/>
      <c r="ED286" s="532"/>
      <c r="EE286" s="532"/>
      <c r="EF286" s="532"/>
      <c r="EG286" s="532"/>
      <c r="EH286" s="532"/>
      <c r="EI286" s="532"/>
      <c r="EJ286" s="532"/>
      <c r="EK286" s="532"/>
      <c r="EL286" s="532"/>
      <c r="EM286" s="532"/>
      <c r="EN286" s="532"/>
      <c r="EO286" s="532"/>
      <c r="EP286" s="532"/>
      <c r="EQ286" s="532"/>
      <c r="ER286" s="532"/>
      <c r="ES286" s="532"/>
      <c r="ET286" s="532"/>
      <c r="EU286" s="532"/>
      <c r="EV286" s="532"/>
      <c r="EW286" s="532"/>
      <c r="EX286" s="532"/>
      <c r="EY286" s="532"/>
      <c r="EZ286" s="532"/>
      <c r="FA286" s="532"/>
      <c r="FB286" s="532"/>
      <c r="FC286" s="532"/>
      <c r="FD286" s="532"/>
      <c r="FE286" s="532"/>
      <c r="FF286" s="532"/>
      <c r="FG286" s="532"/>
      <c r="FH286" s="532"/>
      <c r="FI286" s="532"/>
      <c r="FJ286" s="532"/>
      <c r="FK286" s="532"/>
      <c r="FL286" s="532"/>
      <c r="FM286" s="532"/>
      <c r="FN286" s="532"/>
      <c r="FO286" s="532"/>
      <c r="FP286" s="532"/>
    </row>
    <row r="287" spans="1:172" ht="12" customHeight="1" x14ac:dyDescent="0.2">
      <c r="A287" s="538" t="s">
        <v>162</v>
      </c>
      <c r="B287" s="534" t="s">
        <v>163</v>
      </c>
      <c r="C287" s="208">
        <f t="shared" ref="C287:N287" si="143">C273+C280+C256+C146</f>
        <v>682</v>
      </c>
      <c r="D287" s="208">
        <f t="shared" si="143"/>
        <v>683</v>
      </c>
      <c r="E287" s="208">
        <f t="shared" si="143"/>
        <v>688</v>
      </c>
      <c r="F287" s="208">
        <f t="shared" si="143"/>
        <v>710</v>
      </c>
      <c r="G287" s="208">
        <f t="shared" si="143"/>
        <v>700</v>
      </c>
      <c r="H287" s="208">
        <f t="shared" si="143"/>
        <v>757</v>
      </c>
      <c r="I287" s="208">
        <f t="shared" si="143"/>
        <v>733</v>
      </c>
      <c r="J287" s="208">
        <f t="shared" si="143"/>
        <v>774</v>
      </c>
      <c r="K287" s="208">
        <f t="shared" si="143"/>
        <v>708</v>
      </c>
      <c r="L287" s="562">
        <f t="shared" si="143"/>
        <v>661</v>
      </c>
      <c r="M287" s="562">
        <f t="shared" si="143"/>
        <v>749</v>
      </c>
      <c r="N287" s="562">
        <f t="shared" si="143"/>
        <v>746</v>
      </c>
      <c r="O287" s="530">
        <f>SUM(C287:N287)</f>
        <v>8591</v>
      </c>
      <c r="P287" s="531"/>
      <c r="Q287" s="531"/>
      <c r="R287" s="531"/>
      <c r="S287" s="531"/>
      <c r="T287" s="531"/>
      <c r="U287" s="531"/>
      <c r="V287" s="531"/>
      <c r="W287" s="531"/>
      <c r="X287" s="531"/>
      <c r="Y287" s="531"/>
      <c r="Z287" s="531"/>
      <c r="AA287" s="531"/>
      <c r="AB287" s="531"/>
      <c r="AC287" s="531"/>
      <c r="AD287" s="531"/>
      <c r="AE287" s="531"/>
      <c r="AF287" s="531"/>
      <c r="AG287" s="531"/>
      <c r="AH287" s="532"/>
      <c r="AI287" s="532"/>
      <c r="AJ287" s="532"/>
      <c r="AK287" s="532"/>
      <c r="AL287" s="532"/>
      <c r="AM287" s="532"/>
      <c r="AN287" s="532"/>
      <c r="AO287" s="532"/>
      <c r="AP287" s="532"/>
      <c r="AQ287" s="532"/>
      <c r="AR287" s="532"/>
      <c r="AS287" s="532"/>
      <c r="AT287" s="532"/>
      <c r="AU287" s="532"/>
      <c r="AV287" s="532"/>
      <c r="AW287" s="532"/>
      <c r="AX287" s="532"/>
      <c r="AY287" s="532"/>
      <c r="AZ287" s="532"/>
      <c r="BA287" s="532"/>
      <c r="BB287" s="532"/>
      <c r="BC287" s="532"/>
      <c r="BD287" s="532"/>
      <c r="BE287" s="532"/>
      <c r="BF287" s="532"/>
      <c r="BG287" s="532"/>
      <c r="BH287" s="532"/>
      <c r="BI287" s="532"/>
      <c r="BJ287" s="532"/>
      <c r="BK287" s="532"/>
      <c r="BL287" s="532"/>
      <c r="BM287" s="532"/>
      <c r="BN287" s="532"/>
      <c r="BO287" s="532"/>
      <c r="BP287" s="532"/>
      <c r="BQ287" s="532"/>
      <c r="BR287" s="532"/>
      <c r="BS287" s="532"/>
      <c r="BT287" s="532"/>
      <c r="BU287" s="532"/>
      <c r="BV287" s="532"/>
      <c r="BW287" s="532"/>
      <c r="BX287" s="532"/>
      <c r="BY287" s="532"/>
      <c r="BZ287" s="532"/>
      <c r="CA287" s="532"/>
      <c r="CB287" s="532"/>
      <c r="CC287" s="532"/>
      <c r="CD287" s="532"/>
      <c r="CE287" s="532"/>
      <c r="CF287" s="532"/>
      <c r="CG287" s="532"/>
      <c r="CH287" s="532"/>
      <c r="CI287" s="532"/>
      <c r="CJ287" s="532"/>
      <c r="CK287" s="532"/>
      <c r="CL287" s="532"/>
      <c r="CM287" s="532"/>
      <c r="CN287" s="532"/>
      <c r="CO287" s="532"/>
      <c r="CP287" s="532"/>
      <c r="CQ287" s="532"/>
      <c r="CR287" s="532"/>
      <c r="CS287" s="532"/>
      <c r="CT287" s="532"/>
      <c r="CU287" s="532"/>
      <c r="CV287" s="532"/>
      <c r="CW287" s="532"/>
      <c r="CX287" s="532"/>
      <c r="CY287" s="532"/>
      <c r="CZ287" s="532"/>
      <c r="DA287" s="532"/>
      <c r="DB287" s="532"/>
      <c r="DC287" s="532"/>
      <c r="DD287" s="532"/>
      <c r="DE287" s="532"/>
      <c r="DF287" s="532"/>
      <c r="DG287" s="532"/>
      <c r="DH287" s="532"/>
      <c r="DI287" s="532"/>
      <c r="DJ287" s="532"/>
      <c r="DK287" s="532"/>
      <c r="DL287" s="532"/>
      <c r="DM287" s="532"/>
      <c r="DN287" s="532"/>
      <c r="DO287" s="532"/>
      <c r="DP287" s="532"/>
      <c r="DQ287" s="532"/>
      <c r="DR287" s="532"/>
      <c r="DS287" s="532"/>
      <c r="DT287" s="532"/>
      <c r="DU287" s="532"/>
      <c r="DV287" s="532"/>
      <c r="DW287" s="532"/>
      <c r="DX287" s="532"/>
      <c r="DY287" s="532"/>
      <c r="DZ287" s="532"/>
      <c r="EA287" s="532"/>
      <c r="EB287" s="532"/>
      <c r="EC287" s="532"/>
      <c r="ED287" s="532"/>
      <c r="EE287" s="532"/>
      <c r="EF287" s="532"/>
      <c r="EG287" s="532"/>
      <c r="EH287" s="532"/>
      <c r="EI287" s="532"/>
      <c r="EJ287" s="532"/>
      <c r="EK287" s="532"/>
      <c r="EL287" s="532"/>
      <c r="EM287" s="532"/>
      <c r="EN287" s="532"/>
      <c r="EO287" s="532"/>
      <c r="EP287" s="532"/>
      <c r="EQ287" s="532"/>
      <c r="ER287" s="532"/>
      <c r="ES287" s="532"/>
      <c r="ET287" s="532"/>
      <c r="EU287" s="532"/>
      <c r="EV287" s="532"/>
      <c r="EW287" s="532"/>
      <c r="EX287" s="532"/>
      <c r="EY287" s="532"/>
      <c r="EZ287" s="532"/>
      <c r="FA287" s="532"/>
      <c r="FB287" s="532"/>
      <c r="FC287" s="532"/>
      <c r="FD287" s="532"/>
      <c r="FE287" s="532"/>
      <c r="FF287" s="532"/>
      <c r="FG287" s="532"/>
      <c r="FH287" s="532"/>
      <c r="FI287" s="532"/>
      <c r="FJ287" s="532"/>
      <c r="FK287" s="532"/>
      <c r="FL287" s="532"/>
      <c r="FM287" s="532"/>
      <c r="FN287" s="532"/>
      <c r="FO287" s="532"/>
      <c r="FP287" s="532"/>
    </row>
    <row r="288" spans="1:172" ht="12" customHeight="1" x14ac:dyDescent="0.2">
      <c r="A288" s="538" t="s">
        <v>164</v>
      </c>
      <c r="B288" s="534" t="s">
        <v>165</v>
      </c>
      <c r="C288" s="208">
        <f t="shared" ref="C288:N288" si="144">C284+C256+C146</f>
        <v>1117</v>
      </c>
      <c r="D288" s="208">
        <f t="shared" si="144"/>
        <v>1063</v>
      </c>
      <c r="E288" s="208">
        <f t="shared" si="144"/>
        <v>974</v>
      </c>
      <c r="F288" s="208">
        <f t="shared" si="144"/>
        <v>1142</v>
      </c>
      <c r="G288" s="208">
        <f t="shared" si="144"/>
        <v>1193</v>
      </c>
      <c r="H288" s="208">
        <f t="shared" si="144"/>
        <v>1296</v>
      </c>
      <c r="I288" s="208">
        <f t="shared" si="144"/>
        <v>1183</v>
      </c>
      <c r="J288" s="208">
        <f t="shared" si="144"/>
        <v>1254</v>
      </c>
      <c r="K288" s="208">
        <f t="shared" si="144"/>
        <v>1149</v>
      </c>
      <c r="L288" s="562">
        <f t="shared" si="144"/>
        <v>1015</v>
      </c>
      <c r="M288" s="562">
        <f t="shared" si="144"/>
        <v>1223</v>
      </c>
      <c r="N288" s="562">
        <f t="shared" si="144"/>
        <v>1229</v>
      </c>
      <c r="O288" s="530">
        <f>SUM(C288:N288)</f>
        <v>13838</v>
      </c>
      <c r="P288" s="531"/>
      <c r="Q288" s="531"/>
      <c r="R288" s="531"/>
      <c r="S288" s="531"/>
      <c r="T288" s="531"/>
      <c r="U288" s="531"/>
      <c r="V288" s="531"/>
      <c r="W288" s="531"/>
      <c r="X288" s="531"/>
      <c r="Y288" s="531"/>
      <c r="Z288" s="531"/>
      <c r="AA288" s="531"/>
      <c r="AB288" s="531"/>
      <c r="AC288" s="531"/>
      <c r="AD288" s="531"/>
      <c r="AE288" s="531"/>
      <c r="AF288" s="531"/>
      <c r="AG288" s="531"/>
      <c r="AH288" s="532"/>
      <c r="AI288" s="532"/>
      <c r="AJ288" s="532"/>
      <c r="AK288" s="532"/>
      <c r="AL288" s="532"/>
      <c r="AM288" s="532"/>
      <c r="AN288" s="532"/>
      <c r="AO288" s="532"/>
      <c r="AP288" s="532"/>
      <c r="AQ288" s="532"/>
      <c r="AR288" s="532"/>
      <c r="AS288" s="532"/>
      <c r="AT288" s="532"/>
      <c r="AU288" s="532"/>
      <c r="AV288" s="532"/>
      <c r="AW288" s="532"/>
      <c r="AX288" s="532"/>
      <c r="AY288" s="532"/>
      <c r="AZ288" s="532"/>
      <c r="BA288" s="532"/>
      <c r="BB288" s="532"/>
      <c r="BC288" s="532"/>
      <c r="BD288" s="532"/>
      <c r="BE288" s="532"/>
      <c r="BF288" s="532"/>
      <c r="BG288" s="532"/>
      <c r="BH288" s="532"/>
      <c r="BI288" s="532"/>
      <c r="BJ288" s="532"/>
      <c r="BK288" s="532"/>
      <c r="BL288" s="532"/>
      <c r="BM288" s="532"/>
      <c r="BN288" s="532"/>
      <c r="BO288" s="532"/>
      <c r="BP288" s="532"/>
      <c r="BQ288" s="532"/>
      <c r="BR288" s="532"/>
      <c r="BS288" s="532"/>
      <c r="BT288" s="532"/>
      <c r="BU288" s="532"/>
      <c r="BV288" s="532"/>
      <c r="BW288" s="532"/>
      <c r="BX288" s="532"/>
      <c r="BY288" s="532"/>
      <c r="BZ288" s="532"/>
      <c r="CA288" s="532"/>
      <c r="CB288" s="532"/>
      <c r="CC288" s="532"/>
      <c r="CD288" s="532"/>
      <c r="CE288" s="532"/>
      <c r="CF288" s="532"/>
      <c r="CG288" s="532"/>
      <c r="CH288" s="532"/>
      <c r="CI288" s="532"/>
      <c r="CJ288" s="532"/>
      <c r="CK288" s="532"/>
      <c r="CL288" s="532"/>
      <c r="CM288" s="532"/>
      <c r="CN288" s="532"/>
      <c r="CO288" s="532"/>
      <c r="CP288" s="532"/>
      <c r="CQ288" s="532"/>
      <c r="CR288" s="532"/>
      <c r="CS288" s="532"/>
      <c r="CT288" s="532"/>
      <c r="CU288" s="532"/>
      <c r="CV288" s="532"/>
      <c r="CW288" s="532"/>
      <c r="CX288" s="532"/>
      <c r="CY288" s="532"/>
      <c r="CZ288" s="532"/>
      <c r="DA288" s="532"/>
      <c r="DB288" s="532"/>
      <c r="DC288" s="532"/>
      <c r="DD288" s="532"/>
      <c r="DE288" s="532"/>
      <c r="DF288" s="532"/>
      <c r="DG288" s="532"/>
      <c r="DH288" s="532"/>
      <c r="DI288" s="532"/>
      <c r="DJ288" s="532"/>
      <c r="DK288" s="532"/>
      <c r="DL288" s="532"/>
      <c r="DM288" s="532"/>
      <c r="DN288" s="532"/>
      <c r="DO288" s="532"/>
      <c r="DP288" s="532"/>
      <c r="DQ288" s="532"/>
      <c r="DR288" s="532"/>
      <c r="DS288" s="532"/>
      <c r="DT288" s="532"/>
      <c r="DU288" s="532"/>
      <c r="DV288" s="532"/>
      <c r="DW288" s="532"/>
      <c r="DX288" s="532"/>
      <c r="DY288" s="532"/>
      <c r="DZ288" s="532"/>
      <c r="EA288" s="532"/>
      <c r="EB288" s="532"/>
      <c r="EC288" s="532"/>
      <c r="ED288" s="532"/>
      <c r="EE288" s="532"/>
      <c r="EF288" s="532"/>
      <c r="EG288" s="532"/>
      <c r="EH288" s="532"/>
      <c r="EI288" s="532"/>
      <c r="EJ288" s="532"/>
      <c r="EK288" s="532"/>
      <c r="EL288" s="532"/>
      <c r="EM288" s="532"/>
      <c r="EN288" s="532"/>
      <c r="EO288" s="532"/>
      <c r="EP288" s="532"/>
      <c r="EQ288" s="532"/>
      <c r="ER288" s="532"/>
      <c r="ES288" s="532"/>
      <c r="ET288" s="532"/>
      <c r="EU288" s="532"/>
      <c r="EV288" s="532"/>
      <c r="EW288" s="532"/>
      <c r="EX288" s="532"/>
      <c r="EY288" s="532"/>
      <c r="EZ288" s="532"/>
      <c r="FA288" s="532"/>
      <c r="FB288" s="532"/>
      <c r="FC288" s="532"/>
      <c r="FD288" s="532"/>
      <c r="FE288" s="532"/>
      <c r="FF288" s="532"/>
      <c r="FG288" s="532"/>
      <c r="FH288" s="532"/>
      <c r="FI288" s="532"/>
      <c r="FJ288" s="532"/>
      <c r="FK288" s="532"/>
      <c r="FL288" s="532"/>
      <c r="FM288" s="532"/>
      <c r="FN288" s="532"/>
      <c r="FO288" s="532"/>
      <c r="FP288" s="532"/>
    </row>
    <row r="289" spans="1:172" ht="12" customHeight="1" x14ac:dyDescent="0.2">
      <c r="A289" s="538" t="s">
        <v>166</v>
      </c>
      <c r="B289" s="534" t="s">
        <v>167</v>
      </c>
      <c r="C289" s="208">
        <f t="shared" ref="C289:N289" si="145">C278+C279+C281+C282</f>
        <v>1025</v>
      </c>
      <c r="D289" s="208">
        <f t="shared" si="145"/>
        <v>953</v>
      </c>
      <c r="E289" s="208">
        <f t="shared" si="145"/>
        <v>884</v>
      </c>
      <c r="F289" s="208">
        <f t="shared" si="145"/>
        <v>1043</v>
      </c>
      <c r="G289" s="208">
        <f t="shared" si="145"/>
        <v>1083</v>
      </c>
      <c r="H289" s="208">
        <f t="shared" si="145"/>
        <v>1186</v>
      </c>
      <c r="I289" s="208">
        <f t="shared" si="145"/>
        <v>1074</v>
      </c>
      <c r="J289" s="208">
        <f t="shared" si="145"/>
        <v>1142</v>
      </c>
      <c r="K289" s="208">
        <f t="shared" si="145"/>
        <v>1038</v>
      </c>
      <c r="L289" s="562">
        <f t="shared" si="145"/>
        <v>911</v>
      </c>
      <c r="M289" s="562">
        <f t="shared" si="145"/>
        <v>1088</v>
      </c>
      <c r="N289" s="562">
        <f t="shared" si="145"/>
        <v>1125</v>
      </c>
      <c r="O289" s="530">
        <f>SUM(C289:N289)</f>
        <v>12552</v>
      </c>
      <c r="P289" s="531"/>
      <c r="Q289" s="531"/>
      <c r="R289" s="531"/>
      <c r="S289" s="531"/>
      <c r="T289" s="531"/>
      <c r="U289" s="531"/>
      <c r="V289" s="531"/>
      <c r="W289" s="531"/>
      <c r="X289" s="531"/>
      <c r="Y289" s="531"/>
      <c r="Z289" s="531"/>
      <c r="AA289" s="531"/>
      <c r="AB289" s="531"/>
      <c r="AC289" s="531"/>
      <c r="AD289" s="531"/>
      <c r="AE289" s="531"/>
      <c r="AF289" s="531"/>
      <c r="AG289" s="531"/>
      <c r="AH289" s="532"/>
      <c r="AI289" s="532"/>
      <c r="AJ289" s="532"/>
      <c r="AK289" s="532"/>
      <c r="AL289" s="532"/>
      <c r="AM289" s="532"/>
      <c r="AN289" s="532"/>
      <c r="AO289" s="532"/>
      <c r="AP289" s="532"/>
      <c r="AQ289" s="532"/>
      <c r="AR289" s="532"/>
      <c r="AS289" s="532"/>
      <c r="AT289" s="532"/>
      <c r="AU289" s="532"/>
      <c r="AV289" s="532"/>
      <c r="AW289" s="532"/>
      <c r="AX289" s="532"/>
      <c r="AY289" s="532"/>
      <c r="AZ289" s="532"/>
      <c r="BA289" s="532"/>
      <c r="BB289" s="532"/>
      <c r="BC289" s="532"/>
      <c r="BD289" s="532"/>
      <c r="BE289" s="532"/>
      <c r="BF289" s="532"/>
      <c r="BG289" s="532"/>
      <c r="BH289" s="532"/>
      <c r="BI289" s="532"/>
      <c r="BJ289" s="532"/>
      <c r="BK289" s="532"/>
      <c r="BL289" s="532"/>
      <c r="BM289" s="532"/>
      <c r="BN289" s="532"/>
      <c r="BO289" s="532"/>
      <c r="BP289" s="532"/>
      <c r="BQ289" s="532"/>
      <c r="BR289" s="532"/>
      <c r="BS289" s="532"/>
      <c r="BT289" s="532"/>
      <c r="BU289" s="532"/>
      <c r="BV289" s="532"/>
      <c r="BW289" s="532"/>
      <c r="BX289" s="532"/>
      <c r="BY289" s="532"/>
      <c r="BZ289" s="532"/>
      <c r="CA289" s="532"/>
      <c r="CB289" s="532"/>
      <c r="CC289" s="532"/>
      <c r="CD289" s="532"/>
      <c r="CE289" s="532"/>
      <c r="CF289" s="532"/>
      <c r="CG289" s="532"/>
      <c r="CH289" s="532"/>
      <c r="CI289" s="532"/>
      <c r="CJ289" s="532"/>
      <c r="CK289" s="532"/>
      <c r="CL289" s="532"/>
      <c r="CM289" s="532"/>
      <c r="CN289" s="532"/>
      <c r="CO289" s="532"/>
      <c r="CP289" s="532"/>
      <c r="CQ289" s="532"/>
      <c r="CR289" s="532"/>
      <c r="CS289" s="532"/>
      <c r="CT289" s="532"/>
      <c r="CU289" s="532"/>
      <c r="CV289" s="532"/>
      <c r="CW289" s="532"/>
      <c r="CX289" s="532"/>
      <c r="CY289" s="532"/>
      <c r="CZ289" s="532"/>
      <c r="DA289" s="532"/>
      <c r="DB289" s="532"/>
      <c r="DC289" s="532"/>
      <c r="DD289" s="532"/>
      <c r="DE289" s="532"/>
      <c r="DF289" s="532"/>
      <c r="DG289" s="532"/>
      <c r="DH289" s="532"/>
      <c r="DI289" s="532"/>
      <c r="DJ289" s="532"/>
      <c r="DK289" s="532"/>
      <c r="DL289" s="532"/>
      <c r="DM289" s="532"/>
      <c r="DN289" s="532"/>
      <c r="DO289" s="532"/>
      <c r="DP289" s="532"/>
      <c r="DQ289" s="532"/>
      <c r="DR289" s="532"/>
      <c r="DS289" s="532"/>
      <c r="DT289" s="532"/>
      <c r="DU289" s="532"/>
      <c r="DV289" s="532"/>
      <c r="DW289" s="532"/>
      <c r="DX289" s="532"/>
      <c r="DY289" s="532"/>
      <c r="DZ289" s="532"/>
      <c r="EA289" s="532"/>
      <c r="EB289" s="532"/>
      <c r="EC289" s="532"/>
      <c r="ED289" s="532"/>
      <c r="EE289" s="532"/>
      <c r="EF289" s="532"/>
      <c r="EG289" s="532"/>
      <c r="EH289" s="532"/>
      <c r="EI289" s="532"/>
      <c r="EJ289" s="532"/>
      <c r="EK289" s="532"/>
      <c r="EL289" s="532"/>
      <c r="EM289" s="532"/>
      <c r="EN289" s="532"/>
      <c r="EO289" s="532"/>
      <c r="EP289" s="532"/>
      <c r="EQ289" s="532"/>
      <c r="ER289" s="532"/>
      <c r="ES289" s="532"/>
      <c r="ET289" s="532"/>
      <c r="EU289" s="532"/>
      <c r="EV289" s="532"/>
      <c r="EW289" s="532"/>
      <c r="EX289" s="532"/>
      <c r="EY289" s="532"/>
      <c r="EZ289" s="532"/>
      <c r="FA289" s="532"/>
      <c r="FB289" s="532"/>
      <c r="FC289" s="532"/>
      <c r="FD289" s="532"/>
      <c r="FE289" s="532"/>
      <c r="FF289" s="532"/>
      <c r="FG289" s="532"/>
      <c r="FH289" s="532"/>
      <c r="FI289" s="532"/>
      <c r="FJ289" s="532"/>
      <c r="FK289" s="532"/>
      <c r="FL289" s="532"/>
      <c r="FM289" s="532"/>
      <c r="FN289" s="532"/>
      <c r="FO289" s="532"/>
      <c r="FP289" s="532"/>
    </row>
    <row r="290" spans="1:172" ht="12" customHeight="1" x14ac:dyDescent="0.2">
      <c r="A290" s="537"/>
      <c r="B290" s="534"/>
      <c r="C290" s="534"/>
      <c r="D290" s="534"/>
      <c r="E290" s="534"/>
      <c r="F290" s="534"/>
      <c r="G290" s="534"/>
      <c r="H290" s="534"/>
      <c r="I290" s="534"/>
      <c r="J290" s="534"/>
      <c r="K290" s="658"/>
      <c r="L290" s="562"/>
      <c r="M290" s="562"/>
      <c r="N290" s="562"/>
      <c r="O290" s="530"/>
      <c r="P290" s="531"/>
      <c r="Q290" s="531"/>
      <c r="R290" s="531"/>
      <c r="S290" s="531"/>
      <c r="T290" s="531"/>
      <c r="U290" s="531"/>
      <c r="V290" s="531"/>
      <c r="W290" s="531"/>
      <c r="X290" s="531"/>
      <c r="Y290" s="531"/>
      <c r="Z290" s="531"/>
      <c r="AA290" s="531"/>
      <c r="AB290" s="531"/>
      <c r="AC290" s="531"/>
      <c r="AD290" s="531"/>
      <c r="AE290" s="531"/>
      <c r="AF290" s="531"/>
      <c r="AG290" s="531"/>
      <c r="AH290" s="532"/>
      <c r="AI290" s="532"/>
      <c r="AJ290" s="532"/>
      <c r="AK290" s="532"/>
      <c r="AL290" s="532"/>
      <c r="AM290" s="532"/>
      <c r="AN290" s="532"/>
      <c r="AO290" s="532"/>
      <c r="AP290" s="532"/>
      <c r="AQ290" s="532"/>
      <c r="AR290" s="532"/>
      <c r="AS290" s="532"/>
      <c r="AT290" s="532"/>
      <c r="AU290" s="532"/>
      <c r="AV290" s="532"/>
      <c r="AW290" s="532"/>
      <c r="AX290" s="532"/>
      <c r="AY290" s="532"/>
      <c r="AZ290" s="532"/>
      <c r="BA290" s="532"/>
      <c r="BB290" s="532"/>
      <c r="BC290" s="532"/>
      <c r="BD290" s="532"/>
      <c r="BE290" s="532"/>
      <c r="BF290" s="532"/>
      <c r="BG290" s="532"/>
      <c r="BH290" s="532"/>
      <c r="BI290" s="532"/>
      <c r="BJ290" s="532"/>
      <c r="BK290" s="532"/>
      <c r="BL290" s="532"/>
      <c r="BM290" s="532"/>
      <c r="BN290" s="532"/>
      <c r="BO290" s="532"/>
      <c r="BP290" s="532"/>
      <c r="BQ290" s="532"/>
      <c r="BR290" s="532"/>
      <c r="BS290" s="532"/>
      <c r="BT290" s="532"/>
      <c r="BU290" s="532"/>
      <c r="BV290" s="532"/>
      <c r="BW290" s="532"/>
      <c r="BX290" s="532"/>
      <c r="BY290" s="532"/>
      <c r="BZ290" s="532"/>
      <c r="CA290" s="532"/>
      <c r="CB290" s="532"/>
      <c r="CC290" s="532"/>
      <c r="CD290" s="532"/>
      <c r="CE290" s="532"/>
      <c r="CF290" s="532"/>
      <c r="CG290" s="532"/>
      <c r="CH290" s="532"/>
      <c r="CI290" s="532"/>
      <c r="CJ290" s="532"/>
      <c r="CK290" s="532"/>
      <c r="CL290" s="532"/>
      <c r="CM290" s="532"/>
      <c r="CN290" s="532"/>
      <c r="CO290" s="532"/>
      <c r="CP290" s="532"/>
      <c r="CQ290" s="532"/>
      <c r="CR290" s="532"/>
      <c r="CS290" s="532"/>
      <c r="CT290" s="532"/>
      <c r="CU290" s="532"/>
      <c r="CV290" s="532"/>
      <c r="CW290" s="532"/>
      <c r="CX290" s="532"/>
      <c r="CY290" s="532"/>
      <c r="CZ290" s="532"/>
      <c r="DA290" s="532"/>
      <c r="DB290" s="532"/>
      <c r="DC290" s="532"/>
      <c r="DD290" s="532"/>
      <c r="DE290" s="532"/>
      <c r="DF290" s="532"/>
      <c r="DG290" s="532"/>
      <c r="DH290" s="532"/>
      <c r="DI290" s="532"/>
      <c r="DJ290" s="532"/>
      <c r="DK290" s="532"/>
      <c r="DL290" s="532"/>
      <c r="DM290" s="532"/>
      <c r="DN290" s="532"/>
      <c r="DO290" s="532"/>
      <c r="DP290" s="532"/>
      <c r="DQ290" s="532"/>
      <c r="DR290" s="532"/>
      <c r="DS290" s="532"/>
      <c r="DT290" s="532"/>
      <c r="DU290" s="532"/>
      <c r="DV290" s="532"/>
      <c r="DW290" s="532"/>
      <c r="DX290" s="532"/>
      <c r="DY290" s="532"/>
      <c r="DZ290" s="532"/>
      <c r="EA290" s="532"/>
      <c r="EB290" s="532"/>
      <c r="EC290" s="532"/>
      <c r="ED290" s="532"/>
      <c r="EE290" s="532"/>
      <c r="EF290" s="532"/>
      <c r="EG290" s="532"/>
      <c r="EH290" s="532"/>
      <c r="EI290" s="532"/>
      <c r="EJ290" s="532"/>
      <c r="EK290" s="532"/>
      <c r="EL290" s="532"/>
      <c r="EM290" s="532"/>
      <c r="EN290" s="532"/>
      <c r="EO290" s="532"/>
      <c r="EP290" s="532"/>
      <c r="EQ290" s="532"/>
      <c r="ER290" s="532"/>
      <c r="ES290" s="532"/>
      <c r="ET290" s="532"/>
      <c r="EU290" s="532"/>
      <c r="EV290" s="532"/>
      <c r="EW290" s="532"/>
      <c r="EX290" s="532"/>
      <c r="EY290" s="532"/>
      <c r="EZ290" s="532"/>
      <c r="FA290" s="532"/>
      <c r="FB290" s="532"/>
      <c r="FC290" s="532"/>
      <c r="FD290" s="532"/>
      <c r="FE290" s="532"/>
      <c r="FF290" s="532"/>
      <c r="FG290" s="532"/>
      <c r="FH290" s="532"/>
      <c r="FI290" s="532"/>
      <c r="FJ290" s="532"/>
      <c r="FK290" s="532"/>
      <c r="FL290" s="532"/>
      <c r="FM290" s="532"/>
      <c r="FN290" s="532"/>
      <c r="FO290" s="532"/>
      <c r="FP290" s="532"/>
    </row>
    <row r="291" spans="1:172" ht="12" customHeight="1" x14ac:dyDescent="0.2">
      <c r="A291" s="533" t="s">
        <v>168</v>
      </c>
      <c r="B291" s="534"/>
      <c r="C291" s="534" t="s">
        <v>55</v>
      </c>
      <c r="D291" s="534" t="s">
        <v>55</v>
      </c>
      <c r="E291" s="534" t="s">
        <v>55</v>
      </c>
      <c r="F291" s="534"/>
      <c r="G291" s="534"/>
      <c r="H291" s="534"/>
      <c r="I291" s="534"/>
      <c r="J291" s="534"/>
      <c r="K291" s="658" t="s">
        <v>55</v>
      </c>
      <c r="L291" s="562" t="s">
        <v>55</v>
      </c>
      <c r="M291" s="562" t="s">
        <v>55</v>
      </c>
      <c r="N291" s="562" t="s">
        <v>55</v>
      </c>
      <c r="O291" s="530"/>
      <c r="P291" s="531"/>
      <c r="Q291" s="531"/>
      <c r="R291" s="531"/>
      <c r="S291" s="531"/>
      <c r="T291" s="531"/>
      <c r="U291" s="531"/>
      <c r="V291" s="531"/>
      <c r="W291" s="531"/>
      <c r="X291" s="531"/>
      <c r="Y291" s="531"/>
      <c r="Z291" s="531"/>
      <c r="AA291" s="531"/>
      <c r="AB291" s="531"/>
      <c r="AC291" s="531"/>
      <c r="AD291" s="531"/>
      <c r="AE291" s="531"/>
      <c r="AF291" s="531"/>
      <c r="AG291" s="531"/>
      <c r="AH291" s="532"/>
      <c r="AI291" s="532"/>
      <c r="AJ291" s="532"/>
      <c r="AK291" s="532"/>
      <c r="AL291" s="532"/>
      <c r="AM291" s="532"/>
      <c r="AN291" s="532"/>
      <c r="AO291" s="532"/>
      <c r="AP291" s="532"/>
      <c r="AQ291" s="532"/>
      <c r="AR291" s="532"/>
      <c r="AS291" s="532"/>
      <c r="AT291" s="532"/>
      <c r="AU291" s="532"/>
      <c r="AV291" s="532"/>
      <c r="AW291" s="532"/>
      <c r="AX291" s="532"/>
      <c r="AY291" s="532"/>
      <c r="AZ291" s="532"/>
      <c r="BA291" s="532"/>
      <c r="BB291" s="532"/>
      <c r="BC291" s="532"/>
      <c r="BD291" s="532"/>
      <c r="BE291" s="532"/>
      <c r="BF291" s="532"/>
      <c r="BG291" s="532"/>
      <c r="BH291" s="532"/>
      <c r="BI291" s="532"/>
      <c r="BJ291" s="532"/>
      <c r="BK291" s="532"/>
      <c r="BL291" s="532"/>
      <c r="BM291" s="532"/>
      <c r="BN291" s="532"/>
      <c r="BO291" s="532"/>
      <c r="BP291" s="532"/>
      <c r="BQ291" s="532"/>
      <c r="BR291" s="532"/>
      <c r="BS291" s="532"/>
      <c r="BT291" s="532"/>
      <c r="BU291" s="532"/>
      <c r="BV291" s="532"/>
      <c r="BW291" s="532"/>
      <c r="BX291" s="532"/>
      <c r="BY291" s="532"/>
      <c r="BZ291" s="532"/>
      <c r="CA291" s="532"/>
      <c r="CB291" s="532"/>
      <c r="CC291" s="532"/>
      <c r="CD291" s="532"/>
      <c r="CE291" s="532"/>
      <c r="CF291" s="532"/>
      <c r="CG291" s="532"/>
      <c r="CH291" s="532"/>
      <c r="CI291" s="532"/>
      <c r="CJ291" s="532"/>
      <c r="CK291" s="532"/>
      <c r="CL291" s="532"/>
      <c r="CM291" s="532"/>
      <c r="CN291" s="532"/>
      <c r="CO291" s="532"/>
      <c r="CP291" s="532"/>
      <c r="CQ291" s="532"/>
      <c r="CR291" s="532"/>
      <c r="CS291" s="532"/>
      <c r="CT291" s="532"/>
      <c r="CU291" s="532"/>
      <c r="CV291" s="532"/>
      <c r="CW291" s="532"/>
      <c r="CX291" s="532"/>
      <c r="CY291" s="532"/>
      <c r="CZ291" s="532"/>
      <c r="DA291" s="532"/>
      <c r="DB291" s="532"/>
      <c r="DC291" s="532"/>
      <c r="DD291" s="532"/>
      <c r="DE291" s="532"/>
      <c r="DF291" s="532"/>
      <c r="DG291" s="532"/>
      <c r="DH291" s="532"/>
      <c r="DI291" s="532"/>
      <c r="DJ291" s="532"/>
      <c r="DK291" s="532"/>
      <c r="DL291" s="532"/>
      <c r="DM291" s="532"/>
      <c r="DN291" s="532"/>
      <c r="DO291" s="532"/>
      <c r="DP291" s="532"/>
      <c r="DQ291" s="532"/>
      <c r="DR291" s="532"/>
      <c r="DS291" s="532"/>
      <c r="DT291" s="532"/>
      <c r="DU291" s="532"/>
      <c r="DV291" s="532"/>
      <c r="DW291" s="532"/>
      <c r="DX291" s="532"/>
      <c r="DY291" s="532"/>
      <c r="DZ291" s="532"/>
      <c r="EA291" s="532"/>
      <c r="EB291" s="532"/>
      <c r="EC291" s="532"/>
      <c r="ED291" s="532"/>
      <c r="EE291" s="532"/>
      <c r="EF291" s="532"/>
      <c r="EG291" s="532"/>
      <c r="EH291" s="532"/>
      <c r="EI291" s="532"/>
      <c r="EJ291" s="532"/>
      <c r="EK291" s="532"/>
      <c r="EL291" s="532"/>
      <c r="EM291" s="532"/>
      <c r="EN291" s="532"/>
      <c r="EO291" s="532"/>
      <c r="EP291" s="532"/>
      <c r="EQ291" s="532"/>
      <c r="ER291" s="532"/>
      <c r="ES291" s="532"/>
      <c r="ET291" s="532"/>
      <c r="EU291" s="532"/>
      <c r="EV291" s="532"/>
      <c r="EW291" s="532"/>
      <c r="EX291" s="532"/>
      <c r="EY291" s="532"/>
      <c r="EZ291" s="532"/>
      <c r="FA291" s="532"/>
      <c r="FB291" s="532"/>
      <c r="FC291" s="532"/>
      <c r="FD291" s="532"/>
      <c r="FE291" s="532"/>
      <c r="FF291" s="532"/>
      <c r="FG291" s="532"/>
      <c r="FH291" s="532"/>
      <c r="FI291" s="532"/>
      <c r="FJ291" s="532"/>
      <c r="FK291" s="532"/>
      <c r="FL291" s="532"/>
      <c r="FM291" s="532"/>
      <c r="FN291" s="532"/>
      <c r="FO291" s="532"/>
      <c r="FP291" s="532"/>
    </row>
    <row r="292" spans="1:172" ht="12" customHeight="1" x14ac:dyDescent="0.2">
      <c r="A292" s="533" t="s">
        <v>107</v>
      </c>
      <c r="B292" s="534"/>
      <c r="C292" s="208">
        <f>531+142</f>
        <v>673</v>
      </c>
      <c r="D292" s="658">
        <f>439+129</f>
        <v>568</v>
      </c>
      <c r="E292" s="208">
        <f>444+129</f>
        <v>573</v>
      </c>
      <c r="F292" s="658">
        <f>493+144</f>
        <v>637</v>
      </c>
      <c r="G292" s="658">
        <f>545+130</f>
        <v>675</v>
      </c>
      <c r="H292" s="208">
        <f>543+125</f>
        <v>668</v>
      </c>
      <c r="I292" s="658">
        <f>516+121</f>
        <v>637</v>
      </c>
      <c r="J292" s="658">
        <f>515+127</f>
        <v>642</v>
      </c>
      <c r="K292" s="208">
        <f>140+494</f>
        <v>634</v>
      </c>
      <c r="L292" s="562">
        <v>549</v>
      </c>
      <c r="M292" s="562">
        <v>593</v>
      </c>
      <c r="N292" s="562">
        <f>452+149</f>
        <v>601</v>
      </c>
      <c r="O292" s="530">
        <f>SUM(C292:N292)</f>
        <v>7450</v>
      </c>
      <c r="P292" s="531"/>
      <c r="Q292" s="531"/>
      <c r="R292" s="531"/>
      <c r="S292" s="531"/>
      <c r="T292" s="531"/>
      <c r="U292" s="531"/>
      <c r="V292" s="531"/>
      <c r="W292" s="531"/>
      <c r="X292" s="531"/>
      <c r="Y292" s="531"/>
      <c r="Z292" s="531"/>
      <c r="AA292" s="531"/>
      <c r="AB292" s="531"/>
      <c r="AC292" s="531"/>
      <c r="AD292" s="531"/>
      <c r="AE292" s="531"/>
      <c r="AF292" s="531"/>
      <c r="AG292" s="531"/>
      <c r="AH292" s="532"/>
      <c r="AI292" s="532"/>
      <c r="AJ292" s="532"/>
      <c r="AK292" s="532"/>
      <c r="AL292" s="532"/>
      <c r="AM292" s="532"/>
      <c r="AN292" s="532"/>
      <c r="AO292" s="532"/>
      <c r="AP292" s="532"/>
      <c r="AQ292" s="532"/>
      <c r="AR292" s="532"/>
      <c r="AS292" s="532"/>
      <c r="AT292" s="532"/>
      <c r="AU292" s="532"/>
      <c r="AV292" s="532"/>
      <c r="AW292" s="532"/>
      <c r="AX292" s="532"/>
      <c r="AY292" s="532"/>
      <c r="AZ292" s="532"/>
      <c r="BA292" s="532"/>
      <c r="BB292" s="532"/>
      <c r="BC292" s="532"/>
      <c r="BD292" s="532"/>
      <c r="BE292" s="532"/>
      <c r="BF292" s="532"/>
      <c r="BG292" s="532"/>
      <c r="BH292" s="532"/>
      <c r="BI292" s="532"/>
      <c r="BJ292" s="532"/>
      <c r="BK292" s="532"/>
      <c r="BL292" s="532"/>
      <c r="BM292" s="532"/>
      <c r="BN292" s="532"/>
      <c r="BO292" s="532"/>
      <c r="BP292" s="532"/>
      <c r="BQ292" s="532"/>
      <c r="BR292" s="532"/>
      <c r="BS292" s="532"/>
      <c r="BT292" s="532"/>
      <c r="BU292" s="532"/>
      <c r="BV292" s="532"/>
      <c r="BW292" s="532"/>
      <c r="BX292" s="532"/>
      <c r="BY292" s="532"/>
      <c r="BZ292" s="532"/>
      <c r="CA292" s="532"/>
      <c r="CB292" s="532"/>
      <c r="CC292" s="532"/>
      <c r="CD292" s="532"/>
      <c r="CE292" s="532"/>
      <c r="CF292" s="532"/>
      <c r="CG292" s="532"/>
      <c r="CH292" s="532"/>
      <c r="CI292" s="532"/>
      <c r="CJ292" s="532"/>
      <c r="CK292" s="532"/>
      <c r="CL292" s="532"/>
      <c r="CM292" s="532"/>
      <c r="CN292" s="532"/>
      <c r="CO292" s="532"/>
      <c r="CP292" s="532"/>
      <c r="CQ292" s="532"/>
      <c r="CR292" s="532"/>
      <c r="CS292" s="532"/>
      <c r="CT292" s="532"/>
      <c r="CU292" s="532"/>
      <c r="CV292" s="532"/>
      <c r="CW292" s="532"/>
      <c r="CX292" s="532"/>
      <c r="CY292" s="532"/>
      <c r="CZ292" s="532"/>
      <c r="DA292" s="532"/>
      <c r="DB292" s="532"/>
      <c r="DC292" s="532"/>
      <c r="DD292" s="532"/>
      <c r="DE292" s="532"/>
      <c r="DF292" s="532"/>
      <c r="DG292" s="532"/>
      <c r="DH292" s="532"/>
      <c r="DI292" s="532"/>
      <c r="DJ292" s="532"/>
      <c r="DK292" s="532"/>
      <c r="DL292" s="532"/>
      <c r="DM292" s="532"/>
      <c r="DN292" s="532"/>
      <c r="DO292" s="532"/>
      <c r="DP292" s="532"/>
      <c r="DQ292" s="532"/>
      <c r="DR292" s="532"/>
      <c r="DS292" s="532"/>
      <c r="DT292" s="532"/>
      <c r="DU292" s="532"/>
      <c r="DV292" s="532"/>
      <c r="DW292" s="532"/>
      <c r="DX292" s="532"/>
      <c r="DY292" s="532"/>
      <c r="DZ292" s="532"/>
      <c r="EA292" s="532"/>
      <c r="EB292" s="532"/>
      <c r="EC292" s="532"/>
      <c r="ED292" s="532"/>
      <c r="EE292" s="532"/>
      <c r="EF292" s="532"/>
      <c r="EG292" s="532"/>
      <c r="EH292" s="532"/>
      <c r="EI292" s="532"/>
      <c r="EJ292" s="532"/>
      <c r="EK292" s="532"/>
      <c r="EL292" s="532"/>
      <c r="EM292" s="532"/>
      <c r="EN292" s="532"/>
      <c r="EO292" s="532"/>
      <c r="EP292" s="532"/>
      <c r="EQ292" s="532"/>
      <c r="ER292" s="532"/>
      <c r="ES292" s="532"/>
      <c r="ET292" s="532"/>
      <c r="EU292" s="532"/>
      <c r="EV292" s="532"/>
      <c r="EW292" s="532"/>
      <c r="EX292" s="532"/>
      <c r="EY292" s="532"/>
      <c r="EZ292" s="532"/>
      <c r="FA292" s="532"/>
      <c r="FB292" s="532"/>
      <c r="FC292" s="532"/>
      <c r="FD292" s="532"/>
      <c r="FE292" s="532"/>
      <c r="FF292" s="532"/>
      <c r="FG292" s="532"/>
      <c r="FH292" s="532"/>
      <c r="FI292" s="532"/>
      <c r="FJ292" s="532"/>
      <c r="FK292" s="532"/>
      <c r="FL292" s="532"/>
      <c r="FM292" s="532"/>
      <c r="FN292" s="532"/>
      <c r="FO292" s="532"/>
      <c r="FP292" s="532"/>
    </row>
    <row r="293" spans="1:172" ht="12" customHeight="1" x14ac:dyDescent="0.2">
      <c r="A293" s="533" t="s">
        <v>108</v>
      </c>
      <c r="B293" s="534"/>
      <c r="C293" s="208">
        <f>17+24</f>
        <v>41</v>
      </c>
      <c r="D293" s="658">
        <f>14+31</f>
        <v>45</v>
      </c>
      <c r="E293" s="208">
        <f>11+18</f>
        <v>29</v>
      </c>
      <c r="F293" s="658">
        <f>16+20</f>
        <v>36</v>
      </c>
      <c r="G293" s="658">
        <f>25+24</f>
        <v>49</v>
      </c>
      <c r="H293" s="208">
        <f>20+33</f>
        <v>53</v>
      </c>
      <c r="I293" s="658">
        <f>8+19</f>
        <v>27</v>
      </c>
      <c r="J293" s="658">
        <f>13+27</f>
        <v>40</v>
      </c>
      <c r="K293" s="208">
        <f>24+13</f>
        <v>37</v>
      </c>
      <c r="L293" s="562">
        <v>42</v>
      </c>
      <c r="M293" s="562">
        <v>40</v>
      </c>
      <c r="N293" s="562">
        <f>12+29</f>
        <v>41</v>
      </c>
      <c r="O293" s="530">
        <f t="shared" ref="O293:O299" si="146">SUM(C293:N293)</f>
        <v>480</v>
      </c>
      <c r="P293" s="531"/>
      <c r="Q293" s="531"/>
      <c r="R293" s="531"/>
      <c r="S293" s="531"/>
      <c r="T293" s="531"/>
      <c r="U293" s="531"/>
      <c r="V293" s="531"/>
      <c r="W293" s="531"/>
      <c r="X293" s="531"/>
      <c r="Y293" s="531"/>
      <c r="Z293" s="531"/>
      <c r="AA293" s="531"/>
      <c r="AB293" s="531"/>
      <c r="AC293" s="531"/>
      <c r="AD293" s="531"/>
      <c r="AE293" s="531"/>
      <c r="AF293" s="531"/>
      <c r="AG293" s="531"/>
      <c r="AH293" s="532"/>
      <c r="AI293" s="532"/>
      <c r="AJ293" s="532"/>
      <c r="AK293" s="532"/>
      <c r="AL293" s="532"/>
      <c r="AM293" s="532"/>
      <c r="AN293" s="532"/>
      <c r="AO293" s="532"/>
      <c r="AP293" s="532"/>
      <c r="AQ293" s="532"/>
      <c r="AR293" s="532"/>
      <c r="AS293" s="532"/>
      <c r="AT293" s="532"/>
      <c r="AU293" s="532"/>
      <c r="AV293" s="532"/>
      <c r="AW293" s="532"/>
      <c r="AX293" s="532"/>
      <c r="AY293" s="532"/>
      <c r="AZ293" s="532"/>
      <c r="BA293" s="532"/>
      <c r="BB293" s="532"/>
      <c r="BC293" s="532"/>
      <c r="BD293" s="532"/>
      <c r="BE293" s="532"/>
      <c r="BF293" s="532"/>
      <c r="BG293" s="532"/>
      <c r="BH293" s="532"/>
      <c r="BI293" s="532"/>
      <c r="BJ293" s="532"/>
      <c r="BK293" s="532"/>
      <c r="BL293" s="532"/>
      <c r="BM293" s="532"/>
      <c r="BN293" s="532"/>
      <c r="BO293" s="532"/>
      <c r="BP293" s="532"/>
      <c r="BQ293" s="532"/>
      <c r="BR293" s="532"/>
      <c r="BS293" s="532"/>
      <c r="BT293" s="532"/>
      <c r="BU293" s="532"/>
      <c r="BV293" s="532"/>
      <c r="BW293" s="532"/>
      <c r="BX293" s="532"/>
      <c r="BY293" s="532"/>
      <c r="BZ293" s="532"/>
      <c r="CA293" s="532"/>
      <c r="CB293" s="532"/>
      <c r="CC293" s="532"/>
      <c r="CD293" s="532"/>
      <c r="CE293" s="532"/>
      <c r="CF293" s="532"/>
      <c r="CG293" s="532"/>
      <c r="CH293" s="532"/>
      <c r="CI293" s="532"/>
      <c r="CJ293" s="532"/>
      <c r="CK293" s="532"/>
      <c r="CL293" s="532"/>
      <c r="CM293" s="532"/>
      <c r="CN293" s="532"/>
      <c r="CO293" s="532"/>
      <c r="CP293" s="532"/>
      <c r="CQ293" s="532"/>
      <c r="CR293" s="532"/>
      <c r="CS293" s="532"/>
      <c r="CT293" s="532"/>
      <c r="CU293" s="532"/>
      <c r="CV293" s="532"/>
      <c r="CW293" s="532"/>
      <c r="CX293" s="532"/>
      <c r="CY293" s="532"/>
      <c r="CZ293" s="532"/>
      <c r="DA293" s="532"/>
      <c r="DB293" s="532"/>
      <c r="DC293" s="532"/>
      <c r="DD293" s="532"/>
      <c r="DE293" s="532"/>
      <c r="DF293" s="532"/>
      <c r="DG293" s="532"/>
      <c r="DH293" s="532"/>
      <c r="DI293" s="532"/>
      <c r="DJ293" s="532"/>
      <c r="DK293" s="532"/>
      <c r="DL293" s="532"/>
      <c r="DM293" s="532"/>
      <c r="DN293" s="532"/>
      <c r="DO293" s="532"/>
      <c r="DP293" s="532"/>
      <c r="DQ293" s="532"/>
      <c r="DR293" s="532"/>
      <c r="DS293" s="532"/>
      <c r="DT293" s="532"/>
      <c r="DU293" s="532"/>
      <c r="DV293" s="532"/>
      <c r="DW293" s="532"/>
      <c r="DX293" s="532"/>
      <c r="DY293" s="532"/>
      <c r="DZ293" s="532"/>
      <c r="EA293" s="532"/>
      <c r="EB293" s="532"/>
      <c r="EC293" s="532"/>
      <c r="ED293" s="532"/>
      <c r="EE293" s="532"/>
      <c r="EF293" s="532"/>
      <c r="EG293" s="532"/>
      <c r="EH293" s="532"/>
      <c r="EI293" s="532"/>
      <c r="EJ293" s="532"/>
      <c r="EK293" s="532"/>
      <c r="EL293" s="532"/>
      <c r="EM293" s="532"/>
      <c r="EN293" s="532"/>
      <c r="EO293" s="532"/>
      <c r="EP293" s="532"/>
      <c r="EQ293" s="532"/>
      <c r="ER293" s="532"/>
      <c r="ES293" s="532"/>
      <c r="ET293" s="532"/>
      <c r="EU293" s="532"/>
      <c r="EV293" s="532"/>
      <c r="EW293" s="532"/>
      <c r="EX293" s="532"/>
      <c r="EY293" s="532"/>
      <c r="EZ293" s="532"/>
      <c r="FA293" s="532"/>
      <c r="FB293" s="532"/>
      <c r="FC293" s="532"/>
      <c r="FD293" s="532"/>
      <c r="FE293" s="532"/>
      <c r="FF293" s="532"/>
      <c r="FG293" s="532"/>
      <c r="FH293" s="532"/>
      <c r="FI293" s="532"/>
      <c r="FJ293" s="532"/>
      <c r="FK293" s="532"/>
      <c r="FL293" s="532"/>
      <c r="FM293" s="532"/>
      <c r="FN293" s="532"/>
      <c r="FO293" s="532"/>
      <c r="FP293" s="532"/>
    </row>
    <row r="294" spans="1:172" ht="12" customHeight="1" x14ac:dyDescent="0.2">
      <c r="A294" s="533" t="s">
        <v>99</v>
      </c>
      <c r="B294" s="534"/>
      <c r="C294" s="208">
        <f>82+21</f>
        <v>103</v>
      </c>
      <c r="D294" s="658">
        <f>92+25</f>
        <v>117</v>
      </c>
      <c r="E294" s="208">
        <f>81+26</f>
        <v>107</v>
      </c>
      <c r="F294" s="658">
        <f>90+31</f>
        <v>121</v>
      </c>
      <c r="G294" s="658">
        <f>112+31</f>
        <v>143</v>
      </c>
      <c r="H294" s="208">
        <f>108+29</f>
        <v>137</v>
      </c>
      <c r="I294" s="658">
        <f>129+37</f>
        <v>166</v>
      </c>
      <c r="J294" s="658">
        <f>141+29</f>
        <v>170</v>
      </c>
      <c r="K294" s="208">
        <f>27+125</f>
        <v>152</v>
      </c>
      <c r="L294" s="562">
        <v>107</v>
      </c>
      <c r="M294" s="562">
        <v>130</v>
      </c>
      <c r="N294" s="562">
        <f>78+29-2</f>
        <v>105</v>
      </c>
      <c r="O294" s="530">
        <f t="shared" si="146"/>
        <v>1558</v>
      </c>
      <c r="P294" s="531"/>
      <c r="Q294" s="531"/>
      <c r="R294" s="531"/>
      <c r="S294" s="531"/>
      <c r="T294" s="531"/>
      <c r="U294" s="531"/>
      <c r="V294" s="531"/>
      <c r="W294" s="531"/>
      <c r="X294" s="531"/>
      <c r="Y294" s="531"/>
      <c r="Z294" s="531"/>
      <c r="AA294" s="531"/>
      <c r="AB294" s="531"/>
      <c r="AC294" s="531"/>
      <c r="AD294" s="531"/>
      <c r="AE294" s="531"/>
      <c r="AF294" s="531"/>
      <c r="AG294" s="531"/>
      <c r="AH294" s="532"/>
      <c r="AI294" s="532"/>
      <c r="AJ294" s="532"/>
      <c r="AK294" s="532"/>
      <c r="AL294" s="532"/>
      <c r="AM294" s="532"/>
      <c r="AN294" s="532"/>
      <c r="AO294" s="532"/>
      <c r="AP294" s="532"/>
      <c r="AQ294" s="532"/>
      <c r="AR294" s="532"/>
      <c r="AS294" s="532"/>
      <c r="AT294" s="532"/>
      <c r="AU294" s="532"/>
      <c r="AV294" s="532"/>
      <c r="AW294" s="532"/>
      <c r="AX294" s="532"/>
      <c r="AY294" s="532"/>
      <c r="AZ294" s="532"/>
      <c r="BA294" s="532"/>
      <c r="BB294" s="532"/>
      <c r="BC294" s="532"/>
      <c r="BD294" s="532"/>
      <c r="BE294" s="532"/>
      <c r="BF294" s="532"/>
      <c r="BG294" s="532"/>
      <c r="BH294" s="532"/>
      <c r="BI294" s="532"/>
      <c r="BJ294" s="532"/>
      <c r="BK294" s="532"/>
      <c r="BL294" s="532"/>
      <c r="BM294" s="532"/>
      <c r="BN294" s="532"/>
      <c r="BO294" s="532"/>
      <c r="BP294" s="532"/>
      <c r="BQ294" s="532"/>
      <c r="BR294" s="532"/>
      <c r="BS294" s="532"/>
      <c r="BT294" s="532"/>
      <c r="BU294" s="532"/>
      <c r="BV294" s="532"/>
      <c r="BW294" s="532"/>
      <c r="BX294" s="532"/>
      <c r="BY294" s="532"/>
      <c r="BZ294" s="532"/>
      <c r="CA294" s="532"/>
      <c r="CB294" s="532"/>
      <c r="CC294" s="532"/>
      <c r="CD294" s="532"/>
      <c r="CE294" s="532"/>
      <c r="CF294" s="532"/>
      <c r="CG294" s="532"/>
      <c r="CH294" s="532"/>
      <c r="CI294" s="532"/>
      <c r="CJ294" s="532"/>
      <c r="CK294" s="532"/>
      <c r="CL294" s="532"/>
      <c r="CM294" s="532"/>
      <c r="CN294" s="532"/>
      <c r="CO294" s="532"/>
      <c r="CP294" s="532"/>
      <c r="CQ294" s="532"/>
      <c r="CR294" s="532"/>
      <c r="CS294" s="532"/>
      <c r="CT294" s="532"/>
      <c r="CU294" s="532"/>
      <c r="CV294" s="532"/>
      <c r="CW294" s="532"/>
      <c r="CX294" s="532"/>
      <c r="CY294" s="532"/>
      <c r="CZ294" s="532"/>
      <c r="DA294" s="532"/>
      <c r="DB294" s="532"/>
      <c r="DC294" s="532"/>
      <c r="DD294" s="532"/>
      <c r="DE294" s="532"/>
      <c r="DF294" s="532"/>
      <c r="DG294" s="532"/>
      <c r="DH294" s="532"/>
      <c r="DI294" s="532"/>
      <c r="DJ294" s="532"/>
      <c r="DK294" s="532"/>
      <c r="DL294" s="532"/>
      <c r="DM294" s="532"/>
      <c r="DN294" s="532"/>
      <c r="DO294" s="532"/>
      <c r="DP294" s="532"/>
      <c r="DQ294" s="532"/>
      <c r="DR294" s="532"/>
      <c r="DS294" s="532"/>
      <c r="DT294" s="532"/>
      <c r="DU294" s="532"/>
      <c r="DV294" s="532"/>
      <c r="DW294" s="532"/>
      <c r="DX294" s="532"/>
      <c r="DY294" s="532"/>
      <c r="DZ294" s="532"/>
      <c r="EA294" s="532"/>
      <c r="EB294" s="532"/>
      <c r="EC294" s="532"/>
      <c r="ED294" s="532"/>
      <c r="EE294" s="532"/>
      <c r="EF294" s="532"/>
      <c r="EG294" s="532"/>
      <c r="EH294" s="532"/>
      <c r="EI294" s="532"/>
      <c r="EJ294" s="532"/>
      <c r="EK294" s="532"/>
      <c r="EL294" s="532"/>
      <c r="EM294" s="532"/>
      <c r="EN294" s="532"/>
      <c r="EO294" s="532"/>
      <c r="EP294" s="532"/>
      <c r="EQ294" s="532"/>
      <c r="ER294" s="532"/>
      <c r="ES294" s="532"/>
      <c r="ET294" s="532"/>
      <c r="EU294" s="532"/>
      <c r="EV294" s="532"/>
      <c r="EW294" s="532"/>
      <c r="EX294" s="532"/>
      <c r="EY294" s="532"/>
      <c r="EZ294" s="532"/>
      <c r="FA294" s="532"/>
      <c r="FB294" s="532"/>
      <c r="FC294" s="532"/>
      <c r="FD294" s="532"/>
      <c r="FE294" s="532"/>
      <c r="FF294" s="532"/>
      <c r="FG294" s="532"/>
      <c r="FH294" s="532"/>
      <c r="FI294" s="532"/>
      <c r="FJ294" s="532"/>
      <c r="FK294" s="532"/>
      <c r="FL294" s="532"/>
      <c r="FM294" s="532"/>
      <c r="FN294" s="532"/>
      <c r="FO294" s="532"/>
      <c r="FP294" s="532"/>
    </row>
    <row r="295" spans="1:172" ht="12" customHeight="1" x14ac:dyDescent="0.2">
      <c r="A295" s="533" t="s">
        <v>109</v>
      </c>
      <c r="B295" s="534"/>
      <c r="C295" s="208">
        <f>117+173</f>
        <v>290</v>
      </c>
      <c r="D295" s="658">
        <f>125+170</f>
        <v>295</v>
      </c>
      <c r="E295" s="208">
        <f>119+201</f>
        <v>320</v>
      </c>
      <c r="F295" s="658">
        <f>116+196</f>
        <v>312</v>
      </c>
      <c r="G295" s="658">
        <f>141+194</f>
        <v>335</v>
      </c>
      <c r="H295" s="208">
        <f>170+217</f>
        <v>387</v>
      </c>
      <c r="I295" s="658">
        <f>148+210</f>
        <v>358</v>
      </c>
      <c r="J295" s="658">
        <f>159+219</f>
        <v>378</v>
      </c>
      <c r="K295" s="208">
        <f>183+117</f>
        <v>300</v>
      </c>
      <c r="L295" s="562">
        <v>285</v>
      </c>
      <c r="M295" s="562">
        <v>391</v>
      </c>
      <c r="N295" s="562">
        <f>138+231</f>
        <v>369</v>
      </c>
      <c r="O295" s="530">
        <f t="shared" si="146"/>
        <v>4020</v>
      </c>
      <c r="P295" s="531"/>
      <c r="Q295" s="531"/>
      <c r="R295" s="531"/>
      <c r="S295" s="531"/>
      <c r="T295" s="531"/>
      <c r="U295" s="531"/>
      <c r="V295" s="531"/>
      <c r="W295" s="531"/>
      <c r="X295" s="531"/>
      <c r="Y295" s="531"/>
      <c r="Z295" s="531"/>
      <c r="AA295" s="531"/>
      <c r="AB295" s="531"/>
      <c r="AC295" s="531"/>
      <c r="AD295" s="531"/>
      <c r="AE295" s="531"/>
      <c r="AF295" s="531"/>
      <c r="AG295" s="531"/>
      <c r="AH295" s="532"/>
      <c r="AI295" s="532"/>
      <c r="AJ295" s="532"/>
      <c r="AK295" s="532"/>
      <c r="AL295" s="532"/>
      <c r="AM295" s="532"/>
      <c r="AN295" s="532"/>
      <c r="AO295" s="532"/>
      <c r="AP295" s="532"/>
      <c r="AQ295" s="532"/>
      <c r="AR295" s="532"/>
      <c r="AS295" s="532"/>
      <c r="AT295" s="532"/>
      <c r="AU295" s="532"/>
      <c r="AV295" s="532"/>
      <c r="AW295" s="532"/>
      <c r="AX295" s="532"/>
      <c r="AY295" s="532"/>
      <c r="AZ295" s="532"/>
      <c r="BA295" s="532"/>
      <c r="BB295" s="532"/>
      <c r="BC295" s="532"/>
      <c r="BD295" s="532"/>
      <c r="BE295" s="532"/>
      <c r="BF295" s="532"/>
      <c r="BG295" s="532"/>
      <c r="BH295" s="532"/>
      <c r="BI295" s="532"/>
      <c r="BJ295" s="532"/>
      <c r="BK295" s="532"/>
      <c r="BL295" s="532"/>
      <c r="BM295" s="532"/>
      <c r="BN295" s="532"/>
      <c r="BO295" s="532"/>
      <c r="BP295" s="532"/>
      <c r="BQ295" s="532"/>
      <c r="BR295" s="532"/>
      <c r="BS295" s="532"/>
      <c r="BT295" s="532"/>
      <c r="BU295" s="532"/>
      <c r="BV295" s="532"/>
      <c r="BW295" s="532"/>
      <c r="BX295" s="532"/>
      <c r="BY295" s="532"/>
      <c r="BZ295" s="532"/>
      <c r="CA295" s="532"/>
      <c r="CB295" s="532"/>
      <c r="CC295" s="532"/>
      <c r="CD295" s="532"/>
      <c r="CE295" s="532"/>
      <c r="CF295" s="532"/>
      <c r="CG295" s="532"/>
      <c r="CH295" s="532"/>
      <c r="CI295" s="532"/>
      <c r="CJ295" s="532"/>
      <c r="CK295" s="532"/>
      <c r="CL295" s="532"/>
      <c r="CM295" s="532"/>
      <c r="CN295" s="532"/>
      <c r="CO295" s="532"/>
      <c r="CP295" s="532"/>
      <c r="CQ295" s="532"/>
      <c r="CR295" s="532"/>
      <c r="CS295" s="532"/>
      <c r="CT295" s="532"/>
      <c r="CU295" s="532"/>
      <c r="CV295" s="532"/>
      <c r="CW295" s="532"/>
      <c r="CX295" s="532"/>
      <c r="CY295" s="532"/>
      <c r="CZ295" s="532"/>
      <c r="DA295" s="532"/>
      <c r="DB295" s="532"/>
      <c r="DC295" s="532"/>
      <c r="DD295" s="532"/>
      <c r="DE295" s="532"/>
      <c r="DF295" s="532"/>
      <c r="DG295" s="532"/>
      <c r="DH295" s="532"/>
      <c r="DI295" s="532"/>
      <c r="DJ295" s="532"/>
      <c r="DK295" s="532"/>
      <c r="DL295" s="532"/>
      <c r="DM295" s="532"/>
      <c r="DN295" s="532"/>
      <c r="DO295" s="532"/>
      <c r="DP295" s="532"/>
      <c r="DQ295" s="532"/>
      <c r="DR295" s="532"/>
      <c r="DS295" s="532"/>
      <c r="DT295" s="532"/>
      <c r="DU295" s="532"/>
      <c r="DV295" s="532"/>
      <c r="DW295" s="532"/>
      <c r="DX295" s="532"/>
      <c r="DY295" s="532"/>
      <c r="DZ295" s="532"/>
      <c r="EA295" s="532"/>
      <c r="EB295" s="532"/>
      <c r="EC295" s="532"/>
      <c r="ED295" s="532"/>
      <c r="EE295" s="532"/>
      <c r="EF295" s="532"/>
      <c r="EG295" s="532"/>
      <c r="EH295" s="532"/>
      <c r="EI295" s="532"/>
      <c r="EJ295" s="532"/>
      <c r="EK295" s="532"/>
      <c r="EL295" s="532"/>
      <c r="EM295" s="532"/>
      <c r="EN295" s="532"/>
      <c r="EO295" s="532"/>
      <c r="EP295" s="532"/>
      <c r="EQ295" s="532"/>
      <c r="ER295" s="532"/>
      <c r="ES295" s="532"/>
      <c r="ET295" s="532"/>
      <c r="EU295" s="532"/>
      <c r="EV295" s="532"/>
      <c r="EW295" s="532"/>
      <c r="EX295" s="532"/>
      <c r="EY295" s="532"/>
      <c r="EZ295" s="532"/>
      <c r="FA295" s="532"/>
      <c r="FB295" s="532"/>
      <c r="FC295" s="532"/>
      <c r="FD295" s="532"/>
      <c r="FE295" s="532"/>
      <c r="FF295" s="532"/>
      <c r="FG295" s="532"/>
      <c r="FH295" s="532"/>
      <c r="FI295" s="532"/>
      <c r="FJ295" s="532"/>
      <c r="FK295" s="532"/>
      <c r="FL295" s="532"/>
      <c r="FM295" s="532"/>
      <c r="FN295" s="532"/>
      <c r="FO295" s="532"/>
      <c r="FP295" s="532"/>
    </row>
    <row r="296" spans="1:172" ht="12" customHeight="1" x14ac:dyDescent="0.2">
      <c r="A296" s="533" t="s">
        <v>110</v>
      </c>
      <c r="B296" s="534"/>
      <c r="C296" s="208">
        <f>146+67</f>
        <v>213</v>
      </c>
      <c r="D296" s="658">
        <f>135+64</f>
        <v>199</v>
      </c>
      <c r="E296" s="208">
        <f>106+67</f>
        <v>173</v>
      </c>
      <c r="F296" s="658">
        <f>169+65</f>
        <v>234</v>
      </c>
      <c r="G296" s="658">
        <f>169+73</f>
        <v>242</v>
      </c>
      <c r="H296" s="208">
        <f>190+67</f>
        <v>257</v>
      </c>
      <c r="I296" s="658">
        <f>165+75</f>
        <v>240</v>
      </c>
      <c r="J296" s="658">
        <f>169+69</f>
        <v>238</v>
      </c>
      <c r="K296" s="208">
        <f>68+151</f>
        <v>219</v>
      </c>
      <c r="L296" s="562">
        <v>185</v>
      </c>
      <c r="M296" s="562">
        <v>205</v>
      </c>
      <c r="N296" s="562">
        <f>905+55-731</f>
        <v>229</v>
      </c>
      <c r="O296" s="530">
        <f t="shared" si="146"/>
        <v>2634</v>
      </c>
      <c r="P296" s="531"/>
      <c r="Q296" s="531"/>
      <c r="R296" s="531"/>
      <c r="S296" s="531"/>
      <c r="T296" s="531"/>
      <c r="U296" s="531"/>
      <c r="V296" s="531"/>
      <c r="W296" s="531"/>
      <c r="X296" s="531"/>
      <c r="Y296" s="531"/>
      <c r="Z296" s="531"/>
      <c r="AA296" s="531"/>
      <c r="AB296" s="531"/>
      <c r="AC296" s="531"/>
      <c r="AD296" s="531"/>
      <c r="AE296" s="531"/>
      <c r="AF296" s="531"/>
      <c r="AG296" s="531"/>
      <c r="AH296" s="532"/>
      <c r="AI296" s="532"/>
      <c r="AJ296" s="532"/>
      <c r="AK296" s="532"/>
      <c r="AL296" s="532"/>
      <c r="AM296" s="532"/>
      <c r="AN296" s="532"/>
      <c r="AO296" s="532"/>
      <c r="AP296" s="532"/>
      <c r="AQ296" s="532"/>
      <c r="AR296" s="532"/>
      <c r="AS296" s="532"/>
      <c r="AT296" s="532"/>
      <c r="AU296" s="532"/>
      <c r="AV296" s="532"/>
      <c r="AW296" s="532"/>
      <c r="AX296" s="532"/>
      <c r="AY296" s="532"/>
      <c r="AZ296" s="532"/>
      <c r="BA296" s="532"/>
      <c r="BB296" s="532"/>
      <c r="BC296" s="532"/>
      <c r="BD296" s="532"/>
      <c r="BE296" s="532"/>
      <c r="BF296" s="532"/>
      <c r="BG296" s="532"/>
      <c r="BH296" s="532"/>
      <c r="BI296" s="532"/>
      <c r="BJ296" s="532"/>
      <c r="BK296" s="532"/>
      <c r="BL296" s="532"/>
      <c r="BM296" s="532"/>
      <c r="BN296" s="532"/>
      <c r="BO296" s="532"/>
      <c r="BP296" s="532"/>
      <c r="BQ296" s="532"/>
      <c r="BR296" s="532"/>
      <c r="BS296" s="532"/>
      <c r="BT296" s="532"/>
      <c r="BU296" s="532"/>
      <c r="BV296" s="532"/>
      <c r="BW296" s="532"/>
      <c r="BX296" s="532"/>
      <c r="BY296" s="532"/>
      <c r="BZ296" s="532"/>
      <c r="CA296" s="532"/>
      <c r="CB296" s="532"/>
      <c r="CC296" s="532"/>
      <c r="CD296" s="532"/>
      <c r="CE296" s="532"/>
      <c r="CF296" s="532"/>
      <c r="CG296" s="532"/>
      <c r="CH296" s="532"/>
      <c r="CI296" s="532"/>
      <c r="CJ296" s="532"/>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532"/>
      <c r="DF296" s="532"/>
      <c r="DG296" s="532"/>
      <c r="DH296" s="532"/>
      <c r="DI296" s="532"/>
      <c r="DJ296" s="532"/>
      <c r="DK296" s="532"/>
      <c r="DL296" s="532"/>
      <c r="DM296" s="532"/>
      <c r="DN296" s="532"/>
      <c r="DO296" s="532"/>
      <c r="DP296" s="532"/>
      <c r="DQ296" s="532"/>
      <c r="DR296" s="532"/>
      <c r="DS296" s="532"/>
      <c r="DT296" s="532"/>
      <c r="DU296" s="532"/>
      <c r="DV296" s="532"/>
      <c r="DW296" s="532"/>
      <c r="DX296" s="532"/>
      <c r="DY296" s="532"/>
      <c r="DZ296" s="532"/>
      <c r="EA296" s="532"/>
      <c r="EB296" s="532"/>
      <c r="EC296" s="532"/>
      <c r="ED296" s="532"/>
      <c r="EE296" s="532"/>
      <c r="EF296" s="532"/>
      <c r="EG296" s="532"/>
      <c r="EH296" s="532"/>
      <c r="EI296" s="532"/>
      <c r="EJ296" s="532"/>
      <c r="EK296" s="532"/>
      <c r="EL296" s="532"/>
      <c r="EM296" s="532"/>
      <c r="EN296" s="532"/>
      <c r="EO296" s="532"/>
      <c r="EP296" s="532"/>
      <c r="EQ296" s="532"/>
      <c r="ER296" s="532"/>
      <c r="ES296" s="532"/>
      <c r="ET296" s="532"/>
      <c r="EU296" s="532"/>
      <c r="EV296" s="532"/>
      <c r="EW296" s="532"/>
      <c r="EX296" s="532"/>
      <c r="EY296" s="532"/>
      <c r="EZ296" s="532"/>
      <c r="FA296" s="532"/>
      <c r="FB296" s="532"/>
      <c r="FC296" s="532"/>
      <c r="FD296" s="532"/>
      <c r="FE296" s="532"/>
      <c r="FF296" s="532"/>
      <c r="FG296" s="532"/>
      <c r="FH296" s="532"/>
      <c r="FI296" s="532"/>
      <c r="FJ296" s="532"/>
      <c r="FK296" s="532"/>
      <c r="FL296" s="532"/>
      <c r="FM296" s="532"/>
      <c r="FN296" s="532"/>
      <c r="FO296" s="532"/>
      <c r="FP296" s="532"/>
    </row>
    <row r="297" spans="1:172" ht="12" customHeight="1" x14ac:dyDescent="0.2">
      <c r="A297" s="533" t="s">
        <v>102</v>
      </c>
      <c r="B297" s="534"/>
      <c r="C297" s="208">
        <f>90+96</f>
        <v>186</v>
      </c>
      <c r="D297" s="658">
        <f>98+82</f>
        <v>180</v>
      </c>
      <c r="E297" s="208">
        <f>82+93</f>
        <v>175</v>
      </c>
      <c r="F297" s="658">
        <f>105+101</f>
        <v>206</v>
      </c>
      <c r="G297" s="658">
        <f>72+72</f>
        <v>144</v>
      </c>
      <c r="H297" s="208">
        <f>102+101</f>
        <v>203</v>
      </c>
      <c r="I297" s="658">
        <f>81+104</f>
        <v>185</v>
      </c>
      <c r="J297" s="658">
        <f>105+104</f>
        <v>209</v>
      </c>
      <c r="K297" s="208">
        <f>98+101</f>
        <v>199</v>
      </c>
      <c r="L297" s="562">
        <v>213</v>
      </c>
      <c r="M297" s="562">
        <v>218</v>
      </c>
      <c r="N297" s="562">
        <f>219+103-5</f>
        <v>317</v>
      </c>
      <c r="O297" s="530">
        <f t="shared" si="146"/>
        <v>2435</v>
      </c>
      <c r="P297" s="531"/>
      <c r="Q297" s="531"/>
      <c r="R297" s="531"/>
      <c r="S297" s="531"/>
      <c r="T297" s="531"/>
      <c r="U297" s="531"/>
      <c r="V297" s="531"/>
      <c r="W297" s="531"/>
      <c r="X297" s="531"/>
      <c r="Y297" s="531"/>
      <c r="Z297" s="531"/>
      <c r="AA297" s="531"/>
      <c r="AB297" s="531"/>
      <c r="AC297" s="531"/>
      <c r="AD297" s="531"/>
      <c r="AE297" s="531"/>
      <c r="AF297" s="531"/>
      <c r="AG297" s="531"/>
      <c r="AH297" s="532"/>
      <c r="AI297" s="532"/>
      <c r="AJ297" s="532"/>
      <c r="AK297" s="532"/>
      <c r="AL297" s="532"/>
      <c r="AM297" s="532"/>
      <c r="AN297" s="532"/>
      <c r="AO297" s="532"/>
      <c r="AP297" s="532"/>
      <c r="AQ297" s="532"/>
      <c r="AR297" s="532"/>
      <c r="AS297" s="532"/>
      <c r="AT297" s="532"/>
      <c r="AU297" s="532"/>
      <c r="AV297" s="532"/>
      <c r="AW297" s="532"/>
      <c r="AX297" s="532"/>
      <c r="AY297" s="532"/>
      <c r="AZ297" s="532"/>
      <c r="BA297" s="532"/>
      <c r="BB297" s="532"/>
      <c r="BC297" s="532"/>
      <c r="BD297" s="532"/>
      <c r="BE297" s="532"/>
      <c r="BF297" s="532"/>
      <c r="BG297" s="532"/>
      <c r="BH297" s="532"/>
      <c r="BI297" s="532"/>
      <c r="BJ297" s="532"/>
      <c r="BK297" s="532"/>
      <c r="BL297" s="532"/>
      <c r="BM297" s="532"/>
      <c r="BN297" s="532"/>
      <c r="BO297" s="532"/>
      <c r="BP297" s="532"/>
      <c r="BQ297" s="532"/>
      <c r="BR297" s="532"/>
      <c r="BS297" s="532"/>
      <c r="BT297" s="532"/>
      <c r="BU297" s="532"/>
      <c r="BV297" s="532"/>
      <c r="BW297" s="532"/>
      <c r="BX297" s="532"/>
      <c r="BY297" s="532"/>
      <c r="BZ297" s="532"/>
      <c r="CA297" s="532"/>
      <c r="CB297" s="532"/>
      <c r="CC297" s="532"/>
      <c r="CD297" s="532"/>
      <c r="CE297" s="532"/>
      <c r="CF297" s="532"/>
      <c r="CG297" s="532"/>
      <c r="CH297" s="532"/>
      <c r="CI297" s="532"/>
      <c r="CJ297" s="532"/>
      <c r="CK297" s="532"/>
      <c r="CL297" s="532"/>
      <c r="CM297" s="532"/>
      <c r="CN297" s="532"/>
      <c r="CO297" s="532"/>
      <c r="CP297" s="532"/>
      <c r="CQ297" s="532"/>
      <c r="CR297" s="532"/>
      <c r="CS297" s="532"/>
      <c r="CT297" s="532"/>
      <c r="CU297" s="532"/>
      <c r="CV297" s="532"/>
      <c r="CW297" s="532"/>
      <c r="CX297" s="532"/>
      <c r="CY297" s="532"/>
      <c r="CZ297" s="532"/>
      <c r="DA297" s="532"/>
      <c r="DB297" s="532"/>
      <c r="DC297" s="532"/>
      <c r="DD297" s="532"/>
      <c r="DE297" s="532"/>
      <c r="DF297" s="532"/>
      <c r="DG297" s="532"/>
      <c r="DH297" s="532"/>
      <c r="DI297" s="532"/>
      <c r="DJ297" s="532"/>
      <c r="DK297" s="532"/>
      <c r="DL297" s="532"/>
      <c r="DM297" s="532"/>
      <c r="DN297" s="532"/>
      <c r="DO297" s="532"/>
      <c r="DP297" s="532"/>
      <c r="DQ297" s="532"/>
      <c r="DR297" s="532"/>
      <c r="DS297" s="532"/>
      <c r="DT297" s="532"/>
      <c r="DU297" s="532"/>
      <c r="DV297" s="532"/>
      <c r="DW297" s="532"/>
      <c r="DX297" s="532"/>
      <c r="DY297" s="532"/>
      <c r="DZ297" s="532"/>
      <c r="EA297" s="532"/>
      <c r="EB297" s="532"/>
      <c r="EC297" s="532"/>
      <c r="ED297" s="532"/>
      <c r="EE297" s="532"/>
      <c r="EF297" s="532"/>
      <c r="EG297" s="532"/>
      <c r="EH297" s="532"/>
      <c r="EI297" s="532"/>
      <c r="EJ297" s="532"/>
      <c r="EK297" s="532"/>
      <c r="EL297" s="532"/>
      <c r="EM297" s="532"/>
      <c r="EN297" s="532"/>
      <c r="EO297" s="532"/>
      <c r="EP297" s="532"/>
      <c r="EQ297" s="532"/>
      <c r="ER297" s="532"/>
      <c r="ES297" s="532"/>
      <c r="ET297" s="532"/>
      <c r="EU297" s="532"/>
      <c r="EV297" s="532"/>
      <c r="EW297" s="532"/>
      <c r="EX297" s="532"/>
      <c r="EY297" s="532"/>
      <c r="EZ297" s="532"/>
      <c r="FA297" s="532"/>
      <c r="FB297" s="532"/>
      <c r="FC297" s="532"/>
      <c r="FD297" s="532"/>
      <c r="FE297" s="532"/>
      <c r="FF297" s="532"/>
      <c r="FG297" s="532"/>
      <c r="FH297" s="532"/>
      <c r="FI297" s="532"/>
      <c r="FJ297" s="532"/>
      <c r="FK297" s="532"/>
      <c r="FL297" s="532"/>
      <c r="FM297" s="532"/>
      <c r="FN297" s="532"/>
      <c r="FO297" s="532"/>
      <c r="FP297" s="532"/>
    </row>
    <row r="298" spans="1:172" ht="12" customHeight="1" x14ac:dyDescent="0.2">
      <c r="A298" s="533" t="s">
        <v>111</v>
      </c>
      <c r="B298" s="534"/>
      <c r="C298" s="208">
        <f>86+69</f>
        <v>155</v>
      </c>
      <c r="D298" s="658">
        <f>98+72</f>
        <v>170</v>
      </c>
      <c r="E298" s="208">
        <f>68+64</f>
        <v>132</v>
      </c>
      <c r="F298" s="658">
        <f>84+55</f>
        <v>139</v>
      </c>
      <c r="G298" s="658">
        <f>63+68</f>
        <v>131</v>
      </c>
      <c r="H298" s="208">
        <f>91+77</f>
        <v>168</v>
      </c>
      <c r="I298" s="658">
        <f>64+58</f>
        <v>122</v>
      </c>
      <c r="J298" s="658">
        <f>87+89</f>
        <v>176</v>
      </c>
      <c r="K298" s="208">
        <f>58+77</f>
        <v>135</v>
      </c>
      <c r="L298" s="562">
        <v>127</v>
      </c>
      <c r="M298" s="562">
        <v>173</v>
      </c>
      <c r="N298" s="562">
        <f>277+48-180</f>
        <v>145</v>
      </c>
      <c r="O298" s="530">
        <f t="shared" si="146"/>
        <v>1773</v>
      </c>
      <c r="P298" s="531"/>
      <c r="Q298" s="531"/>
      <c r="R298" s="531"/>
      <c r="S298" s="531"/>
      <c r="T298" s="531"/>
      <c r="U298" s="531"/>
      <c r="V298" s="531"/>
      <c r="W298" s="531"/>
      <c r="X298" s="531"/>
      <c r="Y298" s="531"/>
      <c r="Z298" s="531"/>
      <c r="AA298" s="531"/>
      <c r="AB298" s="531"/>
      <c r="AC298" s="531"/>
      <c r="AD298" s="531"/>
      <c r="AE298" s="531"/>
      <c r="AF298" s="531"/>
      <c r="AG298" s="531"/>
      <c r="AH298" s="532"/>
      <c r="AI298" s="532"/>
      <c r="AJ298" s="532"/>
      <c r="AK298" s="532"/>
      <c r="AL298" s="532"/>
      <c r="AM298" s="532"/>
      <c r="AN298" s="532"/>
      <c r="AO298" s="532"/>
      <c r="AP298" s="532"/>
      <c r="AQ298" s="532"/>
      <c r="AR298" s="532"/>
      <c r="AS298" s="532"/>
      <c r="AT298" s="532"/>
      <c r="AU298" s="532"/>
      <c r="AV298" s="532"/>
      <c r="AW298" s="532"/>
      <c r="AX298" s="532"/>
      <c r="AY298" s="532"/>
      <c r="AZ298" s="532"/>
      <c r="BA298" s="532"/>
      <c r="BB298" s="532"/>
      <c r="BC298" s="532"/>
      <c r="BD298" s="532"/>
      <c r="BE298" s="532"/>
      <c r="BF298" s="532"/>
      <c r="BG298" s="532"/>
      <c r="BH298" s="532"/>
      <c r="BI298" s="532"/>
      <c r="BJ298" s="532"/>
      <c r="BK298" s="532"/>
      <c r="BL298" s="532"/>
      <c r="BM298" s="532"/>
      <c r="BN298" s="532"/>
      <c r="BO298" s="532"/>
      <c r="BP298" s="532"/>
      <c r="BQ298" s="532"/>
      <c r="BR298" s="532"/>
      <c r="BS298" s="532"/>
      <c r="BT298" s="532"/>
      <c r="BU298" s="532"/>
      <c r="BV298" s="532"/>
      <c r="BW298" s="532"/>
      <c r="BX298" s="532"/>
      <c r="BY298" s="532"/>
      <c r="BZ298" s="532"/>
      <c r="CA298" s="532"/>
      <c r="CB298" s="532"/>
      <c r="CC298" s="532"/>
      <c r="CD298" s="532"/>
      <c r="CE298" s="532"/>
      <c r="CF298" s="532"/>
      <c r="CG298" s="532"/>
      <c r="CH298" s="532"/>
      <c r="CI298" s="532"/>
      <c r="CJ298" s="532"/>
      <c r="CK298" s="532"/>
      <c r="CL298" s="532"/>
      <c r="CM298" s="532"/>
      <c r="CN298" s="532"/>
      <c r="CO298" s="532"/>
      <c r="CP298" s="532"/>
      <c r="CQ298" s="532"/>
      <c r="CR298" s="532"/>
      <c r="CS298" s="532"/>
      <c r="CT298" s="532"/>
      <c r="CU298" s="532"/>
      <c r="CV298" s="532"/>
      <c r="CW298" s="532"/>
      <c r="CX298" s="532"/>
      <c r="CY298" s="532"/>
      <c r="CZ298" s="532"/>
      <c r="DA298" s="532"/>
      <c r="DB298" s="532"/>
      <c r="DC298" s="532"/>
      <c r="DD298" s="532"/>
      <c r="DE298" s="532"/>
      <c r="DF298" s="532"/>
      <c r="DG298" s="532"/>
      <c r="DH298" s="532"/>
      <c r="DI298" s="532"/>
      <c r="DJ298" s="532"/>
      <c r="DK298" s="532"/>
      <c r="DL298" s="532"/>
      <c r="DM298" s="532"/>
      <c r="DN298" s="532"/>
      <c r="DO298" s="532"/>
      <c r="DP298" s="532"/>
      <c r="DQ298" s="532"/>
      <c r="DR298" s="532"/>
      <c r="DS298" s="532"/>
      <c r="DT298" s="532"/>
      <c r="DU298" s="532"/>
      <c r="DV298" s="532"/>
      <c r="DW298" s="532"/>
      <c r="DX298" s="532"/>
      <c r="DY298" s="532"/>
      <c r="DZ298" s="532"/>
      <c r="EA298" s="532"/>
      <c r="EB298" s="532"/>
      <c r="EC298" s="532"/>
      <c r="ED298" s="532"/>
      <c r="EE298" s="532"/>
      <c r="EF298" s="532"/>
      <c r="EG298" s="532"/>
      <c r="EH298" s="532"/>
      <c r="EI298" s="532"/>
      <c r="EJ298" s="532"/>
      <c r="EK298" s="532"/>
      <c r="EL298" s="532"/>
      <c r="EM298" s="532"/>
      <c r="EN298" s="532"/>
      <c r="EO298" s="532"/>
      <c r="EP298" s="532"/>
      <c r="EQ298" s="532"/>
      <c r="ER298" s="532"/>
      <c r="ES298" s="532"/>
      <c r="ET298" s="532"/>
      <c r="EU298" s="532"/>
      <c r="EV298" s="532"/>
      <c r="EW298" s="532"/>
      <c r="EX298" s="532"/>
      <c r="EY298" s="532"/>
      <c r="EZ298" s="532"/>
      <c r="FA298" s="532"/>
      <c r="FB298" s="532"/>
      <c r="FC298" s="532"/>
      <c r="FD298" s="532"/>
      <c r="FE298" s="532"/>
      <c r="FF298" s="532"/>
      <c r="FG298" s="532"/>
      <c r="FH298" s="532"/>
      <c r="FI298" s="532"/>
      <c r="FJ298" s="532"/>
      <c r="FK298" s="532"/>
      <c r="FL298" s="532"/>
      <c r="FM298" s="532"/>
      <c r="FN298" s="532"/>
      <c r="FO298" s="532"/>
      <c r="FP298" s="532"/>
    </row>
    <row r="299" spans="1:172" ht="12" customHeight="1" x14ac:dyDescent="0.2">
      <c r="A299" s="537" t="s">
        <v>169</v>
      </c>
      <c r="B299" s="534" t="s">
        <v>55</v>
      </c>
      <c r="C299" s="658">
        <f t="shared" ref="C299:K299" si="147">SUM(C292:C298)</f>
        <v>1661</v>
      </c>
      <c r="D299" s="658">
        <f t="shared" si="147"/>
        <v>1574</v>
      </c>
      <c r="E299" s="658">
        <f t="shared" si="147"/>
        <v>1509</v>
      </c>
      <c r="F299" s="658">
        <f t="shared" si="147"/>
        <v>1685</v>
      </c>
      <c r="G299" s="658">
        <f t="shared" si="147"/>
        <v>1719</v>
      </c>
      <c r="H299" s="658">
        <f t="shared" si="147"/>
        <v>1873</v>
      </c>
      <c r="I299" s="658">
        <f t="shared" si="147"/>
        <v>1735</v>
      </c>
      <c r="J299" s="658">
        <f t="shared" si="147"/>
        <v>1853</v>
      </c>
      <c r="K299" s="658">
        <f t="shared" si="147"/>
        <v>1676</v>
      </c>
      <c r="L299" s="562">
        <v>1508</v>
      </c>
      <c r="M299" s="562">
        <v>1750</v>
      </c>
      <c r="N299" s="562">
        <f t="shared" ref="N299" si="148">SUM(N292:N298)</f>
        <v>1807</v>
      </c>
      <c r="O299" s="530">
        <f t="shared" si="146"/>
        <v>20350</v>
      </c>
      <c r="P299" s="553"/>
      <c r="Q299" s="531"/>
      <c r="R299" s="531"/>
      <c r="S299" s="531"/>
      <c r="T299" s="531"/>
      <c r="U299" s="531"/>
      <c r="V299" s="531"/>
      <c r="W299" s="531"/>
      <c r="X299" s="531"/>
      <c r="Y299" s="531"/>
      <c r="Z299" s="531"/>
      <c r="AA299" s="531"/>
      <c r="AB299" s="531"/>
      <c r="AC299" s="531"/>
      <c r="AD299" s="531"/>
      <c r="AE299" s="531"/>
      <c r="AF299" s="531"/>
      <c r="AG299" s="531"/>
      <c r="AH299" s="532"/>
      <c r="AI299" s="532"/>
      <c r="AJ299" s="532"/>
      <c r="AK299" s="532"/>
      <c r="AL299" s="532"/>
      <c r="AM299" s="532"/>
      <c r="AN299" s="532"/>
      <c r="AO299" s="532"/>
      <c r="AP299" s="532"/>
      <c r="AQ299" s="532"/>
      <c r="AR299" s="532"/>
      <c r="AS299" s="532"/>
      <c r="AT299" s="532"/>
      <c r="AU299" s="532"/>
      <c r="AV299" s="532"/>
      <c r="AW299" s="532"/>
      <c r="AX299" s="532"/>
      <c r="AY299" s="532"/>
      <c r="AZ299" s="532"/>
      <c r="BA299" s="532"/>
      <c r="BB299" s="532"/>
      <c r="BC299" s="532"/>
      <c r="BD299" s="532"/>
      <c r="BE299" s="532"/>
      <c r="BF299" s="532"/>
      <c r="BG299" s="532"/>
      <c r="BH299" s="532"/>
      <c r="BI299" s="532"/>
      <c r="BJ299" s="532"/>
      <c r="BK299" s="532"/>
      <c r="BL299" s="532"/>
      <c r="BM299" s="532"/>
      <c r="BN299" s="532"/>
      <c r="BO299" s="532"/>
      <c r="BP299" s="532"/>
      <c r="BQ299" s="532"/>
      <c r="BR299" s="532"/>
      <c r="BS299" s="532"/>
      <c r="BT299" s="532"/>
      <c r="BU299" s="532"/>
      <c r="BV299" s="532"/>
      <c r="BW299" s="532"/>
      <c r="BX299" s="532"/>
      <c r="BY299" s="532"/>
      <c r="BZ299" s="532"/>
      <c r="CA299" s="532"/>
      <c r="CB299" s="532"/>
      <c r="CC299" s="532"/>
      <c r="CD299" s="532"/>
      <c r="CE299" s="532"/>
      <c r="CF299" s="532"/>
      <c r="CG299" s="532"/>
      <c r="CH299" s="532"/>
      <c r="CI299" s="532"/>
      <c r="CJ299" s="532"/>
      <c r="CK299" s="532"/>
      <c r="CL299" s="532"/>
      <c r="CM299" s="532"/>
      <c r="CN299" s="532"/>
      <c r="CO299" s="532"/>
      <c r="CP299" s="532"/>
      <c r="CQ299" s="532"/>
      <c r="CR299" s="532"/>
      <c r="CS299" s="532"/>
      <c r="CT299" s="532"/>
      <c r="CU299" s="532"/>
      <c r="CV299" s="532"/>
      <c r="CW299" s="532"/>
      <c r="CX299" s="532"/>
      <c r="CY299" s="532"/>
      <c r="CZ299" s="532"/>
      <c r="DA299" s="532"/>
      <c r="DB299" s="532"/>
      <c r="DC299" s="532"/>
      <c r="DD299" s="532"/>
      <c r="DE299" s="532"/>
      <c r="DF299" s="532"/>
      <c r="DG299" s="532"/>
      <c r="DH299" s="532"/>
      <c r="DI299" s="532"/>
      <c r="DJ299" s="532"/>
      <c r="DK299" s="532"/>
      <c r="DL299" s="532"/>
      <c r="DM299" s="532"/>
      <c r="DN299" s="532"/>
      <c r="DO299" s="532"/>
      <c r="DP299" s="532"/>
      <c r="DQ299" s="532"/>
      <c r="DR299" s="532"/>
      <c r="DS299" s="532"/>
      <c r="DT299" s="532"/>
      <c r="DU299" s="532"/>
      <c r="DV299" s="532"/>
      <c r="DW299" s="532"/>
      <c r="DX299" s="532"/>
      <c r="DY299" s="532"/>
      <c r="DZ299" s="532"/>
      <c r="EA299" s="532"/>
      <c r="EB299" s="532"/>
      <c r="EC299" s="532"/>
      <c r="ED299" s="532"/>
      <c r="EE299" s="532"/>
      <c r="EF299" s="532"/>
      <c r="EG299" s="532"/>
      <c r="EH299" s="532"/>
      <c r="EI299" s="532"/>
      <c r="EJ299" s="532"/>
      <c r="EK299" s="532"/>
      <c r="EL299" s="532"/>
      <c r="EM299" s="532"/>
      <c r="EN299" s="532"/>
      <c r="EO299" s="532"/>
      <c r="EP299" s="532"/>
      <c r="EQ299" s="532"/>
      <c r="ER299" s="532"/>
      <c r="ES299" s="532"/>
      <c r="ET299" s="532"/>
      <c r="EU299" s="532"/>
      <c r="EV299" s="532"/>
      <c r="EW299" s="532"/>
      <c r="EX299" s="532"/>
      <c r="EY299" s="532"/>
      <c r="EZ299" s="532"/>
      <c r="FA299" s="532"/>
      <c r="FB299" s="532"/>
      <c r="FC299" s="532"/>
      <c r="FD299" s="532"/>
      <c r="FE299" s="532"/>
      <c r="FF299" s="532"/>
      <c r="FG299" s="532"/>
      <c r="FH299" s="532"/>
      <c r="FI299" s="532"/>
      <c r="FJ299" s="532"/>
      <c r="FK299" s="532"/>
      <c r="FL299" s="532"/>
      <c r="FM299" s="532"/>
      <c r="FN299" s="532"/>
      <c r="FO299" s="532"/>
      <c r="FP299" s="532"/>
    </row>
    <row r="300" spans="1:172" ht="12" customHeight="1" x14ac:dyDescent="0.2">
      <c r="A300" s="537"/>
      <c r="B300" s="534"/>
      <c r="C300" s="534"/>
      <c r="D300" s="534"/>
      <c r="E300" s="534"/>
      <c r="F300" s="534"/>
      <c r="G300" s="534"/>
      <c r="H300" s="534"/>
      <c r="I300" s="534"/>
      <c r="J300" s="534"/>
      <c r="K300" s="658"/>
      <c r="L300" s="562"/>
      <c r="M300" s="562"/>
      <c r="N300" s="562"/>
      <c r="O300" s="530"/>
      <c r="P300" s="531"/>
      <c r="Q300" s="531"/>
      <c r="R300" s="531"/>
      <c r="S300" s="531"/>
      <c r="T300" s="531"/>
      <c r="U300" s="531"/>
      <c r="V300" s="531"/>
      <c r="W300" s="531"/>
      <c r="X300" s="531"/>
      <c r="Y300" s="531"/>
      <c r="Z300" s="531"/>
      <c r="AA300" s="531"/>
      <c r="AB300" s="531"/>
      <c r="AC300" s="531"/>
      <c r="AD300" s="531"/>
      <c r="AE300" s="531"/>
      <c r="AF300" s="531"/>
      <c r="AG300" s="531"/>
      <c r="AH300" s="532"/>
      <c r="AI300" s="532"/>
      <c r="AJ300" s="532"/>
      <c r="AK300" s="532"/>
      <c r="AL300" s="532"/>
      <c r="AM300" s="532"/>
      <c r="AN300" s="532"/>
      <c r="AO300" s="532"/>
      <c r="AP300" s="532"/>
      <c r="AQ300" s="532"/>
      <c r="AR300" s="532"/>
      <c r="AS300" s="532"/>
      <c r="AT300" s="532"/>
      <c r="AU300" s="532"/>
      <c r="AV300" s="532"/>
      <c r="AW300" s="532"/>
      <c r="AX300" s="532"/>
      <c r="AY300" s="532"/>
      <c r="AZ300" s="532"/>
      <c r="BA300" s="532"/>
      <c r="BB300" s="532"/>
      <c r="BC300" s="532"/>
      <c r="BD300" s="532"/>
      <c r="BE300" s="532"/>
      <c r="BF300" s="532"/>
      <c r="BG300" s="532"/>
      <c r="BH300" s="532"/>
      <c r="BI300" s="532"/>
      <c r="BJ300" s="532"/>
      <c r="BK300" s="532"/>
      <c r="BL300" s="532"/>
      <c r="BM300" s="532"/>
      <c r="BN300" s="532"/>
      <c r="BO300" s="532"/>
      <c r="BP300" s="532"/>
      <c r="BQ300" s="532"/>
      <c r="BR300" s="532"/>
      <c r="BS300" s="532"/>
      <c r="BT300" s="532"/>
      <c r="BU300" s="532"/>
      <c r="BV300" s="532"/>
      <c r="BW300" s="532"/>
      <c r="BX300" s="532"/>
      <c r="BY300" s="532"/>
      <c r="BZ300" s="532"/>
      <c r="CA300" s="532"/>
      <c r="CB300" s="532"/>
      <c r="CC300" s="532"/>
      <c r="CD300" s="532"/>
      <c r="CE300" s="532"/>
      <c r="CF300" s="532"/>
      <c r="CG300" s="532"/>
      <c r="CH300" s="532"/>
      <c r="CI300" s="532"/>
      <c r="CJ300" s="532"/>
      <c r="CK300" s="532"/>
      <c r="CL300" s="532"/>
      <c r="CM300" s="532"/>
      <c r="CN300" s="532"/>
      <c r="CO300" s="532"/>
      <c r="CP300" s="532"/>
      <c r="CQ300" s="532"/>
      <c r="CR300" s="532"/>
      <c r="CS300" s="532"/>
      <c r="CT300" s="532"/>
      <c r="CU300" s="532"/>
      <c r="CV300" s="532"/>
      <c r="CW300" s="532"/>
      <c r="CX300" s="532"/>
      <c r="CY300" s="532"/>
      <c r="CZ300" s="532"/>
      <c r="DA300" s="532"/>
      <c r="DB300" s="532"/>
      <c r="DC300" s="532"/>
      <c r="DD300" s="532"/>
      <c r="DE300" s="532"/>
      <c r="DF300" s="532"/>
      <c r="DG300" s="532"/>
      <c r="DH300" s="532"/>
      <c r="DI300" s="532"/>
      <c r="DJ300" s="532"/>
      <c r="DK300" s="532"/>
      <c r="DL300" s="532"/>
      <c r="DM300" s="532"/>
      <c r="DN300" s="532"/>
      <c r="DO300" s="532"/>
      <c r="DP300" s="532"/>
      <c r="DQ300" s="532"/>
      <c r="DR300" s="532"/>
      <c r="DS300" s="532"/>
      <c r="DT300" s="532"/>
      <c r="DU300" s="532"/>
      <c r="DV300" s="532"/>
      <c r="DW300" s="532"/>
      <c r="DX300" s="532"/>
      <c r="DY300" s="532"/>
      <c r="DZ300" s="532"/>
      <c r="EA300" s="532"/>
      <c r="EB300" s="532"/>
      <c r="EC300" s="532"/>
      <c r="ED300" s="532"/>
      <c r="EE300" s="532"/>
      <c r="EF300" s="532"/>
      <c r="EG300" s="532"/>
      <c r="EH300" s="532"/>
      <c r="EI300" s="532"/>
      <c r="EJ300" s="532"/>
      <c r="EK300" s="532"/>
      <c r="EL300" s="532"/>
      <c r="EM300" s="532"/>
      <c r="EN300" s="532"/>
      <c r="EO300" s="532"/>
      <c r="EP300" s="532"/>
      <c r="EQ300" s="532"/>
      <c r="ER300" s="532"/>
      <c r="ES300" s="532"/>
      <c r="ET300" s="532"/>
      <c r="EU300" s="532"/>
      <c r="EV300" s="532"/>
      <c r="EW300" s="532"/>
      <c r="EX300" s="532"/>
      <c r="EY300" s="532"/>
      <c r="EZ300" s="532"/>
      <c r="FA300" s="532"/>
      <c r="FB300" s="532"/>
      <c r="FC300" s="532"/>
      <c r="FD300" s="532"/>
      <c r="FE300" s="532"/>
      <c r="FF300" s="532"/>
      <c r="FG300" s="532"/>
      <c r="FH300" s="532"/>
      <c r="FI300" s="532"/>
      <c r="FJ300" s="532"/>
      <c r="FK300" s="532"/>
      <c r="FL300" s="532"/>
      <c r="FM300" s="532"/>
      <c r="FN300" s="532"/>
      <c r="FO300" s="532"/>
      <c r="FP300" s="532"/>
    </row>
    <row r="301" spans="1:172" ht="12" customHeight="1" x14ac:dyDescent="0.2">
      <c r="A301" s="533" t="s">
        <v>170</v>
      </c>
      <c r="B301" s="534"/>
      <c r="C301" s="534"/>
      <c r="D301" s="534"/>
      <c r="E301" s="534"/>
      <c r="F301" s="534"/>
      <c r="G301" s="534"/>
      <c r="H301" s="534"/>
      <c r="I301" s="534"/>
      <c r="J301" s="534"/>
      <c r="K301" s="658"/>
      <c r="L301" s="562"/>
      <c r="M301" s="562"/>
      <c r="N301" s="562"/>
      <c r="O301" s="530"/>
      <c r="P301" s="531"/>
      <c r="Q301" s="531"/>
      <c r="R301" s="531"/>
      <c r="S301" s="531"/>
      <c r="T301" s="531"/>
      <c r="U301" s="531"/>
      <c r="V301" s="531"/>
      <c r="W301" s="531"/>
      <c r="X301" s="531"/>
      <c r="Y301" s="531"/>
      <c r="Z301" s="531"/>
      <c r="AA301" s="531"/>
      <c r="AB301" s="531"/>
      <c r="AC301" s="531"/>
      <c r="AD301" s="531"/>
      <c r="AE301" s="531"/>
      <c r="AF301" s="531"/>
      <c r="AG301" s="531"/>
      <c r="AH301" s="532"/>
      <c r="AI301" s="532"/>
      <c r="AJ301" s="532"/>
      <c r="AK301" s="532"/>
      <c r="AL301" s="532"/>
      <c r="AM301" s="532"/>
      <c r="AN301" s="532"/>
      <c r="AO301" s="532"/>
      <c r="AP301" s="532"/>
      <c r="AQ301" s="532"/>
      <c r="AR301" s="532"/>
      <c r="AS301" s="532"/>
      <c r="AT301" s="532"/>
      <c r="AU301" s="532"/>
      <c r="AV301" s="532"/>
      <c r="AW301" s="532"/>
      <c r="AX301" s="532"/>
      <c r="AY301" s="532"/>
      <c r="AZ301" s="532"/>
      <c r="BA301" s="532"/>
      <c r="BB301" s="532"/>
      <c r="BC301" s="532"/>
      <c r="BD301" s="532"/>
      <c r="BE301" s="532"/>
      <c r="BF301" s="532"/>
      <c r="BG301" s="532"/>
      <c r="BH301" s="532"/>
      <c r="BI301" s="532"/>
      <c r="BJ301" s="532"/>
      <c r="BK301" s="532"/>
      <c r="BL301" s="532"/>
      <c r="BM301" s="532"/>
      <c r="BN301" s="532"/>
      <c r="BO301" s="532"/>
      <c r="BP301" s="532"/>
      <c r="BQ301" s="532"/>
      <c r="BR301" s="532"/>
      <c r="BS301" s="532"/>
      <c r="BT301" s="532"/>
      <c r="BU301" s="532"/>
      <c r="BV301" s="532"/>
      <c r="BW301" s="532"/>
      <c r="BX301" s="532"/>
      <c r="BY301" s="532"/>
      <c r="BZ301" s="532"/>
      <c r="CA301" s="532"/>
      <c r="CB301" s="532"/>
      <c r="CC301" s="532"/>
      <c r="CD301" s="532"/>
      <c r="CE301" s="532"/>
      <c r="CF301" s="532"/>
      <c r="CG301" s="532"/>
      <c r="CH301" s="532"/>
      <c r="CI301" s="532"/>
      <c r="CJ301" s="532"/>
      <c r="CK301" s="532"/>
      <c r="CL301" s="532"/>
      <c r="CM301" s="532"/>
      <c r="CN301" s="532"/>
      <c r="CO301" s="532"/>
      <c r="CP301" s="532"/>
      <c r="CQ301" s="532"/>
      <c r="CR301" s="532"/>
      <c r="CS301" s="532"/>
      <c r="CT301" s="532"/>
      <c r="CU301" s="532"/>
      <c r="CV301" s="532"/>
      <c r="CW301" s="532"/>
      <c r="CX301" s="532"/>
      <c r="CY301" s="532"/>
      <c r="CZ301" s="532"/>
      <c r="DA301" s="532"/>
      <c r="DB301" s="532"/>
      <c r="DC301" s="532"/>
      <c r="DD301" s="532"/>
      <c r="DE301" s="532"/>
      <c r="DF301" s="532"/>
      <c r="DG301" s="532"/>
      <c r="DH301" s="532"/>
      <c r="DI301" s="532"/>
      <c r="DJ301" s="532"/>
      <c r="DK301" s="532"/>
      <c r="DL301" s="532"/>
      <c r="DM301" s="532"/>
      <c r="DN301" s="532"/>
      <c r="DO301" s="532"/>
      <c r="DP301" s="532"/>
      <c r="DQ301" s="532"/>
      <c r="DR301" s="532"/>
      <c r="DS301" s="532"/>
      <c r="DT301" s="532"/>
      <c r="DU301" s="532"/>
      <c r="DV301" s="532"/>
      <c r="DW301" s="532"/>
      <c r="DX301" s="532"/>
      <c r="DY301" s="532"/>
      <c r="DZ301" s="532"/>
      <c r="EA301" s="532"/>
      <c r="EB301" s="532"/>
      <c r="EC301" s="532"/>
      <c r="ED301" s="532"/>
      <c r="EE301" s="532"/>
      <c r="EF301" s="532"/>
      <c r="EG301" s="532"/>
      <c r="EH301" s="532"/>
      <c r="EI301" s="532"/>
      <c r="EJ301" s="532"/>
      <c r="EK301" s="532"/>
      <c r="EL301" s="532"/>
      <c r="EM301" s="532"/>
      <c r="EN301" s="532"/>
      <c r="EO301" s="532"/>
      <c r="EP301" s="532"/>
      <c r="EQ301" s="532"/>
      <c r="ER301" s="532"/>
      <c r="ES301" s="532"/>
      <c r="ET301" s="532"/>
      <c r="EU301" s="532"/>
      <c r="EV301" s="532"/>
      <c r="EW301" s="532"/>
      <c r="EX301" s="532"/>
      <c r="EY301" s="532"/>
      <c r="EZ301" s="532"/>
      <c r="FA301" s="532"/>
      <c r="FB301" s="532"/>
      <c r="FC301" s="532"/>
      <c r="FD301" s="532"/>
      <c r="FE301" s="532"/>
      <c r="FF301" s="532"/>
      <c r="FG301" s="532"/>
      <c r="FH301" s="532"/>
      <c r="FI301" s="532"/>
      <c r="FJ301" s="532"/>
      <c r="FK301" s="532"/>
      <c r="FL301" s="532"/>
      <c r="FM301" s="532"/>
      <c r="FN301" s="532"/>
      <c r="FO301" s="532"/>
      <c r="FP301" s="532"/>
    </row>
    <row r="302" spans="1:172" ht="12" customHeight="1" x14ac:dyDescent="0.2">
      <c r="A302" s="533" t="s">
        <v>107</v>
      </c>
      <c r="B302" s="534"/>
      <c r="C302" s="540">
        <f t="shared" ref="C302:O302" si="149">IF(C$299=0,0,(C292/C$299))</f>
        <v>0.40517760385310053</v>
      </c>
      <c r="D302" s="540">
        <f t="shared" si="149"/>
        <v>0.36086404066073696</v>
      </c>
      <c r="E302" s="540">
        <f t="shared" si="149"/>
        <v>0.3797216699801193</v>
      </c>
      <c r="F302" s="540">
        <f t="shared" si="149"/>
        <v>0.37804154302670623</v>
      </c>
      <c r="G302" s="540">
        <f t="shared" si="149"/>
        <v>0.39267015706806285</v>
      </c>
      <c r="H302" s="540">
        <f t="shared" si="149"/>
        <v>0.35664709022957819</v>
      </c>
      <c r="I302" s="540">
        <f t="shared" si="149"/>
        <v>0.36714697406340058</v>
      </c>
      <c r="J302" s="540">
        <f t="shared" si="149"/>
        <v>0.34646519158121963</v>
      </c>
      <c r="K302" s="663">
        <f t="shared" si="149"/>
        <v>0.37828162291169454</v>
      </c>
      <c r="L302" s="568">
        <f t="shared" si="149"/>
        <v>0.36405835543766579</v>
      </c>
      <c r="M302" s="568">
        <f t="shared" si="149"/>
        <v>0.33885714285714286</v>
      </c>
      <c r="N302" s="568">
        <f t="shared" si="149"/>
        <v>0.33259546209186497</v>
      </c>
      <c r="O302" s="541">
        <f t="shared" si="149"/>
        <v>0.36609336609336607</v>
      </c>
      <c r="P302" s="531"/>
      <c r="Q302" s="531"/>
      <c r="R302" s="531"/>
      <c r="S302" s="531"/>
      <c r="T302" s="531"/>
      <c r="U302" s="531"/>
      <c r="V302" s="531"/>
      <c r="W302" s="531"/>
      <c r="X302" s="531"/>
      <c r="Y302" s="531"/>
      <c r="Z302" s="531"/>
      <c r="AA302" s="531"/>
      <c r="AB302" s="531"/>
      <c r="AC302" s="531"/>
      <c r="AD302" s="531"/>
      <c r="AE302" s="531"/>
      <c r="AF302" s="531"/>
      <c r="AG302" s="531"/>
      <c r="AH302" s="532"/>
      <c r="AI302" s="532"/>
      <c r="AJ302" s="532"/>
      <c r="AK302" s="532"/>
      <c r="AL302" s="532"/>
      <c r="AM302" s="532"/>
      <c r="AN302" s="532"/>
      <c r="AO302" s="532"/>
      <c r="AP302" s="532"/>
      <c r="AQ302" s="532"/>
      <c r="AR302" s="532"/>
      <c r="AS302" s="532"/>
      <c r="AT302" s="532"/>
      <c r="AU302" s="532"/>
      <c r="AV302" s="532"/>
      <c r="AW302" s="532"/>
      <c r="AX302" s="532"/>
      <c r="AY302" s="532"/>
      <c r="AZ302" s="532"/>
      <c r="BA302" s="532"/>
      <c r="BB302" s="532"/>
      <c r="BC302" s="532"/>
      <c r="BD302" s="532"/>
      <c r="BE302" s="532"/>
      <c r="BF302" s="532"/>
      <c r="BG302" s="532"/>
      <c r="BH302" s="532"/>
      <c r="BI302" s="532"/>
      <c r="BJ302" s="532"/>
      <c r="BK302" s="532"/>
      <c r="BL302" s="532"/>
      <c r="BM302" s="532"/>
      <c r="BN302" s="532"/>
      <c r="BO302" s="532"/>
      <c r="BP302" s="532"/>
      <c r="BQ302" s="532"/>
      <c r="BR302" s="532"/>
      <c r="BS302" s="532"/>
      <c r="BT302" s="532"/>
      <c r="BU302" s="532"/>
      <c r="BV302" s="532"/>
      <c r="BW302" s="532"/>
      <c r="BX302" s="532"/>
      <c r="BY302" s="532"/>
      <c r="BZ302" s="532"/>
      <c r="CA302" s="532"/>
      <c r="CB302" s="532"/>
      <c r="CC302" s="532"/>
      <c r="CD302" s="532"/>
      <c r="CE302" s="532"/>
      <c r="CF302" s="532"/>
      <c r="CG302" s="532"/>
      <c r="CH302" s="532"/>
      <c r="CI302" s="532"/>
      <c r="CJ302" s="532"/>
      <c r="CK302" s="532"/>
      <c r="CL302" s="532"/>
      <c r="CM302" s="532"/>
      <c r="CN302" s="532"/>
      <c r="CO302" s="532"/>
      <c r="CP302" s="532"/>
      <c r="CQ302" s="532"/>
      <c r="CR302" s="532"/>
      <c r="CS302" s="532"/>
      <c r="CT302" s="532"/>
      <c r="CU302" s="532"/>
      <c r="CV302" s="532"/>
      <c r="CW302" s="532"/>
      <c r="CX302" s="532"/>
      <c r="CY302" s="532"/>
      <c r="CZ302" s="532"/>
      <c r="DA302" s="532"/>
      <c r="DB302" s="532"/>
      <c r="DC302" s="532"/>
      <c r="DD302" s="532"/>
      <c r="DE302" s="532"/>
      <c r="DF302" s="532"/>
      <c r="DG302" s="532"/>
      <c r="DH302" s="532"/>
      <c r="DI302" s="532"/>
      <c r="DJ302" s="532"/>
      <c r="DK302" s="532"/>
      <c r="DL302" s="532"/>
      <c r="DM302" s="532"/>
      <c r="DN302" s="532"/>
      <c r="DO302" s="532"/>
      <c r="DP302" s="532"/>
      <c r="DQ302" s="532"/>
      <c r="DR302" s="532"/>
      <c r="DS302" s="532"/>
      <c r="DT302" s="532"/>
      <c r="DU302" s="532"/>
      <c r="DV302" s="532"/>
      <c r="DW302" s="532"/>
      <c r="DX302" s="532"/>
      <c r="DY302" s="532"/>
      <c r="DZ302" s="532"/>
      <c r="EA302" s="532"/>
      <c r="EB302" s="532"/>
      <c r="EC302" s="532"/>
      <c r="ED302" s="532"/>
      <c r="EE302" s="532"/>
      <c r="EF302" s="532"/>
      <c r="EG302" s="532"/>
      <c r="EH302" s="532"/>
      <c r="EI302" s="532"/>
      <c r="EJ302" s="532"/>
      <c r="EK302" s="532"/>
      <c r="EL302" s="532"/>
      <c r="EM302" s="532"/>
      <c r="EN302" s="532"/>
      <c r="EO302" s="532"/>
      <c r="EP302" s="532"/>
      <c r="EQ302" s="532"/>
      <c r="ER302" s="532"/>
      <c r="ES302" s="532"/>
      <c r="ET302" s="532"/>
      <c r="EU302" s="532"/>
      <c r="EV302" s="532"/>
      <c r="EW302" s="532"/>
      <c r="EX302" s="532"/>
      <c r="EY302" s="532"/>
      <c r="EZ302" s="532"/>
      <c r="FA302" s="532"/>
      <c r="FB302" s="532"/>
      <c r="FC302" s="532"/>
      <c r="FD302" s="532"/>
      <c r="FE302" s="532"/>
      <c r="FF302" s="532"/>
      <c r="FG302" s="532"/>
      <c r="FH302" s="532"/>
      <c r="FI302" s="532"/>
      <c r="FJ302" s="532"/>
      <c r="FK302" s="532"/>
      <c r="FL302" s="532"/>
      <c r="FM302" s="532"/>
      <c r="FN302" s="532"/>
      <c r="FO302" s="532"/>
      <c r="FP302" s="532"/>
    </row>
    <row r="303" spans="1:172" ht="12" customHeight="1" x14ac:dyDescent="0.2">
      <c r="A303" s="533" t="s">
        <v>108</v>
      </c>
      <c r="B303" s="534"/>
      <c r="C303" s="540">
        <f t="shared" ref="C303:E308" si="150">IF(C$299=0,0,(C293/C$299))</f>
        <v>2.4683925346177003E-2</v>
      </c>
      <c r="D303" s="540">
        <f t="shared" si="150"/>
        <v>2.8589580686149935E-2</v>
      </c>
      <c r="E303" s="540">
        <f t="shared" si="150"/>
        <v>1.9218025182239893E-2</v>
      </c>
      <c r="F303" s="540">
        <f t="shared" ref="F303:O303" si="151">IF(F$299=0,0,(F293/F$299))</f>
        <v>2.1364985163204748E-2</v>
      </c>
      <c r="G303" s="540">
        <f t="shared" si="151"/>
        <v>2.8504944735311226E-2</v>
      </c>
      <c r="H303" s="540">
        <f t="shared" si="151"/>
        <v>2.8296849973304859E-2</v>
      </c>
      <c r="I303" s="540">
        <f t="shared" si="151"/>
        <v>1.5561959654178675E-2</v>
      </c>
      <c r="J303" s="540">
        <f t="shared" si="151"/>
        <v>2.1586616297895305E-2</v>
      </c>
      <c r="K303" s="663">
        <f t="shared" si="151"/>
        <v>2.20763723150358E-2</v>
      </c>
      <c r="L303" s="568">
        <f t="shared" si="151"/>
        <v>2.7851458885941646E-2</v>
      </c>
      <c r="M303" s="568">
        <f t="shared" si="151"/>
        <v>2.2857142857142857E-2</v>
      </c>
      <c r="N303" s="568">
        <f t="shared" si="151"/>
        <v>2.2689540675152185E-2</v>
      </c>
      <c r="O303" s="541">
        <f t="shared" si="151"/>
        <v>2.3587223587223587E-2</v>
      </c>
      <c r="P303" s="531"/>
      <c r="Q303" s="531"/>
      <c r="R303" s="531"/>
      <c r="S303" s="531"/>
      <c r="T303" s="531"/>
      <c r="U303" s="531"/>
      <c r="V303" s="531"/>
      <c r="W303" s="531"/>
      <c r="X303" s="531"/>
      <c r="Y303" s="531"/>
      <c r="Z303" s="531"/>
      <c r="AA303" s="531"/>
      <c r="AB303" s="531"/>
      <c r="AC303" s="531"/>
      <c r="AD303" s="531"/>
      <c r="AE303" s="531"/>
      <c r="AF303" s="531"/>
      <c r="AG303" s="531"/>
      <c r="AH303" s="532"/>
      <c r="AI303" s="532"/>
      <c r="AJ303" s="532"/>
      <c r="AK303" s="532"/>
      <c r="AL303" s="532"/>
      <c r="AM303" s="532"/>
      <c r="AN303" s="532"/>
      <c r="AO303" s="532"/>
      <c r="AP303" s="532"/>
      <c r="AQ303" s="532"/>
      <c r="AR303" s="532"/>
      <c r="AS303" s="532"/>
      <c r="AT303" s="532"/>
      <c r="AU303" s="532"/>
      <c r="AV303" s="532"/>
      <c r="AW303" s="532"/>
      <c r="AX303" s="532"/>
      <c r="AY303" s="532"/>
      <c r="AZ303" s="532"/>
      <c r="BA303" s="532"/>
      <c r="BB303" s="532"/>
      <c r="BC303" s="532"/>
      <c r="BD303" s="532"/>
      <c r="BE303" s="532"/>
      <c r="BF303" s="532"/>
      <c r="BG303" s="532"/>
      <c r="BH303" s="532"/>
      <c r="BI303" s="532"/>
      <c r="BJ303" s="532"/>
      <c r="BK303" s="532"/>
      <c r="BL303" s="532"/>
      <c r="BM303" s="532"/>
      <c r="BN303" s="532"/>
      <c r="BO303" s="532"/>
      <c r="BP303" s="532"/>
      <c r="BQ303" s="532"/>
      <c r="BR303" s="532"/>
      <c r="BS303" s="532"/>
      <c r="BT303" s="532"/>
      <c r="BU303" s="532"/>
      <c r="BV303" s="532"/>
      <c r="BW303" s="532"/>
      <c r="BX303" s="532"/>
      <c r="BY303" s="532"/>
      <c r="BZ303" s="532"/>
      <c r="CA303" s="532"/>
      <c r="CB303" s="532"/>
      <c r="CC303" s="532"/>
      <c r="CD303" s="532"/>
      <c r="CE303" s="532"/>
      <c r="CF303" s="532"/>
      <c r="CG303" s="532"/>
      <c r="CH303" s="532"/>
      <c r="CI303" s="532"/>
      <c r="CJ303" s="532"/>
      <c r="CK303" s="532"/>
      <c r="CL303" s="532"/>
      <c r="CM303" s="532"/>
      <c r="CN303" s="532"/>
      <c r="CO303" s="532"/>
      <c r="CP303" s="532"/>
      <c r="CQ303" s="532"/>
      <c r="CR303" s="532"/>
      <c r="CS303" s="532"/>
      <c r="CT303" s="532"/>
      <c r="CU303" s="532"/>
      <c r="CV303" s="532"/>
      <c r="CW303" s="532"/>
      <c r="CX303" s="532"/>
      <c r="CY303" s="532"/>
      <c r="CZ303" s="532"/>
      <c r="DA303" s="532"/>
      <c r="DB303" s="532"/>
      <c r="DC303" s="532"/>
      <c r="DD303" s="532"/>
      <c r="DE303" s="532"/>
      <c r="DF303" s="532"/>
      <c r="DG303" s="532"/>
      <c r="DH303" s="532"/>
      <c r="DI303" s="532"/>
      <c r="DJ303" s="532"/>
      <c r="DK303" s="532"/>
      <c r="DL303" s="532"/>
      <c r="DM303" s="532"/>
      <c r="DN303" s="532"/>
      <c r="DO303" s="532"/>
      <c r="DP303" s="532"/>
      <c r="DQ303" s="532"/>
      <c r="DR303" s="532"/>
      <c r="DS303" s="532"/>
      <c r="DT303" s="532"/>
      <c r="DU303" s="532"/>
      <c r="DV303" s="532"/>
      <c r="DW303" s="532"/>
      <c r="DX303" s="532"/>
      <c r="DY303" s="532"/>
      <c r="DZ303" s="532"/>
      <c r="EA303" s="532"/>
      <c r="EB303" s="532"/>
      <c r="EC303" s="532"/>
      <c r="ED303" s="532"/>
      <c r="EE303" s="532"/>
      <c r="EF303" s="532"/>
      <c r="EG303" s="532"/>
      <c r="EH303" s="532"/>
      <c r="EI303" s="532"/>
      <c r="EJ303" s="532"/>
      <c r="EK303" s="532"/>
      <c r="EL303" s="532"/>
      <c r="EM303" s="532"/>
      <c r="EN303" s="532"/>
      <c r="EO303" s="532"/>
      <c r="EP303" s="532"/>
      <c r="EQ303" s="532"/>
      <c r="ER303" s="532"/>
      <c r="ES303" s="532"/>
      <c r="ET303" s="532"/>
      <c r="EU303" s="532"/>
      <c r="EV303" s="532"/>
      <c r="EW303" s="532"/>
      <c r="EX303" s="532"/>
      <c r="EY303" s="532"/>
      <c r="EZ303" s="532"/>
      <c r="FA303" s="532"/>
      <c r="FB303" s="532"/>
      <c r="FC303" s="532"/>
      <c r="FD303" s="532"/>
      <c r="FE303" s="532"/>
      <c r="FF303" s="532"/>
      <c r="FG303" s="532"/>
      <c r="FH303" s="532"/>
      <c r="FI303" s="532"/>
      <c r="FJ303" s="532"/>
      <c r="FK303" s="532"/>
      <c r="FL303" s="532"/>
      <c r="FM303" s="532"/>
      <c r="FN303" s="532"/>
      <c r="FO303" s="532"/>
      <c r="FP303" s="532"/>
    </row>
    <row r="304" spans="1:172" ht="12" customHeight="1" x14ac:dyDescent="0.2">
      <c r="A304" s="533" t="s">
        <v>99</v>
      </c>
      <c r="B304" s="534"/>
      <c r="C304" s="540">
        <f t="shared" si="150"/>
        <v>6.2010836845273934E-2</v>
      </c>
      <c r="D304" s="540">
        <f t="shared" si="150"/>
        <v>7.4332909783989834E-2</v>
      </c>
      <c r="E304" s="540">
        <f t="shared" si="150"/>
        <v>7.0907886017229957E-2</v>
      </c>
      <c r="F304" s="540">
        <f t="shared" ref="F304:O304" si="152">IF(F$299=0,0,(F294/F$299))</f>
        <v>7.1810089020771517E-2</v>
      </c>
      <c r="G304" s="540">
        <f t="shared" si="152"/>
        <v>8.318789994182664E-2</v>
      </c>
      <c r="H304" s="540">
        <f t="shared" si="152"/>
        <v>7.3144687666844635E-2</v>
      </c>
      <c r="I304" s="540">
        <f t="shared" si="152"/>
        <v>9.5677233429394812E-2</v>
      </c>
      <c r="J304" s="540">
        <f t="shared" si="152"/>
        <v>9.1743119266055051E-2</v>
      </c>
      <c r="K304" s="663">
        <f t="shared" si="152"/>
        <v>9.0692124105011929E-2</v>
      </c>
      <c r="L304" s="568">
        <f t="shared" si="152"/>
        <v>7.0954907161803707E-2</v>
      </c>
      <c r="M304" s="568">
        <f t="shared" si="152"/>
        <v>7.4285714285714288E-2</v>
      </c>
      <c r="N304" s="568">
        <f t="shared" si="152"/>
        <v>5.8107360265633644E-2</v>
      </c>
      <c r="O304" s="541">
        <f t="shared" si="152"/>
        <v>7.6560196560196567E-2</v>
      </c>
      <c r="P304" s="531"/>
      <c r="Q304" s="531"/>
      <c r="R304" s="531"/>
      <c r="S304" s="531"/>
      <c r="T304" s="531"/>
      <c r="U304" s="531"/>
      <c r="V304" s="531"/>
      <c r="W304" s="531"/>
      <c r="X304" s="531"/>
      <c r="Y304" s="531"/>
      <c r="Z304" s="531"/>
      <c r="AA304" s="531"/>
      <c r="AB304" s="531"/>
      <c r="AC304" s="531"/>
      <c r="AD304" s="531"/>
      <c r="AE304" s="531"/>
      <c r="AF304" s="531"/>
      <c r="AG304" s="531"/>
      <c r="AH304" s="532"/>
      <c r="AI304" s="532"/>
      <c r="AJ304" s="532"/>
      <c r="AK304" s="532"/>
      <c r="AL304" s="532"/>
      <c r="AM304" s="532"/>
      <c r="AN304" s="532"/>
      <c r="AO304" s="532"/>
      <c r="AP304" s="532"/>
      <c r="AQ304" s="532"/>
      <c r="AR304" s="532"/>
      <c r="AS304" s="532"/>
      <c r="AT304" s="532"/>
      <c r="AU304" s="532"/>
      <c r="AV304" s="532"/>
      <c r="AW304" s="532"/>
      <c r="AX304" s="532"/>
      <c r="AY304" s="532"/>
      <c r="AZ304" s="532"/>
      <c r="BA304" s="532"/>
      <c r="BB304" s="532"/>
      <c r="BC304" s="532"/>
      <c r="BD304" s="532"/>
      <c r="BE304" s="532"/>
      <c r="BF304" s="532"/>
      <c r="BG304" s="532"/>
      <c r="BH304" s="532"/>
      <c r="BI304" s="532"/>
      <c r="BJ304" s="532"/>
      <c r="BK304" s="532"/>
      <c r="BL304" s="532"/>
      <c r="BM304" s="532"/>
      <c r="BN304" s="532"/>
      <c r="BO304" s="532"/>
      <c r="BP304" s="532"/>
      <c r="BQ304" s="532"/>
      <c r="BR304" s="532"/>
      <c r="BS304" s="532"/>
      <c r="BT304" s="532"/>
      <c r="BU304" s="532"/>
      <c r="BV304" s="532"/>
      <c r="BW304" s="532"/>
      <c r="BX304" s="532"/>
      <c r="BY304" s="532"/>
      <c r="BZ304" s="532"/>
      <c r="CA304" s="532"/>
      <c r="CB304" s="532"/>
      <c r="CC304" s="532"/>
      <c r="CD304" s="532"/>
      <c r="CE304" s="532"/>
      <c r="CF304" s="532"/>
      <c r="CG304" s="532"/>
      <c r="CH304" s="532"/>
      <c r="CI304" s="532"/>
      <c r="CJ304" s="532"/>
      <c r="CK304" s="532"/>
      <c r="CL304" s="532"/>
      <c r="CM304" s="532"/>
      <c r="CN304" s="532"/>
      <c r="CO304" s="532"/>
      <c r="CP304" s="532"/>
      <c r="CQ304" s="532"/>
      <c r="CR304" s="532"/>
      <c r="CS304" s="532"/>
      <c r="CT304" s="532"/>
      <c r="CU304" s="532"/>
      <c r="CV304" s="532"/>
      <c r="CW304" s="532"/>
      <c r="CX304" s="532"/>
      <c r="CY304" s="532"/>
      <c r="CZ304" s="532"/>
      <c r="DA304" s="532"/>
      <c r="DB304" s="532"/>
      <c r="DC304" s="532"/>
      <c r="DD304" s="532"/>
      <c r="DE304" s="532"/>
      <c r="DF304" s="532"/>
      <c r="DG304" s="532"/>
      <c r="DH304" s="532"/>
      <c r="DI304" s="532"/>
      <c r="DJ304" s="532"/>
      <c r="DK304" s="532"/>
      <c r="DL304" s="532"/>
      <c r="DM304" s="532"/>
      <c r="DN304" s="532"/>
      <c r="DO304" s="532"/>
      <c r="DP304" s="532"/>
      <c r="DQ304" s="532"/>
      <c r="DR304" s="532"/>
      <c r="DS304" s="532"/>
      <c r="DT304" s="532"/>
      <c r="DU304" s="532"/>
      <c r="DV304" s="532"/>
      <c r="DW304" s="532"/>
      <c r="DX304" s="532"/>
      <c r="DY304" s="532"/>
      <c r="DZ304" s="532"/>
      <c r="EA304" s="532"/>
      <c r="EB304" s="532"/>
      <c r="EC304" s="532"/>
      <c r="ED304" s="532"/>
      <c r="EE304" s="532"/>
      <c r="EF304" s="532"/>
      <c r="EG304" s="532"/>
      <c r="EH304" s="532"/>
      <c r="EI304" s="532"/>
      <c r="EJ304" s="532"/>
      <c r="EK304" s="532"/>
      <c r="EL304" s="532"/>
      <c r="EM304" s="532"/>
      <c r="EN304" s="532"/>
      <c r="EO304" s="532"/>
      <c r="EP304" s="532"/>
      <c r="EQ304" s="532"/>
      <c r="ER304" s="532"/>
      <c r="ES304" s="532"/>
      <c r="ET304" s="532"/>
      <c r="EU304" s="532"/>
      <c r="EV304" s="532"/>
      <c r="EW304" s="532"/>
      <c r="EX304" s="532"/>
      <c r="EY304" s="532"/>
      <c r="EZ304" s="532"/>
      <c r="FA304" s="532"/>
      <c r="FB304" s="532"/>
      <c r="FC304" s="532"/>
      <c r="FD304" s="532"/>
      <c r="FE304" s="532"/>
      <c r="FF304" s="532"/>
      <c r="FG304" s="532"/>
      <c r="FH304" s="532"/>
      <c r="FI304" s="532"/>
      <c r="FJ304" s="532"/>
      <c r="FK304" s="532"/>
      <c r="FL304" s="532"/>
      <c r="FM304" s="532"/>
      <c r="FN304" s="532"/>
      <c r="FO304" s="532"/>
      <c r="FP304" s="532"/>
    </row>
    <row r="305" spans="1:172" ht="12" customHeight="1" x14ac:dyDescent="0.2">
      <c r="A305" s="533" t="s">
        <v>109</v>
      </c>
      <c r="B305" s="534"/>
      <c r="C305" s="540">
        <f t="shared" si="150"/>
        <v>0.17459361830222758</v>
      </c>
      <c r="D305" s="540">
        <f t="shared" si="150"/>
        <v>0.18742058449809404</v>
      </c>
      <c r="E305" s="540">
        <f t="shared" si="150"/>
        <v>0.21206096752816433</v>
      </c>
      <c r="F305" s="540">
        <f t="shared" ref="F305:O305" si="153">IF(F$299=0,0,(F295/F$299))</f>
        <v>0.18516320474777448</v>
      </c>
      <c r="G305" s="540">
        <f t="shared" si="153"/>
        <v>0.19488074461896451</v>
      </c>
      <c r="H305" s="540">
        <f t="shared" si="153"/>
        <v>0.20662039508809396</v>
      </c>
      <c r="I305" s="540">
        <f t="shared" si="153"/>
        <v>0.20634005763688762</v>
      </c>
      <c r="J305" s="540">
        <f t="shared" si="153"/>
        <v>0.20399352401511064</v>
      </c>
      <c r="K305" s="663">
        <f t="shared" si="153"/>
        <v>0.17899761336515513</v>
      </c>
      <c r="L305" s="568">
        <f t="shared" si="153"/>
        <v>0.18899204244031831</v>
      </c>
      <c r="M305" s="568">
        <f t="shared" si="153"/>
        <v>0.22342857142857142</v>
      </c>
      <c r="N305" s="568">
        <f t="shared" si="153"/>
        <v>0.20420586607636967</v>
      </c>
      <c r="O305" s="541">
        <f t="shared" si="153"/>
        <v>0.19754299754299753</v>
      </c>
      <c r="P305" s="531"/>
      <c r="Q305" s="531"/>
      <c r="R305" s="531"/>
      <c r="S305" s="531"/>
      <c r="T305" s="531"/>
      <c r="U305" s="531"/>
      <c r="V305" s="531"/>
      <c r="W305" s="531"/>
      <c r="X305" s="531"/>
      <c r="Y305" s="531"/>
      <c r="Z305" s="531"/>
      <c r="AA305" s="531"/>
      <c r="AB305" s="531"/>
      <c r="AC305" s="531"/>
      <c r="AD305" s="531"/>
      <c r="AE305" s="531"/>
      <c r="AF305" s="531"/>
      <c r="AG305" s="531"/>
      <c r="AH305" s="532"/>
      <c r="AI305" s="532"/>
      <c r="AJ305" s="532"/>
      <c r="AK305" s="532"/>
      <c r="AL305" s="532"/>
      <c r="AM305" s="532"/>
      <c r="AN305" s="532"/>
      <c r="AO305" s="532"/>
      <c r="AP305" s="532"/>
      <c r="AQ305" s="532"/>
      <c r="AR305" s="532"/>
      <c r="AS305" s="532"/>
      <c r="AT305" s="532"/>
      <c r="AU305" s="532"/>
      <c r="AV305" s="532"/>
      <c r="AW305" s="532"/>
      <c r="AX305" s="532"/>
      <c r="AY305" s="532"/>
      <c r="AZ305" s="532"/>
      <c r="BA305" s="532"/>
      <c r="BB305" s="532"/>
      <c r="BC305" s="532"/>
      <c r="BD305" s="532"/>
      <c r="BE305" s="532"/>
      <c r="BF305" s="532"/>
      <c r="BG305" s="532"/>
      <c r="BH305" s="532"/>
      <c r="BI305" s="532"/>
      <c r="BJ305" s="532"/>
      <c r="BK305" s="532"/>
      <c r="BL305" s="532"/>
      <c r="BM305" s="532"/>
      <c r="BN305" s="532"/>
      <c r="BO305" s="532"/>
      <c r="BP305" s="532"/>
      <c r="BQ305" s="532"/>
      <c r="BR305" s="532"/>
      <c r="BS305" s="532"/>
      <c r="BT305" s="532"/>
      <c r="BU305" s="532"/>
      <c r="BV305" s="532"/>
      <c r="BW305" s="532"/>
      <c r="BX305" s="532"/>
      <c r="BY305" s="532"/>
      <c r="BZ305" s="532"/>
      <c r="CA305" s="532"/>
      <c r="CB305" s="532"/>
      <c r="CC305" s="532"/>
      <c r="CD305" s="532"/>
      <c r="CE305" s="532"/>
      <c r="CF305" s="532"/>
      <c r="CG305" s="532"/>
      <c r="CH305" s="532"/>
      <c r="CI305" s="532"/>
      <c r="CJ305" s="532"/>
      <c r="CK305" s="532"/>
      <c r="CL305" s="532"/>
      <c r="CM305" s="532"/>
      <c r="CN305" s="532"/>
      <c r="CO305" s="532"/>
      <c r="CP305" s="532"/>
      <c r="CQ305" s="532"/>
      <c r="CR305" s="532"/>
      <c r="CS305" s="532"/>
      <c r="CT305" s="532"/>
      <c r="CU305" s="532"/>
      <c r="CV305" s="532"/>
      <c r="CW305" s="532"/>
      <c r="CX305" s="532"/>
      <c r="CY305" s="532"/>
      <c r="CZ305" s="532"/>
      <c r="DA305" s="532"/>
      <c r="DB305" s="532"/>
      <c r="DC305" s="532"/>
      <c r="DD305" s="532"/>
      <c r="DE305" s="532"/>
      <c r="DF305" s="532"/>
      <c r="DG305" s="532"/>
      <c r="DH305" s="532"/>
      <c r="DI305" s="532"/>
      <c r="DJ305" s="532"/>
      <c r="DK305" s="532"/>
      <c r="DL305" s="532"/>
      <c r="DM305" s="532"/>
      <c r="DN305" s="532"/>
      <c r="DO305" s="532"/>
      <c r="DP305" s="532"/>
      <c r="DQ305" s="532"/>
      <c r="DR305" s="532"/>
      <c r="DS305" s="532"/>
      <c r="DT305" s="532"/>
      <c r="DU305" s="532"/>
      <c r="DV305" s="532"/>
      <c r="DW305" s="532"/>
      <c r="DX305" s="532"/>
      <c r="DY305" s="532"/>
      <c r="DZ305" s="532"/>
      <c r="EA305" s="532"/>
      <c r="EB305" s="532"/>
      <c r="EC305" s="532"/>
      <c r="ED305" s="532"/>
      <c r="EE305" s="532"/>
      <c r="EF305" s="532"/>
      <c r="EG305" s="532"/>
      <c r="EH305" s="532"/>
      <c r="EI305" s="532"/>
      <c r="EJ305" s="532"/>
      <c r="EK305" s="532"/>
      <c r="EL305" s="532"/>
      <c r="EM305" s="532"/>
      <c r="EN305" s="532"/>
      <c r="EO305" s="532"/>
      <c r="EP305" s="532"/>
      <c r="EQ305" s="532"/>
      <c r="ER305" s="532"/>
      <c r="ES305" s="532"/>
      <c r="ET305" s="532"/>
      <c r="EU305" s="532"/>
      <c r="EV305" s="532"/>
      <c r="EW305" s="532"/>
      <c r="EX305" s="532"/>
      <c r="EY305" s="532"/>
      <c r="EZ305" s="532"/>
      <c r="FA305" s="532"/>
      <c r="FB305" s="532"/>
      <c r="FC305" s="532"/>
      <c r="FD305" s="532"/>
      <c r="FE305" s="532"/>
      <c r="FF305" s="532"/>
      <c r="FG305" s="532"/>
      <c r="FH305" s="532"/>
      <c r="FI305" s="532"/>
      <c r="FJ305" s="532"/>
      <c r="FK305" s="532"/>
      <c r="FL305" s="532"/>
      <c r="FM305" s="532"/>
      <c r="FN305" s="532"/>
      <c r="FO305" s="532"/>
      <c r="FP305" s="532"/>
    </row>
    <row r="306" spans="1:172" ht="12" customHeight="1" x14ac:dyDescent="0.2">
      <c r="A306" s="533" t="s">
        <v>110</v>
      </c>
      <c r="B306" s="534"/>
      <c r="C306" s="540">
        <f t="shared" si="150"/>
        <v>0.12823600240818783</v>
      </c>
      <c r="D306" s="540">
        <f t="shared" si="150"/>
        <v>0.12642947903430748</v>
      </c>
      <c r="E306" s="540">
        <f t="shared" si="150"/>
        <v>0.11464546056991386</v>
      </c>
      <c r="F306" s="540">
        <f t="shared" ref="F306:O306" si="154">IF(F$299=0,0,(F296/F$299))</f>
        <v>0.13887240356083086</v>
      </c>
      <c r="G306" s="540">
        <f t="shared" si="154"/>
        <v>0.14077952297847585</v>
      </c>
      <c r="H306" s="540">
        <f t="shared" si="154"/>
        <v>0.13721302722904433</v>
      </c>
      <c r="I306" s="540">
        <f t="shared" si="154"/>
        <v>0.13832853025936601</v>
      </c>
      <c r="J306" s="540">
        <f t="shared" si="154"/>
        <v>0.12844036697247707</v>
      </c>
      <c r="K306" s="663">
        <f t="shared" si="154"/>
        <v>0.13066825775656324</v>
      </c>
      <c r="L306" s="568">
        <f t="shared" si="154"/>
        <v>0.1226790450928382</v>
      </c>
      <c r="M306" s="568">
        <f t="shared" si="154"/>
        <v>0.11714285714285715</v>
      </c>
      <c r="N306" s="568">
        <f t="shared" si="154"/>
        <v>0.12672938572219147</v>
      </c>
      <c r="O306" s="541">
        <f t="shared" si="154"/>
        <v>0.12943488943488943</v>
      </c>
      <c r="P306" s="531"/>
      <c r="Q306" s="531"/>
      <c r="R306" s="531"/>
      <c r="S306" s="531"/>
      <c r="T306" s="531"/>
      <c r="U306" s="531"/>
      <c r="V306" s="531"/>
      <c r="W306" s="531"/>
      <c r="X306" s="531"/>
      <c r="Y306" s="531"/>
      <c r="Z306" s="531"/>
      <c r="AA306" s="531"/>
      <c r="AB306" s="531"/>
      <c r="AC306" s="531"/>
      <c r="AD306" s="531"/>
      <c r="AE306" s="531"/>
      <c r="AF306" s="531"/>
      <c r="AG306" s="531"/>
      <c r="AH306" s="532"/>
      <c r="AI306" s="532"/>
      <c r="AJ306" s="532"/>
      <c r="AK306" s="532"/>
      <c r="AL306" s="532"/>
      <c r="AM306" s="532"/>
      <c r="AN306" s="532"/>
      <c r="AO306" s="532"/>
      <c r="AP306" s="532"/>
      <c r="AQ306" s="532"/>
      <c r="AR306" s="532"/>
      <c r="AS306" s="532"/>
      <c r="AT306" s="532"/>
      <c r="AU306" s="532"/>
      <c r="AV306" s="532"/>
      <c r="AW306" s="532"/>
      <c r="AX306" s="532"/>
      <c r="AY306" s="532"/>
      <c r="AZ306" s="532"/>
      <c r="BA306" s="532"/>
      <c r="BB306" s="532"/>
      <c r="BC306" s="532"/>
      <c r="BD306" s="532"/>
      <c r="BE306" s="532"/>
      <c r="BF306" s="532"/>
      <c r="BG306" s="532"/>
      <c r="BH306" s="532"/>
      <c r="BI306" s="532"/>
      <c r="BJ306" s="532"/>
      <c r="BK306" s="532"/>
      <c r="BL306" s="532"/>
      <c r="BM306" s="532"/>
      <c r="BN306" s="532"/>
      <c r="BO306" s="532"/>
      <c r="BP306" s="532"/>
      <c r="BQ306" s="532"/>
      <c r="BR306" s="532"/>
      <c r="BS306" s="532"/>
      <c r="BT306" s="532"/>
      <c r="BU306" s="532"/>
      <c r="BV306" s="532"/>
      <c r="BW306" s="532"/>
      <c r="BX306" s="532"/>
      <c r="BY306" s="532"/>
      <c r="BZ306" s="532"/>
      <c r="CA306" s="532"/>
      <c r="CB306" s="532"/>
      <c r="CC306" s="532"/>
      <c r="CD306" s="532"/>
      <c r="CE306" s="532"/>
      <c r="CF306" s="532"/>
      <c r="CG306" s="532"/>
      <c r="CH306" s="532"/>
      <c r="CI306" s="532"/>
      <c r="CJ306" s="532"/>
      <c r="CK306" s="532"/>
      <c r="CL306" s="532"/>
      <c r="CM306" s="532"/>
      <c r="CN306" s="532"/>
      <c r="CO306" s="532"/>
      <c r="CP306" s="532"/>
      <c r="CQ306" s="532"/>
      <c r="CR306" s="532"/>
      <c r="CS306" s="532"/>
      <c r="CT306" s="532"/>
      <c r="CU306" s="532"/>
      <c r="CV306" s="532"/>
      <c r="CW306" s="532"/>
      <c r="CX306" s="532"/>
      <c r="CY306" s="532"/>
      <c r="CZ306" s="532"/>
      <c r="DA306" s="532"/>
      <c r="DB306" s="532"/>
      <c r="DC306" s="532"/>
      <c r="DD306" s="532"/>
      <c r="DE306" s="532"/>
      <c r="DF306" s="532"/>
      <c r="DG306" s="532"/>
      <c r="DH306" s="532"/>
      <c r="DI306" s="532"/>
      <c r="DJ306" s="532"/>
      <c r="DK306" s="532"/>
      <c r="DL306" s="532"/>
      <c r="DM306" s="532"/>
      <c r="DN306" s="532"/>
      <c r="DO306" s="532"/>
      <c r="DP306" s="532"/>
      <c r="DQ306" s="532"/>
      <c r="DR306" s="532"/>
      <c r="DS306" s="532"/>
      <c r="DT306" s="532"/>
      <c r="DU306" s="532"/>
      <c r="DV306" s="532"/>
      <c r="DW306" s="532"/>
      <c r="DX306" s="532"/>
      <c r="DY306" s="532"/>
      <c r="DZ306" s="532"/>
      <c r="EA306" s="532"/>
      <c r="EB306" s="532"/>
      <c r="EC306" s="532"/>
      <c r="ED306" s="532"/>
      <c r="EE306" s="532"/>
      <c r="EF306" s="532"/>
      <c r="EG306" s="532"/>
      <c r="EH306" s="532"/>
      <c r="EI306" s="532"/>
      <c r="EJ306" s="532"/>
      <c r="EK306" s="532"/>
      <c r="EL306" s="532"/>
      <c r="EM306" s="532"/>
      <c r="EN306" s="532"/>
      <c r="EO306" s="532"/>
      <c r="EP306" s="532"/>
      <c r="EQ306" s="532"/>
      <c r="ER306" s="532"/>
      <c r="ES306" s="532"/>
      <c r="ET306" s="532"/>
      <c r="EU306" s="532"/>
      <c r="EV306" s="532"/>
      <c r="EW306" s="532"/>
      <c r="EX306" s="532"/>
      <c r="EY306" s="532"/>
      <c r="EZ306" s="532"/>
      <c r="FA306" s="532"/>
      <c r="FB306" s="532"/>
      <c r="FC306" s="532"/>
      <c r="FD306" s="532"/>
      <c r="FE306" s="532"/>
      <c r="FF306" s="532"/>
      <c r="FG306" s="532"/>
      <c r="FH306" s="532"/>
      <c r="FI306" s="532"/>
      <c r="FJ306" s="532"/>
      <c r="FK306" s="532"/>
      <c r="FL306" s="532"/>
      <c r="FM306" s="532"/>
      <c r="FN306" s="532"/>
      <c r="FO306" s="532"/>
      <c r="FP306" s="532"/>
    </row>
    <row r="307" spans="1:172" ht="12" customHeight="1" x14ac:dyDescent="0.2">
      <c r="A307" s="533" t="s">
        <v>102</v>
      </c>
      <c r="B307" s="534"/>
      <c r="C307" s="540">
        <f t="shared" si="150"/>
        <v>0.11198073449729079</v>
      </c>
      <c r="D307" s="540">
        <f t="shared" si="150"/>
        <v>0.11435832274459974</v>
      </c>
      <c r="E307" s="540">
        <f t="shared" si="150"/>
        <v>0.11597084161696487</v>
      </c>
      <c r="F307" s="540">
        <f t="shared" ref="F307:O307" si="155">IF(F$299=0,0,(F297/F$299))</f>
        <v>0.12225519287833828</v>
      </c>
      <c r="G307" s="540">
        <f t="shared" si="155"/>
        <v>8.3769633507853408E-2</v>
      </c>
      <c r="H307" s="540">
        <f t="shared" si="155"/>
        <v>0.10838227442605446</v>
      </c>
      <c r="I307" s="540">
        <f t="shared" si="155"/>
        <v>0.10662824207492795</v>
      </c>
      <c r="J307" s="540">
        <f t="shared" si="155"/>
        <v>0.11279007015650297</v>
      </c>
      <c r="K307" s="663">
        <f t="shared" si="155"/>
        <v>0.11873508353221957</v>
      </c>
      <c r="L307" s="568">
        <f t="shared" si="155"/>
        <v>0.14124668435013263</v>
      </c>
      <c r="M307" s="568">
        <f t="shared" si="155"/>
        <v>0.12457142857142857</v>
      </c>
      <c r="N307" s="568">
        <f t="shared" si="155"/>
        <v>0.1754288876591035</v>
      </c>
      <c r="O307" s="541">
        <f t="shared" si="155"/>
        <v>0.11965601965601966</v>
      </c>
      <c r="P307" s="531"/>
      <c r="Q307" s="531"/>
      <c r="R307" s="531"/>
      <c r="S307" s="531"/>
      <c r="T307" s="531"/>
      <c r="U307" s="531"/>
      <c r="V307" s="531"/>
      <c r="W307" s="531"/>
      <c r="X307" s="531"/>
      <c r="Y307" s="531"/>
      <c r="Z307" s="531"/>
      <c r="AA307" s="531"/>
      <c r="AB307" s="531"/>
      <c r="AC307" s="531"/>
      <c r="AD307" s="531"/>
      <c r="AE307" s="531"/>
      <c r="AF307" s="531"/>
      <c r="AG307" s="531"/>
      <c r="AH307" s="532"/>
      <c r="AI307" s="532"/>
      <c r="AJ307" s="532"/>
      <c r="AK307" s="532"/>
      <c r="AL307" s="532"/>
      <c r="AM307" s="532"/>
      <c r="AN307" s="532"/>
      <c r="AO307" s="532"/>
      <c r="AP307" s="532"/>
      <c r="AQ307" s="532"/>
      <c r="AR307" s="532"/>
      <c r="AS307" s="532"/>
      <c r="AT307" s="532"/>
      <c r="AU307" s="532"/>
      <c r="AV307" s="532"/>
      <c r="AW307" s="532"/>
      <c r="AX307" s="532"/>
      <c r="AY307" s="532"/>
      <c r="AZ307" s="532"/>
      <c r="BA307" s="532"/>
      <c r="BB307" s="532"/>
      <c r="BC307" s="532"/>
      <c r="BD307" s="532"/>
      <c r="BE307" s="532"/>
      <c r="BF307" s="532"/>
      <c r="BG307" s="532"/>
      <c r="BH307" s="532"/>
      <c r="BI307" s="532"/>
      <c r="BJ307" s="532"/>
      <c r="BK307" s="532"/>
      <c r="BL307" s="532"/>
      <c r="BM307" s="532"/>
      <c r="BN307" s="532"/>
      <c r="BO307" s="532"/>
      <c r="BP307" s="532"/>
      <c r="BQ307" s="532"/>
      <c r="BR307" s="532"/>
      <c r="BS307" s="532"/>
      <c r="BT307" s="532"/>
      <c r="BU307" s="532"/>
      <c r="BV307" s="532"/>
      <c r="BW307" s="532"/>
      <c r="BX307" s="532"/>
      <c r="BY307" s="532"/>
      <c r="BZ307" s="532"/>
      <c r="CA307" s="532"/>
      <c r="CB307" s="532"/>
      <c r="CC307" s="532"/>
      <c r="CD307" s="532"/>
      <c r="CE307" s="532"/>
      <c r="CF307" s="532"/>
      <c r="CG307" s="532"/>
      <c r="CH307" s="532"/>
      <c r="CI307" s="532"/>
      <c r="CJ307" s="532"/>
      <c r="CK307" s="532"/>
      <c r="CL307" s="532"/>
      <c r="CM307" s="532"/>
      <c r="CN307" s="532"/>
      <c r="CO307" s="532"/>
      <c r="CP307" s="532"/>
      <c r="CQ307" s="532"/>
      <c r="CR307" s="532"/>
      <c r="CS307" s="532"/>
      <c r="CT307" s="532"/>
      <c r="CU307" s="532"/>
      <c r="CV307" s="532"/>
      <c r="CW307" s="532"/>
      <c r="CX307" s="532"/>
      <c r="CY307" s="532"/>
      <c r="CZ307" s="532"/>
      <c r="DA307" s="532"/>
      <c r="DB307" s="532"/>
      <c r="DC307" s="532"/>
      <c r="DD307" s="532"/>
      <c r="DE307" s="532"/>
      <c r="DF307" s="532"/>
      <c r="DG307" s="532"/>
      <c r="DH307" s="532"/>
      <c r="DI307" s="532"/>
      <c r="DJ307" s="532"/>
      <c r="DK307" s="532"/>
      <c r="DL307" s="532"/>
      <c r="DM307" s="532"/>
      <c r="DN307" s="532"/>
      <c r="DO307" s="532"/>
      <c r="DP307" s="532"/>
      <c r="DQ307" s="532"/>
      <c r="DR307" s="532"/>
      <c r="DS307" s="532"/>
      <c r="DT307" s="532"/>
      <c r="DU307" s="532"/>
      <c r="DV307" s="532"/>
      <c r="DW307" s="532"/>
      <c r="DX307" s="532"/>
      <c r="DY307" s="532"/>
      <c r="DZ307" s="532"/>
      <c r="EA307" s="532"/>
      <c r="EB307" s="532"/>
      <c r="EC307" s="532"/>
      <c r="ED307" s="532"/>
      <c r="EE307" s="532"/>
      <c r="EF307" s="532"/>
      <c r="EG307" s="532"/>
      <c r="EH307" s="532"/>
      <c r="EI307" s="532"/>
      <c r="EJ307" s="532"/>
      <c r="EK307" s="532"/>
      <c r="EL307" s="532"/>
      <c r="EM307" s="532"/>
      <c r="EN307" s="532"/>
      <c r="EO307" s="532"/>
      <c r="EP307" s="532"/>
      <c r="EQ307" s="532"/>
      <c r="ER307" s="532"/>
      <c r="ES307" s="532"/>
      <c r="ET307" s="532"/>
      <c r="EU307" s="532"/>
      <c r="EV307" s="532"/>
      <c r="EW307" s="532"/>
      <c r="EX307" s="532"/>
      <c r="EY307" s="532"/>
      <c r="EZ307" s="532"/>
      <c r="FA307" s="532"/>
      <c r="FB307" s="532"/>
      <c r="FC307" s="532"/>
      <c r="FD307" s="532"/>
      <c r="FE307" s="532"/>
      <c r="FF307" s="532"/>
      <c r="FG307" s="532"/>
      <c r="FH307" s="532"/>
      <c r="FI307" s="532"/>
      <c r="FJ307" s="532"/>
      <c r="FK307" s="532"/>
      <c r="FL307" s="532"/>
      <c r="FM307" s="532"/>
      <c r="FN307" s="532"/>
      <c r="FO307" s="532"/>
      <c r="FP307" s="532"/>
    </row>
    <row r="308" spans="1:172" ht="12" customHeight="1" x14ac:dyDescent="0.2">
      <c r="A308" s="533" t="s">
        <v>111</v>
      </c>
      <c r="B308" s="534"/>
      <c r="C308" s="540">
        <f t="shared" si="150"/>
        <v>9.331727874774233E-2</v>
      </c>
      <c r="D308" s="540">
        <f t="shared" si="150"/>
        <v>0.10800508259212198</v>
      </c>
      <c r="E308" s="540">
        <f t="shared" si="150"/>
        <v>8.74751491053678E-2</v>
      </c>
      <c r="F308" s="540">
        <f t="shared" ref="F308:O308" si="156">IF(F$299=0,0,(F298/F$299))</f>
        <v>8.2492581602373882E-2</v>
      </c>
      <c r="G308" s="540">
        <f t="shared" si="156"/>
        <v>7.620709714950552E-2</v>
      </c>
      <c r="H308" s="540">
        <f t="shared" si="156"/>
        <v>8.9695675387079551E-2</v>
      </c>
      <c r="I308" s="540">
        <f t="shared" si="156"/>
        <v>7.0317002881844379E-2</v>
      </c>
      <c r="J308" s="540">
        <f t="shared" si="156"/>
        <v>9.4981111710739335E-2</v>
      </c>
      <c r="K308" s="663">
        <f t="shared" si="156"/>
        <v>8.0548926014319802E-2</v>
      </c>
      <c r="L308" s="568">
        <f t="shared" si="156"/>
        <v>8.4217506631299732E-2</v>
      </c>
      <c r="M308" s="568">
        <f t="shared" si="156"/>
        <v>9.8857142857142852E-2</v>
      </c>
      <c r="N308" s="568">
        <f t="shared" si="156"/>
        <v>8.0243497509684555E-2</v>
      </c>
      <c r="O308" s="541">
        <f t="shared" si="156"/>
        <v>8.7125307125307125E-2</v>
      </c>
      <c r="P308" s="531"/>
      <c r="Q308" s="531"/>
      <c r="R308" s="531"/>
      <c r="S308" s="531"/>
      <c r="T308" s="531"/>
      <c r="U308" s="531"/>
      <c r="V308" s="531"/>
      <c r="W308" s="531"/>
      <c r="X308" s="531"/>
      <c r="Y308" s="531"/>
      <c r="Z308" s="531"/>
      <c r="AA308" s="531"/>
      <c r="AB308" s="531"/>
      <c r="AC308" s="531"/>
      <c r="AD308" s="531"/>
      <c r="AE308" s="531"/>
      <c r="AF308" s="531"/>
      <c r="AG308" s="531"/>
      <c r="AH308" s="532"/>
      <c r="AI308" s="532"/>
      <c r="AJ308" s="532"/>
      <c r="AK308" s="532"/>
      <c r="AL308" s="532"/>
      <c r="AM308" s="532"/>
      <c r="AN308" s="532"/>
      <c r="AO308" s="532"/>
      <c r="AP308" s="532"/>
      <c r="AQ308" s="532"/>
      <c r="AR308" s="532"/>
      <c r="AS308" s="532"/>
      <c r="AT308" s="532"/>
      <c r="AU308" s="532"/>
      <c r="AV308" s="532"/>
      <c r="AW308" s="532"/>
      <c r="AX308" s="532"/>
      <c r="AY308" s="532"/>
      <c r="AZ308" s="532"/>
      <c r="BA308" s="532"/>
      <c r="BB308" s="532"/>
      <c r="BC308" s="532"/>
      <c r="BD308" s="532"/>
      <c r="BE308" s="532"/>
      <c r="BF308" s="532"/>
      <c r="BG308" s="532"/>
      <c r="BH308" s="532"/>
      <c r="BI308" s="532"/>
      <c r="BJ308" s="532"/>
      <c r="BK308" s="532"/>
      <c r="BL308" s="532"/>
      <c r="BM308" s="532"/>
      <c r="BN308" s="532"/>
      <c r="BO308" s="532"/>
      <c r="BP308" s="532"/>
      <c r="BQ308" s="532"/>
      <c r="BR308" s="532"/>
      <c r="BS308" s="532"/>
      <c r="BT308" s="532"/>
      <c r="BU308" s="532"/>
      <c r="BV308" s="532"/>
      <c r="BW308" s="532"/>
      <c r="BX308" s="532"/>
      <c r="BY308" s="532"/>
      <c r="BZ308" s="532"/>
      <c r="CA308" s="532"/>
      <c r="CB308" s="532"/>
      <c r="CC308" s="532"/>
      <c r="CD308" s="532"/>
      <c r="CE308" s="532"/>
      <c r="CF308" s="532"/>
      <c r="CG308" s="532"/>
      <c r="CH308" s="532"/>
      <c r="CI308" s="532"/>
      <c r="CJ308" s="532"/>
      <c r="CK308" s="532"/>
      <c r="CL308" s="532"/>
      <c r="CM308" s="532"/>
      <c r="CN308" s="532"/>
      <c r="CO308" s="532"/>
      <c r="CP308" s="532"/>
      <c r="CQ308" s="532"/>
      <c r="CR308" s="532"/>
      <c r="CS308" s="532"/>
      <c r="CT308" s="532"/>
      <c r="CU308" s="532"/>
      <c r="CV308" s="532"/>
      <c r="CW308" s="532"/>
      <c r="CX308" s="532"/>
      <c r="CY308" s="532"/>
      <c r="CZ308" s="532"/>
      <c r="DA308" s="532"/>
      <c r="DB308" s="532"/>
      <c r="DC308" s="532"/>
      <c r="DD308" s="532"/>
      <c r="DE308" s="532"/>
      <c r="DF308" s="532"/>
      <c r="DG308" s="532"/>
      <c r="DH308" s="532"/>
      <c r="DI308" s="532"/>
      <c r="DJ308" s="532"/>
      <c r="DK308" s="532"/>
      <c r="DL308" s="532"/>
      <c r="DM308" s="532"/>
      <c r="DN308" s="532"/>
      <c r="DO308" s="532"/>
      <c r="DP308" s="532"/>
      <c r="DQ308" s="532"/>
      <c r="DR308" s="532"/>
      <c r="DS308" s="532"/>
      <c r="DT308" s="532"/>
      <c r="DU308" s="532"/>
      <c r="DV308" s="532"/>
      <c r="DW308" s="532"/>
      <c r="DX308" s="532"/>
      <c r="DY308" s="532"/>
      <c r="DZ308" s="532"/>
      <c r="EA308" s="532"/>
      <c r="EB308" s="532"/>
      <c r="EC308" s="532"/>
      <c r="ED308" s="532"/>
      <c r="EE308" s="532"/>
      <c r="EF308" s="532"/>
      <c r="EG308" s="532"/>
      <c r="EH308" s="532"/>
      <c r="EI308" s="532"/>
      <c r="EJ308" s="532"/>
      <c r="EK308" s="532"/>
      <c r="EL308" s="532"/>
      <c r="EM308" s="532"/>
      <c r="EN308" s="532"/>
      <c r="EO308" s="532"/>
      <c r="EP308" s="532"/>
      <c r="EQ308" s="532"/>
      <c r="ER308" s="532"/>
      <c r="ES308" s="532"/>
      <c r="ET308" s="532"/>
      <c r="EU308" s="532"/>
      <c r="EV308" s="532"/>
      <c r="EW308" s="532"/>
      <c r="EX308" s="532"/>
      <c r="EY308" s="532"/>
      <c r="EZ308" s="532"/>
      <c r="FA308" s="532"/>
      <c r="FB308" s="532"/>
      <c r="FC308" s="532"/>
      <c r="FD308" s="532"/>
      <c r="FE308" s="532"/>
      <c r="FF308" s="532"/>
      <c r="FG308" s="532"/>
      <c r="FH308" s="532"/>
      <c r="FI308" s="532"/>
      <c r="FJ308" s="532"/>
      <c r="FK308" s="532"/>
      <c r="FL308" s="532"/>
      <c r="FM308" s="532"/>
      <c r="FN308" s="532"/>
      <c r="FO308" s="532"/>
      <c r="FP308" s="532"/>
    </row>
    <row r="309" spans="1:172" ht="12" customHeight="1" x14ac:dyDescent="0.2">
      <c r="A309" s="537" t="s">
        <v>169</v>
      </c>
      <c r="B309" s="534"/>
      <c r="C309" s="540">
        <f t="shared" ref="C309:L309" si="157">IF(C$299=0,0,(C299/C$299))</f>
        <v>1</v>
      </c>
      <c r="D309" s="540">
        <f t="shared" si="157"/>
        <v>1</v>
      </c>
      <c r="E309" s="540">
        <f t="shared" si="157"/>
        <v>1</v>
      </c>
      <c r="F309" s="540">
        <f t="shared" si="157"/>
        <v>1</v>
      </c>
      <c r="G309" s="540">
        <f t="shared" si="157"/>
        <v>1</v>
      </c>
      <c r="H309" s="540">
        <f t="shared" si="157"/>
        <v>1</v>
      </c>
      <c r="I309" s="540">
        <f t="shared" si="157"/>
        <v>1</v>
      </c>
      <c r="J309" s="540">
        <f t="shared" si="157"/>
        <v>1</v>
      </c>
      <c r="K309" s="663">
        <f t="shared" si="157"/>
        <v>1</v>
      </c>
      <c r="L309" s="568">
        <f t="shared" si="157"/>
        <v>1</v>
      </c>
      <c r="M309" s="568">
        <f>IF(M299=0,0,(M299/M$299))</f>
        <v>1</v>
      </c>
      <c r="N309" s="568">
        <f>IF(N299=0,0,(N299/N$299))</f>
        <v>1</v>
      </c>
      <c r="O309" s="541">
        <f>IF(O$299=0,0,(O299/O$299))</f>
        <v>1</v>
      </c>
      <c r="P309" s="531"/>
      <c r="Q309" s="531"/>
      <c r="R309" s="531"/>
      <c r="S309" s="531"/>
      <c r="T309" s="531"/>
      <c r="U309" s="531"/>
      <c r="V309" s="531"/>
      <c r="W309" s="531"/>
      <c r="X309" s="531"/>
      <c r="Y309" s="531"/>
      <c r="Z309" s="531"/>
      <c r="AA309" s="531"/>
      <c r="AB309" s="531"/>
      <c r="AC309" s="531"/>
      <c r="AD309" s="531"/>
      <c r="AE309" s="531"/>
      <c r="AF309" s="531"/>
      <c r="AG309" s="531"/>
      <c r="AH309" s="532"/>
      <c r="AI309" s="532"/>
      <c r="AJ309" s="532"/>
      <c r="AK309" s="532"/>
      <c r="AL309" s="532"/>
      <c r="AM309" s="532"/>
      <c r="AN309" s="532"/>
      <c r="AO309" s="532"/>
      <c r="AP309" s="532"/>
      <c r="AQ309" s="532"/>
      <c r="AR309" s="532"/>
      <c r="AS309" s="532"/>
      <c r="AT309" s="532"/>
      <c r="AU309" s="532"/>
      <c r="AV309" s="532"/>
      <c r="AW309" s="532"/>
      <c r="AX309" s="532"/>
      <c r="AY309" s="532"/>
      <c r="AZ309" s="532"/>
      <c r="BA309" s="532"/>
      <c r="BB309" s="532"/>
      <c r="BC309" s="532"/>
      <c r="BD309" s="532"/>
      <c r="BE309" s="532"/>
      <c r="BF309" s="532"/>
      <c r="BG309" s="532"/>
      <c r="BH309" s="532"/>
      <c r="BI309" s="532"/>
      <c r="BJ309" s="532"/>
      <c r="BK309" s="532"/>
      <c r="BL309" s="532"/>
      <c r="BM309" s="532"/>
      <c r="BN309" s="532"/>
      <c r="BO309" s="532"/>
      <c r="BP309" s="532"/>
      <c r="BQ309" s="532"/>
      <c r="BR309" s="532"/>
      <c r="BS309" s="532"/>
      <c r="BT309" s="532"/>
      <c r="BU309" s="532"/>
      <c r="BV309" s="532"/>
      <c r="BW309" s="532"/>
      <c r="BX309" s="532"/>
      <c r="BY309" s="532"/>
      <c r="BZ309" s="532"/>
      <c r="CA309" s="532"/>
      <c r="CB309" s="532"/>
      <c r="CC309" s="532"/>
      <c r="CD309" s="532"/>
      <c r="CE309" s="532"/>
      <c r="CF309" s="532"/>
      <c r="CG309" s="532"/>
      <c r="CH309" s="532"/>
      <c r="CI309" s="532"/>
      <c r="CJ309" s="532"/>
      <c r="CK309" s="532"/>
      <c r="CL309" s="532"/>
      <c r="CM309" s="532"/>
      <c r="CN309" s="532"/>
      <c r="CO309" s="532"/>
      <c r="CP309" s="532"/>
      <c r="CQ309" s="532"/>
      <c r="CR309" s="532"/>
      <c r="CS309" s="532"/>
      <c r="CT309" s="532"/>
      <c r="CU309" s="532"/>
      <c r="CV309" s="532"/>
      <c r="CW309" s="532"/>
      <c r="CX309" s="532"/>
      <c r="CY309" s="532"/>
      <c r="CZ309" s="532"/>
      <c r="DA309" s="532"/>
      <c r="DB309" s="532"/>
      <c r="DC309" s="532"/>
      <c r="DD309" s="532"/>
      <c r="DE309" s="532"/>
      <c r="DF309" s="532"/>
      <c r="DG309" s="532"/>
      <c r="DH309" s="532"/>
      <c r="DI309" s="532"/>
      <c r="DJ309" s="532"/>
      <c r="DK309" s="532"/>
      <c r="DL309" s="532"/>
      <c r="DM309" s="532"/>
      <c r="DN309" s="532"/>
      <c r="DO309" s="532"/>
      <c r="DP309" s="532"/>
      <c r="DQ309" s="532"/>
      <c r="DR309" s="532"/>
      <c r="DS309" s="532"/>
      <c r="DT309" s="532"/>
      <c r="DU309" s="532"/>
      <c r="DV309" s="532"/>
      <c r="DW309" s="532"/>
      <c r="DX309" s="532"/>
      <c r="DY309" s="532"/>
      <c r="DZ309" s="532"/>
      <c r="EA309" s="532"/>
      <c r="EB309" s="532"/>
      <c r="EC309" s="532"/>
      <c r="ED309" s="532"/>
      <c r="EE309" s="532"/>
      <c r="EF309" s="532"/>
      <c r="EG309" s="532"/>
      <c r="EH309" s="532"/>
      <c r="EI309" s="532"/>
      <c r="EJ309" s="532"/>
      <c r="EK309" s="532"/>
      <c r="EL309" s="532"/>
      <c r="EM309" s="532"/>
      <c r="EN309" s="532"/>
      <c r="EO309" s="532"/>
      <c r="EP309" s="532"/>
      <c r="EQ309" s="532"/>
      <c r="ER309" s="532"/>
      <c r="ES309" s="532"/>
      <c r="ET309" s="532"/>
      <c r="EU309" s="532"/>
      <c r="EV309" s="532"/>
      <c r="EW309" s="532"/>
      <c r="EX309" s="532"/>
      <c r="EY309" s="532"/>
      <c r="EZ309" s="532"/>
      <c r="FA309" s="532"/>
      <c r="FB309" s="532"/>
      <c r="FC309" s="532"/>
      <c r="FD309" s="532"/>
      <c r="FE309" s="532"/>
      <c r="FF309" s="532"/>
      <c r="FG309" s="532"/>
      <c r="FH309" s="532"/>
      <c r="FI309" s="532"/>
      <c r="FJ309" s="532"/>
      <c r="FK309" s="532"/>
      <c r="FL309" s="532"/>
      <c r="FM309" s="532"/>
      <c r="FN309" s="532"/>
      <c r="FO309" s="532"/>
      <c r="FP309" s="532"/>
    </row>
    <row r="310" spans="1:172" ht="12" customHeight="1" x14ac:dyDescent="0.2">
      <c r="A310" s="537"/>
      <c r="B310" s="534"/>
      <c r="C310" s="534"/>
      <c r="D310" s="534"/>
      <c r="E310" s="534"/>
      <c r="F310" s="534"/>
      <c r="G310" s="534"/>
      <c r="H310" s="534"/>
      <c r="I310" s="534"/>
      <c r="J310" s="534"/>
      <c r="K310" s="658"/>
      <c r="L310" s="562"/>
      <c r="M310" s="562"/>
      <c r="N310" s="562"/>
      <c r="O310" s="530"/>
      <c r="P310" s="531"/>
      <c r="Q310" s="531"/>
      <c r="R310" s="531"/>
      <c r="S310" s="531"/>
      <c r="T310" s="531"/>
      <c r="U310" s="531"/>
      <c r="V310" s="531"/>
      <c r="W310" s="531"/>
      <c r="X310" s="531"/>
      <c r="Y310" s="531"/>
      <c r="Z310" s="531"/>
      <c r="AA310" s="531"/>
      <c r="AB310" s="531"/>
      <c r="AC310" s="531"/>
      <c r="AD310" s="531"/>
      <c r="AE310" s="531"/>
      <c r="AF310" s="531"/>
      <c r="AG310" s="531"/>
      <c r="AH310" s="532"/>
      <c r="AI310" s="532"/>
      <c r="AJ310" s="532"/>
      <c r="AK310" s="532"/>
      <c r="AL310" s="532"/>
      <c r="AM310" s="532"/>
      <c r="AN310" s="532"/>
      <c r="AO310" s="532"/>
      <c r="AP310" s="532"/>
      <c r="AQ310" s="532"/>
      <c r="AR310" s="532"/>
      <c r="AS310" s="532"/>
      <c r="AT310" s="532"/>
      <c r="AU310" s="532"/>
      <c r="AV310" s="532"/>
      <c r="AW310" s="532"/>
      <c r="AX310" s="532"/>
      <c r="AY310" s="532"/>
      <c r="AZ310" s="532"/>
      <c r="BA310" s="532"/>
      <c r="BB310" s="532"/>
      <c r="BC310" s="532"/>
      <c r="BD310" s="532"/>
      <c r="BE310" s="532"/>
      <c r="BF310" s="532"/>
      <c r="BG310" s="532"/>
      <c r="BH310" s="532"/>
      <c r="BI310" s="532"/>
      <c r="BJ310" s="532"/>
      <c r="BK310" s="532"/>
      <c r="BL310" s="532"/>
      <c r="BM310" s="532"/>
      <c r="BN310" s="532"/>
      <c r="BO310" s="532"/>
      <c r="BP310" s="532"/>
      <c r="BQ310" s="532"/>
      <c r="BR310" s="532"/>
      <c r="BS310" s="532"/>
      <c r="BT310" s="532"/>
      <c r="BU310" s="532"/>
      <c r="BV310" s="532"/>
      <c r="BW310" s="532"/>
      <c r="BX310" s="532"/>
      <c r="BY310" s="532"/>
      <c r="BZ310" s="532"/>
      <c r="CA310" s="532"/>
      <c r="CB310" s="532"/>
      <c r="CC310" s="532"/>
      <c r="CD310" s="532"/>
      <c r="CE310" s="532"/>
      <c r="CF310" s="532"/>
      <c r="CG310" s="532"/>
      <c r="CH310" s="532"/>
      <c r="CI310" s="532"/>
      <c r="CJ310" s="532"/>
      <c r="CK310" s="532"/>
      <c r="CL310" s="532"/>
      <c r="CM310" s="532"/>
      <c r="CN310" s="532"/>
      <c r="CO310" s="532"/>
      <c r="CP310" s="532"/>
      <c r="CQ310" s="532"/>
      <c r="CR310" s="532"/>
      <c r="CS310" s="532"/>
      <c r="CT310" s="532"/>
      <c r="CU310" s="532"/>
      <c r="CV310" s="532"/>
      <c r="CW310" s="532"/>
      <c r="CX310" s="532"/>
      <c r="CY310" s="532"/>
      <c r="CZ310" s="532"/>
      <c r="DA310" s="532"/>
      <c r="DB310" s="532"/>
      <c r="DC310" s="532"/>
      <c r="DD310" s="532"/>
      <c r="DE310" s="532"/>
      <c r="DF310" s="532"/>
      <c r="DG310" s="532"/>
      <c r="DH310" s="532"/>
      <c r="DI310" s="532"/>
      <c r="DJ310" s="532"/>
      <c r="DK310" s="532"/>
      <c r="DL310" s="532"/>
      <c r="DM310" s="532"/>
      <c r="DN310" s="532"/>
      <c r="DO310" s="532"/>
      <c r="DP310" s="532"/>
      <c r="DQ310" s="532"/>
      <c r="DR310" s="532"/>
      <c r="DS310" s="532"/>
      <c r="DT310" s="532"/>
      <c r="DU310" s="532"/>
      <c r="DV310" s="532"/>
      <c r="DW310" s="532"/>
      <c r="DX310" s="532"/>
      <c r="DY310" s="532"/>
      <c r="DZ310" s="532"/>
      <c r="EA310" s="532"/>
      <c r="EB310" s="532"/>
      <c r="EC310" s="532"/>
      <c r="ED310" s="532"/>
      <c r="EE310" s="532"/>
      <c r="EF310" s="532"/>
      <c r="EG310" s="532"/>
      <c r="EH310" s="532"/>
      <c r="EI310" s="532"/>
      <c r="EJ310" s="532"/>
      <c r="EK310" s="532"/>
      <c r="EL310" s="532"/>
      <c r="EM310" s="532"/>
      <c r="EN310" s="532"/>
      <c r="EO310" s="532"/>
      <c r="EP310" s="532"/>
      <c r="EQ310" s="532"/>
      <c r="ER310" s="532"/>
      <c r="ES310" s="532"/>
      <c r="ET310" s="532"/>
      <c r="EU310" s="532"/>
      <c r="EV310" s="532"/>
      <c r="EW310" s="532"/>
      <c r="EX310" s="532"/>
      <c r="EY310" s="532"/>
      <c r="EZ310" s="532"/>
      <c r="FA310" s="532"/>
      <c r="FB310" s="532"/>
      <c r="FC310" s="532"/>
      <c r="FD310" s="532"/>
      <c r="FE310" s="532"/>
      <c r="FF310" s="532"/>
      <c r="FG310" s="532"/>
      <c r="FH310" s="532"/>
      <c r="FI310" s="532"/>
      <c r="FJ310" s="532"/>
      <c r="FK310" s="532"/>
      <c r="FL310" s="532"/>
      <c r="FM310" s="532"/>
      <c r="FN310" s="532"/>
      <c r="FO310" s="532"/>
      <c r="FP310" s="532"/>
    </row>
    <row r="311" spans="1:172" ht="12" customHeight="1" x14ac:dyDescent="0.2">
      <c r="A311" s="533" t="s">
        <v>171</v>
      </c>
      <c r="B311" s="534"/>
      <c r="C311" s="534"/>
      <c r="D311" s="534"/>
      <c r="E311" s="534"/>
      <c r="F311" s="534"/>
      <c r="G311" s="534"/>
      <c r="H311" s="534"/>
      <c r="I311" s="534"/>
      <c r="J311" s="534"/>
      <c r="K311" s="658"/>
      <c r="L311" s="562"/>
      <c r="M311" s="562"/>
      <c r="N311" s="562"/>
      <c r="O311" s="530"/>
      <c r="P311" s="531"/>
      <c r="Q311" s="531"/>
      <c r="R311" s="531"/>
      <c r="S311" s="531"/>
      <c r="T311" s="531"/>
      <c r="U311" s="531"/>
      <c r="V311" s="531"/>
      <c r="W311" s="531"/>
      <c r="X311" s="531"/>
      <c r="Y311" s="531"/>
      <c r="Z311" s="531"/>
      <c r="AA311" s="531"/>
      <c r="AB311" s="531"/>
      <c r="AC311" s="531"/>
      <c r="AD311" s="531"/>
      <c r="AE311" s="531"/>
      <c r="AF311" s="531"/>
      <c r="AG311" s="531"/>
      <c r="AH311" s="532"/>
      <c r="AI311" s="532"/>
      <c r="AJ311" s="532"/>
      <c r="AK311" s="532"/>
      <c r="AL311" s="532"/>
      <c r="AM311" s="532"/>
      <c r="AN311" s="532"/>
      <c r="AO311" s="532"/>
      <c r="AP311" s="532"/>
      <c r="AQ311" s="532"/>
      <c r="AR311" s="532"/>
      <c r="AS311" s="532"/>
      <c r="AT311" s="532"/>
      <c r="AU311" s="532"/>
      <c r="AV311" s="532"/>
      <c r="AW311" s="532"/>
      <c r="AX311" s="532"/>
      <c r="AY311" s="532"/>
      <c r="AZ311" s="532"/>
      <c r="BA311" s="532"/>
      <c r="BB311" s="532"/>
      <c r="BC311" s="532"/>
      <c r="BD311" s="532"/>
      <c r="BE311" s="532"/>
      <c r="BF311" s="532"/>
      <c r="BG311" s="532"/>
      <c r="BH311" s="532"/>
      <c r="BI311" s="532"/>
      <c r="BJ311" s="532"/>
      <c r="BK311" s="532"/>
      <c r="BL311" s="532"/>
      <c r="BM311" s="532"/>
      <c r="BN311" s="532"/>
      <c r="BO311" s="532"/>
      <c r="BP311" s="532"/>
      <c r="BQ311" s="532"/>
      <c r="BR311" s="532"/>
      <c r="BS311" s="532"/>
      <c r="BT311" s="532"/>
      <c r="BU311" s="532"/>
      <c r="BV311" s="532"/>
      <c r="BW311" s="532"/>
      <c r="BX311" s="532"/>
      <c r="BY311" s="532"/>
      <c r="BZ311" s="532"/>
      <c r="CA311" s="532"/>
      <c r="CB311" s="532"/>
      <c r="CC311" s="532"/>
      <c r="CD311" s="532"/>
      <c r="CE311" s="532"/>
      <c r="CF311" s="532"/>
      <c r="CG311" s="532"/>
      <c r="CH311" s="532"/>
      <c r="CI311" s="532"/>
      <c r="CJ311" s="532"/>
      <c r="CK311" s="532"/>
      <c r="CL311" s="532"/>
      <c r="CM311" s="532"/>
      <c r="CN311" s="532"/>
      <c r="CO311" s="532"/>
      <c r="CP311" s="532"/>
      <c r="CQ311" s="532"/>
      <c r="CR311" s="532"/>
      <c r="CS311" s="532"/>
      <c r="CT311" s="532"/>
      <c r="CU311" s="532"/>
      <c r="CV311" s="532"/>
      <c r="CW311" s="532"/>
      <c r="CX311" s="532"/>
      <c r="CY311" s="532"/>
      <c r="CZ311" s="532"/>
      <c r="DA311" s="532"/>
      <c r="DB311" s="532"/>
      <c r="DC311" s="532"/>
      <c r="DD311" s="532"/>
      <c r="DE311" s="532"/>
      <c r="DF311" s="532"/>
      <c r="DG311" s="532"/>
      <c r="DH311" s="532"/>
      <c r="DI311" s="532"/>
      <c r="DJ311" s="532"/>
      <c r="DK311" s="532"/>
      <c r="DL311" s="532"/>
      <c r="DM311" s="532"/>
      <c r="DN311" s="532"/>
      <c r="DO311" s="532"/>
      <c r="DP311" s="532"/>
      <c r="DQ311" s="532"/>
      <c r="DR311" s="532"/>
      <c r="DS311" s="532"/>
      <c r="DT311" s="532"/>
      <c r="DU311" s="532"/>
      <c r="DV311" s="532"/>
      <c r="DW311" s="532"/>
      <c r="DX311" s="532"/>
      <c r="DY311" s="532"/>
      <c r="DZ311" s="532"/>
      <c r="EA311" s="532"/>
      <c r="EB311" s="532"/>
      <c r="EC311" s="532"/>
      <c r="ED311" s="532"/>
      <c r="EE311" s="532"/>
      <c r="EF311" s="532"/>
      <c r="EG311" s="532"/>
      <c r="EH311" s="532"/>
      <c r="EI311" s="532"/>
      <c r="EJ311" s="532"/>
      <c r="EK311" s="532"/>
      <c r="EL311" s="532"/>
      <c r="EM311" s="532"/>
      <c r="EN311" s="532"/>
      <c r="EO311" s="532"/>
      <c r="EP311" s="532"/>
      <c r="EQ311" s="532"/>
      <c r="ER311" s="532"/>
      <c r="ES311" s="532"/>
      <c r="ET311" s="532"/>
      <c r="EU311" s="532"/>
      <c r="EV311" s="532"/>
      <c r="EW311" s="532"/>
      <c r="EX311" s="532"/>
      <c r="EY311" s="532"/>
      <c r="EZ311" s="532"/>
      <c r="FA311" s="532"/>
      <c r="FB311" s="532"/>
      <c r="FC311" s="532"/>
      <c r="FD311" s="532"/>
      <c r="FE311" s="532"/>
      <c r="FF311" s="532"/>
      <c r="FG311" s="532"/>
      <c r="FH311" s="532"/>
      <c r="FI311" s="532"/>
      <c r="FJ311" s="532"/>
      <c r="FK311" s="532"/>
      <c r="FL311" s="532"/>
      <c r="FM311" s="532"/>
      <c r="FN311" s="532"/>
      <c r="FO311" s="532"/>
      <c r="FP311" s="532"/>
    </row>
    <row r="312" spans="1:172" ht="12" customHeight="1" x14ac:dyDescent="0.2">
      <c r="A312" s="533" t="s">
        <v>172</v>
      </c>
      <c r="B312" s="534" t="s">
        <v>55</v>
      </c>
      <c r="C312" s="666">
        <v>0</v>
      </c>
      <c r="D312" s="666">
        <v>0</v>
      </c>
      <c r="E312" s="666">
        <v>0</v>
      </c>
      <c r="F312" s="666">
        <v>0</v>
      </c>
      <c r="G312" s="666">
        <v>0</v>
      </c>
      <c r="H312" s="666">
        <v>0</v>
      </c>
      <c r="I312" s="666">
        <v>0</v>
      </c>
      <c r="J312" s="666">
        <v>0</v>
      </c>
      <c r="K312" s="666">
        <v>0</v>
      </c>
      <c r="L312" s="562">
        <v>0</v>
      </c>
      <c r="M312" s="562">
        <v>0</v>
      </c>
      <c r="N312" s="562">
        <v>0</v>
      </c>
      <c r="O312" s="530">
        <f>SUM(C312:N312)</f>
        <v>0</v>
      </c>
      <c r="P312" s="531"/>
      <c r="Q312" s="531"/>
      <c r="R312" s="531"/>
      <c r="S312" s="531"/>
      <c r="T312" s="531"/>
      <c r="U312" s="531"/>
      <c r="V312" s="531"/>
      <c r="W312" s="531"/>
      <c r="X312" s="531"/>
      <c r="Y312" s="531"/>
      <c r="Z312" s="531"/>
      <c r="AA312" s="531"/>
      <c r="AB312" s="531"/>
      <c r="AC312" s="531"/>
      <c r="AD312" s="531"/>
      <c r="AE312" s="531"/>
      <c r="AF312" s="531"/>
      <c r="AG312" s="531"/>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c r="BS312" s="532"/>
      <c r="BT312" s="532"/>
      <c r="BU312" s="532"/>
      <c r="BV312" s="532"/>
      <c r="BW312" s="532"/>
      <c r="BX312" s="532"/>
      <c r="BY312" s="532"/>
      <c r="BZ312" s="532"/>
      <c r="CA312" s="532"/>
      <c r="CB312" s="532"/>
      <c r="CC312" s="532"/>
      <c r="CD312" s="532"/>
      <c r="CE312" s="532"/>
      <c r="CF312" s="532"/>
      <c r="CG312" s="532"/>
      <c r="CH312" s="532"/>
      <c r="CI312" s="532"/>
      <c r="CJ312" s="532"/>
      <c r="CK312" s="532"/>
      <c r="CL312" s="532"/>
      <c r="CM312" s="532"/>
      <c r="CN312" s="532"/>
      <c r="CO312" s="532"/>
      <c r="CP312" s="532"/>
      <c r="CQ312" s="532"/>
      <c r="CR312" s="532"/>
      <c r="CS312" s="532"/>
      <c r="CT312" s="532"/>
      <c r="CU312" s="532"/>
      <c r="CV312" s="532"/>
      <c r="CW312" s="532"/>
      <c r="CX312" s="532"/>
      <c r="CY312" s="532"/>
      <c r="CZ312" s="532"/>
      <c r="DA312" s="532"/>
      <c r="DB312" s="532"/>
      <c r="DC312" s="532"/>
      <c r="DD312" s="532"/>
      <c r="DE312" s="532"/>
      <c r="DF312" s="532"/>
      <c r="DG312" s="532"/>
      <c r="DH312" s="532"/>
      <c r="DI312" s="532"/>
      <c r="DJ312" s="532"/>
      <c r="DK312" s="532"/>
      <c r="DL312" s="532"/>
      <c r="DM312" s="532"/>
      <c r="DN312" s="532"/>
      <c r="DO312" s="532"/>
      <c r="DP312" s="532"/>
      <c r="DQ312" s="532"/>
      <c r="DR312" s="532"/>
      <c r="DS312" s="532"/>
      <c r="DT312" s="532"/>
      <c r="DU312" s="532"/>
      <c r="DV312" s="532"/>
      <c r="DW312" s="532"/>
      <c r="DX312" s="532"/>
      <c r="DY312" s="532"/>
      <c r="DZ312" s="532"/>
      <c r="EA312" s="532"/>
      <c r="EB312" s="532"/>
      <c r="EC312" s="532"/>
      <c r="ED312" s="532"/>
      <c r="EE312" s="532"/>
      <c r="EF312" s="532"/>
      <c r="EG312" s="532"/>
      <c r="EH312" s="532"/>
      <c r="EI312" s="532"/>
      <c r="EJ312" s="532"/>
      <c r="EK312" s="532"/>
      <c r="EL312" s="532"/>
      <c r="EM312" s="532"/>
      <c r="EN312" s="532"/>
      <c r="EO312" s="532"/>
      <c r="EP312" s="532"/>
      <c r="EQ312" s="532"/>
      <c r="ER312" s="532"/>
      <c r="ES312" s="532"/>
      <c r="ET312" s="532"/>
      <c r="EU312" s="532"/>
      <c r="EV312" s="532"/>
      <c r="EW312" s="532"/>
      <c r="EX312" s="532"/>
      <c r="EY312" s="532"/>
      <c r="EZ312" s="532"/>
      <c r="FA312" s="532"/>
      <c r="FB312" s="532"/>
      <c r="FC312" s="532"/>
      <c r="FD312" s="532"/>
      <c r="FE312" s="532"/>
      <c r="FF312" s="532"/>
      <c r="FG312" s="532"/>
      <c r="FH312" s="532"/>
      <c r="FI312" s="532"/>
      <c r="FJ312" s="532"/>
      <c r="FK312" s="532"/>
      <c r="FL312" s="532"/>
      <c r="FM312" s="532"/>
      <c r="FN312" s="532"/>
      <c r="FO312" s="532"/>
      <c r="FP312" s="532"/>
    </row>
    <row r="313" spans="1:172" ht="12" customHeight="1" x14ac:dyDescent="0.2">
      <c r="A313" s="533" t="s">
        <v>173</v>
      </c>
      <c r="B313" s="534" t="s">
        <v>55</v>
      </c>
      <c r="C313" s="666">
        <v>12615.85</v>
      </c>
      <c r="D313" s="666">
        <v>7786</v>
      </c>
      <c r="E313" s="666">
        <v>8623</v>
      </c>
      <c r="F313" s="666">
        <v>4656</v>
      </c>
      <c r="G313" s="666">
        <v>3486</v>
      </c>
      <c r="H313" s="666">
        <v>6318</v>
      </c>
      <c r="I313" s="666">
        <v>8358</v>
      </c>
      <c r="J313" s="666">
        <v>4824</v>
      </c>
      <c r="K313" s="666">
        <v>5980</v>
      </c>
      <c r="L313" s="562">
        <v>13658</v>
      </c>
      <c r="M313" s="562">
        <v>9472.02</v>
      </c>
      <c r="N313" s="562">
        <v>11434.98</v>
      </c>
      <c r="O313" s="530">
        <f>SUM(C313:N313)</f>
        <v>97211.85</v>
      </c>
      <c r="P313" s="531"/>
      <c r="Q313" s="531"/>
      <c r="R313" s="531"/>
      <c r="S313" s="531"/>
      <c r="T313" s="531"/>
      <c r="U313" s="531"/>
      <c r="V313" s="531"/>
      <c r="W313" s="531"/>
      <c r="X313" s="531"/>
      <c r="Y313" s="531"/>
      <c r="Z313" s="531"/>
      <c r="AA313" s="531"/>
      <c r="AB313" s="531"/>
      <c r="AC313" s="531"/>
      <c r="AD313" s="531"/>
      <c r="AE313" s="531"/>
      <c r="AF313" s="531"/>
      <c r="AG313" s="531"/>
      <c r="AH313" s="532"/>
      <c r="AI313" s="532"/>
      <c r="AJ313" s="532"/>
      <c r="AK313" s="532"/>
      <c r="AL313" s="532"/>
      <c r="AM313" s="532"/>
      <c r="AN313" s="532"/>
      <c r="AO313" s="532"/>
      <c r="AP313" s="532"/>
      <c r="AQ313" s="532"/>
      <c r="AR313" s="532"/>
      <c r="AS313" s="532"/>
      <c r="AT313" s="532"/>
      <c r="AU313" s="532"/>
      <c r="AV313" s="532"/>
      <c r="AW313" s="532"/>
      <c r="AX313" s="532"/>
      <c r="AY313" s="532"/>
      <c r="AZ313" s="532"/>
      <c r="BA313" s="532"/>
      <c r="BB313" s="532"/>
      <c r="BC313" s="532"/>
      <c r="BD313" s="532"/>
      <c r="BE313" s="532"/>
      <c r="BF313" s="532"/>
      <c r="BG313" s="532"/>
      <c r="BH313" s="532"/>
      <c r="BI313" s="532"/>
      <c r="BJ313" s="532"/>
      <c r="BK313" s="532"/>
      <c r="BL313" s="532"/>
      <c r="BM313" s="532"/>
      <c r="BN313" s="532"/>
      <c r="BO313" s="532"/>
      <c r="BP313" s="532"/>
      <c r="BQ313" s="532"/>
      <c r="BR313" s="532"/>
      <c r="BS313" s="532"/>
      <c r="BT313" s="532"/>
      <c r="BU313" s="532"/>
      <c r="BV313" s="532"/>
      <c r="BW313" s="532"/>
      <c r="BX313" s="532"/>
      <c r="BY313" s="532"/>
      <c r="BZ313" s="532"/>
      <c r="CA313" s="532"/>
      <c r="CB313" s="532"/>
      <c r="CC313" s="532"/>
      <c r="CD313" s="532"/>
      <c r="CE313" s="532"/>
      <c r="CF313" s="532"/>
      <c r="CG313" s="532"/>
      <c r="CH313" s="532"/>
      <c r="CI313" s="532"/>
      <c r="CJ313" s="532"/>
      <c r="CK313" s="532"/>
      <c r="CL313" s="532"/>
      <c r="CM313" s="532"/>
      <c r="CN313" s="532"/>
      <c r="CO313" s="532"/>
      <c r="CP313" s="532"/>
      <c r="CQ313" s="532"/>
      <c r="CR313" s="532"/>
      <c r="CS313" s="532"/>
      <c r="CT313" s="532"/>
      <c r="CU313" s="532"/>
      <c r="CV313" s="532"/>
      <c r="CW313" s="532"/>
      <c r="CX313" s="532"/>
      <c r="CY313" s="532"/>
      <c r="CZ313" s="532"/>
      <c r="DA313" s="532"/>
      <c r="DB313" s="532"/>
      <c r="DC313" s="532"/>
      <c r="DD313" s="532"/>
      <c r="DE313" s="532"/>
      <c r="DF313" s="532"/>
      <c r="DG313" s="532"/>
      <c r="DH313" s="532"/>
      <c r="DI313" s="532"/>
      <c r="DJ313" s="532"/>
      <c r="DK313" s="532"/>
      <c r="DL313" s="532"/>
      <c r="DM313" s="532"/>
      <c r="DN313" s="532"/>
      <c r="DO313" s="532"/>
      <c r="DP313" s="532"/>
      <c r="DQ313" s="532"/>
      <c r="DR313" s="532"/>
      <c r="DS313" s="532"/>
      <c r="DT313" s="532"/>
      <c r="DU313" s="532"/>
      <c r="DV313" s="532"/>
      <c r="DW313" s="532"/>
      <c r="DX313" s="532"/>
      <c r="DY313" s="532"/>
      <c r="DZ313" s="532"/>
      <c r="EA313" s="532"/>
      <c r="EB313" s="532"/>
      <c r="EC313" s="532"/>
      <c r="ED313" s="532"/>
      <c r="EE313" s="532"/>
      <c r="EF313" s="532"/>
      <c r="EG313" s="532"/>
      <c r="EH313" s="532"/>
      <c r="EI313" s="532"/>
      <c r="EJ313" s="532"/>
      <c r="EK313" s="532"/>
      <c r="EL313" s="532"/>
      <c r="EM313" s="532"/>
      <c r="EN313" s="532"/>
      <c r="EO313" s="532"/>
      <c r="EP313" s="532"/>
      <c r="EQ313" s="532"/>
      <c r="ER313" s="532"/>
      <c r="ES313" s="532"/>
      <c r="ET313" s="532"/>
      <c r="EU313" s="532"/>
      <c r="EV313" s="532"/>
      <c r="EW313" s="532"/>
      <c r="EX313" s="532"/>
      <c r="EY313" s="532"/>
      <c r="EZ313" s="532"/>
      <c r="FA313" s="532"/>
      <c r="FB313" s="532"/>
      <c r="FC313" s="532"/>
      <c r="FD313" s="532"/>
      <c r="FE313" s="532"/>
      <c r="FF313" s="532"/>
      <c r="FG313" s="532"/>
      <c r="FH313" s="532"/>
      <c r="FI313" s="532"/>
      <c r="FJ313" s="532"/>
      <c r="FK313" s="532"/>
      <c r="FL313" s="532"/>
      <c r="FM313" s="532"/>
      <c r="FN313" s="532"/>
      <c r="FO313" s="532"/>
      <c r="FP313" s="532"/>
    </row>
    <row r="314" spans="1:172" ht="12" customHeight="1" x14ac:dyDescent="0.2">
      <c r="A314" s="533" t="s">
        <v>174</v>
      </c>
      <c r="B314" s="534"/>
      <c r="C314" s="666">
        <f t="shared" ref="C314:N314" si="158">SUM(C312:C313)</f>
        <v>12615.85</v>
      </c>
      <c r="D314" s="666">
        <f t="shared" si="158"/>
        <v>7786</v>
      </c>
      <c r="E314" s="666">
        <f t="shared" si="158"/>
        <v>8623</v>
      </c>
      <c r="F314" s="666">
        <f t="shared" si="158"/>
        <v>4656</v>
      </c>
      <c r="G314" s="666">
        <f t="shared" si="158"/>
        <v>3486</v>
      </c>
      <c r="H314" s="666">
        <f t="shared" si="158"/>
        <v>6318</v>
      </c>
      <c r="I314" s="666">
        <f t="shared" si="158"/>
        <v>8358</v>
      </c>
      <c r="J314" s="666">
        <f t="shared" si="158"/>
        <v>4824</v>
      </c>
      <c r="K314" s="666">
        <f t="shared" si="158"/>
        <v>5980</v>
      </c>
      <c r="L314" s="562">
        <f t="shared" si="158"/>
        <v>13658</v>
      </c>
      <c r="M314" s="562">
        <f t="shared" si="158"/>
        <v>9472.02</v>
      </c>
      <c r="N314" s="562">
        <f t="shared" si="158"/>
        <v>11434.98</v>
      </c>
      <c r="O314" s="530">
        <f>SUM(C314:N314)</f>
        <v>97211.85</v>
      </c>
      <c r="P314" s="531"/>
      <c r="Q314" s="531"/>
      <c r="R314" s="531"/>
      <c r="S314" s="531"/>
      <c r="T314" s="531"/>
      <c r="U314" s="531"/>
      <c r="V314" s="531"/>
      <c r="W314" s="531"/>
      <c r="X314" s="531"/>
      <c r="Y314" s="531"/>
      <c r="Z314" s="531"/>
      <c r="AA314" s="531"/>
      <c r="AB314" s="531"/>
      <c r="AC314" s="531"/>
      <c r="AD314" s="531"/>
      <c r="AE314" s="531"/>
      <c r="AF314" s="531"/>
      <c r="AG314" s="531"/>
      <c r="AH314" s="532"/>
      <c r="AI314" s="532"/>
      <c r="AJ314" s="532"/>
      <c r="AK314" s="532"/>
      <c r="AL314" s="532"/>
      <c r="AM314" s="532"/>
      <c r="AN314" s="532"/>
      <c r="AO314" s="532"/>
      <c r="AP314" s="532"/>
      <c r="AQ314" s="532"/>
      <c r="AR314" s="532"/>
      <c r="AS314" s="532"/>
      <c r="AT314" s="532"/>
      <c r="AU314" s="532"/>
      <c r="AV314" s="532"/>
      <c r="AW314" s="532"/>
      <c r="AX314" s="532"/>
      <c r="AY314" s="532"/>
      <c r="AZ314" s="532"/>
      <c r="BA314" s="532"/>
      <c r="BB314" s="532"/>
      <c r="BC314" s="532"/>
      <c r="BD314" s="532"/>
      <c r="BE314" s="532"/>
      <c r="BF314" s="532"/>
      <c r="BG314" s="532"/>
      <c r="BH314" s="532"/>
      <c r="BI314" s="532"/>
      <c r="BJ314" s="532"/>
      <c r="BK314" s="532"/>
      <c r="BL314" s="532"/>
      <c r="BM314" s="532"/>
      <c r="BN314" s="532"/>
      <c r="BO314" s="532"/>
      <c r="BP314" s="532"/>
      <c r="BQ314" s="532"/>
      <c r="BR314" s="532"/>
      <c r="BS314" s="532"/>
      <c r="BT314" s="532"/>
      <c r="BU314" s="532"/>
      <c r="BV314" s="532"/>
      <c r="BW314" s="532"/>
      <c r="BX314" s="532"/>
      <c r="BY314" s="532"/>
      <c r="BZ314" s="532"/>
      <c r="CA314" s="532"/>
      <c r="CB314" s="532"/>
      <c r="CC314" s="532"/>
      <c r="CD314" s="532"/>
      <c r="CE314" s="532"/>
      <c r="CF314" s="532"/>
      <c r="CG314" s="532"/>
      <c r="CH314" s="532"/>
      <c r="CI314" s="532"/>
      <c r="CJ314" s="532"/>
      <c r="CK314" s="532"/>
      <c r="CL314" s="532"/>
      <c r="CM314" s="532"/>
      <c r="CN314" s="532"/>
      <c r="CO314" s="532"/>
      <c r="CP314" s="532"/>
      <c r="CQ314" s="532"/>
      <c r="CR314" s="532"/>
      <c r="CS314" s="532"/>
      <c r="CT314" s="532"/>
      <c r="CU314" s="532"/>
      <c r="CV314" s="532"/>
      <c r="CW314" s="532"/>
      <c r="CX314" s="532"/>
      <c r="CY314" s="532"/>
      <c r="CZ314" s="532"/>
      <c r="DA314" s="532"/>
      <c r="DB314" s="532"/>
      <c r="DC314" s="532"/>
      <c r="DD314" s="532"/>
      <c r="DE314" s="532"/>
      <c r="DF314" s="532"/>
      <c r="DG314" s="532"/>
      <c r="DH314" s="532"/>
      <c r="DI314" s="532"/>
      <c r="DJ314" s="532"/>
      <c r="DK314" s="532"/>
      <c r="DL314" s="532"/>
      <c r="DM314" s="532"/>
      <c r="DN314" s="532"/>
      <c r="DO314" s="532"/>
      <c r="DP314" s="532"/>
      <c r="DQ314" s="532"/>
      <c r="DR314" s="532"/>
      <c r="DS314" s="532"/>
      <c r="DT314" s="532"/>
      <c r="DU314" s="532"/>
      <c r="DV314" s="532"/>
      <c r="DW314" s="532"/>
      <c r="DX314" s="532"/>
      <c r="DY314" s="532"/>
      <c r="DZ314" s="532"/>
      <c r="EA314" s="532"/>
      <c r="EB314" s="532"/>
      <c r="EC314" s="532"/>
      <c r="ED314" s="532"/>
      <c r="EE314" s="532"/>
      <c r="EF314" s="532"/>
      <c r="EG314" s="532"/>
      <c r="EH314" s="532"/>
      <c r="EI314" s="532"/>
      <c r="EJ314" s="532"/>
      <c r="EK314" s="532"/>
      <c r="EL314" s="532"/>
      <c r="EM314" s="532"/>
      <c r="EN314" s="532"/>
      <c r="EO314" s="532"/>
      <c r="EP314" s="532"/>
      <c r="EQ314" s="532"/>
      <c r="ER314" s="532"/>
      <c r="ES314" s="532"/>
      <c r="ET314" s="532"/>
      <c r="EU314" s="532"/>
      <c r="EV314" s="532"/>
      <c r="EW314" s="532"/>
      <c r="EX314" s="532"/>
      <c r="EY314" s="532"/>
      <c r="EZ314" s="532"/>
      <c r="FA314" s="532"/>
      <c r="FB314" s="532"/>
      <c r="FC314" s="532"/>
      <c r="FD314" s="532"/>
      <c r="FE314" s="532"/>
      <c r="FF314" s="532"/>
      <c r="FG314" s="532"/>
      <c r="FH314" s="532"/>
      <c r="FI314" s="532"/>
      <c r="FJ314" s="532"/>
      <c r="FK314" s="532"/>
      <c r="FL314" s="532"/>
      <c r="FM314" s="532"/>
      <c r="FN314" s="532"/>
      <c r="FO314" s="532"/>
      <c r="FP314" s="532"/>
    </row>
    <row r="315" spans="1:172" ht="12" customHeight="1" x14ac:dyDescent="0.2">
      <c r="A315" s="533"/>
      <c r="B315" s="534"/>
      <c r="C315" s="534"/>
      <c r="D315" s="534"/>
      <c r="E315" s="534"/>
      <c r="F315" s="534"/>
      <c r="G315" s="534"/>
      <c r="H315" s="534"/>
      <c r="I315" s="534"/>
      <c r="J315" s="534"/>
      <c r="K315" s="658"/>
      <c r="L315" s="562"/>
      <c r="M315" s="562"/>
      <c r="N315" s="562"/>
      <c r="O315" s="554"/>
      <c r="P315" s="531"/>
      <c r="Q315" s="531"/>
      <c r="R315" s="531"/>
      <c r="S315" s="531"/>
      <c r="T315" s="531"/>
      <c r="U315" s="531"/>
      <c r="V315" s="531"/>
      <c r="W315" s="531"/>
      <c r="X315" s="531"/>
      <c r="Y315" s="531"/>
      <c r="Z315" s="531"/>
      <c r="AA315" s="531"/>
      <c r="AB315" s="531"/>
      <c r="AC315" s="531"/>
      <c r="AD315" s="531"/>
      <c r="AE315" s="531"/>
      <c r="AF315" s="531"/>
      <c r="AG315" s="531"/>
      <c r="AH315" s="532"/>
      <c r="AI315" s="532"/>
      <c r="AJ315" s="532"/>
      <c r="AK315" s="532"/>
      <c r="AL315" s="532"/>
      <c r="AM315" s="532"/>
      <c r="AN315" s="532"/>
      <c r="AO315" s="532"/>
      <c r="AP315" s="532"/>
      <c r="AQ315" s="532"/>
      <c r="AR315" s="532"/>
      <c r="AS315" s="532"/>
      <c r="AT315" s="532"/>
      <c r="AU315" s="532"/>
      <c r="AV315" s="532"/>
      <c r="AW315" s="532"/>
      <c r="AX315" s="532"/>
      <c r="AY315" s="532"/>
      <c r="AZ315" s="532"/>
      <c r="BA315" s="532"/>
      <c r="BB315" s="532"/>
      <c r="BC315" s="532"/>
      <c r="BD315" s="532"/>
      <c r="BE315" s="532"/>
      <c r="BF315" s="532"/>
      <c r="BG315" s="532"/>
      <c r="BH315" s="532"/>
      <c r="BI315" s="532"/>
      <c r="BJ315" s="532"/>
      <c r="BK315" s="532"/>
      <c r="BL315" s="532"/>
      <c r="BM315" s="532"/>
      <c r="BN315" s="532"/>
      <c r="BO315" s="532"/>
      <c r="BP315" s="532"/>
      <c r="BQ315" s="532"/>
      <c r="BR315" s="532"/>
      <c r="BS315" s="532"/>
      <c r="BT315" s="532"/>
      <c r="BU315" s="532"/>
      <c r="BV315" s="532"/>
      <c r="BW315" s="532"/>
      <c r="BX315" s="532"/>
      <c r="BY315" s="532"/>
      <c r="BZ315" s="532"/>
      <c r="CA315" s="532"/>
      <c r="CB315" s="532"/>
      <c r="CC315" s="532"/>
      <c r="CD315" s="532"/>
      <c r="CE315" s="532"/>
      <c r="CF315" s="532"/>
      <c r="CG315" s="532"/>
      <c r="CH315" s="532"/>
      <c r="CI315" s="532"/>
      <c r="CJ315" s="532"/>
      <c r="CK315" s="532"/>
      <c r="CL315" s="532"/>
      <c r="CM315" s="532"/>
      <c r="CN315" s="532"/>
      <c r="CO315" s="532"/>
      <c r="CP315" s="532"/>
      <c r="CQ315" s="532"/>
      <c r="CR315" s="532"/>
      <c r="CS315" s="532"/>
      <c r="CT315" s="532"/>
      <c r="CU315" s="532"/>
      <c r="CV315" s="532"/>
      <c r="CW315" s="532"/>
      <c r="CX315" s="532"/>
      <c r="CY315" s="532"/>
      <c r="CZ315" s="532"/>
      <c r="DA315" s="532"/>
      <c r="DB315" s="532"/>
      <c r="DC315" s="532"/>
      <c r="DD315" s="532"/>
      <c r="DE315" s="532"/>
      <c r="DF315" s="532"/>
      <c r="DG315" s="532"/>
      <c r="DH315" s="532"/>
      <c r="DI315" s="532"/>
      <c r="DJ315" s="532"/>
      <c r="DK315" s="532"/>
      <c r="DL315" s="532"/>
      <c r="DM315" s="532"/>
      <c r="DN315" s="532"/>
      <c r="DO315" s="532"/>
      <c r="DP315" s="532"/>
      <c r="DQ315" s="532"/>
      <c r="DR315" s="532"/>
      <c r="DS315" s="532"/>
      <c r="DT315" s="532"/>
      <c r="DU315" s="532"/>
      <c r="DV315" s="532"/>
      <c r="DW315" s="532"/>
      <c r="DX315" s="532"/>
      <c r="DY315" s="532"/>
      <c r="DZ315" s="532"/>
      <c r="EA315" s="532"/>
      <c r="EB315" s="532"/>
      <c r="EC315" s="532"/>
      <c r="ED315" s="532"/>
      <c r="EE315" s="532"/>
      <c r="EF315" s="532"/>
      <c r="EG315" s="532"/>
      <c r="EH315" s="532"/>
      <c r="EI315" s="532"/>
      <c r="EJ315" s="532"/>
      <c r="EK315" s="532"/>
      <c r="EL315" s="532"/>
      <c r="EM315" s="532"/>
      <c r="EN315" s="532"/>
      <c r="EO315" s="532"/>
      <c r="EP315" s="532"/>
      <c r="EQ315" s="532"/>
      <c r="ER315" s="532"/>
      <c r="ES315" s="532"/>
      <c r="ET315" s="532"/>
      <c r="EU315" s="532"/>
      <c r="EV315" s="532"/>
      <c r="EW315" s="532"/>
      <c r="EX315" s="532"/>
      <c r="EY315" s="532"/>
      <c r="EZ315" s="532"/>
      <c r="FA315" s="532"/>
      <c r="FB315" s="532"/>
      <c r="FC315" s="532"/>
      <c r="FD315" s="532"/>
      <c r="FE315" s="532"/>
      <c r="FF315" s="532"/>
      <c r="FG315" s="532"/>
      <c r="FH315" s="532"/>
      <c r="FI315" s="532"/>
      <c r="FJ315" s="532"/>
      <c r="FK315" s="532"/>
      <c r="FL315" s="532"/>
      <c r="FM315" s="532"/>
      <c r="FN315" s="532"/>
      <c r="FO315" s="532"/>
      <c r="FP315" s="532"/>
    </row>
    <row r="316" spans="1:172" ht="12" customHeight="1" x14ac:dyDescent="0.2">
      <c r="A316" s="533" t="s">
        <v>175</v>
      </c>
      <c r="B316" s="534"/>
      <c r="C316" s="666">
        <v>68315</v>
      </c>
      <c r="D316" s="666">
        <v>72662</v>
      </c>
      <c r="E316" s="666">
        <v>61770</v>
      </c>
      <c r="F316" s="666">
        <v>87771</v>
      </c>
      <c r="G316" s="666">
        <v>70842</v>
      </c>
      <c r="H316" s="666">
        <v>86146</v>
      </c>
      <c r="I316" s="666">
        <v>83547</v>
      </c>
      <c r="J316" s="666">
        <v>87322.4</v>
      </c>
      <c r="K316" s="666">
        <v>85290</v>
      </c>
      <c r="L316" s="562">
        <v>66484</v>
      </c>
      <c r="M316" s="562">
        <v>61329</v>
      </c>
      <c r="N316" s="562">
        <v>49082</v>
      </c>
      <c r="O316" s="554">
        <f>SUM(C316:N316)</f>
        <v>880560.4</v>
      </c>
      <c r="P316" s="531"/>
      <c r="Q316" s="531"/>
      <c r="R316" s="531"/>
      <c r="S316" s="531"/>
      <c r="T316" s="531"/>
      <c r="U316" s="531"/>
      <c r="V316" s="531"/>
      <c r="W316" s="531"/>
      <c r="X316" s="531"/>
      <c r="Y316" s="531"/>
      <c r="Z316" s="531"/>
      <c r="AA316" s="531"/>
      <c r="AB316" s="531"/>
      <c r="AC316" s="531"/>
      <c r="AD316" s="531"/>
      <c r="AE316" s="531"/>
      <c r="AF316" s="531"/>
      <c r="AG316" s="531"/>
      <c r="AH316" s="532"/>
      <c r="AI316" s="532"/>
      <c r="AJ316" s="532"/>
      <c r="AK316" s="532"/>
      <c r="AL316" s="532"/>
      <c r="AM316" s="532"/>
      <c r="AN316" s="532"/>
      <c r="AO316" s="532"/>
      <c r="AP316" s="532"/>
      <c r="AQ316" s="532"/>
      <c r="AR316" s="532"/>
      <c r="AS316" s="532"/>
      <c r="AT316" s="532"/>
      <c r="AU316" s="532"/>
      <c r="AV316" s="532"/>
      <c r="AW316" s="532"/>
      <c r="AX316" s="532"/>
      <c r="AY316" s="532"/>
      <c r="AZ316" s="532"/>
      <c r="BA316" s="532"/>
      <c r="BB316" s="532"/>
      <c r="BC316" s="532"/>
      <c r="BD316" s="532"/>
      <c r="BE316" s="532"/>
      <c r="BF316" s="532"/>
      <c r="BG316" s="532"/>
      <c r="BH316" s="532"/>
      <c r="BI316" s="532"/>
      <c r="BJ316" s="532"/>
      <c r="BK316" s="532"/>
      <c r="BL316" s="532"/>
      <c r="BM316" s="532"/>
      <c r="BN316" s="532"/>
      <c r="BO316" s="532"/>
      <c r="BP316" s="532"/>
      <c r="BQ316" s="532"/>
      <c r="BR316" s="532"/>
      <c r="BS316" s="532"/>
      <c r="BT316" s="532"/>
      <c r="BU316" s="532"/>
      <c r="BV316" s="532"/>
      <c r="BW316" s="532"/>
      <c r="BX316" s="532"/>
      <c r="BY316" s="532"/>
      <c r="BZ316" s="532"/>
      <c r="CA316" s="532"/>
      <c r="CB316" s="532"/>
      <c r="CC316" s="532"/>
      <c r="CD316" s="532"/>
      <c r="CE316" s="532"/>
      <c r="CF316" s="532"/>
      <c r="CG316" s="532"/>
      <c r="CH316" s="532"/>
      <c r="CI316" s="532"/>
      <c r="CJ316" s="532"/>
      <c r="CK316" s="532"/>
      <c r="CL316" s="532"/>
      <c r="CM316" s="532"/>
      <c r="CN316" s="532"/>
      <c r="CO316" s="532"/>
      <c r="CP316" s="532"/>
      <c r="CQ316" s="532"/>
      <c r="CR316" s="532"/>
      <c r="CS316" s="532"/>
      <c r="CT316" s="532"/>
      <c r="CU316" s="532"/>
      <c r="CV316" s="532"/>
      <c r="CW316" s="532"/>
      <c r="CX316" s="532"/>
      <c r="CY316" s="532"/>
      <c r="CZ316" s="532"/>
      <c r="DA316" s="532"/>
      <c r="DB316" s="532"/>
      <c r="DC316" s="532"/>
      <c r="DD316" s="532"/>
      <c r="DE316" s="532"/>
      <c r="DF316" s="532"/>
      <c r="DG316" s="532"/>
      <c r="DH316" s="532"/>
      <c r="DI316" s="532"/>
      <c r="DJ316" s="532"/>
      <c r="DK316" s="532"/>
      <c r="DL316" s="532"/>
      <c r="DM316" s="532"/>
      <c r="DN316" s="532"/>
      <c r="DO316" s="532"/>
      <c r="DP316" s="532"/>
      <c r="DQ316" s="532"/>
      <c r="DR316" s="532"/>
      <c r="DS316" s="532"/>
      <c r="DT316" s="532"/>
      <c r="DU316" s="532"/>
      <c r="DV316" s="532"/>
      <c r="DW316" s="532"/>
      <c r="DX316" s="532"/>
      <c r="DY316" s="532"/>
      <c r="DZ316" s="532"/>
      <c r="EA316" s="532"/>
      <c r="EB316" s="532"/>
      <c r="EC316" s="532"/>
      <c r="ED316" s="532"/>
      <c r="EE316" s="532"/>
      <c r="EF316" s="532"/>
      <c r="EG316" s="532"/>
      <c r="EH316" s="532"/>
      <c r="EI316" s="532"/>
      <c r="EJ316" s="532"/>
      <c r="EK316" s="532"/>
      <c r="EL316" s="532"/>
      <c r="EM316" s="532"/>
      <c r="EN316" s="532"/>
      <c r="EO316" s="532"/>
      <c r="EP316" s="532"/>
      <c r="EQ316" s="532"/>
      <c r="ER316" s="532"/>
      <c r="ES316" s="532"/>
      <c r="ET316" s="532"/>
      <c r="EU316" s="532"/>
      <c r="EV316" s="532"/>
      <c r="EW316" s="532"/>
      <c r="EX316" s="532"/>
      <c r="EY316" s="532"/>
      <c r="EZ316" s="532"/>
      <c r="FA316" s="532"/>
      <c r="FB316" s="532"/>
      <c r="FC316" s="532"/>
      <c r="FD316" s="532"/>
      <c r="FE316" s="532"/>
      <c r="FF316" s="532"/>
      <c r="FG316" s="532"/>
      <c r="FH316" s="532"/>
      <c r="FI316" s="532"/>
      <c r="FJ316" s="532"/>
      <c r="FK316" s="532"/>
      <c r="FL316" s="532"/>
      <c r="FM316" s="532"/>
      <c r="FN316" s="532"/>
      <c r="FO316" s="532"/>
      <c r="FP316" s="532"/>
    </row>
    <row r="317" spans="1:172" ht="12" customHeight="1" x14ac:dyDescent="0.2">
      <c r="A317" s="533"/>
      <c r="B317" s="534"/>
      <c r="C317" s="534"/>
      <c r="D317" s="534"/>
      <c r="E317" s="534"/>
      <c r="F317" s="534"/>
      <c r="G317" s="534"/>
      <c r="H317" s="534"/>
      <c r="I317" s="534"/>
      <c r="J317" s="534"/>
      <c r="K317" s="658"/>
      <c r="L317" s="562"/>
      <c r="M317" s="562"/>
      <c r="N317" s="562"/>
      <c r="O317" s="530"/>
      <c r="P317" s="531"/>
      <c r="Q317" s="531"/>
      <c r="R317" s="531"/>
      <c r="S317" s="531"/>
      <c r="T317" s="531"/>
      <c r="U317" s="531"/>
      <c r="V317" s="531"/>
      <c r="W317" s="531"/>
      <c r="X317" s="531"/>
      <c r="Y317" s="531"/>
      <c r="Z317" s="531"/>
      <c r="AA317" s="531"/>
      <c r="AB317" s="531"/>
      <c r="AC317" s="531"/>
      <c r="AD317" s="531"/>
      <c r="AE317" s="531"/>
      <c r="AF317" s="531"/>
      <c r="AG317" s="531"/>
      <c r="AH317" s="532"/>
      <c r="AI317" s="532"/>
      <c r="AJ317" s="532"/>
      <c r="AK317" s="532"/>
      <c r="AL317" s="532"/>
      <c r="AM317" s="532"/>
      <c r="AN317" s="532"/>
      <c r="AO317" s="532"/>
      <c r="AP317" s="532"/>
      <c r="AQ317" s="532"/>
      <c r="AR317" s="532"/>
      <c r="AS317" s="532"/>
      <c r="AT317" s="532"/>
      <c r="AU317" s="532"/>
      <c r="AV317" s="532"/>
      <c r="AW317" s="532"/>
      <c r="AX317" s="532"/>
      <c r="AY317" s="532"/>
      <c r="AZ317" s="532"/>
      <c r="BA317" s="532"/>
      <c r="BB317" s="532"/>
      <c r="BC317" s="532"/>
      <c r="BD317" s="532"/>
      <c r="BE317" s="532"/>
      <c r="BF317" s="532"/>
      <c r="BG317" s="532"/>
      <c r="BH317" s="532"/>
      <c r="BI317" s="532"/>
      <c r="BJ317" s="532"/>
      <c r="BK317" s="532"/>
      <c r="BL317" s="532"/>
      <c r="BM317" s="532"/>
      <c r="BN317" s="532"/>
      <c r="BO317" s="532"/>
      <c r="BP317" s="532"/>
      <c r="BQ317" s="532"/>
      <c r="BR317" s="532"/>
      <c r="BS317" s="532"/>
      <c r="BT317" s="532"/>
      <c r="BU317" s="532"/>
      <c r="BV317" s="532"/>
      <c r="BW317" s="532"/>
      <c r="BX317" s="532"/>
      <c r="BY317" s="532"/>
      <c r="BZ317" s="532"/>
      <c r="CA317" s="532"/>
      <c r="CB317" s="532"/>
      <c r="CC317" s="532"/>
      <c r="CD317" s="532"/>
      <c r="CE317" s="532"/>
      <c r="CF317" s="532"/>
      <c r="CG317" s="532"/>
      <c r="CH317" s="532"/>
      <c r="CI317" s="532"/>
      <c r="CJ317" s="532"/>
      <c r="CK317" s="532"/>
      <c r="CL317" s="532"/>
      <c r="CM317" s="532"/>
      <c r="CN317" s="532"/>
      <c r="CO317" s="532"/>
      <c r="CP317" s="532"/>
      <c r="CQ317" s="532"/>
      <c r="CR317" s="532"/>
      <c r="CS317" s="532"/>
      <c r="CT317" s="532"/>
      <c r="CU317" s="532"/>
      <c r="CV317" s="532"/>
      <c r="CW317" s="532"/>
      <c r="CX317" s="532"/>
      <c r="CY317" s="532"/>
      <c r="CZ317" s="532"/>
      <c r="DA317" s="532"/>
      <c r="DB317" s="532"/>
      <c r="DC317" s="532"/>
      <c r="DD317" s="532"/>
      <c r="DE317" s="532"/>
      <c r="DF317" s="532"/>
      <c r="DG317" s="532"/>
      <c r="DH317" s="532"/>
      <c r="DI317" s="532"/>
      <c r="DJ317" s="532"/>
      <c r="DK317" s="532"/>
      <c r="DL317" s="532"/>
      <c r="DM317" s="532"/>
      <c r="DN317" s="532"/>
      <c r="DO317" s="532"/>
      <c r="DP317" s="532"/>
      <c r="DQ317" s="532"/>
      <c r="DR317" s="532"/>
      <c r="DS317" s="532"/>
      <c r="DT317" s="532"/>
      <c r="DU317" s="532"/>
      <c r="DV317" s="532"/>
      <c r="DW317" s="532"/>
      <c r="DX317" s="532"/>
      <c r="DY317" s="532"/>
      <c r="DZ317" s="532"/>
      <c r="EA317" s="532"/>
      <c r="EB317" s="532"/>
      <c r="EC317" s="532"/>
      <c r="ED317" s="532"/>
      <c r="EE317" s="532"/>
      <c r="EF317" s="532"/>
      <c r="EG317" s="532"/>
      <c r="EH317" s="532"/>
      <c r="EI317" s="532"/>
      <c r="EJ317" s="532"/>
      <c r="EK317" s="532"/>
      <c r="EL317" s="532"/>
      <c r="EM317" s="532"/>
      <c r="EN317" s="532"/>
      <c r="EO317" s="532"/>
      <c r="EP317" s="532"/>
      <c r="EQ317" s="532"/>
      <c r="ER317" s="532"/>
      <c r="ES317" s="532"/>
      <c r="ET317" s="532"/>
      <c r="EU317" s="532"/>
      <c r="EV317" s="532"/>
      <c r="EW317" s="532"/>
      <c r="EX317" s="532"/>
      <c r="EY317" s="532"/>
      <c r="EZ317" s="532"/>
      <c r="FA317" s="532"/>
      <c r="FB317" s="532"/>
      <c r="FC317" s="532"/>
      <c r="FD317" s="532"/>
      <c r="FE317" s="532"/>
      <c r="FF317" s="532"/>
      <c r="FG317" s="532"/>
      <c r="FH317" s="532"/>
      <c r="FI317" s="532"/>
      <c r="FJ317" s="532"/>
      <c r="FK317" s="532"/>
      <c r="FL317" s="532"/>
      <c r="FM317" s="532"/>
      <c r="FN317" s="532"/>
      <c r="FO317" s="532"/>
      <c r="FP317" s="532"/>
    </row>
    <row r="318" spans="1:172" ht="12" customHeight="1" x14ac:dyDescent="0.2">
      <c r="A318" s="533" t="s">
        <v>176</v>
      </c>
      <c r="B318" s="534" t="s">
        <v>177</v>
      </c>
      <c r="C318" s="208">
        <v>568</v>
      </c>
      <c r="D318" s="658">
        <v>545</v>
      </c>
      <c r="E318" s="208">
        <f>562+2</f>
        <v>564</v>
      </c>
      <c r="F318" s="208">
        <v>576</v>
      </c>
      <c r="G318" s="208">
        <v>555</v>
      </c>
      <c r="H318" s="208">
        <f>604+7</f>
        <v>611</v>
      </c>
      <c r="I318" s="208">
        <v>590</v>
      </c>
      <c r="J318" s="208">
        <v>634</v>
      </c>
      <c r="K318" s="208">
        <f>561+3</f>
        <v>564</v>
      </c>
      <c r="L318" s="562">
        <v>536</v>
      </c>
      <c r="M318" s="562">
        <v>576</v>
      </c>
      <c r="N318" s="562">
        <v>607</v>
      </c>
      <c r="O318" s="530">
        <f>SUM(C318:N318)</f>
        <v>6926</v>
      </c>
      <c r="P318" s="531" t="s">
        <v>55</v>
      </c>
      <c r="Q318" s="531"/>
      <c r="R318" s="534"/>
      <c r="S318" s="534"/>
      <c r="T318" s="531"/>
      <c r="U318" s="531"/>
      <c r="V318" s="531"/>
      <c r="W318" s="531"/>
      <c r="X318" s="531"/>
      <c r="Y318" s="531"/>
      <c r="Z318" s="531"/>
      <c r="AA318" s="531"/>
      <c r="AB318" s="531"/>
      <c r="AC318" s="531"/>
      <c r="AD318" s="531"/>
      <c r="AE318" s="531"/>
      <c r="AF318" s="531"/>
      <c r="AG318" s="531"/>
      <c r="AH318" s="532"/>
      <c r="AI318" s="532"/>
      <c r="AJ318" s="532"/>
      <c r="AK318" s="532"/>
      <c r="AL318" s="532"/>
      <c r="AM318" s="532"/>
      <c r="AN318" s="532"/>
      <c r="AO318" s="532"/>
      <c r="AP318" s="532"/>
      <c r="AQ318" s="532"/>
      <c r="AR318" s="532"/>
      <c r="AS318" s="532"/>
      <c r="AT318" s="532"/>
      <c r="AU318" s="532"/>
      <c r="AV318" s="532"/>
      <c r="AW318" s="532"/>
      <c r="AX318" s="532"/>
      <c r="AY318" s="532"/>
      <c r="AZ318" s="532"/>
      <c r="BA318" s="532"/>
      <c r="BB318" s="532"/>
      <c r="BC318" s="532"/>
      <c r="BD318" s="532"/>
      <c r="BE318" s="532"/>
      <c r="BF318" s="532"/>
      <c r="BG318" s="532"/>
      <c r="BH318" s="532"/>
      <c r="BI318" s="532"/>
      <c r="BJ318" s="532"/>
      <c r="BK318" s="532"/>
      <c r="BL318" s="532"/>
      <c r="BM318" s="532"/>
      <c r="BN318" s="532"/>
      <c r="BO318" s="532"/>
      <c r="BP318" s="532"/>
      <c r="BQ318" s="532"/>
      <c r="BR318" s="532"/>
      <c r="BS318" s="532"/>
      <c r="BT318" s="532"/>
      <c r="BU318" s="532"/>
      <c r="BV318" s="532"/>
      <c r="BW318" s="532"/>
      <c r="BX318" s="532"/>
      <c r="BY318" s="532"/>
      <c r="BZ318" s="532"/>
      <c r="CA318" s="532"/>
      <c r="CB318" s="532"/>
      <c r="CC318" s="532"/>
      <c r="CD318" s="532"/>
      <c r="CE318" s="532"/>
      <c r="CF318" s="532"/>
      <c r="CG318" s="532"/>
      <c r="CH318" s="532"/>
      <c r="CI318" s="532"/>
      <c r="CJ318" s="532"/>
      <c r="CK318" s="532"/>
      <c r="CL318" s="532"/>
      <c r="CM318" s="532"/>
      <c r="CN318" s="532"/>
      <c r="CO318" s="532"/>
      <c r="CP318" s="532"/>
      <c r="CQ318" s="532"/>
      <c r="CR318" s="532"/>
      <c r="CS318" s="532"/>
      <c r="CT318" s="532"/>
      <c r="CU318" s="532"/>
      <c r="CV318" s="532"/>
      <c r="CW318" s="532"/>
      <c r="CX318" s="532"/>
      <c r="CY318" s="532"/>
      <c r="CZ318" s="532"/>
      <c r="DA318" s="532"/>
      <c r="DB318" s="532"/>
      <c r="DC318" s="532"/>
      <c r="DD318" s="532"/>
      <c r="DE318" s="532"/>
      <c r="DF318" s="532"/>
      <c r="DG318" s="532"/>
      <c r="DH318" s="532"/>
      <c r="DI318" s="532"/>
      <c r="DJ318" s="532"/>
      <c r="DK318" s="532"/>
      <c r="DL318" s="532"/>
      <c r="DM318" s="532"/>
      <c r="DN318" s="532"/>
      <c r="DO318" s="532"/>
      <c r="DP318" s="532"/>
      <c r="DQ318" s="532"/>
      <c r="DR318" s="532"/>
      <c r="DS318" s="532"/>
      <c r="DT318" s="532"/>
      <c r="DU318" s="532"/>
      <c r="DV318" s="532"/>
      <c r="DW318" s="532"/>
      <c r="DX318" s="532"/>
      <c r="DY318" s="532"/>
      <c r="DZ318" s="532"/>
      <c r="EA318" s="532"/>
      <c r="EB318" s="532"/>
      <c r="EC318" s="532"/>
      <c r="ED318" s="532"/>
      <c r="EE318" s="532"/>
      <c r="EF318" s="532"/>
      <c r="EG318" s="532"/>
      <c r="EH318" s="532"/>
      <c r="EI318" s="532"/>
      <c r="EJ318" s="532"/>
      <c r="EK318" s="532"/>
      <c r="EL318" s="532"/>
      <c r="EM318" s="532"/>
      <c r="EN318" s="532"/>
      <c r="EO318" s="532"/>
      <c r="EP318" s="532"/>
      <c r="EQ318" s="532"/>
      <c r="ER318" s="532"/>
      <c r="ES318" s="532"/>
      <c r="ET318" s="532"/>
      <c r="EU318" s="532"/>
      <c r="EV318" s="532"/>
      <c r="EW318" s="532"/>
      <c r="EX318" s="532"/>
      <c r="EY318" s="532"/>
      <c r="EZ318" s="532"/>
      <c r="FA318" s="532"/>
      <c r="FB318" s="532"/>
      <c r="FC318" s="532"/>
      <c r="FD318" s="532"/>
      <c r="FE318" s="532"/>
      <c r="FF318" s="532"/>
      <c r="FG318" s="532"/>
      <c r="FH318" s="532"/>
      <c r="FI318" s="532"/>
      <c r="FJ318" s="532"/>
      <c r="FK318" s="532"/>
      <c r="FL318" s="532"/>
      <c r="FM318" s="532"/>
      <c r="FN318" s="532"/>
      <c r="FO318" s="532"/>
      <c r="FP318" s="532"/>
    </row>
    <row r="319" spans="1:172" ht="12" customHeight="1" x14ac:dyDescent="0.2">
      <c r="A319" s="533" t="s">
        <v>178</v>
      </c>
      <c r="B319" s="534" t="s">
        <v>179</v>
      </c>
      <c r="C319" s="208">
        <v>19</v>
      </c>
      <c r="D319" s="658">
        <v>20</v>
      </c>
      <c r="E319" s="208">
        <v>24</v>
      </c>
      <c r="F319" s="208">
        <v>28</v>
      </c>
      <c r="G319" s="208">
        <v>25</v>
      </c>
      <c r="H319" s="208">
        <v>33</v>
      </c>
      <c r="I319" s="208">
        <v>22</v>
      </c>
      <c r="J319" s="208">
        <v>15</v>
      </c>
      <c r="K319" s="208">
        <v>25</v>
      </c>
      <c r="L319" s="562">
        <v>18</v>
      </c>
      <c r="M319" s="562">
        <v>34</v>
      </c>
      <c r="N319" s="562">
        <v>28</v>
      </c>
      <c r="O319" s="530">
        <f>SUM(C319:N319)</f>
        <v>291</v>
      </c>
      <c r="P319" s="531"/>
      <c r="Q319" s="531"/>
      <c r="R319" s="534"/>
      <c r="S319" s="534"/>
      <c r="T319" s="531"/>
      <c r="U319" s="531"/>
      <c r="V319" s="531"/>
      <c r="W319" s="531"/>
      <c r="X319" s="531"/>
      <c r="Y319" s="531"/>
      <c r="Z319" s="531"/>
      <c r="AA319" s="531"/>
      <c r="AB319" s="531"/>
      <c r="AC319" s="531"/>
      <c r="AD319" s="531"/>
      <c r="AE319" s="531"/>
      <c r="AF319" s="531"/>
      <c r="AG319" s="531"/>
      <c r="AH319" s="532"/>
      <c r="AI319" s="532"/>
      <c r="AJ319" s="532"/>
      <c r="AK319" s="532"/>
      <c r="AL319" s="532"/>
      <c r="AM319" s="532"/>
      <c r="AN319" s="532"/>
      <c r="AO319" s="532"/>
      <c r="AP319" s="532"/>
      <c r="AQ319" s="532"/>
      <c r="AR319" s="532"/>
      <c r="AS319" s="532"/>
      <c r="AT319" s="532"/>
      <c r="AU319" s="532"/>
      <c r="AV319" s="532"/>
      <c r="AW319" s="532"/>
      <c r="AX319" s="532"/>
      <c r="AY319" s="532"/>
      <c r="AZ319" s="532"/>
      <c r="BA319" s="532"/>
      <c r="BB319" s="532"/>
      <c r="BC319" s="532"/>
      <c r="BD319" s="532"/>
      <c r="BE319" s="532"/>
      <c r="BF319" s="532"/>
      <c r="BG319" s="532"/>
      <c r="BH319" s="532"/>
      <c r="BI319" s="532"/>
      <c r="BJ319" s="532"/>
      <c r="BK319" s="532"/>
      <c r="BL319" s="532"/>
      <c r="BM319" s="532"/>
      <c r="BN319" s="532"/>
      <c r="BO319" s="532"/>
      <c r="BP319" s="532"/>
      <c r="BQ319" s="532"/>
      <c r="BR319" s="532"/>
      <c r="BS319" s="532"/>
      <c r="BT319" s="532"/>
      <c r="BU319" s="532"/>
      <c r="BV319" s="532"/>
      <c r="BW319" s="532"/>
      <c r="BX319" s="532"/>
      <c r="BY319" s="532"/>
      <c r="BZ319" s="532"/>
      <c r="CA319" s="532"/>
      <c r="CB319" s="532"/>
      <c r="CC319" s="532"/>
      <c r="CD319" s="532"/>
      <c r="CE319" s="532"/>
      <c r="CF319" s="532"/>
      <c r="CG319" s="532"/>
      <c r="CH319" s="532"/>
      <c r="CI319" s="532"/>
      <c r="CJ319" s="532"/>
      <c r="CK319" s="532"/>
      <c r="CL319" s="532"/>
      <c r="CM319" s="532"/>
      <c r="CN319" s="532"/>
      <c r="CO319" s="532"/>
      <c r="CP319" s="532"/>
      <c r="CQ319" s="532"/>
      <c r="CR319" s="532"/>
      <c r="CS319" s="532"/>
      <c r="CT319" s="532"/>
      <c r="CU319" s="532"/>
      <c r="CV319" s="532"/>
      <c r="CW319" s="532"/>
      <c r="CX319" s="532"/>
      <c r="CY319" s="532"/>
      <c r="CZ319" s="532"/>
      <c r="DA319" s="532"/>
      <c r="DB319" s="532"/>
      <c r="DC319" s="532"/>
      <c r="DD319" s="532"/>
      <c r="DE319" s="532"/>
      <c r="DF319" s="532"/>
      <c r="DG319" s="532"/>
      <c r="DH319" s="532"/>
      <c r="DI319" s="532"/>
      <c r="DJ319" s="532"/>
      <c r="DK319" s="532"/>
      <c r="DL319" s="532"/>
      <c r="DM319" s="532"/>
      <c r="DN319" s="532"/>
      <c r="DO319" s="532"/>
      <c r="DP319" s="532"/>
      <c r="DQ319" s="532"/>
      <c r="DR319" s="532"/>
      <c r="DS319" s="532"/>
      <c r="DT319" s="532"/>
      <c r="DU319" s="532"/>
      <c r="DV319" s="532"/>
      <c r="DW319" s="532"/>
      <c r="DX319" s="532"/>
      <c r="DY319" s="532"/>
      <c r="DZ319" s="532"/>
      <c r="EA319" s="532"/>
      <c r="EB319" s="532"/>
      <c r="EC319" s="532"/>
      <c r="ED319" s="532"/>
      <c r="EE319" s="532"/>
      <c r="EF319" s="532"/>
      <c r="EG319" s="532"/>
      <c r="EH319" s="532"/>
      <c r="EI319" s="532"/>
      <c r="EJ319" s="532"/>
      <c r="EK319" s="532"/>
      <c r="EL319" s="532"/>
      <c r="EM319" s="532"/>
      <c r="EN319" s="532"/>
      <c r="EO319" s="532"/>
      <c r="EP319" s="532"/>
      <c r="EQ319" s="532"/>
      <c r="ER319" s="532"/>
      <c r="ES319" s="532"/>
      <c r="ET319" s="532"/>
      <c r="EU319" s="532"/>
      <c r="EV319" s="532"/>
      <c r="EW319" s="532"/>
      <c r="EX319" s="532"/>
      <c r="EY319" s="532"/>
      <c r="EZ319" s="532"/>
      <c r="FA319" s="532"/>
      <c r="FB319" s="532"/>
      <c r="FC319" s="532"/>
      <c r="FD319" s="532"/>
      <c r="FE319" s="532"/>
      <c r="FF319" s="532"/>
      <c r="FG319" s="532"/>
      <c r="FH319" s="532"/>
      <c r="FI319" s="532"/>
      <c r="FJ319" s="532"/>
      <c r="FK319" s="532"/>
      <c r="FL319" s="532"/>
      <c r="FM319" s="532"/>
      <c r="FN319" s="532"/>
      <c r="FO319" s="532"/>
      <c r="FP319" s="532"/>
    </row>
    <row r="320" spans="1:172" ht="12" customHeight="1" x14ac:dyDescent="0.2">
      <c r="A320" s="533" t="s">
        <v>932</v>
      </c>
      <c r="B320" s="534" t="s">
        <v>933</v>
      </c>
      <c r="C320" s="208">
        <v>5</v>
      </c>
      <c r="D320" s="658">
        <v>8</v>
      </c>
      <c r="E320" s="208">
        <v>9</v>
      </c>
      <c r="F320" s="208">
        <v>9</v>
      </c>
      <c r="G320" s="208">
        <v>11</v>
      </c>
      <c r="H320" s="208">
        <v>5</v>
      </c>
      <c r="I320" s="208">
        <v>12</v>
      </c>
      <c r="J320" s="208">
        <v>16</v>
      </c>
      <c r="K320" s="208">
        <v>9</v>
      </c>
      <c r="L320" s="562">
        <v>5</v>
      </c>
      <c r="M320" s="562">
        <v>6</v>
      </c>
      <c r="N320" s="562">
        <v>4</v>
      </c>
      <c r="O320" s="530">
        <f>SUM(C320:N320)</f>
        <v>99</v>
      </c>
      <c r="P320" s="531"/>
      <c r="Q320" s="531"/>
      <c r="R320" s="534"/>
      <c r="S320" s="534"/>
      <c r="T320" s="531"/>
      <c r="U320" s="531"/>
      <c r="V320" s="531"/>
      <c r="W320" s="531"/>
      <c r="X320" s="531"/>
      <c r="Y320" s="531"/>
      <c r="Z320" s="531"/>
      <c r="AA320" s="531"/>
      <c r="AB320" s="531"/>
      <c r="AC320" s="531"/>
      <c r="AD320" s="531"/>
      <c r="AE320" s="531"/>
      <c r="AF320" s="531"/>
      <c r="AG320" s="531"/>
      <c r="AH320" s="532"/>
      <c r="AI320" s="532"/>
      <c r="AJ320" s="532"/>
      <c r="AK320" s="532"/>
      <c r="AL320" s="532"/>
      <c r="AM320" s="532"/>
      <c r="AN320" s="532"/>
      <c r="AO320" s="532"/>
      <c r="AP320" s="532"/>
      <c r="AQ320" s="532"/>
      <c r="AR320" s="532"/>
      <c r="AS320" s="532"/>
      <c r="AT320" s="532"/>
      <c r="AU320" s="532"/>
      <c r="AV320" s="532"/>
      <c r="AW320" s="532"/>
      <c r="AX320" s="532"/>
      <c r="AY320" s="532"/>
      <c r="AZ320" s="532"/>
      <c r="BA320" s="532"/>
      <c r="BB320" s="532"/>
      <c r="BC320" s="532"/>
      <c r="BD320" s="532"/>
      <c r="BE320" s="532"/>
      <c r="BF320" s="532"/>
      <c r="BG320" s="532"/>
      <c r="BH320" s="532"/>
      <c r="BI320" s="532"/>
      <c r="BJ320" s="532"/>
      <c r="BK320" s="532"/>
      <c r="BL320" s="532"/>
      <c r="BM320" s="532"/>
      <c r="BN320" s="532"/>
      <c r="BO320" s="532"/>
      <c r="BP320" s="532"/>
      <c r="BQ320" s="532"/>
      <c r="BR320" s="532"/>
      <c r="BS320" s="532"/>
      <c r="BT320" s="532"/>
      <c r="BU320" s="532"/>
      <c r="BV320" s="532"/>
      <c r="BW320" s="532"/>
      <c r="BX320" s="532"/>
      <c r="BY320" s="532"/>
      <c r="BZ320" s="532"/>
      <c r="CA320" s="532"/>
      <c r="CB320" s="532"/>
      <c r="CC320" s="532"/>
      <c r="CD320" s="532"/>
      <c r="CE320" s="532"/>
      <c r="CF320" s="532"/>
      <c r="CG320" s="532"/>
      <c r="CH320" s="532"/>
      <c r="CI320" s="532"/>
      <c r="CJ320" s="532"/>
      <c r="CK320" s="532"/>
      <c r="CL320" s="532"/>
      <c r="CM320" s="532"/>
      <c r="CN320" s="532"/>
      <c r="CO320" s="532"/>
      <c r="CP320" s="532"/>
      <c r="CQ320" s="532"/>
      <c r="CR320" s="532"/>
      <c r="CS320" s="532"/>
      <c r="CT320" s="532"/>
      <c r="CU320" s="532"/>
      <c r="CV320" s="532"/>
      <c r="CW320" s="532"/>
      <c r="CX320" s="532"/>
      <c r="CY320" s="532"/>
      <c r="CZ320" s="532"/>
      <c r="DA320" s="532"/>
      <c r="DB320" s="532"/>
      <c r="DC320" s="532"/>
      <c r="DD320" s="532"/>
      <c r="DE320" s="532"/>
      <c r="DF320" s="532"/>
      <c r="DG320" s="532"/>
      <c r="DH320" s="532"/>
      <c r="DI320" s="532"/>
      <c r="DJ320" s="532"/>
      <c r="DK320" s="532"/>
      <c r="DL320" s="532"/>
      <c r="DM320" s="532"/>
      <c r="DN320" s="532"/>
      <c r="DO320" s="532"/>
      <c r="DP320" s="532"/>
      <c r="DQ320" s="532"/>
      <c r="DR320" s="532"/>
      <c r="DS320" s="532"/>
      <c r="DT320" s="532"/>
      <c r="DU320" s="532"/>
      <c r="DV320" s="532"/>
      <c r="DW320" s="532"/>
      <c r="DX320" s="532"/>
      <c r="DY320" s="532"/>
      <c r="DZ320" s="532"/>
      <c r="EA320" s="532"/>
      <c r="EB320" s="532"/>
      <c r="EC320" s="532"/>
      <c r="ED320" s="532"/>
      <c r="EE320" s="532"/>
      <c r="EF320" s="532"/>
      <c r="EG320" s="532"/>
      <c r="EH320" s="532"/>
      <c r="EI320" s="532"/>
      <c r="EJ320" s="532"/>
      <c r="EK320" s="532"/>
      <c r="EL320" s="532"/>
      <c r="EM320" s="532"/>
      <c r="EN320" s="532"/>
      <c r="EO320" s="532"/>
      <c r="EP320" s="532"/>
      <c r="EQ320" s="532"/>
      <c r="ER320" s="532"/>
      <c r="ES320" s="532"/>
      <c r="ET320" s="532"/>
      <c r="EU320" s="532"/>
      <c r="EV320" s="532"/>
      <c r="EW320" s="532"/>
      <c r="EX320" s="532"/>
      <c r="EY320" s="532"/>
      <c r="EZ320" s="532"/>
      <c r="FA320" s="532"/>
      <c r="FB320" s="532"/>
      <c r="FC320" s="532"/>
      <c r="FD320" s="532"/>
      <c r="FE320" s="532"/>
      <c r="FF320" s="532"/>
      <c r="FG320" s="532"/>
      <c r="FH320" s="532"/>
      <c r="FI320" s="532"/>
      <c r="FJ320" s="532"/>
      <c r="FK320" s="532"/>
      <c r="FL320" s="532"/>
      <c r="FM320" s="532"/>
      <c r="FN320" s="532"/>
      <c r="FO320" s="532"/>
      <c r="FP320" s="532"/>
    </row>
    <row r="321" spans="1:172" ht="12" customHeight="1" x14ac:dyDescent="0.2">
      <c r="A321" s="533" t="s">
        <v>180</v>
      </c>
      <c r="B321" s="534"/>
      <c r="C321" s="208">
        <f t="shared" ref="C321:N321" si="159">SUM(C318:C320)</f>
        <v>592</v>
      </c>
      <c r="D321" s="208">
        <f t="shared" si="159"/>
        <v>573</v>
      </c>
      <c r="E321" s="208">
        <f t="shared" si="159"/>
        <v>597</v>
      </c>
      <c r="F321" s="208">
        <f t="shared" si="159"/>
        <v>613</v>
      </c>
      <c r="G321" s="208">
        <f t="shared" si="159"/>
        <v>591</v>
      </c>
      <c r="H321" s="208">
        <f t="shared" si="159"/>
        <v>649</v>
      </c>
      <c r="I321" s="208">
        <f t="shared" si="159"/>
        <v>624</v>
      </c>
      <c r="J321" s="658">
        <f t="shared" si="159"/>
        <v>665</v>
      </c>
      <c r="K321" s="208">
        <f t="shared" si="159"/>
        <v>598</v>
      </c>
      <c r="L321" s="562">
        <f t="shared" si="159"/>
        <v>559</v>
      </c>
      <c r="M321" s="562">
        <f t="shared" si="159"/>
        <v>616</v>
      </c>
      <c r="N321" s="562">
        <f t="shared" si="159"/>
        <v>639</v>
      </c>
      <c r="O321" s="530">
        <f>SUM(C321:N321)</f>
        <v>7316</v>
      </c>
      <c r="P321" s="531"/>
      <c r="Q321" s="531"/>
      <c r="R321" s="534"/>
      <c r="S321" s="534"/>
      <c r="T321" s="531"/>
      <c r="U321" s="531"/>
      <c r="V321" s="531"/>
      <c r="W321" s="531"/>
      <c r="X321" s="531"/>
      <c r="Y321" s="531"/>
      <c r="Z321" s="531"/>
      <c r="AA321" s="531"/>
      <c r="AB321" s="531"/>
      <c r="AC321" s="531"/>
      <c r="AD321" s="531"/>
      <c r="AE321" s="531"/>
      <c r="AF321" s="531"/>
      <c r="AG321" s="531"/>
      <c r="AH321" s="532"/>
      <c r="AI321" s="532"/>
      <c r="AJ321" s="532"/>
      <c r="AK321" s="532"/>
      <c r="AL321" s="532"/>
      <c r="AM321" s="532"/>
      <c r="AN321" s="532"/>
      <c r="AO321" s="532"/>
      <c r="AP321" s="532"/>
      <c r="AQ321" s="532"/>
      <c r="AR321" s="532"/>
      <c r="AS321" s="532"/>
      <c r="AT321" s="532"/>
      <c r="AU321" s="532"/>
      <c r="AV321" s="532"/>
      <c r="AW321" s="532"/>
      <c r="AX321" s="532"/>
      <c r="AY321" s="532"/>
      <c r="AZ321" s="532"/>
      <c r="BA321" s="532"/>
      <c r="BB321" s="532"/>
      <c r="BC321" s="532"/>
      <c r="BD321" s="532"/>
      <c r="BE321" s="532"/>
      <c r="BF321" s="532"/>
      <c r="BG321" s="532"/>
      <c r="BH321" s="532"/>
      <c r="BI321" s="532"/>
      <c r="BJ321" s="532"/>
      <c r="BK321" s="532"/>
      <c r="BL321" s="532"/>
      <c r="BM321" s="532"/>
      <c r="BN321" s="532"/>
      <c r="BO321" s="532"/>
      <c r="BP321" s="532"/>
      <c r="BQ321" s="532"/>
      <c r="BR321" s="532"/>
      <c r="BS321" s="532"/>
      <c r="BT321" s="532"/>
      <c r="BU321" s="532"/>
      <c r="BV321" s="532"/>
      <c r="BW321" s="532"/>
      <c r="BX321" s="532"/>
      <c r="BY321" s="532"/>
      <c r="BZ321" s="532"/>
      <c r="CA321" s="532"/>
      <c r="CB321" s="532"/>
      <c r="CC321" s="532"/>
      <c r="CD321" s="532"/>
      <c r="CE321" s="532"/>
      <c r="CF321" s="532"/>
      <c r="CG321" s="532"/>
      <c r="CH321" s="532"/>
      <c r="CI321" s="532"/>
      <c r="CJ321" s="532"/>
      <c r="CK321" s="532"/>
      <c r="CL321" s="532"/>
      <c r="CM321" s="532"/>
      <c r="CN321" s="532"/>
      <c r="CO321" s="532"/>
      <c r="CP321" s="532"/>
      <c r="CQ321" s="532"/>
      <c r="CR321" s="532"/>
      <c r="CS321" s="532"/>
      <c r="CT321" s="532"/>
      <c r="CU321" s="532"/>
      <c r="CV321" s="532"/>
      <c r="CW321" s="532"/>
      <c r="CX321" s="532"/>
      <c r="CY321" s="532"/>
      <c r="CZ321" s="532"/>
      <c r="DA321" s="532"/>
      <c r="DB321" s="532"/>
      <c r="DC321" s="532"/>
      <c r="DD321" s="532"/>
      <c r="DE321" s="532"/>
      <c r="DF321" s="532"/>
      <c r="DG321" s="532"/>
      <c r="DH321" s="532"/>
      <c r="DI321" s="532"/>
      <c r="DJ321" s="532"/>
      <c r="DK321" s="532"/>
      <c r="DL321" s="532"/>
      <c r="DM321" s="532"/>
      <c r="DN321" s="532"/>
      <c r="DO321" s="532"/>
      <c r="DP321" s="532"/>
      <c r="DQ321" s="532"/>
      <c r="DR321" s="532"/>
      <c r="DS321" s="532"/>
      <c r="DT321" s="532"/>
      <c r="DU321" s="532"/>
      <c r="DV321" s="532"/>
      <c r="DW321" s="532"/>
      <c r="DX321" s="532"/>
      <c r="DY321" s="532"/>
      <c r="DZ321" s="532"/>
      <c r="EA321" s="532"/>
      <c r="EB321" s="532"/>
      <c r="EC321" s="532"/>
      <c r="ED321" s="532"/>
      <c r="EE321" s="532"/>
      <c r="EF321" s="532"/>
      <c r="EG321" s="532"/>
      <c r="EH321" s="532"/>
      <c r="EI321" s="532"/>
      <c r="EJ321" s="532"/>
      <c r="EK321" s="532"/>
      <c r="EL321" s="532"/>
      <c r="EM321" s="532"/>
      <c r="EN321" s="532"/>
      <c r="EO321" s="532"/>
      <c r="EP321" s="532"/>
      <c r="EQ321" s="532"/>
      <c r="ER321" s="532"/>
      <c r="ES321" s="532"/>
      <c r="ET321" s="532"/>
      <c r="EU321" s="532"/>
      <c r="EV321" s="532"/>
      <c r="EW321" s="532"/>
      <c r="EX321" s="532"/>
      <c r="EY321" s="532"/>
      <c r="EZ321" s="532"/>
      <c r="FA321" s="532"/>
      <c r="FB321" s="532"/>
      <c r="FC321" s="532"/>
      <c r="FD321" s="532"/>
      <c r="FE321" s="532"/>
      <c r="FF321" s="532"/>
      <c r="FG321" s="532"/>
      <c r="FH321" s="532"/>
      <c r="FI321" s="532"/>
      <c r="FJ321" s="532"/>
      <c r="FK321" s="532"/>
      <c r="FL321" s="532"/>
      <c r="FM321" s="532"/>
      <c r="FN321" s="532"/>
      <c r="FO321" s="532"/>
      <c r="FP321" s="532"/>
    </row>
    <row r="322" spans="1:172" ht="12" customHeight="1" x14ac:dyDescent="0.2">
      <c r="A322" s="533"/>
      <c r="B322" s="534"/>
      <c r="C322" s="534"/>
      <c r="D322" s="534"/>
      <c r="E322" s="534"/>
      <c r="F322" s="534"/>
      <c r="G322" s="534"/>
      <c r="H322" s="534"/>
      <c r="I322" s="534"/>
      <c r="J322" s="534"/>
      <c r="K322" s="658"/>
      <c r="L322" s="562"/>
      <c r="M322" s="562"/>
      <c r="N322" s="562"/>
      <c r="O322" s="530"/>
      <c r="P322" s="531"/>
      <c r="Q322" s="531"/>
      <c r="R322" s="531"/>
      <c r="S322" s="531"/>
      <c r="T322" s="531"/>
      <c r="U322" s="531"/>
      <c r="V322" s="531"/>
      <c r="W322" s="531"/>
      <c r="X322" s="531"/>
      <c r="Y322" s="531"/>
      <c r="Z322" s="531"/>
      <c r="AA322" s="531"/>
      <c r="AB322" s="531"/>
      <c r="AC322" s="531"/>
      <c r="AD322" s="531"/>
      <c r="AE322" s="531"/>
      <c r="AF322" s="531"/>
      <c r="AG322" s="531"/>
      <c r="AH322" s="532"/>
      <c r="AI322" s="532"/>
      <c r="AJ322" s="532"/>
      <c r="AK322" s="532"/>
      <c r="AL322" s="532"/>
      <c r="AM322" s="532"/>
      <c r="AN322" s="532"/>
      <c r="AO322" s="532"/>
      <c r="AP322" s="532"/>
      <c r="AQ322" s="532"/>
      <c r="AR322" s="532"/>
      <c r="AS322" s="532"/>
      <c r="AT322" s="532"/>
      <c r="AU322" s="532"/>
      <c r="AV322" s="532"/>
      <c r="AW322" s="532"/>
      <c r="AX322" s="532"/>
      <c r="AY322" s="532"/>
      <c r="AZ322" s="532"/>
      <c r="BA322" s="532"/>
      <c r="BB322" s="532"/>
      <c r="BC322" s="532"/>
      <c r="BD322" s="532"/>
      <c r="BE322" s="532"/>
      <c r="BF322" s="532"/>
      <c r="BG322" s="532"/>
      <c r="BH322" s="532"/>
      <c r="BI322" s="532"/>
      <c r="BJ322" s="532"/>
      <c r="BK322" s="532"/>
      <c r="BL322" s="532"/>
      <c r="BM322" s="532"/>
      <c r="BN322" s="532"/>
      <c r="BO322" s="532"/>
      <c r="BP322" s="532"/>
      <c r="BQ322" s="532"/>
      <c r="BR322" s="532"/>
      <c r="BS322" s="532"/>
      <c r="BT322" s="532"/>
      <c r="BU322" s="532"/>
      <c r="BV322" s="532"/>
      <c r="BW322" s="532"/>
      <c r="BX322" s="532"/>
      <c r="BY322" s="532"/>
      <c r="BZ322" s="532"/>
      <c r="CA322" s="532"/>
      <c r="CB322" s="532"/>
      <c r="CC322" s="532"/>
      <c r="CD322" s="532"/>
      <c r="CE322" s="532"/>
      <c r="CF322" s="532"/>
      <c r="CG322" s="532"/>
      <c r="CH322" s="532"/>
      <c r="CI322" s="532"/>
      <c r="CJ322" s="532"/>
      <c r="CK322" s="532"/>
      <c r="CL322" s="532"/>
      <c r="CM322" s="532"/>
      <c r="CN322" s="532"/>
      <c r="CO322" s="532"/>
      <c r="CP322" s="532"/>
      <c r="CQ322" s="532"/>
      <c r="CR322" s="532"/>
      <c r="CS322" s="532"/>
      <c r="CT322" s="532"/>
      <c r="CU322" s="532"/>
      <c r="CV322" s="532"/>
      <c r="CW322" s="532"/>
      <c r="CX322" s="532"/>
      <c r="CY322" s="532"/>
      <c r="CZ322" s="532"/>
      <c r="DA322" s="532"/>
      <c r="DB322" s="532"/>
      <c r="DC322" s="532"/>
      <c r="DD322" s="532"/>
      <c r="DE322" s="532"/>
      <c r="DF322" s="532"/>
      <c r="DG322" s="532"/>
      <c r="DH322" s="532"/>
      <c r="DI322" s="532"/>
      <c r="DJ322" s="532"/>
      <c r="DK322" s="532"/>
      <c r="DL322" s="532"/>
      <c r="DM322" s="532"/>
      <c r="DN322" s="532"/>
      <c r="DO322" s="532"/>
      <c r="DP322" s="532"/>
      <c r="DQ322" s="532"/>
      <c r="DR322" s="532"/>
      <c r="DS322" s="532"/>
      <c r="DT322" s="532"/>
      <c r="DU322" s="532"/>
      <c r="DV322" s="532"/>
      <c r="DW322" s="532"/>
      <c r="DX322" s="532"/>
      <c r="DY322" s="532"/>
      <c r="DZ322" s="532"/>
      <c r="EA322" s="532"/>
      <c r="EB322" s="532"/>
      <c r="EC322" s="532"/>
      <c r="ED322" s="532"/>
      <c r="EE322" s="532"/>
      <c r="EF322" s="532"/>
      <c r="EG322" s="532"/>
      <c r="EH322" s="532"/>
      <c r="EI322" s="532"/>
      <c r="EJ322" s="532"/>
      <c r="EK322" s="532"/>
      <c r="EL322" s="532"/>
      <c r="EM322" s="532"/>
      <c r="EN322" s="532"/>
      <c r="EO322" s="532"/>
      <c r="EP322" s="532"/>
      <c r="EQ322" s="532"/>
      <c r="ER322" s="532"/>
      <c r="ES322" s="532"/>
      <c r="ET322" s="532"/>
      <c r="EU322" s="532"/>
      <c r="EV322" s="532"/>
      <c r="EW322" s="532"/>
      <c r="EX322" s="532"/>
      <c r="EY322" s="532"/>
      <c r="EZ322" s="532"/>
      <c r="FA322" s="532"/>
      <c r="FB322" s="532"/>
      <c r="FC322" s="532"/>
      <c r="FD322" s="532"/>
      <c r="FE322" s="532"/>
      <c r="FF322" s="532"/>
      <c r="FG322" s="532"/>
      <c r="FH322" s="532"/>
      <c r="FI322" s="532"/>
      <c r="FJ322" s="532"/>
      <c r="FK322" s="532"/>
      <c r="FL322" s="532"/>
      <c r="FM322" s="532"/>
      <c r="FN322" s="532"/>
      <c r="FO322" s="532"/>
      <c r="FP322" s="532"/>
    </row>
    <row r="323" spans="1:172" ht="12" customHeight="1" x14ac:dyDescent="0.2">
      <c r="A323" s="533" t="s">
        <v>181</v>
      </c>
      <c r="B323" s="534" t="s">
        <v>55</v>
      </c>
      <c r="C323" s="208">
        <v>0</v>
      </c>
      <c r="D323" s="208">
        <v>0</v>
      </c>
      <c r="E323" s="208">
        <v>0</v>
      </c>
      <c r="F323" s="208">
        <v>0</v>
      </c>
      <c r="G323" s="208">
        <v>0</v>
      </c>
      <c r="H323" s="208">
        <v>0</v>
      </c>
      <c r="I323" s="208">
        <v>0</v>
      </c>
      <c r="J323" s="208">
        <v>0</v>
      </c>
      <c r="K323" s="208">
        <v>0</v>
      </c>
      <c r="L323" s="562">
        <v>0</v>
      </c>
      <c r="M323" s="562">
        <v>0</v>
      </c>
      <c r="N323" s="562">
        <v>0</v>
      </c>
      <c r="O323" s="530">
        <f>SUM(C323:N323)</f>
        <v>0</v>
      </c>
      <c r="P323" s="531"/>
      <c r="Q323" s="531"/>
      <c r="R323" s="531"/>
      <c r="S323" s="531"/>
      <c r="T323" s="531"/>
      <c r="U323" s="531"/>
      <c r="V323" s="531"/>
      <c r="W323" s="531"/>
      <c r="X323" s="531"/>
      <c r="Y323" s="531"/>
      <c r="Z323" s="531"/>
      <c r="AA323" s="531"/>
      <c r="AB323" s="531"/>
      <c r="AC323" s="531"/>
      <c r="AD323" s="531"/>
      <c r="AE323" s="531"/>
      <c r="AF323" s="531"/>
      <c r="AG323" s="531"/>
      <c r="AH323" s="532"/>
      <c r="AI323" s="532"/>
      <c r="AJ323" s="532"/>
      <c r="AK323" s="532"/>
      <c r="AL323" s="532"/>
      <c r="AM323" s="532"/>
      <c r="AN323" s="532"/>
      <c r="AO323" s="532"/>
      <c r="AP323" s="532"/>
      <c r="AQ323" s="532"/>
      <c r="AR323" s="532"/>
      <c r="AS323" s="532"/>
      <c r="AT323" s="532"/>
      <c r="AU323" s="532"/>
      <c r="AV323" s="532"/>
      <c r="AW323" s="532"/>
      <c r="AX323" s="532"/>
      <c r="AY323" s="532"/>
      <c r="AZ323" s="532"/>
      <c r="BA323" s="532"/>
      <c r="BB323" s="532"/>
      <c r="BC323" s="532"/>
      <c r="BD323" s="532"/>
      <c r="BE323" s="532"/>
      <c r="BF323" s="532"/>
      <c r="BG323" s="532"/>
      <c r="BH323" s="532"/>
      <c r="BI323" s="532"/>
      <c r="BJ323" s="532"/>
      <c r="BK323" s="532"/>
      <c r="BL323" s="532"/>
      <c r="BM323" s="532"/>
      <c r="BN323" s="532"/>
      <c r="BO323" s="532"/>
      <c r="BP323" s="532"/>
      <c r="BQ323" s="532"/>
      <c r="BR323" s="532"/>
      <c r="BS323" s="532"/>
      <c r="BT323" s="532"/>
      <c r="BU323" s="532"/>
      <c r="BV323" s="532"/>
      <c r="BW323" s="532"/>
      <c r="BX323" s="532"/>
      <c r="BY323" s="532"/>
      <c r="BZ323" s="532"/>
      <c r="CA323" s="532"/>
      <c r="CB323" s="532"/>
      <c r="CC323" s="532"/>
      <c r="CD323" s="532"/>
      <c r="CE323" s="532"/>
      <c r="CF323" s="532"/>
      <c r="CG323" s="532"/>
      <c r="CH323" s="532"/>
      <c r="CI323" s="532"/>
      <c r="CJ323" s="532"/>
      <c r="CK323" s="532"/>
      <c r="CL323" s="532"/>
      <c r="CM323" s="532"/>
      <c r="CN323" s="532"/>
      <c r="CO323" s="532"/>
      <c r="CP323" s="532"/>
      <c r="CQ323" s="532"/>
      <c r="CR323" s="532"/>
      <c r="CS323" s="532"/>
      <c r="CT323" s="532"/>
      <c r="CU323" s="532"/>
      <c r="CV323" s="532"/>
      <c r="CW323" s="532"/>
      <c r="CX323" s="532"/>
      <c r="CY323" s="532"/>
      <c r="CZ323" s="532"/>
      <c r="DA323" s="532"/>
      <c r="DB323" s="532"/>
      <c r="DC323" s="532"/>
      <c r="DD323" s="532"/>
      <c r="DE323" s="532"/>
      <c r="DF323" s="532"/>
      <c r="DG323" s="532"/>
      <c r="DH323" s="532"/>
      <c r="DI323" s="532"/>
      <c r="DJ323" s="532"/>
      <c r="DK323" s="532"/>
      <c r="DL323" s="532"/>
      <c r="DM323" s="532"/>
      <c r="DN323" s="532"/>
      <c r="DO323" s="532"/>
      <c r="DP323" s="532"/>
      <c r="DQ323" s="532"/>
      <c r="DR323" s="532"/>
      <c r="DS323" s="532"/>
      <c r="DT323" s="532"/>
      <c r="DU323" s="532"/>
      <c r="DV323" s="532"/>
      <c r="DW323" s="532"/>
      <c r="DX323" s="532"/>
      <c r="DY323" s="532"/>
      <c r="DZ323" s="532"/>
      <c r="EA323" s="532"/>
      <c r="EB323" s="532"/>
      <c r="EC323" s="532"/>
      <c r="ED323" s="532"/>
      <c r="EE323" s="532"/>
      <c r="EF323" s="532"/>
      <c r="EG323" s="532"/>
      <c r="EH323" s="532"/>
      <c r="EI323" s="532"/>
      <c r="EJ323" s="532"/>
      <c r="EK323" s="532"/>
      <c r="EL323" s="532"/>
      <c r="EM323" s="532"/>
      <c r="EN323" s="532"/>
      <c r="EO323" s="532"/>
      <c r="EP323" s="532"/>
      <c r="EQ323" s="532"/>
      <c r="ER323" s="532"/>
      <c r="ES323" s="532"/>
      <c r="ET323" s="532"/>
      <c r="EU323" s="532"/>
      <c r="EV323" s="532"/>
      <c r="EW323" s="532"/>
      <c r="EX323" s="532"/>
      <c r="EY323" s="532"/>
      <c r="EZ323" s="532"/>
      <c r="FA323" s="532"/>
      <c r="FB323" s="532"/>
      <c r="FC323" s="532"/>
      <c r="FD323" s="532"/>
      <c r="FE323" s="532"/>
      <c r="FF323" s="532"/>
      <c r="FG323" s="532"/>
      <c r="FH323" s="532"/>
      <c r="FI323" s="532"/>
      <c r="FJ323" s="532"/>
      <c r="FK323" s="532"/>
      <c r="FL323" s="532"/>
      <c r="FM323" s="532"/>
      <c r="FN323" s="532"/>
      <c r="FO323" s="532"/>
      <c r="FP323" s="532"/>
    </row>
    <row r="324" spans="1:172" ht="12" customHeight="1" x14ac:dyDescent="0.2">
      <c r="A324" s="533" t="s">
        <v>182</v>
      </c>
      <c r="B324" s="534" t="s">
        <v>55</v>
      </c>
      <c r="C324" s="208">
        <v>13</v>
      </c>
      <c r="D324" s="208">
        <v>9</v>
      </c>
      <c r="E324" s="208">
        <v>7</v>
      </c>
      <c r="F324" s="208">
        <v>13</v>
      </c>
      <c r="G324" s="208">
        <v>17</v>
      </c>
      <c r="H324" s="208">
        <v>8</v>
      </c>
      <c r="I324" s="208">
        <v>7</v>
      </c>
      <c r="J324" s="208">
        <v>5</v>
      </c>
      <c r="K324" s="208">
        <v>4</v>
      </c>
      <c r="L324" s="562">
        <v>22</v>
      </c>
      <c r="M324" s="562">
        <v>5</v>
      </c>
      <c r="N324" s="562">
        <v>6</v>
      </c>
      <c r="O324" s="530">
        <f>SUM(C324:N324)</f>
        <v>116</v>
      </c>
      <c r="P324" s="531"/>
      <c r="Q324" s="531"/>
      <c r="R324" s="531"/>
      <c r="S324" s="531"/>
      <c r="T324" s="531"/>
      <c r="U324" s="531"/>
      <c r="V324" s="531"/>
      <c r="W324" s="531"/>
      <c r="X324" s="531"/>
      <c r="Y324" s="531"/>
      <c r="Z324" s="531"/>
      <c r="AA324" s="531"/>
      <c r="AB324" s="531"/>
      <c r="AC324" s="531"/>
      <c r="AD324" s="531"/>
      <c r="AE324" s="531"/>
      <c r="AF324" s="531"/>
      <c r="AG324" s="531"/>
      <c r="AH324" s="532"/>
      <c r="AI324" s="532"/>
      <c r="AJ324" s="532"/>
      <c r="AK324" s="532"/>
      <c r="AL324" s="532"/>
      <c r="AM324" s="532"/>
      <c r="AN324" s="532"/>
      <c r="AO324" s="532"/>
      <c r="AP324" s="532"/>
      <c r="AQ324" s="532"/>
      <c r="AR324" s="532"/>
      <c r="AS324" s="532"/>
      <c r="AT324" s="532"/>
      <c r="AU324" s="532"/>
      <c r="AV324" s="532"/>
      <c r="AW324" s="532"/>
      <c r="AX324" s="532"/>
      <c r="AY324" s="532"/>
      <c r="AZ324" s="532"/>
      <c r="BA324" s="532"/>
      <c r="BB324" s="532"/>
      <c r="BC324" s="532"/>
      <c r="BD324" s="532"/>
      <c r="BE324" s="532"/>
      <c r="BF324" s="532"/>
      <c r="BG324" s="532"/>
      <c r="BH324" s="532"/>
      <c r="BI324" s="532"/>
      <c r="BJ324" s="532"/>
      <c r="BK324" s="532"/>
      <c r="BL324" s="532"/>
      <c r="BM324" s="532"/>
      <c r="BN324" s="532"/>
      <c r="BO324" s="532"/>
      <c r="BP324" s="532"/>
      <c r="BQ324" s="532"/>
      <c r="BR324" s="532"/>
      <c r="BS324" s="532"/>
      <c r="BT324" s="532"/>
      <c r="BU324" s="532"/>
      <c r="BV324" s="532"/>
      <c r="BW324" s="532"/>
      <c r="BX324" s="532"/>
      <c r="BY324" s="532"/>
      <c r="BZ324" s="532"/>
      <c r="CA324" s="532"/>
      <c r="CB324" s="532"/>
      <c r="CC324" s="532"/>
      <c r="CD324" s="532"/>
      <c r="CE324" s="532"/>
      <c r="CF324" s="532"/>
      <c r="CG324" s="532"/>
      <c r="CH324" s="532"/>
      <c r="CI324" s="532"/>
      <c r="CJ324" s="532"/>
      <c r="CK324" s="532"/>
      <c r="CL324" s="532"/>
      <c r="CM324" s="532"/>
      <c r="CN324" s="532"/>
      <c r="CO324" s="532"/>
      <c r="CP324" s="532"/>
      <c r="CQ324" s="532"/>
      <c r="CR324" s="532"/>
      <c r="CS324" s="532"/>
      <c r="CT324" s="532"/>
      <c r="CU324" s="532"/>
      <c r="CV324" s="532"/>
      <c r="CW324" s="532"/>
      <c r="CX324" s="532"/>
      <c r="CY324" s="532"/>
      <c r="CZ324" s="532"/>
      <c r="DA324" s="532"/>
      <c r="DB324" s="532"/>
      <c r="DC324" s="532"/>
      <c r="DD324" s="532"/>
      <c r="DE324" s="532"/>
      <c r="DF324" s="532"/>
      <c r="DG324" s="532"/>
      <c r="DH324" s="532"/>
      <c r="DI324" s="532"/>
      <c r="DJ324" s="532"/>
      <c r="DK324" s="532"/>
      <c r="DL324" s="532"/>
      <c r="DM324" s="532"/>
      <c r="DN324" s="532"/>
      <c r="DO324" s="532"/>
      <c r="DP324" s="532"/>
      <c r="DQ324" s="532"/>
      <c r="DR324" s="532"/>
      <c r="DS324" s="532"/>
      <c r="DT324" s="532"/>
      <c r="DU324" s="532"/>
      <c r="DV324" s="532"/>
      <c r="DW324" s="532"/>
      <c r="DX324" s="532"/>
      <c r="DY324" s="532"/>
      <c r="DZ324" s="532"/>
      <c r="EA324" s="532"/>
      <c r="EB324" s="532"/>
      <c r="EC324" s="532"/>
      <c r="ED324" s="532"/>
      <c r="EE324" s="532"/>
      <c r="EF324" s="532"/>
      <c r="EG324" s="532"/>
      <c r="EH324" s="532"/>
      <c r="EI324" s="532"/>
      <c r="EJ324" s="532"/>
      <c r="EK324" s="532"/>
      <c r="EL324" s="532"/>
      <c r="EM324" s="532"/>
      <c r="EN324" s="532"/>
      <c r="EO324" s="532"/>
      <c r="EP324" s="532"/>
      <c r="EQ324" s="532"/>
      <c r="ER324" s="532"/>
      <c r="ES324" s="532"/>
      <c r="ET324" s="532"/>
      <c r="EU324" s="532"/>
      <c r="EV324" s="532"/>
      <c r="EW324" s="532"/>
      <c r="EX324" s="532"/>
      <c r="EY324" s="532"/>
      <c r="EZ324" s="532"/>
      <c r="FA324" s="532"/>
      <c r="FB324" s="532"/>
      <c r="FC324" s="532"/>
      <c r="FD324" s="532"/>
      <c r="FE324" s="532"/>
      <c r="FF324" s="532"/>
      <c r="FG324" s="532"/>
      <c r="FH324" s="532"/>
      <c r="FI324" s="532"/>
      <c r="FJ324" s="532"/>
      <c r="FK324" s="532"/>
      <c r="FL324" s="532"/>
      <c r="FM324" s="532"/>
      <c r="FN324" s="532"/>
      <c r="FO324" s="532"/>
      <c r="FP324" s="532"/>
    </row>
    <row r="325" spans="1:172" ht="12" customHeight="1" x14ac:dyDescent="0.2">
      <c r="A325" s="533" t="s">
        <v>183</v>
      </c>
      <c r="B325" s="534" t="s">
        <v>55</v>
      </c>
      <c r="C325" s="208">
        <f>6+13</f>
        <v>19</v>
      </c>
      <c r="D325" s="208">
        <f>8+7</f>
        <v>15</v>
      </c>
      <c r="E325" s="208">
        <f>8+21</f>
        <v>29</v>
      </c>
      <c r="F325" s="208">
        <f>5+19</f>
        <v>24</v>
      </c>
      <c r="G325" s="208">
        <f>7+21</f>
        <v>28</v>
      </c>
      <c r="H325" s="208">
        <v>24</v>
      </c>
      <c r="I325" s="208">
        <f>8+34</f>
        <v>42</v>
      </c>
      <c r="J325" s="208">
        <f>7+11</f>
        <v>18</v>
      </c>
      <c r="K325" s="208">
        <f>6+17</f>
        <v>23</v>
      </c>
      <c r="L325" s="562">
        <f>5+24</f>
        <v>29</v>
      </c>
      <c r="M325" s="562">
        <f>9+18</f>
        <v>27</v>
      </c>
      <c r="N325" s="562">
        <f>7+13</f>
        <v>20</v>
      </c>
      <c r="O325" s="530">
        <f>SUM(C325:N325)</f>
        <v>298</v>
      </c>
      <c r="P325" s="531"/>
      <c r="Q325" s="531"/>
      <c r="R325" s="531"/>
      <c r="S325" s="531"/>
      <c r="T325" s="531"/>
      <c r="U325" s="531"/>
      <c r="V325" s="531"/>
      <c r="W325" s="531"/>
      <c r="X325" s="531"/>
      <c r="Y325" s="531"/>
      <c r="Z325" s="531"/>
      <c r="AA325" s="531"/>
      <c r="AB325" s="531"/>
      <c r="AC325" s="531"/>
      <c r="AD325" s="531"/>
      <c r="AE325" s="531"/>
      <c r="AF325" s="531"/>
      <c r="AG325" s="531"/>
      <c r="AH325" s="532"/>
      <c r="AI325" s="532"/>
      <c r="AJ325" s="532"/>
      <c r="AK325" s="532"/>
      <c r="AL325" s="532"/>
      <c r="AM325" s="532"/>
      <c r="AN325" s="532"/>
      <c r="AO325" s="532"/>
      <c r="AP325" s="532"/>
      <c r="AQ325" s="532"/>
      <c r="AR325" s="532"/>
      <c r="AS325" s="532"/>
      <c r="AT325" s="532"/>
      <c r="AU325" s="532"/>
      <c r="AV325" s="532"/>
      <c r="AW325" s="532"/>
      <c r="AX325" s="532"/>
      <c r="AY325" s="532"/>
      <c r="AZ325" s="532"/>
      <c r="BA325" s="532"/>
      <c r="BB325" s="532"/>
      <c r="BC325" s="532"/>
      <c r="BD325" s="532"/>
      <c r="BE325" s="532"/>
      <c r="BF325" s="532"/>
      <c r="BG325" s="532"/>
      <c r="BH325" s="532"/>
      <c r="BI325" s="532"/>
      <c r="BJ325" s="532"/>
      <c r="BK325" s="532"/>
      <c r="BL325" s="532"/>
      <c r="BM325" s="532"/>
      <c r="BN325" s="532"/>
      <c r="BO325" s="532"/>
      <c r="BP325" s="532"/>
      <c r="BQ325" s="532"/>
      <c r="BR325" s="532"/>
      <c r="BS325" s="532"/>
      <c r="BT325" s="532"/>
      <c r="BU325" s="532"/>
      <c r="BV325" s="532"/>
      <c r="BW325" s="532"/>
      <c r="BX325" s="532"/>
      <c r="BY325" s="532"/>
      <c r="BZ325" s="532"/>
      <c r="CA325" s="532"/>
      <c r="CB325" s="532"/>
      <c r="CC325" s="532"/>
      <c r="CD325" s="532"/>
      <c r="CE325" s="532"/>
      <c r="CF325" s="532"/>
      <c r="CG325" s="532"/>
      <c r="CH325" s="532"/>
      <c r="CI325" s="532"/>
      <c r="CJ325" s="532"/>
      <c r="CK325" s="532"/>
      <c r="CL325" s="532"/>
      <c r="CM325" s="532"/>
      <c r="CN325" s="532"/>
      <c r="CO325" s="532"/>
      <c r="CP325" s="532"/>
      <c r="CQ325" s="532"/>
      <c r="CR325" s="532"/>
      <c r="CS325" s="532"/>
      <c r="CT325" s="532"/>
      <c r="CU325" s="532"/>
      <c r="CV325" s="532"/>
      <c r="CW325" s="532"/>
      <c r="CX325" s="532"/>
      <c r="CY325" s="532"/>
      <c r="CZ325" s="532"/>
      <c r="DA325" s="532"/>
      <c r="DB325" s="532"/>
      <c r="DC325" s="532"/>
      <c r="DD325" s="532"/>
      <c r="DE325" s="532"/>
      <c r="DF325" s="532"/>
      <c r="DG325" s="532"/>
      <c r="DH325" s="532"/>
      <c r="DI325" s="532"/>
      <c r="DJ325" s="532"/>
      <c r="DK325" s="532"/>
      <c r="DL325" s="532"/>
      <c r="DM325" s="532"/>
      <c r="DN325" s="532"/>
      <c r="DO325" s="532"/>
      <c r="DP325" s="532"/>
      <c r="DQ325" s="532"/>
      <c r="DR325" s="532"/>
      <c r="DS325" s="532"/>
      <c r="DT325" s="532"/>
      <c r="DU325" s="532"/>
      <c r="DV325" s="532"/>
      <c r="DW325" s="532"/>
      <c r="DX325" s="532"/>
      <c r="DY325" s="532"/>
      <c r="DZ325" s="532"/>
      <c r="EA325" s="532"/>
      <c r="EB325" s="532"/>
      <c r="EC325" s="532"/>
      <c r="ED325" s="532"/>
      <c r="EE325" s="532"/>
      <c r="EF325" s="532"/>
      <c r="EG325" s="532"/>
      <c r="EH325" s="532"/>
      <c r="EI325" s="532"/>
      <c r="EJ325" s="532"/>
      <c r="EK325" s="532"/>
      <c r="EL325" s="532"/>
      <c r="EM325" s="532"/>
      <c r="EN325" s="532"/>
      <c r="EO325" s="532"/>
      <c r="EP325" s="532"/>
      <c r="EQ325" s="532"/>
      <c r="ER325" s="532"/>
      <c r="ES325" s="532"/>
      <c r="ET325" s="532"/>
      <c r="EU325" s="532"/>
      <c r="EV325" s="532"/>
      <c r="EW325" s="532"/>
      <c r="EX325" s="532"/>
      <c r="EY325" s="532"/>
      <c r="EZ325" s="532"/>
      <c r="FA325" s="532"/>
      <c r="FB325" s="532"/>
      <c r="FC325" s="532"/>
      <c r="FD325" s="532"/>
      <c r="FE325" s="532"/>
      <c r="FF325" s="532"/>
      <c r="FG325" s="532"/>
      <c r="FH325" s="532"/>
      <c r="FI325" s="532"/>
      <c r="FJ325" s="532"/>
      <c r="FK325" s="532"/>
      <c r="FL325" s="532"/>
      <c r="FM325" s="532"/>
      <c r="FN325" s="532"/>
      <c r="FO325" s="532"/>
      <c r="FP325" s="532"/>
    </row>
    <row r="326" spans="1:172" ht="12" customHeight="1" x14ac:dyDescent="0.2">
      <c r="A326" s="533" t="s">
        <v>184</v>
      </c>
      <c r="B326" s="534" t="s">
        <v>961</v>
      </c>
      <c r="C326" s="208">
        <v>99</v>
      </c>
      <c r="D326" s="208">
        <v>122</v>
      </c>
      <c r="E326" s="208">
        <v>87</v>
      </c>
      <c r="F326" s="208">
        <v>107</v>
      </c>
      <c r="G326" s="208">
        <v>98</v>
      </c>
      <c r="H326" s="208">
        <v>103</v>
      </c>
      <c r="I326" s="208">
        <v>108</v>
      </c>
      <c r="J326" s="208">
        <v>114</v>
      </c>
      <c r="K326" s="208">
        <v>112</v>
      </c>
      <c r="L326" s="562">
        <v>101</v>
      </c>
      <c r="M326" s="562">
        <v>101</v>
      </c>
      <c r="N326" s="562">
        <v>104</v>
      </c>
      <c r="O326" s="530">
        <f>SUM(C326:N326)</f>
        <v>1256</v>
      </c>
      <c r="P326" s="531"/>
      <c r="Q326" s="531"/>
      <c r="R326" s="531"/>
      <c r="S326" s="531"/>
      <c r="T326" s="531"/>
      <c r="U326" s="531"/>
      <c r="V326" s="531"/>
      <c r="W326" s="531"/>
      <c r="X326" s="531"/>
      <c r="Y326" s="531"/>
      <c r="Z326" s="531"/>
      <c r="AA326" s="531"/>
      <c r="AB326" s="531"/>
      <c r="AC326" s="531"/>
      <c r="AD326" s="531"/>
      <c r="AE326" s="531"/>
      <c r="AF326" s="531"/>
      <c r="AG326" s="531"/>
      <c r="AH326" s="532"/>
      <c r="AI326" s="532"/>
      <c r="AJ326" s="532"/>
      <c r="AK326" s="532"/>
      <c r="AL326" s="532"/>
      <c r="AM326" s="532"/>
      <c r="AN326" s="532"/>
      <c r="AO326" s="532"/>
      <c r="AP326" s="532"/>
      <c r="AQ326" s="532"/>
      <c r="AR326" s="532"/>
      <c r="AS326" s="532"/>
      <c r="AT326" s="532"/>
      <c r="AU326" s="532"/>
      <c r="AV326" s="532"/>
      <c r="AW326" s="532"/>
      <c r="AX326" s="532"/>
      <c r="AY326" s="532"/>
      <c r="AZ326" s="532"/>
      <c r="BA326" s="532"/>
      <c r="BB326" s="532"/>
      <c r="BC326" s="532"/>
      <c r="BD326" s="532"/>
      <c r="BE326" s="532"/>
      <c r="BF326" s="532"/>
      <c r="BG326" s="532"/>
      <c r="BH326" s="532"/>
      <c r="BI326" s="532"/>
      <c r="BJ326" s="532"/>
      <c r="BK326" s="532"/>
      <c r="BL326" s="532"/>
      <c r="BM326" s="532"/>
      <c r="BN326" s="532"/>
      <c r="BO326" s="532"/>
      <c r="BP326" s="532"/>
      <c r="BQ326" s="532"/>
      <c r="BR326" s="532"/>
      <c r="BS326" s="532"/>
      <c r="BT326" s="532"/>
      <c r="BU326" s="532"/>
      <c r="BV326" s="532"/>
      <c r="BW326" s="532"/>
      <c r="BX326" s="532"/>
      <c r="BY326" s="532"/>
      <c r="BZ326" s="532"/>
      <c r="CA326" s="532"/>
      <c r="CB326" s="532"/>
      <c r="CC326" s="532"/>
      <c r="CD326" s="532"/>
      <c r="CE326" s="532"/>
      <c r="CF326" s="532"/>
      <c r="CG326" s="532"/>
      <c r="CH326" s="532"/>
      <c r="CI326" s="532"/>
      <c r="CJ326" s="532"/>
      <c r="CK326" s="532"/>
      <c r="CL326" s="532"/>
      <c r="CM326" s="532"/>
      <c r="CN326" s="532"/>
      <c r="CO326" s="532"/>
      <c r="CP326" s="532"/>
      <c r="CQ326" s="532"/>
      <c r="CR326" s="532"/>
      <c r="CS326" s="532"/>
      <c r="CT326" s="532"/>
      <c r="CU326" s="532"/>
      <c r="CV326" s="532"/>
      <c r="CW326" s="532"/>
      <c r="CX326" s="532"/>
      <c r="CY326" s="532"/>
      <c r="CZ326" s="532"/>
      <c r="DA326" s="532"/>
      <c r="DB326" s="532"/>
      <c r="DC326" s="532"/>
      <c r="DD326" s="532"/>
      <c r="DE326" s="532"/>
      <c r="DF326" s="532"/>
      <c r="DG326" s="532"/>
      <c r="DH326" s="532"/>
      <c r="DI326" s="532"/>
      <c r="DJ326" s="532"/>
      <c r="DK326" s="532"/>
      <c r="DL326" s="532"/>
      <c r="DM326" s="532"/>
      <c r="DN326" s="532"/>
      <c r="DO326" s="532"/>
      <c r="DP326" s="532"/>
      <c r="DQ326" s="532"/>
      <c r="DR326" s="532"/>
      <c r="DS326" s="532"/>
      <c r="DT326" s="532"/>
      <c r="DU326" s="532"/>
      <c r="DV326" s="532"/>
      <c r="DW326" s="532"/>
      <c r="DX326" s="532"/>
      <c r="DY326" s="532"/>
      <c r="DZ326" s="532"/>
      <c r="EA326" s="532"/>
      <c r="EB326" s="532"/>
      <c r="EC326" s="532"/>
      <c r="ED326" s="532"/>
      <c r="EE326" s="532"/>
      <c r="EF326" s="532"/>
      <c r="EG326" s="532"/>
      <c r="EH326" s="532"/>
      <c r="EI326" s="532"/>
      <c r="EJ326" s="532"/>
      <c r="EK326" s="532"/>
      <c r="EL326" s="532"/>
      <c r="EM326" s="532"/>
      <c r="EN326" s="532"/>
      <c r="EO326" s="532"/>
      <c r="EP326" s="532"/>
      <c r="EQ326" s="532"/>
      <c r="ER326" s="532"/>
      <c r="ES326" s="532"/>
      <c r="ET326" s="532"/>
      <c r="EU326" s="532"/>
      <c r="EV326" s="532"/>
      <c r="EW326" s="532"/>
      <c r="EX326" s="532"/>
      <c r="EY326" s="532"/>
      <c r="EZ326" s="532"/>
      <c r="FA326" s="532"/>
      <c r="FB326" s="532"/>
      <c r="FC326" s="532"/>
      <c r="FD326" s="532"/>
      <c r="FE326" s="532"/>
      <c r="FF326" s="532"/>
      <c r="FG326" s="532"/>
      <c r="FH326" s="532"/>
      <c r="FI326" s="532"/>
      <c r="FJ326" s="532"/>
      <c r="FK326" s="532"/>
      <c r="FL326" s="532"/>
      <c r="FM326" s="532"/>
      <c r="FN326" s="532"/>
      <c r="FO326" s="532"/>
      <c r="FP326" s="532"/>
    </row>
    <row r="327" spans="1:172" ht="12" customHeight="1" x14ac:dyDescent="0.2">
      <c r="A327" s="533"/>
      <c r="B327" s="534"/>
      <c r="C327" s="534"/>
      <c r="D327" s="534"/>
      <c r="E327" s="534"/>
      <c r="F327" s="534"/>
      <c r="G327" s="534"/>
      <c r="H327" s="534"/>
      <c r="I327" s="534"/>
      <c r="J327" s="534"/>
      <c r="K327" s="658"/>
      <c r="L327" s="562"/>
      <c r="M327" s="562"/>
      <c r="N327" s="562"/>
      <c r="O327" s="530"/>
      <c r="P327" s="531"/>
      <c r="Q327" s="531"/>
      <c r="R327" s="531"/>
      <c r="S327" s="531"/>
      <c r="T327" s="531"/>
      <c r="U327" s="531"/>
      <c r="V327" s="531"/>
      <c r="W327" s="531"/>
      <c r="X327" s="531"/>
      <c r="Y327" s="531"/>
      <c r="Z327" s="531"/>
      <c r="AA327" s="531"/>
      <c r="AB327" s="531"/>
      <c r="AC327" s="531"/>
      <c r="AD327" s="531"/>
      <c r="AE327" s="531"/>
      <c r="AF327" s="531"/>
      <c r="AG327" s="531"/>
      <c r="AH327" s="532"/>
      <c r="AI327" s="532"/>
      <c r="AJ327" s="532"/>
      <c r="AK327" s="532"/>
      <c r="AL327" s="532"/>
      <c r="AM327" s="532"/>
      <c r="AN327" s="532"/>
      <c r="AO327" s="532"/>
      <c r="AP327" s="532"/>
      <c r="AQ327" s="532"/>
      <c r="AR327" s="532"/>
      <c r="AS327" s="532"/>
      <c r="AT327" s="532"/>
      <c r="AU327" s="532"/>
      <c r="AV327" s="532"/>
      <c r="AW327" s="532"/>
      <c r="AX327" s="532"/>
      <c r="AY327" s="532"/>
      <c r="AZ327" s="532"/>
      <c r="BA327" s="532"/>
      <c r="BB327" s="532"/>
      <c r="BC327" s="532"/>
      <c r="BD327" s="532"/>
      <c r="BE327" s="532"/>
      <c r="BF327" s="532"/>
      <c r="BG327" s="532"/>
      <c r="BH327" s="532"/>
      <c r="BI327" s="532"/>
      <c r="BJ327" s="532"/>
      <c r="BK327" s="532"/>
      <c r="BL327" s="532"/>
      <c r="BM327" s="532"/>
      <c r="BN327" s="532"/>
      <c r="BO327" s="532"/>
      <c r="BP327" s="532"/>
      <c r="BQ327" s="532"/>
      <c r="BR327" s="532"/>
      <c r="BS327" s="532"/>
      <c r="BT327" s="532"/>
      <c r="BU327" s="532"/>
      <c r="BV327" s="532"/>
      <c r="BW327" s="532"/>
      <c r="BX327" s="532"/>
      <c r="BY327" s="532"/>
      <c r="BZ327" s="532"/>
      <c r="CA327" s="532"/>
      <c r="CB327" s="532"/>
      <c r="CC327" s="532"/>
      <c r="CD327" s="532"/>
      <c r="CE327" s="532"/>
      <c r="CF327" s="532"/>
      <c r="CG327" s="532"/>
      <c r="CH327" s="532"/>
      <c r="CI327" s="532"/>
      <c r="CJ327" s="532"/>
      <c r="CK327" s="532"/>
      <c r="CL327" s="532"/>
      <c r="CM327" s="532"/>
      <c r="CN327" s="532"/>
      <c r="CO327" s="532"/>
      <c r="CP327" s="532"/>
      <c r="CQ327" s="532"/>
      <c r="CR327" s="532"/>
      <c r="CS327" s="532"/>
      <c r="CT327" s="532"/>
      <c r="CU327" s="532"/>
      <c r="CV327" s="532"/>
      <c r="CW327" s="532"/>
      <c r="CX327" s="532"/>
      <c r="CY327" s="532"/>
      <c r="CZ327" s="532"/>
      <c r="DA327" s="532"/>
      <c r="DB327" s="532"/>
      <c r="DC327" s="532"/>
      <c r="DD327" s="532"/>
      <c r="DE327" s="532"/>
      <c r="DF327" s="532"/>
      <c r="DG327" s="532"/>
      <c r="DH327" s="532"/>
      <c r="DI327" s="532"/>
      <c r="DJ327" s="532"/>
      <c r="DK327" s="532"/>
      <c r="DL327" s="532"/>
      <c r="DM327" s="532"/>
      <c r="DN327" s="532"/>
      <c r="DO327" s="532"/>
      <c r="DP327" s="532"/>
      <c r="DQ327" s="532"/>
      <c r="DR327" s="532"/>
      <c r="DS327" s="532"/>
      <c r="DT327" s="532"/>
      <c r="DU327" s="532"/>
      <c r="DV327" s="532"/>
      <c r="DW327" s="532"/>
      <c r="DX327" s="532"/>
      <c r="DY327" s="532"/>
      <c r="DZ327" s="532"/>
      <c r="EA327" s="532"/>
      <c r="EB327" s="532"/>
      <c r="EC327" s="532"/>
      <c r="ED327" s="532"/>
      <c r="EE327" s="532"/>
      <c r="EF327" s="532"/>
      <c r="EG327" s="532"/>
      <c r="EH327" s="532"/>
      <c r="EI327" s="532"/>
      <c r="EJ327" s="532"/>
      <c r="EK327" s="532"/>
      <c r="EL327" s="532"/>
      <c r="EM327" s="532"/>
      <c r="EN327" s="532"/>
      <c r="EO327" s="532"/>
      <c r="EP327" s="532"/>
      <c r="EQ327" s="532"/>
      <c r="ER327" s="532"/>
      <c r="ES327" s="532"/>
      <c r="ET327" s="532"/>
      <c r="EU327" s="532"/>
      <c r="EV327" s="532"/>
      <c r="EW327" s="532"/>
      <c r="EX327" s="532"/>
      <c r="EY327" s="532"/>
      <c r="EZ327" s="532"/>
      <c r="FA327" s="532"/>
      <c r="FB327" s="532"/>
      <c r="FC327" s="532"/>
      <c r="FD327" s="532"/>
      <c r="FE327" s="532"/>
      <c r="FF327" s="532"/>
      <c r="FG327" s="532"/>
      <c r="FH327" s="532"/>
      <c r="FI327" s="532"/>
      <c r="FJ327" s="532"/>
      <c r="FK327" s="532"/>
      <c r="FL327" s="532"/>
      <c r="FM327" s="532"/>
      <c r="FN327" s="532"/>
      <c r="FO327" s="532"/>
      <c r="FP327" s="532"/>
    </row>
    <row r="328" spans="1:172" ht="12" customHeight="1" x14ac:dyDescent="0.2">
      <c r="A328" s="533" t="s">
        <v>185</v>
      </c>
      <c r="B328" s="534" t="s">
        <v>55</v>
      </c>
      <c r="C328" s="208">
        <v>4</v>
      </c>
      <c r="D328" s="208">
        <v>3</v>
      </c>
      <c r="E328" s="208">
        <v>6</v>
      </c>
      <c r="F328" s="208">
        <v>3</v>
      </c>
      <c r="G328" s="208">
        <v>4</v>
      </c>
      <c r="H328" s="208">
        <v>4</v>
      </c>
      <c r="I328" s="208">
        <v>4</v>
      </c>
      <c r="J328" s="208">
        <v>8</v>
      </c>
      <c r="K328" s="208">
        <v>6</v>
      </c>
      <c r="L328" s="562">
        <v>0</v>
      </c>
      <c r="M328" s="562">
        <v>1</v>
      </c>
      <c r="N328" s="562">
        <v>2</v>
      </c>
      <c r="O328" s="530">
        <f>SUM(C328:J328)</f>
        <v>36</v>
      </c>
      <c r="P328" s="531"/>
      <c r="Q328" s="531"/>
      <c r="R328" s="531"/>
      <c r="S328" s="531"/>
      <c r="T328" s="531"/>
      <c r="U328" s="531"/>
      <c r="V328" s="531"/>
      <c r="W328" s="531"/>
      <c r="X328" s="531"/>
      <c r="Y328" s="531"/>
      <c r="Z328" s="531"/>
      <c r="AA328" s="531"/>
      <c r="AB328" s="531"/>
      <c r="AC328" s="531"/>
      <c r="AD328" s="531"/>
      <c r="AE328" s="531"/>
      <c r="AF328" s="531"/>
      <c r="AG328" s="531"/>
      <c r="AH328" s="532"/>
      <c r="AI328" s="532"/>
      <c r="AJ328" s="532"/>
      <c r="AK328" s="532"/>
      <c r="AL328" s="532"/>
      <c r="AM328" s="532"/>
      <c r="AN328" s="532"/>
      <c r="AO328" s="532"/>
      <c r="AP328" s="532"/>
      <c r="AQ328" s="532"/>
      <c r="AR328" s="532"/>
      <c r="AS328" s="532"/>
      <c r="AT328" s="532"/>
      <c r="AU328" s="532"/>
      <c r="AV328" s="532"/>
      <c r="AW328" s="532"/>
      <c r="AX328" s="532"/>
      <c r="AY328" s="532"/>
      <c r="AZ328" s="532"/>
      <c r="BA328" s="532"/>
      <c r="BB328" s="532"/>
      <c r="BC328" s="532"/>
      <c r="BD328" s="532"/>
      <c r="BE328" s="532"/>
      <c r="BF328" s="532"/>
      <c r="BG328" s="532"/>
      <c r="BH328" s="532"/>
      <c r="BI328" s="532"/>
      <c r="BJ328" s="532"/>
      <c r="BK328" s="532"/>
      <c r="BL328" s="532"/>
      <c r="BM328" s="532"/>
      <c r="BN328" s="532"/>
      <c r="BO328" s="532"/>
      <c r="BP328" s="532"/>
      <c r="BQ328" s="532"/>
      <c r="BR328" s="532"/>
      <c r="BS328" s="532"/>
      <c r="BT328" s="532"/>
      <c r="BU328" s="532"/>
      <c r="BV328" s="532"/>
      <c r="BW328" s="532"/>
      <c r="BX328" s="532"/>
      <c r="BY328" s="532"/>
      <c r="BZ328" s="532"/>
      <c r="CA328" s="532"/>
      <c r="CB328" s="532"/>
      <c r="CC328" s="532"/>
      <c r="CD328" s="532"/>
      <c r="CE328" s="532"/>
      <c r="CF328" s="532"/>
      <c r="CG328" s="532"/>
      <c r="CH328" s="532"/>
      <c r="CI328" s="532"/>
      <c r="CJ328" s="532"/>
      <c r="CK328" s="532"/>
      <c r="CL328" s="532"/>
      <c r="CM328" s="532"/>
      <c r="CN328" s="532"/>
      <c r="CO328" s="532"/>
      <c r="CP328" s="532"/>
      <c r="CQ328" s="532"/>
      <c r="CR328" s="532"/>
      <c r="CS328" s="532"/>
      <c r="CT328" s="532"/>
      <c r="CU328" s="532"/>
      <c r="CV328" s="532"/>
      <c r="CW328" s="532"/>
      <c r="CX328" s="532"/>
      <c r="CY328" s="532"/>
      <c r="CZ328" s="532"/>
      <c r="DA328" s="532"/>
      <c r="DB328" s="532"/>
      <c r="DC328" s="532"/>
      <c r="DD328" s="532"/>
      <c r="DE328" s="532"/>
      <c r="DF328" s="532"/>
      <c r="DG328" s="532"/>
      <c r="DH328" s="532"/>
      <c r="DI328" s="532"/>
      <c r="DJ328" s="532"/>
      <c r="DK328" s="532"/>
      <c r="DL328" s="532"/>
      <c r="DM328" s="532"/>
      <c r="DN328" s="532"/>
      <c r="DO328" s="532"/>
      <c r="DP328" s="532"/>
      <c r="DQ328" s="532"/>
      <c r="DR328" s="532"/>
      <c r="DS328" s="532"/>
      <c r="DT328" s="532"/>
      <c r="DU328" s="532"/>
      <c r="DV328" s="532"/>
      <c r="DW328" s="532"/>
      <c r="DX328" s="532"/>
      <c r="DY328" s="532"/>
      <c r="DZ328" s="532"/>
      <c r="EA328" s="532"/>
      <c r="EB328" s="532"/>
      <c r="EC328" s="532"/>
      <c r="ED328" s="532"/>
      <c r="EE328" s="532"/>
      <c r="EF328" s="532"/>
      <c r="EG328" s="532"/>
      <c r="EH328" s="532"/>
      <c r="EI328" s="532"/>
      <c r="EJ328" s="532"/>
      <c r="EK328" s="532"/>
      <c r="EL328" s="532"/>
      <c r="EM328" s="532"/>
      <c r="EN328" s="532"/>
      <c r="EO328" s="532"/>
      <c r="EP328" s="532"/>
      <c r="EQ328" s="532"/>
      <c r="ER328" s="532"/>
      <c r="ES328" s="532"/>
      <c r="ET328" s="532"/>
      <c r="EU328" s="532"/>
      <c r="EV328" s="532"/>
      <c r="EW328" s="532"/>
      <c r="EX328" s="532"/>
      <c r="EY328" s="532"/>
      <c r="EZ328" s="532"/>
      <c r="FA328" s="532"/>
      <c r="FB328" s="532"/>
      <c r="FC328" s="532"/>
      <c r="FD328" s="532"/>
      <c r="FE328" s="532"/>
      <c r="FF328" s="532"/>
      <c r="FG328" s="532"/>
      <c r="FH328" s="532"/>
      <c r="FI328" s="532"/>
      <c r="FJ328" s="532"/>
      <c r="FK328" s="532"/>
      <c r="FL328" s="532"/>
      <c r="FM328" s="532"/>
      <c r="FN328" s="532"/>
      <c r="FO328" s="532"/>
      <c r="FP328" s="532"/>
    </row>
    <row r="329" spans="1:172" ht="12" customHeight="1" x14ac:dyDescent="0.2">
      <c r="A329" s="533" t="s">
        <v>186</v>
      </c>
      <c r="B329" s="534" t="s">
        <v>55</v>
      </c>
      <c r="C329" s="208">
        <v>5</v>
      </c>
      <c r="D329" s="208">
        <v>5</v>
      </c>
      <c r="E329" s="208">
        <v>6</v>
      </c>
      <c r="F329" s="208">
        <v>4</v>
      </c>
      <c r="G329" s="208">
        <v>3</v>
      </c>
      <c r="H329" s="208">
        <f>10</f>
        <v>10</v>
      </c>
      <c r="I329" s="208">
        <v>8</v>
      </c>
      <c r="J329" s="208">
        <v>10</v>
      </c>
      <c r="K329" s="208">
        <v>9</v>
      </c>
      <c r="L329" s="562">
        <v>6</v>
      </c>
      <c r="M329" s="562">
        <v>5</v>
      </c>
      <c r="N329" s="562">
        <v>8</v>
      </c>
      <c r="O329" s="530">
        <f>SUM(C329:J329)</f>
        <v>51</v>
      </c>
      <c r="P329" s="531"/>
      <c r="Q329" s="531"/>
      <c r="R329" s="531"/>
      <c r="S329" s="531"/>
      <c r="T329" s="531"/>
      <c r="U329" s="531"/>
      <c r="V329" s="531"/>
      <c r="W329" s="531"/>
      <c r="X329" s="531"/>
      <c r="Y329" s="531"/>
      <c r="Z329" s="531"/>
      <c r="AA329" s="531"/>
      <c r="AB329" s="531"/>
      <c r="AC329" s="531"/>
      <c r="AD329" s="531"/>
      <c r="AE329" s="531"/>
      <c r="AF329" s="531"/>
      <c r="AG329" s="531"/>
      <c r="AH329" s="532"/>
      <c r="AI329" s="532"/>
      <c r="AJ329" s="532"/>
      <c r="AK329" s="532"/>
      <c r="AL329" s="532"/>
      <c r="AM329" s="532"/>
      <c r="AN329" s="532"/>
      <c r="AO329" s="532"/>
      <c r="AP329" s="532"/>
      <c r="AQ329" s="532"/>
      <c r="AR329" s="532"/>
      <c r="AS329" s="532"/>
      <c r="AT329" s="532"/>
      <c r="AU329" s="532"/>
      <c r="AV329" s="532"/>
      <c r="AW329" s="532"/>
      <c r="AX329" s="532"/>
      <c r="AY329" s="532"/>
      <c r="AZ329" s="532"/>
      <c r="BA329" s="532"/>
      <c r="BB329" s="532"/>
      <c r="BC329" s="532"/>
      <c r="BD329" s="532"/>
      <c r="BE329" s="532"/>
      <c r="BF329" s="532"/>
      <c r="BG329" s="532"/>
      <c r="BH329" s="532"/>
      <c r="BI329" s="532"/>
      <c r="BJ329" s="532"/>
      <c r="BK329" s="532"/>
      <c r="BL329" s="532"/>
      <c r="BM329" s="532"/>
      <c r="BN329" s="532"/>
      <c r="BO329" s="532"/>
      <c r="BP329" s="532"/>
      <c r="BQ329" s="532"/>
      <c r="BR329" s="532"/>
      <c r="BS329" s="532"/>
      <c r="BT329" s="532"/>
      <c r="BU329" s="532"/>
      <c r="BV329" s="532"/>
      <c r="BW329" s="532"/>
      <c r="BX329" s="532"/>
      <c r="BY329" s="532"/>
      <c r="BZ329" s="532"/>
      <c r="CA329" s="532"/>
      <c r="CB329" s="532"/>
      <c r="CC329" s="532"/>
      <c r="CD329" s="532"/>
      <c r="CE329" s="532"/>
      <c r="CF329" s="532"/>
      <c r="CG329" s="532"/>
      <c r="CH329" s="532"/>
      <c r="CI329" s="532"/>
      <c r="CJ329" s="532"/>
      <c r="CK329" s="532"/>
      <c r="CL329" s="532"/>
      <c r="CM329" s="532"/>
      <c r="CN329" s="532"/>
      <c r="CO329" s="532"/>
      <c r="CP329" s="532"/>
      <c r="CQ329" s="532"/>
      <c r="CR329" s="532"/>
      <c r="CS329" s="532"/>
      <c r="CT329" s="532"/>
      <c r="CU329" s="532"/>
      <c r="CV329" s="532"/>
      <c r="CW329" s="532"/>
      <c r="CX329" s="532"/>
      <c r="CY329" s="532"/>
      <c r="CZ329" s="532"/>
      <c r="DA329" s="532"/>
      <c r="DB329" s="532"/>
      <c r="DC329" s="532"/>
      <c r="DD329" s="532"/>
      <c r="DE329" s="532"/>
      <c r="DF329" s="532"/>
      <c r="DG329" s="532"/>
      <c r="DH329" s="532"/>
      <c r="DI329" s="532"/>
      <c r="DJ329" s="532"/>
      <c r="DK329" s="532"/>
      <c r="DL329" s="532"/>
      <c r="DM329" s="532"/>
      <c r="DN329" s="532"/>
      <c r="DO329" s="532"/>
      <c r="DP329" s="532"/>
      <c r="DQ329" s="532"/>
      <c r="DR329" s="532"/>
      <c r="DS329" s="532"/>
      <c r="DT329" s="532"/>
      <c r="DU329" s="532"/>
      <c r="DV329" s="532"/>
      <c r="DW329" s="532"/>
      <c r="DX329" s="532"/>
      <c r="DY329" s="532"/>
      <c r="DZ329" s="532"/>
      <c r="EA329" s="532"/>
      <c r="EB329" s="532"/>
      <c r="EC329" s="532"/>
      <c r="ED329" s="532"/>
      <c r="EE329" s="532"/>
      <c r="EF329" s="532"/>
      <c r="EG329" s="532"/>
      <c r="EH329" s="532"/>
      <c r="EI329" s="532"/>
      <c r="EJ329" s="532"/>
      <c r="EK329" s="532"/>
      <c r="EL329" s="532"/>
      <c r="EM329" s="532"/>
      <c r="EN329" s="532"/>
      <c r="EO329" s="532"/>
      <c r="EP329" s="532"/>
      <c r="EQ329" s="532"/>
      <c r="ER329" s="532"/>
      <c r="ES329" s="532"/>
      <c r="ET329" s="532"/>
      <c r="EU329" s="532"/>
      <c r="EV329" s="532"/>
      <c r="EW329" s="532"/>
      <c r="EX329" s="532"/>
      <c r="EY329" s="532"/>
      <c r="EZ329" s="532"/>
      <c r="FA329" s="532"/>
      <c r="FB329" s="532"/>
      <c r="FC329" s="532"/>
      <c r="FD329" s="532"/>
      <c r="FE329" s="532"/>
      <c r="FF329" s="532"/>
      <c r="FG329" s="532"/>
      <c r="FH329" s="532"/>
      <c r="FI329" s="532"/>
      <c r="FJ329" s="532"/>
      <c r="FK329" s="532"/>
      <c r="FL329" s="532"/>
      <c r="FM329" s="532"/>
      <c r="FN329" s="532"/>
      <c r="FO329" s="532"/>
      <c r="FP329" s="532"/>
    </row>
    <row r="330" spans="1:172" ht="12" customHeight="1" x14ac:dyDescent="0.2">
      <c r="A330" s="533" t="s">
        <v>187</v>
      </c>
      <c r="B330" s="534" t="s">
        <v>55</v>
      </c>
      <c r="C330" s="208">
        <f>9+3</f>
        <v>12</v>
      </c>
      <c r="D330" s="208">
        <f>3+3</f>
        <v>6</v>
      </c>
      <c r="E330" s="208">
        <f>5+3</f>
        <v>8</v>
      </c>
      <c r="F330" s="208">
        <f>9+3</f>
        <v>12</v>
      </c>
      <c r="G330" s="208">
        <f>8+2</f>
        <v>10</v>
      </c>
      <c r="H330" s="208">
        <f>8+2</f>
        <v>10</v>
      </c>
      <c r="I330" s="208">
        <f>6+4</f>
        <v>10</v>
      </c>
      <c r="J330" s="208">
        <f>6</f>
        <v>6</v>
      </c>
      <c r="K330" s="208">
        <f>5</f>
        <v>5</v>
      </c>
      <c r="L330" s="562">
        <f>10+2</f>
        <v>12</v>
      </c>
      <c r="M330" s="562">
        <f>13+1</f>
        <v>14</v>
      </c>
      <c r="N330" s="562">
        <f>10+4</f>
        <v>14</v>
      </c>
      <c r="O330" s="530">
        <f t="shared" ref="O330:O337" si="160">SUM(C330:N330)</f>
        <v>119</v>
      </c>
      <c r="P330" s="531"/>
      <c r="Q330" s="531"/>
      <c r="R330" s="531"/>
      <c r="S330" s="531"/>
      <c r="T330" s="531"/>
      <c r="U330" s="531"/>
      <c r="V330" s="531"/>
      <c r="W330" s="531"/>
      <c r="X330" s="531"/>
      <c r="Y330" s="531"/>
      <c r="Z330" s="531"/>
      <c r="AA330" s="531"/>
      <c r="AB330" s="531"/>
      <c r="AC330" s="531"/>
      <c r="AD330" s="531"/>
      <c r="AE330" s="531"/>
      <c r="AF330" s="531"/>
      <c r="AG330" s="531"/>
      <c r="AH330" s="532"/>
      <c r="AI330" s="532"/>
      <c r="AJ330" s="532"/>
      <c r="AK330" s="532"/>
      <c r="AL330" s="532"/>
      <c r="AM330" s="532"/>
      <c r="AN330" s="532"/>
      <c r="AO330" s="532"/>
      <c r="AP330" s="532"/>
      <c r="AQ330" s="532"/>
      <c r="AR330" s="532"/>
      <c r="AS330" s="532"/>
      <c r="AT330" s="532"/>
      <c r="AU330" s="532"/>
      <c r="AV330" s="532"/>
      <c r="AW330" s="532"/>
      <c r="AX330" s="532"/>
      <c r="AY330" s="532"/>
      <c r="AZ330" s="532"/>
      <c r="BA330" s="532"/>
      <c r="BB330" s="532"/>
      <c r="BC330" s="532"/>
      <c r="BD330" s="532"/>
      <c r="BE330" s="532"/>
      <c r="BF330" s="532"/>
      <c r="BG330" s="532"/>
      <c r="BH330" s="532"/>
      <c r="BI330" s="532"/>
      <c r="BJ330" s="532"/>
      <c r="BK330" s="532"/>
      <c r="BL330" s="532"/>
      <c r="BM330" s="532"/>
      <c r="BN330" s="532"/>
      <c r="BO330" s="532"/>
      <c r="BP330" s="532"/>
      <c r="BQ330" s="532"/>
      <c r="BR330" s="532"/>
      <c r="BS330" s="532"/>
      <c r="BT330" s="532"/>
      <c r="BU330" s="532"/>
      <c r="BV330" s="532"/>
      <c r="BW330" s="532"/>
      <c r="BX330" s="532"/>
      <c r="BY330" s="532"/>
      <c r="BZ330" s="532"/>
      <c r="CA330" s="532"/>
      <c r="CB330" s="532"/>
      <c r="CC330" s="532"/>
      <c r="CD330" s="532"/>
      <c r="CE330" s="532"/>
      <c r="CF330" s="532"/>
      <c r="CG330" s="532"/>
      <c r="CH330" s="532"/>
      <c r="CI330" s="532"/>
      <c r="CJ330" s="532"/>
      <c r="CK330" s="532"/>
      <c r="CL330" s="532"/>
      <c r="CM330" s="532"/>
      <c r="CN330" s="532"/>
      <c r="CO330" s="532"/>
      <c r="CP330" s="532"/>
      <c r="CQ330" s="532"/>
      <c r="CR330" s="532"/>
      <c r="CS330" s="532"/>
      <c r="CT330" s="532"/>
      <c r="CU330" s="532"/>
      <c r="CV330" s="532"/>
      <c r="CW330" s="532"/>
      <c r="CX330" s="532"/>
      <c r="CY330" s="532"/>
      <c r="CZ330" s="532"/>
      <c r="DA330" s="532"/>
      <c r="DB330" s="532"/>
      <c r="DC330" s="532"/>
      <c r="DD330" s="532"/>
      <c r="DE330" s="532"/>
      <c r="DF330" s="532"/>
      <c r="DG330" s="532"/>
      <c r="DH330" s="532"/>
      <c r="DI330" s="532"/>
      <c r="DJ330" s="532"/>
      <c r="DK330" s="532"/>
      <c r="DL330" s="532"/>
      <c r="DM330" s="532"/>
      <c r="DN330" s="532"/>
      <c r="DO330" s="532"/>
      <c r="DP330" s="532"/>
      <c r="DQ330" s="532"/>
      <c r="DR330" s="532"/>
      <c r="DS330" s="532"/>
      <c r="DT330" s="532"/>
      <c r="DU330" s="532"/>
      <c r="DV330" s="532"/>
      <c r="DW330" s="532"/>
      <c r="DX330" s="532"/>
      <c r="DY330" s="532"/>
      <c r="DZ330" s="532"/>
      <c r="EA330" s="532"/>
      <c r="EB330" s="532"/>
      <c r="EC330" s="532"/>
      <c r="ED330" s="532"/>
      <c r="EE330" s="532"/>
      <c r="EF330" s="532"/>
      <c r="EG330" s="532"/>
      <c r="EH330" s="532"/>
      <c r="EI330" s="532"/>
      <c r="EJ330" s="532"/>
      <c r="EK330" s="532"/>
      <c r="EL330" s="532"/>
      <c r="EM330" s="532"/>
      <c r="EN330" s="532"/>
      <c r="EO330" s="532"/>
      <c r="EP330" s="532"/>
      <c r="EQ330" s="532"/>
      <c r="ER330" s="532"/>
      <c r="ES330" s="532"/>
      <c r="ET330" s="532"/>
      <c r="EU330" s="532"/>
      <c r="EV330" s="532"/>
      <c r="EW330" s="532"/>
      <c r="EX330" s="532"/>
      <c r="EY330" s="532"/>
      <c r="EZ330" s="532"/>
      <c r="FA330" s="532"/>
      <c r="FB330" s="532"/>
      <c r="FC330" s="532"/>
      <c r="FD330" s="532"/>
      <c r="FE330" s="532"/>
      <c r="FF330" s="532"/>
      <c r="FG330" s="532"/>
      <c r="FH330" s="532"/>
      <c r="FI330" s="532"/>
      <c r="FJ330" s="532"/>
      <c r="FK330" s="532"/>
      <c r="FL330" s="532"/>
      <c r="FM330" s="532"/>
      <c r="FN330" s="532"/>
      <c r="FO330" s="532"/>
      <c r="FP330" s="532"/>
    </row>
    <row r="331" spans="1:172" ht="12" customHeight="1" x14ac:dyDescent="0.2">
      <c r="A331" s="533" t="s">
        <v>188</v>
      </c>
      <c r="B331" s="534" t="s">
        <v>55</v>
      </c>
      <c r="C331" s="658">
        <v>2</v>
      </c>
      <c r="D331" s="208">
        <v>4</v>
      </c>
      <c r="E331" s="208">
        <v>2</v>
      </c>
      <c r="F331" s="208">
        <v>1</v>
      </c>
      <c r="G331" s="208">
        <v>1</v>
      </c>
      <c r="H331" s="208">
        <v>3</v>
      </c>
      <c r="I331" s="208">
        <v>2</v>
      </c>
      <c r="J331" s="208">
        <v>1</v>
      </c>
      <c r="K331" s="208">
        <v>0</v>
      </c>
      <c r="L331" s="562">
        <v>2</v>
      </c>
      <c r="M331" s="562">
        <v>1</v>
      </c>
      <c r="N331" s="562">
        <v>4</v>
      </c>
      <c r="O331" s="530">
        <f t="shared" si="160"/>
        <v>23</v>
      </c>
      <c r="P331" s="531"/>
      <c r="Q331" s="531"/>
      <c r="R331" s="531"/>
      <c r="S331" s="531"/>
      <c r="T331" s="531"/>
      <c r="U331" s="531"/>
      <c r="V331" s="531"/>
      <c r="W331" s="531"/>
      <c r="X331" s="531"/>
      <c r="Y331" s="531"/>
      <c r="Z331" s="531"/>
      <c r="AA331" s="531"/>
      <c r="AB331" s="531"/>
      <c r="AC331" s="531"/>
      <c r="AD331" s="531"/>
      <c r="AE331" s="531"/>
      <c r="AF331" s="531"/>
      <c r="AG331" s="531"/>
      <c r="AH331" s="532"/>
      <c r="AI331" s="532"/>
      <c r="AJ331" s="532"/>
      <c r="AK331" s="532"/>
      <c r="AL331" s="532"/>
      <c r="AM331" s="532"/>
      <c r="AN331" s="532"/>
      <c r="AO331" s="532"/>
      <c r="AP331" s="532"/>
      <c r="AQ331" s="532"/>
      <c r="AR331" s="532"/>
      <c r="AS331" s="532"/>
      <c r="AT331" s="532"/>
      <c r="AU331" s="532"/>
      <c r="AV331" s="532"/>
      <c r="AW331" s="532"/>
      <c r="AX331" s="532"/>
      <c r="AY331" s="532"/>
      <c r="AZ331" s="532"/>
      <c r="BA331" s="532"/>
      <c r="BB331" s="532"/>
      <c r="BC331" s="532"/>
      <c r="BD331" s="532"/>
      <c r="BE331" s="532"/>
      <c r="BF331" s="532"/>
      <c r="BG331" s="532"/>
      <c r="BH331" s="532"/>
      <c r="BI331" s="532"/>
      <c r="BJ331" s="532"/>
      <c r="BK331" s="532"/>
      <c r="BL331" s="532"/>
      <c r="BM331" s="532"/>
      <c r="BN331" s="532"/>
      <c r="BO331" s="532"/>
      <c r="BP331" s="532"/>
      <c r="BQ331" s="532"/>
      <c r="BR331" s="532"/>
      <c r="BS331" s="532"/>
      <c r="BT331" s="532"/>
      <c r="BU331" s="532"/>
      <c r="BV331" s="532"/>
      <c r="BW331" s="532"/>
      <c r="BX331" s="532"/>
      <c r="BY331" s="532"/>
      <c r="BZ331" s="532"/>
      <c r="CA331" s="532"/>
      <c r="CB331" s="532"/>
      <c r="CC331" s="532"/>
      <c r="CD331" s="532"/>
      <c r="CE331" s="532"/>
      <c r="CF331" s="532"/>
      <c r="CG331" s="532"/>
      <c r="CH331" s="532"/>
      <c r="CI331" s="532"/>
      <c r="CJ331" s="532"/>
      <c r="CK331" s="532"/>
      <c r="CL331" s="532"/>
      <c r="CM331" s="532"/>
      <c r="CN331" s="532"/>
      <c r="CO331" s="532"/>
      <c r="CP331" s="532"/>
      <c r="CQ331" s="532"/>
      <c r="CR331" s="532"/>
      <c r="CS331" s="532"/>
      <c r="CT331" s="532"/>
      <c r="CU331" s="532"/>
      <c r="CV331" s="532"/>
      <c r="CW331" s="532"/>
      <c r="CX331" s="532"/>
      <c r="CY331" s="532"/>
      <c r="CZ331" s="532"/>
      <c r="DA331" s="532"/>
      <c r="DB331" s="532"/>
      <c r="DC331" s="532"/>
      <c r="DD331" s="532"/>
      <c r="DE331" s="532"/>
      <c r="DF331" s="532"/>
      <c r="DG331" s="532"/>
      <c r="DH331" s="532"/>
      <c r="DI331" s="532"/>
      <c r="DJ331" s="532"/>
      <c r="DK331" s="532"/>
      <c r="DL331" s="532"/>
      <c r="DM331" s="532"/>
      <c r="DN331" s="532"/>
      <c r="DO331" s="532"/>
      <c r="DP331" s="532"/>
      <c r="DQ331" s="532"/>
      <c r="DR331" s="532"/>
      <c r="DS331" s="532"/>
      <c r="DT331" s="532"/>
      <c r="DU331" s="532"/>
      <c r="DV331" s="532"/>
      <c r="DW331" s="532"/>
      <c r="DX331" s="532"/>
      <c r="DY331" s="532"/>
      <c r="DZ331" s="532"/>
      <c r="EA331" s="532"/>
      <c r="EB331" s="532"/>
      <c r="EC331" s="532"/>
      <c r="ED331" s="532"/>
      <c r="EE331" s="532"/>
      <c r="EF331" s="532"/>
      <c r="EG331" s="532"/>
      <c r="EH331" s="532"/>
      <c r="EI331" s="532"/>
      <c r="EJ331" s="532"/>
      <c r="EK331" s="532"/>
      <c r="EL331" s="532"/>
      <c r="EM331" s="532"/>
      <c r="EN331" s="532"/>
      <c r="EO331" s="532"/>
      <c r="EP331" s="532"/>
      <c r="EQ331" s="532"/>
      <c r="ER331" s="532"/>
      <c r="ES331" s="532"/>
      <c r="ET331" s="532"/>
      <c r="EU331" s="532"/>
      <c r="EV331" s="532"/>
      <c r="EW331" s="532"/>
      <c r="EX331" s="532"/>
      <c r="EY331" s="532"/>
      <c r="EZ331" s="532"/>
      <c r="FA331" s="532"/>
      <c r="FB331" s="532"/>
      <c r="FC331" s="532"/>
      <c r="FD331" s="532"/>
      <c r="FE331" s="532"/>
      <c r="FF331" s="532"/>
      <c r="FG331" s="532"/>
      <c r="FH331" s="532"/>
      <c r="FI331" s="532"/>
      <c r="FJ331" s="532"/>
      <c r="FK331" s="532"/>
      <c r="FL331" s="532"/>
      <c r="FM331" s="532"/>
      <c r="FN331" s="532"/>
      <c r="FO331" s="532"/>
      <c r="FP331" s="532"/>
    </row>
    <row r="332" spans="1:172" ht="12" customHeight="1" x14ac:dyDescent="0.2">
      <c r="A332" s="533" t="s">
        <v>189</v>
      </c>
      <c r="B332" s="534"/>
      <c r="C332" s="658">
        <v>6</v>
      </c>
      <c r="D332" s="658">
        <v>2</v>
      </c>
      <c r="E332" s="658">
        <v>8</v>
      </c>
      <c r="F332" s="658">
        <v>3</v>
      </c>
      <c r="G332" s="658">
        <v>1</v>
      </c>
      <c r="H332" s="658">
        <v>5</v>
      </c>
      <c r="I332" s="658">
        <v>6</v>
      </c>
      <c r="J332" s="658">
        <v>2</v>
      </c>
      <c r="K332" s="658">
        <v>4</v>
      </c>
      <c r="L332" s="562">
        <v>3</v>
      </c>
      <c r="M332" s="562">
        <v>3</v>
      </c>
      <c r="N332" s="562">
        <v>5</v>
      </c>
      <c r="O332" s="530">
        <f t="shared" si="160"/>
        <v>48</v>
      </c>
      <c r="P332" s="531"/>
      <c r="Q332" s="531"/>
      <c r="R332" s="531"/>
      <c r="S332" s="531"/>
      <c r="T332" s="531"/>
      <c r="U332" s="531"/>
      <c r="V332" s="531"/>
      <c r="W332" s="531"/>
      <c r="X332" s="531"/>
      <c r="Y332" s="531"/>
      <c r="Z332" s="531"/>
      <c r="AA332" s="531"/>
      <c r="AB332" s="531"/>
      <c r="AC332" s="531"/>
      <c r="AD332" s="531"/>
      <c r="AE332" s="531"/>
      <c r="AF332" s="531"/>
      <c r="AG332" s="531"/>
      <c r="AH332" s="532"/>
      <c r="AI332" s="532"/>
      <c r="AJ332" s="532"/>
      <c r="AK332" s="532"/>
      <c r="AL332" s="532"/>
      <c r="AM332" s="532"/>
      <c r="AN332" s="532"/>
      <c r="AO332" s="532"/>
      <c r="AP332" s="532"/>
      <c r="AQ332" s="532"/>
      <c r="AR332" s="532"/>
      <c r="AS332" s="532"/>
      <c r="AT332" s="532"/>
      <c r="AU332" s="532"/>
      <c r="AV332" s="532"/>
      <c r="AW332" s="532"/>
      <c r="AX332" s="532"/>
      <c r="AY332" s="532"/>
      <c r="AZ332" s="532"/>
      <c r="BA332" s="532"/>
      <c r="BB332" s="532"/>
      <c r="BC332" s="532"/>
      <c r="BD332" s="532"/>
      <c r="BE332" s="532"/>
      <c r="BF332" s="532"/>
      <c r="BG332" s="532"/>
      <c r="BH332" s="532"/>
      <c r="BI332" s="532"/>
      <c r="BJ332" s="532"/>
      <c r="BK332" s="532"/>
      <c r="BL332" s="532"/>
      <c r="BM332" s="532"/>
      <c r="BN332" s="532"/>
      <c r="BO332" s="532"/>
      <c r="BP332" s="532"/>
      <c r="BQ332" s="532"/>
      <c r="BR332" s="532"/>
      <c r="BS332" s="532"/>
      <c r="BT332" s="532"/>
      <c r="BU332" s="532"/>
      <c r="BV332" s="532"/>
      <c r="BW332" s="532"/>
      <c r="BX332" s="532"/>
      <c r="BY332" s="532"/>
      <c r="BZ332" s="532"/>
      <c r="CA332" s="532"/>
      <c r="CB332" s="532"/>
      <c r="CC332" s="532"/>
      <c r="CD332" s="532"/>
      <c r="CE332" s="532"/>
      <c r="CF332" s="532"/>
      <c r="CG332" s="532"/>
      <c r="CH332" s="532"/>
      <c r="CI332" s="532"/>
      <c r="CJ332" s="532"/>
      <c r="CK332" s="532"/>
      <c r="CL332" s="532"/>
      <c r="CM332" s="532"/>
      <c r="CN332" s="532"/>
      <c r="CO332" s="532"/>
      <c r="CP332" s="532"/>
      <c r="CQ332" s="532"/>
      <c r="CR332" s="532"/>
      <c r="CS332" s="532"/>
      <c r="CT332" s="532"/>
      <c r="CU332" s="532"/>
      <c r="CV332" s="532"/>
      <c r="CW332" s="532"/>
      <c r="CX332" s="532"/>
      <c r="CY332" s="532"/>
      <c r="CZ332" s="532"/>
      <c r="DA332" s="532"/>
      <c r="DB332" s="532"/>
      <c r="DC332" s="532"/>
      <c r="DD332" s="532"/>
      <c r="DE332" s="532"/>
      <c r="DF332" s="532"/>
      <c r="DG332" s="532"/>
      <c r="DH332" s="532"/>
      <c r="DI332" s="532"/>
      <c r="DJ332" s="532"/>
      <c r="DK332" s="532"/>
      <c r="DL332" s="532"/>
      <c r="DM332" s="532"/>
      <c r="DN332" s="532"/>
      <c r="DO332" s="532"/>
      <c r="DP332" s="532"/>
      <c r="DQ332" s="532"/>
      <c r="DR332" s="532"/>
      <c r="DS332" s="532"/>
      <c r="DT332" s="532"/>
      <c r="DU332" s="532"/>
      <c r="DV332" s="532"/>
      <c r="DW332" s="532"/>
      <c r="DX332" s="532"/>
      <c r="DY332" s="532"/>
      <c r="DZ332" s="532"/>
      <c r="EA332" s="532"/>
      <c r="EB332" s="532"/>
      <c r="EC332" s="532"/>
      <c r="ED332" s="532"/>
      <c r="EE332" s="532"/>
      <c r="EF332" s="532"/>
      <c r="EG332" s="532"/>
      <c r="EH332" s="532"/>
      <c r="EI332" s="532"/>
      <c r="EJ332" s="532"/>
      <c r="EK332" s="532"/>
      <c r="EL332" s="532"/>
      <c r="EM332" s="532"/>
      <c r="EN332" s="532"/>
      <c r="EO332" s="532"/>
      <c r="EP332" s="532"/>
      <c r="EQ332" s="532"/>
      <c r="ER332" s="532"/>
      <c r="ES332" s="532"/>
      <c r="ET332" s="532"/>
      <c r="EU332" s="532"/>
      <c r="EV332" s="532"/>
      <c r="EW332" s="532"/>
      <c r="EX332" s="532"/>
      <c r="EY332" s="532"/>
      <c r="EZ332" s="532"/>
      <c r="FA332" s="532"/>
      <c r="FB332" s="532"/>
      <c r="FC332" s="532"/>
      <c r="FD332" s="532"/>
      <c r="FE332" s="532"/>
      <c r="FF332" s="532"/>
      <c r="FG332" s="532"/>
      <c r="FH332" s="532"/>
      <c r="FI332" s="532"/>
      <c r="FJ332" s="532"/>
      <c r="FK332" s="532"/>
      <c r="FL332" s="532"/>
      <c r="FM332" s="532"/>
      <c r="FN332" s="532"/>
      <c r="FO332" s="532"/>
      <c r="FP332" s="532"/>
    </row>
    <row r="333" spans="1:172" ht="12" customHeight="1" x14ac:dyDescent="0.2">
      <c r="A333" s="533" t="s">
        <v>190</v>
      </c>
      <c r="B333" s="534"/>
      <c r="C333" s="658">
        <v>1</v>
      </c>
      <c r="D333" s="658">
        <v>0</v>
      </c>
      <c r="E333" s="658">
        <v>1</v>
      </c>
      <c r="F333" s="658">
        <v>0</v>
      </c>
      <c r="G333" s="658">
        <v>2</v>
      </c>
      <c r="H333" s="658">
        <v>3</v>
      </c>
      <c r="I333" s="658">
        <v>1</v>
      </c>
      <c r="J333" s="658">
        <v>0</v>
      </c>
      <c r="K333" s="658">
        <v>1</v>
      </c>
      <c r="L333" s="562">
        <v>3</v>
      </c>
      <c r="M333" s="562">
        <v>0</v>
      </c>
      <c r="N333" s="562">
        <v>2</v>
      </c>
      <c r="O333" s="530">
        <f t="shared" si="160"/>
        <v>14</v>
      </c>
      <c r="P333" s="531"/>
      <c r="Q333" s="531"/>
      <c r="R333" s="531"/>
      <c r="S333" s="531"/>
      <c r="T333" s="531"/>
      <c r="U333" s="531"/>
      <c r="V333" s="531"/>
      <c r="W333" s="531"/>
      <c r="X333" s="531"/>
      <c r="Y333" s="531"/>
      <c r="Z333" s="531"/>
      <c r="AA333" s="531"/>
      <c r="AB333" s="531"/>
      <c r="AC333" s="531"/>
      <c r="AD333" s="531"/>
      <c r="AE333" s="531"/>
      <c r="AF333" s="531"/>
      <c r="AG333" s="531"/>
      <c r="AH333" s="532"/>
      <c r="AI333" s="532"/>
      <c r="AJ333" s="532"/>
      <c r="AK333" s="532"/>
      <c r="AL333" s="532"/>
      <c r="AM333" s="532"/>
      <c r="AN333" s="532"/>
      <c r="AO333" s="532"/>
      <c r="AP333" s="532"/>
      <c r="AQ333" s="532"/>
      <c r="AR333" s="532"/>
      <c r="AS333" s="532"/>
      <c r="AT333" s="532"/>
      <c r="AU333" s="532"/>
      <c r="AV333" s="532"/>
      <c r="AW333" s="532"/>
      <c r="AX333" s="532"/>
      <c r="AY333" s="532"/>
      <c r="AZ333" s="532"/>
      <c r="BA333" s="532"/>
      <c r="BB333" s="532"/>
      <c r="BC333" s="532"/>
      <c r="BD333" s="532"/>
      <c r="BE333" s="532"/>
      <c r="BF333" s="532"/>
      <c r="BG333" s="532"/>
      <c r="BH333" s="532"/>
      <c r="BI333" s="532"/>
      <c r="BJ333" s="532"/>
      <c r="BK333" s="532"/>
      <c r="BL333" s="532"/>
      <c r="BM333" s="532"/>
      <c r="BN333" s="532"/>
      <c r="BO333" s="532"/>
      <c r="BP333" s="532"/>
      <c r="BQ333" s="532"/>
      <c r="BR333" s="532"/>
      <c r="BS333" s="532"/>
      <c r="BT333" s="532"/>
      <c r="BU333" s="532"/>
      <c r="BV333" s="532"/>
      <c r="BW333" s="532"/>
      <c r="BX333" s="532"/>
      <c r="BY333" s="532"/>
      <c r="BZ333" s="532"/>
      <c r="CA333" s="532"/>
      <c r="CB333" s="532"/>
      <c r="CC333" s="532"/>
      <c r="CD333" s="532"/>
      <c r="CE333" s="532"/>
      <c r="CF333" s="532"/>
      <c r="CG333" s="532"/>
      <c r="CH333" s="532"/>
      <c r="CI333" s="532"/>
      <c r="CJ333" s="532"/>
      <c r="CK333" s="532"/>
      <c r="CL333" s="532"/>
      <c r="CM333" s="532"/>
      <c r="CN333" s="532"/>
      <c r="CO333" s="532"/>
      <c r="CP333" s="532"/>
      <c r="CQ333" s="532"/>
      <c r="CR333" s="532"/>
      <c r="CS333" s="532"/>
      <c r="CT333" s="532"/>
      <c r="CU333" s="532"/>
      <c r="CV333" s="532"/>
      <c r="CW333" s="532"/>
      <c r="CX333" s="532"/>
      <c r="CY333" s="532"/>
      <c r="CZ333" s="532"/>
      <c r="DA333" s="532"/>
      <c r="DB333" s="532"/>
      <c r="DC333" s="532"/>
      <c r="DD333" s="532"/>
      <c r="DE333" s="532"/>
      <c r="DF333" s="532"/>
      <c r="DG333" s="532"/>
      <c r="DH333" s="532"/>
      <c r="DI333" s="532"/>
      <c r="DJ333" s="532"/>
      <c r="DK333" s="532"/>
      <c r="DL333" s="532"/>
      <c r="DM333" s="532"/>
      <c r="DN333" s="532"/>
      <c r="DO333" s="532"/>
      <c r="DP333" s="532"/>
      <c r="DQ333" s="532"/>
      <c r="DR333" s="532"/>
      <c r="DS333" s="532"/>
      <c r="DT333" s="532"/>
      <c r="DU333" s="532"/>
      <c r="DV333" s="532"/>
      <c r="DW333" s="532"/>
      <c r="DX333" s="532"/>
      <c r="DY333" s="532"/>
      <c r="DZ333" s="532"/>
      <c r="EA333" s="532"/>
      <c r="EB333" s="532"/>
      <c r="EC333" s="532"/>
      <c r="ED333" s="532"/>
      <c r="EE333" s="532"/>
      <c r="EF333" s="532"/>
      <c r="EG333" s="532"/>
      <c r="EH333" s="532"/>
      <c r="EI333" s="532"/>
      <c r="EJ333" s="532"/>
      <c r="EK333" s="532"/>
      <c r="EL333" s="532"/>
      <c r="EM333" s="532"/>
      <c r="EN333" s="532"/>
      <c r="EO333" s="532"/>
      <c r="EP333" s="532"/>
      <c r="EQ333" s="532"/>
      <c r="ER333" s="532"/>
      <c r="ES333" s="532"/>
      <c r="ET333" s="532"/>
      <c r="EU333" s="532"/>
      <c r="EV333" s="532"/>
      <c r="EW333" s="532"/>
      <c r="EX333" s="532"/>
      <c r="EY333" s="532"/>
      <c r="EZ333" s="532"/>
      <c r="FA333" s="532"/>
      <c r="FB333" s="532"/>
      <c r="FC333" s="532"/>
      <c r="FD333" s="532"/>
      <c r="FE333" s="532"/>
      <c r="FF333" s="532"/>
      <c r="FG333" s="532"/>
      <c r="FH333" s="532"/>
      <c r="FI333" s="532"/>
      <c r="FJ333" s="532"/>
      <c r="FK333" s="532"/>
      <c r="FL333" s="532"/>
      <c r="FM333" s="532"/>
      <c r="FN333" s="532"/>
      <c r="FO333" s="532"/>
      <c r="FP333" s="532"/>
    </row>
    <row r="334" spans="1:172" ht="12" customHeight="1" x14ac:dyDescent="0.2">
      <c r="A334" s="533" t="s">
        <v>191</v>
      </c>
      <c r="B334" s="534"/>
      <c r="C334" s="658">
        <v>1</v>
      </c>
      <c r="D334" s="658">
        <v>0</v>
      </c>
      <c r="E334" s="658">
        <v>1</v>
      </c>
      <c r="F334" s="658">
        <v>0</v>
      </c>
      <c r="G334" s="658">
        <v>5</v>
      </c>
      <c r="H334" s="658">
        <v>1</v>
      </c>
      <c r="I334" s="658">
        <v>5</v>
      </c>
      <c r="J334" s="658">
        <v>2</v>
      </c>
      <c r="K334" s="658">
        <v>1</v>
      </c>
      <c r="L334" s="562">
        <v>1</v>
      </c>
      <c r="M334" s="562">
        <v>4</v>
      </c>
      <c r="N334" s="562">
        <v>1</v>
      </c>
      <c r="O334" s="530">
        <f t="shared" si="160"/>
        <v>22</v>
      </c>
      <c r="P334" s="531"/>
      <c r="Q334" s="531"/>
      <c r="R334" s="531"/>
      <c r="S334" s="531"/>
      <c r="T334" s="531"/>
      <c r="U334" s="531"/>
      <c r="V334" s="531"/>
      <c r="W334" s="531"/>
      <c r="X334" s="531"/>
      <c r="Y334" s="531"/>
      <c r="Z334" s="531"/>
      <c r="AA334" s="531"/>
      <c r="AB334" s="531"/>
      <c r="AC334" s="531"/>
      <c r="AD334" s="531"/>
      <c r="AE334" s="531"/>
      <c r="AF334" s="531"/>
      <c r="AG334" s="531"/>
      <c r="AH334" s="532"/>
      <c r="AI334" s="532"/>
      <c r="AJ334" s="532"/>
      <c r="AK334" s="532"/>
      <c r="AL334" s="532"/>
      <c r="AM334" s="532"/>
      <c r="AN334" s="532"/>
      <c r="AO334" s="532"/>
      <c r="AP334" s="532"/>
      <c r="AQ334" s="532"/>
      <c r="AR334" s="532"/>
      <c r="AS334" s="532"/>
      <c r="AT334" s="532"/>
      <c r="AU334" s="532"/>
      <c r="AV334" s="532"/>
      <c r="AW334" s="532"/>
      <c r="AX334" s="532"/>
      <c r="AY334" s="532"/>
      <c r="AZ334" s="532"/>
      <c r="BA334" s="532"/>
      <c r="BB334" s="532"/>
      <c r="BC334" s="532"/>
      <c r="BD334" s="532"/>
      <c r="BE334" s="532"/>
      <c r="BF334" s="532"/>
      <c r="BG334" s="532"/>
      <c r="BH334" s="532"/>
      <c r="BI334" s="532"/>
      <c r="BJ334" s="532"/>
      <c r="BK334" s="532"/>
      <c r="BL334" s="532"/>
      <c r="BM334" s="532"/>
      <c r="BN334" s="532"/>
      <c r="BO334" s="532"/>
      <c r="BP334" s="532"/>
      <c r="BQ334" s="532"/>
      <c r="BR334" s="532"/>
      <c r="BS334" s="532"/>
      <c r="BT334" s="532"/>
      <c r="BU334" s="532"/>
      <c r="BV334" s="532"/>
      <c r="BW334" s="532"/>
      <c r="BX334" s="532"/>
      <c r="BY334" s="532"/>
      <c r="BZ334" s="532"/>
      <c r="CA334" s="532"/>
      <c r="CB334" s="532"/>
      <c r="CC334" s="532"/>
      <c r="CD334" s="532"/>
      <c r="CE334" s="532"/>
      <c r="CF334" s="532"/>
      <c r="CG334" s="532"/>
      <c r="CH334" s="532"/>
      <c r="CI334" s="532"/>
      <c r="CJ334" s="532"/>
      <c r="CK334" s="532"/>
      <c r="CL334" s="532"/>
      <c r="CM334" s="532"/>
      <c r="CN334" s="532"/>
      <c r="CO334" s="532"/>
      <c r="CP334" s="532"/>
      <c r="CQ334" s="532"/>
      <c r="CR334" s="532"/>
      <c r="CS334" s="532"/>
      <c r="CT334" s="532"/>
      <c r="CU334" s="532"/>
      <c r="CV334" s="532"/>
      <c r="CW334" s="532"/>
      <c r="CX334" s="532"/>
      <c r="CY334" s="532"/>
      <c r="CZ334" s="532"/>
      <c r="DA334" s="532"/>
      <c r="DB334" s="532"/>
      <c r="DC334" s="532"/>
      <c r="DD334" s="532"/>
      <c r="DE334" s="532"/>
      <c r="DF334" s="532"/>
      <c r="DG334" s="532"/>
      <c r="DH334" s="532"/>
      <c r="DI334" s="532"/>
      <c r="DJ334" s="532"/>
      <c r="DK334" s="532"/>
      <c r="DL334" s="532"/>
      <c r="DM334" s="532"/>
      <c r="DN334" s="532"/>
      <c r="DO334" s="532"/>
      <c r="DP334" s="532"/>
      <c r="DQ334" s="532"/>
      <c r="DR334" s="532"/>
      <c r="DS334" s="532"/>
      <c r="DT334" s="532"/>
      <c r="DU334" s="532"/>
      <c r="DV334" s="532"/>
      <c r="DW334" s="532"/>
      <c r="DX334" s="532"/>
      <c r="DY334" s="532"/>
      <c r="DZ334" s="532"/>
      <c r="EA334" s="532"/>
      <c r="EB334" s="532"/>
      <c r="EC334" s="532"/>
      <c r="ED334" s="532"/>
      <c r="EE334" s="532"/>
      <c r="EF334" s="532"/>
      <c r="EG334" s="532"/>
      <c r="EH334" s="532"/>
      <c r="EI334" s="532"/>
      <c r="EJ334" s="532"/>
      <c r="EK334" s="532"/>
      <c r="EL334" s="532"/>
      <c r="EM334" s="532"/>
      <c r="EN334" s="532"/>
      <c r="EO334" s="532"/>
      <c r="EP334" s="532"/>
      <c r="EQ334" s="532"/>
      <c r="ER334" s="532"/>
      <c r="ES334" s="532"/>
      <c r="ET334" s="532"/>
      <c r="EU334" s="532"/>
      <c r="EV334" s="532"/>
      <c r="EW334" s="532"/>
      <c r="EX334" s="532"/>
      <c r="EY334" s="532"/>
      <c r="EZ334" s="532"/>
      <c r="FA334" s="532"/>
      <c r="FB334" s="532"/>
      <c r="FC334" s="532"/>
      <c r="FD334" s="532"/>
      <c r="FE334" s="532"/>
      <c r="FF334" s="532"/>
      <c r="FG334" s="532"/>
      <c r="FH334" s="532"/>
      <c r="FI334" s="532"/>
      <c r="FJ334" s="532"/>
      <c r="FK334" s="532"/>
      <c r="FL334" s="532"/>
      <c r="FM334" s="532"/>
      <c r="FN334" s="532"/>
      <c r="FO334" s="532"/>
      <c r="FP334" s="532"/>
    </row>
    <row r="335" spans="1:172" ht="12" customHeight="1" x14ac:dyDescent="0.2">
      <c r="A335" s="533" t="s">
        <v>930</v>
      </c>
      <c r="B335" s="534"/>
      <c r="C335" s="658">
        <v>6</v>
      </c>
      <c r="D335" s="658">
        <v>5</v>
      </c>
      <c r="E335" s="658">
        <v>9</v>
      </c>
      <c r="F335" s="658">
        <v>6</v>
      </c>
      <c r="G335" s="658">
        <v>6</v>
      </c>
      <c r="H335" s="658">
        <v>10</v>
      </c>
      <c r="I335" s="658">
        <v>4</v>
      </c>
      <c r="J335" s="658">
        <v>7</v>
      </c>
      <c r="K335" s="658">
        <v>6</v>
      </c>
      <c r="L335" s="562">
        <v>11</v>
      </c>
      <c r="M335" s="562">
        <v>4</v>
      </c>
      <c r="N335" s="562">
        <v>10</v>
      </c>
      <c r="O335" s="530">
        <f t="shared" si="160"/>
        <v>84</v>
      </c>
      <c r="P335" s="531"/>
      <c r="Q335" s="531"/>
      <c r="R335" s="531"/>
      <c r="S335" s="531"/>
      <c r="T335" s="531"/>
      <c r="U335" s="531"/>
      <c r="V335" s="531"/>
      <c r="W335" s="531"/>
      <c r="X335" s="531"/>
      <c r="Y335" s="531"/>
      <c r="Z335" s="531"/>
      <c r="AA335" s="531"/>
      <c r="AB335" s="531"/>
      <c r="AC335" s="531"/>
      <c r="AD335" s="531"/>
      <c r="AE335" s="531"/>
      <c r="AF335" s="531"/>
      <c r="AG335" s="531"/>
      <c r="AH335" s="532"/>
      <c r="AI335" s="532"/>
      <c r="AJ335" s="532"/>
      <c r="AK335" s="532"/>
      <c r="AL335" s="532"/>
      <c r="AM335" s="532"/>
      <c r="AN335" s="532"/>
      <c r="AO335" s="532"/>
      <c r="AP335" s="532"/>
      <c r="AQ335" s="532"/>
      <c r="AR335" s="532"/>
      <c r="AS335" s="532"/>
      <c r="AT335" s="532"/>
      <c r="AU335" s="532"/>
      <c r="AV335" s="532"/>
      <c r="AW335" s="532"/>
      <c r="AX335" s="532"/>
      <c r="AY335" s="532"/>
      <c r="AZ335" s="532"/>
      <c r="BA335" s="532"/>
      <c r="BB335" s="532"/>
      <c r="BC335" s="532"/>
      <c r="BD335" s="532"/>
      <c r="BE335" s="532"/>
      <c r="BF335" s="532"/>
      <c r="BG335" s="532"/>
      <c r="BH335" s="532"/>
      <c r="BI335" s="532"/>
      <c r="BJ335" s="532"/>
      <c r="BK335" s="532"/>
      <c r="BL335" s="532"/>
      <c r="BM335" s="532"/>
      <c r="BN335" s="532"/>
      <c r="BO335" s="532"/>
      <c r="BP335" s="532"/>
      <c r="BQ335" s="532"/>
      <c r="BR335" s="532"/>
      <c r="BS335" s="532"/>
      <c r="BT335" s="532"/>
      <c r="BU335" s="532"/>
      <c r="BV335" s="532"/>
      <c r="BW335" s="532"/>
      <c r="BX335" s="532"/>
      <c r="BY335" s="532"/>
      <c r="BZ335" s="532"/>
      <c r="CA335" s="532"/>
      <c r="CB335" s="532"/>
      <c r="CC335" s="532"/>
      <c r="CD335" s="532"/>
      <c r="CE335" s="532"/>
      <c r="CF335" s="532"/>
      <c r="CG335" s="532"/>
      <c r="CH335" s="532"/>
      <c r="CI335" s="532"/>
      <c r="CJ335" s="532"/>
      <c r="CK335" s="532"/>
      <c r="CL335" s="532"/>
      <c r="CM335" s="532"/>
      <c r="CN335" s="532"/>
      <c r="CO335" s="532"/>
      <c r="CP335" s="532"/>
      <c r="CQ335" s="532"/>
      <c r="CR335" s="532"/>
      <c r="CS335" s="532"/>
      <c r="CT335" s="532"/>
      <c r="CU335" s="532"/>
      <c r="CV335" s="532"/>
      <c r="CW335" s="532"/>
      <c r="CX335" s="532"/>
      <c r="CY335" s="532"/>
      <c r="CZ335" s="532"/>
      <c r="DA335" s="532"/>
      <c r="DB335" s="532"/>
      <c r="DC335" s="532"/>
      <c r="DD335" s="532"/>
      <c r="DE335" s="532"/>
      <c r="DF335" s="532"/>
      <c r="DG335" s="532"/>
      <c r="DH335" s="532"/>
      <c r="DI335" s="532"/>
      <c r="DJ335" s="532"/>
      <c r="DK335" s="532"/>
      <c r="DL335" s="532"/>
      <c r="DM335" s="532"/>
      <c r="DN335" s="532"/>
      <c r="DO335" s="532"/>
      <c r="DP335" s="532"/>
      <c r="DQ335" s="532"/>
      <c r="DR335" s="532"/>
      <c r="DS335" s="532"/>
      <c r="DT335" s="532"/>
      <c r="DU335" s="532"/>
      <c r="DV335" s="532"/>
      <c r="DW335" s="532"/>
      <c r="DX335" s="532"/>
      <c r="DY335" s="532"/>
      <c r="DZ335" s="532"/>
      <c r="EA335" s="532"/>
      <c r="EB335" s="532"/>
      <c r="EC335" s="532"/>
      <c r="ED335" s="532"/>
      <c r="EE335" s="532"/>
      <c r="EF335" s="532"/>
      <c r="EG335" s="532"/>
      <c r="EH335" s="532"/>
      <c r="EI335" s="532"/>
      <c r="EJ335" s="532"/>
      <c r="EK335" s="532"/>
      <c r="EL335" s="532"/>
      <c r="EM335" s="532"/>
      <c r="EN335" s="532"/>
      <c r="EO335" s="532"/>
      <c r="EP335" s="532"/>
      <c r="EQ335" s="532"/>
      <c r="ER335" s="532"/>
      <c r="ES335" s="532"/>
      <c r="ET335" s="532"/>
      <c r="EU335" s="532"/>
      <c r="EV335" s="532"/>
      <c r="EW335" s="532"/>
      <c r="EX335" s="532"/>
      <c r="EY335" s="532"/>
      <c r="EZ335" s="532"/>
      <c r="FA335" s="532"/>
      <c r="FB335" s="532"/>
      <c r="FC335" s="532"/>
      <c r="FD335" s="532"/>
      <c r="FE335" s="532"/>
      <c r="FF335" s="532"/>
      <c r="FG335" s="532"/>
      <c r="FH335" s="532"/>
      <c r="FI335" s="532"/>
      <c r="FJ335" s="532"/>
      <c r="FK335" s="532"/>
      <c r="FL335" s="532"/>
      <c r="FM335" s="532"/>
      <c r="FN335" s="532"/>
      <c r="FO335" s="532"/>
      <c r="FP335" s="532"/>
    </row>
    <row r="336" spans="1:172" ht="12" customHeight="1" x14ac:dyDescent="0.2">
      <c r="A336" s="533" t="s">
        <v>931</v>
      </c>
      <c r="B336" s="534"/>
      <c r="C336" s="658">
        <v>0</v>
      </c>
      <c r="D336" s="658">
        <v>0</v>
      </c>
      <c r="E336" s="658">
        <v>0</v>
      </c>
      <c r="F336" s="658">
        <v>0</v>
      </c>
      <c r="G336" s="658">
        <v>0</v>
      </c>
      <c r="H336" s="658">
        <v>0</v>
      </c>
      <c r="I336" s="658">
        <v>0</v>
      </c>
      <c r="J336" s="658">
        <v>0</v>
      </c>
      <c r="K336" s="658">
        <v>0</v>
      </c>
      <c r="L336" s="562">
        <v>0</v>
      </c>
      <c r="M336" s="562">
        <v>1</v>
      </c>
      <c r="N336" s="562">
        <v>0</v>
      </c>
      <c r="O336" s="530">
        <f t="shared" si="160"/>
        <v>1</v>
      </c>
      <c r="P336" s="531"/>
      <c r="Q336" s="531"/>
      <c r="R336" s="531"/>
      <c r="S336" s="531"/>
      <c r="T336" s="531"/>
      <c r="U336" s="531"/>
      <c r="V336" s="531"/>
      <c r="W336" s="531"/>
      <c r="X336" s="531"/>
      <c r="Y336" s="531"/>
      <c r="Z336" s="531"/>
      <c r="AA336" s="531"/>
      <c r="AB336" s="531"/>
      <c r="AC336" s="531"/>
      <c r="AD336" s="531"/>
      <c r="AE336" s="531"/>
      <c r="AF336" s="531"/>
      <c r="AG336" s="531"/>
      <c r="AH336" s="532"/>
      <c r="AI336" s="532"/>
      <c r="AJ336" s="532"/>
      <c r="AK336" s="532"/>
      <c r="AL336" s="532"/>
      <c r="AM336" s="532"/>
      <c r="AN336" s="532"/>
      <c r="AO336" s="532"/>
      <c r="AP336" s="532"/>
      <c r="AQ336" s="532"/>
      <c r="AR336" s="532"/>
      <c r="AS336" s="532"/>
      <c r="AT336" s="532"/>
      <c r="AU336" s="532"/>
      <c r="AV336" s="532"/>
      <c r="AW336" s="532"/>
      <c r="AX336" s="532"/>
      <c r="AY336" s="532"/>
      <c r="AZ336" s="532"/>
      <c r="BA336" s="532"/>
      <c r="BB336" s="532"/>
      <c r="BC336" s="532"/>
      <c r="BD336" s="532"/>
      <c r="BE336" s="532"/>
      <c r="BF336" s="532"/>
      <c r="BG336" s="532"/>
      <c r="BH336" s="532"/>
      <c r="BI336" s="532"/>
      <c r="BJ336" s="532"/>
      <c r="BK336" s="532"/>
      <c r="BL336" s="532"/>
      <c r="BM336" s="532"/>
      <c r="BN336" s="532"/>
      <c r="BO336" s="532"/>
      <c r="BP336" s="532"/>
      <c r="BQ336" s="532"/>
      <c r="BR336" s="532"/>
      <c r="BS336" s="532"/>
      <c r="BT336" s="532"/>
      <c r="BU336" s="532"/>
      <c r="BV336" s="532"/>
      <c r="BW336" s="532"/>
      <c r="BX336" s="532"/>
      <c r="BY336" s="532"/>
      <c r="BZ336" s="532"/>
      <c r="CA336" s="532"/>
      <c r="CB336" s="532"/>
      <c r="CC336" s="532"/>
      <c r="CD336" s="532"/>
      <c r="CE336" s="532"/>
      <c r="CF336" s="532"/>
      <c r="CG336" s="532"/>
      <c r="CH336" s="532"/>
      <c r="CI336" s="532"/>
      <c r="CJ336" s="532"/>
      <c r="CK336" s="532"/>
      <c r="CL336" s="532"/>
      <c r="CM336" s="532"/>
      <c r="CN336" s="532"/>
      <c r="CO336" s="532"/>
      <c r="CP336" s="532"/>
      <c r="CQ336" s="532"/>
      <c r="CR336" s="532"/>
      <c r="CS336" s="532"/>
      <c r="CT336" s="532"/>
      <c r="CU336" s="532"/>
      <c r="CV336" s="532"/>
      <c r="CW336" s="532"/>
      <c r="CX336" s="532"/>
      <c r="CY336" s="532"/>
      <c r="CZ336" s="532"/>
      <c r="DA336" s="532"/>
      <c r="DB336" s="532"/>
      <c r="DC336" s="532"/>
      <c r="DD336" s="532"/>
      <c r="DE336" s="532"/>
      <c r="DF336" s="532"/>
      <c r="DG336" s="532"/>
      <c r="DH336" s="532"/>
      <c r="DI336" s="532"/>
      <c r="DJ336" s="532"/>
      <c r="DK336" s="532"/>
      <c r="DL336" s="532"/>
      <c r="DM336" s="532"/>
      <c r="DN336" s="532"/>
      <c r="DO336" s="532"/>
      <c r="DP336" s="532"/>
      <c r="DQ336" s="532"/>
      <c r="DR336" s="532"/>
      <c r="DS336" s="532"/>
      <c r="DT336" s="532"/>
      <c r="DU336" s="532"/>
      <c r="DV336" s="532"/>
      <c r="DW336" s="532"/>
      <c r="DX336" s="532"/>
      <c r="DY336" s="532"/>
      <c r="DZ336" s="532"/>
      <c r="EA336" s="532"/>
      <c r="EB336" s="532"/>
      <c r="EC336" s="532"/>
      <c r="ED336" s="532"/>
      <c r="EE336" s="532"/>
      <c r="EF336" s="532"/>
      <c r="EG336" s="532"/>
      <c r="EH336" s="532"/>
      <c r="EI336" s="532"/>
      <c r="EJ336" s="532"/>
      <c r="EK336" s="532"/>
      <c r="EL336" s="532"/>
      <c r="EM336" s="532"/>
      <c r="EN336" s="532"/>
      <c r="EO336" s="532"/>
      <c r="EP336" s="532"/>
      <c r="EQ336" s="532"/>
      <c r="ER336" s="532"/>
      <c r="ES336" s="532"/>
      <c r="ET336" s="532"/>
      <c r="EU336" s="532"/>
      <c r="EV336" s="532"/>
      <c r="EW336" s="532"/>
      <c r="EX336" s="532"/>
      <c r="EY336" s="532"/>
      <c r="EZ336" s="532"/>
      <c r="FA336" s="532"/>
      <c r="FB336" s="532"/>
      <c r="FC336" s="532"/>
      <c r="FD336" s="532"/>
      <c r="FE336" s="532"/>
      <c r="FF336" s="532"/>
      <c r="FG336" s="532"/>
      <c r="FH336" s="532"/>
      <c r="FI336" s="532"/>
      <c r="FJ336" s="532"/>
      <c r="FK336" s="532"/>
      <c r="FL336" s="532"/>
      <c r="FM336" s="532"/>
      <c r="FN336" s="532"/>
      <c r="FO336" s="532"/>
      <c r="FP336" s="532"/>
    </row>
    <row r="337" spans="1:172" ht="12" customHeight="1" x14ac:dyDescent="0.2">
      <c r="A337" s="533" t="s">
        <v>962</v>
      </c>
      <c r="B337" s="534"/>
      <c r="C337" s="658">
        <v>8</v>
      </c>
      <c r="D337" s="658">
        <v>11</v>
      </c>
      <c r="E337" s="658">
        <v>11</v>
      </c>
      <c r="F337" s="658">
        <v>11</v>
      </c>
      <c r="G337" s="658">
        <v>4</v>
      </c>
      <c r="H337" s="658">
        <v>10</v>
      </c>
      <c r="I337" s="658">
        <v>8</v>
      </c>
      <c r="J337" s="658">
        <v>3</v>
      </c>
      <c r="K337" s="658">
        <v>9</v>
      </c>
      <c r="L337" s="562">
        <v>12</v>
      </c>
      <c r="M337" s="562">
        <v>13</v>
      </c>
      <c r="N337" s="562">
        <v>6</v>
      </c>
      <c r="O337" s="530">
        <f t="shared" si="160"/>
        <v>106</v>
      </c>
      <c r="P337" s="531"/>
      <c r="Q337" s="531"/>
      <c r="R337" s="531"/>
      <c r="S337" s="531"/>
      <c r="T337" s="531"/>
      <c r="U337" s="531"/>
      <c r="V337" s="531"/>
      <c r="W337" s="531"/>
      <c r="X337" s="531"/>
      <c r="Y337" s="531"/>
      <c r="Z337" s="531"/>
      <c r="AA337" s="531"/>
      <c r="AB337" s="531"/>
      <c r="AC337" s="531"/>
      <c r="AD337" s="531"/>
      <c r="AE337" s="531"/>
      <c r="AF337" s="531"/>
      <c r="AG337" s="531"/>
      <c r="AH337" s="532"/>
      <c r="AI337" s="532"/>
      <c r="AJ337" s="532"/>
      <c r="AK337" s="532"/>
      <c r="AL337" s="532"/>
      <c r="AM337" s="532"/>
      <c r="AN337" s="532"/>
      <c r="AO337" s="532"/>
      <c r="AP337" s="532"/>
      <c r="AQ337" s="532"/>
      <c r="AR337" s="532"/>
      <c r="AS337" s="532"/>
      <c r="AT337" s="532"/>
      <c r="AU337" s="532"/>
      <c r="AV337" s="532"/>
      <c r="AW337" s="532"/>
      <c r="AX337" s="532"/>
      <c r="AY337" s="532"/>
      <c r="AZ337" s="532"/>
      <c r="BA337" s="532"/>
      <c r="BB337" s="532"/>
      <c r="BC337" s="532"/>
      <c r="BD337" s="532"/>
      <c r="BE337" s="532"/>
      <c r="BF337" s="532"/>
      <c r="BG337" s="532"/>
      <c r="BH337" s="532"/>
      <c r="BI337" s="532"/>
      <c r="BJ337" s="532"/>
      <c r="BK337" s="532"/>
      <c r="BL337" s="532"/>
      <c r="BM337" s="532"/>
      <c r="BN337" s="532"/>
      <c r="BO337" s="532"/>
      <c r="BP337" s="532"/>
      <c r="BQ337" s="532"/>
      <c r="BR337" s="532"/>
      <c r="BS337" s="532"/>
      <c r="BT337" s="532"/>
      <c r="BU337" s="532"/>
      <c r="BV337" s="532"/>
      <c r="BW337" s="532"/>
      <c r="BX337" s="532"/>
      <c r="BY337" s="532"/>
      <c r="BZ337" s="532"/>
      <c r="CA337" s="532"/>
      <c r="CB337" s="532"/>
      <c r="CC337" s="532"/>
      <c r="CD337" s="532"/>
      <c r="CE337" s="532"/>
      <c r="CF337" s="532"/>
      <c r="CG337" s="532"/>
      <c r="CH337" s="532"/>
      <c r="CI337" s="532"/>
      <c r="CJ337" s="532"/>
      <c r="CK337" s="532"/>
      <c r="CL337" s="532"/>
      <c r="CM337" s="532"/>
      <c r="CN337" s="532"/>
      <c r="CO337" s="532"/>
      <c r="CP337" s="532"/>
      <c r="CQ337" s="532"/>
      <c r="CR337" s="532"/>
      <c r="CS337" s="532"/>
      <c r="CT337" s="532"/>
      <c r="CU337" s="532"/>
      <c r="CV337" s="532"/>
      <c r="CW337" s="532"/>
      <c r="CX337" s="532"/>
      <c r="CY337" s="532"/>
      <c r="CZ337" s="532"/>
      <c r="DA337" s="532"/>
      <c r="DB337" s="532"/>
      <c r="DC337" s="532"/>
      <c r="DD337" s="532"/>
      <c r="DE337" s="532"/>
      <c r="DF337" s="532"/>
      <c r="DG337" s="532"/>
      <c r="DH337" s="532"/>
      <c r="DI337" s="532"/>
      <c r="DJ337" s="532"/>
      <c r="DK337" s="532"/>
      <c r="DL337" s="532"/>
      <c r="DM337" s="532"/>
      <c r="DN337" s="532"/>
      <c r="DO337" s="532"/>
      <c r="DP337" s="532"/>
      <c r="DQ337" s="532"/>
      <c r="DR337" s="532"/>
      <c r="DS337" s="532"/>
      <c r="DT337" s="532"/>
      <c r="DU337" s="532"/>
      <c r="DV337" s="532"/>
      <c r="DW337" s="532"/>
      <c r="DX337" s="532"/>
      <c r="DY337" s="532"/>
      <c r="DZ337" s="532"/>
      <c r="EA337" s="532"/>
      <c r="EB337" s="532"/>
      <c r="EC337" s="532"/>
      <c r="ED337" s="532"/>
      <c r="EE337" s="532"/>
      <c r="EF337" s="532"/>
      <c r="EG337" s="532"/>
      <c r="EH337" s="532"/>
      <c r="EI337" s="532"/>
      <c r="EJ337" s="532"/>
      <c r="EK337" s="532"/>
      <c r="EL337" s="532"/>
      <c r="EM337" s="532"/>
      <c r="EN337" s="532"/>
      <c r="EO337" s="532"/>
      <c r="EP337" s="532"/>
      <c r="EQ337" s="532"/>
      <c r="ER337" s="532"/>
      <c r="ES337" s="532"/>
      <c r="ET337" s="532"/>
      <c r="EU337" s="532"/>
      <c r="EV337" s="532"/>
      <c r="EW337" s="532"/>
      <c r="EX337" s="532"/>
      <c r="EY337" s="532"/>
      <c r="EZ337" s="532"/>
      <c r="FA337" s="532"/>
      <c r="FB337" s="532"/>
      <c r="FC337" s="532"/>
      <c r="FD337" s="532"/>
      <c r="FE337" s="532"/>
      <c r="FF337" s="532"/>
      <c r="FG337" s="532"/>
      <c r="FH337" s="532"/>
      <c r="FI337" s="532"/>
      <c r="FJ337" s="532"/>
      <c r="FK337" s="532"/>
      <c r="FL337" s="532"/>
      <c r="FM337" s="532"/>
      <c r="FN337" s="532"/>
      <c r="FO337" s="532"/>
      <c r="FP337" s="532"/>
    </row>
    <row r="338" spans="1:172" ht="12" customHeight="1" x14ac:dyDescent="0.2">
      <c r="A338" s="533"/>
      <c r="B338" s="534"/>
      <c r="C338" s="534"/>
      <c r="D338" s="534"/>
      <c r="E338" s="534"/>
      <c r="F338" s="534"/>
      <c r="G338" s="534"/>
      <c r="H338" s="534"/>
      <c r="I338" s="534"/>
      <c r="J338" s="534"/>
      <c r="K338" s="658"/>
      <c r="L338" s="562"/>
      <c r="M338" s="562"/>
      <c r="N338" s="562"/>
      <c r="O338" s="530"/>
      <c r="P338" s="531"/>
      <c r="Q338" s="531"/>
      <c r="R338" s="531"/>
      <c r="S338" s="531"/>
      <c r="T338" s="531"/>
      <c r="U338" s="531"/>
      <c r="V338" s="531"/>
      <c r="W338" s="531"/>
      <c r="X338" s="531"/>
      <c r="Y338" s="531"/>
      <c r="Z338" s="531"/>
      <c r="AA338" s="531"/>
      <c r="AB338" s="531"/>
      <c r="AC338" s="531"/>
      <c r="AD338" s="531"/>
      <c r="AE338" s="531"/>
      <c r="AF338" s="531"/>
      <c r="AG338" s="531"/>
      <c r="AH338" s="532"/>
      <c r="AI338" s="532"/>
      <c r="AJ338" s="532"/>
      <c r="AK338" s="532"/>
      <c r="AL338" s="532"/>
      <c r="AM338" s="532"/>
      <c r="AN338" s="532"/>
      <c r="AO338" s="532"/>
      <c r="AP338" s="532"/>
      <c r="AQ338" s="532"/>
      <c r="AR338" s="532"/>
      <c r="AS338" s="532"/>
      <c r="AT338" s="532"/>
      <c r="AU338" s="532"/>
      <c r="AV338" s="532"/>
      <c r="AW338" s="532"/>
      <c r="AX338" s="532"/>
      <c r="AY338" s="532"/>
      <c r="AZ338" s="532"/>
      <c r="BA338" s="532"/>
      <c r="BB338" s="532"/>
      <c r="BC338" s="532"/>
      <c r="BD338" s="532"/>
      <c r="BE338" s="532"/>
      <c r="BF338" s="532"/>
      <c r="BG338" s="532"/>
      <c r="BH338" s="532"/>
      <c r="BI338" s="532"/>
      <c r="BJ338" s="532"/>
      <c r="BK338" s="532"/>
      <c r="BL338" s="532"/>
      <c r="BM338" s="532"/>
      <c r="BN338" s="532"/>
      <c r="BO338" s="532"/>
      <c r="BP338" s="532"/>
      <c r="BQ338" s="532"/>
      <c r="BR338" s="532"/>
      <c r="BS338" s="532"/>
      <c r="BT338" s="532"/>
      <c r="BU338" s="532"/>
      <c r="BV338" s="532"/>
      <c r="BW338" s="532"/>
      <c r="BX338" s="532"/>
      <c r="BY338" s="532"/>
      <c r="BZ338" s="532"/>
      <c r="CA338" s="532"/>
      <c r="CB338" s="532"/>
      <c r="CC338" s="532"/>
      <c r="CD338" s="532"/>
      <c r="CE338" s="532"/>
      <c r="CF338" s="532"/>
      <c r="CG338" s="532"/>
      <c r="CH338" s="532"/>
      <c r="CI338" s="532"/>
      <c r="CJ338" s="532"/>
      <c r="CK338" s="532"/>
      <c r="CL338" s="532"/>
      <c r="CM338" s="532"/>
      <c r="CN338" s="532"/>
      <c r="CO338" s="532"/>
      <c r="CP338" s="532"/>
      <c r="CQ338" s="532"/>
      <c r="CR338" s="532"/>
      <c r="CS338" s="532"/>
      <c r="CT338" s="532"/>
      <c r="CU338" s="532"/>
      <c r="CV338" s="532"/>
      <c r="CW338" s="532"/>
      <c r="CX338" s="532"/>
      <c r="CY338" s="532"/>
      <c r="CZ338" s="532"/>
      <c r="DA338" s="532"/>
      <c r="DB338" s="532"/>
      <c r="DC338" s="532"/>
      <c r="DD338" s="532"/>
      <c r="DE338" s="532"/>
      <c r="DF338" s="532"/>
      <c r="DG338" s="532"/>
      <c r="DH338" s="532"/>
      <c r="DI338" s="532"/>
      <c r="DJ338" s="532"/>
      <c r="DK338" s="532"/>
      <c r="DL338" s="532"/>
      <c r="DM338" s="532"/>
      <c r="DN338" s="532"/>
      <c r="DO338" s="532"/>
      <c r="DP338" s="532"/>
      <c r="DQ338" s="532"/>
      <c r="DR338" s="532"/>
      <c r="DS338" s="532"/>
      <c r="DT338" s="532"/>
      <c r="DU338" s="532"/>
      <c r="DV338" s="532"/>
      <c r="DW338" s="532"/>
      <c r="DX338" s="532"/>
      <c r="DY338" s="532"/>
      <c r="DZ338" s="532"/>
      <c r="EA338" s="532"/>
      <c r="EB338" s="532"/>
      <c r="EC338" s="532"/>
      <c r="ED338" s="532"/>
      <c r="EE338" s="532"/>
      <c r="EF338" s="532"/>
      <c r="EG338" s="532"/>
      <c r="EH338" s="532"/>
      <c r="EI338" s="532"/>
      <c r="EJ338" s="532"/>
      <c r="EK338" s="532"/>
      <c r="EL338" s="532"/>
      <c r="EM338" s="532"/>
      <c r="EN338" s="532"/>
      <c r="EO338" s="532"/>
      <c r="EP338" s="532"/>
      <c r="EQ338" s="532"/>
      <c r="ER338" s="532"/>
      <c r="ES338" s="532"/>
      <c r="ET338" s="532"/>
      <c r="EU338" s="532"/>
      <c r="EV338" s="532"/>
      <c r="EW338" s="532"/>
      <c r="EX338" s="532"/>
      <c r="EY338" s="532"/>
      <c r="EZ338" s="532"/>
      <c r="FA338" s="532"/>
      <c r="FB338" s="532"/>
      <c r="FC338" s="532"/>
      <c r="FD338" s="532"/>
      <c r="FE338" s="532"/>
      <c r="FF338" s="532"/>
      <c r="FG338" s="532"/>
      <c r="FH338" s="532"/>
      <c r="FI338" s="532"/>
      <c r="FJ338" s="532"/>
      <c r="FK338" s="532"/>
      <c r="FL338" s="532"/>
      <c r="FM338" s="532"/>
      <c r="FN338" s="532"/>
      <c r="FO338" s="532"/>
      <c r="FP338" s="532"/>
    </row>
    <row r="339" spans="1:172" ht="12" customHeight="1" x14ac:dyDescent="0.2">
      <c r="A339" s="533" t="s">
        <v>192</v>
      </c>
      <c r="B339" s="534" t="s">
        <v>193</v>
      </c>
      <c r="C339" s="208">
        <v>941</v>
      </c>
      <c r="D339" s="208">
        <v>836</v>
      </c>
      <c r="E339" s="658">
        <v>874</v>
      </c>
      <c r="F339" s="208">
        <v>869</v>
      </c>
      <c r="G339" s="208">
        <v>1042</v>
      </c>
      <c r="H339" s="208">
        <v>1256</v>
      </c>
      <c r="I339" s="208">
        <v>929</v>
      </c>
      <c r="J339" s="208">
        <v>926</v>
      </c>
      <c r="K339" s="208">
        <v>1089</v>
      </c>
      <c r="L339" s="562">
        <v>1371</v>
      </c>
      <c r="M339" s="562">
        <v>1309</v>
      </c>
      <c r="N339" s="562">
        <v>1218</v>
      </c>
      <c r="O339" s="530">
        <f>SUM(C339:N339)</f>
        <v>12660</v>
      </c>
      <c r="P339" s="531"/>
      <c r="Q339" s="531"/>
      <c r="R339" s="531"/>
      <c r="S339" s="531"/>
      <c r="T339" s="531"/>
      <c r="U339" s="531"/>
      <c r="V339" s="531"/>
      <c r="W339" s="531"/>
      <c r="X339" s="531"/>
      <c r="Y339" s="531"/>
      <c r="Z339" s="531"/>
      <c r="AA339" s="531"/>
      <c r="AB339" s="531"/>
      <c r="AC339" s="531"/>
      <c r="AD339" s="531"/>
      <c r="AE339" s="531"/>
      <c r="AF339" s="531"/>
      <c r="AG339" s="531"/>
      <c r="AH339" s="532"/>
      <c r="AI339" s="532"/>
      <c r="AJ339" s="532"/>
      <c r="AK339" s="532"/>
      <c r="AL339" s="532"/>
      <c r="AM339" s="532"/>
      <c r="AN339" s="532"/>
      <c r="AO339" s="532"/>
      <c r="AP339" s="532"/>
      <c r="AQ339" s="532"/>
      <c r="AR339" s="532"/>
      <c r="AS339" s="532"/>
      <c r="AT339" s="532"/>
      <c r="AU339" s="532"/>
      <c r="AV339" s="532"/>
      <c r="AW339" s="532"/>
      <c r="AX339" s="532"/>
      <c r="AY339" s="532"/>
      <c r="AZ339" s="532"/>
      <c r="BA339" s="532"/>
      <c r="BB339" s="532"/>
      <c r="BC339" s="532"/>
      <c r="BD339" s="532"/>
      <c r="BE339" s="532"/>
      <c r="BF339" s="532"/>
      <c r="BG339" s="532"/>
      <c r="BH339" s="532"/>
      <c r="BI339" s="532"/>
      <c r="BJ339" s="532"/>
      <c r="BK339" s="532"/>
      <c r="BL339" s="532"/>
      <c r="BM339" s="532"/>
      <c r="BN339" s="532"/>
      <c r="BO339" s="532"/>
      <c r="BP339" s="532"/>
      <c r="BQ339" s="532"/>
      <c r="BR339" s="532"/>
      <c r="BS339" s="532"/>
      <c r="BT339" s="532"/>
      <c r="BU339" s="532"/>
      <c r="BV339" s="532"/>
      <c r="BW339" s="532"/>
      <c r="BX339" s="532"/>
      <c r="BY339" s="532"/>
      <c r="BZ339" s="532"/>
      <c r="CA339" s="532"/>
      <c r="CB339" s="532"/>
      <c r="CC339" s="532"/>
      <c r="CD339" s="532"/>
      <c r="CE339" s="532"/>
      <c r="CF339" s="532"/>
      <c r="CG339" s="532"/>
      <c r="CH339" s="532"/>
      <c r="CI339" s="532"/>
      <c r="CJ339" s="532"/>
      <c r="CK339" s="532"/>
      <c r="CL339" s="532"/>
      <c r="CM339" s="532"/>
      <c r="CN339" s="532"/>
      <c r="CO339" s="532"/>
      <c r="CP339" s="532"/>
      <c r="CQ339" s="532"/>
      <c r="CR339" s="532"/>
      <c r="CS339" s="532"/>
      <c r="CT339" s="532"/>
      <c r="CU339" s="532"/>
      <c r="CV339" s="532"/>
      <c r="CW339" s="532"/>
      <c r="CX339" s="532"/>
      <c r="CY339" s="532"/>
      <c r="CZ339" s="532"/>
      <c r="DA339" s="532"/>
      <c r="DB339" s="532"/>
      <c r="DC339" s="532"/>
      <c r="DD339" s="532"/>
      <c r="DE339" s="532"/>
      <c r="DF339" s="532"/>
      <c r="DG339" s="532"/>
      <c r="DH339" s="532"/>
      <c r="DI339" s="532"/>
      <c r="DJ339" s="532"/>
      <c r="DK339" s="532"/>
      <c r="DL339" s="532"/>
      <c r="DM339" s="532"/>
      <c r="DN339" s="532"/>
      <c r="DO339" s="532"/>
      <c r="DP339" s="532"/>
      <c r="DQ339" s="532"/>
      <c r="DR339" s="532"/>
      <c r="DS339" s="532"/>
      <c r="DT339" s="532"/>
      <c r="DU339" s="532"/>
      <c r="DV339" s="532"/>
      <c r="DW339" s="532"/>
      <c r="DX339" s="532"/>
      <c r="DY339" s="532"/>
      <c r="DZ339" s="532"/>
      <c r="EA339" s="532"/>
      <c r="EB339" s="532"/>
      <c r="EC339" s="532"/>
      <c r="ED339" s="532"/>
      <c r="EE339" s="532"/>
      <c r="EF339" s="532"/>
      <c r="EG339" s="532"/>
      <c r="EH339" s="532"/>
      <c r="EI339" s="532"/>
      <c r="EJ339" s="532"/>
      <c r="EK339" s="532"/>
      <c r="EL339" s="532"/>
      <c r="EM339" s="532"/>
      <c r="EN339" s="532"/>
      <c r="EO339" s="532"/>
      <c r="EP339" s="532"/>
      <c r="EQ339" s="532"/>
      <c r="ER339" s="532"/>
      <c r="ES339" s="532"/>
      <c r="ET339" s="532"/>
      <c r="EU339" s="532"/>
      <c r="EV339" s="532"/>
      <c r="EW339" s="532"/>
      <c r="EX339" s="532"/>
      <c r="EY339" s="532"/>
      <c r="EZ339" s="532"/>
      <c r="FA339" s="532"/>
      <c r="FB339" s="532"/>
      <c r="FC339" s="532"/>
      <c r="FD339" s="532"/>
      <c r="FE339" s="532"/>
      <c r="FF339" s="532"/>
      <c r="FG339" s="532"/>
      <c r="FH339" s="532"/>
      <c r="FI339" s="532"/>
      <c r="FJ339" s="532"/>
      <c r="FK339" s="532"/>
      <c r="FL339" s="532"/>
      <c r="FM339" s="532"/>
      <c r="FN339" s="532"/>
      <c r="FO339" s="532"/>
      <c r="FP339" s="532"/>
    </row>
    <row r="340" spans="1:172" ht="12" customHeight="1" x14ac:dyDescent="0.2">
      <c r="A340" s="533" t="s">
        <v>194</v>
      </c>
      <c r="B340" s="534" t="s">
        <v>195</v>
      </c>
      <c r="C340" s="208">
        <v>1214</v>
      </c>
      <c r="D340" s="208">
        <v>1286</v>
      </c>
      <c r="E340" s="658">
        <v>1096</v>
      </c>
      <c r="F340" s="208">
        <v>1155</v>
      </c>
      <c r="G340" s="208">
        <v>1103</v>
      </c>
      <c r="H340" s="208">
        <v>1237</v>
      </c>
      <c r="I340" s="208">
        <v>1158</v>
      </c>
      <c r="J340" s="208">
        <v>943</v>
      </c>
      <c r="K340" s="208">
        <v>1152</v>
      </c>
      <c r="L340" s="562">
        <v>1163</v>
      </c>
      <c r="M340" s="562">
        <v>1294</v>
      </c>
      <c r="N340" s="562">
        <v>1268</v>
      </c>
      <c r="O340" s="530">
        <f>SUM(C340:N340)</f>
        <v>14069</v>
      </c>
      <c r="P340" s="531"/>
      <c r="Q340" s="531"/>
      <c r="R340" s="531"/>
      <c r="S340" s="531"/>
      <c r="T340" s="531"/>
      <c r="U340" s="531"/>
      <c r="V340" s="531"/>
      <c r="W340" s="531"/>
      <c r="X340" s="531"/>
      <c r="Y340" s="531"/>
      <c r="Z340" s="531"/>
      <c r="AA340" s="531"/>
      <c r="AB340" s="531"/>
      <c r="AC340" s="531"/>
      <c r="AD340" s="531"/>
      <c r="AE340" s="531"/>
      <c r="AF340" s="531"/>
      <c r="AG340" s="531"/>
      <c r="AH340" s="532"/>
      <c r="AI340" s="532"/>
      <c r="AJ340" s="532"/>
      <c r="AK340" s="532"/>
      <c r="AL340" s="532"/>
      <c r="AM340" s="532"/>
      <c r="AN340" s="532"/>
      <c r="AO340" s="532"/>
      <c r="AP340" s="532"/>
      <c r="AQ340" s="532"/>
      <c r="AR340" s="532"/>
      <c r="AS340" s="532"/>
      <c r="AT340" s="532"/>
      <c r="AU340" s="532"/>
      <c r="AV340" s="532"/>
      <c r="AW340" s="532"/>
      <c r="AX340" s="532"/>
      <c r="AY340" s="532"/>
      <c r="AZ340" s="532"/>
      <c r="BA340" s="532"/>
      <c r="BB340" s="532"/>
      <c r="BC340" s="532"/>
      <c r="BD340" s="532"/>
      <c r="BE340" s="532"/>
      <c r="BF340" s="532"/>
      <c r="BG340" s="532"/>
      <c r="BH340" s="532"/>
      <c r="BI340" s="532"/>
      <c r="BJ340" s="532"/>
      <c r="BK340" s="532"/>
      <c r="BL340" s="532"/>
      <c r="BM340" s="532"/>
      <c r="BN340" s="532"/>
      <c r="BO340" s="532"/>
      <c r="BP340" s="532"/>
      <c r="BQ340" s="532"/>
      <c r="BR340" s="532"/>
      <c r="BS340" s="532"/>
      <c r="BT340" s="532"/>
      <c r="BU340" s="532"/>
      <c r="BV340" s="532"/>
      <c r="BW340" s="532"/>
      <c r="BX340" s="532"/>
      <c r="BY340" s="532"/>
      <c r="BZ340" s="532"/>
      <c r="CA340" s="532"/>
      <c r="CB340" s="532"/>
      <c r="CC340" s="532"/>
      <c r="CD340" s="532"/>
      <c r="CE340" s="532"/>
      <c r="CF340" s="532"/>
      <c r="CG340" s="532"/>
      <c r="CH340" s="532"/>
      <c r="CI340" s="532"/>
      <c r="CJ340" s="532"/>
      <c r="CK340" s="532"/>
      <c r="CL340" s="532"/>
      <c r="CM340" s="532"/>
      <c r="CN340" s="532"/>
      <c r="CO340" s="532"/>
      <c r="CP340" s="532"/>
      <c r="CQ340" s="532"/>
      <c r="CR340" s="532"/>
      <c r="CS340" s="532"/>
      <c r="CT340" s="532"/>
      <c r="CU340" s="532"/>
      <c r="CV340" s="532"/>
      <c r="CW340" s="532"/>
      <c r="CX340" s="532"/>
      <c r="CY340" s="532"/>
      <c r="CZ340" s="532"/>
      <c r="DA340" s="532"/>
      <c r="DB340" s="532"/>
      <c r="DC340" s="532"/>
      <c r="DD340" s="532"/>
      <c r="DE340" s="532"/>
      <c r="DF340" s="532"/>
      <c r="DG340" s="532"/>
      <c r="DH340" s="532"/>
      <c r="DI340" s="532"/>
      <c r="DJ340" s="532"/>
      <c r="DK340" s="532"/>
      <c r="DL340" s="532"/>
      <c r="DM340" s="532"/>
      <c r="DN340" s="532"/>
      <c r="DO340" s="532"/>
      <c r="DP340" s="532"/>
      <c r="DQ340" s="532"/>
      <c r="DR340" s="532"/>
      <c r="DS340" s="532"/>
      <c r="DT340" s="532"/>
      <c r="DU340" s="532"/>
      <c r="DV340" s="532"/>
      <c r="DW340" s="532"/>
      <c r="DX340" s="532"/>
      <c r="DY340" s="532"/>
      <c r="DZ340" s="532"/>
      <c r="EA340" s="532"/>
      <c r="EB340" s="532"/>
      <c r="EC340" s="532"/>
      <c r="ED340" s="532"/>
      <c r="EE340" s="532"/>
      <c r="EF340" s="532"/>
      <c r="EG340" s="532"/>
      <c r="EH340" s="532"/>
      <c r="EI340" s="532"/>
      <c r="EJ340" s="532"/>
      <c r="EK340" s="532"/>
      <c r="EL340" s="532"/>
      <c r="EM340" s="532"/>
      <c r="EN340" s="532"/>
      <c r="EO340" s="532"/>
      <c r="EP340" s="532"/>
      <c r="EQ340" s="532"/>
      <c r="ER340" s="532"/>
      <c r="ES340" s="532"/>
      <c r="ET340" s="532"/>
      <c r="EU340" s="532"/>
      <c r="EV340" s="532"/>
      <c r="EW340" s="532"/>
      <c r="EX340" s="532"/>
      <c r="EY340" s="532"/>
      <c r="EZ340" s="532"/>
      <c r="FA340" s="532"/>
      <c r="FB340" s="532"/>
      <c r="FC340" s="532"/>
      <c r="FD340" s="532"/>
      <c r="FE340" s="532"/>
      <c r="FF340" s="532"/>
      <c r="FG340" s="532"/>
      <c r="FH340" s="532"/>
      <c r="FI340" s="532"/>
      <c r="FJ340" s="532"/>
      <c r="FK340" s="532"/>
      <c r="FL340" s="532"/>
      <c r="FM340" s="532"/>
      <c r="FN340" s="532"/>
      <c r="FO340" s="532"/>
      <c r="FP340" s="532"/>
    </row>
    <row r="341" spans="1:172" ht="12" customHeight="1" x14ac:dyDescent="0.2">
      <c r="A341" s="533" t="s">
        <v>196</v>
      </c>
      <c r="B341" s="534"/>
      <c r="C341" s="208">
        <f t="shared" ref="C341:N341" si="161">SUM(C339:C340)</f>
        <v>2155</v>
      </c>
      <c r="D341" s="208">
        <f t="shared" si="161"/>
        <v>2122</v>
      </c>
      <c r="E341" s="208">
        <f t="shared" si="161"/>
        <v>1970</v>
      </c>
      <c r="F341" s="208">
        <f t="shared" si="161"/>
        <v>2024</v>
      </c>
      <c r="G341" s="208">
        <f t="shared" si="161"/>
        <v>2145</v>
      </c>
      <c r="H341" s="208">
        <f t="shared" si="161"/>
        <v>2493</v>
      </c>
      <c r="I341" s="208">
        <f t="shared" si="161"/>
        <v>2087</v>
      </c>
      <c r="J341" s="208">
        <f t="shared" si="161"/>
        <v>1869</v>
      </c>
      <c r="K341" s="208">
        <f t="shared" si="161"/>
        <v>2241</v>
      </c>
      <c r="L341" s="562">
        <f t="shared" si="161"/>
        <v>2534</v>
      </c>
      <c r="M341" s="562">
        <f t="shared" si="161"/>
        <v>2603</v>
      </c>
      <c r="N341" s="562">
        <f t="shared" si="161"/>
        <v>2486</v>
      </c>
      <c r="O341" s="530">
        <f>SUM(C341:N341)</f>
        <v>26729</v>
      </c>
      <c r="P341" s="531"/>
      <c r="Q341" s="531"/>
      <c r="R341" s="531"/>
      <c r="S341" s="531"/>
      <c r="T341" s="531"/>
      <c r="U341" s="531"/>
      <c r="V341" s="531"/>
      <c r="W341" s="531"/>
      <c r="X341" s="531"/>
      <c r="Y341" s="531"/>
      <c r="Z341" s="531"/>
      <c r="AA341" s="531"/>
      <c r="AB341" s="531"/>
      <c r="AC341" s="531"/>
      <c r="AD341" s="531"/>
      <c r="AE341" s="531"/>
      <c r="AF341" s="531"/>
      <c r="AG341" s="531"/>
      <c r="AH341" s="532"/>
      <c r="AI341" s="532"/>
      <c r="AJ341" s="532"/>
      <c r="AK341" s="532"/>
      <c r="AL341" s="532"/>
      <c r="AM341" s="532"/>
      <c r="AN341" s="532"/>
      <c r="AO341" s="532"/>
      <c r="AP341" s="532"/>
      <c r="AQ341" s="532"/>
      <c r="AR341" s="532"/>
      <c r="AS341" s="532"/>
      <c r="AT341" s="532"/>
      <c r="AU341" s="532"/>
      <c r="AV341" s="532"/>
      <c r="AW341" s="532"/>
      <c r="AX341" s="532"/>
      <c r="AY341" s="532"/>
      <c r="AZ341" s="532"/>
      <c r="BA341" s="532"/>
      <c r="BB341" s="532"/>
      <c r="BC341" s="532"/>
      <c r="BD341" s="532"/>
      <c r="BE341" s="532"/>
      <c r="BF341" s="532"/>
      <c r="BG341" s="532"/>
      <c r="BH341" s="532"/>
      <c r="BI341" s="532"/>
      <c r="BJ341" s="532"/>
      <c r="BK341" s="532"/>
      <c r="BL341" s="532"/>
      <c r="BM341" s="532"/>
      <c r="BN341" s="532"/>
      <c r="BO341" s="532"/>
      <c r="BP341" s="532"/>
      <c r="BQ341" s="532"/>
      <c r="BR341" s="532"/>
      <c r="BS341" s="532"/>
      <c r="BT341" s="532"/>
      <c r="BU341" s="532"/>
      <c r="BV341" s="532"/>
      <c r="BW341" s="532"/>
      <c r="BX341" s="532"/>
      <c r="BY341" s="532"/>
      <c r="BZ341" s="532"/>
      <c r="CA341" s="532"/>
      <c r="CB341" s="532"/>
      <c r="CC341" s="532"/>
      <c r="CD341" s="532"/>
      <c r="CE341" s="532"/>
      <c r="CF341" s="532"/>
      <c r="CG341" s="532"/>
      <c r="CH341" s="532"/>
      <c r="CI341" s="532"/>
      <c r="CJ341" s="532"/>
      <c r="CK341" s="532"/>
      <c r="CL341" s="532"/>
      <c r="CM341" s="532"/>
      <c r="CN341" s="532"/>
      <c r="CO341" s="532"/>
      <c r="CP341" s="532"/>
      <c r="CQ341" s="532"/>
      <c r="CR341" s="532"/>
      <c r="CS341" s="532"/>
      <c r="CT341" s="532"/>
      <c r="CU341" s="532"/>
      <c r="CV341" s="532"/>
      <c r="CW341" s="532"/>
      <c r="CX341" s="532"/>
      <c r="CY341" s="532"/>
      <c r="CZ341" s="532"/>
      <c r="DA341" s="532"/>
      <c r="DB341" s="532"/>
      <c r="DC341" s="532"/>
      <c r="DD341" s="532"/>
      <c r="DE341" s="532"/>
      <c r="DF341" s="532"/>
      <c r="DG341" s="532"/>
      <c r="DH341" s="532"/>
      <c r="DI341" s="532"/>
      <c r="DJ341" s="532"/>
      <c r="DK341" s="532"/>
      <c r="DL341" s="532"/>
      <c r="DM341" s="532"/>
      <c r="DN341" s="532"/>
      <c r="DO341" s="532"/>
      <c r="DP341" s="532"/>
      <c r="DQ341" s="532"/>
      <c r="DR341" s="532"/>
      <c r="DS341" s="532"/>
      <c r="DT341" s="532"/>
      <c r="DU341" s="532"/>
      <c r="DV341" s="532"/>
      <c r="DW341" s="532"/>
      <c r="DX341" s="532"/>
      <c r="DY341" s="532"/>
      <c r="DZ341" s="532"/>
      <c r="EA341" s="532"/>
      <c r="EB341" s="532"/>
      <c r="EC341" s="532"/>
      <c r="ED341" s="532"/>
      <c r="EE341" s="532"/>
      <c r="EF341" s="532"/>
      <c r="EG341" s="532"/>
      <c r="EH341" s="532"/>
      <c r="EI341" s="532"/>
      <c r="EJ341" s="532"/>
      <c r="EK341" s="532"/>
      <c r="EL341" s="532"/>
      <c r="EM341" s="532"/>
      <c r="EN341" s="532"/>
      <c r="EO341" s="532"/>
      <c r="EP341" s="532"/>
      <c r="EQ341" s="532"/>
      <c r="ER341" s="532"/>
      <c r="ES341" s="532"/>
      <c r="ET341" s="532"/>
      <c r="EU341" s="532"/>
      <c r="EV341" s="532"/>
      <c r="EW341" s="532"/>
      <c r="EX341" s="532"/>
      <c r="EY341" s="532"/>
      <c r="EZ341" s="532"/>
      <c r="FA341" s="532"/>
      <c r="FB341" s="532"/>
      <c r="FC341" s="532"/>
      <c r="FD341" s="532"/>
      <c r="FE341" s="532"/>
      <c r="FF341" s="532"/>
      <c r="FG341" s="532"/>
      <c r="FH341" s="532"/>
      <c r="FI341" s="532"/>
      <c r="FJ341" s="532"/>
      <c r="FK341" s="532"/>
      <c r="FL341" s="532"/>
      <c r="FM341" s="532"/>
      <c r="FN341" s="532"/>
      <c r="FO341" s="532"/>
      <c r="FP341" s="532"/>
    </row>
    <row r="342" spans="1:172" ht="12" customHeight="1" x14ac:dyDescent="0.2">
      <c r="A342" s="533"/>
      <c r="B342" s="534"/>
      <c r="C342" s="534"/>
      <c r="D342" s="534"/>
      <c r="E342" s="534"/>
      <c r="F342" s="534"/>
      <c r="G342" s="534"/>
      <c r="H342" s="534"/>
      <c r="I342" s="534"/>
      <c r="J342" s="534"/>
      <c r="K342" s="658"/>
      <c r="L342" s="562"/>
      <c r="M342" s="562"/>
      <c r="N342" s="562"/>
      <c r="O342" s="530"/>
      <c r="P342" s="531"/>
      <c r="Q342" s="531"/>
      <c r="R342" s="531"/>
      <c r="S342" s="531"/>
      <c r="T342" s="531"/>
      <c r="U342" s="531"/>
      <c r="V342" s="531"/>
      <c r="W342" s="531"/>
      <c r="X342" s="531"/>
      <c r="Y342" s="531"/>
      <c r="Z342" s="531"/>
      <c r="AA342" s="531"/>
      <c r="AB342" s="531"/>
      <c r="AC342" s="531"/>
      <c r="AD342" s="531"/>
      <c r="AE342" s="531"/>
      <c r="AF342" s="531"/>
      <c r="AG342" s="531"/>
      <c r="AH342" s="532"/>
      <c r="AI342" s="532"/>
      <c r="AJ342" s="532"/>
      <c r="AK342" s="532"/>
      <c r="AL342" s="532"/>
      <c r="AM342" s="532"/>
      <c r="AN342" s="532"/>
      <c r="AO342" s="532"/>
      <c r="AP342" s="532"/>
      <c r="AQ342" s="532"/>
      <c r="AR342" s="532"/>
      <c r="AS342" s="532"/>
      <c r="AT342" s="532"/>
      <c r="AU342" s="532"/>
      <c r="AV342" s="532"/>
      <c r="AW342" s="532"/>
      <c r="AX342" s="532"/>
      <c r="AY342" s="532"/>
      <c r="AZ342" s="532"/>
      <c r="BA342" s="532"/>
      <c r="BB342" s="532"/>
      <c r="BC342" s="532"/>
      <c r="BD342" s="532"/>
      <c r="BE342" s="532"/>
      <c r="BF342" s="532"/>
      <c r="BG342" s="532"/>
      <c r="BH342" s="532"/>
      <c r="BI342" s="532"/>
      <c r="BJ342" s="532"/>
      <c r="BK342" s="532"/>
      <c r="BL342" s="532"/>
      <c r="BM342" s="532"/>
      <c r="BN342" s="532"/>
      <c r="BO342" s="532"/>
      <c r="BP342" s="532"/>
      <c r="BQ342" s="532"/>
      <c r="BR342" s="532"/>
      <c r="BS342" s="532"/>
      <c r="BT342" s="532"/>
      <c r="BU342" s="532"/>
      <c r="BV342" s="532"/>
      <c r="BW342" s="532"/>
      <c r="BX342" s="532"/>
      <c r="BY342" s="532"/>
      <c r="BZ342" s="532"/>
      <c r="CA342" s="532"/>
      <c r="CB342" s="532"/>
      <c r="CC342" s="532"/>
      <c r="CD342" s="532"/>
      <c r="CE342" s="532"/>
      <c r="CF342" s="532"/>
      <c r="CG342" s="532"/>
      <c r="CH342" s="532"/>
      <c r="CI342" s="532"/>
      <c r="CJ342" s="532"/>
      <c r="CK342" s="532"/>
      <c r="CL342" s="532"/>
      <c r="CM342" s="532"/>
      <c r="CN342" s="532"/>
      <c r="CO342" s="532"/>
      <c r="CP342" s="532"/>
      <c r="CQ342" s="532"/>
      <c r="CR342" s="532"/>
      <c r="CS342" s="532"/>
      <c r="CT342" s="532"/>
      <c r="CU342" s="532"/>
      <c r="CV342" s="532"/>
      <c r="CW342" s="532"/>
      <c r="CX342" s="532"/>
      <c r="CY342" s="532"/>
      <c r="CZ342" s="532"/>
      <c r="DA342" s="532"/>
      <c r="DB342" s="532"/>
      <c r="DC342" s="532"/>
      <c r="DD342" s="532"/>
      <c r="DE342" s="532"/>
      <c r="DF342" s="532"/>
      <c r="DG342" s="532"/>
      <c r="DH342" s="532"/>
      <c r="DI342" s="532"/>
      <c r="DJ342" s="532"/>
      <c r="DK342" s="532"/>
      <c r="DL342" s="532"/>
      <c r="DM342" s="532"/>
      <c r="DN342" s="532"/>
      <c r="DO342" s="532"/>
      <c r="DP342" s="532"/>
      <c r="DQ342" s="532"/>
      <c r="DR342" s="532"/>
      <c r="DS342" s="532"/>
      <c r="DT342" s="532"/>
      <c r="DU342" s="532"/>
      <c r="DV342" s="532"/>
      <c r="DW342" s="532"/>
      <c r="DX342" s="532"/>
      <c r="DY342" s="532"/>
      <c r="DZ342" s="532"/>
      <c r="EA342" s="532"/>
      <c r="EB342" s="532"/>
      <c r="EC342" s="532"/>
      <c r="ED342" s="532"/>
      <c r="EE342" s="532"/>
      <c r="EF342" s="532"/>
      <c r="EG342" s="532"/>
      <c r="EH342" s="532"/>
      <c r="EI342" s="532"/>
      <c r="EJ342" s="532"/>
      <c r="EK342" s="532"/>
      <c r="EL342" s="532"/>
      <c r="EM342" s="532"/>
      <c r="EN342" s="532"/>
      <c r="EO342" s="532"/>
      <c r="EP342" s="532"/>
      <c r="EQ342" s="532"/>
      <c r="ER342" s="532"/>
      <c r="ES342" s="532"/>
      <c r="ET342" s="532"/>
      <c r="EU342" s="532"/>
      <c r="EV342" s="532"/>
      <c r="EW342" s="532"/>
      <c r="EX342" s="532"/>
      <c r="EY342" s="532"/>
      <c r="EZ342" s="532"/>
      <c r="FA342" s="532"/>
      <c r="FB342" s="532"/>
      <c r="FC342" s="532"/>
      <c r="FD342" s="532"/>
      <c r="FE342" s="532"/>
      <c r="FF342" s="532"/>
      <c r="FG342" s="532"/>
      <c r="FH342" s="532"/>
      <c r="FI342" s="532"/>
      <c r="FJ342" s="532"/>
      <c r="FK342" s="532"/>
      <c r="FL342" s="532"/>
      <c r="FM342" s="532"/>
      <c r="FN342" s="532"/>
      <c r="FO342" s="532"/>
      <c r="FP342" s="532"/>
    </row>
    <row r="343" spans="1:172" ht="12" customHeight="1" x14ac:dyDescent="0.2">
      <c r="A343" s="533" t="s">
        <v>197</v>
      </c>
      <c r="B343" s="534"/>
      <c r="C343" s="658">
        <f>3600.02-235.52</f>
        <v>3364.5</v>
      </c>
      <c r="D343" s="666">
        <f>3618.04-236.69</f>
        <v>3381.35</v>
      </c>
      <c r="E343" s="666">
        <f>4463.29-291.99</f>
        <v>4171.3</v>
      </c>
      <c r="F343" s="666">
        <f>3146.02-205.81</f>
        <v>2940.21</v>
      </c>
      <c r="G343" s="666">
        <f>3584.75-234.52</f>
        <v>3350.23</v>
      </c>
      <c r="H343" s="666">
        <f>3874.07-253.44</f>
        <v>3620.63</v>
      </c>
      <c r="I343" s="666">
        <f>3046.25-199.29</f>
        <v>2846.96</v>
      </c>
      <c r="J343" s="666">
        <f>3042.25-199.03</f>
        <v>2843.22</v>
      </c>
      <c r="K343" s="666">
        <f>4695.11-307.16</f>
        <v>4387.95</v>
      </c>
      <c r="L343" s="562">
        <f>4941.27-323.26</f>
        <v>4618.01</v>
      </c>
      <c r="M343" s="562">
        <f>4165.87-272.53</f>
        <v>3893.34</v>
      </c>
      <c r="N343" s="562">
        <f>3912.98-255.99</f>
        <v>3656.99</v>
      </c>
      <c r="O343" s="555">
        <f>SUM(C343:N343)</f>
        <v>43074.689999999995</v>
      </c>
      <c r="P343" s="531"/>
      <c r="Q343" s="531"/>
      <c r="R343" s="531"/>
      <c r="S343" s="531"/>
      <c r="T343" s="531"/>
      <c r="U343" s="531"/>
      <c r="V343" s="531"/>
      <c r="W343" s="531"/>
      <c r="X343" s="531"/>
      <c r="Y343" s="531"/>
      <c r="Z343" s="531"/>
      <c r="AA343" s="531"/>
      <c r="AB343" s="531"/>
      <c r="AC343" s="531"/>
      <c r="AD343" s="531"/>
      <c r="AE343" s="531"/>
      <c r="AF343" s="531"/>
      <c r="AG343" s="531"/>
      <c r="AH343" s="532"/>
      <c r="AI343" s="532"/>
      <c r="AJ343" s="532"/>
      <c r="AK343" s="532"/>
      <c r="AL343" s="532"/>
      <c r="AM343" s="532"/>
      <c r="AN343" s="532"/>
      <c r="AO343" s="532"/>
      <c r="AP343" s="532"/>
      <c r="AQ343" s="532"/>
      <c r="AR343" s="532"/>
      <c r="AS343" s="532"/>
      <c r="AT343" s="532"/>
      <c r="AU343" s="532"/>
      <c r="AV343" s="532"/>
      <c r="AW343" s="532"/>
      <c r="AX343" s="532"/>
      <c r="AY343" s="532"/>
      <c r="AZ343" s="532"/>
      <c r="BA343" s="532"/>
      <c r="BB343" s="532"/>
      <c r="BC343" s="532"/>
      <c r="BD343" s="532"/>
      <c r="BE343" s="532"/>
      <c r="BF343" s="532"/>
      <c r="BG343" s="532"/>
      <c r="BH343" s="532"/>
      <c r="BI343" s="532"/>
      <c r="BJ343" s="532"/>
      <c r="BK343" s="532"/>
      <c r="BL343" s="532"/>
      <c r="BM343" s="532"/>
      <c r="BN343" s="532"/>
      <c r="BO343" s="532"/>
      <c r="BP343" s="532"/>
      <c r="BQ343" s="532"/>
      <c r="BR343" s="532"/>
      <c r="BS343" s="532"/>
      <c r="BT343" s="532"/>
      <c r="BU343" s="532"/>
      <c r="BV343" s="532"/>
      <c r="BW343" s="532"/>
      <c r="BX343" s="532"/>
      <c r="BY343" s="532"/>
      <c r="BZ343" s="532"/>
      <c r="CA343" s="532"/>
      <c r="CB343" s="532"/>
      <c r="CC343" s="532"/>
      <c r="CD343" s="532"/>
      <c r="CE343" s="532"/>
      <c r="CF343" s="532"/>
      <c r="CG343" s="532"/>
      <c r="CH343" s="532"/>
      <c r="CI343" s="532"/>
      <c r="CJ343" s="532"/>
      <c r="CK343" s="532"/>
      <c r="CL343" s="532"/>
      <c r="CM343" s="532"/>
      <c r="CN343" s="532"/>
      <c r="CO343" s="532"/>
      <c r="CP343" s="532"/>
      <c r="CQ343" s="532"/>
      <c r="CR343" s="532"/>
      <c r="CS343" s="532"/>
      <c r="CT343" s="532"/>
      <c r="CU343" s="532"/>
      <c r="CV343" s="532"/>
      <c r="CW343" s="532"/>
      <c r="CX343" s="532"/>
      <c r="CY343" s="532"/>
      <c r="CZ343" s="532"/>
      <c r="DA343" s="532"/>
      <c r="DB343" s="532"/>
      <c r="DC343" s="532"/>
      <c r="DD343" s="532"/>
      <c r="DE343" s="532"/>
      <c r="DF343" s="532"/>
      <c r="DG343" s="532"/>
      <c r="DH343" s="532"/>
      <c r="DI343" s="532"/>
      <c r="DJ343" s="532"/>
      <c r="DK343" s="532"/>
      <c r="DL343" s="532"/>
      <c r="DM343" s="532"/>
      <c r="DN343" s="532"/>
      <c r="DO343" s="532"/>
      <c r="DP343" s="532"/>
      <c r="DQ343" s="532"/>
      <c r="DR343" s="532"/>
      <c r="DS343" s="532"/>
      <c r="DT343" s="532"/>
      <c r="DU343" s="532"/>
      <c r="DV343" s="532"/>
      <c r="DW343" s="532"/>
      <c r="DX343" s="532"/>
      <c r="DY343" s="532"/>
      <c r="DZ343" s="532"/>
      <c r="EA343" s="532"/>
      <c r="EB343" s="532"/>
      <c r="EC343" s="532"/>
      <c r="ED343" s="532"/>
      <c r="EE343" s="532"/>
      <c r="EF343" s="532"/>
      <c r="EG343" s="532"/>
      <c r="EH343" s="532"/>
      <c r="EI343" s="532"/>
      <c r="EJ343" s="532"/>
      <c r="EK343" s="532"/>
      <c r="EL343" s="532"/>
      <c r="EM343" s="532"/>
      <c r="EN343" s="532"/>
      <c r="EO343" s="532"/>
      <c r="EP343" s="532"/>
      <c r="EQ343" s="532"/>
      <c r="ER343" s="532"/>
      <c r="ES343" s="532"/>
      <c r="ET343" s="532"/>
      <c r="EU343" s="532"/>
      <c r="EV343" s="532"/>
      <c r="EW343" s="532"/>
      <c r="EX343" s="532"/>
      <c r="EY343" s="532"/>
      <c r="EZ343" s="532"/>
      <c r="FA343" s="532"/>
      <c r="FB343" s="532"/>
      <c r="FC343" s="532"/>
      <c r="FD343" s="532"/>
      <c r="FE343" s="532"/>
      <c r="FF343" s="532"/>
      <c r="FG343" s="532"/>
      <c r="FH343" s="532"/>
      <c r="FI343" s="532"/>
      <c r="FJ343" s="532"/>
      <c r="FK343" s="532"/>
      <c r="FL343" s="532"/>
      <c r="FM343" s="532"/>
      <c r="FN343" s="532"/>
      <c r="FO343" s="532"/>
      <c r="FP343" s="532"/>
    </row>
    <row r="344" spans="1:172" ht="12" customHeight="1" x14ac:dyDescent="0.2">
      <c r="A344" s="533"/>
      <c r="B344" s="534"/>
      <c r="C344" s="534"/>
      <c r="D344" s="534"/>
      <c r="E344" s="534"/>
      <c r="F344" s="534"/>
      <c r="G344" s="534"/>
      <c r="H344" s="534"/>
      <c r="I344" s="534"/>
      <c r="J344" s="534"/>
      <c r="K344" s="658"/>
      <c r="L344" s="562"/>
      <c r="M344" s="562"/>
      <c r="N344" s="562"/>
      <c r="O344" s="530"/>
      <c r="P344" s="531"/>
      <c r="Q344" s="531"/>
      <c r="R344" s="531"/>
      <c r="S344" s="531"/>
      <c r="T344" s="531"/>
      <c r="U344" s="531"/>
      <c r="V344" s="531"/>
      <c r="W344" s="531"/>
      <c r="X344" s="531"/>
      <c r="Y344" s="531"/>
      <c r="Z344" s="531"/>
      <c r="AA344" s="531"/>
      <c r="AB344" s="531"/>
      <c r="AC344" s="531"/>
      <c r="AD344" s="531"/>
      <c r="AE344" s="531"/>
      <c r="AF344" s="531"/>
      <c r="AG344" s="531"/>
      <c r="AH344" s="532"/>
      <c r="AI344" s="532"/>
      <c r="AJ344" s="532"/>
      <c r="AK344" s="532"/>
      <c r="AL344" s="532"/>
      <c r="AM344" s="532"/>
      <c r="AN344" s="532"/>
      <c r="AO344" s="532"/>
      <c r="AP344" s="532"/>
      <c r="AQ344" s="532"/>
      <c r="AR344" s="532"/>
      <c r="AS344" s="532"/>
      <c r="AT344" s="532"/>
      <c r="AU344" s="532"/>
      <c r="AV344" s="532"/>
      <c r="AW344" s="532"/>
      <c r="AX344" s="532"/>
      <c r="AY344" s="532"/>
      <c r="AZ344" s="532"/>
      <c r="BA344" s="532"/>
      <c r="BB344" s="532"/>
      <c r="BC344" s="532"/>
      <c r="BD344" s="532"/>
      <c r="BE344" s="532"/>
      <c r="BF344" s="532"/>
      <c r="BG344" s="532"/>
      <c r="BH344" s="532"/>
      <c r="BI344" s="532"/>
      <c r="BJ344" s="532"/>
      <c r="BK344" s="532"/>
      <c r="BL344" s="532"/>
      <c r="BM344" s="532"/>
      <c r="BN344" s="532"/>
      <c r="BO344" s="532"/>
      <c r="BP344" s="532"/>
      <c r="BQ344" s="532"/>
      <c r="BR344" s="532"/>
      <c r="BS344" s="532"/>
      <c r="BT344" s="532"/>
      <c r="BU344" s="532"/>
      <c r="BV344" s="532"/>
      <c r="BW344" s="532"/>
      <c r="BX344" s="532"/>
      <c r="BY344" s="532"/>
      <c r="BZ344" s="532"/>
      <c r="CA344" s="532"/>
      <c r="CB344" s="532"/>
      <c r="CC344" s="532"/>
      <c r="CD344" s="532"/>
      <c r="CE344" s="532"/>
      <c r="CF344" s="532"/>
      <c r="CG344" s="532"/>
      <c r="CH344" s="532"/>
      <c r="CI344" s="532"/>
      <c r="CJ344" s="532"/>
      <c r="CK344" s="532"/>
      <c r="CL344" s="532"/>
      <c r="CM344" s="532"/>
      <c r="CN344" s="532"/>
      <c r="CO344" s="532"/>
      <c r="CP344" s="532"/>
      <c r="CQ344" s="532"/>
      <c r="CR344" s="532"/>
      <c r="CS344" s="532"/>
      <c r="CT344" s="532"/>
      <c r="CU344" s="532"/>
      <c r="CV344" s="532"/>
      <c r="CW344" s="532"/>
      <c r="CX344" s="532"/>
      <c r="CY344" s="532"/>
      <c r="CZ344" s="532"/>
      <c r="DA344" s="532"/>
      <c r="DB344" s="532"/>
      <c r="DC344" s="532"/>
      <c r="DD344" s="532"/>
      <c r="DE344" s="532"/>
      <c r="DF344" s="532"/>
      <c r="DG344" s="532"/>
      <c r="DH344" s="532"/>
      <c r="DI344" s="532"/>
      <c r="DJ344" s="532"/>
      <c r="DK344" s="532"/>
      <c r="DL344" s="532"/>
      <c r="DM344" s="532"/>
      <c r="DN344" s="532"/>
      <c r="DO344" s="532"/>
      <c r="DP344" s="532"/>
      <c r="DQ344" s="532"/>
      <c r="DR344" s="532"/>
      <c r="DS344" s="532"/>
      <c r="DT344" s="532"/>
      <c r="DU344" s="532"/>
      <c r="DV344" s="532"/>
      <c r="DW344" s="532"/>
      <c r="DX344" s="532"/>
      <c r="DY344" s="532"/>
      <c r="DZ344" s="532"/>
      <c r="EA344" s="532"/>
      <c r="EB344" s="532"/>
      <c r="EC344" s="532"/>
      <c r="ED344" s="532"/>
      <c r="EE344" s="532"/>
      <c r="EF344" s="532"/>
      <c r="EG344" s="532"/>
      <c r="EH344" s="532"/>
      <c r="EI344" s="532"/>
      <c r="EJ344" s="532"/>
      <c r="EK344" s="532"/>
      <c r="EL344" s="532"/>
      <c r="EM344" s="532"/>
      <c r="EN344" s="532"/>
      <c r="EO344" s="532"/>
      <c r="EP344" s="532"/>
      <c r="EQ344" s="532"/>
      <c r="ER344" s="532"/>
      <c r="ES344" s="532"/>
      <c r="ET344" s="532"/>
      <c r="EU344" s="532"/>
      <c r="EV344" s="532"/>
      <c r="EW344" s="532"/>
      <c r="EX344" s="532"/>
      <c r="EY344" s="532"/>
      <c r="EZ344" s="532"/>
      <c r="FA344" s="532"/>
      <c r="FB344" s="532"/>
      <c r="FC344" s="532"/>
      <c r="FD344" s="532"/>
      <c r="FE344" s="532"/>
      <c r="FF344" s="532"/>
      <c r="FG344" s="532"/>
      <c r="FH344" s="532"/>
      <c r="FI344" s="532"/>
      <c r="FJ344" s="532"/>
      <c r="FK344" s="532"/>
      <c r="FL344" s="532"/>
      <c r="FM344" s="532"/>
      <c r="FN344" s="532"/>
      <c r="FO344" s="532"/>
      <c r="FP344" s="532"/>
    </row>
    <row r="345" spans="1:172" ht="12" customHeight="1" x14ac:dyDescent="0.2">
      <c r="A345" s="533" t="s">
        <v>198</v>
      </c>
      <c r="B345" s="534" t="s">
        <v>199</v>
      </c>
      <c r="C345" s="208">
        <v>8026</v>
      </c>
      <c r="D345" s="208">
        <v>8279</v>
      </c>
      <c r="E345" s="666">
        <v>7518</v>
      </c>
      <c r="F345" s="666">
        <v>7394</v>
      </c>
      <c r="G345" s="666">
        <v>8238</v>
      </c>
      <c r="H345" s="666">
        <v>8550</v>
      </c>
      <c r="I345" s="666">
        <v>8318</v>
      </c>
      <c r="J345" s="666">
        <v>8002</v>
      </c>
      <c r="K345" s="658">
        <v>7022</v>
      </c>
      <c r="L345" s="562">
        <v>8174</v>
      </c>
      <c r="M345" s="562">
        <v>8787</v>
      </c>
      <c r="N345" s="562">
        <v>8772</v>
      </c>
      <c r="O345" s="530">
        <f>SUM(C345:N345)</f>
        <v>97080</v>
      </c>
      <c r="P345" s="531"/>
      <c r="Q345" s="531"/>
      <c r="R345" s="531"/>
      <c r="S345" s="531"/>
      <c r="T345" s="531"/>
      <c r="U345" s="531"/>
      <c r="V345" s="531"/>
      <c r="W345" s="531"/>
      <c r="X345" s="531"/>
      <c r="Y345" s="531"/>
      <c r="Z345" s="531"/>
      <c r="AA345" s="531"/>
      <c r="AB345" s="531"/>
      <c r="AC345" s="531"/>
      <c r="AD345" s="531"/>
      <c r="AE345" s="531"/>
      <c r="AF345" s="531"/>
      <c r="AG345" s="531"/>
      <c r="AH345" s="532"/>
      <c r="AI345" s="532"/>
      <c r="AJ345" s="532"/>
      <c r="AK345" s="532"/>
      <c r="AL345" s="532"/>
      <c r="AM345" s="532"/>
      <c r="AN345" s="532"/>
      <c r="AO345" s="532"/>
      <c r="AP345" s="532"/>
      <c r="AQ345" s="532"/>
      <c r="AR345" s="532"/>
      <c r="AS345" s="532"/>
      <c r="AT345" s="532"/>
      <c r="AU345" s="532"/>
      <c r="AV345" s="532"/>
      <c r="AW345" s="532"/>
      <c r="AX345" s="532"/>
      <c r="AY345" s="532"/>
      <c r="AZ345" s="532"/>
      <c r="BA345" s="532"/>
      <c r="BB345" s="532"/>
      <c r="BC345" s="532"/>
      <c r="BD345" s="532"/>
      <c r="BE345" s="532"/>
      <c r="BF345" s="532"/>
      <c r="BG345" s="532"/>
      <c r="BH345" s="532"/>
      <c r="BI345" s="532"/>
      <c r="BJ345" s="532"/>
      <c r="BK345" s="532"/>
      <c r="BL345" s="532"/>
      <c r="BM345" s="532"/>
      <c r="BN345" s="532"/>
      <c r="BO345" s="532"/>
      <c r="BP345" s="532"/>
      <c r="BQ345" s="532"/>
      <c r="BR345" s="532"/>
      <c r="BS345" s="532"/>
      <c r="BT345" s="532"/>
      <c r="BU345" s="532"/>
      <c r="BV345" s="532"/>
      <c r="BW345" s="532"/>
      <c r="BX345" s="532"/>
      <c r="BY345" s="532"/>
      <c r="BZ345" s="532"/>
      <c r="CA345" s="532"/>
      <c r="CB345" s="532"/>
      <c r="CC345" s="532"/>
      <c r="CD345" s="532"/>
      <c r="CE345" s="532"/>
      <c r="CF345" s="532"/>
      <c r="CG345" s="532"/>
      <c r="CH345" s="532"/>
      <c r="CI345" s="532"/>
      <c r="CJ345" s="532"/>
      <c r="CK345" s="532"/>
      <c r="CL345" s="532"/>
      <c r="CM345" s="532"/>
      <c r="CN345" s="532"/>
      <c r="CO345" s="532"/>
      <c r="CP345" s="532"/>
      <c r="CQ345" s="532"/>
      <c r="CR345" s="532"/>
      <c r="CS345" s="532"/>
      <c r="CT345" s="532"/>
      <c r="CU345" s="532"/>
      <c r="CV345" s="532"/>
      <c r="CW345" s="532"/>
      <c r="CX345" s="532"/>
      <c r="CY345" s="532"/>
      <c r="CZ345" s="532"/>
      <c r="DA345" s="532"/>
      <c r="DB345" s="532"/>
      <c r="DC345" s="532"/>
      <c r="DD345" s="532"/>
      <c r="DE345" s="532"/>
      <c r="DF345" s="532"/>
      <c r="DG345" s="532"/>
      <c r="DH345" s="532"/>
      <c r="DI345" s="532"/>
      <c r="DJ345" s="532"/>
      <c r="DK345" s="532"/>
      <c r="DL345" s="532"/>
      <c r="DM345" s="532"/>
      <c r="DN345" s="532"/>
      <c r="DO345" s="532"/>
      <c r="DP345" s="532"/>
      <c r="DQ345" s="532"/>
      <c r="DR345" s="532"/>
      <c r="DS345" s="532"/>
      <c r="DT345" s="532"/>
      <c r="DU345" s="532"/>
      <c r="DV345" s="532"/>
      <c r="DW345" s="532"/>
      <c r="DX345" s="532"/>
      <c r="DY345" s="532"/>
      <c r="DZ345" s="532"/>
      <c r="EA345" s="532"/>
      <c r="EB345" s="532"/>
      <c r="EC345" s="532"/>
      <c r="ED345" s="532"/>
      <c r="EE345" s="532"/>
      <c r="EF345" s="532"/>
      <c r="EG345" s="532"/>
      <c r="EH345" s="532"/>
      <c r="EI345" s="532"/>
      <c r="EJ345" s="532"/>
      <c r="EK345" s="532"/>
      <c r="EL345" s="532"/>
      <c r="EM345" s="532"/>
      <c r="EN345" s="532"/>
      <c r="EO345" s="532"/>
      <c r="EP345" s="532"/>
      <c r="EQ345" s="532"/>
      <c r="ER345" s="532"/>
      <c r="ES345" s="532"/>
      <c r="ET345" s="532"/>
      <c r="EU345" s="532"/>
      <c r="EV345" s="532"/>
      <c r="EW345" s="532"/>
      <c r="EX345" s="532"/>
      <c r="EY345" s="532"/>
      <c r="EZ345" s="532"/>
      <c r="FA345" s="532"/>
      <c r="FB345" s="532"/>
      <c r="FC345" s="532"/>
      <c r="FD345" s="532"/>
      <c r="FE345" s="532"/>
      <c r="FF345" s="532"/>
      <c r="FG345" s="532"/>
      <c r="FH345" s="532"/>
      <c r="FI345" s="532"/>
      <c r="FJ345" s="532"/>
      <c r="FK345" s="532"/>
      <c r="FL345" s="532"/>
      <c r="FM345" s="532"/>
      <c r="FN345" s="532"/>
      <c r="FO345" s="532"/>
      <c r="FP345" s="532"/>
    </row>
    <row r="346" spans="1:172" ht="12" customHeight="1" x14ac:dyDescent="0.2">
      <c r="A346" s="533"/>
      <c r="B346" s="534"/>
      <c r="C346" s="534"/>
      <c r="D346" s="534"/>
      <c r="E346" s="534"/>
      <c r="F346" s="534"/>
      <c r="G346" s="534"/>
      <c r="H346" s="534"/>
      <c r="I346" s="534"/>
      <c r="J346" s="534"/>
      <c r="K346" s="658"/>
      <c r="L346" s="562"/>
      <c r="M346" s="562"/>
      <c r="N346" s="562"/>
      <c r="O346" s="530"/>
      <c r="P346" s="531"/>
      <c r="Q346" s="531"/>
      <c r="R346" s="531"/>
      <c r="S346" s="531"/>
      <c r="T346" s="531"/>
      <c r="U346" s="531"/>
      <c r="V346" s="531"/>
      <c r="W346" s="531"/>
      <c r="X346" s="531"/>
      <c r="Y346" s="531"/>
      <c r="Z346" s="531"/>
      <c r="AA346" s="531"/>
      <c r="AB346" s="531"/>
      <c r="AC346" s="531"/>
      <c r="AD346" s="531"/>
      <c r="AE346" s="531"/>
      <c r="AF346" s="531"/>
      <c r="AG346" s="531"/>
      <c r="AH346" s="532"/>
      <c r="AI346" s="532"/>
      <c r="AJ346" s="532"/>
      <c r="AK346" s="532"/>
      <c r="AL346" s="532"/>
      <c r="AM346" s="532"/>
      <c r="AN346" s="532"/>
      <c r="AO346" s="532"/>
      <c r="AP346" s="532"/>
      <c r="AQ346" s="532"/>
      <c r="AR346" s="532"/>
      <c r="AS346" s="532"/>
      <c r="AT346" s="532"/>
      <c r="AU346" s="532"/>
      <c r="AV346" s="532"/>
      <c r="AW346" s="532"/>
      <c r="AX346" s="532"/>
      <c r="AY346" s="532"/>
      <c r="AZ346" s="532"/>
      <c r="BA346" s="532"/>
      <c r="BB346" s="532"/>
      <c r="BC346" s="532"/>
      <c r="BD346" s="532"/>
      <c r="BE346" s="532"/>
      <c r="BF346" s="532"/>
      <c r="BG346" s="532"/>
      <c r="BH346" s="532"/>
      <c r="BI346" s="532"/>
      <c r="BJ346" s="532"/>
      <c r="BK346" s="532"/>
      <c r="BL346" s="532"/>
      <c r="BM346" s="532"/>
      <c r="BN346" s="532"/>
      <c r="BO346" s="532"/>
      <c r="BP346" s="532"/>
      <c r="BQ346" s="532"/>
      <c r="BR346" s="532"/>
      <c r="BS346" s="532"/>
      <c r="BT346" s="532"/>
      <c r="BU346" s="532"/>
      <c r="BV346" s="532"/>
      <c r="BW346" s="532"/>
      <c r="BX346" s="532"/>
      <c r="BY346" s="532"/>
      <c r="BZ346" s="532"/>
      <c r="CA346" s="532"/>
      <c r="CB346" s="532"/>
      <c r="CC346" s="532"/>
      <c r="CD346" s="532"/>
      <c r="CE346" s="532"/>
      <c r="CF346" s="532"/>
      <c r="CG346" s="532"/>
      <c r="CH346" s="532"/>
      <c r="CI346" s="532"/>
      <c r="CJ346" s="532"/>
      <c r="CK346" s="532"/>
      <c r="CL346" s="532"/>
      <c r="CM346" s="532"/>
      <c r="CN346" s="532"/>
      <c r="CO346" s="532"/>
      <c r="CP346" s="532"/>
      <c r="CQ346" s="532"/>
      <c r="CR346" s="532"/>
      <c r="CS346" s="532"/>
      <c r="CT346" s="532"/>
      <c r="CU346" s="532"/>
      <c r="CV346" s="532"/>
      <c r="CW346" s="532"/>
      <c r="CX346" s="532"/>
      <c r="CY346" s="532"/>
      <c r="CZ346" s="532"/>
      <c r="DA346" s="532"/>
      <c r="DB346" s="532"/>
      <c r="DC346" s="532"/>
      <c r="DD346" s="532"/>
      <c r="DE346" s="532"/>
      <c r="DF346" s="532"/>
      <c r="DG346" s="532"/>
      <c r="DH346" s="532"/>
      <c r="DI346" s="532"/>
      <c r="DJ346" s="532"/>
      <c r="DK346" s="532"/>
      <c r="DL346" s="532"/>
      <c r="DM346" s="532"/>
      <c r="DN346" s="532"/>
      <c r="DO346" s="532"/>
      <c r="DP346" s="532"/>
      <c r="DQ346" s="532"/>
      <c r="DR346" s="532"/>
      <c r="DS346" s="532"/>
      <c r="DT346" s="532"/>
      <c r="DU346" s="532"/>
      <c r="DV346" s="532"/>
      <c r="DW346" s="532"/>
      <c r="DX346" s="532"/>
      <c r="DY346" s="532"/>
      <c r="DZ346" s="532"/>
      <c r="EA346" s="532"/>
      <c r="EB346" s="532"/>
      <c r="EC346" s="532"/>
      <c r="ED346" s="532"/>
      <c r="EE346" s="532"/>
      <c r="EF346" s="532"/>
      <c r="EG346" s="532"/>
      <c r="EH346" s="532"/>
      <c r="EI346" s="532"/>
      <c r="EJ346" s="532"/>
      <c r="EK346" s="532"/>
      <c r="EL346" s="532"/>
      <c r="EM346" s="532"/>
      <c r="EN346" s="532"/>
      <c r="EO346" s="532"/>
      <c r="EP346" s="532"/>
      <c r="EQ346" s="532"/>
      <c r="ER346" s="532"/>
      <c r="ES346" s="532"/>
      <c r="ET346" s="532"/>
      <c r="EU346" s="532"/>
      <c r="EV346" s="532"/>
      <c r="EW346" s="532"/>
      <c r="EX346" s="532"/>
      <c r="EY346" s="532"/>
      <c r="EZ346" s="532"/>
      <c r="FA346" s="532"/>
      <c r="FB346" s="532"/>
      <c r="FC346" s="532"/>
      <c r="FD346" s="532"/>
      <c r="FE346" s="532"/>
      <c r="FF346" s="532"/>
      <c r="FG346" s="532"/>
      <c r="FH346" s="532"/>
      <c r="FI346" s="532"/>
      <c r="FJ346" s="532"/>
      <c r="FK346" s="532"/>
      <c r="FL346" s="532"/>
      <c r="FM346" s="532"/>
      <c r="FN346" s="532"/>
      <c r="FO346" s="532"/>
      <c r="FP346" s="532"/>
    </row>
    <row r="347" spans="1:172" ht="12" customHeight="1" x14ac:dyDescent="0.2">
      <c r="A347" s="533" t="s">
        <v>200</v>
      </c>
      <c r="B347" s="534" t="s">
        <v>201</v>
      </c>
      <c r="C347" s="208">
        <f>7+484</f>
        <v>491</v>
      </c>
      <c r="D347" s="208">
        <f>12+263</f>
        <v>275</v>
      </c>
      <c r="E347" s="208">
        <f>7+377</f>
        <v>384</v>
      </c>
      <c r="F347" s="208">
        <f>13+397</f>
        <v>410</v>
      </c>
      <c r="G347" s="208">
        <f>25+346</f>
        <v>371</v>
      </c>
      <c r="H347" s="208">
        <f>11+536</f>
        <v>547</v>
      </c>
      <c r="I347" s="208">
        <f>26+356</f>
        <v>382</v>
      </c>
      <c r="J347" s="208">
        <f>16+410</f>
        <v>426</v>
      </c>
      <c r="K347" s="208">
        <f>37+434</f>
        <v>471</v>
      </c>
      <c r="L347" s="562">
        <f>4+713</f>
        <v>717</v>
      </c>
      <c r="M347" s="562">
        <f>10+510</f>
        <v>520</v>
      </c>
      <c r="N347" s="562">
        <f>18+563</f>
        <v>581</v>
      </c>
      <c r="O347" s="530">
        <f>SUM(C347:N347)</f>
        <v>5575</v>
      </c>
      <c r="P347" s="531"/>
      <c r="Q347" s="531"/>
      <c r="R347" s="531"/>
      <c r="S347" s="531"/>
      <c r="T347" s="531"/>
      <c r="U347" s="531"/>
      <c r="V347" s="531"/>
      <c r="W347" s="531"/>
      <c r="X347" s="531"/>
      <c r="Y347" s="531"/>
      <c r="Z347" s="531"/>
      <c r="AA347" s="531"/>
      <c r="AB347" s="531"/>
      <c r="AC347" s="531"/>
      <c r="AD347" s="531"/>
      <c r="AE347" s="531"/>
      <c r="AF347" s="531"/>
      <c r="AG347" s="531"/>
      <c r="AH347" s="532"/>
      <c r="AI347" s="532"/>
      <c r="AJ347" s="532"/>
      <c r="AK347" s="532"/>
      <c r="AL347" s="532"/>
      <c r="AM347" s="532"/>
      <c r="AN347" s="532"/>
      <c r="AO347" s="532"/>
      <c r="AP347" s="532"/>
      <c r="AQ347" s="532"/>
      <c r="AR347" s="532"/>
      <c r="AS347" s="532"/>
      <c r="AT347" s="532"/>
      <c r="AU347" s="532"/>
      <c r="AV347" s="532"/>
      <c r="AW347" s="532"/>
      <c r="AX347" s="532"/>
      <c r="AY347" s="532"/>
      <c r="AZ347" s="532"/>
      <c r="BA347" s="532"/>
      <c r="BB347" s="532"/>
      <c r="BC347" s="532"/>
      <c r="BD347" s="532"/>
      <c r="BE347" s="532"/>
      <c r="BF347" s="532"/>
      <c r="BG347" s="532"/>
      <c r="BH347" s="532"/>
      <c r="BI347" s="532"/>
      <c r="BJ347" s="532"/>
      <c r="BK347" s="532"/>
      <c r="BL347" s="532"/>
      <c r="BM347" s="532"/>
      <c r="BN347" s="532"/>
      <c r="BO347" s="532"/>
      <c r="BP347" s="532"/>
      <c r="BQ347" s="532"/>
      <c r="BR347" s="532"/>
      <c r="BS347" s="532"/>
      <c r="BT347" s="532"/>
      <c r="BU347" s="532"/>
      <c r="BV347" s="532"/>
      <c r="BW347" s="532"/>
      <c r="BX347" s="532"/>
      <c r="BY347" s="532"/>
      <c r="BZ347" s="532"/>
      <c r="CA347" s="532"/>
      <c r="CB347" s="532"/>
      <c r="CC347" s="532"/>
      <c r="CD347" s="532"/>
      <c r="CE347" s="532"/>
      <c r="CF347" s="532"/>
      <c r="CG347" s="532"/>
      <c r="CH347" s="532"/>
      <c r="CI347" s="532"/>
      <c r="CJ347" s="532"/>
      <c r="CK347" s="532"/>
      <c r="CL347" s="532"/>
      <c r="CM347" s="532"/>
      <c r="CN347" s="532"/>
      <c r="CO347" s="532"/>
      <c r="CP347" s="532"/>
      <c r="CQ347" s="532"/>
      <c r="CR347" s="532"/>
      <c r="CS347" s="532"/>
      <c r="CT347" s="532"/>
      <c r="CU347" s="532"/>
      <c r="CV347" s="532"/>
      <c r="CW347" s="532"/>
      <c r="CX347" s="532"/>
      <c r="CY347" s="532"/>
      <c r="CZ347" s="532"/>
      <c r="DA347" s="532"/>
      <c r="DB347" s="532"/>
      <c r="DC347" s="532"/>
      <c r="DD347" s="532"/>
      <c r="DE347" s="532"/>
      <c r="DF347" s="532"/>
      <c r="DG347" s="532"/>
      <c r="DH347" s="532"/>
      <c r="DI347" s="532"/>
      <c r="DJ347" s="532"/>
      <c r="DK347" s="532"/>
      <c r="DL347" s="532"/>
      <c r="DM347" s="532"/>
      <c r="DN347" s="532"/>
      <c r="DO347" s="532"/>
      <c r="DP347" s="532"/>
      <c r="DQ347" s="532"/>
      <c r="DR347" s="532"/>
      <c r="DS347" s="532"/>
      <c r="DT347" s="532"/>
      <c r="DU347" s="532"/>
      <c r="DV347" s="532"/>
      <c r="DW347" s="532"/>
      <c r="DX347" s="532"/>
      <c r="DY347" s="532"/>
      <c r="DZ347" s="532"/>
      <c r="EA347" s="532"/>
      <c r="EB347" s="532"/>
      <c r="EC347" s="532"/>
      <c r="ED347" s="532"/>
      <c r="EE347" s="532"/>
      <c r="EF347" s="532"/>
      <c r="EG347" s="532"/>
      <c r="EH347" s="532"/>
      <c r="EI347" s="532"/>
      <c r="EJ347" s="532"/>
      <c r="EK347" s="532"/>
      <c r="EL347" s="532"/>
      <c r="EM347" s="532"/>
      <c r="EN347" s="532"/>
      <c r="EO347" s="532"/>
      <c r="EP347" s="532"/>
      <c r="EQ347" s="532"/>
      <c r="ER347" s="532"/>
      <c r="ES347" s="532"/>
      <c r="ET347" s="532"/>
      <c r="EU347" s="532"/>
      <c r="EV347" s="532"/>
      <c r="EW347" s="532"/>
      <c r="EX347" s="532"/>
      <c r="EY347" s="532"/>
      <c r="EZ347" s="532"/>
      <c r="FA347" s="532"/>
      <c r="FB347" s="532"/>
      <c r="FC347" s="532"/>
      <c r="FD347" s="532"/>
      <c r="FE347" s="532"/>
      <c r="FF347" s="532"/>
      <c r="FG347" s="532"/>
      <c r="FH347" s="532"/>
      <c r="FI347" s="532"/>
      <c r="FJ347" s="532"/>
      <c r="FK347" s="532"/>
      <c r="FL347" s="532"/>
      <c r="FM347" s="532"/>
      <c r="FN347" s="532"/>
      <c r="FO347" s="532"/>
      <c r="FP347" s="532"/>
    </row>
    <row r="348" spans="1:172" ht="12" customHeight="1" x14ac:dyDescent="0.2">
      <c r="A348" s="533" t="s">
        <v>202</v>
      </c>
      <c r="B348" s="534" t="s">
        <v>203</v>
      </c>
      <c r="C348" s="208">
        <v>789</v>
      </c>
      <c r="D348" s="208">
        <v>834</v>
      </c>
      <c r="E348" s="208">
        <v>755</v>
      </c>
      <c r="F348" s="208">
        <v>913</v>
      </c>
      <c r="G348" s="208">
        <v>771</v>
      </c>
      <c r="H348" s="208">
        <v>832</v>
      </c>
      <c r="I348" s="208">
        <v>764</v>
      </c>
      <c r="J348" s="208">
        <v>823</v>
      </c>
      <c r="K348" s="208">
        <v>922</v>
      </c>
      <c r="L348" s="562">
        <v>686</v>
      </c>
      <c r="M348" s="562">
        <v>924</v>
      </c>
      <c r="N348" s="562">
        <v>813</v>
      </c>
      <c r="O348" s="530">
        <f>SUM(C348:N348)</f>
        <v>9826</v>
      </c>
      <c r="P348" s="531"/>
      <c r="Q348" s="531"/>
      <c r="R348" s="531"/>
      <c r="S348" s="531"/>
      <c r="T348" s="531"/>
      <c r="U348" s="531"/>
      <c r="V348" s="531"/>
      <c r="W348" s="531"/>
      <c r="X348" s="531"/>
      <c r="Y348" s="531"/>
      <c r="Z348" s="531"/>
      <c r="AA348" s="531"/>
      <c r="AB348" s="531"/>
      <c r="AC348" s="531"/>
      <c r="AD348" s="531"/>
      <c r="AE348" s="531"/>
      <c r="AF348" s="531"/>
      <c r="AG348" s="531"/>
      <c r="AH348" s="532"/>
      <c r="AI348" s="532"/>
      <c r="AJ348" s="532"/>
      <c r="AK348" s="532"/>
      <c r="AL348" s="532"/>
      <c r="AM348" s="532"/>
      <c r="AN348" s="532"/>
      <c r="AO348" s="532"/>
      <c r="AP348" s="532"/>
      <c r="AQ348" s="532"/>
      <c r="AR348" s="532"/>
      <c r="AS348" s="532"/>
      <c r="AT348" s="532"/>
      <c r="AU348" s="532"/>
      <c r="AV348" s="532"/>
      <c r="AW348" s="532"/>
      <c r="AX348" s="532"/>
      <c r="AY348" s="532"/>
      <c r="AZ348" s="532"/>
      <c r="BA348" s="532"/>
      <c r="BB348" s="532"/>
      <c r="BC348" s="532"/>
      <c r="BD348" s="532"/>
      <c r="BE348" s="532"/>
      <c r="BF348" s="532"/>
      <c r="BG348" s="532"/>
      <c r="BH348" s="532"/>
      <c r="BI348" s="532"/>
      <c r="BJ348" s="532"/>
      <c r="BK348" s="532"/>
      <c r="BL348" s="532"/>
      <c r="BM348" s="532"/>
      <c r="BN348" s="532"/>
      <c r="BO348" s="532"/>
      <c r="BP348" s="532"/>
      <c r="BQ348" s="532"/>
      <c r="BR348" s="532"/>
      <c r="BS348" s="532"/>
      <c r="BT348" s="532"/>
      <c r="BU348" s="532"/>
      <c r="BV348" s="532"/>
      <c r="BW348" s="532"/>
      <c r="BX348" s="532"/>
      <c r="BY348" s="532"/>
      <c r="BZ348" s="532"/>
      <c r="CA348" s="532"/>
      <c r="CB348" s="532"/>
      <c r="CC348" s="532"/>
      <c r="CD348" s="532"/>
      <c r="CE348" s="532"/>
      <c r="CF348" s="532"/>
      <c r="CG348" s="532"/>
      <c r="CH348" s="532"/>
      <c r="CI348" s="532"/>
      <c r="CJ348" s="532"/>
      <c r="CK348" s="532"/>
      <c r="CL348" s="532"/>
      <c r="CM348" s="532"/>
      <c r="CN348" s="532"/>
      <c r="CO348" s="532"/>
      <c r="CP348" s="532"/>
      <c r="CQ348" s="532"/>
      <c r="CR348" s="532"/>
      <c r="CS348" s="532"/>
      <c r="CT348" s="532"/>
      <c r="CU348" s="532"/>
      <c r="CV348" s="532"/>
      <c r="CW348" s="532"/>
      <c r="CX348" s="532"/>
      <c r="CY348" s="532"/>
      <c r="CZ348" s="532"/>
      <c r="DA348" s="532"/>
      <c r="DB348" s="532"/>
      <c r="DC348" s="532"/>
      <c r="DD348" s="532"/>
      <c r="DE348" s="532"/>
      <c r="DF348" s="532"/>
      <c r="DG348" s="532"/>
      <c r="DH348" s="532"/>
      <c r="DI348" s="532"/>
      <c r="DJ348" s="532"/>
      <c r="DK348" s="532"/>
      <c r="DL348" s="532"/>
      <c r="DM348" s="532"/>
      <c r="DN348" s="532"/>
      <c r="DO348" s="532"/>
      <c r="DP348" s="532"/>
      <c r="DQ348" s="532"/>
      <c r="DR348" s="532"/>
      <c r="DS348" s="532"/>
      <c r="DT348" s="532"/>
      <c r="DU348" s="532"/>
      <c r="DV348" s="532"/>
      <c r="DW348" s="532"/>
      <c r="DX348" s="532"/>
      <c r="DY348" s="532"/>
      <c r="DZ348" s="532"/>
      <c r="EA348" s="532"/>
      <c r="EB348" s="532"/>
      <c r="EC348" s="532"/>
      <c r="ED348" s="532"/>
      <c r="EE348" s="532"/>
      <c r="EF348" s="532"/>
      <c r="EG348" s="532"/>
      <c r="EH348" s="532"/>
      <c r="EI348" s="532"/>
      <c r="EJ348" s="532"/>
      <c r="EK348" s="532"/>
      <c r="EL348" s="532"/>
      <c r="EM348" s="532"/>
      <c r="EN348" s="532"/>
      <c r="EO348" s="532"/>
      <c r="EP348" s="532"/>
      <c r="EQ348" s="532"/>
      <c r="ER348" s="532"/>
      <c r="ES348" s="532"/>
      <c r="ET348" s="532"/>
      <c r="EU348" s="532"/>
      <c r="EV348" s="532"/>
      <c r="EW348" s="532"/>
      <c r="EX348" s="532"/>
      <c r="EY348" s="532"/>
      <c r="EZ348" s="532"/>
      <c r="FA348" s="532"/>
      <c r="FB348" s="532"/>
      <c r="FC348" s="532"/>
      <c r="FD348" s="532"/>
      <c r="FE348" s="532"/>
      <c r="FF348" s="532"/>
      <c r="FG348" s="532"/>
      <c r="FH348" s="532"/>
      <c r="FI348" s="532"/>
      <c r="FJ348" s="532"/>
      <c r="FK348" s="532"/>
      <c r="FL348" s="532"/>
      <c r="FM348" s="532"/>
      <c r="FN348" s="532"/>
      <c r="FO348" s="532"/>
      <c r="FP348" s="532"/>
    </row>
    <row r="349" spans="1:172" ht="12" customHeight="1" x14ac:dyDescent="0.2">
      <c r="A349" s="533" t="s">
        <v>204</v>
      </c>
      <c r="B349" s="534" t="s">
        <v>55</v>
      </c>
      <c r="C349" s="208">
        <f t="shared" ref="C349:N349" si="162">SUM(C347:C348)</f>
        <v>1280</v>
      </c>
      <c r="D349" s="208">
        <f t="shared" si="162"/>
        <v>1109</v>
      </c>
      <c r="E349" s="208">
        <f t="shared" si="162"/>
        <v>1139</v>
      </c>
      <c r="F349" s="208">
        <f t="shared" si="162"/>
        <v>1323</v>
      </c>
      <c r="G349" s="208">
        <f t="shared" si="162"/>
        <v>1142</v>
      </c>
      <c r="H349" s="208">
        <f t="shared" si="162"/>
        <v>1379</v>
      </c>
      <c r="I349" s="208">
        <f t="shared" si="162"/>
        <v>1146</v>
      </c>
      <c r="J349" s="208">
        <f t="shared" si="162"/>
        <v>1249</v>
      </c>
      <c r="K349" s="208">
        <f t="shared" si="162"/>
        <v>1393</v>
      </c>
      <c r="L349" s="562">
        <f t="shared" si="162"/>
        <v>1403</v>
      </c>
      <c r="M349" s="562">
        <f t="shared" si="162"/>
        <v>1444</v>
      </c>
      <c r="N349" s="562">
        <f t="shared" si="162"/>
        <v>1394</v>
      </c>
      <c r="O349" s="530">
        <f>SUM(C349:N349)</f>
        <v>15401</v>
      </c>
      <c r="P349" s="531"/>
      <c r="Q349" s="531"/>
      <c r="R349" s="531"/>
      <c r="S349" s="531"/>
      <c r="T349" s="531"/>
      <c r="U349" s="531"/>
      <c r="V349" s="531"/>
      <c r="W349" s="531"/>
      <c r="X349" s="531"/>
      <c r="Y349" s="531"/>
      <c r="Z349" s="531"/>
      <c r="AA349" s="531"/>
      <c r="AB349" s="531"/>
      <c r="AC349" s="531"/>
      <c r="AD349" s="531"/>
      <c r="AE349" s="531"/>
      <c r="AF349" s="531"/>
      <c r="AG349" s="531"/>
      <c r="AH349" s="532"/>
      <c r="AI349" s="532"/>
      <c r="AJ349" s="532"/>
      <c r="AK349" s="532"/>
      <c r="AL349" s="532"/>
      <c r="AM349" s="532"/>
      <c r="AN349" s="532"/>
      <c r="AO349" s="532"/>
      <c r="AP349" s="532"/>
      <c r="AQ349" s="532"/>
      <c r="AR349" s="532"/>
      <c r="AS349" s="532"/>
      <c r="AT349" s="532"/>
      <c r="AU349" s="532"/>
      <c r="AV349" s="532"/>
      <c r="AW349" s="532"/>
      <c r="AX349" s="532"/>
      <c r="AY349" s="532"/>
      <c r="AZ349" s="532"/>
      <c r="BA349" s="532"/>
      <c r="BB349" s="532"/>
      <c r="BC349" s="532"/>
      <c r="BD349" s="532"/>
      <c r="BE349" s="532"/>
      <c r="BF349" s="532"/>
      <c r="BG349" s="532"/>
      <c r="BH349" s="532"/>
      <c r="BI349" s="532"/>
      <c r="BJ349" s="532"/>
      <c r="BK349" s="532"/>
      <c r="BL349" s="532"/>
      <c r="BM349" s="532"/>
      <c r="BN349" s="532"/>
      <c r="BO349" s="532"/>
      <c r="BP349" s="532"/>
      <c r="BQ349" s="532"/>
      <c r="BR349" s="532"/>
      <c r="BS349" s="532"/>
      <c r="BT349" s="532"/>
      <c r="BU349" s="532"/>
      <c r="BV349" s="532"/>
      <c r="BW349" s="532"/>
      <c r="BX349" s="532"/>
      <c r="BY349" s="532"/>
      <c r="BZ349" s="532"/>
      <c r="CA349" s="532"/>
      <c r="CB349" s="532"/>
      <c r="CC349" s="532"/>
      <c r="CD349" s="532"/>
      <c r="CE349" s="532"/>
      <c r="CF349" s="532"/>
      <c r="CG349" s="532"/>
      <c r="CH349" s="532"/>
      <c r="CI349" s="532"/>
      <c r="CJ349" s="532"/>
      <c r="CK349" s="532"/>
      <c r="CL349" s="532"/>
      <c r="CM349" s="532"/>
      <c r="CN349" s="532"/>
      <c r="CO349" s="532"/>
      <c r="CP349" s="532"/>
      <c r="CQ349" s="532"/>
      <c r="CR349" s="532"/>
      <c r="CS349" s="532"/>
      <c r="CT349" s="532"/>
      <c r="CU349" s="532"/>
      <c r="CV349" s="532"/>
      <c r="CW349" s="532"/>
      <c r="CX349" s="532"/>
      <c r="CY349" s="532"/>
      <c r="CZ349" s="532"/>
      <c r="DA349" s="532"/>
      <c r="DB349" s="532"/>
      <c r="DC349" s="532"/>
      <c r="DD349" s="532"/>
      <c r="DE349" s="532"/>
      <c r="DF349" s="532"/>
      <c r="DG349" s="532"/>
      <c r="DH349" s="532"/>
      <c r="DI349" s="532"/>
      <c r="DJ349" s="532"/>
      <c r="DK349" s="532"/>
      <c r="DL349" s="532"/>
      <c r="DM349" s="532"/>
      <c r="DN349" s="532"/>
      <c r="DO349" s="532"/>
      <c r="DP349" s="532"/>
      <c r="DQ349" s="532"/>
      <c r="DR349" s="532"/>
      <c r="DS349" s="532"/>
      <c r="DT349" s="532"/>
      <c r="DU349" s="532"/>
      <c r="DV349" s="532"/>
      <c r="DW349" s="532"/>
      <c r="DX349" s="532"/>
      <c r="DY349" s="532"/>
      <c r="DZ349" s="532"/>
      <c r="EA349" s="532"/>
      <c r="EB349" s="532"/>
      <c r="EC349" s="532"/>
      <c r="ED349" s="532"/>
      <c r="EE349" s="532"/>
      <c r="EF349" s="532"/>
      <c r="EG349" s="532"/>
      <c r="EH349" s="532"/>
      <c r="EI349" s="532"/>
      <c r="EJ349" s="532"/>
      <c r="EK349" s="532"/>
      <c r="EL349" s="532"/>
      <c r="EM349" s="532"/>
      <c r="EN349" s="532"/>
      <c r="EO349" s="532"/>
      <c r="EP349" s="532"/>
      <c r="EQ349" s="532"/>
      <c r="ER349" s="532"/>
      <c r="ES349" s="532"/>
      <c r="ET349" s="532"/>
      <c r="EU349" s="532"/>
      <c r="EV349" s="532"/>
      <c r="EW349" s="532"/>
      <c r="EX349" s="532"/>
      <c r="EY349" s="532"/>
      <c r="EZ349" s="532"/>
      <c r="FA349" s="532"/>
      <c r="FB349" s="532"/>
      <c r="FC349" s="532"/>
      <c r="FD349" s="532"/>
      <c r="FE349" s="532"/>
      <c r="FF349" s="532"/>
      <c r="FG349" s="532"/>
      <c r="FH349" s="532"/>
      <c r="FI349" s="532"/>
      <c r="FJ349" s="532"/>
      <c r="FK349" s="532"/>
      <c r="FL349" s="532"/>
      <c r="FM349" s="532"/>
      <c r="FN349" s="532"/>
      <c r="FO349" s="532"/>
      <c r="FP349" s="532"/>
    </row>
    <row r="350" spans="1:172" ht="12" customHeight="1" x14ac:dyDescent="0.2">
      <c r="A350" s="533"/>
      <c r="B350" s="534"/>
      <c r="C350" s="534"/>
      <c r="D350" s="534"/>
      <c r="E350" s="534"/>
      <c r="F350" s="534"/>
      <c r="G350" s="534"/>
      <c r="H350" s="534"/>
      <c r="I350" s="534"/>
      <c r="J350" s="534"/>
      <c r="K350" s="658"/>
      <c r="L350" s="562"/>
      <c r="M350" s="562"/>
      <c r="N350" s="562"/>
      <c r="O350" s="530"/>
      <c r="P350" s="531"/>
      <c r="Q350" s="531"/>
      <c r="R350" s="531"/>
      <c r="S350" s="531"/>
      <c r="T350" s="531"/>
      <c r="U350" s="531"/>
      <c r="V350" s="531"/>
      <c r="W350" s="531"/>
      <c r="X350" s="531"/>
      <c r="Y350" s="531"/>
      <c r="Z350" s="531"/>
      <c r="AA350" s="531"/>
      <c r="AB350" s="531"/>
      <c r="AC350" s="531"/>
      <c r="AD350" s="531"/>
      <c r="AE350" s="531"/>
      <c r="AF350" s="531"/>
      <c r="AG350" s="531"/>
      <c r="AH350" s="532"/>
      <c r="AI350" s="532"/>
      <c r="AJ350" s="532"/>
      <c r="AK350" s="532"/>
      <c r="AL350" s="532"/>
      <c r="AM350" s="532"/>
      <c r="AN350" s="532"/>
      <c r="AO350" s="532"/>
      <c r="AP350" s="532"/>
      <c r="AQ350" s="532"/>
      <c r="AR350" s="532"/>
      <c r="AS350" s="532"/>
      <c r="AT350" s="532"/>
      <c r="AU350" s="532"/>
      <c r="AV350" s="532"/>
      <c r="AW350" s="532"/>
      <c r="AX350" s="532"/>
      <c r="AY350" s="532"/>
      <c r="AZ350" s="532"/>
      <c r="BA350" s="532"/>
      <c r="BB350" s="532"/>
      <c r="BC350" s="532"/>
      <c r="BD350" s="532"/>
      <c r="BE350" s="532"/>
      <c r="BF350" s="532"/>
      <c r="BG350" s="532"/>
      <c r="BH350" s="532"/>
      <c r="BI350" s="532"/>
      <c r="BJ350" s="532"/>
      <c r="BK350" s="532"/>
      <c r="BL350" s="532"/>
      <c r="BM350" s="532"/>
      <c r="BN350" s="532"/>
      <c r="BO350" s="532"/>
      <c r="BP350" s="532"/>
      <c r="BQ350" s="532"/>
      <c r="BR350" s="532"/>
      <c r="BS350" s="532"/>
      <c r="BT350" s="532"/>
      <c r="BU350" s="532"/>
      <c r="BV350" s="532"/>
      <c r="BW350" s="532"/>
      <c r="BX350" s="532"/>
      <c r="BY350" s="532"/>
      <c r="BZ350" s="532"/>
      <c r="CA350" s="532"/>
      <c r="CB350" s="532"/>
      <c r="CC350" s="532"/>
      <c r="CD350" s="532"/>
      <c r="CE350" s="532"/>
      <c r="CF350" s="532"/>
      <c r="CG350" s="532"/>
      <c r="CH350" s="532"/>
      <c r="CI350" s="532"/>
      <c r="CJ350" s="532"/>
      <c r="CK350" s="532"/>
      <c r="CL350" s="532"/>
      <c r="CM350" s="532"/>
      <c r="CN350" s="532"/>
      <c r="CO350" s="532"/>
      <c r="CP350" s="532"/>
      <c r="CQ350" s="532"/>
      <c r="CR350" s="532"/>
      <c r="CS350" s="532"/>
      <c r="CT350" s="532"/>
      <c r="CU350" s="532"/>
      <c r="CV350" s="532"/>
      <c r="CW350" s="532"/>
      <c r="CX350" s="532"/>
      <c r="CY350" s="532"/>
      <c r="CZ350" s="532"/>
      <c r="DA350" s="532"/>
      <c r="DB350" s="532"/>
      <c r="DC350" s="532"/>
      <c r="DD350" s="532"/>
      <c r="DE350" s="532"/>
      <c r="DF350" s="532"/>
      <c r="DG350" s="532"/>
      <c r="DH350" s="532"/>
      <c r="DI350" s="532"/>
      <c r="DJ350" s="532"/>
      <c r="DK350" s="532"/>
      <c r="DL350" s="532"/>
      <c r="DM350" s="532"/>
      <c r="DN350" s="532"/>
      <c r="DO350" s="532"/>
      <c r="DP350" s="532"/>
      <c r="DQ350" s="532"/>
      <c r="DR350" s="532"/>
      <c r="DS350" s="532"/>
      <c r="DT350" s="532"/>
      <c r="DU350" s="532"/>
      <c r="DV350" s="532"/>
      <c r="DW350" s="532"/>
      <c r="DX350" s="532"/>
      <c r="DY350" s="532"/>
      <c r="DZ350" s="532"/>
      <c r="EA350" s="532"/>
      <c r="EB350" s="532"/>
      <c r="EC350" s="532"/>
      <c r="ED350" s="532"/>
      <c r="EE350" s="532"/>
      <c r="EF350" s="532"/>
      <c r="EG350" s="532"/>
      <c r="EH350" s="532"/>
      <c r="EI350" s="532"/>
      <c r="EJ350" s="532"/>
      <c r="EK350" s="532"/>
      <c r="EL350" s="532"/>
      <c r="EM350" s="532"/>
      <c r="EN350" s="532"/>
      <c r="EO350" s="532"/>
      <c r="EP350" s="532"/>
      <c r="EQ350" s="532"/>
      <c r="ER350" s="532"/>
      <c r="ES350" s="532"/>
      <c r="ET350" s="532"/>
      <c r="EU350" s="532"/>
      <c r="EV350" s="532"/>
      <c r="EW350" s="532"/>
      <c r="EX350" s="532"/>
      <c r="EY350" s="532"/>
      <c r="EZ350" s="532"/>
      <c r="FA350" s="532"/>
      <c r="FB350" s="532"/>
      <c r="FC350" s="532"/>
      <c r="FD350" s="532"/>
      <c r="FE350" s="532"/>
      <c r="FF350" s="532"/>
      <c r="FG350" s="532"/>
      <c r="FH350" s="532"/>
      <c r="FI350" s="532"/>
      <c r="FJ350" s="532"/>
      <c r="FK350" s="532"/>
      <c r="FL350" s="532"/>
      <c r="FM350" s="532"/>
      <c r="FN350" s="532"/>
      <c r="FO350" s="532"/>
      <c r="FP350" s="532"/>
    </row>
    <row r="351" spans="1:172" ht="12" customHeight="1" x14ac:dyDescent="0.2">
      <c r="A351" s="533" t="s">
        <v>205</v>
      </c>
      <c r="B351" s="534" t="s">
        <v>206</v>
      </c>
      <c r="C351" s="208">
        <v>0</v>
      </c>
      <c r="D351" s="208">
        <f>1+4</f>
        <v>5</v>
      </c>
      <c r="E351" s="208">
        <v>2</v>
      </c>
      <c r="F351" s="208">
        <v>0</v>
      </c>
      <c r="G351" s="208">
        <v>1</v>
      </c>
      <c r="H351" s="208">
        <v>0</v>
      </c>
      <c r="I351" s="208">
        <v>1</v>
      </c>
      <c r="J351" s="208">
        <v>0</v>
      </c>
      <c r="K351" s="208">
        <v>0</v>
      </c>
      <c r="L351" s="562">
        <v>1</v>
      </c>
      <c r="M351" s="562">
        <v>0</v>
      </c>
      <c r="N351" s="562">
        <v>2</v>
      </c>
      <c r="O351" s="530">
        <f>SUM(C351:N351)</f>
        <v>12</v>
      </c>
      <c r="P351" s="531"/>
      <c r="Q351" s="531"/>
      <c r="R351" s="531"/>
      <c r="S351" s="531"/>
      <c r="T351" s="531"/>
      <c r="U351" s="531"/>
      <c r="V351" s="531"/>
      <c r="W351" s="531"/>
      <c r="X351" s="531"/>
      <c r="Y351" s="531"/>
      <c r="Z351" s="531"/>
      <c r="AA351" s="531"/>
      <c r="AB351" s="531"/>
      <c r="AC351" s="531"/>
      <c r="AD351" s="531"/>
      <c r="AE351" s="531"/>
      <c r="AF351" s="531"/>
      <c r="AG351" s="531"/>
      <c r="AH351" s="532"/>
      <c r="AI351" s="532"/>
      <c r="AJ351" s="532"/>
      <c r="AK351" s="532"/>
      <c r="AL351" s="532"/>
      <c r="AM351" s="532"/>
      <c r="AN351" s="532"/>
      <c r="AO351" s="532"/>
      <c r="AP351" s="532"/>
      <c r="AQ351" s="532"/>
      <c r="AR351" s="532"/>
      <c r="AS351" s="532"/>
      <c r="AT351" s="532"/>
      <c r="AU351" s="532"/>
      <c r="AV351" s="532"/>
      <c r="AW351" s="532"/>
      <c r="AX351" s="532"/>
      <c r="AY351" s="532"/>
      <c r="AZ351" s="532"/>
      <c r="BA351" s="532"/>
      <c r="BB351" s="532"/>
      <c r="BC351" s="532"/>
      <c r="BD351" s="532"/>
      <c r="BE351" s="532"/>
      <c r="BF351" s="532"/>
      <c r="BG351" s="532"/>
      <c r="BH351" s="532"/>
      <c r="BI351" s="532"/>
      <c r="BJ351" s="532"/>
      <c r="BK351" s="532"/>
      <c r="BL351" s="532"/>
      <c r="BM351" s="532"/>
      <c r="BN351" s="532"/>
      <c r="BO351" s="532"/>
      <c r="BP351" s="532"/>
      <c r="BQ351" s="532"/>
      <c r="BR351" s="532"/>
      <c r="BS351" s="532"/>
      <c r="BT351" s="532"/>
      <c r="BU351" s="532"/>
      <c r="BV351" s="532"/>
      <c r="BW351" s="532"/>
      <c r="BX351" s="532"/>
      <c r="BY351" s="532"/>
      <c r="BZ351" s="532"/>
      <c r="CA351" s="532"/>
      <c r="CB351" s="532"/>
      <c r="CC351" s="532"/>
      <c r="CD351" s="532"/>
      <c r="CE351" s="532"/>
      <c r="CF351" s="532"/>
      <c r="CG351" s="532"/>
      <c r="CH351" s="532"/>
      <c r="CI351" s="532"/>
      <c r="CJ351" s="532"/>
      <c r="CK351" s="532"/>
      <c r="CL351" s="532"/>
      <c r="CM351" s="532"/>
      <c r="CN351" s="532"/>
      <c r="CO351" s="532"/>
      <c r="CP351" s="532"/>
      <c r="CQ351" s="532"/>
      <c r="CR351" s="532"/>
      <c r="CS351" s="532"/>
      <c r="CT351" s="532"/>
      <c r="CU351" s="532"/>
      <c r="CV351" s="532"/>
      <c r="CW351" s="532"/>
      <c r="CX351" s="532"/>
      <c r="CY351" s="532"/>
      <c r="CZ351" s="532"/>
      <c r="DA351" s="532"/>
      <c r="DB351" s="532"/>
      <c r="DC351" s="532"/>
      <c r="DD351" s="532"/>
      <c r="DE351" s="532"/>
      <c r="DF351" s="532"/>
      <c r="DG351" s="532"/>
      <c r="DH351" s="532"/>
      <c r="DI351" s="532"/>
      <c r="DJ351" s="532"/>
      <c r="DK351" s="532"/>
      <c r="DL351" s="532"/>
      <c r="DM351" s="532"/>
      <c r="DN351" s="532"/>
      <c r="DO351" s="532"/>
      <c r="DP351" s="532"/>
      <c r="DQ351" s="532"/>
      <c r="DR351" s="532"/>
      <c r="DS351" s="532"/>
      <c r="DT351" s="532"/>
      <c r="DU351" s="532"/>
      <c r="DV351" s="532"/>
      <c r="DW351" s="532"/>
      <c r="DX351" s="532"/>
      <c r="DY351" s="532"/>
      <c r="DZ351" s="532"/>
      <c r="EA351" s="532"/>
      <c r="EB351" s="532"/>
      <c r="EC351" s="532"/>
      <c r="ED351" s="532"/>
      <c r="EE351" s="532"/>
      <c r="EF351" s="532"/>
      <c r="EG351" s="532"/>
      <c r="EH351" s="532"/>
      <c r="EI351" s="532"/>
      <c r="EJ351" s="532"/>
      <c r="EK351" s="532"/>
      <c r="EL351" s="532"/>
      <c r="EM351" s="532"/>
      <c r="EN351" s="532"/>
      <c r="EO351" s="532"/>
      <c r="EP351" s="532"/>
      <c r="EQ351" s="532"/>
      <c r="ER351" s="532"/>
      <c r="ES351" s="532"/>
      <c r="ET351" s="532"/>
      <c r="EU351" s="532"/>
      <c r="EV351" s="532"/>
      <c r="EW351" s="532"/>
      <c r="EX351" s="532"/>
      <c r="EY351" s="532"/>
      <c r="EZ351" s="532"/>
      <c r="FA351" s="532"/>
      <c r="FB351" s="532"/>
      <c r="FC351" s="532"/>
      <c r="FD351" s="532"/>
      <c r="FE351" s="532"/>
      <c r="FF351" s="532"/>
      <c r="FG351" s="532"/>
      <c r="FH351" s="532"/>
      <c r="FI351" s="532"/>
      <c r="FJ351" s="532"/>
      <c r="FK351" s="532"/>
      <c r="FL351" s="532"/>
      <c r="FM351" s="532"/>
      <c r="FN351" s="532"/>
      <c r="FO351" s="532"/>
      <c r="FP351" s="532"/>
    </row>
    <row r="352" spans="1:172" ht="12" customHeight="1" x14ac:dyDescent="0.2">
      <c r="A352" s="533" t="s">
        <v>207</v>
      </c>
      <c r="B352" s="534" t="s">
        <v>208</v>
      </c>
      <c r="C352" s="208">
        <v>4</v>
      </c>
      <c r="D352" s="208">
        <v>3</v>
      </c>
      <c r="E352" s="208">
        <v>0</v>
      </c>
      <c r="F352" s="208">
        <v>0</v>
      </c>
      <c r="G352" s="208">
        <v>0</v>
      </c>
      <c r="H352" s="208">
        <v>0</v>
      </c>
      <c r="I352" s="208">
        <v>0</v>
      </c>
      <c r="J352" s="208">
        <v>1</v>
      </c>
      <c r="K352" s="208">
        <v>3</v>
      </c>
      <c r="L352" s="562">
        <v>0</v>
      </c>
      <c r="M352" s="562">
        <v>3</v>
      </c>
      <c r="N352" s="562">
        <v>3</v>
      </c>
      <c r="O352" s="530">
        <f>SUM(C352:N352)</f>
        <v>17</v>
      </c>
      <c r="P352" s="531"/>
      <c r="Q352" s="531"/>
      <c r="R352" s="531"/>
      <c r="S352" s="531"/>
      <c r="T352" s="531"/>
      <c r="U352" s="531"/>
      <c r="V352" s="531"/>
      <c r="W352" s="531"/>
      <c r="X352" s="531"/>
      <c r="Y352" s="531"/>
      <c r="Z352" s="531"/>
      <c r="AA352" s="531"/>
      <c r="AB352" s="531"/>
      <c r="AC352" s="531"/>
      <c r="AD352" s="531"/>
      <c r="AE352" s="531"/>
      <c r="AF352" s="531"/>
      <c r="AG352" s="531"/>
      <c r="AH352" s="532"/>
      <c r="AI352" s="532"/>
      <c r="AJ352" s="532"/>
      <c r="AK352" s="532"/>
      <c r="AL352" s="532"/>
      <c r="AM352" s="532"/>
      <c r="AN352" s="532"/>
      <c r="AO352" s="532"/>
      <c r="AP352" s="532"/>
      <c r="AQ352" s="532"/>
      <c r="AR352" s="532"/>
      <c r="AS352" s="532"/>
      <c r="AT352" s="532"/>
      <c r="AU352" s="532"/>
      <c r="AV352" s="532"/>
      <c r="AW352" s="532"/>
      <c r="AX352" s="532"/>
      <c r="AY352" s="532"/>
      <c r="AZ352" s="532"/>
      <c r="BA352" s="532"/>
      <c r="BB352" s="532"/>
      <c r="BC352" s="532"/>
      <c r="BD352" s="532"/>
      <c r="BE352" s="532"/>
      <c r="BF352" s="532"/>
      <c r="BG352" s="532"/>
      <c r="BH352" s="532"/>
      <c r="BI352" s="532"/>
      <c r="BJ352" s="532"/>
      <c r="BK352" s="532"/>
      <c r="BL352" s="532"/>
      <c r="BM352" s="532"/>
      <c r="BN352" s="532"/>
      <c r="BO352" s="532"/>
      <c r="BP352" s="532"/>
      <c r="BQ352" s="532"/>
      <c r="BR352" s="532"/>
      <c r="BS352" s="532"/>
      <c r="BT352" s="532"/>
      <c r="BU352" s="532"/>
      <c r="BV352" s="532"/>
      <c r="BW352" s="532"/>
      <c r="BX352" s="532"/>
      <c r="BY352" s="532"/>
      <c r="BZ352" s="532"/>
      <c r="CA352" s="532"/>
      <c r="CB352" s="532"/>
      <c r="CC352" s="532"/>
      <c r="CD352" s="532"/>
      <c r="CE352" s="532"/>
      <c r="CF352" s="532"/>
      <c r="CG352" s="532"/>
      <c r="CH352" s="532"/>
      <c r="CI352" s="532"/>
      <c r="CJ352" s="532"/>
      <c r="CK352" s="532"/>
      <c r="CL352" s="532"/>
      <c r="CM352" s="532"/>
      <c r="CN352" s="532"/>
      <c r="CO352" s="532"/>
      <c r="CP352" s="532"/>
      <c r="CQ352" s="532"/>
      <c r="CR352" s="532"/>
      <c r="CS352" s="532"/>
      <c r="CT352" s="532"/>
      <c r="CU352" s="532"/>
      <c r="CV352" s="532"/>
      <c r="CW352" s="532"/>
      <c r="CX352" s="532"/>
      <c r="CY352" s="532"/>
      <c r="CZ352" s="532"/>
      <c r="DA352" s="532"/>
      <c r="DB352" s="532"/>
      <c r="DC352" s="532"/>
      <c r="DD352" s="532"/>
      <c r="DE352" s="532"/>
      <c r="DF352" s="532"/>
      <c r="DG352" s="532"/>
      <c r="DH352" s="532"/>
      <c r="DI352" s="532"/>
      <c r="DJ352" s="532"/>
      <c r="DK352" s="532"/>
      <c r="DL352" s="532"/>
      <c r="DM352" s="532"/>
      <c r="DN352" s="532"/>
      <c r="DO352" s="532"/>
      <c r="DP352" s="532"/>
      <c r="DQ352" s="532"/>
      <c r="DR352" s="532"/>
      <c r="DS352" s="532"/>
      <c r="DT352" s="532"/>
      <c r="DU352" s="532"/>
      <c r="DV352" s="532"/>
      <c r="DW352" s="532"/>
      <c r="DX352" s="532"/>
      <c r="DY352" s="532"/>
      <c r="DZ352" s="532"/>
      <c r="EA352" s="532"/>
      <c r="EB352" s="532"/>
      <c r="EC352" s="532"/>
      <c r="ED352" s="532"/>
      <c r="EE352" s="532"/>
      <c r="EF352" s="532"/>
      <c r="EG352" s="532"/>
      <c r="EH352" s="532"/>
      <c r="EI352" s="532"/>
      <c r="EJ352" s="532"/>
      <c r="EK352" s="532"/>
      <c r="EL352" s="532"/>
      <c r="EM352" s="532"/>
      <c r="EN352" s="532"/>
      <c r="EO352" s="532"/>
      <c r="EP352" s="532"/>
      <c r="EQ352" s="532"/>
      <c r="ER352" s="532"/>
      <c r="ES352" s="532"/>
      <c r="ET352" s="532"/>
      <c r="EU352" s="532"/>
      <c r="EV352" s="532"/>
      <c r="EW352" s="532"/>
      <c r="EX352" s="532"/>
      <c r="EY352" s="532"/>
      <c r="EZ352" s="532"/>
      <c r="FA352" s="532"/>
      <c r="FB352" s="532"/>
      <c r="FC352" s="532"/>
      <c r="FD352" s="532"/>
      <c r="FE352" s="532"/>
      <c r="FF352" s="532"/>
      <c r="FG352" s="532"/>
      <c r="FH352" s="532"/>
      <c r="FI352" s="532"/>
      <c r="FJ352" s="532"/>
      <c r="FK352" s="532"/>
      <c r="FL352" s="532"/>
      <c r="FM352" s="532"/>
      <c r="FN352" s="532"/>
      <c r="FO352" s="532"/>
      <c r="FP352" s="532"/>
    </row>
    <row r="353" spans="1:172" ht="12" customHeight="1" x14ac:dyDescent="0.2">
      <c r="A353" s="533" t="s">
        <v>209</v>
      </c>
      <c r="B353" s="534"/>
      <c r="C353" s="208">
        <f t="shared" ref="C353:I353" si="163">SUM(C351:C352)</f>
        <v>4</v>
      </c>
      <c r="D353" s="208">
        <f t="shared" si="163"/>
        <v>8</v>
      </c>
      <c r="E353" s="208">
        <f t="shared" si="163"/>
        <v>2</v>
      </c>
      <c r="F353" s="208">
        <f t="shared" si="163"/>
        <v>0</v>
      </c>
      <c r="G353" s="208">
        <f t="shared" si="163"/>
        <v>1</v>
      </c>
      <c r="H353" s="208">
        <f t="shared" si="163"/>
        <v>0</v>
      </c>
      <c r="I353" s="208">
        <f t="shared" si="163"/>
        <v>1</v>
      </c>
      <c r="J353" s="208">
        <f>SUM(J351:J352)</f>
        <v>1</v>
      </c>
      <c r="K353" s="208">
        <f>SUM(K351:K352)</f>
        <v>3</v>
      </c>
      <c r="L353" s="562">
        <f t="shared" ref="L353:N353" si="164">SUM(L351:L352)</f>
        <v>1</v>
      </c>
      <c r="M353" s="562">
        <f t="shared" si="164"/>
        <v>3</v>
      </c>
      <c r="N353" s="562">
        <f t="shared" si="164"/>
        <v>5</v>
      </c>
      <c r="O353" s="530">
        <f>SUM(C353:N353)</f>
        <v>29</v>
      </c>
      <c r="P353" s="531"/>
      <c r="Q353" s="531"/>
      <c r="R353" s="531"/>
      <c r="S353" s="531"/>
      <c r="T353" s="531"/>
      <c r="U353" s="531"/>
      <c r="V353" s="531"/>
      <c r="W353" s="531"/>
      <c r="X353" s="531"/>
      <c r="Y353" s="531"/>
      <c r="Z353" s="531"/>
      <c r="AA353" s="531"/>
      <c r="AB353" s="531"/>
      <c r="AC353" s="531"/>
      <c r="AD353" s="531"/>
      <c r="AE353" s="531"/>
      <c r="AF353" s="531"/>
      <c r="AG353" s="531"/>
      <c r="AH353" s="532"/>
      <c r="AI353" s="532"/>
      <c r="AJ353" s="532"/>
      <c r="AK353" s="532"/>
      <c r="AL353" s="532"/>
      <c r="AM353" s="532"/>
      <c r="AN353" s="532"/>
      <c r="AO353" s="532"/>
      <c r="AP353" s="532"/>
      <c r="AQ353" s="532"/>
      <c r="AR353" s="532"/>
      <c r="AS353" s="532"/>
      <c r="AT353" s="532"/>
      <c r="AU353" s="532"/>
      <c r="AV353" s="532"/>
      <c r="AW353" s="532"/>
      <c r="AX353" s="532"/>
      <c r="AY353" s="532"/>
      <c r="AZ353" s="532"/>
      <c r="BA353" s="532"/>
      <c r="BB353" s="532"/>
      <c r="BC353" s="532"/>
      <c r="BD353" s="532"/>
      <c r="BE353" s="532"/>
      <c r="BF353" s="532"/>
      <c r="BG353" s="532"/>
      <c r="BH353" s="532"/>
      <c r="BI353" s="532"/>
      <c r="BJ353" s="532"/>
      <c r="BK353" s="532"/>
      <c r="BL353" s="532"/>
      <c r="BM353" s="532"/>
      <c r="BN353" s="532"/>
      <c r="BO353" s="532"/>
      <c r="BP353" s="532"/>
      <c r="BQ353" s="532"/>
      <c r="BR353" s="532"/>
      <c r="BS353" s="532"/>
      <c r="BT353" s="532"/>
      <c r="BU353" s="532"/>
      <c r="BV353" s="532"/>
      <c r="BW353" s="532"/>
      <c r="BX353" s="532"/>
      <c r="BY353" s="532"/>
      <c r="BZ353" s="532"/>
      <c r="CA353" s="532"/>
      <c r="CB353" s="532"/>
      <c r="CC353" s="532"/>
      <c r="CD353" s="532"/>
      <c r="CE353" s="532"/>
      <c r="CF353" s="532"/>
      <c r="CG353" s="532"/>
      <c r="CH353" s="532"/>
      <c r="CI353" s="532"/>
      <c r="CJ353" s="532"/>
      <c r="CK353" s="532"/>
      <c r="CL353" s="532"/>
      <c r="CM353" s="532"/>
      <c r="CN353" s="532"/>
      <c r="CO353" s="532"/>
      <c r="CP353" s="532"/>
      <c r="CQ353" s="532"/>
      <c r="CR353" s="532"/>
      <c r="CS353" s="532"/>
      <c r="CT353" s="532"/>
      <c r="CU353" s="532"/>
      <c r="CV353" s="532"/>
      <c r="CW353" s="532"/>
      <c r="CX353" s="532"/>
      <c r="CY353" s="532"/>
      <c r="CZ353" s="532"/>
      <c r="DA353" s="532"/>
      <c r="DB353" s="532"/>
      <c r="DC353" s="532"/>
      <c r="DD353" s="532"/>
      <c r="DE353" s="532"/>
      <c r="DF353" s="532"/>
      <c r="DG353" s="532"/>
      <c r="DH353" s="532"/>
      <c r="DI353" s="532"/>
      <c r="DJ353" s="532"/>
      <c r="DK353" s="532"/>
      <c r="DL353" s="532"/>
      <c r="DM353" s="532"/>
      <c r="DN353" s="532"/>
      <c r="DO353" s="532"/>
      <c r="DP353" s="532"/>
      <c r="DQ353" s="532"/>
      <c r="DR353" s="532"/>
      <c r="DS353" s="532"/>
      <c r="DT353" s="532"/>
      <c r="DU353" s="532"/>
      <c r="DV353" s="532"/>
      <c r="DW353" s="532"/>
      <c r="DX353" s="532"/>
      <c r="DY353" s="532"/>
      <c r="DZ353" s="532"/>
      <c r="EA353" s="532"/>
      <c r="EB353" s="532"/>
      <c r="EC353" s="532"/>
      <c r="ED353" s="532"/>
      <c r="EE353" s="532"/>
      <c r="EF353" s="532"/>
      <c r="EG353" s="532"/>
      <c r="EH353" s="532"/>
      <c r="EI353" s="532"/>
      <c r="EJ353" s="532"/>
      <c r="EK353" s="532"/>
      <c r="EL353" s="532"/>
      <c r="EM353" s="532"/>
      <c r="EN353" s="532"/>
      <c r="EO353" s="532"/>
      <c r="EP353" s="532"/>
      <c r="EQ353" s="532"/>
      <c r="ER353" s="532"/>
      <c r="ES353" s="532"/>
      <c r="ET353" s="532"/>
      <c r="EU353" s="532"/>
      <c r="EV353" s="532"/>
      <c r="EW353" s="532"/>
      <c r="EX353" s="532"/>
      <c r="EY353" s="532"/>
      <c r="EZ353" s="532"/>
      <c r="FA353" s="532"/>
      <c r="FB353" s="532"/>
      <c r="FC353" s="532"/>
      <c r="FD353" s="532"/>
      <c r="FE353" s="532"/>
      <c r="FF353" s="532"/>
      <c r="FG353" s="532"/>
      <c r="FH353" s="532"/>
      <c r="FI353" s="532"/>
      <c r="FJ353" s="532"/>
      <c r="FK353" s="532"/>
      <c r="FL353" s="532"/>
      <c r="FM353" s="532"/>
      <c r="FN353" s="532"/>
      <c r="FO353" s="532"/>
      <c r="FP353" s="532"/>
    </row>
    <row r="354" spans="1:172" ht="12" customHeight="1" x14ac:dyDescent="0.2">
      <c r="A354" s="533"/>
      <c r="B354" s="534"/>
      <c r="C354" s="534"/>
      <c r="D354" s="534"/>
      <c r="E354" s="534"/>
      <c r="F354" s="534"/>
      <c r="G354" s="534"/>
      <c r="H354" s="534"/>
      <c r="I354" s="534"/>
      <c r="J354" s="534"/>
      <c r="K354" s="658"/>
      <c r="L354" s="562"/>
      <c r="M354" s="562"/>
      <c r="N354" s="562"/>
      <c r="O354" s="530"/>
      <c r="P354" s="531"/>
      <c r="Q354" s="531"/>
      <c r="R354" s="531"/>
      <c r="S354" s="531"/>
      <c r="T354" s="531"/>
      <c r="U354" s="531"/>
      <c r="V354" s="531"/>
      <c r="W354" s="531"/>
      <c r="X354" s="531"/>
      <c r="Y354" s="531"/>
      <c r="Z354" s="531"/>
      <c r="AA354" s="531"/>
      <c r="AB354" s="531"/>
      <c r="AC354" s="531"/>
      <c r="AD354" s="531"/>
      <c r="AE354" s="531"/>
      <c r="AF354" s="531"/>
      <c r="AG354" s="531"/>
      <c r="AH354" s="532"/>
      <c r="AI354" s="532"/>
      <c r="AJ354" s="532"/>
      <c r="AK354" s="532"/>
      <c r="AL354" s="532"/>
      <c r="AM354" s="532"/>
      <c r="AN354" s="532"/>
      <c r="AO354" s="532"/>
      <c r="AP354" s="532"/>
      <c r="AQ354" s="532"/>
      <c r="AR354" s="532"/>
      <c r="AS354" s="532"/>
      <c r="AT354" s="532"/>
      <c r="AU354" s="532"/>
      <c r="AV354" s="532"/>
      <c r="AW354" s="532"/>
      <c r="AX354" s="532"/>
      <c r="AY354" s="532"/>
      <c r="AZ354" s="532"/>
      <c r="BA354" s="532"/>
      <c r="BB354" s="532"/>
      <c r="BC354" s="532"/>
      <c r="BD354" s="532"/>
      <c r="BE354" s="532"/>
      <c r="BF354" s="532"/>
      <c r="BG354" s="532"/>
      <c r="BH354" s="532"/>
      <c r="BI354" s="532"/>
      <c r="BJ354" s="532"/>
      <c r="BK354" s="532"/>
      <c r="BL354" s="532"/>
      <c r="BM354" s="532"/>
      <c r="BN354" s="532"/>
      <c r="BO354" s="532"/>
      <c r="BP354" s="532"/>
      <c r="BQ354" s="532"/>
      <c r="BR354" s="532"/>
      <c r="BS354" s="532"/>
      <c r="BT354" s="532"/>
      <c r="BU354" s="532"/>
      <c r="BV354" s="532"/>
      <c r="BW354" s="532"/>
      <c r="BX354" s="532"/>
      <c r="BY354" s="532"/>
      <c r="BZ354" s="532"/>
      <c r="CA354" s="532"/>
      <c r="CB354" s="532"/>
      <c r="CC354" s="532"/>
      <c r="CD354" s="532"/>
      <c r="CE354" s="532"/>
      <c r="CF354" s="532"/>
      <c r="CG354" s="532"/>
      <c r="CH354" s="532"/>
      <c r="CI354" s="532"/>
      <c r="CJ354" s="532"/>
      <c r="CK354" s="532"/>
      <c r="CL354" s="532"/>
      <c r="CM354" s="532"/>
      <c r="CN354" s="532"/>
      <c r="CO354" s="532"/>
      <c r="CP354" s="532"/>
      <c r="CQ354" s="532"/>
      <c r="CR354" s="532"/>
      <c r="CS354" s="532"/>
      <c r="CT354" s="532"/>
      <c r="CU354" s="532"/>
      <c r="CV354" s="532"/>
      <c r="CW354" s="532"/>
      <c r="CX354" s="532"/>
      <c r="CY354" s="532"/>
      <c r="CZ354" s="532"/>
      <c r="DA354" s="532"/>
      <c r="DB354" s="532"/>
      <c r="DC354" s="532"/>
      <c r="DD354" s="532"/>
      <c r="DE354" s="532"/>
      <c r="DF354" s="532"/>
      <c r="DG354" s="532"/>
      <c r="DH354" s="532"/>
      <c r="DI354" s="532"/>
      <c r="DJ354" s="532"/>
      <c r="DK354" s="532"/>
      <c r="DL354" s="532"/>
      <c r="DM354" s="532"/>
      <c r="DN354" s="532"/>
      <c r="DO354" s="532"/>
      <c r="DP354" s="532"/>
      <c r="DQ354" s="532"/>
      <c r="DR354" s="532"/>
      <c r="DS354" s="532"/>
      <c r="DT354" s="532"/>
      <c r="DU354" s="532"/>
      <c r="DV354" s="532"/>
      <c r="DW354" s="532"/>
      <c r="DX354" s="532"/>
      <c r="DY354" s="532"/>
      <c r="DZ354" s="532"/>
      <c r="EA354" s="532"/>
      <c r="EB354" s="532"/>
      <c r="EC354" s="532"/>
      <c r="ED354" s="532"/>
      <c r="EE354" s="532"/>
      <c r="EF354" s="532"/>
      <c r="EG354" s="532"/>
      <c r="EH354" s="532"/>
      <c r="EI354" s="532"/>
      <c r="EJ354" s="532"/>
      <c r="EK354" s="532"/>
      <c r="EL354" s="532"/>
      <c r="EM354" s="532"/>
      <c r="EN354" s="532"/>
      <c r="EO354" s="532"/>
      <c r="EP354" s="532"/>
      <c r="EQ354" s="532"/>
      <c r="ER354" s="532"/>
      <c r="ES354" s="532"/>
      <c r="ET354" s="532"/>
      <c r="EU354" s="532"/>
      <c r="EV354" s="532"/>
      <c r="EW354" s="532"/>
      <c r="EX354" s="532"/>
      <c r="EY354" s="532"/>
      <c r="EZ354" s="532"/>
      <c r="FA354" s="532"/>
      <c r="FB354" s="532"/>
      <c r="FC354" s="532"/>
      <c r="FD354" s="532"/>
      <c r="FE354" s="532"/>
      <c r="FF354" s="532"/>
      <c r="FG354" s="532"/>
      <c r="FH354" s="532"/>
      <c r="FI354" s="532"/>
      <c r="FJ354" s="532"/>
      <c r="FK354" s="532"/>
      <c r="FL354" s="532"/>
      <c r="FM354" s="532"/>
      <c r="FN354" s="532"/>
      <c r="FO354" s="532"/>
      <c r="FP354" s="532"/>
    </row>
    <row r="355" spans="1:172" ht="12" customHeight="1" x14ac:dyDescent="0.2">
      <c r="A355" s="533" t="s">
        <v>210</v>
      </c>
      <c r="B355" s="534" t="s">
        <v>211</v>
      </c>
      <c r="C355" s="208">
        <v>0</v>
      </c>
      <c r="D355" s="208">
        <v>0</v>
      </c>
      <c r="E355" s="208">
        <v>0</v>
      </c>
      <c r="F355" s="208">
        <v>0</v>
      </c>
      <c r="G355" s="208">
        <v>0</v>
      </c>
      <c r="H355" s="208">
        <v>0</v>
      </c>
      <c r="I355" s="208">
        <v>0</v>
      </c>
      <c r="J355" s="208">
        <v>0</v>
      </c>
      <c r="K355" s="208">
        <v>0</v>
      </c>
      <c r="L355" s="562">
        <v>0</v>
      </c>
      <c r="M355" s="562">
        <v>0</v>
      </c>
      <c r="N355" s="562">
        <v>0</v>
      </c>
      <c r="O355" s="530">
        <f>SUM(C355:N355)</f>
        <v>0</v>
      </c>
      <c r="P355" s="531"/>
      <c r="Q355" s="531"/>
      <c r="R355" s="531"/>
      <c r="S355" s="531"/>
      <c r="T355" s="531"/>
      <c r="U355" s="531"/>
      <c r="V355" s="531"/>
      <c r="W355" s="531"/>
      <c r="X355" s="531"/>
      <c r="Y355" s="531"/>
      <c r="Z355" s="531"/>
      <c r="AA355" s="531"/>
      <c r="AB355" s="531"/>
      <c r="AC355" s="531"/>
      <c r="AD355" s="531"/>
      <c r="AE355" s="531"/>
      <c r="AF355" s="531"/>
      <c r="AG355" s="531"/>
      <c r="AH355" s="532"/>
      <c r="AI355" s="532"/>
      <c r="AJ355" s="532"/>
      <c r="AK355" s="532"/>
      <c r="AL355" s="532"/>
      <c r="AM355" s="532"/>
      <c r="AN355" s="532"/>
      <c r="AO355" s="532"/>
      <c r="AP355" s="532"/>
      <c r="AQ355" s="532"/>
      <c r="AR355" s="532"/>
      <c r="AS355" s="532"/>
      <c r="AT355" s="532"/>
      <c r="AU355" s="532"/>
      <c r="AV355" s="532"/>
      <c r="AW355" s="532"/>
      <c r="AX355" s="532"/>
      <c r="AY355" s="532"/>
      <c r="AZ355" s="532"/>
      <c r="BA355" s="532"/>
      <c r="BB355" s="532"/>
      <c r="BC355" s="532"/>
      <c r="BD355" s="532"/>
      <c r="BE355" s="532"/>
      <c r="BF355" s="532"/>
      <c r="BG355" s="532"/>
      <c r="BH355" s="532"/>
      <c r="BI355" s="532"/>
      <c r="BJ355" s="532"/>
      <c r="BK355" s="532"/>
      <c r="BL355" s="532"/>
      <c r="BM355" s="532"/>
      <c r="BN355" s="532"/>
      <c r="BO355" s="532"/>
      <c r="BP355" s="532"/>
      <c r="BQ355" s="532"/>
      <c r="BR355" s="532"/>
      <c r="BS355" s="532"/>
      <c r="BT355" s="532"/>
      <c r="BU355" s="532"/>
      <c r="BV355" s="532"/>
      <c r="BW355" s="532"/>
      <c r="BX355" s="532"/>
      <c r="BY355" s="532"/>
      <c r="BZ355" s="532"/>
      <c r="CA355" s="532"/>
      <c r="CB355" s="532"/>
      <c r="CC355" s="532"/>
      <c r="CD355" s="532"/>
      <c r="CE355" s="532"/>
      <c r="CF355" s="532"/>
      <c r="CG355" s="532"/>
      <c r="CH355" s="532"/>
      <c r="CI355" s="532"/>
      <c r="CJ355" s="532"/>
      <c r="CK355" s="532"/>
      <c r="CL355" s="532"/>
      <c r="CM355" s="532"/>
      <c r="CN355" s="532"/>
      <c r="CO355" s="532"/>
      <c r="CP355" s="532"/>
      <c r="CQ355" s="532"/>
      <c r="CR355" s="532"/>
      <c r="CS355" s="532"/>
      <c r="CT355" s="532"/>
      <c r="CU355" s="532"/>
      <c r="CV355" s="532"/>
      <c r="CW355" s="532"/>
      <c r="CX355" s="532"/>
      <c r="CY355" s="532"/>
      <c r="CZ355" s="532"/>
      <c r="DA355" s="532"/>
      <c r="DB355" s="532"/>
      <c r="DC355" s="532"/>
      <c r="DD355" s="532"/>
      <c r="DE355" s="532"/>
      <c r="DF355" s="532"/>
      <c r="DG355" s="532"/>
      <c r="DH355" s="532"/>
      <c r="DI355" s="532"/>
      <c r="DJ355" s="532"/>
      <c r="DK355" s="532"/>
      <c r="DL355" s="532"/>
      <c r="DM355" s="532"/>
      <c r="DN355" s="532"/>
      <c r="DO355" s="532"/>
      <c r="DP355" s="532"/>
      <c r="DQ355" s="532"/>
      <c r="DR355" s="532"/>
      <c r="DS355" s="532"/>
      <c r="DT355" s="532"/>
      <c r="DU355" s="532"/>
      <c r="DV355" s="532"/>
      <c r="DW355" s="532"/>
      <c r="DX355" s="532"/>
      <c r="DY355" s="532"/>
      <c r="DZ355" s="532"/>
      <c r="EA355" s="532"/>
      <c r="EB355" s="532"/>
      <c r="EC355" s="532"/>
      <c r="ED355" s="532"/>
      <c r="EE355" s="532"/>
      <c r="EF355" s="532"/>
      <c r="EG355" s="532"/>
      <c r="EH355" s="532"/>
      <c r="EI355" s="532"/>
      <c r="EJ355" s="532"/>
      <c r="EK355" s="532"/>
      <c r="EL355" s="532"/>
      <c r="EM355" s="532"/>
      <c r="EN355" s="532"/>
      <c r="EO355" s="532"/>
      <c r="EP355" s="532"/>
      <c r="EQ355" s="532"/>
      <c r="ER355" s="532"/>
      <c r="ES355" s="532"/>
      <c r="ET355" s="532"/>
      <c r="EU355" s="532"/>
      <c r="EV355" s="532"/>
      <c r="EW355" s="532"/>
      <c r="EX355" s="532"/>
      <c r="EY355" s="532"/>
      <c r="EZ355" s="532"/>
      <c r="FA355" s="532"/>
      <c r="FB355" s="532"/>
      <c r="FC355" s="532"/>
      <c r="FD355" s="532"/>
      <c r="FE355" s="532"/>
      <c r="FF355" s="532"/>
      <c r="FG355" s="532"/>
      <c r="FH355" s="532"/>
      <c r="FI355" s="532"/>
      <c r="FJ355" s="532"/>
      <c r="FK355" s="532"/>
      <c r="FL355" s="532"/>
      <c r="FM355" s="532"/>
      <c r="FN355" s="532"/>
      <c r="FO355" s="532"/>
      <c r="FP355" s="532"/>
    </row>
    <row r="356" spans="1:172" ht="12" customHeight="1" x14ac:dyDescent="0.2">
      <c r="A356" s="533" t="s">
        <v>210</v>
      </c>
      <c r="B356" s="534" t="s">
        <v>212</v>
      </c>
      <c r="C356" s="208">
        <v>0</v>
      </c>
      <c r="D356" s="208">
        <v>0</v>
      </c>
      <c r="E356" s="208">
        <v>0</v>
      </c>
      <c r="F356" s="208">
        <v>0</v>
      </c>
      <c r="G356" s="208">
        <v>0</v>
      </c>
      <c r="H356" s="208">
        <v>0</v>
      </c>
      <c r="I356" s="208">
        <v>0</v>
      </c>
      <c r="J356" s="208">
        <v>0</v>
      </c>
      <c r="K356" s="208">
        <v>0</v>
      </c>
      <c r="L356" s="562">
        <v>0</v>
      </c>
      <c r="M356" s="562">
        <v>0</v>
      </c>
      <c r="N356" s="562">
        <v>0</v>
      </c>
      <c r="O356" s="530">
        <f>SUM(C356:N356)</f>
        <v>0</v>
      </c>
      <c r="P356" s="531"/>
      <c r="Q356" s="531"/>
      <c r="R356" s="531"/>
      <c r="S356" s="531"/>
      <c r="T356" s="531"/>
      <c r="U356" s="531"/>
      <c r="V356" s="531"/>
      <c r="W356" s="531"/>
      <c r="X356" s="531"/>
      <c r="Y356" s="531"/>
      <c r="Z356" s="531"/>
      <c r="AA356" s="531"/>
      <c r="AB356" s="531"/>
      <c r="AC356" s="531"/>
      <c r="AD356" s="531"/>
      <c r="AE356" s="531"/>
      <c r="AF356" s="531"/>
      <c r="AG356" s="531"/>
      <c r="AH356" s="532"/>
      <c r="AI356" s="532"/>
      <c r="AJ356" s="532"/>
      <c r="AK356" s="532"/>
      <c r="AL356" s="532"/>
      <c r="AM356" s="532"/>
      <c r="AN356" s="532"/>
      <c r="AO356" s="532"/>
      <c r="AP356" s="532"/>
      <c r="AQ356" s="532"/>
      <c r="AR356" s="532"/>
      <c r="AS356" s="532"/>
      <c r="AT356" s="532"/>
      <c r="AU356" s="532"/>
      <c r="AV356" s="532"/>
      <c r="AW356" s="532"/>
      <c r="AX356" s="532"/>
      <c r="AY356" s="532"/>
      <c r="AZ356" s="532"/>
      <c r="BA356" s="532"/>
      <c r="BB356" s="532"/>
      <c r="BC356" s="532"/>
      <c r="BD356" s="532"/>
      <c r="BE356" s="532"/>
      <c r="BF356" s="532"/>
      <c r="BG356" s="532"/>
      <c r="BH356" s="532"/>
      <c r="BI356" s="532"/>
      <c r="BJ356" s="532"/>
      <c r="BK356" s="532"/>
      <c r="BL356" s="532"/>
      <c r="BM356" s="532"/>
      <c r="BN356" s="532"/>
      <c r="BO356" s="532"/>
      <c r="BP356" s="532"/>
      <c r="BQ356" s="532"/>
      <c r="BR356" s="532"/>
      <c r="BS356" s="532"/>
      <c r="BT356" s="532"/>
      <c r="BU356" s="532"/>
      <c r="BV356" s="532"/>
      <c r="BW356" s="532"/>
      <c r="BX356" s="532"/>
      <c r="BY356" s="532"/>
      <c r="BZ356" s="532"/>
      <c r="CA356" s="532"/>
      <c r="CB356" s="532"/>
      <c r="CC356" s="532"/>
      <c r="CD356" s="532"/>
      <c r="CE356" s="532"/>
      <c r="CF356" s="532"/>
      <c r="CG356" s="532"/>
      <c r="CH356" s="532"/>
      <c r="CI356" s="532"/>
      <c r="CJ356" s="532"/>
      <c r="CK356" s="532"/>
      <c r="CL356" s="532"/>
      <c r="CM356" s="532"/>
      <c r="CN356" s="532"/>
      <c r="CO356" s="532"/>
      <c r="CP356" s="532"/>
      <c r="CQ356" s="532"/>
      <c r="CR356" s="532"/>
      <c r="CS356" s="532"/>
      <c r="CT356" s="532"/>
      <c r="CU356" s="532"/>
      <c r="CV356" s="532"/>
      <c r="CW356" s="532"/>
      <c r="CX356" s="532"/>
      <c r="CY356" s="532"/>
      <c r="CZ356" s="532"/>
      <c r="DA356" s="532"/>
      <c r="DB356" s="532"/>
      <c r="DC356" s="532"/>
      <c r="DD356" s="532"/>
      <c r="DE356" s="532"/>
      <c r="DF356" s="532"/>
      <c r="DG356" s="532"/>
      <c r="DH356" s="532"/>
      <c r="DI356" s="532"/>
      <c r="DJ356" s="532"/>
      <c r="DK356" s="532"/>
      <c r="DL356" s="532"/>
      <c r="DM356" s="532"/>
      <c r="DN356" s="532"/>
      <c r="DO356" s="532"/>
      <c r="DP356" s="532"/>
      <c r="DQ356" s="532"/>
      <c r="DR356" s="532"/>
      <c r="DS356" s="532"/>
      <c r="DT356" s="532"/>
      <c r="DU356" s="532"/>
      <c r="DV356" s="532"/>
      <c r="DW356" s="532"/>
      <c r="DX356" s="532"/>
      <c r="DY356" s="532"/>
      <c r="DZ356" s="532"/>
      <c r="EA356" s="532"/>
      <c r="EB356" s="532"/>
      <c r="EC356" s="532"/>
      <c r="ED356" s="532"/>
      <c r="EE356" s="532"/>
      <c r="EF356" s="532"/>
      <c r="EG356" s="532"/>
      <c r="EH356" s="532"/>
      <c r="EI356" s="532"/>
      <c r="EJ356" s="532"/>
      <c r="EK356" s="532"/>
      <c r="EL356" s="532"/>
      <c r="EM356" s="532"/>
      <c r="EN356" s="532"/>
      <c r="EO356" s="532"/>
      <c r="EP356" s="532"/>
      <c r="EQ356" s="532"/>
      <c r="ER356" s="532"/>
      <c r="ES356" s="532"/>
      <c r="ET356" s="532"/>
      <c r="EU356" s="532"/>
      <c r="EV356" s="532"/>
      <c r="EW356" s="532"/>
      <c r="EX356" s="532"/>
      <c r="EY356" s="532"/>
      <c r="EZ356" s="532"/>
      <c r="FA356" s="532"/>
      <c r="FB356" s="532"/>
      <c r="FC356" s="532"/>
      <c r="FD356" s="532"/>
      <c r="FE356" s="532"/>
      <c r="FF356" s="532"/>
      <c r="FG356" s="532"/>
      <c r="FH356" s="532"/>
      <c r="FI356" s="532"/>
      <c r="FJ356" s="532"/>
      <c r="FK356" s="532"/>
      <c r="FL356" s="532"/>
      <c r="FM356" s="532"/>
      <c r="FN356" s="532"/>
      <c r="FO356" s="532"/>
      <c r="FP356" s="532"/>
    </row>
    <row r="357" spans="1:172" ht="12" customHeight="1" x14ac:dyDescent="0.2">
      <c r="A357" s="533" t="s">
        <v>213</v>
      </c>
      <c r="B357" s="534"/>
      <c r="C357" s="208">
        <f t="shared" ref="C357:K357" si="165">SUM(C355:C356)</f>
        <v>0</v>
      </c>
      <c r="D357" s="208">
        <f t="shared" si="165"/>
        <v>0</v>
      </c>
      <c r="E357" s="208">
        <f t="shared" si="165"/>
        <v>0</v>
      </c>
      <c r="F357" s="208">
        <f t="shared" si="165"/>
        <v>0</v>
      </c>
      <c r="G357" s="208">
        <f t="shared" si="165"/>
        <v>0</v>
      </c>
      <c r="H357" s="208">
        <f t="shared" si="165"/>
        <v>0</v>
      </c>
      <c r="I357" s="208">
        <f t="shared" si="165"/>
        <v>0</v>
      </c>
      <c r="J357" s="208">
        <f t="shared" si="165"/>
        <v>0</v>
      </c>
      <c r="K357" s="208">
        <f t="shared" si="165"/>
        <v>0</v>
      </c>
      <c r="L357" s="562">
        <f t="shared" ref="L357:N357" si="166">SUM(L355:L356)</f>
        <v>0</v>
      </c>
      <c r="M357" s="562">
        <f t="shared" si="166"/>
        <v>0</v>
      </c>
      <c r="N357" s="562">
        <f t="shared" si="166"/>
        <v>0</v>
      </c>
      <c r="O357" s="530">
        <f>SUM(C357:N357)</f>
        <v>0</v>
      </c>
      <c r="P357" s="531"/>
      <c r="Q357" s="531"/>
      <c r="R357" s="531"/>
      <c r="S357" s="531"/>
      <c r="T357" s="531"/>
      <c r="U357" s="531"/>
      <c r="V357" s="531"/>
      <c r="W357" s="531"/>
      <c r="X357" s="531"/>
      <c r="Y357" s="531"/>
      <c r="Z357" s="531"/>
      <c r="AA357" s="531"/>
      <c r="AB357" s="531"/>
      <c r="AC357" s="531"/>
      <c r="AD357" s="531"/>
      <c r="AE357" s="531"/>
      <c r="AF357" s="531"/>
      <c r="AG357" s="531"/>
      <c r="AH357" s="532"/>
      <c r="AI357" s="532"/>
      <c r="AJ357" s="532"/>
      <c r="AK357" s="532"/>
      <c r="AL357" s="532"/>
      <c r="AM357" s="532"/>
      <c r="AN357" s="532"/>
      <c r="AO357" s="532"/>
      <c r="AP357" s="532"/>
      <c r="AQ357" s="532"/>
      <c r="AR357" s="532"/>
      <c r="AS357" s="532"/>
      <c r="AT357" s="532"/>
      <c r="AU357" s="532"/>
      <c r="AV357" s="532"/>
      <c r="AW357" s="532"/>
      <c r="AX357" s="532"/>
      <c r="AY357" s="532"/>
      <c r="AZ357" s="532"/>
      <c r="BA357" s="532"/>
      <c r="BB357" s="532"/>
      <c r="BC357" s="532"/>
      <c r="BD357" s="532"/>
      <c r="BE357" s="532"/>
      <c r="BF357" s="532"/>
      <c r="BG357" s="532"/>
      <c r="BH357" s="532"/>
      <c r="BI357" s="532"/>
      <c r="BJ357" s="532"/>
      <c r="BK357" s="532"/>
      <c r="BL357" s="532"/>
      <c r="BM357" s="532"/>
      <c r="BN357" s="532"/>
      <c r="BO357" s="532"/>
      <c r="BP357" s="532"/>
      <c r="BQ357" s="532"/>
      <c r="BR357" s="532"/>
      <c r="BS357" s="532"/>
      <c r="BT357" s="532"/>
      <c r="BU357" s="532"/>
      <c r="BV357" s="532"/>
      <c r="BW357" s="532"/>
      <c r="BX357" s="532"/>
      <c r="BY357" s="532"/>
      <c r="BZ357" s="532"/>
      <c r="CA357" s="532"/>
      <c r="CB357" s="532"/>
      <c r="CC357" s="532"/>
      <c r="CD357" s="532"/>
      <c r="CE357" s="532"/>
      <c r="CF357" s="532"/>
      <c r="CG357" s="532"/>
      <c r="CH357" s="532"/>
      <c r="CI357" s="532"/>
      <c r="CJ357" s="532"/>
      <c r="CK357" s="532"/>
      <c r="CL357" s="532"/>
      <c r="CM357" s="532"/>
      <c r="CN357" s="532"/>
      <c r="CO357" s="532"/>
      <c r="CP357" s="532"/>
      <c r="CQ357" s="532"/>
      <c r="CR357" s="532"/>
      <c r="CS357" s="532"/>
      <c r="CT357" s="532"/>
      <c r="CU357" s="532"/>
      <c r="CV357" s="532"/>
      <c r="CW357" s="532"/>
      <c r="CX357" s="532"/>
      <c r="CY357" s="532"/>
      <c r="CZ357" s="532"/>
      <c r="DA357" s="532"/>
      <c r="DB357" s="532"/>
      <c r="DC357" s="532"/>
      <c r="DD357" s="532"/>
      <c r="DE357" s="532"/>
      <c r="DF357" s="532"/>
      <c r="DG357" s="532"/>
      <c r="DH357" s="532"/>
      <c r="DI357" s="532"/>
      <c r="DJ357" s="532"/>
      <c r="DK357" s="532"/>
      <c r="DL357" s="532"/>
      <c r="DM357" s="532"/>
      <c r="DN357" s="532"/>
      <c r="DO357" s="532"/>
      <c r="DP357" s="532"/>
      <c r="DQ357" s="532"/>
      <c r="DR357" s="532"/>
      <c r="DS357" s="532"/>
      <c r="DT357" s="532"/>
      <c r="DU357" s="532"/>
      <c r="DV357" s="532"/>
      <c r="DW357" s="532"/>
      <c r="DX357" s="532"/>
      <c r="DY357" s="532"/>
      <c r="DZ357" s="532"/>
      <c r="EA357" s="532"/>
      <c r="EB357" s="532"/>
      <c r="EC357" s="532"/>
      <c r="ED357" s="532"/>
      <c r="EE357" s="532"/>
      <c r="EF357" s="532"/>
      <c r="EG357" s="532"/>
      <c r="EH357" s="532"/>
      <c r="EI357" s="532"/>
      <c r="EJ357" s="532"/>
      <c r="EK357" s="532"/>
      <c r="EL357" s="532"/>
      <c r="EM357" s="532"/>
      <c r="EN357" s="532"/>
      <c r="EO357" s="532"/>
      <c r="EP357" s="532"/>
      <c r="EQ357" s="532"/>
      <c r="ER357" s="532"/>
      <c r="ES357" s="532"/>
      <c r="ET357" s="532"/>
      <c r="EU357" s="532"/>
      <c r="EV357" s="532"/>
      <c r="EW357" s="532"/>
      <c r="EX357" s="532"/>
      <c r="EY357" s="532"/>
      <c r="EZ357" s="532"/>
      <c r="FA357" s="532"/>
      <c r="FB357" s="532"/>
      <c r="FC357" s="532"/>
      <c r="FD357" s="532"/>
      <c r="FE357" s="532"/>
      <c r="FF357" s="532"/>
      <c r="FG357" s="532"/>
      <c r="FH357" s="532"/>
      <c r="FI357" s="532"/>
      <c r="FJ357" s="532"/>
      <c r="FK357" s="532"/>
      <c r="FL357" s="532"/>
      <c r="FM357" s="532"/>
      <c r="FN357" s="532"/>
      <c r="FO357" s="532"/>
      <c r="FP357" s="532"/>
    </row>
    <row r="358" spans="1:172" ht="12" customHeight="1" x14ac:dyDescent="0.2">
      <c r="A358" s="529"/>
      <c r="B358" s="529"/>
      <c r="C358" s="529"/>
      <c r="D358" s="529"/>
      <c r="E358" s="529"/>
      <c r="F358" s="529"/>
      <c r="G358" s="529"/>
      <c r="H358" s="529"/>
      <c r="I358" s="529"/>
      <c r="J358" s="529"/>
      <c r="K358" s="664"/>
      <c r="L358" s="569"/>
      <c r="M358" s="569"/>
      <c r="N358" s="569"/>
      <c r="O358" s="530"/>
      <c r="P358" s="531"/>
      <c r="Q358" s="531"/>
      <c r="R358" s="531"/>
      <c r="S358" s="531"/>
      <c r="T358" s="531"/>
      <c r="U358" s="531"/>
      <c r="V358" s="531"/>
      <c r="W358" s="531"/>
      <c r="X358" s="531"/>
      <c r="Y358" s="531"/>
      <c r="Z358" s="531"/>
      <c r="AA358" s="531"/>
      <c r="AB358" s="531"/>
      <c r="AC358" s="531"/>
      <c r="AD358" s="531"/>
      <c r="AE358" s="531"/>
      <c r="AF358" s="531"/>
      <c r="AG358" s="531"/>
      <c r="AH358" s="532"/>
      <c r="AI358" s="532"/>
      <c r="AJ358" s="532"/>
      <c r="AK358" s="532"/>
      <c r="AL358" s="532"/>
      <c r="AM358" s="532"/>
      <c r="AN358" s="532"/>
      <c r="AO358" s="532"/>
      <c r="AP358" s="532"/>
      <c r="AQ358" s="532"/>
      <c r="AR358" s="532"/>
      <c r="AS358" s="532"/>
      <c r="AT358" s="532"/>
      <c r="AU358" s="532"/>
      <c r="AV358" s="532"/>
      <c r="AW358" s="532"/>
      <c r="AX358" s="532"/>
      <c r="AY358" s="532"/>
      <c r="AZ358" s="532"/>
      <c r="BA358" s="532"/>
      <c r="BB358" s="532"/>
      <c r="BC358" s="532"/>
      <c r="BD358" s="532"/>
      <c r="BE358" s="532"/>
      <c r="BF358" s="532"/>
      <c r="BG358" s="532"/>
      <c r="BH358" s="532"/>
      <c r="BI358" s="532"/>
      <c r="BJ358" s="532"/>
      <c r="BK358" s="532"/>
      <c r="BL358" s="532"/>
      <c r="BM358" s="532"/>
      <c r="BN358" s="532"/>
      <c r="BO358" s="532"/>
      <c r="BP358" s="532"/>
      <c r="BQ358" s="532"/>
      <c r="BR358" s="532"/>
      <c r="BS358" s="532"/>
      <c r="BT358" s="532"/>
      <c r="BU358" s="532"/>
      <c r="BV358" s="532"/>
      <c r="BW358" s="532"/>
      <c r="BX358" s="532"/>
      <c r="BY358" s="532"/>
      <c r="BZ358" s="532"/>
      <c r="CA358" s="532"/>
      <c r="CB358" s="532"/>
      <c r="CC358" s="532"/>
      <c r="CD358" s="532"/>
      <c r="CE358" s="532"/>
      <c r="CF358" s="532"/>
      <c r="CG358" s="532"/>
      <c r="CH358" s="532"/>
      <c r="CI358" s="532"/>
      <c r="CJ358" s="532"/>
      <c r="CK358" s="532"/>
      <c r="CL358" s="532"/>
      <c r="CM358" s="532"/>
      <c r="CN358" s="532"/>
      <c r="CO358" s="532"/>
      <c r="CP358" s="532"/>
      <c r="CQ358" s="532"/>
      <c r="CR358" s="532"/>
      <c r="CS358" s="532"/>
      <c r="CT358" s="532"/>
      <c r="CU358" s="532"/>
      <c r="CV358" s="532"/>
      <c r="CW358" s="532"/>
      <c r="CX358" s="532"/>
      <c r="CY358" s="532"/>
      <c r="CZ358" s="532"/>
      <c r="DA358" s="532"/>
      <c r="DB358" s="532"/>
      <c r="DC358" s="532"/>
      <c r="DD358" s="532"/>
      <c r="DE358" s="532"/>
      <c r="DF358" s="532"/>
      <c r="DG358" s="532"/>
      <c r="DH358" s="532"/>
      <c r="DI358" s="532"/>
      <c r="DJ358" s="532"/>
      <c r="DK358" s="532"/>
      <c r="DL358" s="532"/>
      <c r="DM358" s="532"/>
      <c r="DN358" s="532"/>
      <c r="DO358" s="532"/>
      <c r="DP358" s="532"/>
      <c r="DQ358" s="532"/>
      <c r="DR358" s="532"/>
      <c r="DS358" s="532"/>
      <c r="DT358" s="532"/>
      <c r="DU358" s="532"/>
      <c r="DV358" s="532"/>
      <c r="DW358" s="532"/>
      <c r="DX358" s="532"/>
      <c r="DY358" s="532"/>
      <c r="DZ358" s="532"/>
      <c r="EA358" s="532"/>
      <c r="EB358" s="532"/>
      <c r="EC358" s="532"/>
      <c r="ED358" s="532"/>
      <c r="EE358" s="532"/>
      <c r="EF358" s="532"/>
      <c r="EG358" s="532"/>
      <c r="EH358" s="532"/>
      <c r="EI358" s="532"/>
      <c r="EJ358" s="532"/>
      <c r="EK358" s="532"/>
      <c r="EL358" s="532"/>
      <c r="EM358" s="532"/>
      <c r="EN358" s="532"/>
      <c r="EO358" s="532"/>
      <c r="EP358" s="532"/>
      <c r="EQ358" s="532"/>
      <c r="ER358" s="532"/>
      <c r="ES358" s="532"/>
      <c r="ET358" s="532"/>
      <c r="EU358" s="532"/>
      <c r="EV358" s="532"/>
      <c r="EW358" s="532"/>
      <c r="EX358" s="532"/>
      <c r="EY358" s="532"/>
      <c r="EZ358" s="532"/>
      <c r="FA358" s="532"/>
      <c r="FB358" s="532"/>
      <c r="FC358" s="532"/>
      <c r="FD358" s="532"/>
      <c r="FE358" s="532"/>
      <c r="FF358" s="532"/>
      <c r="FG358" s="532"/>
      <c r="FH358" s="532"/>
      <c r="FI358" s="532"/>
      <c r="FJ358" s="532"/>
      <c r="FK358" s="532"/>
      <c r="FL358" s="532"/>
      <c r="FM358" s="532"/>
      <c r="FN358" s="532"/>
      <c r="FO358" s="532"/>
      <c r="FP358" s="532"/>
    </row>
    <row r="359" spans="1:172" ht="12" customHeight="1" x14ac:dyDescent="0.2">
      <c r="A359" s="533" t="s">
        <v>214</v>
      </c>
      <c r="B359" s="534" t="s">
        <v>215</v>
      </c>
      <c r="C359" s="666">
        <v>4</v>
      </c>
      <c r="D359" s="208">
        <v>1</v>
      </c>
      <c r="E359" s="208">
        <v>4</v>
      </c>
      <c r="F359" s="208">
        <v>6</v>
      </c>
      <c r="G359" s="208">
        <v>0</v>
      </c>
      <c r="H359" s="208">
        <v>3</v>
      </c>
      <c r="I359" s="208">
        <v>1</v>
      </c>
      <c r="J359" s="208">
        <v>4</v>
      </c>
      <c r="K359" s="208">
        <v>3</v>
      </c>
      <c r="L359" s="562">
        <v>5</v>
      </c>
      <c r="M359" s="562">
        <v>12</v>
      </c>
      <c r="N359" s="562">
        <v>1</v>
      </c>
      <c r="O359" s="530">
        <f>SUM(C359:N359)</f>
        <v>44</v>
      </c>
      <c r="P359" s="531"/>
      <c r="Q359" s="531"/>
      <c r="R359" s="531"/>
      <c r="S359" s="531"/>
      <c r="T359" s="531"/>
      <c r="U359" s="531"/>
      <c r="V359" s="531"/>
      <c r="W359" s="531"/>
      <c r="X359" s="531"/>
      <c r="Y359" s="531"/>
      <c r="Z359" s="531"/>
      <c r="AA359" s="531"/>
      <c r="AB359" s="531"/>
      <c r="AC359" s="531"/>
      <c r="AD359" s="531"/>
      <c r="AE359" s="531"/>
      <c r="AF359" s="531"/>
      <c r="AG359" s="531"/>
      <c r="AH359" s="532"/>
      <c r="AI359" s="532"/>
      <c r="AJ359" s="532"/>
      <c r="AK359" s="532"/>
      <c r="AL359" s="532"/>
      <c r="AM359" s="532"/>
      <c r="AN359" s="532"/>
      <c r="AO359" s="532"/>
      <c r="AP359" s="532"/>
      <c r="AQ359" s="532"/>
      <c r="AR359" s="532"/>
      <c r="AS359" s="532"/>
      <c r="AT359" s="532"/>
      <c r="AU359" s="532"/>
      <c r="AV359" s="532"/>
      <c r="AW359" s="532"/>
      <c r="AX359" s="532"/>
      <c r="AY359" s="532"/>
      <c r="AZ359" s="532"/>
      <c r="BA359" s="532"/>
      <c r="BB359" s="532"/>
      <c r="BC359" s="532"/>
      <c r="BD359" s="532"/>
      <c r="BE359" s="532"/>
      <c r="BF359" s="532"/>
      <c r="BG359" s="532"/>
      <c r="BH359" s="532"/>
      <c r="BI359" s="532"/>
      <c r="BJ359" s="532"/>
      <c r="BK359" s="532"/>
      <c r="BL359" s="532"/>
      <c r="BM359" s="532"/>
      <c r="BN359" s="532"/>
      <c r="BO359" s="532"/>
      <c r="BP359" s="532"/>
      <c r="BQ359" s="532"/>
      <c r="BR359" s="532"/>
      <c r="BS359" s="532"/>
      <c r="BT359" s="532"/>
      <c r="BU359" s="532"/>
      <c r="BV359" s="532"/>
      <c r="BW359" s="532"/>
      <c r="BX359" s="532"/>
      <c r="BY359" s="532"/>
      <c r="BZ359" s="532"/>
      <c r="CA359" s="532"/>
      <c r="CB359" s="532"/>
      <c r="CC359" s="532"/>
      <c r="CD359" s="532"/>
      <c r="CE359" s="532"/>
      <c r="CF359" s="532"/>
      <c r="CG359" s="532"/>
      <c r="CH359" s="532"/>
      <c r="CI359" s="532"/>
      <c r="CJ359" s="532"/>
      <c r="CK359" s="532"/>
      <c r="CL359" s="532"/>
      <c r="CM359" s="532"/>
      <c r="CN359" s="532"/>
      <c r="CO359" s="532"/>
      <c r="CP359" s="532"/>
      <c r="CQ359" s="532"/>
      <c r="CR359" s="532"/>
      <c r="CS359" s="532"/>
      <c r="CT359" s="532"/>
      <c r="CU359" s="532"/>
      <c r="CV359" s="532"/>
      <c r="CW359" s="532"/>
      <c r="CX359" s="532"/>
      <c r="CY359" s="532"/>
      <c r="CZ359" s="532"/>
      <c r="DA359" s="532"/>
      <c r="DB359" s="532"/>
      <c r="DC359" s="532"/>
      <c r="DD359" s="532"/>
      <c r="DE359" s="532"/>
      <c r="DF359" s="532"/>
      <c r="DG359" s="532"/>
      <c r="DH359" s="532"/>
      <c r="DI359" s="532"/>
      <c r="DJ359" s="532"/>
      <c r="DK359" s="532"/>
      <c r="DL359" s="532"/>
      <c r="DM359" s="532"/>
      <c r="DN359" s="532"/>
      <c r="DO359" s="532"/>
      <c r="DP359" s="532"/>
      <c r="DQ359" s="532"/>
      <c r="DR359" s="532"/>
      <c r="DS359" s="532"/>
      <c r="DT359" s="532"/>
      <c r="DU359" s="532"/>
      <c r="DV359" s="532"/>
      <c r="DW359" s="532"/>
      <c r="DX359" s="532"/>
      <c r="DY359" s="532"/>
      <c r="DZ359" s="532"/>
      <c r="EA359" s="532"/>
      <c r="EB359" s="532"/>
      <c r="EC359" s="532"/>
      <c r="ED359" s="532"/>
      <c r="EE359" s="532"/>
      <c r="EF359" s="532"/>
      <c r="EG359" s="532"/>
      <c r="EH359" s="532"/>
      <c r="EI359" s="532"/>
      <c r="EJ359" s="532"/>
      <c r="EK359" s="532"/>
      <c r="EL359" s="532"/>
      <c r="EM359" s="532"/>
      <c r="EN359" s="532"/>
      <c r="EO359" s="532"/>
      <c r="EP359" s="532"/>
      <c r="EQ359" s="532"/>
      <c r="ER359" s="532"/>
      <c r="ES359" s="532"/>
      <c r="ET359" s="532"/>
      <c r="EU359" s="532"/>
      <c r="EV359" s="532"/>
      <c r="EW359" s="532"/>
      <c r="EX359" s="532"/>
      <c r="EY359" s="532"/>
      <c r="EZ359" s="532"/>
      <c r="FA359" s="532"/>
      <c r="FB359" s="532"/>
      <c r="FC359" s="532"/>
      <c r="FD359" s="532"/>
      <c r="FE359" s="532"/>
      <c r="FF359" s="532"/>
      <c r="FG359" s="532"/>
      <c r="FH359" s="532"/>
      <c r="FI359" s="532"/>
      <c r="FJ359" s="532"/>
      <c r="FK359" s="532"/>
      <c r="FL359" s="532"/>
      <c r="FM359" s="532"/>
      <c r="FN359" s="532"/>
      <c r="FO359" s="532"/>
      <c r="FP359" s="532"/>
    </row>
    <row r="360" spans="1:172" ht="12" customHeight="1" x14ac:dyDescent="0.2">
      <c r="A360" s="533" t="s">
        <v>216</v>
      </c>
      <c r="B360" s="534" t="s">
        <v>217</v>
      </c>
      <c r="C360" s="208">
        <v>18</v>
      </c>
      <c r="D360" s="208">
        <v>18</v>
      </c>
      <c r="E360" s="208">
        <v>17</v>
      </c>
      <c r="F360" s="208">
        <v>11</v>
      </c>
      <c r="G360" s="208">
        <v>16</v>
      </c>
      <c r="H360" s="208">
        <v>20</v>
      </c>
      <c r="I360" s="208">
        <v>15</v>
      </c>
      <c r="J360" s="208">
        <v>23</v>
      </c>
      <c r="K360" s="208">
        <v>19</v>
      </c>
      <c r="L360" s="562">
        <v>16</v>
      </c>
      <c r="M360" s="562">
        <v>18</v>
      </c>
      <c r="N360" s="562">
        <v>20</v>
      </c>
      <c r="O360" s="530">
        <f>SUM(C360:N360)</f>
        <v>211</v>
      </c>
      <c r="P360" s="531"/>
      <c r="Q360" s="531"/>
      <c r="R360" s="531"/>
      <c r="S360" s="531"/>
      <c r="T360" s="531"/>
      <c r="U360" s="531"/>
      <c r="V360" s="531"/>
      <c r="W360" s="531"/>
      <c r="X360" s="531"/>
      <c r="Y360" s="531"/>
      <c r="Z360" s="531"/>
      <c r="AA360" s="531"/>
      <c r="AB360" s="531"/>
      <c r="AC360" s="531"/>
      <c r="AD360" s="531"/>
      <c r="AE360" s="531"/>
      <c r="AF360" s="531"/>
      <c r="AG360" s="531"/>
      <c r="AH360" s="532"/>
      <c r="AI360" s="532"/>
      <c r="AJ360" s="532"/>
      <c r="AK360" s="532"/>
      <c r="AL360" s="532"/>
      <c r="AM360" s="532"/>
      <c r="AN360" s="532"/>
      <c r="AO360" s="532"/>
      <c r="AP360" s="532"/>
      <c r="AQ360" s="532"/>
      <c r="AR360" s="532"/>
      <c r="AS360" s="532"/>
      <c r="AT360" s="532"/>
      <c r="AU360" s="532"/>
      <c r="AV360" s="532"/>
      <c r="AW360" s="532"/>
      <c r="AX360" s="532"/>
      <c r="AY360" s="532"/>
      <c r="AZ360" s="532"/>
      <c r="BA360" s="532"/>
      <c r="BB360" s="532"/>
      <c r="BC360" s="532"/>
      <c r="BD360" s="532"/>
      <c r="BE360" s="532"/>
      <c r="BF360" s="532"/>
      <c r="BG360" s="532"/>
      <c r="BH360" s="532"/>
      <c r="BI360" s="532"/>
      <c r="BJ360" s="532"/>
      <c r="BK360" s="532"/>
      <c r="BL360" s="532"/>
      <c r="BM360" s="532"/>
      <c r="BN360" s="532"/>
      <c r="BO360" s="532"/>
      <c r="BP360" s="532"/>
      <c r="BQ360" s="532"/>
      <c r="BR360" s="532"/>
      <c r="BS360" s="532"/>
      <c r="BT360" s="532"/>
      <c r="BU360" s="532"/>
      <c r="BV360" s="532"/>
      <c r="BW360" s="532"/>
      <c r="BX360" s="532"/>
      <c r="BY360" s="532"/>
      <c r="BZ360" s="532"/>
      <c r="CA360" s="532"/>
      <c r="CB360" s="532"/>
      <c r="CC360" s="532"/>
      <c r="CD360" s="532"/>
      <c r="CE360" s="532"/>
      <c r="CF360" s="532"/>
      <c r="CG360" s="532"/>
      <c r="CH360" s="532"/>
      <c r="CI360" s="532"/>
      <c r="CJ360" s="532"/>
      <c r="CK360" s="532"/>
      <c r="CL360" s="532"/>
      <c r="CM360" s="532"/>
      <c r="CN360" s="532"/>
      <c r="CO360" s="532"/>
      <c r="CP360" s="532"/>
      <c r="CQ360" s="532"/>
      <c r="CR360" s="532"/>
      <c r="CS360" s="532"/>
      <c r="CT360" s="532"/>
      <c r="CU360" s="532"/>
      <c r="CV360" s="532"/>
      <c r="CW360" s="532"/>
      <c r="CX360" s="532"/>
      <c r="CY360" s="532"/>
      <c r="CZ360" s="532"/>
      <c r="DA360" s="532"/>
      <c r="DB360" s="532"/>
      <c r="DC360" s="532"/>
      <c r="DD360" s="532"/>
      <c r="DE360" s="532"/>
      <c r="DF360" s="532"/>
      <c r="DG360" s="532"/>
      <c r="DH360" s="532"/>
      <c r="DI360" s="532"/>
      <c r="DJ360" s="532"/>
      <c r="DK360" s="532"/>
      <c r="DL360" s="532"/>
      <c r="DM360" s="532"/>
      <c r="DN360" s="532"/>
      <c r="DO360" s="532"/>
      <c r="DP360" s="532"/>
      <c r="DQ360" s="532"/>
      <c r="DR360" s="532"/>
      <c r="DS360" s="532"/>
      <c r="DT360" s="532"/>
      <c r="DU360" s="532"/>
      <c r="DV360" s="532"/>
      <c r="DW360" s="532"/>
      <c r="DX360" s="532"/>
      <c r="DY360" s="532"/>
      <c r="DZ360" s="532"/>
      <c r="EA360" s="532"/>
      <c r="EB360" s="532"/>
      <c r="EC360" s="532"/>
      <c r="ED360" s="532"/>
      <c r="EE360" s="532"/>
      <c r="EF360" s="532"/>
      <c r="EG360" s="532"/>
      <c r="EH360" s="532"/>
      <c r="EI360" s="532"/>
      <c r="EJ360" s="532"/>
      <c r="EK360" s="532"/>
      <c r="EL360" s="532"/>
      <c r="EM360" s="532"/>
      <c r="EN360" s="532"/>
      <c r="EO360" s="532"/>
      <c r="EP360" s="532"/>
      <c r="EQ360" s="532"/>
      <c r="ER360" s="532"/>
      <c r="ES360" s="532"/>
      <c r="ET360" s="532"/>
      <c r="EU360" s="532"/>
      <c r="EV360" s="532"/>
      <c r="EW360" s="532"/>
      <c r="EX360" s="532"/>
      <c r="EY360" s="532"/>
      <c r="EZ360" s="532"/>
      <c r="FA360" s="532"/>
      <c r="FB360" s="532"/>
      <c r="FC360" s="532"/>
      <c r="FD360" s="532"/>
      <c r="FE360" s="532"/>
      <c r="FF360" s="532"/>
      <c r="FG360" s="532"/>
      <c r="FH360" s="532"/>
      <c r="FI360" s="532"/>
      <c r="FJ360" s="532"/>
      <c r="FK360" s="532"/>
      <c r="FL360" s="532"/>
      <c r="FM360" s="532"/>
      <c r="FN360" s="532"/>
      <c r="FO360" s="532"/>
      <c r="FP360" s="532"/>
    </row>
    <row r="361" spans="1:172" ht="12" customHeight="1" x14ac:dyDescent="0.2">
      <c r="A361" s="533" t="s">
        <v>218</v>
      </c>
      <c r="B361" s="534" t="s">
        <v>55</v>
      </c>
      <c r="C361" s="208">
        <f t="shared" ref="C361:N361" si="167">SUM(C359:C360)</f>
        <v>22</v>
      </c>
      <c r="D361" s="208">
        <f t="shared" si="167"/>
        <v>19</v>
      </c>
      <c r="E361" s="208">
        <f t="shared" si="167"/>
        <v>21</v>
      </c>
      <c r="F361" s="208">
        <f t="shared" si="167"/>
        <v>17</v>
      </c>
      <c r="G361" s="208">
        <f t="shared" si="167"/>
        <v>16</v>
      </c>
      <c r="H361" s="208">
        <f t="shared" si="167"/>
        <v>23</v>
      </c>
      <c r="I361" s="208">
        <f t="shared" si="167"/>
        <v>16</v>
      </c>
      <c r="J361" s="208">
        <f t="shared" si="167"/>
        <v>27</v>
      </c>
      <c r="K361" s="208">
        <f t="shared" si="167"/>
        <v>22</v>
      </c>
      <c r="L361" s="562">
        <f t="shared" si="167"/>
        <v>21</v>
      </c>
      <c r="M361" s="562">
        <f t="shared" si="167"/>
        <v>30</v>
      </c>
      <c r="N361" s="562">
        <f t="shared" si="167"/>
        <v>21</v>
      </c>
      <c r="O361" s="530">
        <f>SUM(C361:N361)</f>
        <v>255</v>
      </c>
      <c r="P361" s="531"/>
      <c r="Q361" s="531"/>
      <c r="R361" s="531"/>
      <c r="S361" s="531"/>
      <c r="T361" s="531"/>
      <c r="U361" s="531"/>
      <c r="V361" s="531"/>
      <c r="W361" s="531"/>
      <c r="X361" s="531"/>
      <c r="Y361" s="531"/>
      <c r="Z361" s="531"/>
      <c r="AA361" s="531"/>
      <c r="AB361" s="531"/>
      <c r="AC361" s="531"/>
      <c r="AD361" s="531"/>
      <c r="AE361" s="531"/>
      <c r="AF361" s="531"/>
      <c r="AG361" s="531"/>
      <c r="AH361" s="532"/>
      <c r="AI361" s="532"/>
      <c r="AJ361" s="532"/>
      <c r="AK361" s="532"/>
      <c r="AL361" s="532"/>
      <c r="AM361" s="532"/>
      <c r="AN361" s="532"/>
      <c r="AO361" s="532"/>
      <c r="AP361" s="532"/>
      <c r="AQ361" s="532"/>
      <c r="AR361" s="532"/>
      <c r="AS361" s="532"/>
      <c r="AT361" s="532"/>
      <c r="AU361" s="532"/>
      <c r="AV361" s="532"/>
      <c r="AW361" s="532"/>
      <c r="AX361" s="532"/>
      <c r="AY361" s="532"/>
      <c r="AZ361" s="532"/>
      <c r="BA361" s="532"/>
      <c r="BB361" s="532"/>
      <c r="BC361" s="532"/>
      <c r="BD361" s="532"/>
      <c r="BE361" s="532"/>
      <c r="BF361" s="532"/>
      <c r="BG361" s="532"/>
      <c r="BH361" s="532"/>
      <c r="BI361" s="532"/>
      <c r="BJ361" s="532"/>
      <c r="BK361" s="532"/>
      <c r="BL361" s="532"/>
      <c r="BM361" s="532"/>
      <c r="BN361" s="532"/>
      <c r="BO361" s="532"/>
      <c r="BP361" s="532"/>
      <c r="BQ361" s="532"/>
      <c r="BR361" s="532"/>
      <c r="BS361" s="532"/>
      <c r="BT361" s="532"/>
      <c r="BU361" s="532"/>
      <c r="BV361" s="532"/>
      <c r="BW361" s="532"/>
      <c r="BX361" s="532"/>
      <c r="BY361" s="532"/>
      <c r="BZ361" s="532"/>
      <c r="CA361" s="532"/>
      <c r="CB361" s="532"/>
      <c r="CC361" s="532"/>
      <c r="CD361" s="532"/>
      <c r="CE361" s="532"/>
      <c r="CF361" s="532"/>
      <c r="CG361" s="532"/>
      <c r="CH361" s="532"/>
      <c r="CI361" s="532"/>
      <c r="CJ361" s="532"/>
      <c r="CK361" s="532"/>
      <c r="CL361" s="532"/>
      <c r="CM361" s="532"/>
      <c r="CN361" s="532"/>
      <c r="CO361" s="532"/>
      <c r="CP361" s="532"/>
      <c r="CQ361" s="532"/>
      <c r="CR361" s="532"/>
      <c r="CS361" s="532"/>
      <c r="CT361" s="532"/>
      <c r="CU361" s="532"/>
      <c r="CV361" s="532"/>
      <c r="CW361" s="532"/>
      <c r="CX361" s="532"/>
      <c r="CY361" s="532"/>
      <c r="CZ361" s="532"/>
      <c r="DA361" s="532"/>
      <c r="DB361" s="532"/>
      <c r="DC361" s="532"/>
      <c r="DD361" s="532"/>
      <c r="DE361" s="532"/>
      <c r="DF361" s="532"/>
      <c r="DG361" s="532"/>
      <c r="DH361" s="532"/>
      <c r="DI361" s="532"/>
      <c r="DJ361" s="532"/>
      <c r="DK361" s="532"/>
      <c r="DL361" s="532"/>
      <c r="DM361" s="532"/>
      <c r="DN361" s="532"/>
      <c r="DO361" s="532"/>
      <c r="DP361" s="532"/>
      <c r="DQ361" s="532"/>
      <c r="DR361" s="532"/>
      <c r="DS361" s="532"/>
      <c r="DT361" s="532"/>
      <c r="DU361" s="532"/>
      <c r="DV361" s="532"/>
      <c r="DW361" s="532"/>
      <c r="DX361" s="532"/>
      <c r="DY361" s="532"/>
      <c r="DZ361" s="532"/>
      <c r="EA361" s="532"/>
      <c r="EB361" s="532"/>
      <c r="EC361" s="532"/>
      <c r="ED361" s="532"/>
      <c r="EE361" s="532"/>
      <c r="EF361" s="532"/>
      <c r="EG361" s="532"/>
      <c r="EH361" s="532"/>
      <c r="EI361" s="532"/>
      <c r="EJ361" s="532"/>
      <c r="EK361" s="532"/>
      <c r="EL361" s="532"/>
      <c r="EM361" s="532"/>
      <c r="EN361" s="532"/>
      <c r="EO361" s="532"/>
      <c r="EP361" s="532"/>
      <c r="EQ361" s="532"/>
      <c r="ER361" s="532"/>
      <c r="ES361" s="532"/>
      <c r="ET361" s="532"/>
      <c r="EU361" s="532"/>
      <c r="EV361" s="532"/>
      <c r="EW361" s="532"/>
      <c r="EX361" s="532"/>
      <c r="EY361" s="532"/>
      <c r="EZ361" s="532"/>
      <c r="FA361" s="532"/>
      <c r="FB361" s="532"/>
      <c r="FC361" s="532"/>
      <c r="FD361" s="532"/>
      <c r="FE361" s="532"/>
      <c r="FF361" s="532"/>
      <c r="FG361" s="532"/>
      <c r="FH361" s="532"/>
      <c r="FI361" s="532"/>
      <c r="FJ361" s="532"/>
      <c r="FK361" s="532"/>
      <c r="FL361" s="532"/>
      <c r="FM361" s="532"/>
      <c r="FN361" s="532"/>
      <c r="FO361" s="532"/>
      <c r="FP361" s="532"/>
    </row>
    <row r="362" spans="1:172" ht="12" customHeight="1" x14ac:dyDescent="0.2">
      <c r="A362" s="533"/>
      <c r="B362" s="534"/>
      <c r="C362" s="534"/>
      <c r="D362" s="534"/>
      <c r="E362" s="534"/>
      <c r="F362" s="534"/>
      <c r="G362" s="534"/>
      <c r="H362" s="534"/>
      <c r="I362" s="534"/>
      <c r="J362" s="534"/>
      <c r="K362" s="658"/>
      <c r="L362" s="562"/>
      <c r="M362" s="562"/>
      <c r="N362" s="562"/>
      <c r="O362" s="530"/>
      <c r="P362" s="531"/>
      <c r="Q362" s="531"/>
      <c r="R362" s="531"/>
      <c r="S362" s="531"/>
      <c r="T362" s="531"/>
      <c r="U362" s="531"/>
      <c r="V362" s="531"/>
      <c r="W362" s="531"/>
      <c r="X362" s="531"/>
      <c r="Y362" s="531"/>
      <c r="Z362" s="531"/>
      <c r="AA362" s="531"/>
      <c r="AB362" s="531"/>
      <c r="AC362" s="531"/>
      <c r="AD362" s="531"/>
      <c r="AE362" s="531"/>
      <c r="AF362" s="531"/>
      <c r="AG362" s="531"/>
      <c r="AH362" s="532"/>
      <c r="AI362" s="532"/>
      <c r="AJ362" s="532"/>
      <c r="AK362" s="532"/>
      <c r="AL362" s="532"/>
      <c r="AM362" s="532"/>
      <c r="AN362" s="532"/>
      <c r="AO362" s="532"/>
      <c r="AP362" s="532"/>
      <c r="AQ362" s="532"/>
      <c r="AR362" s="532"/>
      <c r="AS362" s="532"/>
      <c r="AT362" s="532"/>
      <c r="AU362" s="532"/>
      <c r="AV362" s="532"/>
      <c r="AW362" s="532"/>
      <c r="AX362" s="532"/>
      <c r="AY362" s="532"/>
      <c r="AZ362" s="532"/>
      <c r="BA362" s="532"/>
      <c r="BB362" s="532"/>
      <c r="BC362" s="532"/>
      <c r="BD362" s="532"/>
      <c r="BE362" s="532"/>
      <c r="BF362" s="532"/>
      <c r="BG362" s="532"/>
      <c r="BH362" s="532"/>
      <c r="BI362" s="532"/>
      <c r="BJ362" s="532"/>
      <c r="BK362" s="532"/>
      <c r="BL362" s="532"/>
      <c r="BM362" s="532"/>
      <c r="BN362" s="532"/>
      <c r="BO362" s="532"/>
      <c r="BP362" s="532"/>
      <c r="BQ362" s="532"/>
      <c r="BR362" s="532"/>
      <c r="BS362" s="532"/>
      <c r="BT362" s="532"/>
      <c r="BU362" s="532"/>
      <c r="BV362" s="532"/>
      <c r="BW362" s="532"/>
      <c r="BX362" s="532"/>
      <c r="BY362" s="532"/>
      <c r="BZ362" s="532"/>
      <c r="CA362" s="532"/>
      <c r="CB362" s="532"/>
      <c r="CC362" s="532"/>
      <c r="CD362" s="532"/>
      <c r="CE362" s="532"/>
      <c r="CF362" s="532"/>
      <c r="CG362" s="532"/>
      <c r="CH362" s="532"/>
      <c r="CI362" s="532"/>
      <c r="CJ362" s="532"/>
      <c r="CK362" s="532"/>
      <c r="CL362" s="532"/>
      <c r="CM362" s="532"/>
      <c r="CN362" s="532"/>
      <c r="CO362" s="532"/>
      <c r="CP362" s="532"/>
      <c r="CQ362" s="532"/>
      <c r="CR362" s="532"/>
      <c r="CS362" s="532"/>
      <c r="CT362" s="532"/>
      <c r="CU362" s="532"/>
      <c r="CV362" s="532"/>
      <c r="CW362" s="532"/>
      <c r="CX362" s="532"/>
      <c r="CY362" s="532"/>
      <c r="CZ362" s="532"/>
      <c r="DA362" s="532"/>
      <c r="DB362" s="532"/>
      <c r="DC362" s="532"/>
      <c r="DD362" s="532"/>
      <c r="DE362" s="532"/>
      <c r="DF362" s="532"/>
      <c r="DG362" s="532"/>
      <c r="DH362" s="532"/>
      <c r="DI362" s="532"/>
      <c r="DJ362" s="532"/>
      <c r="DK362" s="532"/>
      <c r="DL362" s="532"/>
      <c r="DM362" s="532"/>
      <c r="DN362" s="532"/>
      <c r="DO362" s="532"/>
      <c r="DP362" s="532"/>
      <c r="DQ362" s="532"/>
      <c r="DR362" s="532"/>
      <c r="DS362" s="532"/>
      <c r="DT362" s="532"/>
      <c r="DU362" s="532"/>
      <c r="DV362" s="532"/>
      <c r="DW362" s="532"/>
      <c r="DX362" s="532"/>
      <c r="DY362" s="532"/>
      <c r="DZ362" s="532"/>
      <c r="EA362" s="532"/>
      <c r="EB362" s="532"/>
      <c r="EC362" s="532"/>
      <c r="ED362" s="532"/>
      <c r="EE362" s="532"/>
      <c r="EF362" s="532"/>
      <c r="EG362" s="532"/>
      <c r="EH362" s="532"/>
      <c r="EI362" s="532"/>
      <c r="EJ362" s="532"/>
      <c r="EK362" s="532"/>
      <c r="EL362" s="532"/>
      <c r="EM362" s="532"/>
      <c r="EN362" s="532"/>
      <c r="EO362" s="532"/>
      <c r="EP362" s="532"/>
      <c r="EQ362" s="532"/>
      <c r="ER362" s="532"/>
      <c r="ES362" s="532"/>
      <c r="ET362" s="532"/>
      <c r="EU362" s="532"/>
      <c r="EV362" s="532"/>
      <c r="EW362" s="532"/>
      <c r="EX362" s="532"/>
      <c r="EY362" s="532"/>
      <c r="EZ362" s="532"/>
      <c r="FA362" s="532"/>
      <c r="FB362" s="532"/>
      <c r="FC362" s="532"/>
      <c r="FD362" s="532"/>
      <c r="FE362" s="532"/>
      <c r="FF362" s="532"/>
      <c r="FG362" s="532"/>
      <c r="FH362" s="532"/>
      <c r="FI362" s="532"/>
      <c r="FJ362" s="532"/>
      <c r="FK362" s="532"/>
      <c r="FL362" s="532"/>
      <c r="FM362" s="532"/>
      <c r="FN362" s="532"/>
      <c r="FO362" s="532"/>
      <c r="FP362" s="532"/>
    </row>
    <row r="363" spans="1:172" ht="12" customHeight="1" x14ac:dyDescent="0.2">
      <c r="A363" s="533" t="s">
        <v>219</v>
      </c>
      <c r="B363" s="534" t="s">
        <v>220</v>
      </c>
      <c r="C363" s="208">
        <v>0</v>
      </c>
      <c r="D363" s="208">
        <v>0</v>
      </c>
      <c r="E363" s="208">
        <v>0</v>
      </c>
      <c r="F363" s="208">
        <v>0</v>
      </c>
      <c r="G363" s="208">
        <v>0</v>
      </c>
      <c r="H363" s="208">
        <v>0</v>
      </c>
      <c r="I363" s="208">
        <v>0</v>
      </c>
      <c r="J363" s="208">
        <v>0</v>
      </c>
      <c r="K363" s="208">
        <v>1</v>
      </c>
      <c r="L363" s="562">
        <v>4</v>
      </c>
      <c r="M363" s="562">
        <v>1</v>
      </c>
      <c r="N363" s="562">
        <v>0</v>
      </c>
      <c r="O363" s="530">
        <f>SUM(C363:N363)</f>
        <v>6</v>
      </c>
      <c r="P363" s="531"/>
      <c r="Q363" s="531"/>
      <c r="R363" s="531"/>
      <c r="S363" s="531"/>
      <c r="T363" s="531"/>
      <c r="U363" s="531"/>
      <c r="V363" s="531"/>
      <c r="W363" s="531"/>
      <c r="X363" s="531"/>
      <c r="Y363" s="531"/>
      <c r="Z363" s="531"/>
      <c r="AA363" s="531"/>
      <c r="AB363" s="531"/>
      <c r="AC363" s="531"/>
      <c r="AD363" s="531"/>
      <c r="AE363" s="531"/>
      <c r="AF363" s="531"/>
      <c r="AG363" s="531"/>
      <c r="AH363" s="532"/>
      <c r="AI363" s="532"/>
      <c r="AJ363" s="532"/>
      <c r="AK363" s="532"/>
      <c r="AL363" s="532"/>
      <c r="AM363" s="532"/>
      <c r="AN363" s="532"/>
      <c r="AO363" s="532"/>
      <c r="AP363" s="532"/>
      <c r="AQ363" s="532"/>
      <c r="AR363" s="532"/>
      <c r="AS363" s="532"/>
      <c r="AT363" s="532"/>
      <c r="AU363" s="532"/>
      <c r="AV363" s="532"/>
      <c r="AW363" s="532"/>
      <c r="AX363" s="532"/>
      <c r="AY363" s="532"/>
      <c r="AZ363" s="532"/>
      <c r="BA363" s="532"/>
      <c r="BB363" s="532"/>
      <c r="BC363" s="532"/>
      <c r="BD363" s="532"/>
      <c r="BE363" s="532"/>
      <c r="BF363" s="532"/>
      <c r="BG363" s="532"/>
      <c r="BH363" s="532"/>
      <c r="BI363" s="532"/>
      <c r="BJ363" s="532"/>
      <c r="BK363" s="532"/>
      <c r="BL363" s="532"/>
      <c r="BM363" s="532"/>
      <c r="BN363" s="532"/>
      <c r="BO363" s="532"/>
      <c r="BP363" s="532"/>
      <c r="BQ363" s="532"/>
      <c r="BR363" s="532"/>
      <c r="BS363" s="532"/>
      <c r="BT363" s="532"/>
      <c r="BU363" s="532"/>
      <c r="BV363" s="532"/>
      <c r="BW363" s="532"/>
      <c r="BX363" s="532"/>
      <c r="BY363" s="532"/>
      <c r="BZ363" s="532"/>
      <c r="CA363" s="532"/>
      <c r="CB363" s="532"/>
      <c r="CC363" s="532"/>
      <c r="CD363" s="532"/>
      <c r="CE363" s="532"/>
      <c r="CF363" s="532"/>
      <c r="CG363" s="532"/>
      <c r="CH363" s="532"/>
      <c r="CI363" s="532"/>
      <c r="CJ363" s="532"/>
      <c r="CK363" s="532"/>
      <c r="CL363" s="532"/>
      <c r="CM363" s="532"/>
      <c r="CN363" s="532"/>
      <c r="CO363" s="532"/>
      <c r="CP363" s="532"/>
      <c r="CQ363" s="532"/>
      <c r="CR363" s="532"/>
      <c r="CS363" s="532"/>
      <c r="CT363" s="532"/>
      <c r="CU363" s="532"/>
      <c r="CV363" s="532"/>
      <c r="CW363" s="532"/>
      <c r="CX363" s="532"/>
      <c r="CY363" s="532"/>
      <c r="CZ363" s="532"/>
      <c r="DA363" s="532"/>
      <c r="DB363" s="532"/>
      <c r="DC363" s="532"/>
      <c r="DD363" s="532"/>
      <c r="DE363" s="532"/>
      <c r="DF363" s="532"/>
      <c r="DG363" s="532"/>
      <c r="DH363" s="532"/>
      <c r="DI363" s="532"/>
      <c r="DJ363" s="532"/>
      <c r="DK363" s="532"/>
      <c r="DL363" s="532"/>
      <c r="DM363" s="532"/>
      <c r="DN363" s="532"/>
      <c r="DO363" s="532"/>
      <c r="DP363" s="532"/>
      <c r="DQ363" s="532"/>
      <c r="DR363" s="532"/>
      <c r="DS363" s="532"/>
      <c r="DT363" s="532"/>
      <c r="DU363" s="532"/>
      <c r="DV363" s="532"/>
      <c r="DW363" s="532"/>
      <c r="DX363" s="532"/>
      <c r="DY363" s="532"/>
      <c r="DZ363" s="532"/>
      <c r="EA363" s="532"/>
      <c r="EB363" s="532"/>
      <c r="EC363" s="532"/>
      <c r="ED363" s="532"/>
      <c r="EE363" s="532"/>
      <c r="EF363" s="532"/>
      <c r="EG363" s="532"/>
      <c r="EH363" s="532"/>
      <c r="EI363" s="532"/>
      <c r="EJ363" s="532"/>
      <c r="EK363" s="532"/>
      <c r="EL363" s="532"/>
      <c r="EM363" s="532"/>
      <c r="EN363" s="532"/>
      <c r="EO363" s="532"/>
      <c r="EP363" s="532"/>
      <c r="EQ363" s="532"/>
      <c r="ER363" s="532"/>
      <c r="ES363" s="532"/>
      <c r="ET363" s="532"/>
      <c r="EU363" s="532"/>
      <c r="EV363" s="532"/>
      <c r="EW363" s="532"/>
      <c r="EX363" s="532"/>
      <c r="EY363" s="532"/>
      <c r="EZ363" s="532"/>
      <c r="FA363" s="532"/>
      <c r="FB363" s="532"/>
      <c r="FC363" s="532"/>
      <c r="FD363" s="532"/>
      <c r="FE363" s="532"/>
      <c r="FF363" s="532"/>
      <c r="FG363" s="532"/>
      <c r="FH363" s="532"/>
      <c r="FI363" s="532"/>
      <c r="FJ363" s="532"/>
      <c r="FK363" s="532"/>
      <c r="FL363" s="532"/>
      <c r="FM363" s="532"/>
      <c r="FN363" s="532"/>
      <c r="FO363" s="532"/>
      <c r="FP363" s="532"/>
    </row>
    <row r="364" spans="1:172" ht="12" customHeight="1" x14ac:dyDescent="0.2">
      <c r="A364" s="533" t="s">
        <v>221</v>
      </c>
      <c r="B364" s="534" t="s">
        <v>222</v>
      </c>
      <c r="C364" s="208">
        <v>1</v>
      </c>
      <c r="D364" s="208">
        <v>2</v>
      </c>
      <c r="E364" s="208">
        <v>2</v>
      </c>
      <c r="F364" s="208">
        <v>1</v>
      </c>
      <c r="G364" s="208">
        <v>1</v>
      </c>
      <c r="H364" s="208">
        <v>0</v>
      </c>
      <c r="I364" s="208">
        <v>2</v>
      </c>
      <c r="J364" s="208">
        <v>0</v>
      </c>
      <c r="K364" s="208">
        <v>0</v>
      </c>
      <c r="L364" s="562">
        <v>0</v>
      </c>
      <c r="M364" s="562">
        <v>5</v>
      </c>
      <c r="N364" s="562">
        <v>1</v>
      </c>
      <c r="O364" s="530">
        <f>SUM(C364:N364)</f>
        <v>15</v>
      </c>
      <c r="P364" s="531"/>
      <c r="Q364" s="531"/>
      <c r="R364" s="531"/>
      <c r="S364" s="531"/>
      <c r="T364" s="531"/>
      <c r="U364" s="531"/>
      <c r="V364" s="531"/>
      <c r="W364" s="531"/>
      <c r="X364" s="531"/>
      <c r="Y364" s="531"/>
      <c r="Z364" s="531"/>
      <c r="AA364" s="531"/>
      <c r="AB364" s="531"/>
      <c r="AC364" s="531"/>
      <c r="AD364" s="531"/>
      <c r="AE364" s="531"/>
      <c r="AF364" s="531"/>
      <c r="AG364" s="531"/>
      <c r="AH364" s="532"/>
      <c r="AI364" s="532"/>
      <c r="AJ364" s="532"/>
      <c r="AK364" s="532"/>
      <c r="AL364" s="532"/>
      <c r="AM364" s="532"/>
      <c r="AN364" s="532"/>
      <c r="AO364" s="532"/>
      <c r="AP364" s="532"/>
      <c r="AQ364" s="532"/>
      <c r="AR364" s="532"/>
      <c r="AS364" s="532"/>
      <c r="AT364" s="532"/>
      <c r="AU364" s="532"/>
      <c r="AV364" s="532"/>
      <c r="AW364" s="532"/>
      <c r="AX364" s="532"/>
      <c r="AY364" s="532"/>
      <c r="AZ364" s="532"/>
      <c r="BA364" s="532"/>
      <c r="BB364" s="532"/>
      <c r="BC364" s="532"/>
      <c r="BD364" s="532"/>
      <c r="BE364" s="532"/>
      <c r="BF364" s="532"/>
      <c r="BG364" s="532"/>
      <c r="BH364" s="532"/>
      <c r="BI364" s="532"/>
      <c r="BJ364" s="532"/>
      <c r="BK364" s="532"/>
      <c r="BL364" s="532"/>
      <c r="BM364" s="532"/>
      <c r="BN364" s="532"/>
      <c r="BO364" s="532"/>
      <c r="BP364" s="532"/>
      <c r="BQ364" s="532"/>
      <c r="BR364" s="532"/>
      <c r="BS364" s="532"/>
      <c r="BT364" s="532"/>
      <c r="BU364" s="532"/>
      <c r="BV364" s="532"/>
      <c r="BW364" s="532"/>
      <c r="BX364" s="532"/>
      <c r="BY364" s="532"/>
      <c r="BZ364" s="532"/>
      <c r="CA364" s="532"/>
      <c r="CB364" s="532"/>
      <c r="CC364" s="532"/>
      <c r="CD364" s="532"/>
      <c r="CE364" s="532"/>
      <c r="CF364" s="532"/>
      <c r="CG364" s="532"/>
      <c r="CH364" s="532"/>
      <c r="CI364" s="532"/>
      <c r="CJ364" s="532"/>
      <c r="CK364" s="532"/>
      <c r="CL364" s="532"/>
      <c r="CM364" s="532"/>
      <c r="CN364" s="532"/>
      <c r="CO364" s="532"/>
      <c r="CP364" s="532"/>
      <c r="CQ364" s="532"/>
      <c r="CR364" s="532"/>
      <c r="CS364" s="532"/>
      <c r="CT364" s="532"/>
      <c r="CU364" s="532"/>
      <c r="CV364" s="532"/>
      <c r="CW364" s="532"/>
      <c r="CX364" s="532"/>
      <c r="CY364" s="532"/>
      <c r="CZ364" s="532"/>
      <c r="DA364" s="532"/>
      <c r="DB364" s="532"/>
      <c r="DC364" s="532"/>
      <c r="DD364" s="532"/>
      <c r="DE364" s="532"/>
      <c r="DF364" s="532"/>
      <c r="DG364" s="532"/>
      <c r="DH364" s="532"/>
      <c r="DI364" s="532"/>
      <c r="DJ364" s="532"/>
      <c r="DK364" s="532"/>
      <c r="DL364" s="532"/>
      <c r="DM364" s="532"/>
      <c r="DN364" s="532"/>
      <c r="DO364" s="532"/>
      <c r="DP364" s="532"/>
      <c r="DQ364" s="532"/>
      <c r="DR364" s="532"/>
      <c r="DS364" s="532"/>
      <c r="DT364" s="532"/>
      <c r="DU364" s="532"/>
      <c r="DV364" s="532"/>
      <c r="DW364" s="532"/>
      <c r="DX364" s="532"/>
      <c r="DY364" s="532"/>
      <c r="DZ364" s="532"/>
      <c r="EA364" s="532"/>
      <c r="EB364" s="532"/>
      <c r="EC364" s="532"/>
      <c r="ED364" s="532"/>
      <c r="EE364" s="532"/>
      <c r="EF364" s="532"/>
      <c r="EG364" s="532"/>
      <c r="EH364" s="532"/>
      <c r="EI364" s="532"/>
      <c r="EJ364" s="532"/>
      <c r="EK364" s="532"/>
      <c r="EL364" s="532"/>
      <c r="EM364" s="532"/>
      <c r="EN364" s="532"/>
      <c r="EO364" s="532"/>
      <c r="EP364" s="532"/>
      <c r="EQ364" s="532"/>
      <c r="ER364" s="532"/>
      <c r="ES364" s="532"/>
      <c r="ET364" s="532"/>
      <c r="EU364" s="532"/>
      <c r="EV364" s="532"/>
      <c r="EW364" s="532"/>
      <c r="EX364" s="532"/>
      <c r="EY364" s="532"/>
      <c r="EZ364" s="532"/>
      <c r="FA364" s="532"/>
      <c r="FB364" s="532"/>
      <c r="FC364" s="532"/>
      <c r="FD364" s="532"/>
      <c r="FE364" s="532"/>
      <c r="FF364" s="532"/>
      <c r="FG364" s="532"/>
      <c r="FH364" s="532"/>
      <c r="FI364" s="532"/>
      <c r="FJ364" s="532"/>
      <c r="FK364" s="532"/>
      <c r="FL364" s="532"/>
      <c r="FM364" s="532"/>
      <c r="FN364" s="532"/>
      <c r="FO364" s="532"/>
      <c r="FP364" s="532"/>
    </row>
    <row r="365" spans="1:172" ht="12" customHeight="1" x14ac:dyDescent="0.2">
      <c r="A365" s="533" t="s">
        <v>223</v>
      </c>
      <c r="B365" s="534" t="s">
        <v>55</v>
      </c>
      <c r="C365" s="208">
        <f t="shared" ref="C365:N365" si="168">SUM(C363:C364)</f>
        <v>1</v>
      </c>
      <c r="D365" s="208">
        <f t="shared" si="168"/>
        <v>2</v>
      </c>
      <c r="E365" s="208">
        <f t="shared" si="168"/>
        <v>2</v>
      </c>
      <c r="F365" s="208">
        <f t="shared" si="168"/>
        <v>1</v>
      </c>
      <c r="G365" s="208">
        <f t="shared" si="168"/>
        <v>1</v>
      </c>
      <c r="H365" s="208">
        <f t="shared" si="168"/>
        <v>0</v>
      </c>
      <c r="I365" s="208">
        <f t="shared" si="168"/>
        <v>2</v>
      </c>
      <c r="J365" s="208">
        <f t="shared" si="168"/>
        <v>0</v>
      </c>
      <c r="K365" s="208">
        <f t="shared" si="168"/>
        <v>1</v>
      </c>
      <c r="L365" s="562">
        <f t="shared" si="168"/>
        <v>4</v>
      </c>
      <c r="M365" s="562">
        <f t="shared" si="168"/>
        <v>6</v>
      </c>
      <c r="N365" s="562">
        <f t="shared" si="168"/>
        <v>1</v>
      </c>
      <c r="O365" s="530">
        <f>SUM(C365:N365)</f>
        <v>21</v>
      </c>
      <c r="P365" s="531"/>
      <c r="Q365" s="531"/>
      <c r="R365" s="531"/>
      <c r="S365" s="531"/>
      <c r="T365" s="531"/>
      <c r="U365" s="531"/>
      <c r="V365" s="531"/>
      <c r="W365" s="531"/>
      <c r="X365" s="531"/>
      <c r="Y365" s="531"/>
      <c r="Z365" s="531"/>
      <c r="AA365" s="531"/>
      <c r="AB365" s="531"/>
      <c r="AC365" s="531"/>
      <c r="AD365" s="531"/>
      <c r="AE365" s="531"/>
      <c r="AF365" s="531"/>
      <c r="AG365" s="531"/>
      <c r="AH365" s="532"/>
      <c r="AI365" s="532"/>
      <c r="AJ365" s="532"/>
      <c r="AK365" s="532"/>
      <c r="AL365" s="532"/>
      <c r="AM365" s="532"/>
      <c r="AN365" s="532"/>
      <c r="AO365" s="532"/>
      <c r="AP365" s="532"/>
      <c r="AQ365" s="532"/>
      <c r="AR365" s="532"/>
      <c r="AS365" s="532"/>
      <c r="AT365" s="532"/>
      <c r="AU365" s="532"/>
      <c r="AV365" s="532"/>
      <c r="AW365" s="532"/>
      <c r="AX365" s="532"/>
      <c r="AY365" s="532"/>
      <c r="AZ365" s="532"/>
      <c r="BA365" s="532"/>
      <c r="BB365" s="532"/>
      <c r="BC365" s="532"/>
      <c r="BD365" s="532"/>
      <c r="BE365" s="532"/>
      <c r="BF365" s="532"/>
      <c r="BG365" s="532"/>
      <c r="BH365" s="532"/>
      <c r="BI365" s="532"/>
      <c r="BJ365" s="532"/>
      <c r="BK365" s="532"/>
      <c r="BL365" s="532"/>
      <c r="BM365" s="532"/>
      <c r="BN365" s="532"/>
      <c r="BO365" s="532"/>
      <c r="BP365" s="532"/>
      <c r="BQ365" s="532"/>
      <c r="BR365" s="532"/>
      <c r="BS365" s="532"/>
      <c r="BT365" s="532"/>
      <c r="BU365" s="532"/>
      <c r="BV365" s="532"/>
      <c r="BW365" s="532"/>
      <c r="BX365" s="532"/>
      <c r="BY365" s="532"/>
      <c r="BZ365" s="532"/>
      <c r="CA365" s="532"/>
      <c r="CB365" s="532"/>
      <c r="CC365" s="532"/>
      <c r="CD365" s="532"/>
      <c r="CE365" s="532"/>
      <c r="CF365" s="532"/>
      <c r="CG365" s="532"/>
      <c r="CH365" s="532"/>
      <c r="CI365" s="532"/>
      <c r="CJ365" s="532"/>
      <c r="CK365" s="532"/>
      <c r="CL365" s="532"/>
      <c r="CM365" s="532"/>
      <c r="CN365" s="532"/>
      <c r="CO365" s="532"/>
      <c r="CP365" s="532"/>
      <c r="CQ365" s="532"/>
      <c r="CR365" s="532"/>
      <c r="CS365" s="532"/>
      <c r="CT365" s="532"/>
      <c r="CU365" s="532"/>
      <c r="CV365" s="532"/>
      <c r="CW365" s="532"/>
      <c r="CX365" s="532"/>
      <c r="CY365" s="532"/>
      <c r="CZ365" s="532"/>
      <c r="DA365" s="532"/>
      <c r="DB365" s="532"/>
      <c r="DC365" s="532"/>
      <c r="DD365" s="532"/>
      <c r="DE365" s="532"/>
      <c r="DF365" s="532"/>
      <c r="DG365" s="532"/>
      <c r="DH365" s="532"/>
      <c r="DI365" s="532"/>
      <c r="DJ365" s="532"/>
      <c r="DK365" s="532"/>
      <c r="DL365" s="532"/>
      <c r="DM365" s="532"/>
      <c r="DN365" s="532"/>
      <c r="DO365" s="532"/>
      <c r="DP365" s="532"/>
      <c r="DQ365" s="532"/>
      <c r="DR365" s="532"/>
      <c r="DS365" s="532"/>
      <c r="DT365" s="532"/>
      <c r="DU365" s="532"/>
      <c r="DV365" s="532"/>
      <c r="DW365" s="532"/>
      <c r="DX365" s="532"/>
      <c r="DY365" s="532"/>
      <c r="DZ365" s="532"/>
      <c r="EA365" s="532"/>
      <c r="EB365" s="532"/>
      <c r="EC365" s="532"/>
      <c r="ED365" s="532"/>
      <c r="EE365" s="532"/>
      <c r="EF365" s="532"/>
      <c r="EG365" s="532"/>
      <c r="EH365" s="532"/>
      <c r="EI365" s="532"/>
      <c r="EJ365" s="532"/>
      <c r="EK365" s="532"/>
      <c r="EL365" s="532"/>
      <c r="EM365" s="532"/>
      <c r="EN365" s="532"/>
      <c r="EO365" s="532"/>
      <c r="EP365" s="532"/>
      <c r="EQ365" s="532"/>
      <c r="ER365" s="532"/>
      <c r="ES365" s="532"/>
      <c r="ET365" s="532"/>
      <c r="EU365" s="532"/>
      <c r="EV365" s="532"/>
      <c r="EW365" s="532"/>
      <c r="EX365" s="532"/>
      <c r="EY365" s="532"/>
      <c r="EZ365" s="532"/>
      <c r="FA365" s="532"/>
      <c r="FB365" s="532"/>
      <c r="FC365" s="532"/>
      <c r="FD365" s="532"/>
      <c r="FE365" s="532"/>
      <c r="FF365" s="532"/>
      <c r="FG365" s="532"/>
      <c r="FH365" s="532"/>
      <c r="FI365" s="532"/>
      <c r="FJ365" s="532"/>
      <c r="FK365" s="532"/>
      <c r="FL365" s="532"/>
      <c r="FM365" s="532"/>
      <c r="FN365" s="532"/>
      <c r="FO365" s="532"/>
      <c r="FP365" s="532"/>
    </row>
    <row r="366" spans="1:172" ht="12" customHeight="1" x14ac:dyDescent="0.2">
      <c r="A366" s="533" t="s">
        <v>55</v>
      </c>
      <c r="B366" s="534"/>
      <c r="C366" s="534"/>
      <c r="D366" s="534"/>
      <c r="E366" s="534"/>
      <c r="F366" s="534"/>
      <c r="G366" s="534"/>
      <c r="H366" s="534"/>
      <c r="I366" s="534"/>
      <c r="J366" s="534"/>
      <c r="K366" s="658"/>
      <c r="L366" s="562"/>
      <c r="M366" s="562"/>
      <c r="N366" s="562"/>
      <c r="O366" s="530"/>
      <c r="P366" s="531"/>
      <c r="Q366" s="531"/>
      <c r="R366" s="531"/>
      <c r="S366" s="531"/>
      <c r="T366" s="531"/>
      <c r="U366" s="531"/>
      <c r="V366" s="531"/>
      <c r="W366" s="531"/>
      <c r="X366" s="531"/>
      <c r="Y366" s="531"/>
      <c r="Z366" s="531"/>
      <c r="AA366" s="531"/>
      <c r="AB366" s="531"/>
      <c r="AC366" s="531"/>
      <c r="AD366" s="531"/>
      <c r="AE366" s="531"/>
      <c r="AF366" s="531"/>
      <c r="AG366" s="531"/>
      <c r="AH366" s="532"/>
      <c r="AI366" s="532"/>
      <c r="AJ366" s="532"/>
      <c r="AK366" s="532"/>
      <c r="AL366" s="532"/>
      <c r="AM366" s="532"/>
      <c r="AN366" s="532"/>
      <c r="AO366" s="532"/>
      <c r="AP366" s="532"/>
      <c r="AQ366" s="532"/>
      <c r="AR366" s="532"/>
      <c r="AS366" s="532"/>
      <c r="AT366" s="532"/>
      <c r="AU366" s="532"/>
      <c r="AV366" s="532"/>
      <c r="AW366" s="532"/>
      <c r="AX366" s="532"/>
      <c r="AY366" s="532"/>
      <c r="AZ366" s="532"/>
      <c r="BA366" s="532"/>
      <c r="BB366" s="532"/>
      <c r="BC366" s="532"/>
      <c r="BD366" s="532"/>
      <c r="BE366" s="532"/>
      <c r="BF366" s="532"/>
      <c r="BG366" s="532"/>
      <c r="BH366" s="532"/>
      <c r="BI366" s="532"/>
      <c r="BJ366" s="532"/>
      <c r="BK366" s="532"/>
      <c r="BL366" s="532"/>
      <c r="BM366" s="532"/>
      <c r="BN366" s="532"/>
      <c r="BO366" s="532"/>
      <c r="BP366" s="532"/>
      <c r="BQ366" s="532"/>
      <c r="BR366" s="532"/>
      <c r="BS366" s="532"/>
      <c r="BT366" s="532"/>
      <c r="BU366" s="532"/>
      <c r="BV366" s="532"/>
      <c r="BW366" s="532"/>
      <c r="BX366" s="532"/>
      <c r="BY366" s="532"/>
      <c r="BZ366" s="532"/>
      <c r="CA366" s="532"/>
      <c r="CB366" s="532"/>
      <c r="CC366" s="532"/>
      <c r="CD366" s="532"/>
      <c r="CE366" s="532"/>
      <c r="CF366" s="532"/>
      <c r="CG366" s="532"/>
      <c r="CH366" s="532"/>
      <c r="CI366" s="532"/>
      <c r="CJ366" s="532"/>
      <c r="CK366" s="532"/>
      <c r="CL366" s="532"/>
      <c r="CM366" s="532"/>
      <c r="CN366" s="532"/>
      <c r="CO366" s="532"/>
      <c r="CP366" s="532"/>
      <c r="CQ366" s="532"/>
      <c r="CR366" s="532"/>
      <c r="CS366" s="532"/>
      <c r="CT366" s="532"/>
      <c r="CU366" s="532"/>
      <c r="CV366" s="532"/>
      <c r="CW366" s="532"/>
      <c r="CX366" s="532"/>
      <c r="CY366" s="532"/>
      <c r="CZ366" s="532"/>
      <c r="DA366" s="532"/>
      <c r="DB366" s="532"/>
      <c r="DC366" s="532"/>
      <c r="DD366" s="532"/>
      <c r="DE366" s="532"/>
      <c r="DF366" s="532"/>
      <c r="DG366" s="532"/>
      <c r="DH366" s="532"/>
      <c r="DI366" s="532"/>
      <c r="DJ366" s="532"/>
      <c r="DK366" s="532"/>
      <c r="DL366" s="532"/>
      <c r="DM366" s="532"/>
      <c r="DN366" s="532"/>
      <c r="DO366" s="532"/>
      <c r="DP366" s="532"/>
      <c r="DQ366" s="532"/>
      <c r="DR366" s="532"/>
      <c r="DS366" s="532"/>
      <c r="DT366" s="532"/>
      <c r="DU366" s="532"/>
      <c r="DV366" s="532"/>
      <c r="DW366" s="532"/>
      <c r="DX366" s="532"/>
      <c r="DY366" s="532"/>
      <c r="DZ366" s="532"/>
      <c r="EA366" s="532"/>
      <c r="EB366" s="532"/>
      <c r="EC366" s="532"/>
      <c r="ED366" s="532"/>
      <c r="EE366" s="532"/>
      <c r="EF366" s="532"/>
      <c r="EG366" s="532"/>
      <c r="EH366" s="532"/>
      <c r="EI366" s="532"/>
      <c r="EJ366" s="532"/>
      <c r="EK366" s="532"/>
      <c r="EL366" s="532"/>
      <c r="EM366" s="532"/>
      <c r="EN366" s="532"/>
      <c r="EO366" s="532"/>
      <c r="EP366" s="532"/>
      <c r="EQ366" s="532"/>
      <c r="ER366" s="532"/>
      <c r="ES366" s="532"/>
      <c r="ET366" s="532"/>
      <c r="EU366" s="532"/>
      <c r="EV366" s="532"/>
      <c r="EW366" s="532"/>
      <c r="EX366" s="532"/>
      <c r="EY366" s="532"/>
      <c r="EZ366" s="532"/>
      <c r="FA366" s="532"/>
      <c r="FB366" s="532"/>
      <c r="FC366" s="532"/>
      <c r="FD366" s="532"/>
      <c r="FE366" s="532"/>
      <c r="FF366" s="532"/>
      <c r="FG366" s="532"/>
      <c r="FH366" s="532"/>
      <c r="FI366" s="532"/>
      <c r="FJ366" s="532"/>
      <c r="FK366" s="532"/>
      <c r="FL366" s="532"/>
      <c r="FM366" s="532"/>
      <c r="FN366" s="532"/>
      <c r="FO366" s="532"/>
      <c r="FP366" s="532"/>
    </row>
    <row r="367" spans="1:172" ht="12" customHeight="1" x14ac:dyDescent="0.2">
      <c r="A367" s="533" t="s">
        <v>224</v>
      </c>
      <c r="B367" s="534" t="s">
        <v>225</v>
      </c>
      <c r="C367" s="208">
        <v>2</v>
      </c>
      <c r="D367" s="208">
        <v>0</v>
      </c>
      <c r="E367" s="208">
        <v>2</v>
      </c>
      <c r="F367" s="208">
        <v>0</v>
      </c>
      <c r="G367" s="208">
        <v>7</v>
      </c>
      <c r="H367" s="208">
        <v>1</v>
      </c>
      <c r="I367" s="208">
        <v>5</v>
      </c>
      <c r="J367" s="208">
        <v>2</v>
      </c>
      <c r="K367" s="208">
        <v>0</v>
      </c>
      <c r="L367" s="562">
        <v>1</v>
      </c>
      <c r="M367" s="562">
        <v>2</v>
      </c>
      <c r="N367" s="562">
        <v>1</v>
      </c>
      <c r="O367" s="530">
        <f>SUM(C367:N367)</f>
        <v>23</v>
      </c>
      <c r="P367" s="531"/>
      <c r="Q367" s="531"/>
      <c r="R367" s="531"/>
      <c r="S367" s="531"/>
      <c r="T367" s="531"/>
      <c r="U367" s="531"/>
      <c r="V367" s="531"/>
      <c r="W367" s="531"/>
      <c r="X367" s="531"/>
      <c r="Y367" s="531"/>
      <c r="Z367" s="531"/>
      <c r="AA367" s="531"/>
      <c r="AB367" s="531"/>
      <c r="AC367" s="531"/>
      <c r="AD367" s="531"/>
      <c r="AE367" s="531"/>
      <c r="AF367" s="531"/>
      <c r="AG367" s="531"/>
      <c r="AH367" s="532"/>
      <c r="AI367" s="532"/>
      <c r="AJ367" s="532"/>
      <c r="AK367" s="532"/>
      <c r="AL367" s="532"/>
      <c r="AM367" s="532"/>
      <c r="AN367" s="532"/>
      <c r="AO367" s="532"/>
      <c r="AP367" s="532"/>
      <c r="AQ367" s="532"/>
      <c r="AR367" s="532"/>
      <c r="AS367" s="532"/>
      <c r="AT367" s="532"/>
      <c r="AU367" s="532"/>
      <c r="AV367" s="532"/>
      <c r="AW367" s="532"/>
      <c r="AX367" s="532"/>
      <c r="AY367" s="532"/>
      <c r="AZ367" s="532"/>
      <c r="BA367" s="532"/>
      <c r="BB367" s="532"/>
      <c r="BC367" s="532"/>
      <c r="BD367" s="532"/>
      <c r="BE367" s="532"/>
      <c r="BF367" s="532"/>
      <c r="BG367" s="532"/>
      <c r="BH367" s="532"/>
      <c r="BI367" s="532"/>
      <c r="BJ367" s="532"/>
      <c r="BK367" s="532"/>
      <c r="BL367" s="532"/>
      <c r="BM367" s="532"/>
      <c r="BN367" s="532"/>
      <c r="BO367" s="532"/>
      <c r="BP367" s="532"/>
      <c r="BQ367" s="532"/>
      <c r="BR367" s="532"/>
      <c r="BS367" s="532"/>
      <c r="BT367" s="532"/>
      <c r="BU367" s="532"/>
      <c r="BV367" s="532"/>
      <c r="BW367" s="532"/>
      <c r="BX367" s="532"/>
      <c r="BY367" s="532"/>
      <c r="BZ367" s="532"/>
      <c r="CA367" s="532"/>
      <c r="CB367" s="532"/>
      <c r="CC367" s="532"/>
      <c r="CD367" s="532"/>
      <c r="CE367" s="532"/>
      <c r="CF367" s="532"/>
      <c r="CG367" s="532"/>
      <c r="CH367" s="532"/>
      <c r="CI367" s="532"/>
      <c r="CJ367" s="532"/>
      <c r="CK367" s="532"/>
      <c r="CL367" s="532"/>
      <c r="CM367" s="532"/>
      <c r="CN367" s="532"/>
      <c r="CO367" s="532"/>
      <c r="CP367" s="532"/>
      <c r="CQ367" s="532"/>
      <c r="CR367" s="532"/>
      <c r="CS367" s="532"/>
      <c r="CT367" s="532"/>
      <c r="CU367" s="532"/>
      <c r="CV367" s="532"/>
      <c r="CW367" s="532"/>
      <c r="CX367" s="532"/>
      <c r="CY367" s="532"/>
      <c r="CZ367" s="532"/>
      <c r="DA367" s="532"/>
      <c r="DB367" s="532"/>
      <c r="DC367" s="532"/>
      <c r="DD367" s="532"/>
      <c r="DE367" s="532"/>
      <c r="DF367" s="532"/>
      <c r="DG367" s="532"/>
      <c r="DH367" s="532"/>
      <c r="DI367" s="532"/>
      <c r="DJ367" s="532"/>
      <c r="DK367" s="532"/>
      <c r="DL367" s="532"/>
      <c r="DM367" s="532"/>
      <c r="DN367" s="532"/>
      <c r="DO367" s="532"/>
      <c r="DP367" s="532"/>
      <c r="DQ367" s="532"/>
      <c r="DR367" s="532"/>
      <c r="DS367" s="532"/>
      <c r="DT367" s="532"/>
      <c r="DU367" s="532"/>
      <c r="DV367" s="532"/>
      <c r="DW367" s="532"/>
      <c r="DX367" s="532"/>
      <c r="DY367" s="532"/>
      <c r="DZ367" s="532"/>
      <c r="EA367" s="532"/>
      <c r="EB367" s="532"/>
      <c r="EC367" s="532"/>
      <c r="ED367" s="532"/>
      <c r="EE367" s="532"/>
      <c r="EF367" s="532"/>
      <c r="EG367" s="532"/>
      <c r="EH367" s="532"/>
      <c r="EI367" s="532"/>
      <c r="EJ367" s="532"/>
      <c r="EK367" s="532"/>
      <c r="EL367" s="532"/>
      <c r="EM367" s="532"/>
      <c r="EN367" s="532"/>
      <c r="EO367" s="532"/>
      <c r="EP367" s="532"/>
      <c r="EQ367" s="532"/>
      <c r="ER367" s="532"/>
      <c r="ES367" s="532"/>
      <c r="ET367" s="532"/>
      <c r="EU367" s="532"/>
      <c r="EV367" s="532"/>
      <c r="EW367" s="532"/>
      <c r="EX367" s="532"/>
      <c r="EY367" s="532"/>
      <c r="EZ367" s="532"/>
      <c r="FA367" s="532"/>
      <c r="FB367" s="532"/>
      <c r="FC367" s="532"/>
      <c r="FD367" s="532"/>
      <c r="FE367" s="532"/>
      <c r="FF367" s="532"/>
      <c r="FG367" s="532"/>
      <c r="FH367" s="532"/>
      <c r="FI367" s="532"/>
      <c r="FJ367" s="532"/>
      <c r="FK367" s="532"/>
      <c r="FL367" s="532"/>
      <c r="FM367" s="532"/>
      <c r="FN367" s="532"/>
      <c r="FO367" s="532"/>
      <c r="FP367" s="532"/>
    </row>
    <row r="368" spans="1:172" ht="12" customHeight="1" x14ac:dyDescent="0.2">
      <c r="A368" s="533" t="s">
        <v>226</v>
      </c>
      <c r="B368" s="534" t="s">
        <v>227</v>
      </c>
      <c r="C368" s="208">
        <v>23</v>
      </c>
      <c r="D368" s="208">
        <v>31</v>
      </c>
      <c r="E368" s="208">
        <v>12</v>
      </c>
      <c r="F368" s="208">
        <v>21</v>
      </c>
      <c r="G368" s="208">
        <v>31</v>
      </c>
      <c r="H368" s="208">
        <v>19</v>
      </c>
      <c r="I368" s="208">
        <v>21</v>
      </c>
      <c r="J368" s="208">
        <v>29</v>
      </c>
      <c r="K368" s="208">
        <v>19</v>
      </c>
      <c r="L368" s="562">
        <v>22</v>
      </c>
      <c r="M368" s="562">
        <v>27</v>
      </c>
      <c r="N368" s="562">
        <v>20</v>
      </c>
      <c r="O368" s="530">
        <f>SUM(C368:N368)</f>
        <v>275</v>
      </c>
      <c r="P368" s="531"/>
      <c r="Q368" s="531"/>
      <c r="R368" s="531"/>
      <c r="S368" s="531"/>
      <c r="T368" s="531"/>
      <c r="U368" s="531"/>
      <c r="V368" s="531"/>
      <c r="W368" s="531"/>
      <c r="X368" s="531"/>
      <c r="Y368" s="531"/>
      <c r="Z368" s="531"/>
      <c r="AA368" s="531"/>
      <c r="AB368" s="531"/>
      <c r="AC368" s="531"/>
      <c r="AD368" s="531"/>
      <c r="AE368" s="531"/>
      <c r="AF368" s="531"/>
      <c r="AG368" s="531"/>
      <c r="AH368" s="532"/>
      <c r="AI368" s="532"/>
      <c r="AJ368" s="532"/>
      <c r="AK368" s="532"/>
      <c r="AL368" s="532"/>
      <c r="AM368" s="532"/>
      <c r="AN368" s="532"/>
      <c r="AO368" s="532"/>
      <c r="AP368" s="532"/>
      <c r="AQ368" s="532"/>
      <c r="AR368" s="532"/>
      <c r="AS368" s="532"/>
      <c r="AT368" s="532"/>
      <c r="AU368" s="532"/>
      <c r="AV368" s="532"/>
      <c r="AW368" s="532"/>
      <c r="AX368" s="532"/>
      <c r="AY368" s="532"/>
      <c r="AZ368" s="532"/>
      <c r="BA368" s="532"/>
      <c r="BB368" s="532"/>
      <c r="BC368" s="532"/>
      <c r="BD368" s="532"/>
      <c r="BE368" s="532"/>
      <c r="BF368" s="532"/>
      <c r="BG368" s="532"/>
      <c r="BH368" s="532"/>
      <c r="BI368" s="532"/>
      <c r="BJ368" s="532"/>
      <c r="BK368" s="532"/>
      <c r="BL368" s="532"/>
      <c r="BM368" s="532"/>
      <c r="BN368" s="532"/>
      <c r="BO368" s="532"/>
      <c r="BP368" s="532"/>
      <c r="BQ368" s="532"/>
      <c r="BR368" s="532"/>
      <c r="BS368" s="532"/>
      <c r="BT368" s="532"/>
      <c r="BU368" s="532"/>
      <c r="BV368" s="532"/>
      <c r="BW368" s="532"/>
      <c r="BX368" s="532"/>
      <c r="BY368" s="532"/>
      <c r="BZ368" s="532"/>
      <c r="CA368" s="532"/>
      <c r="CB368" s="532"/>
      <c r="CC368" s="532"/>
      <c r="CD368" s="532"/>
      <c r="CE368" s="532"/>
      <c r="CF368" s="532"/>
      <c r="CG368" s="532"/>
      <c r="CH368" s="532"/>
      <c r="CI368" s="532"/>
      <c r="CJ368" s="532"/>
      <c r="CK368" s="532"/>
      <c r="CL368" s="532"/>
      <c r="CM368" s="532"/>
      <c r="CN368" s="532"/>
      <c r="CO368" s="532"/>
      <c r="CP368" s="532"/>
      <c r="CQ368" s="532"/>
      <c r="CR368" s="532"/>
      <c r="CS368" s="532"/>
      <c r="CT368" s="532"/>
      <c r="CU368" s="532"/>
      <c r="CV368" s="532"/>
      <c r="CW368" s="532"/>
      <c r="CX368" s="532"/>
      <c r="CY368" s="532"/>
      <c r="CZ368" s="532"/>
      <c r="DA368" s="532"/>
      <c r="DB368" s="532"/>
      <c r="DC368" s="532"/>
      <c r="DD368" s="532"/>
      <c r="DE368" s="532"/>
      <c r="DF368" s="532"/>
      <c r="DG368" s="532"/>
      <c r="DH368" s="532"/>
      <c r="DI368" s="532"/>
      <c r="DJ368" s="532"/>
      <c r="DK368" s="532"/>
      <c r="DL368" s="532"/>
      <c r="DM368" s="532"/>
      <c r="DN368" s="532"/>
      <c r="DO368" s="532"/>
      <c r="DP368" s="532"/>
      <c r="DQ368" s="532"/>
      <c r="DR368" s="532"/>
      <c r="DS368" s="532"/>
      <c r="DT368" s="532"/>
      <c r="DU368" s="532"/>
      <c r="DV368" s="532"/>
      <c r="DW368" s="532"/>
      <c r="DX368" s="532"/>
      <c r="DY368" s="532"/>
      <c r="DZ368" s="532"/>
      <c r="EA368" s="532"/>
      <c r="EB368" s="532"/>
      <c r="EC368" s="532"/>
      <c r="ED368" s="532"/>
      <c r="EE368" s="532"/>
      <c r="EF368" s="532"/>
      <c r="EG368" s="532"/>
      <c r="EH368" s="532"/>
      <c r="EI368" s="532"/>
      <c r="EJ368" s="532"/>
      <c r="EK368" s="532"/>
      <c r="EL368" s="532"/>
      <c r="EM368" s="532"/>
      <c r="EN368" s="532"/>
      <c r="EO368" s="532"/>
      <c r="EP368" s="532"/>
      <c r="EQ368" s="532"/>
      <c r="ER368" s="532"/>
      <c r="ES368" s="532"/>
      <c r="ET368" s="532"/>
      <c r="EU368" s="532"/>
      <c r="EV368" s="532"/>
      <c r="EW368" s="532"/>
      <c r="EX368" s="532"/>
      <c r="EY368" s="532"/>
      <c r="EZ368" s="532"/>
      <c r="FA368" s="532"/>
      <c r="FB368" s="532"/>
      <c r="FC368" s="532"/>
      <c r="FD368" s="532"/>
      <c r="FE368" s="532"/>
      <c r="FF368" s="532"/>
      <c r="FG368" s="532"/>
      <c r="FH368" s="532"/>
      <c r="FI368" s="532"/>
      <c r="FJ368" s="532"/>
      <c r="FK368" s="532"/>
      <c r="FL368" s="532"/>
      <c r="FM368" s="532"/>
      <c r="FN368" s="532"/>
      <c r="FO368" s="532"/>
      <c r="FP368" s="532"/>
    </row>
    <row r="369" spans="1:172" ht="12" customHeight="1" x14ac:dyDescent="0.2">
      <c r="A369" s="533" t="s">
        <v>228</v>
      </c>
      <c r="B369" s="534"/>
      <c r="C369" s="208">
        <f t="shared" ref="C369:N369" si="169">SUM(C367:C368)</f>
        <v>25</v>
      </c>
      <c r="D369" s="208">
        <f t="shared" si="169"/>
        <v>31</v>
      </c>
      <c r="E369" s="208">
        <f t="shared" si="169"/>
        <v>14</v>
      </c>
      <c r="F369" s="208">
        <f t="shared" si="169"/>
        <v>21</v>
      </c>
      <c r="G369" s="208">
        <f t="shared" si="169"/>
        <v>38</v>
      </c>
      <c r="H369" s="208">
        <f t="shared" si="169"/>
        <v>20</v>
      </c>
      <c r="I369" s="208">
        <f t="shared" si="169"/>
        <v>26</v>
      </c>
      <c r="J369" s="208">
        <f t="shared" si="169"/>
        <v>31</v>
      </c>
      <c r="K369" s="208">
        <f t="shared" si="169"/>
        <v>19</v>
      </c>
      <c r="L369" s="562">
        <f t="shared" si="169"/>
        <v>23</v>
      </c>
      <c r="M369" s="562">
        <f t="shared" si="169"/>
        <v>29</v>
      </c>
      <c r="N369" s="562">
        <f t="shared" si="169"/>
        <v>21</v>
      </c>
      <c r="O369" s="530">
        <f>SUM(C369:N369)</f>
        <v>298</v>
      </c>
      <c r="P369" s="531"/>
      <c r="Q369" s="531"/>
      <c r="R369" s="531"/>
      <c r="S369" s="531"/>
      <c r="T369" s="531"/>
      <c r="U369" s="531"/>
      <c r="V369" s="531"/>
      <c r="W369" s="531"/>
      <c r="X369" s="531"/>
      <c r="Y369" s="531"/>
      <c r="Z369" s="531"/>
      <c r="AA369" s="531"/>
      <c r="AB369" s="531"/>
      <c r="AC369" s="531"/>
      <c r="AD369" s="531"/>
      <c r="AE369" s="531"/>
      <c r="AF369" s="531"/>
      <c r="AG369" s="531"/>
      <c r="AH369" s="532"/>
      <c r="AI369" s="532"/>
      <c r="AJ369" s="532"/>
      <c r="AK369" s="532"/>
      <c r="AL369" s="532"/>
      <c r="AM369" s="532"/>
      <c r="AN369" s="532"/>
      <c r="AO369" s="532"/>
      <c r="AP369" s="532"/>
      <c r="AQ369" s="532"/>
      <c r="AR369" s="532"/>
      <c r="AS369" s="532"/>
      <c r="AT369" s="532"/>
      <c r="AU369" s="532"/>
      <c r="AV369" s="532"/>
      <c r="AW369" s="532"/>
      <c r="AX369" s="532"/>
      <c r="AY369" s="532"/>
      <c r="AZ369" s="532"/>
      <c r="BA369" s="532"/>
      <c r="BB369" s="532"/>
      <c r="BC369" s="532"/>
      <c r="BD369" s="532"/>
      <c r="BE369" s="532"/>
      <c r="BF369" s="532"/>
      <c r="BG369" s="532"/>
      <c r="BH369" s="532"/>
      <c r="BI369" s="532"/>
      <c r="BJ369" s="532"/>
      <c r="BK369" s="532"/>
      <c r="BL369" s="532"/>
      <c r="BM369" s="532"/>
      <c r="BN369" s="532"/>
      <c r="BO369" s="532"/>
      <c r="BP369" s="532"/>
      <c r="BQ369" s="532"/>
      <c r="BR369" s="532"/>
      <c r="BS369" s="532"/>
      <c r="BT369" s="532"/>
      <c r="BU369" s="532"/>
      <c r="BV369" s="532"/>
      <c r="BW369" s="532"/>
      <c r="BX369" s="532"/>
      <c r="BY369" s="532"/>
      <c r="BZ369" s="532"/>
      <c r="CA369" s="532"/>
      <c r="CB369" s="532"/>
      <c r="CC369" s="532"/>
      <c r="CD369" s="532"/>
      <c r="CE369" s="532"/>
      <c r="CF369" s="532"/>
      <c r="CG369" s="532"/>
      <c r="CH369" s="532"/>
      <c r="CI369" s="532"/>
      <c r="CJ369" s="532"/>
      <c r="CK369" s="532"/>
      <c r="CL369" s="532"/>
      <c r="CM369" s="532"/>
      <c r="CN369" s="532"/>
      <c r="CO369" s="532"/>
      <c r="CP369" s="532"/>
      <c r="CQ369" s="532"/>
      <c r="CR369" s="532"/>
      <c r="CS369" s="532"/>
      <c r="CT369" s="532"/>
      <c r="CU369" s="532"/>
      <c r="CV369" s="532"/>
      <c r="CW369" s="532"/>
      <c r="CX369" s="532"/>
      <c r="CY369" s="532"/>
      <c r="CZ369" s="532"/>
      <c r="DA369" s="532"/>
      <c r="DB369" s="532"/>
      <c r="DC369" s="532"/>
      <c r="DD369" s="532"/>
      <c r="DE369" s="532"/>
      <c r="DF369" s="532"/>
      <c r="DG369" s="532"/>
      <c r="DH369" s="532"/>
      <c r="DI369" s="532"/>
      <c r="DJ369" s="532"/>
      <c r="DK369" s="532"/>
      <c r="DL369" s="532"/>
      <c r="DM369" s="532"/>
      <c r="DN369" s="532"/>
      <c r="DO369" s="532"/>
      <c r="DP369" s="532"/>
      <c r="DQ369" s="532"/>
      <c r="DR369" s="532"/>
      <c r="DS369" s="532"/>
      <c r="DT369" s="532"/>
      <c r="DU369" s="532"/>
      <c r="DV369" s="532"/>
      <c r="DW369" s="532"/>
      <c r="DX369" s="532"/>
      <c r="DY369" s="532"/>
      <c r="DZ369" s="532"/>
      <c r="EA369" s="532"/>
      <c r="EB369" s="532"/>
      <c r="EC369" s="532"/>
      <c r="ED369" s="532"/>
      <c r="EE369" s="532"/>
      <c r="EF369" s="532"/>
      <c r="EG369" s="532"/>
      <c r="EH369" s="532"/>
      <c r="EI369" s="532"/>
      <c r="EJ369" s="532"/>
      <c r="EK369" s="532"/>
      <c r="EL369" s="532"/>
      <c r="EM369" s="532"/>
      <c r="EN369" s="532"/>
      <c r="EO369" s="532"/>
      <c r="EP369" s="532"/>
      <c r="EQ369" s="532"/>
      <c r="ER369" s="532"/>
      <c r="ES369" s="532"/>
      <c r="ET369" s="532"/>
      <c r="EU369" s="532"/>
      <c r="EV369" s="532"/>
      <c r="EW369" s="532"/>
      <c r="EX369" s="532"/>
      <c r="EY369" s="532"/>
      <c r="EZ369" s="532"/>
      <c r="FA369" s="532"/>
      <c r="FB369" s="532"/>
      <c r="FC369" s="532"/>
      <c r="FD369" s="532"/>
      <c r="FE369" s="532"/>
      <c r="FF369" s="532"/>
      <c r="FG369" s="532"/>
      <c r="FH369" s="532"/>
      <c r="FI369" s="532"/>
      <c r="FJ369" s="532"/>
      <c r="FK369" s="532"/>
      <c r="FL369" s="532"/>
      <c r="FM369" s="532"/>
      <c r="FN369" s="532"/>
      <c r="FO369" s="532"/>
      <c r="FP369" s="532"/>
    </row>
    <row r="370" spans="1:172" ht="12" customHeight="1" x14ac:dyDescent="0.2">
      <c r="A370" s="533"/>
      <c r="B370" s="534"/>
      <c r="C370" s="534"/>
      <c r="D370" s="534"/>
      <c r="E370" s="534"/>
      <c r="F370" s="534"/>
      <c r="G370" s="534"/>
      <c r="H370" s="534"/>
      <c r="I370" s="534"/>
      <c r="J370" s="534"/>
      <c r="K370" s="658"/>
      <c r="L370" s="562"/>
      <c r="M370" s="562"/>
      <c r="N370" s="562"/>
      <c r="O370" s="530"/>
      <c r="P370" s="531"/>
      <c r="Q370" s="531"/>
      <c r="R370" s="531"/>
      <c r="S370" s="531"/>
      <c r="T370" s="531"/>
      <c r="U370" s="531"/>
      <c r="V370" s="531"/>
      <c r="W370" s="531"/>
      <c r="X370" s="531"/>
      <c r="Y370" s="531"/>
      <c r="Z370" s="531"/>
      <c r="AA370" s="531"/>
      <c r="AB370" s="531"/>
      <c r="AC370" s="531"/>
      <c r="AD370" s="531"/>
      <c r="AE370" s="531"/>
      <c r="AF370" s="531"/>
      <c r="AG370" s="531"/>
      <c r="AH370" s="532"/>
      <c r="AI370" s="532"/>
      <c r="AJ370" s="532"/>
      <c r="AK370" s="532"/>
      <c r="AL370" s="532"/>
      <c r="AM370" s="532"/>
      <c r="AN370" s="532"/>
      <c r="AO370" s="532"/>
      <c r="AP370" s="532"/>
      <c r="AQ370" s="532"/>
      <c r="AR370" s="532"/>
      <c r="AS370" s="532"/>
      <c r="AT370" s="532"/>
      <c r="AU370" s="532"/>
      <c r="AV370" s="532"/>
      <c r="AW370" s="532"/>
      <c r="AX370" s="532"/>
      <c r="AY370" s="532"/>
      <c r="AZ370" s="532"/>
      <c r="BA370" s="532"/>
      <c r="BB370" s="532"/>
      <c r="BC370" s="532"/>
      <c r="BD370" s="532"/>
      <c r="BE370" s="532"/>
      <c r="BF370" s="532"/>
      <c r="BG370" s="532"/>
      <c r="BH370" s="532"/>
      <c r="BI370" s="532"/>
      <c r="BJ370" s="532"/>
      <c r="BK370" s="532"/>
      <c r="BL370" s="532"/>
      <c r="BM370" s="532"/>
      <c r="BN370" s="532"/>
      <c r="BO370" s="532"/>
      <c r="BP370" s="532"/>
      <c r="BQ370" s="532"/>
      <c r="BR370" s="532"/>
      <c r="BS370" s="532"/>
      <c r="BT370" s="532"/>
      <c r="BU370" s="532"/>
      <c r="BV370" s="532"/>
      <c r="BW370" s="532"/>
      <c r="BX370" s="532"/>
      <c r="BY370" s="532"/>
      <c r="BZ370" s="532"/>
      <c r="CA370" s="532"/>
      <c r="CB370" s="532"/>
      <c r="CC370" s="532"/>
      <c r="CD370" s="532"/>
      <c r="CE370" s="532"/>
      <c r="CF370" s="532"/>
      <c r="CG370" s="532"/>
      <c r="CH370" s="532"/>
      <c r="CI370" s="532"/>
      <c r="CJ370" s="532"/>
      <c r="CK370" s="532"/>
      <c r="CL370" s="532"/>
      <c r="CM370" s="532"/>
      <c r="CN370" s="532"/>
      <c r="CO370" s="532"/>
      <c r="CP370" s="532"/>
      <c r="CQ370" s="532"/>
      <c r="CR370" s="532"/>
      <c r="CS370" s="532"/>
      <c r="CT370" s="532"/>
      <c r="CU370" s="532"/>
      <c r="CV370" s="532"/>
      <c r="CW370" s="532"/>
      <c r="CX370" s="532"/>
      <c r="CY370" s="532"/>
      <c r="CZ370" s="532"/>
      <c r="DA370" s="532"/>
      <c r="DB370" s="532"/>
      <c r="DC370" s="532"/>
      <c r="DD370" s="532"/>
      <c r="DE370" s="532"/>
      <c r="DF370" s="532"/>
      <c r="DG370" s="532"/>
      <c r="DH370" s="532"/>
      <c r="DI370" s="532"/>
      <c r="DJ370" s="532"/>
      <c r="DK370" s="532"/>
      <c r="DL370" s="532"/>
      <c r="DM370" s="532"/>
      <c r="DN370" s="532"/>
      <c r="DO370" s="532"/>
      <c r="DP370" s="532"/>
      <c r="DQ370" s="532"/>
      <c r="DR370" s="532"/>
      <c r="DS370" s="532"/>
      <c r="DT370" s="532"/>
      <c r="DU370" s="532"/>
      <c r="DV370" s="532"/>
      <c r="DW370" s="532"/>
      <c r="DX370" s="532"/>
      <c r="DY370" s="532"/>
      <c r="DZ370" s="532"/>
      <c r="EA370" s="532"/>
      <c r="EB370" s="532"/>
      <c r="EC370" s="532"/>
      <c r="ED370" s="532"/>
      <c r="EE370" s="532"/>
      <c r="EF370" s="532"/>
      <c r="EG370" s="532"/>
      <c r="EH370" s="532"/>
      <c r="EI370" s="532"/>
      <c r="EJ370" s="532"/>
      <c r="EK370" s="532"/>
      <c r="EL370" s="532"/>
      <c r="EM370" s="532"/>
      <c r="EN370" s="532"/>
      <c r="EO370" s="532"/>
      <c r="EP370" s="532"/>
      <c r="EQ370" s="532"/>
      <c r="ER370" s="532"/>
      <c r="ES370" s="532"/>
      <c r="ET370" s="532"/>
      <c r="EU370" s="532"/>
      <c r="EV370" s="532"/>
      <c r="EW370" s="532"/>
      <c r="EX370" s="532"/>
      <c r="EY370" s="532"/>
      <c r="EZ370" s="532"/>
      <c r="FA370" s="532"/>
      <c r="FB370" s="532"/>
      <c r="FC370" s="532"/>
      <c r="FD370" s="532"/>
      <c r="FE370" s="532"/>
      <c r="FF370" s="532"/>
      <c r="FG370" s="532"/>
      <c r="FH370" s="532"/>
      <c r="FI370" s="532"/>
      <c r="FJ370" s="532"/>
      <c r="FK370" s="532"/>
      <c r="FL370" s="532"/>
      <c r="FM370" s="532"/>
      <c r="FN370" s="532"/>
      <c r="FO370" s="532"/>
      <c r="FP370" s="532"/>
    </row>
    <row r="371" spans="1:172" ht="12" customHeight="1" x14ac:dyDescent="0.2">
      <c r="A371" s="533" t="s">
        <v>963</v>
      </c>
      <c r="B371" s="534"/>
      <c r="C371" s="208">
        <v>0</v>
      </c>
      <c r="D371" s="208">
        <v>0</v>
      </c>
      <c r="E371" s="208">
        <v>0</v>
      </c>
      <c r="F371" s="208">
        <v>0</v>
      </c>
      <c r="G371" s="208">
        <v>0</v>
      </c>
      <c r="H371" s="208">
        <v>0</v>
      </c>
      <c r="I371" s="208">
        <v>1</v>
      </c>
      <c r="J371" s="208">
        <v>1</v>
      </c>
      <c r="K371" s="208">
        <v>1</v>
      </c>
      <c r="L371" s="562">
        <v>0</v>
      </c>
      <c r="M371" s="562">
        <v>0</v>
      </c>
      <c r="N371" s="562">
        <v>0</v>
      </c>
      <c r="O371" s="530">
        <f>SUM(C371:N371)</f>
        <v>3</v>
      </c>
      <c r="P371" s="531"/>
      <c r="Q371" s="531"/>
      <c r="R371" s="531"/>
      <c r="S371" s="531"/>
      <c r="T371" s="531"/>
      <c r="U371" s="531"/>
      <c r="V371" s="531"/>
      <c r="W371" s="531"/>
      <c r="X371" s="531"/>
      <c r="Y371" s="531"/>
      <c r="Z371" s="531"/>
      <c r="AA371" s="531"/>
      <c r="AB371" s="531"/>
      <c r="AC371" s="531"/>
      <c r="AD371" s="531"/>
      <c r="AE371" s="531"/>
      <c r="AF371" s="531"/>
      <c r="AG371" s="531"/>
      <c r="AH371" s="532"/>
      <c r="AI371" s="532"/>
      <c r="AJ371" s="532"/>
      <c r="AK371" s="532"/>
      <c r="AL371" s="532"/>
      <c r="AM371" s="532"/>
      <c r="AN371" s="532"/>
      <c r="AO371" s="532"/>
      <c r="AP371" s="532"/>
      <c r="AQ371" s="532"/>
      <c r="AR371" s="532"/>
      <c r="AS371" s="532"/>
      <c r="AT371" s="532"/>
      <c r="AU371" s="532"/>
      <c r="AV371" s="532"/>
      <c r="AW371" s="532"/>
      <c r="AX371" s="532"/>
      <c r="AY371" s="532"/>
      <c r="AZ371" s="532"/>
      <c r="BA371" s="532"/>
      <c r="BB371" s="532"/>
      <c r="BC371" s="532"/>
      <c r="BD371" s="532"/>
      <c r="BE371" s="532"/>
      <c r="BF371" s="532"/>
      <c r="BG371" s="532"/>
      <c r="BH371" s="532"/>
      <c r="BI371" s="532"/>
      <c r="BJ371" s="532"/>
      <c r="BK371" s="532"/>
      <c r="BL371" s="532"/>
      <c r="BM371" s="532"/>
      <c r="BN371" s="532"/>
      <c r="BO371" s="532"/>
      <c r="BP371" s="532"/>
      <c r="BQ371" s="532"/>
      <c r="BR371" s="532"/>
      <c r="BS371" s="532"/>
      <c r="BT371" s="532"/>
      <c r="BU371" s="532"/>
      <c r="BV371" s="532"/>
      <c r="BW371" s="532"/>
      <c r="BX371" s="532"/>
      <c r="BY371" s="532"/>
      <c r="BZ371" s="532"/>
      <c r="CA371" s="532"/>
      <c r="CB371" s="532"/>
      <c r="CC371" s="532"/>
      <c r="CD371" s="532"/>
      <c r="CE371" s="532"/>
      <c r="CF371" s="532"/>
      <c r="CG371" s="532"/>
      <c r="CH371" s="532"/>
      <c r="CI371" s="532"/>
      <c r="CJ371" s="532"/>
      <c r="CK371" s="532"/>
      <c r="CL371" s="532"/>
      <c r="CM371" s="532"/>
      <c r="CN371" s="532"/>
      <c r="CO371" s="532"/>
      <c r="CP371" s="532"/>
      <c r="CQ371" s="532"/>
      <c r="CR371" s="532"/>
      <c r="CS371" s="532"/>
      <c r="CT371" s="532"/>
      <c r="CU371" s="532"/>
      <c r="CV371" s="532"/>
      <c r="CW371" s="532"/>
      <c r="CX371" s="532"/>
      <c r="CY371" s="532"/>
      <c r="CZ371" s="532"/>
      <c r="DA371" s="532"/>
      <c r="DB371" s="532"/>
      <c r="DC371" s="532"/>
      <c r="DD371" s="532"/>
      <c r="DE371" s="532"/>
      <c r="DF371" s="532"/>
      <c r="DG371" s="532"/>
      <c r="DH371" s="532"/>
      <c r="DI371" s="532"/>
      <c r="DJ371" s="532"/>
      <c r="DK371" s="532"/>
      <c r="DL371" s="532"/>
      <c r="DM371" s="532"/>
      <c r="DN371" s="532"/>
      <c r="DO371" s="532"/>
      <c r="DP371" s="532"/>
      <c r="DQ371" s="532"/>
      <c r="DR371" s="532"/>
      <c r="DS371" s="532"/>
      <c r="DT371" s="532"/>
      <c r="DU371" s="532"/>
      <c r="DV371" s="532"/>
      <c r="DW371" s="532"/>
      <c r="DX371" s="532"/>
      <c r="DY371" s="532"/>
      <c r="DZ371" s="532"/>
      <c r="EA371" s="532"/>
      <c r="EB371" s="532"/>
      <c r="EC371" s="532"/>
      <c r="ED371" s="532"/>
      <c r="EE371" s="532"/>
      <c r="EF371" s="532"/>
      <c r="EG371" s="532"/>
      <c r="EH371" s="532"/>
      <c r="EI371" s="532"/>
      <c r="EJ371" s="532"/>
      <c r="EK371" s="532"/>
      <c r="EL371" s="532"/>
      <c r="EM371" s="532"/>
      <c r="EN371" s="532"/>
      <c r="EO371" s="532"/>
      <c r="EP371" s="532"/>
      <c r="EQ371" s="532"/>
      <c r="ER371" s="532"/>
      <c r="ES371" s="532"/>
      <c r="ET371" s="532"/>
      <c r="EU371" s="532"/>
      <c r="EV371" s="532"/>
      <c r="EW371" s="532"/>
      <c r="EX371" s="532"/>
      <c r="EY371" s="532"/>
      <c r="EZ371" s="532"/>
      <c r="FA371" s="532"/>
      <c r="FB371" s="532"/>
      <c r="FC371" s="532"/>
      <c r="FD371" s="532"/>
      <c r="FE371" s="532"/>
      <c r="FF371" s="532"/>
      <c r="FG371" s="532"/>
      <c r="FH371" s="532"/>
      <c r="FI371" s="532"/>
      <c r="FJ371" s="532"/>
      <c r="FK371" s="532"/>
      <c r="FL371" s="532"/>
      <c r="FM371" s="532"/>
      <c r="FN371" s="532"/>
      <c r="FO371" s="532"/>
      <c r="FP371" s="532"/>
    </row>
    <row r="372" spans="1:172" ht="12" customHeight="1" x14ac:dyDescent="0.2">
      <c r="A372" s="533" t="s">
        <v>964</v>
      </c>
      <c r="B372" s="534"/>
      <c r="C372" s="534">
        <v>0</v>
      </c>
      <c r="D372" s="534">
        <v>0</v>
      </c>
      <c r="E372" s="534">
        <v>0</v>
      </c>
      <c r="F372" s="534">
        <v>0</v>
      </c>
      <c r="G372" s="534">
        <v>0</v>
      </c>
      <c r="H372" s="534">
        <v>0</v>
      </c>
      <c r="I372" s="534">
        <v>0</v>
      </c>
      <c r="J372" s="534">
        <v>0</v>
      </c>
      <c r="K372" s="658">
        <v>0</v>
      </c>
      <c r="L372" s="562">
        <v>0</v>
      </c>
      <c r="M372" s="562">
        <v>0</v>
      </c>
      <c r="N372" s="562">
        <v>0</v>
      </c>
      <c r="O372" s="530">
        <f>SUM(C372:N372)</f>
        <v>0</v>
      </c>
      <c r="P372" s="531"/>
      <c r="Q372" s="531"/>
      <c r="R372" s="531"/>
      <c r="S372" s="531"/>
      <c r="T372" s="531"/>
      <c r="U372" s="531"/>
      <c r="V372" s="531"/>
      <c r="W372" s="531"/>
      <c r="X372" s="531"/>
      <c r="Y372" s="531"/>
      <c r="Z372" s="531"/>
      <c r="AA372" s="531"/>
      <c r="AB372" s="531"/>
      <c r="AC372" s="531"/>
      <c r="AD372" s="531"/>
      <c r="AE372" s="531"/>
      <c r="AF372" s="531"/>
      <c r="AG372" s="531"/>
      <c r="AH372" s="532"/>
      <c r="AI372" s="532"/>
      <c r="AJ372" s="532"/>
      <c r="AK372" s="532"/>
      <c r="AL372" s="532"/>
      <c r="AM372" s="532"/>
      <c r="AN372" s="532"/>
      <c r="AO372" s="532"/>
      <c r="AP372" s="532"/>
      <c r="AQ372" s="532"/>
      <c r="AR372" s="532"/>
      <c r="AS372" s="532"/>
      <c r="AT372" s="532"/>
      <c r="AU372" s="532"/>
      <c r="AV372" s="532"/>
      <c r="AW372" s="532"/>
      <c r="AX372" s="532"/>
      <c r="AY372" s="532"/>
      <c r="AZ372" s="532"/>
      <c r="BA372" s="532"/>
      <c r="BB372" s="532"/>
      <c r="BC372" s="532"/>
      <c r="BD372" s="532"/>
      <c r="BE372" s="532"/>
      <c r="BF372" s="532"/>
      <c r="BG372" s="532"/>
      <c r="BH372" s="532"/>
      <c r="BI372" s="532"/>
      <c r="BJ372" s="532"/>
      <c r="BK372" s="532"/>
      <c r="BL372" s="532"/>
      <c r="BM372" s="532"/>
      <c r="BN372" s="532"/>
      <c r="BO372" s="532"/>
      <c r="BP372" s="532"/>
      <c r="BQ372" s="532"/>
      <c r="BR372" s="532"/>
      <c r="BS372" s="532"/>
      <c r="BT372" s="532"/>
      <c r="BU372" s="532"/>
      <c r="BV372" s="532"/>
      <c r="BW372" s="532"/>
      <c r="BX372" s="532"/>
      <c r="BY372" s="532"/>
      <c r="BZ372" s="532"/>
      <c r="CA372" s="532"/>
      <c r="CB372" s="532"/>
      <c r="CC372" s="532"/>
      <c r="CD372" s="532"/>
      <c r="CE372" s="532"/>
      <c r="CF372" s="532"/>
      <c r="CG372" s="532"/>
      <c r="CH372" s="532"/>
      <c r="CI372" s="532"/>
      <c r="CJ372" s="532"/>
      <c r="CK372" s="532"/>
      <c r="CL372" s="532"/>
      <c r="CM372" s="532"/>
      <c r="CN372" s="532"/>
      <c r="CO372" s="532"/>
      <c r="CP372" s="532"/>
      <c r="CQ372" s="532"/>
      <c r="CR372" s="532"/>
      <c r="CS372" s="532"/>
      <c r="CT372" s="532"/>
      <c r="CU372" s="532"/>
      <c r="CV372" s="532"/>
      <c r="CW372" s="532"/>
      <c r="CX372" s="532"/>
      <c r="CY372" s="532"/>
      <c r="CZ372" s="532"/>
      <c r="DA372" s="532"/>
      <c r="DB372" s="532"/>
      <c r="DC372" s="532"/>
      <c r="DD372" s="532"/>
      <c r="DE372" s="532"/>
      <c r="DF372" s="532"/>
      <c r="DG372" s="532"/>
      <c r="DH372" s="532"/>
      <c r="DI372" s="532"/>
      <c r="DJ372" s="532"/>
      <c r="DK372" s="532"/>
      <c r="DL372" s="532"/>
      <c r="DM372" s="532"/>
      <c r="DN372" s="532"/>
      <c r="DO372" s="532"/>
      <c r="DP372" s="532"/>
      <c r="DQ372" s="532"/>
      <c r="DR372" s="532"/>
      <c r="DS372" s="532"/>
      <c r="DT372" s="532"/>
      <c r="DU372" s="532"/>
      <c r="DV372" s="532"/>
      <c r="DW372" s="532"/>
      <c r="DX372" s="532"/>
      <c r="DY372" s="532"/>
      <c r="DZ372" s="532"/>
      <c r="EA372" s="532"/>
      <c r="EB372" s="532"/>
      <c r="EC372" s="532"/>
      <c r="ED372" s="532"/>
      <c r="EE372" s="532"/>
      <c r="EF372" s="532"/>
      <c r="EG372" s="532"/>
      <c r="EH372" s="532"/>
      <c r="EI372" s="532"/>
      <c r="EJ372" s="532"/>
      <c r="EK372" s="532"/>
      <c r="EL372" s="532"/>
      <c r="EM372" s="532"/>
      <c r="EN372" s="532"/>
      <c r="EO372" s="532"/>
      <c r="EP372" s="532"/>
      <c r="EQ372" s="532"/>
      <c r="ER372" s="532"/>
      <c r="ES372" s="532"/>
      <c r="ET372" s="532"/>
      <c r="EU372" s="532"/>
      <c r="EV372" s="532"/>
      <c r="EW372" s="532"/>
      <c r="EX372" s="532"/>
      <c r="EY372" s="532"/>
      <c r="EZ372" s="532"/>
      <c r="FA372" s="532"/>
      <c r="FB372" s="532"/>
      <c r="FC372" s="532"/>
      <c r="FD372" s="532"/>
      <c r="FE372" s="532"/>
      <c r="FF372" s="532"/>
      <c r="FG372" s="532"/>
      <c r="FH372" s="532"/>
      <c r="FI372" s="532"/>
      <c r="FJ372" s="532"/>
      <c r="FK372" s="532"/>
      <c r="FL372" s="532"/>
      <c r="FM372" s="532"/>
      <c r="FN372" s="532"/>
      <c r="FO372" s="532"/>
      <c r="FP372" s="532"/>
    </row>
    <row r="373" spans="1:172" ht="12" customHeight="1" x14ac:dyDescent="0.2">
      <c r="A373" s="533"/>
      <c r="B373" s="534"/>
      <c r="C373" s="534"/>
      <c r="D373" s="534"/>
      <c r="E373" s="534"/>
      <c r="F373" s="534"/>
      <c r="G373" s="534"/>
      <c r="H373" s="534"/>
      <c r="I373" s="534"/>
      <c r="J373" s="534"/>
      <c r="K373" s="658"/>
      <c r="L373" s="562"/>
      <c r="M373" s="562"/>
      <c r="N373" s="562"/>
      <c r="O373" s="530"/>
      <c r="P373" s="531"/>
      <c r="Q373" s="531"/>
      <c r="R373" s="531"/>
      <c r="S373" s="531"/>
      <c r="T373" s="531"/>
      <c r="U373" s="531"/>
      <c r="V373" s="531"/>
      <c r="W373" s="531"/>
      <c r="X373" s="531"/>
      <c r="Y373" s="531"/>
      <c r="Z373" s="531"/>
      <c r="AA373" s="531"/>
      <c r="AB373" s="531"/>
      <c r="AC373" s="531"/>
      <c r="AD373" s="531"/>
      <c r="AE373" s="531"/>
      <c r="AF373" s="531"/>
      <c r="AG373" s="531"/>
      <c r="AH373" s="532"/>
      <c r="AI373" s="532"/>
      <c r="AJ373" s="532"/>
      <c r="AK373" s="532"/>
      <c r="AL373" s="532"/>
      <c r="AM373" s="532"/>
      <c r="AN373" s="532"/>
      <c r="AO373" s="532"/>
      <c r="AP373" s="532"/>
      <c r="AQ373" s="532"/>
      <c r="AR373" s="532"/>
      <c r="AS373" s="532"/>
      <c r="AT373" s="532"/>
      <c r="AU373" s="532"/>
      <c r="AV373" s="532"/>
      <c r="AW373" s="532"/>
      <c r="AX373" s="532"/>
      <c r="AY373" s="532"/>
      <c r="AZ373" s="532"/>
      <c r="BA373" s="532"/>
      <c r="BB373" s="532"/>
      <c r="BC373" s="532"/>
      <c r="BD373" s="532"/>
      <c r="BE373" s="532"/>
      <c r="BF373" s="532"/>
      <c r="BG373" s="532"/>
      <c r="BH373" s="532"/>
      <c r="BI373" s="532"/>
      <c r="BJ373" s="532"/>
      <c r="BK373" s="532"/>
      <c r="BL373" s="532"/>
      <c r="BM373" s="532"/>
      <c r="BN373" s="532"/>
      <c r="BO373" s="532"/>
      <c r="BP373" s="532"/>
      <c r="BQ373" s="532"/>
      <c r="BR373" s="532"/>
      <c r="BS373" s="532"/>
      <c r="BT373" s="532"/>
      <c r="BU373" s="532"/>
      <c r="BV373" s="532"/>
      <c r="BW373" s="532"/>
      <c r="BX373" s="532"/>
      <c r="BY373" s="532"/>
      <c r="BZ373" s="532"/>
      <c r="CA373" s="532"/>
      <c r="CB373" s="532"/>
      <c r="CC373" s="532"/>
      <c r="CD373" s="532"/>
      <c r="CE373" s="532"/>
      <c r="CF373" s="532"/>
      <c r="CG373" s="532"/>
      <c r="CH373" s="532"/>
      <c r="CI373" s="532"/>
      <c r="CJ373" s="532"/>
      <c r="CK373" s="532"/>
      <c r="CL373" s="532"/>
      <c r="CM373" s="532"/>
      <c r="CN373" s="532"/>
      <c r="CO373" s="532"/>
      <c r="CP373" s="532"/>
      <c r="CQ373" s="532"/>
      <c r="CR373" s="532"/>
      <c r="CS373" s="532"/>
      <c r="CT373" s="532"/>
      <c r="CU373" s="532"/>
      <c r="CV373" s="532"/>
      <c r="CW373" s="532"/>
      <c r="CX373" s="532"/>
      <c r="CY373" s="532"/>
      <c r="CZ373" s="532"/>
      <c r="DA373" s="532"/>
      <c r="DB373" s="532"/>
      <c r="DC373" s="532"/>
      <c r="DD373" s="532"/>
      <c r="DE373" s="532"/>
      <c r="DF373" s="532"/>
      <c r="DG373" s="532"/>
      <c r="DH373" s="532"/>
      <c r="DI373" s="532"/>
      <c r="DJ373" s="532"/>
      <c r="DK373" s="532"/>
      <c r="DL373" s="532"/>
      <c r="DM373" s="532"/>
      <c r="DN373" s="532"/>
      <c r="DO373" s="532"/>
      <c r="DP373" s="532"/>
      <c r="DQ373" s="532"/>
      <c r="DR373" s="532"/>
      <c r="DS373" s="532"/>
      <c r="DT373" s="532"/>
      <c r="DU373" s="532"/>
      <c r="DV373" s="532"/>
      <c r="DW373" s="532"/>
      <c r="DX373" s="532"/>
      <c r="DY373" s="532"/>
      <c r="DZ373" s="532"/>
      <c r="EA373" s="532"/>
      <c r="EB373" s="532"/>
      <c r="EC373" s="532"/>
      <c r="ED373" s="532"/>
      <c r="EE373" s="532"/>
      <c r="EF373" s="532"/>
      <c r="EG373" s="532"/>
      <c r="EH373" s="532"/>
      <c r="EI373" s="532"/>
      <c r="EJ373" s="532"/>
      <c r="EK373" s="532"/>
      <c r="EL373" s="532"/>
      <c r="EM373" s="532"/>
      <c r="EN373" s="532"/>
      <c r="EO373" s="532"/>
      <c r="EP373" s="532"/>
      <c r="EQ373" s="532"/>
      <c r="ER373" s="532"/>
      <c r="ES373" s="532"/>
      <c r="ET373" s="532"/>
      <c r="EU373" s="532"/>
      <c r="EV373" s="532"/>
      <c r="EW373" s="532"/>
      <c r="EX373" s="532"/>
      <c r="EY373" s="532"/>
      <c r="EZ373" s="532"/>
      <c r="FA373" s="532"/>
      <c r="FB373" s="532"/>
      <c r="FC373" s="532"/>
      <c r="FD373" s="532"/>
      <c r="FE373" s="532"/>
      <c r="FF373" s="532"/>
      <c r="FG373" s="532"/>
      <c r="FH373" s="532"/>
      <c r="FI373" s="532"/>
      <c r="FJ373" s="532"/>
      <c r="FK373" s="532"/>
      <c r="FL373" s="532"/>
      <c r="FM373" s="532"/>
      <c r="FN373" s="532"/>
      <c r="FO373" s="532"/>
      <c r="FP373" s="532"/>
    </row>
    <row r="374" spans="1:172" ht="12" customHeight="1" x14ac:dyDescent="0.2">
      <c r="A374" s="533" t="s">
        <v>229</v>
      </c>
      <c r="B374" s="534"/>
      <c r="C374" s="534">
        <f>SUM(C359+C367+C363)</f>
        <v>6</v>
      </c>
      <c r="D374" s="534">
        <f>SUM(D359+D367+D363)</f>
        <v>1</v>
      </c>
      <c r="E374" s="534">
        <f>SUM(E359+E367+E363)</f>
        <v>6</v>
      </c>
      <c r="F374" s="534">
        <f t="shared" ref="F374:J374" si="170">SUM(F359+F367+F363)</f>
        <v>6</v>
      </c>
      <c r="G374" s="534">
        <f t="shared" si="170"/>
        <v>7</v>
      </c>
      <c r="H374" s="534">
        <f t="shared" si="170"/>
        <v>4</v>
      </c>
      <c r="I374" s="534">
        <f t="shared" si="170"/>
        <v>6</v>
      </c>
      <c r="J374" s="534">
        <f t="shared" si="170"/>
        <v>6</v>
      </c>
      <c r="K374" s="658">
        <f t="shared" ref="K374:M374" si="171">SUM(K359+K367+K363)</f>
        <v>4</v>
      </c>
      <c r="L374" s="562">
        <f t="shared" si="171"/>
        <v>10</v>
      </c>
      <c r="M374" s="562">
        <f t="shared" si="171"/>
        <v>15</v>
      </c>
      <c r="N374" s="562">
        <f>SUM(N359+N367+N363)</f>
        <v>2</v>
      </c>
      <c r="O374" s="530">
        <f>SUM(O359+O367+O363)</f>
        <v>73</v>
      </c>
      <c r="P374" s="531" t="s">
        <v>55</v>
      </c>
      <c r="Q374" s="531"/>
      <c r="R374" s="531"/>
      <c r="S374" s="531"/>
      <c r="T374" s="531"/>
      <c r="U374" s="531"/>
      <c r="V374" s="531"/>
      <c r="W374" s="531"/>
      <c r="X374" s="531"/>
      <c r="Y374" s="531"/>
      <c r="Z374" s="531"/>
      <c r="AA374" s="531"/>
      <c r="AB374" s="531"/>
      <c r="AC374" s="531"/>
      <c r="AD374" s="531"/>
      <c r="AE374" s="531"/>
      <c r="AF374" s="531"/>
      <c r="AG374" s="531"/>
      <c r="AH374" s="532"/>
      <c r="AI374" s="532"/>
      <c r="AJ374" s="532"/>
      <c r="AK374" s="532"/>
      <c r="AL374" s="532"/>
      <c r="AM374" s="532"/>
      <c r="AN374" s="532"/>
      <c r="AO374" s="532"/>
      <c r="AP374" s="532"/>
      <c r="AQ374" s="532"/>
      <c r="AR374" s="532"/>
      <c r="AS374" s="532"/>
      <c r="AT374" s="532"/>
      <c r="AU374" s="532"/>
      <c r="AV374" s="532"/>
      <c r="AW374" s="532"/>
      <c r="AX374" s="532"/>
      <c r="AY374" s="532"/>
      <c r="AZ374" s="532"/>
      <c r="BA374" s="532"/>
      <c r="BB374" s="532"/>
      <c r="BC374" s="532"/>
      <c r="BD374" s="532"/>
      <c r="BE374" s="532"/>
      <c r="BF374" s="532"/>
      <c r="BG374" s="532"/>
      <c r="BH374" s="532"/>
      <c r="BI374" s="532"/>
      <c r="BJ374" s="532"/>
      <c r="BK374" s="532"/>
      <c r="BL374" s="532"/>
      <c r="BM374" s="532"/>
      <c r="BN374" s="532"/>
      <c r="BO374" s="532"/>
      <c r="BP374" s="532"/>
      <c r="BQ374" s="532"/>
      <c r="BR374" s="532"/>
      <c r="BS374" s="532"/>
      <c r="BT374" s="532"/>
      <c r="BU374" s="532"/>
      <c r="BV374" s="532"/>
      <c r="BW374" s="532"/>
      <c r="BX374" s="532"/>
      <c r="BY374" s="532"/>
      <c r="BZ374" s="532"/>
      <c r="CA374" s="532"/>
      <c r="CB374" s="532"/>
      <c r="CC374" s="532"/>
      <c r="CD374" s="532"/>
      <c r="CE374" s="532"/>
      <c r="CF374" s="532"/>
      <c r="CG374" s="532"/>
      <c r="CH374" s="532"/>
      <c r="CI374" s="532"/>
      <c r="CJ374" s="532"/>
      <c r="CK374" s="532"/>
      <c r="CL374" s="532"/>
      <c r="CM374" s="532"/>
      <c r="CN374" s="532"/>
      <c r="CO374" s="532"/>
      <c r="CP374" s="532"/>
      <c r="CQ374" s="532"/>
      <c r="CR374" s="532"/>
      <c r="CS374" s="532"/>
      <c r="CT374" s="532"/>
      <c r="CU374" s="532"/>
      <c r="CV374" s="532"/>
      <c r="CW374" s="532"/>
      <c r="CX374" s="532"/>
      <c r="CY374" s="532"/>
      <c r="CZ374" s="532"/>
      <c r="DA374" s="532"/>
      <c r="DB374" s="532"/>
      <c r="DC374" s="532"/>
      <c r="DD374" s="532"/>
      <c r="DE374" s="532"/>
      <c r="DF374" s="532"/>
      <c r="DG374" s="532"/>
      <c r="DH374" s="532"/>
      <c r="DI374" s="532"/>
      <c r="DJ374" s="532"/>
      <c r="DK374" s="532"/>
      <c r="DL374" s="532"/>
      <c r="DM374" s="532"/>
      <c r="DN374" s="532"/>
      <c r="DO374" s="532"/>
      <c r="DP374" s="532"/>
      <c r="DQ374" s="532"/>
      <c r="DR374" s="532"/>
      <c r="DS374" s="532"/>
      <c r="DT374" s="532"/>
      <c r="DU374" s="532"/>
      <c r="DV374" s="532"/>
      <c r="DW374" s="532"/>
      <c r="DX374" s="532"/>
      <c r="DY374" s="532"/>
      <c r="DZ374" s="532"/>
      <c r="EA374" s="532"/>
      <c r="EB374" s="532"/>
      <c r="EC374" s="532"/>
      <c r="ED374" s="532"/>
      <c r="EE374" s="532"/>
      <c r="EF374" s="532"/>
      <c r="EG374" s="532"/>
      <c r="EH374" s="532"/>
      <c r="EI374" s="532"/>
      <c r="EJ374" s="532"/>
      <c r="EK374" s="532"/>
      <c r="EL374" s="532"/>
      <c r="EM374" s="532"/>
      <c r="EN374" s="532"/>
      <c r="EO374" s="532"/>
      <c r="EP374" s="532"/>
      <c r="EQ374" s="532"/>
      <c r="ER374" s="532"/>
      <c r="ES374" s="532"/>
      <c r="ET374" s="532"/>
      <c r="EU374" s="532"/>
      <c r="EV374" s="532"/>
      <c r="EW374" s="532"/>
      <c r="EX374" s="532"/>
      <c r="EY374" s="532"/>
      <c r="EZ374" s="532"/>
      <c r="FA374" s="532"/>
      <c r="FB374" s="532"/>
      <c r="FC374" s="532"/>
      <c r="FD374" s="532"/>
      <c r="FE374" s="532"/>
      <c r="FF374" s="532"/>
      <c r="FG374" s="532"/>
      <c r="FH374" s="532"/>
      <c r="FI374" s="532"/>
      <c r="FJ374" s="532"/>
      <c r="FK374" s="532"/>
      <c r="FL374" s="532"/>
      <c r="FM374" s="532"/>
      <c r="FN374" s="532"/>
      <c r="FO374" s="532"/>
      <c r="FP374" s="532"/>
    </row>
    <row r="375" spans="1:172" ht="12" customHeight="1" x14ac:dyDescent="0.2">
      <c r="A375" s="533" t="s">
        <v>230</v>
      </c>
      <c r="B375" s="534"/>
      <c r="C375" s="534">
        <f>SUM(C360+C368+C364)+C371+C372</f>
        <v>42</v>
      </c>
      <c r="D375" s="534">
        <f>SUM(D360+D368+D364)+D371+D372</f>
        <v>51</v>
      </c>
      <c r="E375" s="534">
        <f>SUM(E360+E368+E364)+E371+E372</f>
        <v>31</v>
      </c>
      <c r="F375" s="534">
        <f t="shared" ref="F375:J375" si="172">SUM(F360+F368+F364)+F371+F372</f>
        <v>33</v>
      </c>
      <c r="G375" s="534">
        <f t="shared" si="172"/>
        <v>48</v>
      </c>
      <c r="H375" s="534">
        <f t="shared" si="172"/>
        <v>39</v>
      </c>
      <c r="I375" s="534">
        <f t="shared" si="172"/>
        <v>39</v>
      </c>
      <c r="J375" s="534">
        <f t="shared" si="172"/>
        <v>53</v>
      </c>
      <c r="K375" s="658">
        <f t="shared" ref="K375:N375" si="173">SUM(K360+K368+K364)+K371+K372</f>
        <v>39</v>
      </c>
      <c r="L375" s="562">
        <f t="shared" si="173"/>
        <v>38</v>
      </c>
      <c r="M375" s="562">
        <f t="shared" si="173"/>
        <v>50</v>
      </c>
      <c r="N375" s="562">
        <f t="shared" si="173"/>
        <v>41</v>
      </c>
      <c r="O375" s="530">
        <f>SUM(O360+O368+O364)+O371+O372</f>
        <v>504</v>
      </c>
      <c r="P375" s="531" t="s">
        <v>55</v>
      </c>
      <c r="Q375" s="531"/>
      <c r="R375" s="531"/>
      <c r="S375" s="531"/>
      <c r="T375" s="531"/>
      <c r="U375" s="531"/>
      <c r="V375" s="531"/>
      <c r="W375" s="531"/>
      <c r="X375" s="531"/>
      <c r="Y375" s="531"/>
      <c r="Z375" s="531"/>
      <c r="AA375" s="531"/>
      <c r="AB375" s="531"/>
      <c r="AC375" s="531"/>
      <c r="AD375" s="531"/>
      <c r="AE375" s="531"/>
      <c r="AF375" s="531"/>
      <c r="AG375" s="531"/>
      <c r="AH375" s="532"/>
      <c r="AI375" s="532"/>
      <c r="AJ375" s="532"/>
      <c r="AK375" s="532"/>
      <c r="AL375" s="532"/>
      <c r="AM375" s="532"/>
      <c r="AN375" s="532"/>
      <c r="AO375" s="532"/>
      <c r="AP375" s="532"/>
      <c r="AQ375" s="532"/>
      <c r="AR375" s="532"/>
      <c r="AS375" s="532"/>
      <c r="AT375" s="532"/>
      <c r="AU375" s="532"/>
      <c r="AV375" s="532"/>
      <c r="AW375" s="532"/>
      <c r="AX375" s="532"/>
      <c r="AY375" s="532"/>
      <c r="AZ375" s="532"/>
      <c r="BA375" s="532"/>
      <c r="BB375" s="532"/>
      <c r="BC375" s="532"/>
      <c r="BD375" s="532"/>
      <c r="BE375" s="532"/>
      <c r="BF375" s="532"/>
      <c r="BG375" s="532"/>
      <c r="BH375" s="532"/>
      <c r="BI375" s="532"/>
      <c r="BJ375" s="532"/>
      <c r="BK375" s="532"/>
      <c r="BL375" s="532"/>
      <c r="BM375" s="532"/>
      <c r="BN375" s="532"/>
      <c r="BO375" s="532"/>
      <c r="BP375" s="532"/>
      <c r="BQ375" s="532"/>
      <c r="BR375" s="532"/>
      <c r="BS375" s="532"/>
      <c r="BT375" s="532"/>
      <c r="BU375" s="532"/>
      <c r="BV375" s="532"/>
      <c r="BW375" s="532"/>
      <c r="BX375" s="532"/>
      <c r="BY375" s="532"/>
      <c r="BZ375" s="532"/>
      <c r="CA375" s="532"/>
      <c r="CB375" s="532"/>
      <c r="CC375" s="532"/>
      <c r="CD375" s="532"/>
      <c r="CE375" s="532"/>
      <c r="CF375" s="532"/>
      <c r="CG375" s="532"/>
      <c r="CH375" s="532"/>
      <c r="CI375" s="532"/>
      <c r="CJ375" s="532"/>
      <c r="CK375" s="532"/>
      <c r="CL375" s="532"/>
      <c r="CM375" s="532"/>
      <c r="CN375" s="532"/>
      <c r="CO375" s="532"/>
      <c r="CP375" s="532"/>
      <c r="CQ375" s="532"/>
      <c r="CR375" s="532"/>
      <c r="CS375" s="532"/>
      <c r="CT375" s="532"/>
      <c r="CU375" s="532"/>
      <c r="CV375" s="532"/>
      <c r="CW375" s="532"/>
      <c r="CX375" s="532"/>
      <c r="CY375" s="532"/>
      <c r="CZ375" s="532"/>
      <c r="DA375" s="532"/>
      <c r="DB375" s="532"/>
      <c r="DC375" s="532"/>
      <c r="DD375" s="532"/>
      <c r="DE375" s="532"/>
      <c r="DF375" s="532"/>
      <c r="DG375" s="532"/>
      <c r="DH375" s="532"/>
      <c r="DI375" s="532"/>
      <c r="DJ375" s="532"/>
      <c r="DK375" s="532"/>
      <c r="DL375" s="532"/>
      <c r="DM375" s="532"/>
      <c r="DN375" s="532"/>
      <c r="DO375" s="532"/>
      <c r="DP375" s="532"/>
      <c r="DQ375" s="532"/>
      <c r="DR375" s="532"/>
      <c r="DS375" s="532"/>
      <c r="DT375" s="532"/>
      <c r="DU375" s="532"/>
      <c r="DV375" s="532"/>
      <c r="DW375" s="532"/>
      <c r="DX375" s="532"/>
      <c r="DY375" s="532"/>
      <c r="DZ375" s="532"/>
      <c r="EA375" s="532"/>
      <c r="EB375" s="532"/>
      <c r="EC375" s="532"/>
      <c r="ED375" s="532"/>
      <c r="EE375" s="532"/>
      <c r="EF375" s="532"/>
      <c r="EG375" s="532"/>
      <c r="EH375" s="532"/>
      <c r="EI375" s="532"/>
      <c r="EJ375" s="532"/>
      <c r="EK375" s="532"/>
      <c r="EL375" s="532"/>
      <c r="EM375" s="532"/>
      <c r="EN375" s="532"/>
      <c r="EO375" s="532"/>
      <c r="EP375" s="532"/>
      <c r="EQ375" s="532"/>
      <c r="ER375" s="532"/>
      <c r="ES375" s="532"/>
      <c r="ET375" s="532"/>
      <c r="EU375" s="532"/>
      <c r="EV375" s="532"/>
      <c r="EW375" s="532"/>
      <c r="EX375" s="532"/>
      <c r="EY375" s="532"/>
      <c r="EZ375" s="532"/>
      <c r="FA375" s="532"/>
      <c r="FB375" s="532"/>
      <c r="FC375" s="532"/>
      <c r="FD375" s="532"/>
      <c r="FE375" s="532"/>
      <c r="FF375" s="532"/>
      <c r="FG375" s="532"/>
      <c r="FH375" s="532"/>
      <c r="FI375" s="532"/>
      <c r="FJ375" s="532"/>
      <c r="FK375" s="532"/>
      <c r="FL375" s="532"/>
      <c r="FM375" s="532"/>
      <c r="FN375" s="532"/>
      <c r="FO375" s="532"/>
      <c r="FP375" s="532"/>
    </row>
    <row r="376" spans="1:172" ht="12" customHeight="1" x14ac:dyDescent="0.2">
      <c r="A376" s="533" t="s">
        <v>231</v>
      </c>
      <c r="B376" s="534"/>
      <c r="C376" s="534">
        <f>SUM(C374:C375)</f>
        <v>48</v>
      </c>
      <c r="D376" s="534">
        <f>SUM(D374:D375)</f>
        <v>52</v>
      </c>
      <c r="E376" s="534">
        <f>SUM(E374:E375)</f>
        <v>37</v>
      </c>
      <c r="F376" s="534">
        <f t="shared" ref="F376:J376" si="174">SUM(F374:F375)</f>
        <v>39</v>
      </c>
      <c r="G376" s="534">
        <f t="shared" si="174"/>
        <v>55</v>
      </c>
      <c r="H376" s="534">
        <f t="shared" si="174"/>
        <v>43</v>
      </c>
      <c r="I376" s="534">
        <f t="shared" si="174"/>
        <v>45</v>
      </c>
      <c r="J376" s="534">
        <f t="shared" si="174"/>
        <v>59</v>
      </c>
      <c r="K376" s="658">
        <f t="shared" ref="K376:N376" si="175">SUM(K374:K375)</f>
        <v>43</v>
      </c>
      <c r="L376" s="562">
        <f t="shared" si="175"/>
        <v>48</v>
      </c>
      <c r="M376" s="562">
        <f t="shared" si="175"/>
        <v>65</v>
      </c>
      <c r="N376" s="562">
        <f t="shared" si="175"/>
        <v>43</v>
      </c>
      <c r="O376" s="530">
        <f>SUM(O374:O375)</f>
        <v>577</v>
      </c>
      <c r="P376" s="531"/>
      <c r="Q376" s="531"/>
      <c r="R376" s="531"/>
      <c r="S376" s="531"/>
      <c r="T376" s="531"/>
      <c r="U376" s="531"/>
      <c r="V376" s="531"/>
      <c r="W376" s="531"/>
      <c r="X376" s="531"/>
      <c r="Y376" s="531"/>
      <c r="Z376" s="531"/>
      <c r="AA376" s="531"/>
      <c r="AB376" s="531"/>
      <c r="AC376" s="531"/>
      <c r="AD376" s="531"/>
      <c r="AE376" s="531"/>
      <c r="AF376" s="531"/>
      <c r="AG376" s="531"/>
      <c r="AH376" s="532"/>
      <c r="AI376" s="532"/>
      <c r="AJ376" s="532"/>
      <c r="AK376" s="532"/>
      <c r="AL376" s="532"/>
      <c r="AM376" s="532"/>
      <c r="AN376" s="532"/>
      <c r="AO376" s="532"/>
      <c r="AP376" s="532"/>
      <c r="AQ376" s="532"/>
      <c r="AR376" s="532"/>
      <c r="AS376" s="532"/>
      <c r="AT376" s="532"/>
      <c r="AU376" s="532"/>
      <c r="AV376" s="532"/>
      <c r="AW376" s="532"/>
      <c r="AX376" s="532"/>
      <c r="AY376" s="532"/>
      <c r="AZ376" s="532"/>
      <c r="BA376" s="532"/>
      <c r="BB376" s="532"/>
      <c r="BC376" s="532"/>
      <c r="BD376" s="532"/>
      <c r="BE376" s="532"/>
      <c r="BF376" s="532"/>
      <c r="BG376" s="532"/>
      <c r="BH376" s="532"/>
      <c r="BI376" s="532"/>
      <c r="BJ376" s="532"/>
      <c r="BK376" s="532"/>
      <c r="BL376" s="532"/>
      <c r="BM376" s="532"/>
      <c r="BN376" s="532"/>
      <c r="BO376" s="532"/>
      <c r="BP376" s="532"/>
      <c r="BQ376" s="532"/>
      <c r="BR376" s="532"/>
      <c r="BS376" s="532"/>
      <c r="BT376" s="532"/>
      <c r="BU376" s="532"/>
      <c r="BV376" s="532"/>
      <c r="BW376" s="532"/>
      <c r="BX376" s="532"/>
      <c r="BY376" s="532"/>
      <c r="BZ376" s="532"/>
      <c r="CA376" s="532"/>
      <c r="CB376" s="532"/>
      <c r="CC376" s="532"/>
      <c r="CD376" s="532"/>
      <c r="CE376" s="532"/>
      <c r="CF376" s="532"/>
      <c r="CG376" s="532"/>
      <c r="CH376" s="532"/>
      <c r="CI376" s="532"/>
      <c r="CJ376" s="532"/>
      <c r="CK376" s="532"/>
      <c r="CL376" s="532"/>
      <c r="CM376" s="532"/>
      <c r="CN376" s="532"/>
      <c r="CO376" s="532"/>
      <c r="CP376" s="532"/>
      <c r="CQ376" s="532"/>
      <c r="CR376" s="532"/>
      <c r="CS376" s="532"/>
      <c r="CT376" s="532"/>
      <c r="CU376" s="532"/>
      <c r="CV376" s="532"/>
      <c r="CW376" s="532"/>
      <c r="CX376" s="532"/>
      <c r="CY376" s="532"/>
      <c r="CZ376" s="532"/>
      <c r="DA376" s="532"/>
      <c r="DB376" s="532"/>
      <c r="DC376" s="532"/>
      <c r="DD376" s="532"/>
      <c r="DE376" s="532"/>
      <c r="DF376" s="532"/>
      <c r="DG376" s="532"/>
      <c r="DH376" s="532"/>
      <c r="DI376" s="532"/>
      <c r="DJ376" s="532"/>
      <c r="DK376" s="532"/>
      <c r="DL376" s="532"/>
      <c r="DM376" s="532"/>
      <c r="DN376" s="532"/>
      <c r="DO376" s="532"/>
      <c r="DP376" s="532"/>
      <c r="DQ376" s="532"/>
      <c r="DR376" s="532"/>
      <c r="DS376" s="532"/>
      <c r="DT376" s="532"/>
      <c r="DU376" s="532"/>
      <c r="DV376" s="532"/>
      <c r="DW376" s="532"/>
      <c r="DX376" s="532"/>
      <c r="DY376" s="532"/>
      <c r="DZ376" s="532"/>
      <c r="EA376" s="532"/>
      <c r="EB376" s="532"/>
      <c r="EC376" s="532"/>
      <c r="ED376" s="532"/>
      <c r="EE376" s="532"/>
      <c r="EF376" s="532"/>
      <c r="EG376" s="532"/>
      <c r="EH376" s="532"/>
      <c r="EI376" s="532"/>
      <c r="EJ376" s="532"/>
      <c r="EK376" s="532"/>
      <c r="EL376" s="532"/>
      <c r="EM376" s="532"/>
      <c r="EN376" s="532"/>
      <c r="EO376" s="532"/>
      <c r="EP376" s="532"/>
      <c r="EQ376" s="532"/>
      <c r="ER376" s="532"/>
      <c r="ES376" s="532"/>
      <c r="ET376" s="532"/>
      <c r="EU376" s="532"/>
      <c r="EV376" s="532"/>
      <c r="EW376" s="532"/>
      <c r="EX376" s="532"/>
      <c r="EY376" s="532"/>
      <c r="EZ376" s="532"/>
      <c r="FA376" s="532"/>
      <c r="FB376" s="532"/>
      <c r="FC376" s="532"/>
      <c r="FD376" s="532"/>
      <c r="FE376" s="532"/>
      <c r="FF376" s="532"/>
      <c r="FG376" s="532"/>
      <c r="FH376" s="532"/>
      <c r="FI376" s="532"/>
      <c r="FJ376" s="532"/>
      <c r="FK376" s="532"/>
      <c r="FL376" s="532"/>
      <c r="FM376" s="532"/>
      <c r="FN376" s="532"/>
      <c r="FO376" s="532"/>
      <c r="FP376" s="532"/>
    </row>
    <row r="377" spans="1:172" ht="12" customHeight="1" x14ac:dyDescent="0.2">
      <c r="A377" s="533"/>
      <c r="B377" s="534"/>
      <c r="C377" s="534"/>
      <c r="D377" s="534"/>
      <c r="E377" s="534"/>
      <c r="F377" s="534"/>
      <c r="G377" s="534"/>
      <c r="H377" s="534"/>
      <c r="I377" s="534"/>
      <c r="J377" s="534"/>
      <c r="K377" s="658"/>
      <c r="L377" s="562"/>
      <c r="M377" s="562"/>
      <c r="N377" s="562"/>
      <c r="O377" s="530"/>
      <c r="P377" s="531"/>
      <c r="Q377" s="531"/>
      <c r="R377" s="531"/>
      <c r="S377" s="531"/>
      <c r="T377" s="531"/>
      <c r="U377" s="531"/>
      <c r="V377" s="531"/>
      <c r="W377" s="531"/>
      <c r="X377" s="531"/>
      <c r="Y377" s="531"/>
      <c r="Z377" s="531"/>
      <c r="AA377" s="531"/>
      <c r="AB377" s="531"/>
      <c r="AC377" s="531"/>
      <c r="AD377" s="531"/>
      <c r="AE377" s="531"/>
      <c r="AF377" s="531"/>
      <c r="AG377" s="531"/>
      <c r="AH377" s="532"/>
      <c r="AI377" s="532"/>
      <c r="AJ377" s="532"/>
      <c r="AK377" s="532"/>
      <c r="AL377" s="532"/>
      <c r="AM377" s="532"/>
      <c r="AN377" s="532"/>
      <c r="AO377" s="532"/>
      <c r="AP377" s="532"/>
      <c r="AQ377" s="532"/>
      <c r="AR377" s="532"/>
      <c r="AS377" s="532"/>
      <c r="AT377" s="532"/>
      <c r="AU377" s="532"/>
      <c r="AV377" s="532"/>
      <c r="AW377" s="532"/>
      <c r="AX377" s="532"/>
      <c r="AY377" s="532"/>
      <c r="AZ377" s="532"/>
      <c r="BA377" s="532"/>
      <c r="BB377" s="532"/>
      <c r="BC377" s="532"/>
      <c r="BD377" s="532"/>
      <c r="BE377" s="532"/>
      <c r="BF377" s="532"/>
      <c r="BG377" s="532"/>
      <c r="BH377" s="532"/>
      <c r="BI377" s="532"/>
      <c r="BJ377" s="532"/>
      <c r="BK377" s="532"/>
      <c r="BL377" s="532"/>
      <c r="BM377" s="532"/>
      <c r="BN377" s="532"/>
      <c r="BO377" s="532"/>
      <c r="BP377" s="532"/>
      <c r="BQ377" s="532"/>
      <c r="BR377" s="532"/>
      <c r="BS377" s="532"/>
      <c r="BT377" s="532"/>
      <c r="BU377" s="532"/>
      <c r="BV377" s="532"/>
      <c r="BW377" s="532"/>
      <c r="BX377" s="532"/>
      <c r="BY377" s="532"/>
      <c r="BZ377" s="532"/>
      <c r="CA377" s="532"/>
      <c r="CB377" s="532"/>
      <c r="CC377" s="532"/>
      <c r="CD377" s="532"/>
      <c r="CE377" s="532"/>
      <c r="CF377" s="532"/>
      <c r="CG377" s="532"/>
      <c r="CH377" s="532"/>
      <c r="CI377" s="532"/>
      <c r="CJ377" s="532"/>
      <c r="CK377" s="532"/>
      <c r="CL377" s="532"/>
      <c r="CM377" s="532"/>
      <c r="CN377" s="532"/>
      <c r="CO377" s="532"/>
      <c r="CP377" s="532"/>
      <c r="CQ377" s="532"/>
      <c r="CR377" s="532"/>
      <c r="CS377" s="532"/>
      <c r="CT377" s="532"/>
      <c r="CU377" s="532"/>
      <c r="CV377" s="532"/>
      <c r="CW377" s="532"/>
      <c r="CX377" s="532"/>
      <c r="CY377" s="532"/>
      <c r="CZ377" s="532"/>
      <c r="DA377" s="532"/>
      <c r="DB377" s="532"/>
      <c r="DC377" s="532"/>
      <c r="DD377" s="532"/>
      <c r="DE377" s="532"/>
      <c r="DF377" s="532"/>
      <c r="DG377" s="532"/>
      <c r="DH377" s="532"/>
      <c r="DI377" s="532"/>
      <c r="DJ377" s="532"/>
      <c r="DK377" s="532"/>
      <c r="DL377" s="532"/>
      <c r="DM377" s="532"/>
      <c r="DN377" s="532"/>
      <c r="DO377" s="532"/>
      <c r="DP377" s="532"/>
      <c r="DQ377" s="532"/>
      <c r="DR377" s="532"/>
      <c r="DS377" s="532"/>
      <c r="DT377" s="532"/>
      <c r="DU377" s="532"/>
      <c r="DV377" s="532"/>
      <c r="DW377" s="532"/>
      <c r="DX377" s="532"/>
      <c r="DY377" s="532"/>
      <c r="DZ377" s="532"/>
      <c r="EA377" s="532"/>
      <c r="EB377" s="532"/>
      <c r="EC377" s="532"/>
      <c r="ED377" s="532"/>
      <c r="EE377" s="532"/>
      <c r="EF377" s="532"/>
      <c r="EG377" s="532"/>
      <c r="EH377" s="532"/>
      <c r="EI377" s="532"/>
      <c r="EJ377" s="532"/>
      <c r="EK377" s="532"/>
      <c r="EL377" s="532"/>
      <c r="EM377" s="532"/>
      <c r="EN377" s="532"/>
      <c r="EO377" s="532"/>
      <c r="EP377" s="532"/>
      <c r="EQ377" s="532"/>
      <c r="ER377" s="532"/>
      <c r="ES377" s="532"/>
      <c r="ET377" s="532"/>
      <c r="EU377" s="532"/>
      <c r="EV377" s="532"/>
      <c r="EW377" s="532"/>
      <c r="EX377" s="532"/>
      <c r="EY377" s="532"/>
      <c r="EZ377" s="532"/>
      <c r="FA377" s="532"/>
      <c r="FB377" s="532"/>
      <c r="FC377" s="532"/>
      <c r="FD377" s="532"/>
      <c r="FE377" s="532"/>
      <c r="FF377" s="532"/>
      <c r="FG377" s="532"/>
      <c r="FH377" s="532"/>
      <c r="FI377" s="532"/>
      <c r="FJ377" s="532"/>
      <c r="FK377" s="532"/>
      <c r="FL377" s="532"/>
      <c r="FM377" s="532"/>
      <c r="FN377" s="532"/>
      <c r="FO377" s="532"/>
      <c r="FP377" s="532"/>
    </row>
    <row r="378" spans="1:172" ht="12" customHeight="1" x14ac:dyDescent="0.2">
      <c r="A378" s="533" t="s">
        <v>232</v>
      </c>
      <c r="B378" s="534" t="s">
        <v>233</v>
      </c>
      <c r="C378" s="208">
        <v>758</v>
      </c>
      <c r="D378" s="208">
        <v>964</v>
      </c>
      <c r="E378" s="208">
        <v>617</v>
      </c>
      <c r="F378" s="208">
        <v>908</v>
      </c>
      <c r="G378" s="208">
        <v>870</v>
      </c>
      <c r="H378" s="208">
        <v>1199</v>
      </c>
      <c r="I378" s="208">
        <v>659</v>
      </c>
      <c r="J378" s="208">
        <v>1140</v>
      </c>
      <c r="K378" s="208">
        <v>1203</v>
      </c>
      <c r="L378" s="562">
        <v>963</v>
      </c>
      <c r="M378" s="562">
        <v>1724</v>
      </c>
      <c r="N378" s="562">
        <v>782</v>
      </c>
      <c r="O378" s="530">
        <f>SUM(C378:N378)</f>
        <v>11787</v>
      </c>
      <c r="P378" s="531"/>
      <c r="Q378" s="531"/>
      <c r="R378" s="531"/>
      <c r="S378" s="531"/>
      <c r="T378" s="531"/>
      <c r="U378" s="531"/>
      <c r="V378" s="531"/>
      <c r="W378" s="531"/>
      <c r="X378" s="531"/>
      <c r="Y378" s="531"/>
      <c r="Z378" s="531"/>
      <c r="AA378" s="531"/>
      <c r="AB378" s="531"/>
      <c r="AC378" s="531"/>
      <c r="AD378" s="531"/>
      <c r="AE378" s="531"/>
      <c r="AF378" s="531"/>
      <c r="AG378" s="531"/>
      <c r="AH378" s="532"/>
      <c r="AI378" s="532"/>
      <c r="AJ378" s="532"/>
      <c r="AK378" s="532"/>
      <c r="AL378" s="532"/>
      <c r="AM378" s="532"/>
      <c r="AN378" s="532"/>
      <c r="AO378" s="532"/>
      <c r="AP378" s="532"/>
      <c r="AQ378" s="532"/>
      <c r="AR378" s="532"/>
      <c r="AS378" s="532"/>
      <c r="AT378" s="532"/>
      <c r="AU378" s="532"/>
      <c r="AV378" s="532"/>
      <c r="AW378" s="532"/>
      <c r="AX378" s="532"/>
      <c r="AY378" s="532"/>
      <c r="AZ378" s="532"/>
      <c r="BA378" s="532"/>
      <c r="BB378" s="532"/>
      <c r="BC378" s="532"/>
      <c r="BD378" s="532"/>
      <c r="BE378" s="532"/>
      <c r="BF378" s="532"/>
      <c r="BG378" s="532"/>
      <c r="BH378" s="532"/>
      <c r="BI378" s="532"/>
      <c r="BJ378" s="532"/>
      <c r="BK378" s="532"/>
      <c r="BL378" s="532"/>
      <c r="BM378" s="532"/>
      <c r="BN378" s="532"/>
      <c r="BO378" s="532"/>
      <c r="BP378" s="532"/>
      <c r="BQ378" s="532"/>
      <c r="BR378" s="532"/>
      <c r="BS378" s="532"/>
      <c r="BT378" s="532"/>
      <c r="BU378" s="532"/>
      <c r="BV378" s="532"/>
      <c r="BW378" s="532"/>
      <c r="BX378" s="532"/>
      <c r="BY378" s="532"/>
      <c r="BZ378" s="532"/>
      <c r="CA378" s="532"/>
      <c r="CB378" s="532"/>
      <c r="CC378" s="532"/>
      <c r="CD378" s="532"/>
      <c r="CE378" s="532"/>
      <c r="CF378" s="532"/>
      <c r="CG378" s="532"/>
      <c r="CH378" s="532"/>
      <c r="CI378" s="532"/>
      <c r="CJ378" s="532"/>
      <c r="CK378" s="532"/>
      <c r="CL378" s="532"/>
      <c r="CM378" s="532"/>
      <c r="CN378" s="532"/>
      <c r="CO378" s="532"/>
      <c r="CP378" s="532"/>
      <c r="CQ378" s="532"/>
      <c r="CR378" s="532"/>
      <c r="CS378" s="532"/>
      <c r="CT378" s="532"/>
      <c r="CU378" s="532"/>
      <c r="CV378" s="532"/>
      <c r="CW378" s="532"/>
      <c r="CX378" s="532"/>
      <c r="CY378" s="532"/>
      <c r="CZ378" s="532"/>
      <c r="DA378" s="532"/>
      <c r="DB378" s="532"/>
      <c r="DC378" s="532"/>
      <c r="DD378" s="532"/>
      <c r="DE378" s="532"/>
      <c r="DF378" s="532"/>
      <c r="DG378" s="532"/>
      <c r="DH378" s="532"/>
      <c r="DI378" s="532"/>
      <c r="DJ378" s="532"/>
      <c r="DK378" s="532"/>
      <c r="DL378" s="532"/>
      <c r="DM378" s="532"/>
      <c r="DN378" s="532"/>
      <c r="DO378" s="532"/>
      <c r="DP378" s="532"/>
      <c r="DQ378" s="532"/>
      <c r="DR378" s="532"/>
      <c r="DS378" s="532"/>
      <c r="DT378" s="532"/>
      <c r="DU378" s="532"/>
      <c r="DV378" s="532"/>
      <c r="DW378" s="532"/>
      <c r="DX378" s="532"/>
      <c r="DY378" s="532"/>
      <c r="DZ378" s="532"/>
      <c r="EA378" s="532"/>
      <c r="EB378" s="532"/>
      <c r="EC378" s="532"/>
      <c r="ED378" s="532"/>
      <c r="EE378" s="532"/>
      <c r="EF378" s="532"/>
      <c r="EG378" s="532"/>
      <c r="EH378" s="532"/>
      <c r="EI378" s="532"/>
      <c r="EJ378" s="532"/>
      <c r="EK378" s="532"/>
      <c r="EL378" s="532"/>
      <c r="EM378" s="532"/>
      <c r="EN378" s="532"/>
      <c r="EO378" s="532"/>
      <c r="EP378" s="532"/>
      <c r="EQ378" s="532"/>
      <c r="ER378" s="532"/>
      <c r="ES378" s="532"/>
      <c r="ET378" s="532"/>
      <c r="EU378" s="532"/>
      <c r="EV378" s="532"/>
      <c r="EW378" s="532"/>
      <c r="EX378" s="532"/>
      <c r="EY378" s="532"/>
      <c r="EZ378" s="532"/>
      <c r="FA378" s="532"/>
      <c r="FB378" s="532"/>
      <c r="FC378" s="532"/>
      <c r="FD378" s="532"/>
      <c r="FE378" s="532"/>
      <c r="FF378" s="532"/>
      <c r="FG378" s="532"/>
      <c r="FH378" s="532"/>
      <c r="FI378" s="532"/>
      <c r="FJ378" s="532"/>
      <c r="FK378" s="532"/>
      <c r="FL378" s="532"/>
      <c r="FM378" s="532"/>
      <c r="FN378" s="532"/>
      <c r="FO378" s="532"/>
      <c r="FP378" s="532"/>
    </row>
    <row r="379" spans="1:172" ht="12" customHeight="1" x14ac:dyDescent="0.2">
      <c r="A379" s="533"/>
      <c r="B379" s="534"/>
      <c r="C379" s="534"/>
      <c r="D379" s="534"/>
      <c r="E379" s="534"/>
      <c r="F379" s="534"/>
      <c r="G379" s="534"/>
      <c r="H379" s="534"/>
      <c r="I379" s="534"/>
      <c r="J379" s="534"/>
      <c r="K379" s="658"/>
      <c r="L379" s="562"/>
      <c r="M379" s="562"/>
      <c r="N379" s="562"/>
      <c r="O379" s="530"/>
      <c r="P379" s="531"/>
      <c r="Q379" s="531"/>
      <c r="R379" s="531"/>
      <c r="S379" s="531"/>
      <c r="T379" s="531"/>
      <c r="U379" s="531"/>
      <c r="V379" s="531"/>
      <c r="W379" s="531"/>
      <c r="X379" s="531"/>
      <c r="Y379" s="531"/>
      <c r="Z379" s="531"/>
      <c r="AA379" s="531"/>
      <c r="AB379" s="531"/>
      <c r="AC379" s="531"/>
      <c r="AD379" s="531"/>
      <c r="AE379" s="531"/>
      <c r="AF379" s="531"/>
      <c r="AG379" s="531"/>
      <c r="AH379" s="532"/>
      <c r="AI379" s="532"/>
      <c r="AJ379" s="532"/>
      <c r="AK379" s="532"/>
      <c r="AL379" s="532"/>
      <c r="AM379" s="532"/>
      <c r="AN379" s="532"/>
      <c r="AO379" s="532"/>
      <c r="AP379" s="532"/>
      <c r="AQ379" s="532"/>
      <c r="AR379" s="532"/>
      <c r="AS379" s="532"/>
      <c r="AT379" s="532"/>
      <c r="AU379" s="532"/>
      <c r="AV379" s="532"/>
      <c r="AW379" s="532"/>
      <c r="AX379" s="532"/>
      <c r="AY379" s="532"/>
      <c r="AZ379" s="532"/>
      <c r="BA379" s="532"/>
      <c r="BB379" s="532"/>
      <c r="BC379" s="532"/>
      <c r="BD379" s="532"/>
      <c r="BE379" s="532"/>
      <c r="BF379" s="532"/>
      <c r="BG379" s="532"/>
      <c r="BH379" s="532"/>
      <c r="BI379" s="532"/>
      <c r="BJ379" s="532"/>
      <c r="BK379" s="532"/>
      <c r="BL379" s="532"/>
      <c r="BM379" s="532"/>
      <c r="BN379" s="532"/>
      <c r="BO379" s="532"/>
      <c r="BP379" s="532"/>
      <c r="BQ379" s="532"/>
      <c r="BR379" s="532"/>
      <c r="BS379" s="532"/>
      <c r="BT379" s="532"/>
      <c r="BU379" s="532"/>
      <c r="BV379" s="532"/>
      <c r="BW379" s="532"/>
      <c r="BX379" s="532"/>
      <c r="BY379" s="532"/>
      <c r="BZ379" s="532"/>
      <c r="CA379" s="532"/>
      <c r="CB379" s="532"/>
      <c r="CC379" s="532"/>
      <c r="CD379" s="532"/>
      <c r="CE379" s="532"/>
      <c r="CF379" s="532"/>
      <c r="CG379" s="532"/>
      <c r="CH379" s="532"/>
      <c r="CI379" s="532"/>
      <c r="CJ379" s="532"/>
      <c r="CK379" s="532"/>
      <c r="CL379" s="532"/>
      <c r="CM379" s="532"/>
      <c r="CN379" s="532"/>
      <c r="CO379" s="532"/>
      <c r="CP379" s="532"/>
      <c r="CQ379" s="532"/>
      <c r="CR379" s="532"/>
      <c r="CS379" s="532"/>
      <c r="CT379" s="532"/>
      <c r="CU379" s="532"/>
      <c r="CV379" s="532"/>
      <c r="CW379" s="532"/>
      <c r="CX379" s="532"/>
      <c r="CY379" s="532"/>
      <c r="CZ379" s="532"/>
      <c r="DA379" s="532"/>
      <c r="DB379" s="532"/>
      <c r="DC379" s="532"/>
      <c r="DD379" s="532"/>
      <c r="DE379" s="532"/>
      <c r="DF379" s="532"/>
      <c r="DG379" s="532"/>
      <c r="DH379" s="532"/>
      <c r="DI379" s="532"/>
      <c r="DJ379" s="532"/>
      <c r="DK379" s="532"/>
      <c r="DL379" s="532"/>
      <c r="DM379" s="532"/>
      <c r="DN379" s="532"/>
      <c r="DO379" s="532"/>
      <c r="DP379" s="532"/>
      <c r="DQ379" s="532"/>
      <c r="DR379" s="532"/>
      <c r="DS379" s="532"/>
      <c r="DT379" s="532"/>
      <c r="DU379" s="532"/>
      <c r="DV379" s="532"/>
      <c r="DW379" s="532"/>
      <c r="DX379" s="532"/>
      <c r="DY379" s="532"/>
      <c r="DZ379" s="532"/>
      <c r="EA379" s="532"/>
      <c r="EB379" s="532"/>
      <c r="EC379" s="532"/>
      <c r="ED379" s="532"/>
      <c r="EE379" s="532"/>
      <c r="EF379" s="532"/>
      <c r="EG379" s="532"/>
      <c r="EH379" s="532"/>
      <c r="EI379" s="532"/>
      <c r="EJ379" s="532"/>
      <c r="EK379" s="532"/>
      <c r="EL379" s="532"/>
      <c r="EM379" s="532"/>
      <c r="EN379" s="532"/>
      <c r="EO379" s="532"/>
      <c r="EP379" s="532"/>
      <c r="EQ379" s="532"/>
      <c r="ER379" s="532"/>
      <c r="ES379" s="532"/>
      <c r="ET379" s="532"/>
      <c r="EU379" s="532"/>
      <c r="EV379" s="532"/>
      <c r="EW379" s="532"/>
      <c r="EX379" s="532"/>
      <c r="EY379" s="532"/>
      <c r="EZ379" s="532"/>
      <c r="FA379" s="532"/>
      <c r="FB379" s="532"/>
      <c r="FC379" s="532"/>
      <c r="FD379" s="532"/>
      <c r="FE379" s="532"/>
      <c r="FF379" s="532"/>
      <c r="FG379" s="532"/>
      <c r="FH379" s="532"/>
      <c r="FI379" s="532"/>
      <c r="FJ379" s="532"/>
      <c r="FK379" s="532"/>
      <c r="FL379" s="532"/>
      <c r="FM379" s="532"/>
      <c r="FN379" s="532"/>
      <c r="FO379" s="532"/>
      <c r="FP379" s="532"/>
    </row>
    <row r="380" spans="1:172" ht="12" customHeight="1" x14ac:dyDescent="0.2">
      <c r="A380" s="533" t="s">
        <v>234</v>
      </c>
      <c r="B380" s="534" t="s">
        <v>235</v>
      </c>
      <c r="C380" s="208">
        <v>6</v>
      </c>
      <c r="D380" s="208">
        <v>8</v>
      </c>
      <c r="E380" s="208">
        <v>7</v>
      </c>
      <c r="F380" s="208">
        <v>6</v>
      </c>
      <c r="G380" s="208">
        <v>7</v>
      </c>
      <c r="H380" s="208">
        <v>11</v>
      </c>
      <c r="I380" s="208">
        <v>6</v>
      </c>
      <c r="J380" s="208">
        <v>11</v>
      </c>
      <c r="K380" s="208">
        <v>14</v>
      </c>
      <c r="L380" s="562">
        <v>8</v>
      </c>
      <c r="M380" s="562">
        <v>13</v>
      </c>
      <c r="N380" s="562">
        <v>7</v>
      </c>
      <c r="O380" s="530">
        <f>SUM(C380:N380)</f>
        <v>104</v>
      </c>
      <c r="P380" s="531"/>
      <c r="Q380" s="531"/>
      <c r="R380" s="531"/>
      <c r="S380" s="531"/>
      <c r="T380" s="531"/>
      <c r="U380" s="531"/>
      <c r="V380" s="531"/>
      <c r="W380" s="531"/>
      <c r="X380" s="531"/>
      <c r="Y380" s="531"/>
      <c r="Z380" s="531"/>
      <c r="AA380" s="531"/>
      <c r="AB380" s="531"/>
      <c r="AC380" s="531"/>
      <c r="AD380" s="531"/>
      <c r="AE380" s="531"/>
      <c r="AF380" s="531"/>
      <c r="AG380" s="531"/>
      <c r="AH380" s="532"/>
      <c r="AI380" s="532"/>
      <c r="AJ380" s="532"/>
      <c r="AK380" s="532"/>
      <c r="AL380" s="532"/>
      <c r="AM380" s="532"/>
      <c r="AN380" s="532"/>
      <c r="AO380" s="532"/>
      <c r="AP380" s="532"/>
      <c r="AQ380" s="532"/>
      <c r="AR380" s="532"/>
      <c r="AS380" s="532"/>
      <c r="AT380" s="532"/>
      <c r="AU380" s="532"/>
      <c r="AV380" s="532"/>
      <c r="AW380" s="532"/>
      <c r="AX380" s="532"/>
      <c r="AY380" s="532"/>
      <c r="AZ380" s="532"/>
      <c r="BA380" s="532"/>
      <c r="BB380" s="532"/>
      <c r="BC380" s="532"/>
      <c r="BD380" s="532"/>
      <c r="BE380" s="532"/>
      <c r="BF380" s="532"/>
      <c r="BG380" s="532"/>
      <c r="BH380" s="532"/>
      <c r="BI380" s="532"/>
      <c r="BJ380" s="532"/>
      <c r="BK380" s="532"/>
      <c r="BL380" s="532"/>
      <c r="BM380" s="532"/>
      <c r="BN380" s="532"/>
      <c r="BO380" s="532"/>
      <c r="BP380" s="532"/>
      <c r="BQ380" s="532"/>
      <c r="BR380" s="532"/>
      <c r="BS380" s="532"/>
      <c r="BT380" s="532"/>
      <c r="BU380" s="532"/>
      <c r="BV380" s="532"/>
      <c r="BW380" s="532"/>
      <c r="BX380" s="532"/>
      <c r="BY380" s="532"/>
      <c r="BZ380" s="532"/>
      <c r="CA380" s="532"/>
      <c r="CB380" s="532"/>
      <c r="CC380" s="532"/>
      <c r="CD380" s="532"/>
      <c r="CE380" s="532"/>
      <c r="CF380" s="532"/>
      <c r="CG380" s="532"/>
      <c r="CH380" s="532"/>
      <c r="CI380" s="532"/>
      <c r="CJ380" s="532"/>
      <c r="CK380" s="532"/>
      <c r="CL380" s="532"/>
      <c r="CM380" s="532"/>
      <c r="CN380" s="532"/>
      <c r="CO380" s="532"/>
      <c r="CP380" s="532"/>
      <c r="CQ380" s="532"/>
      <c r="CR380" s="532"/>
      <c r="CS380" s="532"/>
      <c r="CT380" s="532"/>
      <c r="CU380" s="532"/>
      <c r="CV380" s="532"/>
      <c r="CW380" s="532"/>
      <c r="CX380" s="532"/>
      <c r="CY380" s="532"/>
      <c r="CZ380" s="532"/>
      <c r="DA380" s="532"/>
      <c r="DB380" s="532"/>
      <c r="DC380" s="532"/>
      <c r="DD380" s="532"/>
      <c r="DE380" s="532"/>
      <c r="DF380" s="532"/>
      <c r="DG380" s="532"/>
      <c r="DH380" s="532"/>
      <c r="DI380" s="532"/>
      <c r="DJ380" s="532"/>
      <c r="DK380" s="532"/>
      <c r="DL380" s="532"/>
      <c r="DM380" s="532"/>
      <c r="DN380" s="532"/>
      <c r="DO380" s="532"/>
      <c r="DP380" s="532"/>
      <c r="DQ380" s="532"/>
      <c r="DR380" s="532"/>
      <c r="DS380" s="532"/>
      <c r="DT380" s="532"/>
      <c r="DU380" s="532"/>
      <c r="DV380" s="532"/>
      <c r="DW380" s="532"/>
      <c r="DX380" s="532"/>
      <c r="DY380" s="532"/>
      <c r="DZ380" s="532"/>
      <c r="EA380" s="532"/>
      <c r="EB380" s="532"/>
      <c r="EC380" s="532"/>
      <c r="ED380" s="532"/>
      <c r="EE380" s="532"/>
      <c r="EF380" s="532"/>
      <c r="EG380" s="532"/>
      <c r="EH380" s="532"/>
      <c r="EI380" s="532"/>
      <c r="EJ380" s="532"/>
      <c r="EK380" s="532"/>
      <c r="EL380" s="532"/>
      <c r="EM380" s="532"/>
      <c r="EN380" s="532"/>
      <c r="EO380" s="532"/>
      <c r="EP380" s="532"/>
      <c r="EQ380" s="532"/>
      <c r="ER380" s="532"/>
      <c r="ES380" s="532"/>
      <c r="ET380" s="532"/>
      <c r="EU380" s="532"/>
      <c r="EV380" s="532"/>
      <c r="EW380" s="532"/>
      <c r="EX380" s="532"/>
      <c r="EY380" s="532"/>
      <c r="EZ380" s="532"/>
      <c r="FA380" s="532"/>
      <c r="FB380" s="532"/>
      <c r="FC380" s="532"/>
      <c r="FD380" s="532"/>
      <c r="FE380" s="532"/>
      <c r="FF380" s="532"/>
      <c r="FG380" s="532"/>
      <c r="FH380" s="532"/>
      <c r="FI380" s="532"/>
      <c r="FJ380" s="532"/>
      <c r="FK380" s="532"/>
      <c r="FL380" s="532"/>
      <c r="FM380" s="532"/>
      <c r="FN380" s="532"/>
      <c r="FO380" s="532"/>
      <c r="FP380" s="532"/>
    </row>
    <row r="381" spans="1:172" ht="12" customHeight="1" x14ac:dyDescent="0.2">
      <c r="A381" s="533" t="s">
        <v>236</v>
      </c>
      <c r="B381" s="534" t="s">
        <v>235</v>
      </c>
      <c r="C381" s="208">
        <v>16</v>
      </c>
      <c r="D381" s="208">
        <v>11</v>
      </c>
      <c r="E381" s="208">
        <v>14</v>
      </c>
      <c r="F381" s="208">
        <v>11</v>
      </c>
      <c r="G381" s="208">
        <v>9</v>
      </c>
      <c r="H381" s="208">
        <v>12</v>
      </c>
      <c r="I381" s="208">
        <v>10</v>
      </c>
      <c r="J381" s="208">
        <v>16</v>
      </c>
      <c r="K381" s="208">
        <v>8</v>
      </c>
      <c r="L381" s="562">
        <v>13</v>
      </c>
      <c r="M381" s="562">
        <v>17</v>
      </c>
      <c r="N381" s="562">
        <v>14</v>
      </c>
      <c r="O381" s="530">
        <f>SUM(C381:N381)</f>
        <v>151</v>
      </c>
      <c r="P381" s="531"/>
      <c r="Q381" s="531"/>
      <c r="R381" s="531"/>
      <c r="S381" s="531"/>
      <c r="T381" s="531"/>
      <c r="U381" s="531"/>
      <c r="V381" s="531"/>
      <c r="W381" s="531"/>
      <c r="X381" s="531"/>
      <c r="Y381" s="531"/>
      <c r="Z381" s="531"/>
      <c r="AA381" s="531"/>
      <c r="AB381" s="531"/>
      <c r="AC381" s="531"/>
      <c r="AD381" s="531"/>
      <c r="AE381" s="531"/>
      <c r="AF381" s="531"/>
      <c r="AG381" s="531"/>
      <c r="AH381" s="532"/>
      <c r="AI381" s="532"/>
      <c r="AJ381" s="532"/>
      <c r="AK381" s="532"/>
      <c r="AL381" s="532"/>
      <c r="AM381" s="532"/>
      <c r="AN381" s="532"/>
      <c r="AO381" s="532"/>
      <c r="AP381" s="532"/>
      <c r="AQ381" s="532"/>
      <c r="AR381" s="532"/>
      <c r="AS381" s="532"/>
      <c r="AT381" s="532"/>
      <c r="AU381" s="532"/>
      <c r="AV381" s="532"/>
      <c r="AW381" s="532"/>
      <c r="AX381" s="532"/>
      <c r="AY381" s="532"/>
      <c r="AZ381" s="532"/>
      <c r="BA381" s="532"/>
      <c r="BB381" s="532"/>
      <c r="BC381" s="532"/>
      <c r="BD381" s="532"/>
      <c r="BE381" s="532"/>
      <c r="BF381" s="532"/>
      <c r="BG381" s="532"/>
      <c r="BH381" s="532"/>
      <c r="BI381" s="532"/>
      <c r="BJ381" s="532"/>
      <c r="BK381" s="532"/>
      <c r="BL381" s="532"/>
      <c r="BM381" s="532"/>
      <c r="BN381" s="532"/>
      <c r="BO381" s="532"/>
      <c r="BP381" s="532"/>
      <c r="BQ381" s="532"/>
      <c r="BR381" s="532"/>
      <c r="BS381" s="532"/>
      <c r="BT381" s="532"/>
      <c r="BU381" s="532"/>
      <c r="BV381" s="532"/>
      <c r="BW381" s="532"/>
      <c r="BX381" s="532"/>
      <c r="BY381" s="532"/>
      <c r="BZ381" s="532"/>
      <c r="CA381" s="532"/>
      <c r="CB381" s="532"/>
      <c r="CC381" s="532"/>
      <c r="CD381" s="532"/>
      <c r="CE381" s="532"/>
      <c r="CF381" s="532"/>
      <c r="CG381" s="532"/>
      <c r="CH381" s="532"/>
      <c r="CI381" s="532"/>
      <c r="CJ381" s="532"/>
      <c r="CK381" s="532"/>
      <c r="CL381" s="532"/>
      <c r="CM381" s="532"/>
      <c r="CN381" s="532"/>
      <c r="CO381" s="532"/>
      <c r="CP381" s="532"/>
      <c r="CQ381" s="532"/>
      <c r="CR381" s="532"/>
      <c r="CS381" s="532"/>
      <c r="CT381" s="532"/>
      <c r="CU381" s="532"/>
      <c r="CV381" s="532"/>
      <c r="CW381" s="532"/>
      <c r="CX381" s="532"/>
      <c r="CY381" s="532"/>
      <c r="CZ381" s="532"/>
      <c r="DA381" s="532"/>
      <c r="DB381" s="532"/>
      <c r="DC381" s="532"/>
      <c r="DD381" s="532"/>
      <c r="DE381" s="532"/>
      <c r="DF381" s="532"/>
      <c r="DG381" s="532"/>
      <c r="DH381" s="532"/>
      <c r="DI381" s="532"/>
      <c r="DJ381" s="532"/>
      <c r="DK381" s="532"/>
      <c r="DL381" s="532"/>
      <c r="DM381" s="532"/>
      <c r="DN381" s="532"/>
      <c r="DO381" s="532"/>
      <c r="DP381" s="532"/>
      <c r="DQ381" s="532"/>
      <c r="DR381" s="532"/>
      <c r="DS381" s="532"/>
      <c r="DT381" s="532"/>
      <c r="DU381" s="532"/>
      <c r="DV381" s="532"/>
      <c r="DW381" s="532"/>
      <c r="DX381" s="532"/>
      <c r="DY381" s="532"/>
      <c r="DZ381" s="532"/>
      <c r="EA381" s="532"/>
      <c r="EB381" s="532"/>
      <c r="EC381" s="532"/>
      <c r="ED381" s="532"/>
      <c r="EE381" s="532"/>
      <c r="EF381" s="532"/>
      <c r="EG381" s="532"/>
      <c r="EH381" s="532"/>
      <c r="EI381" s="532"/>
      <c r="EJ381" s="532"/>
      <c r="EK381" s="532"/>
      <c r="EL381" s="532"/>
      <c r="EM381" s="532"/>
      <c r="EN381" s="532"/>
      <c r="EO381" s="532"/>
      <c r="EP381" s="532"/>
      <c r="EQ381" s="532"/>
      <c r="ER381" s="532"/>
      <c r="ES381" s="532"/>
      <c r="ET381" s="532"/>
      <c r="EU381" s="532"/>
      <c r="EV381" s="532"/>
      <c r="EW381" s="532"/>
      <c r="EX381" s="532"/>
      <c r="EY381" s="532"/>
      <c r="EZ381" s="532"/>
      <c r="FA381" s="532"/>
      <c r="FB381" s="532"/>
      <c r="FC381" s="532"/>
      <c r="FD381" s="532"/>
      <c r="FE381" s="532"/>
      <c r="FF381" s="532"/>
      <c r="FG381" s="532"/>
      <c r="FH381" s="532"/>
      <c r="FI381" s="532"/>
      <c r="FJ381" s="532"/>
      <c r="FK381" s="532"/>
      <c r="FL381" s="532"/>
      <c r="FM381" s="532"/>
      <c r="FN381" s="532"/>
      <c r="FO381" s="532"/>
      <c r="FP381" s="532"/>
    </row>
    <row r="382" spans="1:172" ht="12" customHeight="1" x14ac:dyDescent="0.2">
      <c r="A382" s="533"/>
      <c r="B382" s="534"/>
      <c r="C382" s="534"/>
      <c r="D382" s="534"/>
      <c r="E382" s="534"/>
      <c r="F382" s="534"/>
      <c r="G382" s="534"/>
      <c r="H382" s="534"/>
      <c r="I382" s="534"/>
      <c r="J382" s="534"/>
      <c r="K382" s="658"/>
      <c r="L382" s="562"/>
      <c r="M382" s="562"/>
      <c r="N382" s="562"/>
      <c r="O382" s="530"/>
      <c r="P382" s="531"/>
      <c r="Q382" s="531"/>
      <c r="R382" s="531"/>
      <c r="S382" s="531"/>
      <c r="T382" s="531"/>
      <c r="U382" s="531"/>
      <c r="V382" s="531"/>
      <c r="W382" s="531"/>
      <c r="X382" s="531"/>
      <c r="Y382" s="531"/>
      <c r="Z382" s="531"/>
      <c r="AA382" s="531"/>
      <c r="AB382" s="531"/>
      <c r="AC382" s="531"/>
      <c r="AD382" s="531"/>
      <c r="AE382" s="531"/>
      <c r="AF382" s="531"/>
      <c r="AG382" s="531"/>
      <c r="AH382" s="532"/>
      <c r="AI382" s="532"/>
      <c r="AJ382" s="532"/>
      <c r="AK382" s="532"/>
      <c r="AL382" s="532"/>
      <c r="AM382" s="532"/>
      <c r="AN382" s="532"/>
      <c r="AO382" s="532"/>
      <c r="AP382" s="532"/>
      <c r="AQ382" s="532"/>
      <c r="AR382" s="532"/>
      <c r="AS382" s="532"/>
      <c r="AT382" s="532"/>
      <c r="AU382" s="532"/>
      <c r="AV382" s="532"/>
      <c r="AW382" s="532"/>
      <c r="AX382" s="532"/>
      <c r="AY382" s="532"/>
      <c r="AZ382" s="532"/>
      <c r="BA382" s="532"/>
      <c r="BB382" s="532"/>
      <c r="BC382" s="532"/>
      <c r="BD382" s="532"/>
      <c r="BE382" s="532"/>
      <c r="BF382" s="532"/>
      <c r="BG382" s="532"/>
      <c r="BH382" s="532"/>
      <c r="BI382" s="532"/>
      <c r="BJ382" s="532"/>
      <c r="BK382" s="532"/>
      <c r="BL382" s="532"/>
      <c r="BM382" s="532"/>
      <c r="BN382" s="532"/>
      <c r="BO382" s="532"/>
      <c r="BP382" s="532"/>
      <c r="BQ382" s="532"/>
      <c r="BR382" s="532"/>
      <c r="BS382" s="532"/>
      <c r="BT382" s="532"/>
      <c r="BU382" s="532"/>
      <c r="BV382" s="532"/>
      <c r="BW382" s="532"/>
      <c r="BX382" s="532"/>
      <c r="BY382" s="532"/>
      <c r="BZ382" s="532"/>
      <c r="CA382" s="532"/>
      <c r="CB382" s="532"/>
      <c r="CC382" s="532"/>
      <c r="CD382" s="532"/>
      <c r="CE382" s="532"/>
      <c r="CF382" s="532"/>
      <c r="CG382" s="532"/>
      <c r="CH382" s="532"/>
      <c r="CI382" s="532"/>
      <c r="CJ382" s="532"/>
      <c r="CK382" s="532"/>
      <c r="CL382" s="532"/>
      <c r="CM382" s="532"/>
      <c r="CN382" s="532"/>
      <c r="CO382" s="532"/>
      <c r="CP382" s="532"/>
      <c r="CQ382" s="532"/>
      <c r="CR382" s="532"/>
      <c r="CS382" s="532"/>
      <c r="CT382" s="532"/>
      <c r="CU382" s="532"/>
      <c r="CV382" s="532"/>
      <c r="CW382" s="532"/>
      <c r="CX382" s="532"/>
      <c r="CY382" s="532"/>
      <c r="CZ382" s="532"/>
      <c r="DA382" s="532"/>
      <c r="DB382" s="532"/>
      <c r="DC382" s="532"/>
      <c r="DD382" s="532"/>
      <c r="DE382" s="532"/>
      <c r="DF382" s="532"/>
      <c r="DG382" s="532"/>
      <c r="DH382" s="532"/>
      <c r="DI382" s="532"/>
      <c r="DJ382" s="532"/>
      <c r="DK382" s="532"/>
      <c r="DL382" s="532"/>
      <c r="DM382" s="532"/>
      <c r="DN382" s="532"/>
      <c r="DO382" s="532"/>
      <c r="DP382" s="532"/>
      <c r="DQ382" s="532"/>
      <c r="DR382" s="532"/>
      <c r="DS382" s="532"/>
      <c r="DT382" s="532"/>
      <c r="DU382" s="532"/>
      <c r="DV382" s="532"/>
      <c r="DW382" s="532"/>
      <c r="DX382" s="532"/>
      <c r="DY382" s="532"/>
      <c r="DZ382" s="532"/>
      <c r="EA382" s="532"/>
      <c r="EB382" s="532"/>
      <c r="EC382" s="532"/>
      <c r="ED382" s="532"/>
      <c r="EE382" s="532"/>
      <c r="EF382" s="532"/>
      <c r="EG382" s="532"/>
      <c r="EH382" s="532"/>
      <c r="EI382" s="532"/>
      <c r="EJ382" s="532"/>
      <c r="EK382" s="532"/>
      <c r="EL382" s="532"/>
      <c r="EM382" s="532"/>
      <c r="EN382" s="532"/>
      <c r="EO382" s="532"/>
      <c r="EP382" s="532"/>
      <c r="EQ382" s="532"/>
      <c r="ER382" s="532"/>
      <c r="ES382" s="532"/>
      <c r="ET382" s="532"/>
      <c r="EU382" s="532"/>
      <c r="EV382" s="532"/>
      <c r="EW382" s="532"/>
      <c r="EX382" s="532"/>
      <c r="EY382" s="532"/>
      <c r="EZ382" s="532"/>
      <c r="FA382" s="532"/>
      <c r="FB382" s="532"/>
      <c r="FC382" s="532"/>
      <c r="FD382" s="532"/>
      <c r="FE382" s="532"/>
      <c r="FF382" s="532"/>
      <c r="FG382" s="532"/>
      <c r="FH382" s="532"/>
      <c r="FI382" s="532"/>
      <c r="FJ382" s="532"/>
      <c r="FK382" s="532"/>
      <c r="FL382" s="532"/>
      <c r="FM382" s="532"/>
      <c r="FN382" s="532"/>
      <c r="FO382" s="532"/>
      <c r="FP382" s="532"/>
    </row>
    <row r="383" spans="1:172" ht="12" customHeight="1" x14ac:dyDescent="0.2">
      <c r="A383" s="533" t="s">
        <v>237</v>
      </c>
      <c r="B383" s="534" t="s">
        <v>238</v>
      </c>
      <c r="C383" s="208">
        <v>6</v>
      </c>
      <c r="D383" s="208">
        <v>1</v>
      </c>
      <c r="E383" s="208">
        <v>5</v>
      </c>
      <c r="F383" s="208">
        <v>6</v>
      </c>
      <c r="G383" s="208">
        <v>5</v>
      </c>
      <c r="H383" s="208">
        <v>4</v>
      </c>
      <c r="I383" s="208">
        <v>6</v>
      </c>
      <c r="J383" s="208">
        <v>5</v>
      </c>
      <c r="K383" s="208">
        <v>4</v>
      </c>
      <c r="L383" s="562">
        <v>7</v>
      </c>
      <c r="M383" s="562">
        <v>10</v>
      </c>
      <c r="N383" s="562">
        <v>2</v>
      </c>
      <c r="O383" s="530">
        <f>SUM(C383:N383)</f>
        <v>61</v>
      </c>
      <c r="P383" s="531"/>
      <c r="Q383" s="531"/>
      <c r="R383" s="531"/>
      <c r="S383" s="531"/>
      <c r="T383" s="531"/>
      <c r="U383" s="531"/>
      <c r="V383" s="531"/>
      <c r="W383" s="531"/>
      <c r="X383" s="531"/>
      <c r="Y383" s="531"/>
      <c r="Z383" s="531"/>
      <c r="AA383" s="531"/>
      <c r="AB383" s="531"/>
      <c r="AC383" s="531"/>
      <c r="AD383" s="531"/>
      <c r="AE383" s="531"/>
      <c r="AF383" s="531"/>
      <c r="AG383" s="531"/>
      <c r="AH383" s="532"/>
      <c r="AI383" s="532"/>
      <c r="AJ383" s="532"/>
      <c r="AK383" s="532"/>
      <c r="AL383" s="532"/>
      <c r="AM383" s="532"/>
      <c r="AN383" s="532"/>
      <c r="AO383" s="532"/>
      <c r="AP383" s="532"/>
      <c r="AQ383" s="532"/>
      <c r="AR383" s="532"/>
      <c r="AS383" s="532"/>
      <c r="AT383" s="532"/>
      <c r="AU383" s="532"/>
      <c r="AV383" s="532"/>
      <c r="AW383" s="532"/>
      <c r="AX383" s="532"/>
      <c r="AY383" s="532"/>
      <c r="AZ383" s="532"/>
      <c r="BA383" s="532"/>
      <c r="BB383" s="532"/>
      <c r="BC383" s="532"/>
      <c r="BD383" s="532"/>
      <c r="BE383" s="532"/>
      <c r="BF383" s="532"/>
      <c r="BG383" s="532"/>
      <c r="BH383" s="532"/>
      <c r="BI383" s="532"/>
      <c r="BJ383" s="532"/>
      <c r="BK383" s="532"/>
      <c r="BL383" s="532"/>
      <c r="BM383" s="532"/>
      <c r="BN383" s="532"/>
      <c r="BO383" s="532"/>
      <c r="BP383" s="532"/>
      <c r="BQ383" s="532"/>
      <c r="BR383" s="532"/>
      <c r="BS383" s="532"/>
      <c r="BT383" s="532"/>
      <c r="BU383" s="532"/>
      <c r="BV383" s="532"/>
      <c r="BW383" s="532"/>
      <c r="BX383" s="532"/>
      <c r="BY383" s="532"/>
      <c r="BZ383" s="532"/>
      <c r="CA383" s="532"/>
      <c r="CB383" s="532"/>
      <c r="CC383" s="532"/>
      <c r="CD383" s="532"/>
      <c r="CE383" s="532"/>
      <c r="CF383" s="532"/>
      <c r="CG383" s="532"/>
      <c r="CH383" s="532"/>
      <c r="CI383" s="532"/>
      <c r="CJ383" s="532"/>
      <c r="CK383" s="532"/>
      <c r="CL383" s="532"/>
      <c r="CM383" s="532"/>
      <c r="CN383" s="532"/>
      <c r="CO383" s="532"/>
      <c r="CP383" s="532"/>
      <c r="CQ383" s="532"/>
      <c r="CR383" s="532"/>
      <c r="CS383" s="532"/>
      <c r="CT383" s="532"/>
      <c r="CU383" s="532"/>
      <c r="CV383" s="532"/>
      <c r="CW383" s="532"/>
      <c r="CX383" s="532"/>
      <c r="CY383" s="532"/>
      <c r="CZ383" s="532"/>
      <c r="DA383" s="532"/>
      <c r="DB383" s="532"/>
      <c r="DC383" s="532"/>
      <c r="DD383" s="532"/>
      <c r="DE383" s="532"/>
      <c r="DF383" s="532"/>
      <c r="DG383" s="532"/>
      <c r="DH383" s="532"/>
      <c r="DI383" s="532"/>
      <c r="DJ383" s="532"/>
      <c r="DK383" s="532"/>
      <c r="DL383" s="532"/>
      <c r="DM383" s="532"/>
      <c r="DN383" s="532"/>
      <c r="DO383" s="532"/>
      <c r="DP383" s="532"/>
      <c r="DQ383" s="532"/>
      <c r="DR383" s="532"/>
      <c r="DS383" s="532"/>
      <c r="DT383" s="532"/>
      <c r="DU383" s="532"/>
      <c r="DV383" s="532"/>
      <c r="DW383" s="532"/>
      <c r="DX383" s="532"/>
      <c r="DY383" s="532"/>
      <c r="DZ383" s="532"/>
      <c r="EA383" s="532"/>
      <c r="EB383" s="532"/>
      <c r="EC383" s="532"/>
      <c r="ED383" s="532"/>
      <c r="EE383" s="532"/>
      <c r="EF383" s="532"/>
      <c r="EG383" s="532"/>
      <c r="EH383" s="532"/>
      <c r="EI383" s="532"/>
      <c r="EJ383" s="532"/>
      <c r="EK383" s="532"/>
      <c r="EL383" s="532"/>
      <c r="EM383" s="532"/>
      <c r="EN383" s="532"/>
      <c r="EO383" s="532"/>
      <c r="EP383" s="532"/>
      <c r="EQ383" s="532"/>
      <c r="ER383" s="532"/>
      <c r="ES383" s="532"/>
      <c r="ET383" s="532"/>
      <c r="EU383" s="532"/>
      <c r="EV383" s="532"/>
      <c r="EW383" s="532"/>
      <c r="EX383" s="532"/>
      <c r="EY383" s="532"/>
      <c r="EZ383" s="532"/>
      <c r="FA383" s="532"/>
      <c r="FB383" s="532"/>
      <c r="FC383" s="532"/>
      <c r="FD383" s="532"/>
      <c r="FE383" s="532"/>
      <c r="FF383" s="532"/>
      <c r="FG383" s="532"/>
      <c r="FH383" s="532"/>
      <c r="FI383" s="532"/>
      <c r="FJ383" s="532"/>
      <c r="FK383" s="532"/>
      <c r="FL383" s="532"/>
      <c r="FM383" s="532"/>
      <c r="FN383" s="532"/>
      <c r="FO383" s="532"/>
      <c r="FP383" s="532"/>
    </row>
    <row r="384" spans="1:172" ht="12" customHeight="1" x14ac:dyDescent="0.2">
      <c r="A384" s="533" t="s">
        <v>239</v>
      </c>
      <c r="B384" s="534" t="s">
        <v>240</v>
      </c>
      <c r="C384" s="208">
        <v>40</v>
      </c>
      <c r="D384" s="208">
        <v>46</v>
      </c>
      <c r="E384" s="208">
        <v>27</v>
      </c>
      <c r="F384" s="208">
        <v>29</v>
      </c>
      <c r="G384" s="208">
        <v>42</v>
      </c>
      <c r="H384" s="208">
        <v>36</v>
      </c>
      <c r="I384" s="208">
        <v>38</v>
      </c>
      <c r="J384" s="208">
        <v>49</v>
      </c>
      <c r="K384" s="208">
        <v>36</v>
      </c>
      <c r="L384" s="562">
        <v>36</v>
      </c>
      <c r="M384" s="562">
        <v>46</v>
      </c>
      <c r="N384" s="562">
        <v>35</v>
      </c>
      <c r="O384" s="530">
        <f>SUM(C384:N384)</f>
        <v>460</v>
      </c>
      <c r="P384" s="531"/>
      <c r="Q384" s="531"/>
      <c r="R384" s="531"/>
      <c r="S384" s="531"/>
      <c r="T384" s="531"/>
      <c r="U384" s="531"/>
      <c r="V384" s="531"/>
      <c r="W384" s="531"/>
      <c r="X384" s="531"/>
      <c r="Y384" s="531"/>
      <c r="Z384" s="531"/>
      <c r="AA384" s="531"/>
      <c r="AB384" s="531"/>
      <c r="AC384" s="531"/>
      <c r="AD384" s="531"/>
      <c r="AE384" s="531"/>
      <c r="AF384" s="531"/>
      <c r="AG384" s="531"/>
      <c r="AH384" s="532"/>
      <c r="AI384" s="532"/>
      <c r="AJ384" s="532"/>
      <c r="AK384" s="532"/>
      <c r="AL384" s="532"/>
      <c r="AM384" s="532"/>
      <c r="AN384" s="532"/>
      <c r="AO384" s="532"/>
      <c r="AP384" s="532"/>
      <c r="AQ384" s="532"/>
      <c r="AR384" s="532"/>
      <c r="AS384" s="532"/>
      <c r="AT384" s="532"/>
      <c r="AU384" s="532"/>
      <c r="AV384" s="532"/>
      <c r="AW384" s="532"/>
      <c r="AX384" s="532"/>
      <c r="AY384" s="532"/>
      <c r="AZ384" s="532"/>
      <c r="BA384" s="532"/>
      <c r="BB384" s="532"/>
      <c r="BC384" s="532"/>
      <c r="BD384" s="532"/>
      <c r="BE384" s="532"/>
      <c r="BF384" s="532"/>
      <c r="BG384" s="532"/>
      <c r="BH384" s="532"/>
      <c r="BI384" s="532"/>
      <c r="BJ384" s="532"/>
      <c r="BK384" s="532"/>
      <c r="BL384" s="532"/>
      <c r="BM384" s="532"/>
      <c r="BN384" s="532"/>
      <c r="BO384" s="532"/>
      <c r="BP384" s="532"/>
      <c r="BQ384" s="532"/>
      <c r="BR384" s="532"/>
      <c r="BS384" s="532"/>
      <c r="BT384" s="532"/>
      <c r="BU384" s="532"/>
      <c r="BV384" s="532"/>
      <c r="BW384" s="532"/>
      <c r="BX384" s="532"/>
      <c r="BY384" s="532"/>
      <c r="BZ384" s="532"/>
      <c r="CA384" s="532"/>
      <c r="CB384" s="532"/>
      <c r="CC384" s="532"/>
      <c r="CD384" s="532"/>
      <c r="CE384" s="532"/>
      <c r="CF384" s="532"/>
      <c r="CG384" s="532"/>
      <c r="CH384" s="532"/>
      <c r="CI384" s="532"/>
      <c r="CJ384" s="532"/>
      <c r="CK384" s="532"/>
      <c r="CL384" s="532"/>
      <c r="CM384" s="532"/>
      <c r="CN384" s="532"/>
      <c r="CO384" s="532"/>
      <c r="CP384" s="532"/>
      <c r="CQ384" s="532"/>
      <c r="CR384" s="532"/>
      <c r="CS384" s="532"/>
      <c r="CT384" s="532"/>
      <c r="CU384" s="532"/>
      <c r="CV384" s="532"/>
      <c r="CW384" s="532"/>
      <c r="CX384" s="532"/>
      <c r="CY384" s="532"/>
      <c r="CZ384" s="532"/>
      <c r="DA384" s="532"/>
      <c r="DB384" s="532"/>
      <c r="DC384" s="532"/>
      <c r="DD384" s="532"/>
      <c r="DE384" s="532"/>
      <c r="DF384" s="532"/>
      <c r="DG384" s="532"/>
      <c r="DH384" s="532"/>
      <c r="DI384" s="532"/>
      <c r="DJ384" s="532"/>
      <c r="DK384" s="532"/>
      <c r="DL384" s="532"/>
      <c r="DM384" s="532"/>
      <c r="DN384" s="532"/>
      <c r="DO384" s="532"/>
      <c r="DP384" s="532"/>
      <c r="DQ384" s="532"/>
      <c r="DR384" s="532"/>
      <c r="DS384" s="532"/>
      <c r="DT384" s="532"/>
      <c r="DU384" s="532"/>
      <c r="DV384" s="532"/>
      <c r="DW384" s="532"/>
      <c r="DX384" s="532"/>
      <c r="DY384" s="532"/>
      <c r="DZ384" s="532"/>
      <c r="EA384" s="532"/>
      <c r="EB384" s="532"/>
      <c r="EC384" s="532"/>
      <c r="ED384" s="532"/>
      <c r="EE384" s="532"/>
      <c r="EF384" s="532"/>
      <c r="EG384" s="532"/>
      <c r="EH384" s="532"/>
      <c r="EI384" s="532"/>
      <c r="EJ384" s="532"/>
      <c r="EK384" s="532"/>
      <c r="EL384" s="532"/>
      <c r="EM384" s="532"/>
      <c r="EN384" s="532"/>
      <c r="EO384" s="532"/>
      <c r="EP384" s="532"/>
      <c r="EQ384" s="532"/>
      <c r="ER384" s="532"/>
      <c r="ES384" s="532"/>
      <c r="ET384" s="532"/>
      <c r="EU384" s="532"/>
      <c r="EV384" s="532"/>
      <c r="EW384" s="532"/>
      <c r="EX384" s="532"/>
      <c r="EY384" s="532"/>
      <c r="EZ384" s="532"/>
      <c r="FA384" s="532"/>
      <c r="FB384" s="532"/>
      <c r="FC384" s="532"/>
      <c r="FD384" s="532"/>
      <c r="FE384" s="532"/>
      <c r="FF384" s="532"/>
      <c r="FG384" s="532"/>
      <c r="FH384" s="532"/>
      <c r="FI384" s="532"/>
      <c r="FJ384" s="532"/>
      <c r="FK384" s="532"/>
      <c r="FL384" s="532"/>
      <c r="FM384" s="532"/>
      <c r="FN384" s="532"/>
      <c r="FO384" s="532"/>
      <c r="FP384" s="532"/>
    </row>
    <row r="385" spans="1:172" ht="12" customHeight="1" x14ac:dyDescent="0.2">
      <c r="A385" s="533" t="s">
        <v>241</v>
      </c>
      <c r="B385" s="534"/>
      <c r="C385" s="208">
        <f t="shared" ref="C385:N385" si="176">SUM(C383:C384)</f>
        <v>46</v>
      </c>
      <c r="D385" s="208">
        <f t="shared" si="176"/>
        <v>47</v>
      </c>
      <c r="E385" s="208">
        <f t="shared" si="176"/>
        <v>32</v>
      </c>
      <c r="F385" s="208">
        <f t="shared" si="176"/>
        <v>35</v>
      </c>
      <c r="G385" s="208">
        <f t="shared" si="176"/>
        <v>47</v>
      </c>
      <c r="H385" s="208">
        <f t="shared" si="176"/>
        <v>40</v>
      </c>
      <c r="I385" s="208">
        <f t="shared" si="176"/>
        <v>44</v>
      </c>
      <c r="J385" s="208">
        <f t="shared" si="176"/>
        <v>54</v>
      </c>
      <c r="K385" s="208">
        <f t="shared" si="176"/>
        <v>40</v>
      </c>
      <c r="L385" s="562">
        <f t="shared" si="176"/>
        <v>43</v>
      </c>
      <c r="M385" s="562">
        <f t="shared" si="176"/>
        <v>56</v>
      </c>
      <c r="N385" s="562">
        <f t="shared" si="176"/>
        <v>37</v>
      </c>
      <c r="O385" s="530">
        <f>SUM(C385:N385)</f>
        <v>521</v>
      </c>
      <c r="P385" s="531"/>
      <c r="Q385" s="531"/>
      <c r="R385" s="531"/>
      <c r="S385" s="531"/>
      <c r="T385" s="531"/>
      <c r="U385" s="531"/>
      <c r="V385" s="531"/>
      <c r="W385" s="531"/>
      <c r="X385" s="531"/>
      <c r="Y385" s="531"/>
      <c r="Z385" s="531"/>
      <c r="AA385" s="531"/>
      <c r="AB385" s="531"/>
      <c r="AC385" s="531"/>
      <c r="AD385" s="531"/>
      <c r="AE385" s="531"/>
      <c r="AF385" s="531"/>
      <c r="AG385" s="531"/>
      <c r="AH385" s="532"/>
      <c r="AI385" s="532"/>
      <c r="AJ385" s="532"/>
      <c r="AK385" s="532"/>
      <c r="AL385" s="532"/>
      <c r="AM385" s="532"/>
      <c r="AN385" s="532"/>
      <c r="AO385" s="532"/>
      <c r="AP385" s="532"/>
      <c r="AQ385" s="532"/>
      <c r="AR385" s="532"/>
      <c r="AS385" s="532"/>
      <c r="AT385" s="532"/>
      <c r="AU385" s="532"/>
      <c r="AV385" s="532"/>
      <c r="AW385" s="532"/>
      <c r="AX385" s="532"/>
      <c r="AY385" s="532"/>
      <c r="AZ385" s="532"/>
      <c r="BA385" s="532"/>
      <c r="BB385" s="532"/>
      <c r="BC385" s="532"/>
      <c r="BD385" s="532"/>
      <c r="BE385" s="532"/>
      <c r="BF385" s="532"/>
      <c r="BG385" s="532"/>
      <c r="BH385" s="532"/>
      <c r="BI385" s="532"/>
      <c r="BJ385" s="532"/>
      <c r="BK385" s="532"/>
      <c r="BL385" s="532"/>
      <c r="BM385" s="532"/>
      <c r="BN385" s="532"/>
      <c r="BO385" s="532"/>
      <c r="BP385" s="532"/>
      <c r="BQ385" s="532"/>
      <c r="BR385" s="532"/>
      <c r="BS385" s="532"/>
      <c r="BT385" s="532"/>
      <c r="BU385" s="532"/>
      <c r="BV385" s="532"/>
      <c r="BW385" s="532"/>
      <c r="BX385" s="532"/>
      <c r="BY385" s="532"/>
      <c r="BZ385" s="532"/>
      <c r="CA385" s="532"/>
      <c r="CB385" s="532"/>
      <c r="CC385" s="532"/>
      <c r="CD385" s="532"/>
      <c r="CE385" s="532"/>
      <c r="CF385" s="532"/>
      <c r="CG385" s="532"/>
      <c r="CH385" s="532"/>
      <c r="CI385" s="532"/>
      <c r="CJ385" s="532"/>
      <c r="CK385" s="532"/>
      <c r="CL385" s="532"/>
      <c r="CM385" s="532"/>
      <c r="CN385" s="532"/>
      <c r="CO385" s="532"/>
      <c r="CP385" s="532"/>
      <c r="CQ385" s="532"/>
      <c r="CR385" s="532"/>
      <c r="CS385" s="532"/>
      <c r="CT385" s="532"/>
      <c r="CU385" s="532"/>
      <c r="CV385" s="532"/>
      <c r="CW385" s="532"/>
      <c r="CX385" s="532"/>
      <c r="CY385" s="532"/>
      <c r="CZ385" s="532"/>
      <c r="DA385" s="532"/>
      <c r="DB385" s="532"/>
      <c r="DC385" s="532"/>
      <c r="DD385" s="532"/>
      <c r="DE385" s="532"/>
      <c r="DF385" s="532"/>
      <c r="DG385" s="532"/>
      <c r="DH385" s="532"/>
      <c r="DI385" s="532"/>
      <c r="DJ385" s="532"/>
      <c r="DK385" s="532"/>
      <c r="DL385" s="532"/>
      <c r="DM385" s="532"/>
      <c r="DN385" s="532"/>
      <c r="DO385" s="532"/>
      <c r="DP385" s="532"/>
      <c r="DQ385" s="532"/>
      <c r="DR385" s="532"/>
      <c r="DS385" s="532"/>
      <c r="DT385" s="532"/>
      <c r="DU385" s="532"/>
      <c r="DV385" s="532"/>
      <c r="DW385" s="532"/>
      <c r="DX385" s="532"/>
      <c r="DY385" s="532"/>
      <c r="DZ385" s="532"/>
      <c r="EA385" s="532"/>
      <c r="EB385" s="532"/>
      <c r="EC385" s="532"/>
      <c r="ED385" s="532"/>
      <c r="EE385" s="532"/>
      <c r="EF385" s="532"/>
      <c r="EG385" s="532"/>
      <c r="EH385" s="532"/>
      <c r="EI385" s="532"/>
      <c r="EJ385" s="532"/>
      <c r="EK385" s="532"/>
      <c r="EL385" s="532"/>
      <c r="EM385" s="532"/>
      <c r="EN385" s="532"/>
      <c r="EO385" s="532"/>
      <c r="EP385" s="532"/>
      <c r="EQ385" s="532"/>
      <c r="ER385" s="532"/>
      <c r="ES385" s="532"/>
      <c r="ET385" s="532"/>
      <c r="EU385" s="532"/>
      <c r="EV385" s="532"/>
      <c r="EW385" s="532"/>
      <c r="EX385" s="532"/>
      <c r="EY385" s="532"/>
      <c r="EZ385" s="532"/>
      <c r="FA385" s="532"/>
      <c r="FB385" s="532"/>
      <c r="FC385" s="532"/>
      <c r="FD385" s="532"/>
      <c r="FE385" s="532"/>
      <c r="FF385" s="532"/>
      <c r="FG385" s="532"/>
      <c r="FH385" s="532"/>
      <c r="FI385" s="532"/>
      <c r="FJ385" s="532"/>
      <c r="FK385" s="532"/>
      <c r="FL385" s="532"/>
      <c r="FM385" s="532"/>
      <c r="FN385" s="532"/>
      <c r="FO385" s="532"/>
      <c r="FP385" s="532"/>
    </row>
    <row r="386" spans="1:172" ht="12" customHeight="1" x14ac:dyDescent="0.2">
      <c r="A386" s="533"/>
      <c r="B386" s="534"/>
      <c r="C386" s="534"/>
      <c r="D386" s="534"/>
      <c r="E386" s="534"/>
      <c r="F386" s="534"/>
      <c r="G386" s="534"/>
      <c r="H386" s="534"/>
      <c r="I386" s="534"/>
      <c r="J386" s="534"/>
      <c r="K386" s="658"/>
      <c r="L386" s="562"/>
      <c r="M386" s="562"/>
      <c r="N386" s="562"/>
      <c r="O386" s="530"/>
      <c r="P386" s="531"/>
      <c r="Q386" s="531"/>
      <c r="R386" s="531"/>
      <c r="S386" s="531"/>
      <c r="T386" s="531"/>
      <c r="U386" s="531"/>
      <c r="V386" s="531"/>
      <c r="W386" s="531"/>
      <c r="X386" s="531"/>
      <c r="Y386" s="531"/>
      <c r="Z386" s="531"/>
      <c r="AA386" s="531"/>
      <c r="AB386" s="531"/>
      <c r="AC386" s="531"/>
      <c r="AD386" s="531"/>
      <c r="AE386" s="531"/>
      <c r="AF386" s="531"/>
      <c r="AG386" s="531"/>
      <c r="AH386" s="532"/>
      <c r="AI386" s="532"/>
      <c r="AJ386" s="532"/>
      <c r="AK386" s="532"/>
      <c r="AL386" s="532"/>
      <c r="AM386" s="532"/>
      <c r="AN386" s="532"/>
      <c r="AO386" s="532"/>
      <c r="AP386" s="532"/>
      <c r="AQ386" s="532"/>
      <c r="AR386" s="532"/>
      <c r="AS386" s="532"/>
      <c r="AT386" s="532"/>
      <c r="AU386" s="532"/>
      <c r="AV386" s="532"/>
      <c r="AW386" s="532"/>
      <c r="AX386" s="532"/>
      <c r="AY386" s="532"/>
      <c r="AZ386" s="532"/>
      <c r="BA386" s="532"/>
      <c r="BB386" s="532"/>
      <c r="BC386" s="532"/>
      <c r="BD386" s="532"/>
      <c r="BE386" s="532"/>
      <c r="BF386" s="532"/>
      <c r="BG386" s="532"/>
      <c r="BH386" s="532"/>
      <c r="BI386" s="532"/>
      <c r="BJ386" s="532"/>
      <c r="BK386" s="532"/>
      <c r="BL386" s="532"/>
      <c r="BM386" s="532"/>
      <c r="BN386" s="532"/>
      <c r="BO386" s="532"/>
      <c r="BP386" s="532"/>
      <c r="BQ386" s="532"/>
      <c r="BR386" s="532"/>
      <c r="BS386" s="532"/>
      <c r="BT386" s="532"/>
      <c r="BU386" s="532"/>
      <c r="BV386" s="532"/>
      <c r="BW386" s="532"/>
      <c r="BX386" s="532"/>
      <c r="BY386" s="532"/>
      <c r="BZ386" s="532"/>
      <c r="CA386" s="532"/>
      <c r="CB386" s="532"/>
      <c r="CC386" s="532"/>
      <c r="CD386" s="532"/>
      <c r="CE386" s="532"/>
      <c r="CF386" s="532"/>
      <c r="CG386" s="532"/>
      <c r="CH386" s="532"/>
      <c r="CI386" s="532"/>
      <c r="CJ386" s="532"/>
      <c r="CK386" s="532"/>
      <c r="CL386" s="532"/>
      <c r="CM386" s="532"/>
      <c r="CN386" s="532"/>
      <c r="CO386" s="532"/>
      <c r="CP386" s="532"/>
      <c r="CQ386" s="532"/>
      <c r="CR386" s="532"/>
      <c r="CS386" s="532"/>
      <c r="CT386" s="532"/>
      <c r="CU386" s="532"/>
      <c r="CV386" s="532"/>
      <c r="CW386" s="532"/>
      <c r="CX386" s="532"/>
      <c r="CY386" s="532"/>
      <c r="CZ386" s="532"/>
      <c r="DA386" s="532"/>
      <c r="DB386" s="532"/>
      <c r="DC386" s="532"/>
      <c r="DD386" s="532"/>
      <c r="DE386" s="532"/>
      <c r="DF386" s="532"/>
      <c r="DG386" s="532"/>
      <c r="DH386" s="532"/>
      <c r="DI386" s="532"/>
      <c r="DJ386" s="532"/>
      <c r="DK386" s="532"/>
      <c r="DL386" s="532"/>
      <c r="DM386" s="532"/>
      <c r="DN386" s="532"/>
      <c r="DO386" s="532"/>
      <c r="DP386" s="532"/>
      <c r="DQ386" s="532"/>
      <c r="DR386" s="532"/>
      <c r="DS386" s="532"/>
      <c r="DT386" s="532"/>
      <c r="DU386" s="532"/>
      <c r="DV386" s="532"/>
      <c r="DW386" s="532"/>
      <c r="DX386" s="532"/>
      <c r="DY386" s="532"/>
      <c r="DZ386" s="532"/>
      <c r="EA386" s="532"/>
      <c r="EB386" s="532"/>
      <c r="EC386" s="532"/>
      <c r="ED386" s="532"/>
      <c r="EE386" s="532"/>
      <c r="EF386" s="532"/>
      <c r="EG386" s="532"/>
      <c r="EH386" s="532"/>
      <c r="EI386" s="532"/>
      <c r="EJ386" s="532"/>
      <c r="EK386" s="532"/>
      <c r="EL386" s="532"/>
      <c r="EM386" s="532"/>
      <c r="EN386" s="532"/>
      <c r="EO386" s="532"/>
      <c r="EP386" s="532"/>
      <c r="EQ386" s="532"/>
      <c r="ER386" s="532"/>
      <c r="ES386" s="532"/>
      <c r="ET386" s="532"/>
      <c r="EU386" s="532"/>
      <c r="EV386" s="532"/>
      <c r="EW386" s="532"/>
      <c r="EX386" s="532"/>
      <c r="EY386" s="532"/>
      <c r="EZ386" s="532"/>
      <c r="FA386" s="532"/>
      <c r="FB386" s="532"/>
      <c r="FC386" s="532"/>
      <c r="FD386" s="532"/>
      <c r="FE386" s="532"/>
      <c r="FF386" s="532"/>
      <c r="FG386" s="532"/>
      <c r="FH386" s="532"/>
      <c r="FI386" s="532"/>
      <c r="FJ386" s="532"/>
      <c r="FK386" s="532"/>
      <c r="FL386" s="532"/>
      <c r="FM386" s="532"/>
      <c r="FN386" s="532"/>
      <c r="FO386" s="532"/>
      <c r="FP386" s="532"/>
    </row>
    <row r="387" spans="1:172" ht="12" customHeight="1" x14ac:dyDescent="0.2">
      <c r="A387" s="533" t="s">
        <v>242</v>
      </c>
      <c r="B387" s="534" t="s">
        <v>243</v>
      </c>
      <c r="C387" s="208">
        <v>2263</v>
      </c>
      <c r="D387" s="208">
        <v>2291</v>
      </c>
      <c r="E387" s="208">
        <v>1469</v>
      </c>
      <c r="F387" s="208">
        <v>1643</v>
      </c>
      <c r="G387" s="208">
        <v>2345</v>
      </c>
      <c r="H387" s="208">
        <v>2003</v>
      </c>
      <c r="I387" s="208">
        <v>2150</v>
      </c>
      <c r="J387" s="208">
        <v>3191</v>
      </c>
      <c r="K387" s="208">
        <v>2463</v>
      </c>
      <c r="L387" s="562">
        <v>2398</v>
      </c>
      <c r="M387" s="562">
        <v>3477</v>
      </c>
      <c r="N387" s="562">
        <v>1994</v>
      </c>
      <c r="O387" s="530">
        <f>SUM(C387:N387)</f>
        <v>27687</v>
      </c>
      <c r="P387" s="531"/>
      <c r="Q387" s="531"/>
      <c r="R387" s="531"/>
      <c r="S387" s="531"/>
      <c r="T387" s="531"/>
      <c r="U387" s="531"/>
      <c r="V387" s="531"/>
      <c r="W387" s="531"/>
      <c r="X387" s="531"/>
      <c r="Y387" s="531"/>
      <c r="Z387" s="531"/>
      <c r="AA387" s="531"/>
      <c r="AB387" s="531"/>
      <c r="AC387" s="531"/>
      <c r="AD387" s="531"/>
      <c r="AE387" s="531"/>
      <c r="AF387" s="531"/>
      <c r="AG387" s="531"/>
      <c r="AH387" s="532"/>
      <c r="AI387" s="532"/>
      <c r="AJ387" s="532"/>
      <c r="AK387" s="532"/>
      <c r="AL387" s="532"/>
      <c r="AM387" s="532"/>
      <c r="AN387" s="532"/>
      <c r="AO387" s="532"/>
      <c r="AP387" s="532"/>
      <c r="AQ387" s="532"/>
      <c r="AR387" s="532"/>
      <c r="AS387" s="532"/>
      <c r="AT387" s="532"/>
      <c r="AU387" s="532"/>
      <c r="AV387" s="532"/>
      <c r="AW387" s="532"/>
      <c r="AX387" s="532"/>
      <c r="AY387" s="532"/>
      <c r="AZ387" s="532"/>
      <c r="BA387" s="532"/>
      <c r="BB387" s="532"/>
      <c r="BC387" s="532"/>
      <c r="BD387" s="532"/>
      <c r="BE387" s="532"/>
      <c r="BF387" s="532"/>
      <c r="BG387" s="532"/>
      <c r="BH387" s="532"/>
      <c r="BI387" s="532"/>
      <c r="BJ387" s="532"/>
      <c r="BK387" s="532"/>
      <c r="BL387" s="532"/>
      <c r="BM387" s="532"/>
      <c r="BN387" s="532"/>
      <c r="BO387" s="532"/>
      <c r="BP387" s="532"/>
      <c r="BQ387" s="532"/>
      <c r="BR387" s="532"/>
      <c r="BS387" s="532"/>
      <c r="BT387" s="532"/>
      <c r="BU387" s="532"/>
      <c r="BV387" s="532"/>
      <c r="BW387" s="532"/>
      <c r="BX387" s="532"/>
      <c r="BY387" s="532"/>
      <c r="BZ387" s="532"/>
      <c r="CA387" s="532"/>
      <c r="CB387" s="532"/>
      <c r="CC387" s="532"/>
      <c r="CD387" s="532"/>
      <c r="CE387" s="532"/>
      <c r="CF387" s="532"/>
      <c r="CG387" s="532"/>
      <c r="CH387" s="532"/>
      <c r="CI387" s="532"/>
      <c r="CJ387" s="532"/>
      <c r="CK387" s="532"/>
      <c r="CL387" s="532"/>
      <c r="CM387" s="532"/>
      <c r="CN387" s="532"/>
      <c r="CO387" s="532"/>
      <c r="CP387" s="532"/>
      <c r="CQ387" s="532"/>
      <c r="CR387" s="532"/>
      <c r="CS387" s="532"/>
      <c r="CT387" s="532"/>
      <c r="CU387" s="532"/>
      <c r="CV387" s="532"/>
      <c r="CW387" s="532"/>
      <c r="CX387" s="532"/>
      <c r="CY387" s="532"/>
      <c r="CZ387" s="532"/>
      <c r="DA387" s="532"/>
      <c r="DB387" s="532"/>
      <c r="DC387" s="532"/>
      <c r="DD387" s="532"/>
      <c r="DE387" s="532"/>
      <c r="DF387" s="532"/>
      <c r="DG387" s="532"/>
      <c r="DH387" s="532"/>
      <c r="DI387" s="532"/>
      <c r="DJ387" s="532"/>
      <c r="DK387" s="532"/>
      <c r="DL387" s="532"/>
      <c r="DM387" s="532"/>
      <c r="DN387" s="532"/>
      <c r="DO387" s="532"/>
      <c r="DP387" s="532"/>
      <c r="DQ387" s="532"/>
      <c r="DR387" s="532"/>
      <c r="DS387" s="532"/>
      <c r="DT387" s="532"/>
      <c r="DU387" s="532"/>
      <c r="DV387" s="532"/>
      <c r="DW387" s="532"/>
      <c r="DX387" s="532"/>
      <c r="DY387" s="532"/>
      <c r="DZ387" s="532"/>
      <c r="EA387" s="532"/>
      <c r="EB387" s="532"/>
      <c r="EC387" s="532"/>
      <c r="ED387" s="532"/>
      <c r="EE387" s="532"/>
      <c r="EF387" s="532"/>
      <c r="EG387" s="532"/>
      <c r="EH387" s="532"/>
      <c r="EI387" s="532"/>
      <c r="EJ387" s="532"/>
      <c r="EK387" s="532"/>
      <c r="EL387" s="532"/>
      <c r="EM387" s="532"/>
      <c r="EN387" s="532"/>
      <c r="EO387" s="532"/>
      <c r="EP387" s="532"/>
      <c r="EQ387" s="532"/>
      <c r="ER387" s="532"/>
      <c r="ES387" s="532"/>
      <c r="ET387" s="532"/>
      <c r="EU387" s="532"/>
      <c r="EV387" s="532"/>
      <c r="EW387" s="532"/>
      <c r="EX387" s="532"/>
      <c r="EY387" s="532"/>
      <c r="EZ387" s="532"/>
      <c r="FA387" s="532"/>
      <c r="FB387" s="532"/>
      <c r="FC387" s="532"/>
      <c r="FD387" s="532"/>
      <c r="FE387" s="532"/>
      <c r="FF387" s="532"/>
      <c r="FG387" s="532"/>
      <c r="FH387" s="532"/>
      <c r="FI387" s="532"/>
      <c r="FJ387" s="532"/>
      <c r="FK387" s="532"/>
      <c r="FL387" s="532"/>
      <c r="FM387" s="532"/>
      <c r="FN387" s="532"/>
      <c r="FO387" s="532"/>
      <c r="FP387" s="532"/>
    </row>
    <row r="388" spans="1:172" ht="12" customHeight="1" x14ac:dyDescent="0.2">
      <c r="A388" s="533"/>
      <c r="B388" s="534"/>
      <c r="C388" s="534"/>
      <c r="D388" s="534"/>
      <c r="E388" s="534"/>
      <c r="F388" s="534"/>
      <c r="G388" s="534"/>
      <c r="H388" s="534"/>
      <c r="I388" s="534"/>
      <c r="J388" s="534"/>
      <c r="K388" s="658"/>
      <c r="L388" s="562"/>
      <c r="M388" s="562"/>
      <c r="N388" s="562"/>
      <c r="O388" s="530"/>
      <c r="P388" s="531"/>
      <c r="Q388" s="531"/>
      <c r="R388" s="531"/>
      <c r="S388" s="531"/>
      <c r="T388" s="531"/>
      <c r="U388" s="531"/>
      <c r="V388" s="531"/>
      <c r="W388" s="531"/>
      <c r="X388" s="531"/>
      <c r="Y388" s="531"/>
      <c r="Z388" s="531"/>
      <c r="AA388" s="531"/>
      <c r="AB388" s="531"/>
      <c r="AC388" s="531"/>
      <c r="AD388" s="531"/>
      <c r="AE388" s="531"/>
      <c r="AF388" s="531"/>
      <c r="AG388" s="531"/>
      <c r="AH388" s="532"/>
      <c r="AI388" s="532"/>
      <c r="AJ388" s="532"/>
      <c r="AK388" s="532"/>
      <c r="AL388" s="532"/>
      <c r="AM388" s="532"/>
      <c r="AN388" s="532"/>
      <c r="AO388" s="532"/>
      <c r="AP388" s="532"/>
      <c r="AQ388" s="532"/>
      <c r="AR388" s="532"/>
      <c r="AS388" s="532"/>
      <c r="AT388" s="532"/>
      <c r="AU388" s="532"/>
      <c r="AV388" s="532"/>
      <c r="AW388" s="532"/>
      <c r="AX388" s="532"/>
      <c r="AY388" s="532"/>
      <c r="AZ388" s="532"/>
      <c r="BA388" s="532"/>
      <c r="BB388" s="532"/>
      <c r="BC388" s="532"/>
      <c r="BD388" s="532"/>
      <c r="BE388" s="532"/>
      <c r="BF388" s="532"/>
      <c r="BG388" s="532"/>
      <c r="BH388" s="532"/>
      <c r="BI388" s="532"/>
      <c r="BJ388" s="532"/>
      <c r="BK388" s="532"/>
      <c r="BL388" s="532"/>
      <c r="BM388" s="532"/>
      <c r="BN388" s="532"/>
      <c r="BO388" s="532"/>
      <c r="BP388" s="532"/>
      <c r="BQ388" s="532"/>
      <c r="BR388" s="532"/>
      <c r="BS388" s="532"/>
      <c r="BT388" s="532"/>
      <c r="BU388" s="532"/>
      <c r="BV388" s="532"/>
      <c r="BW388" s="532"/>
      <c r="BX388" s="532"/>
      <c r="BY388" s="532"/>
      <c r="BZ388" s="532"/>
      <c r="CA388" s="532"/>
      <c r="CB388" s="532"/>
      <c r="CC388" s="532"/>
      <c r="CD388" s="532"/>
      <c r="CE388" s="532"/>
      <c r="CF388" s="532"/>
      <c r="CG388" s="532"/>
      <c r="CH388" s="532"/>
      <c r="CI388" s="532"/>
      <c r="CJ388" s="532"/>
      <c r="CK388" s="532"/>
      <c r="CL388" s="532"/>
      <c r="CM388" s="532"/>
      <c r="CN388" s="532"/>
      <c r="CO388" s="532"/>
      <c r="CP388" s="532"/>
      <c r="CQ388" s="532"/>
      <c r="CR388" s="532"/>
      <c r="CS388" s="532"/>
      <c r="CT388" s="532"/>
      <c r="CU388" s="532"/>
      <c r="CV388" s="532"/>
      <c r="CW388" s="532"/>
      <c r="CX388" s="532"/>
      <c r="CY388" s="532"/>
      <c r="CZ388" s="532"/>
      <c r="DA388" s="532"/>
      <c r="DB388" s="532"/>
      <c r="DC388" s="532"/>
      <c r="DD388" s="532"/>
      <c r="DE388" s="532"/>
      <c r="DF388" s="532"/>
      <c r="DG388" s="532"/>
      <c r="DH388" s="532"/>
      <c r="DI388" s="532"/>
      <c r="DJ388" s="532"/>
      <c r="DK388" s="532"/>
      <c r="DL388" s="532"/>
      <c r="DM388" s="532"/>
      <c r="DN388" s="532"/>
      <c r="DO388" s="532"/>
      <c r="DP388" s="532"/>
      <c r="DQ388" s="532"/>
      <c r="DR388" s="532"/>
      <c r="DS388" s="532"/>
      <c r="DT388" s="532"/>
      <c r="DU388" s="532"/>
      <c r="DV388" s="532"/>
      <c r="DW388" s="532"/>
      <c r="DX388" s="532"/>
      <c r="DY388" s="532"/>
      <c r="DZ388" s="532"/>
      <c r="EA388" s="532"/>
      <c r="EB388" s="532"/>
      <c r="EC388" s="532"/>
      <c r="ED388" s="532"/>
      <c r="EE388" s="532"/>
      <c r="EF388" s="532"/>
      <c r="EG388" s="532"/>
      <c r="EH388" s="532"/>
      <c r="EI388" s="532"/>
      <c r="EJ388" s="532"/>
      <c r="EK388" s="532"/>
      <c r="EL388" s="532"/>
      <c r="EM388" s="532"/>
      <c r="EN388" s="532"/>
      <c r="EO388" s="532"/>
      <c r="EP388" s="532"/>
      <c r="EQ388" s="532"/>
      <c r="ER388" s="532"/>
      <c r="ES388" s="532"/>
      <c r="ET388" s="532"/>
      <c r="EU388" s="532"/>
      <c r="EV388" s="532"/>
      <c r="EW388" s="532"/>
      <c r="EX388" s="532"/>
      <c r="EY388" s="532"/>
      <c r="EZ388" s="532"/>
      <c r="FA388" s="532"/>
      <c r="FB388" s="532"/>
      <c r="FC388" s="532"/>
      <c r="FD388" s="532"/>
      <c r="FE388" s="532"/>
      <c r="FF388" s="532"/>
      <c r="FG388" s="532"/>
      <c r="FH388" s="532"/>
      <c r="FI388" s="532"/>
      <c r="FJ388" s="532"/>
      <c r="FK388" s="532"/>
      <c r="FL388" s="532"/>
      <c r="FM388" s="532"/>
      <c r="FN388" s="532"/>
      <c r="FO388" s="532"/>
      <c r="FP388" s="532"/>
    </row>
    <row r="389" spans="1:172" ht="12" customHeight="1" x14ac:dyDescent="0.2">
      <c r="A389" s="533" t="s">
        <v>244</v>
      </c>
      <c r="B389" s="534" t="s">
        <v>245</v>
      </c>
      <c r="C389" s="208">
        <v>46</v>
      </c>
      <c r="D389" s="208">
        <v>47</v>
      </c>
      <c r="E389" s="208">
        <v>31</v>
      </c>
      <c r="F389" s="208">
        <v>35</v>
      </c>
      <c r="G389" s="208">
        <v>47</v>
      </c>
      <c r="H389" s="208">
        <v>40</v>
      </c>
      <c r="I389" s="208">
        <v>41</v>
      </c>
      <c r="J389" s="208">
        <v>53</v>
      </c>
      <c r="K389" s="208">
        <v>37</v>
      </c>
      <c r="L389" s="562">
        <v>42</v>
      </c>
      <c r="M389" s="562">
        <v>48</v>
      </c>
      <c r="N389" s="562">
        <v>36</v>
      </c>
      <c r="O389" s="530">
        <f>SUM(C389:N389)</f>
        <v>503</v>
      </c>
      <c r="P389" s="531"/>
      <c r="Q389" s="531"/>
      <c r="R389" s="531"/>
      <c r="S389" s="531"/>
      <c r="T389" s="531"/>
      <c r="U389" s="531"/>
      <c r="V389" s="531"/>
      <c r="W389" s="531"/>
      <c r="X389" s="531"/>
      <c r="Y389" s="531"/>
      <c r="Z389" s="531"/>
      <c r="AA389" s="531"/>
      <c r="AB389" s="531"/>
      <c r="AC389" s="531"/>
      <c r="AD389" s="531"/>
      <c r="AE389" s="531"/>
      <c r="AF389" s="531"/>
      <c r="AG389" s="531"/>
      <c r="AH389" s="532"/>
      <c r="AI389" s="532"/>
      <c r="AJ389" s="532"/>
      <c r="AK389" s="532"/>
      <c r="AL389" s="532"/>
      <c r="AM389" s="532"/>
      <c r="AN389" s="532"/>
      <c r="AO389" s="532"/>
      <c r="AP389" s="532"/>
      <c r="AQ389" s="532"/>
      <c r="AR389" s="532"/>
      <c r="AS389" s="532"/>
      <c r="AT389" s="532"/>
      <c r="AU389" s="532"/>
      <c r="AV389" s="532"/>
      <c r="AW389" s="532"/>
      <c r="AX389" s="532"/>
      <c r="AY389" s="532"/>
      <c r="AZ389" s="532"/>
      <c r="BA389" s="532"/>
      <c r="BB389" s="532"/>
      <c r="BC389" s="532"/>
      <c r="BD389" s="532"/>
      <c r="BE389" s="532"/>
      <c r="BF389" s="532"/>
      <c r="BG389" s="532"/>
      <c r="BH389" s="532"/>
      <c r="BI389" s="532"/>
      <c r="BJ389" s="532"/>
      <c r="BK389" s="532"/>
      <c r="BL389" s="532"/>
      <c r="BM389" s="532"/>
      <c r="BN389" s="532"/>
      <c r="BO389" s="532"/>
      <c r="BP389" s="532"/>
      <c r="BQ389" s="532"/>
      <c r="BR389" s="532"/>
      <c r="BS389" s="532"/>
      <c r="BT389" s="532"/>
      <c r="BU389" s="532"/>
      <c r="BV389" s="532"/>
      <c r="BW389" s="532"/>
      <c r="BX389" s="532"/>
      <c r="BY389" s="532"/>
      <c r="BZ389" s="532"/>
      <c r="CA389" s="532"/>
      <c r="CB389" s="532"/>
      <c r="CC389" s="532"/>
      <c r="CD389" s="532"/>
      <c r="CE389" s="532"/>
      <c r="CF389" s="532"/>
      <c r="CG389" s="532"/>
      <c r="CH389" s="532"/>
      <c r="CI389" s="532"/>
      <c r="CJ389" s="532"/>
      <c r="CK389" s="532"/>
      <c r="CL389" s="532"/>
      <c r="CM389" s="532"/>
      <c r="CN389" s="532"/>
      <c r="CO389" s="532"/>
      <c r="CP389" s="532"/>
      <c r="CQ389" s="532"/>
      <c r="CR389" s="532"/>
      <c r="CS389" s="532"/>
      <c r="CT389" s="532"/>
      <c r="CU389" s="532"/>
      <c r="CV389" s="532"/>
      <c r="CW389" s="532"/>
      <c r="CX389" s="532"/>
      <c r="CY389" s="532"/>
      <c r="CZ389" s="532"/>
      <c r="DA389" s="532"/>
      <c r="DB389" s="532"/>
      <c r="DC389" s="532"/>
      <c r="DD389" s="532"/>
      <c r="DE389" s="532"/>
      <c r="DF389" s="532"/>
      <c r="DG389" s="532"/>
      <c r="DH389" s="532"/>
      <c r="DI389" s="532"/>
      <c r="DJ389" s="532"/>
      <c r="DK389" s="532"/>
      <c r="DL389" s="532"/>
      <c r="DM389" s="532"/>
      <c r="DN389" s="532"/>
      <c r="DO389" s="532"/>
      <c r="DP389" s="532"/>
      <c r="DQ389" s="532"/>
      <c r="DR389" s="532"/>
      <c r="DS389" s="532"/>
      <c r="DT389" s="532"/>
      <c r="DU389" s="532"/>
      <c r="DV389" s="532"/>
      <c r="DW389" s="532"/>
      <c r="DX389" s="532"/>
      <c r="DY389" s="532"/>
      <c r="DZ389" s="532"/>
      <c r="EA389" s="532"/>
      <c r="EB389" s="532"/>
      <c r="EC389" s="532"/>
      <c r="ED389" s="532"/>
      <c r="EE389" s="532"/>
      <c r="EF389" s="532"/>
      <c r="EG389" s="532"/>
      <c r="EH389" s="532"/>
      <c r="EI389" s="532"/>
      <c r="EJ389" s="532"/>
      <c r="EK389" s="532"/>
      <c r="EL389" s="532"/>
      <c r="EM389" s="532"/>
      <c r="EN389" s="532"/>
      <c r="EO389" s="532"/>
      <c r="EP389" s="532"/>
      <c r="EQ389" s="532"/>
      <c r="ER389" s="532"/>
      <c r="ES389" s="532"/>
      <c r="ET389" s="532"/>
      <c r="EU389" s="532"/>
      <c r="EV389" s="532"/>
      <c r="EW389" s="532"/>
      <c r="EX389" s="532"/>
      <c r="EY389" s="532"/>
      <c r="EZ389" s="532"/>
      <c r="FA389" s="532"/>
      <c r="FB389" s="532"/>
      <c r="FC389" s="532"/>
      <c r="FD389" s="532"/>
      <c r="FE389" s="532"/>
      <c r="FF389" s="532"/>
      <c r="FG389" s="532"/>
      <c r="FH389" s="532"/>
      <c r="FI389" s="532"/>
      <c r="FJ389" s="532"/>
      <c r="FK389" s="532"/>
      <c r="FL389" s="532"/>
      <c r="FM389" s="532"/>
      <c r="FN389" s="532"/>
      <c r="FO389" s="532"/>
      <c r="FP389" s="532"/>
    </row>
    <row r="390" spans="1:172" ht="12" customHeight="1" x14ac:dyDescent="0.2">
      <c r="A390" s="533" t="s">
        <v>246</v>
      </c>
      <c r="B390" s="534" t="s">
        <v>247</v>
      </c>
      <c r="C390" s="208">
        <v>1592</v>
      </c>
      <c r="D390" s="208">
        <v>1812</v>
      </c>
      <c r="E390" s="208">
        <v>1249</v>
      </c>
      <c r="F390" s="208">
        <v>1632</v>
      </c>
      <c r="G390" s="208">
        <v>1709</v>
      </c>
      <c r="H390" s="208">
        <v>2073</v>
      </c>
      <c r="I390" s="208">
        <v>1403</v>
      </c>
      <c r="J390" s="208">
        <v>2186</v>
      </c>
      <c r="K390" s="208">
        <v>2042</v>
      </c>
      <c r="L390" s="562">
        <v>1708</v>
      </c>
      <c r="M390" s="562">
        <v>2567</v>
      </c>
      <c r="N390" s="562">
        <v>1422</v>
      </c>
      <c r="O390" s="530">
        <f>SUM(C390:N390)</f>
        <v>21395</v>
      </c>
      <c r="P390" s="531"/>
      <c r="Q390" s="531"/>
      <c r="R390" s="531"/>
      <c r="S390" s="531"/>
      <c r="T390" s="531"/>
      <c r="U390" s="531"/>
      <c r="V390" s="531"/>
      <c r="W390" s="531"/>
      <c r="X390" s="531"/>
      <c r="Y390" s="531"/>
      <c r="Z390" s="531"/>
      <c r="AA390" s="531"/>
      <c r="AB390" s="531"/>
      <c r="AC390" s="531"/>
      <c r="AD390" s="531"/>
      <c r="AE390" s="531"/>
      <c r="AF390" s="531"/>
      <c r="AG390" s="531"/>
      <c r="AH390" s="532"/>
      <c r="AI390" s="532"/>
      <c r="AJ390" s="532"/>
      <c r="AK390" s="532"/>
      <c r="AL390" s="532"/>
      <c r="AM390" s="532"/>
      <c r="AN390" s="532"/>
      <c r="AO390" s="532"/>
      <c r="AP390" s="532"/>
      <c r="AQ390" s="532"/>
      <c r="AR390" s="532"/>
      <c r="AS390" s="532"/>
      <c r="AT390" s="532"/>
      <c r="AU390" s="532"/>
      <c r="AV390" s="532"/>
      <c r="AW390" s="532"/>
      <c r="AX390" s="532"/>
      <c r="AY390" s="532"/>
      <c r="AZ390" s="532"/>
      <c r="BA390" s="532"/>
      <c r="BB390" s="532"/>
      <c r="BC390" s="532"/>
      <c r="BD390" s="532"/>
      <c r="BE390" s="532"/>
      <c r="BF390" s="532"/>
      <c r="BG390" s="532"/>
      <c r="BH390" s="532"/>
      <c r="BI390" s="532"/>
      <c r="BJ390" s="532"/>
      <c r="BK390" s="532"/>
      <c r="BL390" s="532"/>
      <c r="BM390" s="532"/>
      <c r="BN390" s="532"/>
      <c r="BO390" s="532"/>
      <c r="BP390" s="532"/>
      <c r="BQ390" s="532"/>
      <c r="BR390" s="532"/>
      <c r="BS390" s="532"/>
      <c r="BT390" s="532"/>
      <c r="BU390" s="532"/>
      <c r="BV390" s="532"/>
      <c r="BW390" s="532"/>
      <c r="BX390" s="532"/>
      <c r="BY390" s="532"/>
      <c r="BZ390" s="532"/>
      <c r="CA390" s="532"/>
      <c r="CB390" s="532"/>
      <c r="CC390" s="532"/>
      <c r="CD390" s="532"/>
      <c r="CE390" s="532"/>
      <c r="CF390" s="532"/>
      <c r="CG390" s="532"/>
      <c r="CH390" s="532"/>
      <c r="CI390" s="532"/>
      <c r="CJ390" s="532"/>
      <c r="CK390" s="532"/>
      <c r="CL390" s="532"/>
      <c r="CM390" s="532"/>
      <c r="CN390" s="532"/>
      <c r="CO390" s="532"/>
      <c r="CP390" s="532"/>
      <c r="CQ390" s="532"/>
      <c r="CR390" s="532"/>
      <c r="CS390" s="532"/>
      <c r="CT390" s="532"/>
      <c r="CU390" s="532"/>
      <c r="CV390" s="532"/>
      <c r="CW390" s="532"/>
      <c r="CX390" s="532"/>
      <c r="CY390" s="532"/>
      <c r="CZ390" s="532"/>
      <c r="DA390" s="532"/>
      <c r="DB390" s="532"/>
      <c r="DC390" s="532"/>
      <c r="DD390" s="532"/>
      <c r="DE390" s="532"/>
      <c r="DF390" s="532"/>
      <c r="DG390" s="532"/>
      <c r="DH390" s="532"/>
      <c r="DI390" s="532"/>
      <c r="DJ390" s="532"/>
      <c r="DK390" s="532"/>
      <c r="DL390" s="532"/>
      <c r="DM390" s="532"/>
      <c r="DN390" s="532"/>
      <c r="DO390" s="532"/>
      <c r="DP390" s="532"/>
      <c r="DQ390" s="532"/>
      <c r="DR390" s="532"/>
      <c r="DS390" s="532"/>
      <c r="DT390" s="532"/>
      <c r="DU390" s="532"/>
      <c r="DV390" s="532"/>
      <c r="DW390" s="532"/>
      <c r="DX390" s="532"/>
      <c r="DY390" s="532"/>
      <c r="DZ390" s="532"/>
      <c r="EA390" s="532"/>
      <c r="EB390" s="532"/>
      <c r="EC390" s="532"/>
      <c r="ED390" s="532"/>
      <c r="EE390" s="532"/>
      <c r="EF390" s="532"/>
      <c r="EG390" s="532"/>
      <c r="EH390" s="532"/>
      <c r="EI390" s="532"/>
      <c r="EJ390" s="532"/>
      <c r="EK390" s="532"/>
      <c r="EL390" s="532"/>
      <c r="EM390" s="532"/>
      <c r="EN390" s="532"/>
      <c r="EO390" s="532"/>
      <c r="EP390" s="532"/>
      <c r="EQ390" s="532"/>
      <c r="ER390" s="532"/>
      <c r="ES390" s="532"/>
      <c r="ET390" s="532"/>
      <c r="EU390" s="532"/>
      <c r="EV390" s="532"/>
      <c r="EW390" s="532"/>
      <c r="EX390" s="532"/>
      <c r="EY390" s="532"/>
      <c r="EZ390" s="532"/>
      <c r="FA390" s="532"/>
      <c r="FB390" s="532"/>
      <c r="FC390" s="532"/>
      <c r="FD390" s="532"/>
      <c r="FE390" s="532"/>
      <c r="FF390" s="532"/>
      <c r="FG390" s="532"/>
      <c r="FH390" s="532"/>
      <c r="FI390" s="532"/>
      <c r="FJ390" s="532"/>
      <c r="FK390" s="532"/>
      <c r="FL390" s="532"/>
      <c r="FM390" s="532"/>
      <c r="FN390" s="532"/>
      <c r="FO390" s="532"/>
      <c r="FP390" s="532"/>
    </row>
    <row r="391" spans="1:172" ht="12" customHeight="1" x14ac:dyDescent="0.2">
      <c r="A391" s="533"/>
      <c r="B391" s="534"/>
      <c r="C391" s="534"/>
      <c r="D391" s="534"/>
      <c r="E391" s="534"/>
      <c r="F391" s="534"/>
      <c r="G391" s="534"/>
      <c r="H391" s="534"/>
      <c r="I391" s="534"/>
      <c r="J391" s="534"/>
      <c r="K391" s="658"/>
      <c r="L391" s="562"/>
      <c r="M391" s="562"/>
      <c r="N391" s="562"/>
      <c r="O391" s="530"/>
      <c r="P391" s="531"/>
      <c r="Q391" s="531"/>
      <c r="R391" s="531"/>
      <c r="S391" s="531"/>
      <c r="T391" s="531"/>
      <c r="U391" s="531"/>
      <c r="V391" s="531"/>
      <c r="W391" s="531"/>
      <c r="X391" s="531"/>
      <c r="Y391" s="531"/>
      <c r="Z391" s="531"/>
      <c r="AA391" s="531"/>
      <c r="AB391" s="531"/>
      <c r="AC391" s="531"/>
      <c r="AD391" s="531"/>
      <c r="AE391" s="531"/>
      <c r="AF391" s="531"/>
      <c r="AG391" s="531"/>
      <c r="AH391" s="532"/>
      <c r="AI391" s="532"/>
      <c r="AJ391" s="532"/>
      <c r="AK391" s="532"/>
      <c r="AL391" s="532"/>
      <c r="AM391" s="532"/>
      <c r="AN391" s="532"/>
      <c r="AO391" s="532"/>
      <c r="AP391" s="532"/>
      <c r="AQ391" s="532"/>
      <c r="AR391" s="532"/>
      <c r="AS391" s="532"/>
      <c r="AT391" s="532"/>
      <c r="AU391" s="532"/>
      <c r="AV391" s="532"/>
      <c r="AW391" s="532"/>
      <c r="AX391" s="532"/>
      <c r="AY391" s="532"/>
      <c r="AZ391" s="532"/>
      <c r="BA391" s="532"/>
      <c r="BB391" s="532"/>
      <c r="BC391" s="532"/>
      <c r="BD391" s="532"/>
      <c r="BE391" s="532"/>
      <c r="BF391" s="532"/>
      <c r="BG391" s="532"/>
      <c r="BH391" s="532"/>
      <c r="BI391" s="532"/>
      <c r="BJ391" s="532"/>
      <c r="BK391" s="532"/>
      <c r="BL391" s="532"/>
      <c r="BM391" s="532"/>
      <c r="BN391" s="532"/>
      <c r="BO391" s="532"/>
      <c r="BP391" s="532"/>
      <c r="BQ391" s="532"/>
      <c r="BR391" s="532"/>
      <c r="BS391" s="532"/>
      <c r="BT391" s="532"/>
      <c r="BU391" s="532"/>
      <c r="BV391" s="532"/>
      <c r="BW391" s="532"/>
      <c r="BX391" s="532"/>
      <c r="BY391" s="532"/>
      <c r="BZ391" s="532"/>
      <c r="CA391" s="532"/>
      <c r="CB391" s="532"/>
      <c r="CC391" s="532"/>
      <c r="CD391" s="532"/>
      <c r="CE391" s="532"/>
      <c r="CF391" s="532"/>
      <c r="CG391" s="532"/>
      <c r="CH391" s="532"/>
      <c r="CI391" s="532"/>
      <c r="CJ391" s="532"/>
      <c r="CK391" s="532"/>
      <c r="CL391" s="532"/>
      <c r="CM391" s="532"/>
      <c r="CN391" s="532"/>
      <c r="CO391" s="532"/>
      <c r="CP391" s="532"/>
      <c r="CQ391" s="532"/>
      <c r="CR391" s="532"/>
      <c r="CS391" s="532"/>
      <c r="CT391" s="532"/>
      <c r="CU391" s="532"/>
      <c r="CV391" s="532"/>
      <c r="CW391" s="532"/>
      <c r="CX391" s="532"/>
      <c r="CY391" s="532"/>
      <c r="CZ391" s="532"/>
      <c r="DA391" s="532"/>
      <c r="DB391" s="532"/>
      <c r="DC391" s="532"/>
      <c r="DD391" s="532"/>
      <c r="DE391" s="532"/>
      <c r="DF391" s="532"/>
      <c r="DG391" s="532"/>
      <c r="DH391" s="532"/>
      <c r="DI391" s="532"/>
      <c r="DJ391" s="532"/>
      <c r="DK391" s="532"/>
      <c r="DL391" s="532"/>
      <c r="DM391" s="532"/>
      <c r="DN391" s="532"/>
      <c r="DO391" s="532"/>
      <c r="DP391" s="532"/>
      <c r="DQ391" s="532"/>
      <c r="DR391" s="532"/>
      <c r="DS391" s="532"/>
      <c r="DT391" s="532"/>
      <c r="DU391" s="532"/>
      <c r="DV391" s="532"/>
      <c r="DW391" s="532"/>
      <c r="DX391" s="532"/>
      <c r="DY391" s="532"/>
      <c r="DZ391" s="532"/>
      <c r="EA391" s="532"/>
      <c r="EB391" s="532"/>
      <c r="EC391" s="532"/>
      <c r="ED391" s="532"/>
      <c r="EE391" s="532"/>
      <c r="EF391" s="532"/>
      <c r="EG391" s="532"/>
      <c r="EH391" s="532"/>
      <c r="EI391" s="532"/>
      <c r="EJ391" s="532"/>
      <c r="EK391" s="532"/>
      <c r="EL391" s="532"/>
      <c r="EM391" s="532"/>
      <c r="EN391" s="532"/>
      <c r="EO391" s="532"/>
      <c r="EP391" s="532"/>
      <c r="EQ391" s="532"/>
      <c r="ER391" s="532"/>
      <c r="ES391" s="532"/>
      <c r="ET391" s="532"/>
      <c r="EU391" s="532"/>
      <c r="EV391" s="532"/>
      <c r="EW391" s="532"/>
      <c r="EX391" s="532"/>
      <c r="EY391" s="532"/>
      <c r="EZ391" s="532"/>
      <c r="FA391" s="532"/>
      <c r="FB391" s="532"/>
      <c r="FC391" s="532"/>
      <c r="FD391" s="532"/>
      <c r="FE391" s="532"/>
      <c r="FF391" s="532"/>
      <c r="FG391" s="532"/>
      <c r="FH391" s="532"/>
      <c r="FI391" s="532"/>
      <c r="FJ391" s="532"/>
      <c r="FK391" s="532"/>
      <c r="FL391" s="532"/>
      <c r="FM391" s="532"/>
      <c r="FN391" s="532"/>
      <c r="FO391" s="532"/>
      <c r="FP391" s="532"/>
    </row>
    <row r="392" spans="1:172" ht="12" customHeight="1" x14ac:dyDescent="0.2">
      <c r="A392" s="533" t="s">
        <v>248</v>
      </c>
      <c r="B392" s="534" t="s">
        <v>249</v>
      </c>
      <c r="C392" s="208">
        <v>280</v>
      </c>
      <c r="D392" s="208">
        <v>481</v>
      </c>
      <c r="E392" s="208">
        <v>404</v>
      </c>
      <c r="F392" s="208">
        <v>357</v>
      </c>
      <c r="G392" s="208">
        <v>569</v>
      </c>
      <c r="H392" s="208">
        <v>804</v>
      </c>
      <c r="I392" s="208">
        <v>497</v>
      </c>
      <c r="J392" s="208">
        <v>432</v>
      </c>
      <c r="K392" s="208">
        <v>563</v>
      </c>
      <c r="L392" s="562">
        <v>600</v>
      </c>
      <c r="M392" s="562">
        <v>816</v>
      </c>
      <c r="N392" s="562">
        <v>460</v>
      </c>
      <c r="O392" s="530">
        <f>SUM(C392:N392)</f>
        <v>6263</v>
      </c>
      <c r="P392" s="531"/>
      <c r="Q392" s="531"/>
      <c r="R392" s="531"/>
      <c r="S392" s="531"/>
      <c r="T392" s="531"/>
      <c r="U392" s="531"/>
      <c r="V392" s="531"/>
      <c r="W392" s="531"/>
      <c r="X392" s="531"/>
      <c r="Y392" s="531"/>
      <c r="Z392" s="531"/>
      <c r="AA392" s="531"/>
      <c r="AB392" s="531"/>
      <c r="AC392" s="531"/>
      <c r="AD392" s="531"/>
      <c r="AE392" s="531"/>
      <c r="AF392" s="531"/>
      <c r="AG392" s="531"/>
      <c r="AH392" s="532"/>
      <c r="AI392" s="532"/>
      <c r="AJ392" s="532"/>
      <c r="AK392" s="532"/>
      <c r="AL392" s="532"/>
      <c r="AM392" s="532"/>
      <c r="AN392" s="532"/>
      <c r="AO392" s="532"/>
      <c r="AP392" s="532"/>
      <c r="AQ392" s="532"/>
      <c r="AR392" s="532"/>
      <c r="AS392" s="532"/>
      <c r="AT392" s="532"/>
      <c r="AU392" s="532"/>
      <c r="AV392" s="532"/>
      <c r="AW392" s="532"/>
      <c r="AX392" s="532"/>
      <c r="AY392" s="532"/>
      <c r="AZ392" s="532"/>
      <c r="BA392" s="532"/>
      <c r="BB392" s="532"/>
      <c r="BC392" s="532"/>
      <c r="BD392" s="532"/>
      <c r="BE392" s="532"/>
      <c r="BF392" s="532"/>
      <c r="BG392" s="532"/>
      <c r="BH392" s="532"/>
      <c r="BI392" s="532"/>
      <c r="BJ392" s="532"/>
      <c r="BK392" s="532"/>
      <c r="BL392" s="532"/>
      <c r="BM392" s="532"/>
      <c r="BN392" s="532"/>
      <c r="BO392" s="532"/>
      <c r="BP392" s="532"/>
      <c r="BQ392" s="532"/>
      <c r="BR392" s="532"/>
      <c r="BS392" s="532"/>
      <c r="BT392" s="532"/>
      <c r="BU392" s="532"/>
      <c r="BV392" s="532"/>
      <c r="BW392" s="532"/>
      <c r="BX392" s="532"/>
      <c r="BY392" s="532"/>
      <c r="BZ392" s="532"/>
      <c r="CA392" s="532"/>
      <c r="CB392" s="532"/>
      <c r="CC392" s="532"/>
      <c r="CD392" s="532"/>
      <c r="CE392" s="532"/>
      <c r="CF392" s="532"/>
      <c r="CG392" s="532"/>
      <c r="CH392" s="532"/>
      <c r="CI392" s="532"/>
      <c r="CJ392" s="532"/>
      <c r="CK392" s="532"/>
      <c r="CL392" s="532"/>
      <c r="CM392" s="532"/>
      <c r="CN392" s="532"/>
      <c r="CO392" s="532"/>
      <c r="CP392" s="532"/>
      <c r="CQ392" s="532"/>
      <c r="CR392" s="532"/>
      <c r="CS392" s="532"/>
      <c r="CT392" s="532"/>
      <c r="CU392" s="532"/>
      <c r="CV392" s="532"/>
      <c r="CW392" s="532"/>
      <c r="CX392" s="532"/>
      <c r="CY392" s="532"/>
      <c r="CZ392" s="532"/>
      <c r="DA392" s="532"/>
      <c r="DB392" s="532"/>
      <c r="DC392" s="532"/>
      <c r="DD392" s="532"/>
      <c r="DE392" s="532"/>
      <c r="DF392" s="532"/>
      <c r="DG392" s="532"/>
      <c r="DH392" s="532"/>
      <c r="DI392" s="532"/>
      <c r="DJ392" s="532"/>
      <c r="DK392" s="532"/>
      <c r="DL392" s="532"/>
      <c r="DM392" s="532"/>
      <c r="DN392" s="532"/>
      <c r="DO392" s="532"/>
      <c r="DP392" s="532"/>
      <c r="DQ392" s="532"/>
      <c r="DR392" s="532"/>
      <c r="DS392" s="532"/>
      <c r="DT392" s="532"/>
      <c r="DU392" s="532"/>
      <c r="DV392" s="532"/>
      <c r="DW392" s="532"/>
      <c r="DX392" s="532"/>
      <c r="DY392" s="532"/>
      <c r="DZ392" s="532"/>
      <c r="EA392" s="532"/>
      <c r="EB392" s="532"/>
      <c r="EC392" s="532"/>
      <c r="ED392" s="532"/>
      <c r="EE392" s="532"/>
      <c r="EF392" s="532"/>
      <c r="EG392" s="532"/>
      <c r="EH392" s="532"/>
      <c r="EI392" s="532"/>
      <c r="EJ392" s="532"/>
      <c r="EK392" s="532"/>
      <c r="EL392" s="532"/>
      <c r="EM392" s="532"/>
      <c r="EN392" s="532"/>
      <c r="EO392" s="532"/>
      <c r="EP392" s="532"/>
      <c r="EQ392" s="532"/>
      <c r="ER392" s="532"/>
      <c r="ES392" s="532"/>
      <c r="ET392" s="532"/>
      <c r="EU392" s="532"/>
      <c r="EV392" s="532"/>
      <c r="EW392" s="532"/>
      <c r="EX392" s="532"/>
      <c r="EY392" s="532"/>
      <c r="EZ392" s="532"/>
      <c r="FA392" s="532"/>
      <c r="FB392" s="532"/>
      <c r="FC392" s="532"/>
      <c r="FD392" s="532"/>
      <c r="FE392" s="532"/>
      <c r="FF392" s="532"/>
      <c r="FG392" s="532"/>
      <c r="FH392" s="532"/>
      <c r="FI392" s="532"/>
      <c r="FJ392" s="532"/>
      <c r="FK392" s="532"/>
      <c r="FL392" s="532"/>
      <c r="FM392" s="532"/>
      <c r="FN392" s="532"/>
      <c r="FO392" s="532"/>
      <c r="FP392" s="532"/>
    </row>
    <row r="393" spans="1:172" ht="12" customHeight="1" x14ac:dyDescent="0.2">
      <c r="A393" s="533" t="s">
        <v>250</v>
      </c>
      <c r="B393" s="534" t="s">
        <v>251</v>
      </c>
      <c r="C393" s="208">
        <f>285+254+4</f>
        <v>543</v>
      </c>
      <c r="D393" s="208">
        <f>321+224</f>
        <v>545</v>
      </c>
      <c r="E393" s="208">
        <f>156+197</f>
        <v>353</v>
      </c>
      <c r="F393" s="208">
        <f>211+218</f>
        <v>429</v>
      </c>
      <c r="G393" s="208">
        <f>247+261</f>
        <v>508</v>
      </c>
      <c r="H393" s="208">
        <f>220+283</f>
        <v>503</v>
      </c>
      <c r="I393" s="208">
        <f>222+312</f>
        <v>534</v>
      </c>
      <c r="J393" s="208">
        <f>332+217</f>
        <v>549</v>
      </c>
      <c r="K393" s="208">
        <f>240+258</f>
        <v>498</v>
      </c>
      <c r="L393" s="562">
        <f>236+255</f>
        <v>491</v>
      </c>
      <c r="M393" s="562">
        <f>404+258</f>
        <v>662</v>
      </c>
      <c r="N393" s="562">
        <f>386+238</f>
        <v>624</v>
      </c>
      <c r="O393" s="530">
        <f>SUM(C393:N393)</f>
        <v>6239</v>
      </c>
      <c r="P393" s="531"/>
      <c r="Q393" s="531"/>
      <c r="R393" s="531"/>
      <c r="S393" s="531"/>
      <c r="T393" s="531"/>
      <c r="U393" s="531"/>
      <c r="V393" s="531"/>
      <c r="W393" s="531"/>
      <c r="X393" s="531"/>
      <c r="Y393" s="531"/>
      <c r="Z393" s="531"/>
      <c r="AA393" s="531"/>
      <c r="AB393" s="531"/>
      <c r="AC393" s="531"/>
      <c r="AD393" s="531"/>
      <c r="AE393" s="531"/>
      <c r="AF393" s="531"/>
      <c r="AG393" s="531"/>
      <c r="AH393" s="532"/>
      <c r="AI393" s="532"/>
      <c r="AJ393" s="532"/>
      <c r="AK393" s="532"/>
      <c r="AL393" s="532"/>
      <c r="AM393" s="532"/>
      <c r="AN393" s="532"/>
      <c r="AO393" s="532"/>
      <c r="AP393" s="532"/>
      <c r="AQ393" s="532"/>
      <c r="AR393" s="532"/>
      <c r="AS393" s="532"/>
      <c r="AT393" s="532"/>
      <c r="AU393" s="532"/>
      <c r="AV393" s="532"/>
      <c r="AW393" s="532"/>
      <c r="AX393" s="532"/>
      <c r="AY393" s="532"/>
      <c r="AZ393" s="532"/>
      <c r="BA393" s="532"/>
      <c r="BB393" s="532"/>
      <c r="BC393" s="532"/>
      <c r="BD393" s="532"/>
      <c r="BE393" s="532"/>
      <c r="BF393" s="532"/>
      <c r="BG393" s="532"/>
      <c r="BH393" s="532"/>
      <c r="BI393" s="532"/>
      <c r="BJ393" s="532"/>
      <c r="BK393" s="532"/>
      <c r="BL393" s="532"/>
      <c r="BM393" s="532"/>
      <c r="BN393" s="532"/>
      <c r="BO393" s="532"/>
      <c r="BP393" s="532"/>
      <c r="BQ393" s="532"/>
      <c r="BR393" s="532"/>
      <c r="BS393" s="532"/>
      <c r="BT393" s="532"/>
      <c r="BU393" s="532"/>
      <c r="BV393" s="532"/>
      <c r="BW393" s="532"/>
      <c r="BX393" s="532"/>
      <c r="BY393" s="532"/>
      <c r="BZ393" s="532"/>
      <c r="CA393" s="532"/>
      <c r="CB393" s="532"/>
      <c r="CC393" s="532"/>
      <c r="CD393" s="532"/>
      <c r="CE393" s="532"/>
      <c r="CF393" s="532"/>
      <c r="CG393" s="532"/>
      <c r="CH393" s="532"/>
      <c r="CI393" s="532"/>
      <c r="CJ393" s="532"/>
      <c r="CK393" s="532"/>
      <c r="CL393" s="532"/>
      <c r="CM393" s="532"/>
      <c r="CN393" s="532"/>
      <c r="CO393" s="532"/>
      <c r="CP393" s="532"/>
      <c r="CQ393" s="532"/>
      <c r="CR393" s="532"/>
      <c r="CS393" s="532"/>
      <c r="CT393" s="532"/>
      <c r="CU393" s="532"/>
      <c r="CV393" s="532"/>
      <c r="CW393" s="532"/>
      <c r="CX393" s="532"/>
      <c r="CY393" s="532"/>
      <c r="CZ393" s="532"/>
      <c r="DA393" s="532"/>
      <c r="DB393" s="532"/>
      <c r="DC393" s="532"/>
      <c r="DD393" s="532"/>
      <c r="DE393" s="532"/>
      <c r="DF393" s="532"/>
      <c r="DG393" s="532"/>
      <c r="DH393" s="532"/>
      <c r="DI393" s="532"/>
      <c r="DJ393" s="532"/>
      <c r="DK393" s="532"/>
      <c r="DL393" s="532"/>
      <c r="DM393" s="532"/>
      <c r="DN393" s="532"/>
      <c r="DO393" s="532"/>
      <c r="DP393" s="532"/>
      <c r="DQ393" s="532"/>
      <c r="DR393" s="532"/>
      <c r="DS393" s="532"/>
      <c r="DT393" s="532"/>
      <c r="DU393" s="532"/>
      <c r="DV393" s="532"/>
      <c r="DW393" s="532"/>
      <c r="DX393" s="532"/>
      <c r="DY393" s="532"/>
      <c r="DZ393" s="532"/>
      <c r="EA393" s="532"/>
      <c r="EB393" s="532"/>
      <c r="EC393" s="532"/>
      <c r="ED393" s="532"/>
      <c r="EE393" s="532"/>
      <c r="EF393" s="532"/>
      <c r="EG393" s="532"/>
      <c r="EH393" s="532"/>
      <c r="EI393" s="532"/>
      <c r="EJ393" s="532"/>
      <c r="EK393" s="532"/>
      <c r="EL393" s="532"/>
      <c r="EM393" s="532"/>
      <c r="EN393" s="532"/>
      <c r="EO393" s="532"/>
      <c r="EP393" s="532"/>
      <c r="EQ393" s="532"/>
      <c r="ER393" s="532"/>
      <c r="ES393" s="532"/>
      <c r="ET393" s="532"/>
      <c r="EU393" s="532"/>
      <c r="EV393" s="532"/>
      <c r="EW393" s="532"/>
      <c r="EX393" s="532"/>
      <c r="EY393" s="532"/>
      <c r="EZ393" s="532"/>
      <c r="FA393" s="532"/>
      <c r="FB393" s="532"/>
      <c r="FC393" s="532"/>
      <c r="FD393" s="532"/>
      <c r="FE393" s="532"/>
      <c r="FF393" s="532"/>
      <c r="FG393" s="532"/>
      <c r="FH393" s="532"/>
      <c r="FI393" s="532"/>
      <c r="FJ393" s="532"/>
      <c r="FK393" s="532"/>
      <c r="FL393" s="532"/>
      <c r="FM393" s="532"/>
      <c r="FN393" s="532"/>
      <c r="FO393" s="532"/>
      <c r="FP393" s="532"/>
    </row>
    <row r="394" spans="1:172" ht="12" customHeight="1" x14ac:dyDescent="0.2">
      <c r="A394" s="533" t="s">
        <v>252</v>
      </c>
      <c r="C394" s="208">
        <f t="shared" ref="C394:N394" si="177">C392+C393</f>
        <v>823</v>
      </c>
      <c r="D394" s="208">
        <f t="shared" si="177"/>
        <v>1026</v>
      </c>
      <c r="E394" s="208">
        <f t="shared" si="177"/>
        <v>757</v>
      </c>
      <c r="F394" s="208">
        <f t="shared" si="177"/>
        <v>786</v>
      </c>
      <c r="G394" s="208">
        <f t="shared" si="177"/>
        <v>1077</v>
      </c>
      <c r="H394" s="208">
        <f t="shared" si="177"/>
        <v>1307</v>
      </c>
      <c r="I394" s="208">
        <f t="shared" si="177"/>
        <v>1031</v>
      </c>
      <c r="J394" s="208">
        <f t="shared" si="177"/>
        <v>981</v>
      </c>
      <c r="K394" s="208">
        <f t="shared" si="177"/>
        <v>1061</v>
      </c>
      <c r="L394" s="562">
        <f t="shared" si="177"/>
        <v>1091</v>
      </c>
      <c r="M394" s="562">
        <f t="shared" si="177"/>
        <v>1478</v>
      </c>
      <c r="N394" s="562">
        <f t="shared" si="177"/>
        <v>1084</v>
      </c>
      <c r="O394" s="530">
        <f>SUM(C394:N394)</f>
        <v>12502</v>
      </c>
      <c r="P394" s="531"/>
      <c r="Q394" s="531"/>
      <c r="R394" s="531"/>
      <c r="S394" s="531"/>
      <c r="T394" s="531"/>
      <c r="U394" s="531"/>
      <c r="V394" s="531"/>
      <c r="W394" s="531"/>
      <c r="X394" s="531"/>
      <c r="Y394" s="531"/>
      <c r="Z394" s="531"/>
      <c r="AA394" s="531"/>
      <c r="AB394" s="531"/>
      <c r="AC394" s="531"/>
      <c r="AD394" s="531"/>
      <c r="AE394" s="531"/>
      <c r="AF394" s="531"/>
      <c r="AG394" s="531"/>
      <c r="AH394" s="532"/>
      <c r="AI394" s="532"/>
      <c r="AJ394" s="532"/>
      <c r="AK394" s="532"/>
      <c r="AL394" s="532"/>
      <c r="AM394" s="532"/>
      <c r="AN394" s="532"/>
      <c r="AO394" s="532"/>
      <c r="AP394" s="532"/>
      <c r="AQ394" s="532"/>
      <c r="AR394" s="532"/>
      <c r="AS394" s="532"/>
      <c r="AT394" s="532"/>
      <c r="AU394" s="532"/>
      <c r="AV394" s="532"/>
      <c r="AW394" s="532"/>
      <c r="AX394" s="532"/>
      <c r="AY394" s="532"/>
      <c r="AZ394" s="532"/>
      <c r="BA394" s="532"/>
      <c r="BB394" s="532"/>
      <c r="BC394" s="532"/>
      <c r="BD394" s="532"/>
      <c r="BE394" s="532"/>
      <c r="BF394" s="532"/>
      <c r="BG394" s="532"/>
      <c r="BH394" s="532"/>
      <c r="BI394" s="532"/>
      <c r="BJ394" s="532"/>
      <c r="BK394" s="532"/>
      <c r="BL394" s="532"/>
      <c r="BM394" s="532"/>
      <c r="BN394" s="532"/>
      <c r="BO394" s="532"/>
      <c r="BP394" s="532"/>
      <c r="BQ394" s="532"/>
      <c r="BR394" s="532"/>
      <c r="BS394" s="532"/>
      <c r="BT394" s="532"/>
      <c r="BU394" s="532"/>
      <c r="BV394" s="532"/>
      <c r="BW394" s="532"/>
      <c r="BX394" s="532"/>
      <c r="BY394" s="532"/>
      <c r="BZ394" s="532"/>
      <c r="CA394" s="532"/>
      <c r="CB394" s="532"/>
      <c r="CC394" s="532"/>
      <c r="CD394" s="532"/>
      <c r="CE394" s="532"/>
      <c r="CF394" s="532"/>
      <c r="CG394" s="532"/>
      <c r="CH394" s="532"/>
      <c r="CI394" s="532"/>
      <c r="CJ394" s="532"/>
      <c r="CK394" s="532"/>
      <c r="CL394" s="532"/>
      <c r="CM394" s="532"/>
      <c r="CN394" s="532"/>
      <c r="CO394" s="532"/>
      <c r="CP394" s="532"/>
      <c r="CQ394" s="532"/>
      <c r="CR394" s="532"/>
      <c r="CS394" s="532"/>
      <c r="CT394" s="532"/>
      <c r="CU394" s="532"/>
      <c r="CV394" s="532"/>
      <c r="CW394" s="532"/>
      <c r="CX394" s="532"/>
      <c r="CY394" s="532"/>
      <c r="CZ394" s="532"/>
      <c r="DA394" s="532"/>
      <c r="DB394" s="532"/>
      <c r="DC394" s="532"/>
      <c r="DD394" s="532"/>
      <c r="DE394" s="532"/>
      <c r="DF394" s="532"/>
      <c r="DG394" s="532"/>
      <c r="DH394" s="532"/>
      <c r="DI394" s="532"/>
      <c r="DJ394" s="532"/>
      <c r="DK394" s="532"/>
      <c r="DL394" s="532"/>
      <c r="DM394" s="532"/>
      <c r="DN394" s="532"/>
      <c r="DO394" s="532"/>
      <c r="DP394" s="532"/>
      <c r="DQ394" s="532"/>
      <c r="DR394" s="532"/>
      <c r="DS394" s="532"/>
      <c r="DT394" s="532"/>
      <c r="DU394" s="532"/>
      <c r="DV394" s="532"/>
      <c r="DW394" s="532"/>
      <c r="DX394" s="532"/>
      <c r="DY394" s="532"/>
      <c r="DZ394" s="532"/>
      <c r="EA394" s="532"/>
      <c r="EB394" s="532"/>
      <c r="EC394" s="532"/>
      <c r="ED394" s="532"/>
      <c r="EE394" s="532"/>
      <c r="EF394" s="532"/>
      <c r="EG394" s="532"/>
      <c r="EH394" s="532"/>
      <c r="EI394" s="532"/>
      <c r="EJ394" s="532"/>
      <c r="EK394" s="532"/>
      <c r="EL394" s="532"/>
      <c r="EM394" s="532"/>
      <c r="EN394" s="532"/>
      <c r="EO394" s="532"/>
      <c r="EP394" s="532"/>
      <c r="EQ394" s="532"/>
      <c r="ER394" s="532"/>
      <c r="ES394" s="532"/>
      <c r="ET394" s="532"/>
      <c r="EU394" s="532"/>
      <c r="EV394" s="532"/>
      <c r="EW394" s="532"/>
      <c r="EX394" s="532"/>
      <c r="EY394" s="532"/>
      <c r="EZ394" s="532"/>
      <c r="FA394" s="532"/>
      <c r="FB394" s="532"/>
      <c r="FC394" s="532"/>
      <c r="FD394" s="532"/>
      <c r="FE394" s="532"/>
      <c r="FF394" s="532"/>
      <c r="FG394" s="532"/>
      <c r="FH394" s="532"/>
      <c r="FI394" s="532"/>
      <c r="FJ394" s="532"/>
      <c r="FK394" s="532"/>
      <c r="FL394" s="532"/>
      <c r="FM394" s="532"/>
      <c r="FN394" s="532"/>
      <c r="FO394" s="532"/>
      <c r="FP394" s="532"/>
    </row>
    <row r="395" spans="1:172" ht="12" customHeight="1" x14ac:dyDescent="0.2">
      <c r="A395" s="533"/>
      <c r="B395" s="534"/>
      <c r="C395" s="534"/>
      <c r="D395" s="534"/>
      <c r="E395" s="534"/>
      <c r="F395" s="534"/>
      <c r="G395" s="534"/>
      <c r="H395" s="534"/>
      <c r="I395" s="534"/>
      <c r="J395" s="534"/>
      <c r="K395" s="658"/>
      <c r="L395" s="562"/>
      <c r="M395" s="562"/>
      <c r="N395" s="562"/>
      <c r="O395" s="530"/>
      <c r="P395" s="531"/>
      <c r="Q395" s="531"/>
      <c r="R395" s="531"/>
      <c r="S395" s="531"/>
      <c r="T395" s="531"/>
      <c r="U395" s="531"/>
      <c r="V395" s="531"/>
      <c r="W395" s="531"/>
      <c r="X395" s="531"/>
      <c r="Y395" s="531"/>
      <c r="Z395" s="531"/>
      <c r="AA395" s="531"/>
      <c r="AB395" s="531"/>
      <c r="AC395" s="531"/>
      <c r="AD395" s="531"/>
      <c r="AE395" s="531"/>
      <c r="AF395" s="531"/>
      <c r="AG395" s="531"/>
      <c r="AH395" s="532"/>
      <c r="AI395" s="532"/>
      <c r="AJ395" s="532"/>
      <c r="AK395" s="532"/>
      <c r="AL395" s="532"/>
      <c r="AM395" s="532"/>
      <c r="AN395" s="532"/>
      <c r="AO395" s="532"/>
      <c r="AP395" s="532"/>
      <c r="AQ395" s="532"/>
      <c r="AR395" s="532"/>
      <c r="AS395" s="532"/>
      <c r="AT395" s="532"/>
      <c r="AU395" s="532"/>
      <c r="AV395" s="532"/>
      <c r="AW395" s="532"/>
      <c r="AX395" s="532"/>
      <c r="AY395" s="532"/>
      <c r="AZ395" s="532"/>
      <c r="BA395" s="532"/>
      <c r="BB395" s="532"/>
      <c r="BC395" s="532"/>
      <c r="BD395" s="532"/>
      <c r="BE395" s="532"/>
      <c r="BF395" s="532"/>
      <c r="BG395" s="532"/>
      <c r="BH395" s="532"/>
      <c r="BI395" s="532"/>
      <c r="BJ395" s="532"/>
      <c r="BK395" s="532"/>
      <c r="BL395" s="532"/>
      <c r="BM395" s="532"/>
      <c r="BN395" s="532"/>
      <c r="BO395" s="532"/>
      <c r="BP395" s="532"/>
      <c r="BQ395" s="532"/>
      <c r="BR395" s="532"/>
      <c r="BS395" s="532"/>
      <c r="BT395" s="532"/>
      <c r="BU395" s="532"/>
      <c r="BV395" s="532"/>
      <c r="BW395" s="532"/>
      <c r="BX395" s="532"/>
      <c r="BY395" s="532"/>
      <c r="BZ395" s="532"/>
      <c r="CA395" s="532"/>
      <c r="CB395" s="532"/>
      <c r="CC395" s="532"/>
      <c r="CD395" s="532"/>
      <c r="CE395" s="532"/>
      <c r="CF395" s="532"/>
      <c r="CG395" s="532"/>
      <c r="CH395" s="532"/>
      <c r="CI395" s="532"/>
      <c r="CJ395" s="532"/>
      <c r="CK395" s="532"/>
      <c r="CL395" s="532"/>
      <c r="CM395" s="532"/>
      <c r="CN395" s="532"/>
      <c r="CO395" s="532"/>
      <c r="CP395" s="532"/>
      <c r="CQ395" s="532"/>
      <c r="CR395" s="532"/>
      <c r="CS395" s="532"/>
      <c r="CT395" s="532"/>
      <c r="CU395" s="532"/>
      <c r="CV395" s="532"/>
      <c r="CW395" s="532"/>
      <c r="CX395" s="532"/>
      <c r="CY395" s="532"/>
      <c r="CZ395" s="532"/>
      <c r="DA395" s="532"/>
      <c r="DB395" s="532"/>
      <c r="DC395" s="532"/>
      <c r="DD395" s="532"/>
      <c r="DE395" s="532"/>
      <c r="DF395" s="532"/>
      <c r="DG395" s="532"/>
      <c r="DH395" s="532"/>
      <c r="DI395" s="532"/>
      <c r="DJ395" s="532"/>
      <c r="DK395" s="532"/>
      <c r="DL395" s="532"/>
      <c r="DM395" s="532"/>
      <c r="DN395" s="532"/>
      <c r="DO395" s="532"/>
      <c r="DP395" s="532"/>
      <c r="DQ395" s="532"/>
      <c r="DR395" s="532"/>
      <c r="DS395" s="532"/>
      <c r="DT395" s="532"/>
      <c r="DU395" s="532"/>
      <c r="DV395" s="532"/>
      <c r="DW395" s="532"/>
      <c r="DX395" s="532"/>
      <c r="DY395" s="532"/>
      <c r="DZ395" s="532"/>
      <c r="EA395" s="532"/>
      <c r="EB395" s="532"/>
      <c r="EC395" s="532"/>
      <c r="ED395" s="532"/>
      <c r="EE395" s="532"/>
      <c r="EF395" s="532"/>
      <c r="EG395" s="532"/>
      <c r="EH395" s="532"/>
      <c r="EI395" s="532"/>
      <c r="EJ395" s="532"/>
      <c r="EK395" s="532"/>
      <c r="EL395" s="532"/>
      <c r="EM395" s="532"/>
      <c r="EN395" s="532"/>
      <c r="EO395" s="532"/>
      <c r="EP395" s="532"/>
      <c r="EQ395" s="532"/>
      <c r="ER395" s="532"/>
      <c r="ES395" s="532"/>
      <c r="ET395" s="532"/>
      <c r="EU395" s="532"/>
      <c r="EV395" s="532"/>
      <c r="EW395" s="532"/>
      <c r="EX395" s="532"/>
      <c r="EY395" s="532"/>
      <c r="EZ395" s="532"/>
      <c r="FA395" s="532"/>
      <c r="FB395" s="532"/>
      <c r="FC395" s="532"/>
      <c r="FD395" s="532"/>
      <c r="FE395" s="532"/>
      <c r="FF395" s="532"/>
      <c r="FG395" s="532"/>
      <c r="FH395" s="532"/>
      <c r="FI395" s="532"/>
      <c r="FJ395" s="532"/>
      <c r="FK395" s="532"/>
      <c r="FL395" s="532"/>
      <c r="FM395" s="532"/>
      <c r="FN395" s="532"/>
      <c r="FO395" s="532"/>
      <c r="FP395" s="532"/>
    </row>
    <row r="396" spans="1:172" ht="12" customHeight="1" x14ac:dyDescent="0.2">
      <c r="A396" s="533" t="s">
        <v>253</v>
      </c>
      <c r="B396" s="534" t="s">
        <v>254</v>
      </c>
      <c r="C396" s="208">
        <v>4508</v>
      </c>
      <c r="D396" s="208">
        <v>4451.2</v>
      </c>
      <c r="E396" s="208">
        <v>4201</v>
      </c>
      <c r="F396" s="208">
        <v>5755.9</v>
      </c>
      <c r="G396" s="208">
        <v>5813</v>
      </c>
      <c r="H396" s="208">
        <v>7927</v>
      </c>
      <c r="I396" s="208">
        <v>4823</v>
      </c>
      <c r="J396" s="208">
        <v>5794</v>
      </c>
      <c r="K396" s="208">
        <v>7014</v>
      </c>
      <c r="L396" s="562">
        <v>8091</v>
      </c>
      <c r="M396" s="562">
        <v>7649</v>
      </c>
      <c r="N396" s="562">
        <v>6697</v>
      </c>
      <c r="O396" s="530">
        <f>SUM(C396:N396)</f>
        <v>72724.100000000006</v>
      </c>
      <c r="P396" s="531"/>
      <c r="Q396" s="531"/>
      <c r="R396" s="531"/>
      <c r="S396" s="531"/>
      <c r="T396" s="531"/>
      <c r="U396" s="531"/>
      <c r="V396" s="531"/>
      <c r="W396" s="531"/>
      <c r="X396" s="531"/>
      <c r="Y396" s="531"/>
      <c r="Z396" s="531"/>
      <c r="AA396" s="531"/>
      <c r="AB396" s="531"/>
      <c r="AC396" s="531"/>
      <c r="AD396" s="531"/>
      <c r="AE396" s="531"/>
      <c r="AF396" s="531"/>
      <c r="AG396" s="531"/>
      <c r="AH396" s="532"/>
      <c r="AI396" s="532"/>
      <c r="AJ396" s="532"/>
      <c r="AK396" s="532"/>
      <c r="AL396" s="532"/>
      <c r="AM396" s="532"/>
      <c r="AN396" s="532"/>
      <c r="AO396" s="532"/>
      <c r="AP396" s="532"/>
      <c r="AQ396" s="532"/>
      <c r="AR396" s="532"/>
      <c r="AS396" s="532"/>
      <c r="AT396" s="532"/>
      <c r="AU396" s="532"/>
      <c r="AV396" s="532"/>
      <c r="AW396" s="532"/>
      <c r="AX396" s="532"/>
      <c r="AY396" s="532"/>
      <c r="AZ396" s="532"/>
      <c r="BA396" s="532"/>
      <c r="BB396" s="532"/>
      <c r="BC396" s="532"/>
      <c r="BD396" s="532"/>
      <c r="BE396" s="532"/>
      <c r="BF396" s="532"/>
      <c r="BG396" s="532"/>
      <c r="BH396" s="532"/>
      <c r="BI396" s="532"/>
      <c r="BJ396" s="532"/>
      <c r="BK396" s="532"/>
      <c r="BL396" s="532"/>
      <c r="BM396" s="532"/>
      <c r="BN396" s="532"/>
      <c r="BO396" s="532"/>
      <c r="BP396" s="532"/>
      <c r="BQ396" s="532"/>
      <c r="BR396" s="532"/>
      <c r="BS396" s="532"/>
      <c r="BT396" s="532"/>
      <c r="BU396" s="532"/>
      <c r="BV396" s="532"/>
      <c r="BW396" s="532"/>
      <c r="BX396" s="532"/>
      <c r="BY396" s="532"/>
      <c r="BZ396" s="532"/>
      <c r="CA396" s="532"/>
      <c r="CB396" s="532"/>
      <c r="CC396" s="532"/>
      <c r="CD396" s="532"/>
      <c r="CE396" s="532"/>
      <c r="CF396" s="532"/>
      <c r="CG396" s="532"/>
      <c r="CH396" s="532"/>
      <c r="CI396" s="532"/>
      <c r="CJ396" s="532"/>
      <c r="CK396" s="532"/>
      <c r="CL396" s="532"/>
      <c r="CM396" s="532"/>
      <c r="CN396" s="532"/>
      <c r="CO396" s="532"/>
      <c r="CP396" s="532"/>
      <c r="CQ396" s="532"/>
      <c r="CR396" s="532"/>
      <c r="CS396" s="532"/>
      <c r="CT396" s="532"/>
      <c r="CU396" s="532"/>
      <c r="CV396" s="532"/>
      <c r="CW396" s="532"/>
      <c r="CX396" s="532"/>
      <c r="CY396" s="532"/>
      <c r="CZ396" s="532"/>
      <c r="DA396" s="532"/>
      <c r="DB396" s="532"/>
      <c r="DC396" s="532"/>
      <c r="DD396" s="532"/>
      <c r="DE396" s="532"/>
      <c r="DF396" s="532"/>
      <c r="DG396" s="532"/>
      <c r="DH396" s="532"/>
      <c r="DI396" s="532"/>
      <c r="DJ396" s="532"/>
      <c r="DK396" s="532"/>
      <c r="DL396" s="532"/>
      <c r="DM396" s="532"/>
      <c r="DN396" s="532"/>
      <c r="DO396" s="532"/>
      <c r="DP396" s="532"/>
      <c r="DQ396" s="532"/>
      <c r="DR396" s="532"/>
      <c r="DS396" s="532"/>
      <c r="DT396" s="532"/>
      <c r="DU396" s="532"/>
      <c r="DV396" s="532"/>
      <c r="DW396" s="532"/>
      <c r="DX396" s="532"/>
      <c r="DY396" s="532"/>
      <c r="DZ396" s="532"/>
      <c r="EA396" s="532"/>
      <c r="EB396" s="532"/>
      <c r="EC396" s="532"/>
      <c r="ED396" s="532"/>
      <c r="EE396" s="532"/>
      <c r="EF396" s="532"/>
      <c r="EG396" s="532"/>
      <c r="EH396" s="532"/>
      <c r="EI396" s="532"/>
      <c r="EJ396" s="532"/>
      <c r="EK396" s="532"/>
      <c r="EL396" s="532"/>
      <c r="EM396" s="532"/>
      <c r="EN396" s="532"/>
      <c r="EO396" s="532"/>
      <c r="EP396" s="532"/>
      <c r="EQ396" s="532"/>
      <c r="ER396" s="532"/>
      <c r="ES396" s="532"/>
      <c r="ET396" s="532"/>
      <c r="EU396" s="532"/>
      <c r="EV396" s="532"/>
      <c r="EW396" s="532"/>
      <c r="EX396" s="532"/>
      <c r="EY396" s="532"/>
      <c r="EZ396" s="532"/>
      <c r="FA396" s="532"/>
      <c r="FB396" s="532"/>
      <c r="FC396" s="532"/>
      <c r="FD396" s="532"/>
      <c r="FE396" s="532"/>
      <c r="FF396" s="532"/>
      <c r="FG396" s="532"/>
      <c r="FH396" s="532"/>
      <c r="FI396" s="532"/>
      <c r="FJ396" s="532"/>
      <c r="FK396" s="532"/>
      <c r="FL396" s="532"/>
      <c r="FM396" s="532"/>
      <c r="FN396" s="532"/>
      <c r="FO396" s="532"/>
      <c r="FP396" s="532"/>
    </row>
    <row r="397" spans="1:172" ht="12" customHeight="1" x14ac:dyDescent="0.2">
      <c r="A397" s="533" t="s">
        <v>255</v>
      </c>
      <c r="B397" s="534" t="s">
        <v>256</v>
      </c>
      <c r="C397" s="208">
        <f>1046+805+11</f>
        <v>1862</v>
      </c>
      <c r="D397" s="208">
        <f>712+773</f>
        <v>1485</v>
      </c>
      <c r="E397" s="208">
        <f>810+849</f>
        <v>1659</v>
      </c>
      <c r="F397" s="208">
        <f>817+792</f>
        <v>1609</v>
      </c>
      <c r="G397" s="208">
        <f>816+808</f>
        <v>1624</v>
      </c>
      <c r="H397" s="208">
        <f>961+924</f>
        <v>1885</v>
      </c>
      <c r="I397" s="208">
        <f>1088+820</f>
        <v>1908</v>
      </c>
      <c r="J397" s="208">
        <f>1273+926</f>
        <v>2199</v>
      </c>
      <c r="K397" s="208">
        <f>1315+863</f>
        <v>2178</v>
      </c>
      <c r="L397" s="562">
        <f>548+723</f>
        <v>1271</v>
      </c>
      <c r="M397" s="562">
        <f>1092+747</f>
        <v>1839</v>
      </c>
      <c r="N397" s="562">
        <f>857+860</f>
        <v>1717</v>
      </c>
      <c r="O397" s="530">
        <f>SUM(C397:N397)</f>
        <v>21236</v>
      </c>
      <c r="P397" s="531"/>
      <c r="Q397" s="531"/>
      <c r="R397" s="531"/>
      <c r="S397" s="531"/>
      <c r="T397" s="531"/>
      <c r="U397" s="531"/>
      <c r="V397" s="531"/>
      <c r="W397" s="531"/>
      <c r="X397" s="531"/>
      <c r="Y397" s="531"/>
      <c r="Z397" s="531"/>
      <c r="AA397" s="531"/>
      <c r="AB397" s="531"/>
      <c r="AC397" s="531"/>
      <c r="AD397" s="531"/>
      <c r="AE397" s="531"/>
      <c r="AF397" s="531"/>
      <c r="AG397" s="531"/>
      <c r="AH397" s="532"/>
      <c r="AI397" s="532"/>
      <c r="AJ397" s="532"/>
      <c r="AK397" s="532"/>
      <c r="AL397" s="532"/>
      <c r="AM397" s="532"/>
      <c r="AN397" s="532"/>
      <c r="AO397" s="532"/>
      <c r="AP397" s="532"/>
      <c r="AQ397" s="532"/>
      <c r="AR397" s="532"/>
      <c r="AS397" s="532"/>
      <c r="AT397" s="532"/>
      <c r="AU397" s="532"/>
      <c r="AV397" s="532"/>
      <c r="AW397" s="532"/>
      <c r="AX397" s="532"/>
      <c r="AY397" s="532"/>
      <c r="AZ397" s="532"/>
      <c r="BA397" s="532"/>
      <c r="BB397" s="532"/>
      <c r="BC397" s="532"/>
      <c r="BD397" s="532"/>
      <c r="BE397" s="532"/>
      <c r="BF397" s="532"/>
      <c r="BG397" s="532"/>
      <c r="BH397" s="532"/>
      <c r="BI397" s="532"/>
      <c r="BJ397" s="532"/>
      <c r="BK397" s="532"/>
      <c r="BL397" s="532"/>
      <c r="BM397" s="532"/>
      <c r="BN397" s="532"/>
      <c r="BO397" s="532"/>
      <c r="BP397" s="532"/>
      <c r="BQ397" s="532"/>
      <c r="BR397" s="532"/>
      <c r="BS397" s="532"/>
      <c r="BT397" s="532"/>
      <c r="BU397" s="532"/>
      <c r="BV397" s="532"/>
      <c r="BW397" s="532"/>
      <c r="BX397" s="532"/>
      <c r="BY397" s="532"/>
      <c r="BZ397" s="532"/>
      <c r="CA397" s="532"/>
      <c r="CB397" s="532"/>
      <c r="CC397" s="532"/>
      <c r="CD397" s="532"/>
      <c r="CE397" s="532"/>
      <c r="CF397" s="532"/>
      <c r="CG397" s="532"/>
      <c r="CH397" s="532"/>
      <c r="CI397" s="532"/>
      <c r="CJ397" s="532"/>
      <c r="CK397" s="532"/>
      <c r="CL397" s="532"/>
      <c r="CM397" s="532"/>
      <c r="CN397" s="532"/>
      <c r="CO397" s="532"/>
      <c r="CP397" s="532"/>
      <c r="CQ397" s="532"/>
      <c r="CR397" s="532"/>
      <c r="CS397" s="532"/>
      <c r="CT397" s="532"/>
      <c r="CU397" s="532"/>
      <c r="CV397" s="532"/>
      <c r="CW397" s="532"/>
      <c r="CX397" s="532"/>
      <c r="CY397" s="532"/>
      <c r="CZ397" s="532"/>
      <c r="DA397" s="532"/>
      <c r="DB397" s="532"/>
      <c r="DC397" s="532"/>
      <c r="DD397" s="532"/>
      <c r="DE397" s="532"/>
      <c r="DF397" s="532"/>
      <c r="DG397" s="532"/>
      <c r="DH397" s="532"/>
      <c r="DI397" s="532"/>
      <c r="DJ397" s="532"/>
      <c r="DK397" s="532"/>
      <c r="DL397" s="532"/>
      <c r="DM397" s="532"/>
      <c r="DN397" s="532"/>
      <c r="DO397" s="532"/>
      <c r="DP397" s="532"/>
      <c r="DQ397" s="532"/>
      <c r="DR397" s="532"/>
      <c r="DS397" s="532"/>
      <c r="DT397" s="532"/>
      <c r="DU397" s="532"/>
      <c r="DV397" s="532"/>
      <c r="DW397" s="532"/>
      <c r="DX397" s="532"/>
      <c r="DY397" s="532"/>
      <c r="DZ397" s="532"/>
      <c r="EA397" s="532"/>
      <c r="EB397" s="532"/>
      <c r="EC397" s="532"/>
      <c r="ED397" s="532"/>
      <c r="EE397" s="532"/>
      <c r="EF397" s="532"/>
      <c r="EG397" s="532"/>
      <c r="EH397" s="532"/>
      <c r="EI397" s="532"/>
      <c r="EJ397" s="532"/>
      <c r="EK397" s="532"/>
      <c r="EL397" s="532"/>
      <c r="EM397" s="532"/>
      <c r="EN397" s="532"/>
      <c r="EO397" s="532"/>
      <c r="EP397" s="532"/>
      <c r="EQ397" s="532"/>
      <c r="ER397" s="532"/>
      <c r="ES397" s="532"/>
      <c r="ET397" s="532"/>
      <c r="EU397" s="532"/>
      <c r="EV397" s="532"/>
      <c r="EW397" s="532"/>
      <c r="EX397" s="532"/>
      <c r="EY397" s="532"/>
      <c r="EZ397" s="532"/>
      <c r="FA397" s="532"/>
      <c r="FB397" s="532"/>
      <c r="FC397" s="532"/>
      <c r="FD397" s="532"/>
      <c r="FE397" s="532"/>
      <c r="FF397" s="532"/>
      <c r="FG397" s="532"/>
      <c r="FH397" s="532"/>
      <c r="FI397" s="532"/>
      <c r="FJ397" s="532"/>
      <c r="FK397" s="532"/>
      <c r="FL397" s="532"/>
      <c r="FM397" s="532"/>
      <c r="FN397" s="532"/>
      <c r="FO397" s="532"/>
      <c r="FP397" s="532"/>
    </row>
    <row r="398" spans="1:172" ht="12" customHeight="1" x14ac:dyDescent="0.2">
      <c r="A398" s="533" t="s">
        <v>257</v>
      </c>
      <c r="C398" s="208">
        <f t="shared" ref="C398:N398" si="178">SUM(C396:C397)</f>
        <v>6370</v>
      </c>
      <c r="D398" s="208">
        <f t="shared" si="178"/>
        <v>5936.2</v>
      </c>
      <c r="E398" s="208">
        <f t="shared" si="178"/>
        <v>5860</v>
      </c>
      <c r="F398" s="208">
        <f t="shared" si="178"/>
        <v>7364.9</v>
      </c>
      <c r="G398" s="208">
        <f t="shared" si="178"/>
        <v>7437</v>
      </c>
      <c r="H398" s="208">
        <f t="shared" si="178"/>
        <v>9812</v>
      </c>
      <c r="I398" s="208">
        <f t="shared" si="178"/>
        <v>6731</v>
      </c>
      <c r="J398" s="208">
        <f t="shared" si="178"/>
        <v>7993</v>
      </c>
      <c r="K398" s="208">
        <f t="shared" si="178"/>
        <v>9192</v>
      </c>
      <c r="L398" s="562">
        <f t="shared" si="178"/>
        <v>9362</v>
      </c>
      <c r="M398" s="562">
        <f t="shared" si="178"/>
        <v>9488</v>
      </c>
      <c r="N398" s="562">
        <f t="shared" si="178"/>
        <v>8414</v>
      </c>
      <c r="O398" s="530">
        <f>SUM(C398:N398)</f>
        <v>93960.1</v>
      </c>
      <c r="P398" s="531"/>
      <c r="Q398" s="531"/>
      <c r="R398" s="531"/>
      <c r="S398" s="531"/>
      <c r="T398" s="531"/>
      <c r="U398" s="531"/>
      <c r="V398" s="531"/>
      <c r="W398" s="531"/>
      <c r="X398" s="531"/>
      <c r="Y398" s="531"/>
      <c r="Z398" s="531"/>
      <c r="AA398" s="531"/>
      <c r="AB398" s="531"/>
      <c r="AC398" s="531"/>
      <c r="AD398" s="531"/>
      <c r="AE398" s="531"/>
      <c r="AF398" s="531"/>
      <c r="AG398" s="531"/>
      <c r="AH398" s="532"/>
      <c r="AI398" s="532"/>
      <c r="AJ398" s="532"/>
      <c r="AK398" s="532"/>
      <c r="AL398" s="532"/>
      <c r="AM398" s="532"/>
      <c r="AN398" s="532"/>
      <c r="AO398" s="532"/>
      <c r="AP398" s="532"/>
      <c r="AQ398" s="532"/>
      <c r="AR398" s="532"/>
      <c r="AS398" s="532"/>
      <c r="AT398" s="532"/>
      <c r="AU398" s="532"/>
      <c r="AV398" s="532"/>
      <c r="AW398" s="532"/>
      <c r="AX398" s="532"/>
      <c r="AY398" s="532"/>
      <c r="AZ398" s="532"/>
      <c r="BA398" s="532"/>
      <c r="BB398" s="532"/>
      <c r="BC398" s="532"/>
      <c r="BD398" s="532"/>
      <c r="BE398" s="532"/>
      <c r="BF398" s="532"/>
      <c r="BG398" s="532"/>
      <c r="BH398" s="532"/>
      <c r="BI398" s="532"/>
      <c r="BJ398" s="532"/>
      <c r="BK398" s="532"/>
      <c r="BL398" s="532"/>
      <c r="BM398" s="532"/>
      <c r="BN398" s="532"/>
      <c r="BO398" s="532"/>
      <c r="BP398" s="532"/>
      <c r="BQ398" s="532"/>
      <c r="BR398" s="532"/>
      <c r="BS398" s="532"/>
      <c r="BT398" s="532"/>
      <c r="BU398" s="532"/>
      <c r="BV398" s="532"/>
      <c r="BW398" s="532"/>
      <c r="BX398" s="532"/>
      <c r="BY398" s="532"/>
      <c r="BZ398" s="532"/>
      <c r="CA398" s="532"/>
      <c r="CB398" s="532"/>
      <c r="CC398" s="532"/>
      <c r="CD398" s="532"/>
      <c r="CE398" s="532"/>
      <c r="CF398" s="532"/>
      <c r="CG398" s="532"/>
      <c r="CH398" s="532"/>
      <c r="CI398" s="532"/>
      <c r="CJ398" s="532"/>
      <c r="CK398" s="532"/>
      <c r="CL398" s="532"/>
      <c r="CM398" s="532"/>
      <c r="CN398" s="532"/>
      <c r="CO398" s="532"/>
      <c r="CP398" s="532"/>
      <c r="CQ398" s="532"/>
      <c r="CR398" s="532"/>
      <c r="CS398" s="532"/>
      <c r="CT398" s="532"/>
      <c r="CU398" s="532"/>
      <c r="CV398" s="532"/>
      <c r="CW398" s="532"/>
      <c r="CX398" s="532"/>
      <c r="CY398" s="532"/>
      <c r="CZ398" s="532"/>
      <c r="DA398" s="532"/>
      <c r="DB398" s="532"/>
      <c r="DC398" s="532"/>
      <c r="DD398" s="532"/>
      <c r="DE398" s="532"/>
      <c r="DF398" s="532"/>
      <c r="DG398" s="532"/>
      <c r="DH398" s="532"/>
      <c r="DI398" s="532"/>
      <c r="DJ398" s="532"/>
      <c r="DK398" s="532"/>
      <c r="DL398" s="532"/>
      <c r="DM398" s="532"/>
      <c r="DN398" s="532"/>
      <c r="DO398" s="532"/>
      <c r="DP398" s="532"/>
      <c r="DQ398" s="532"/>
      <c r="DR398" s="532"/>
      <c r="DS398" s="532"/>
      <c r="DT398" s="532"/>
      <c r="DU398" s="532"/>
      <c r="DV398" s="532"/>
      <c r="DW398" s="532"/>
      <c r="DX398" s="532"/>
      <c r="DY398" s="532"/>
      <c r="DZ398" s="532"/>
      <c r="EA398" s="532"/>
      <c r="EB398" s="532"/>
      <c r="EC398" s="532"/>
      <c r="ED398" s="532"/>
      <c r="EE398" s="532"/>
      <c r="EF398" s="532"/>
      <c r="EG398" s="532"/>
      <c r="EH398" s="532"/>
      <c r="EI398" s="532"/>
      <c r="EJ398" s="532"/>
      <c r="EK398" s="532"/>
      <c r="EL398" s="532"/>
      <c r="EM398" s="532"/>
      <c r="EN398" s="532"/>
      <c r="EO398" s="532"/>
      <c r="EP398" s="532"/>
      <c r="EQ398" s="532"/>
      <c r="ER398" s="532"/>
      <c r="ES398" s="532"/>
      <c r="ET398" s="532"/>
      <c r="EU398" s="532"/>
      <c r="EV398" s="532"/>
      <c r="EW398" s="532"/>
      <c r="EX398" s="532"/>
      <c r="EY398" s="532"/>
      <c r="EZ398" s="532"/>
      <c r="FA398" s="532"/>
      <c r="FB398" s="532"/>
      <c r="FC398" s="532"/>
      <c r="FD398" s="532"/>
      <c r="FE398" s="532"/>
      <c r="FF398" s="532"/>
      <c r="FG398" s="532"/>
      <c r="FH398" s="532"/>
      <c r="FI398" s="532"/>
      <c r="FJ398" s="532"/>
      <c r="FK398" s="532"/>
      <c r="FL398" s="532"/>
      <c r="FM398" s="532"/>
      <c r="FN398" s="532"/>
      <c r="FO398" s="532"/>
      <c r="FP398" s="532"/>
    </row>
    <row r="399" spans="1:172" ht="12" customHeight="1" x14ac:dyDescent="0.2">
      <c r="A399" s="533"/>
      <c r="B399" s="534"/>
      <c r="C399" s="534"/>
      <c r="D399" s="534"/>
      <c r="E399" s="534"/>
      <c r="F399" s="534"/>
      <c r="G399" s="534"/>
      <c r="H399" s="534"/>
      <c r="I399" s="534"/>
      <c r="J399" s="534"/>
      <c r="K399" s="658"/>
      <c r="L399" s="562"/>
      <c r="M399" s="562"/>
      <c r="N399" s="562"/>
      <c r="O399" s="530" t="s">
        <v>55</v>
      </c>
      <c r="P399" s="531"/>
      <c r="Q399" s="531"/>
      <c r="R399" s="531"/>
      <c r="S399" s="531"/>
      <c r="T399" s="531"/>
      <c r="U399" s="531"/>
      <c r="V399" s="531"/>
      <c r="W399" s="531"/>
      <c r="X399" s="531"/>
      <c r="Y399" s="531"/>
      <c r="Z399" s="531"/>
      <c r="AA399" s="531"/>
      <c r="AB399" s="531"/>
      <c r="AC399" s="531"/>
      <c r="AD399" s="531"/>
      <c r="AE399" s="531"/>
      <c r="AF399" s="531"/>
      <c r="AG399" s="531"/>
      <c r="AH399" s="532"/>
      <c r="AI399" s="532"/>
      <c r="AJ399" s="532"/>
      <c r="AK399" s="532"/>
      <c r="AL399" s="532"/>
      <c r="AM399" s="532"/>
      <c r="AN399" s="532"/>
      <c r="AO399" s="532"/>
      <c r="AP399" s="532"/>
      <c r="AQ399" s="532"/>
      <c r="AR399" s="532"/>
      <c r="AS399" s="532"/>
      <c r="AT399" s="532"/>
      <c r="AU399" s="532"/>
      <c r="AV399" s="532"/>
      <c r="AW399" s="532"/>
      <c r="AX399" s="532"/>
      <c r="AY399" s="532"/>
      <c r="AZ399" s="532"/>
      <c r="BA399" s="532"/>
      <c r="BB399" s="532"/>
      <c r="BC399" s="532"/>
      <c r="BD399" s="532"/>
      <c r="BE399" s="532"/>
      <c r="BF399" s="532"/>
      <c r="BG399" s="532"/>
      <c r="BH399" s="532"/>
      <c r="BI399" s="532"/>
      <c r="BJ399" s="532"/>
      <c r="BK399" s="532"/>
      <c r="BL399" s="532"/>
      <c r="BM399" s="532"/>
      <c r="BN399" s="532"/>
      <c r="BO399" s="532"/>
      <c r="BP399" s="532"/>
      <c r="BQ399" s="532"/>
      <c r="BR399" s="532"/>
      <c r="BS399" s="532"/>
      <c r="BT399" s="532"/>
      <c r="BU399" s="532"/>
      <c r="BV399" s="532"/>
      <c r="BW399" s="532"/>
      <c r="BX399" s="532"/>
      <c r="BY399" s="532"/>
      <c r="BZ399" s="532"/>
      <c r="CA399" s="532"/>
      <c r="CB399" s="532"/>
      <c r="CC399" s="532"/>
      <c r="CD399" s="532"/>
      <c r="CE399" s="532"/>
      <c r="CF399" s="532"/>
      <c r="CG399" s="532"/>
      <c r="CH399" s="532"/>
      <c r="CI399" s="532"/>
      <c r="CJ399" s="532"/>
      <c r="CK399" s="532"/>
      <c r="CL399" s="532"/>
      <c r="CM399" s="532"/>
      <c r="CN399" s="532"/>
      <c r="CO399" s="532"/>
      <c r="CP399" s="532"/>
      <c r="CQ399" s="532"/>
      <c r="CR399" s="532"/>
      <c r="CS399" s="532"/>
      <c r="CT399" s="532"/>
      <c r="CU399" s="532"/>
      <c r="CV399" s="532"/>
      <c r="CW399" s="532"/>
      <c r="CX399" s="532"/>
      <c r="CY399" s="532"/>
      <c r="CZ399" s="532"/>
      <c r="DA399" s="532"/>
      <c r="DB399" s="532"/>
      <c r="DC399" s="532"/>
      <c r="DD399" s="532"/>
      <c r="DE399" s="532"/>
      <c r="DF399" s="532"/>
      <c r="DG399" s="532"/>
      <c r="DH399" s="532"/>
      <c r="DI399" s="532"/>
      <c r="DJ399" s="532"/>
      <c r="DK399" s="532"/>
      <c r="DL399" s="532"/>
      <c r="DM399" s="532"/>
      <c r="DN399" s="532"/>
      <c r="DO399" s="532"/>
      <c r="DP399" s="532"/>
      <c r="DQ399" s="532"/>
      <c r="DR399" s="532"/>
      <c r="DS399" s="532"/>
      <c r="DT399" s="532"/>
      <c r="DU399" s="532"/>
      <c r="DV399" s="532"/>
      <c r="DW399" s="532"/>
      <c r="DX399" s="532"/>
      <c r="DY399" s="532"/>
      <c r="DZ399" s="532"/>
      <c r="EA399" s="532"/>
      <c r="EB399" s="532"/>
      <c r="EC399" s="532"/>
      <c r="ED399" s="532"/>
      <c r="EE399" s="532"/>
      <c r="EF399" s="532"/>
      <c r="EG399" s="532"/>
      <c r="EH399" s="532"/>
      <c r="EI399" s="532"/>
      <c r="EJ399" s="532"/>
      <c r="EK399" s="532"/>
      <c r="EL399" s="532"/>
      <c r="EM399" s="532"/>
      <c r="EN399" s="532"/>
      <c r="EO399" s="532"/>
      <c r="EP399" s="532"/>
      <c r="EQ399" s="532"/>
      <c r="ER399" s="532"/>
      <c r="ES399" s="532"/>
      <c r="ET399" s="532"/>
      <c r="EU399" s="532"/>
      <c r="EV399" s="532"/>
      <c r="EW399" s="532"/>
      <c r="EX399" s="532"/>
      <c r="EY399" s="532"/>
      <c r="EZ399" s="532"/>
      <c r="FA399" s="532"/>
      <c r="FB399" s="532"/>
      <c r="FC399" s="532"/>
      <c r="FD399" s="532"/>
      <c r="FE399" s="532"/>
      <c r="FF399" s="532"/>
      <c r="FG399" s="532"/>
      <c r="FH399" s="532"/>
      <c r="FI399" s="532"/>
      <c r="FJ399" s="532"/>
      <c r="FK399" s="532"/>
      <c r="FL399" s="532"/>
      <c r="FM399" s="532"/>
      <c r="FN399" s="532"/>
      <c r="FO399" s="532"/>
      <c r="FP399" s="532"/>
    </row>
    <row r="400" spans="1:172" ht="12" customHeight="1" x14ac:dyDescent="0.2">
      <c r="A400" s="533" t="s">
        <v>258</v>
      </c>
      <c r="B400" s="534" t="s">
        <v>259</v>
      </c>
      <c r="C400" s="208">
        <f>1+2+1157</f>
        <v>1160</v>
      </c>
      <c r="D400" s="666">
        <v>1455</v>
      </c>
      <c r="E400" s="208">
        <f>2+1391</f>
        <v>1393</v>
      </c>
      <c r="F400" s="208">
        <f>1737+1</f>
        <v>1738</v>
      </c>
      <c r="G400" s="208">
        <f>4+1828</f>
        <v>1832</v>
      </c>
      <c r="H400" s="208">
        <f>2+4+2+2337+1</f>
        <v>2346</v>
      </c>
      <c r="I400" s="208">
        <f>3+2+1341</f>
        <v>1346</v>
      </c>
      <c r="J400" s="208">
        <f>3+1+1097</f>
        <v>1101</v>
      </c>
      <c r="K400" s="208">
        <f>3+1608</f>
        <v>1611</v>
      </c>
      <c r="L400" s="562">
        <f>1+2028</f>
        <v>2029</v>
      </c>
      <c r="M400" s="562">
        <v>2390</v>
      </c>
      <c r="N400" s="562">
        <v>1669</v>
      </c>
      <c r="O400" s="530">
        <f>SUM(C400:N400)</f>
        <v>20070</v>
      </c>
      <c r="P400" s="531"/>
      <c r="Q400" s="531"/>
      <c r="R400" s="531"/>
      <c r="S400" s="531"/>
      <c r="T400" s="531"/>
      <c r="U400" s="531"/>
      <c r="V400" s="531"/>
      <c r="W400" s="531"/>
      <c r="X400" s="531"/>
      <c r="Y400" s="531"/>
      <c r="Z400" s="531"/>
      <c r="AA400" s="531"/>
      <c r="AB400" s="531"/>
      <c r="AC400" s="531"/>
      <c r="AD400" s="531"/>
      <c r="AE400" s="531"/>
      <c r="AF400" s="531"/>
      <c r="AG400" s="531"/>
      <c r="AH400" s="532"/>
      <c r="AI400" s="532"/>
      <c r="AJ400" s="532"/>
      <c r="AK400" s="532"/>
      <c r="AL400" s="532"/>
      <c r="AM400" s="532"/>
      <c r="AN400" s="532"/>
      <c r="AO400" s="532"/>
      <c r="AP400" s="532"/>
      <c r="AQ400" s="532"/>
      <c r="AR400" s="532"/>
      <c r="AS400" s="532"/>
      <c r="AT400" s="532"/>
      <c r="AU400" s="532"/>
      <c r="AV400" s="532"/>
      <c r="AW400" s="532"/>
      <c r="AX400" s="532"/>
      <c r="AY400" s="532"/>
      <c r="AZ400" s="532"/>
      <c r="BA400" s="532"/>
      <c r="BB400" s="532"/>
      <c r="BC400" s="532"/>
      <c r="BD400" s="532"/>
      <c r="BE400" s="532"/>
      <c r="BF400" s="532"/>
      <c r="BG400" s="532"/>
      <c r="BH400" s="532"/>
      <c r="BI400" s="532"/>
      <c r="BJ400" s="532"/>
      <c r="BK400" s="532"/>
      <c r="BL400" s="532"/>
      <c r="BM400" s="532"/>
      <c r="BN400" s="532"/>
      <c r="BO400" s="532"/>
      <c r="BP400" s="532"/>
      <c r="BQ400" s="532"/>
      <c r="BR400" s="532"/>
      <c r="BS400" s="532"/>
      <c r="BT400" s="532"/>
      <c r="BU400" s="532"/>
      <c r="BV400" s="532"/>
      <c r="BW400" s="532"/>
      <c r="BX400" s="532"/>
      <c r="BY400" s="532"/>
      <c r="BZ400" s="532"/>
      <c r="CA400" s="532"/>
      <c r="CB400" s="532"/>
      <c r="CC400" s="532"/>
      <c r="CD400" s="532"/>
      <c r="CE400" s="532"/>
      <c r="CF400" s="532"/>
      <c r="CG400" s="532"/>
      <c r="CH400" s="532"/>
      <c r="CI400" s="532"/>
      <c r="CJ400" s="532"/>
      <c r="CK400" s="532"/>
      <c r="CL400" s="532"/>
      <c r="CM400" s="532"/>
      <c r="CN400" s="532"/>
      <c r="CO400" s="532"/>
      <c r="CP400" s="532"/>
      <c r="CQ400" s="532"/>
      <c r="CR400" s="532"/>
      <c r="CS400" s="532"/>
      <c r="CT400" s="532"/>
      <c r="CU400" s="532"/>
      <c r="CV400" s="532"/>
      <c r="CW400" s="532"/>
      <c r="CX400" s="532"/>
      <c r="CY400" s="532"/>
      <c r="CZ400" s="532"/>
      <c r="DA400" s="532"/>
      <c r="DB400" s="532"/>
      <c r="DC400" s="532"/>
      <c r="DD400" s="532"/>
      <c r="DE400" s="532"/>
      <c r="DF400" s="532"/>
      <c r="DG400" s="532"/>
      <c r="DH400" s="532"/>
      <c r="DI400" s="532"/>
      <c r="DJ400" s="532"/>
      <c r="DK400" s="532"/>
      <c r="DL400" s="532"/>
      <c r="DM400" s="532"/>
      <c r="DN400" s="532"/>
      <c r="DO400" s="532"/>
      <c r="DP400" s="532"/>
      <c r="DQ400" s="532"/>
      <c r="DR400" s="532"/>
      <c r="DS400" s="532"/>
      <c r="DT400" s="532"/>
      <c r="DU400" s="532"/>
      <c r="DV400" s="532"/>
      <c r="DW400" s="532"/>
      <c r="DX400" s="532"/>
      <c r="DY400" s="532"/>
      <c r="DZ400" s="532"/>
      <c r="EA400" s="532"/>
      <c r="EB400" s="532"/>
      <c r="EC400" s="532"/>
      <c r="ED400" s="532"/>
      <c r="EE400" s="532"/>
      <c r="EF400" s="532"/>
      <c r="EG400" s="532"/>
      <c r="EH400" s="532"/>
      <c r="EI400" s="532"/>
      <c r="EJ400" s="532"/>
      <c r="EK400" s="532"/>
      <c r="EL400" s="532"/>
      <c r="EM400" s="532"/>
      <c r="EN400" s="532"/>
      <c r="EO400" s="532"/>
      <c r="EP400" s="532"/>
      <c r="EQ400" s="532"/>
      <c r="ER400" s="532"/>
      <c r="ES400" s="532"/>
      <c r="ET400" s="532"/>
      <c r="EU400" s="532"/>
      <c r="EV400" s="532"/>
      <c r="EW400" s="532"/>
      <c r="EX400" s="532"/>
      <c r="EY400" s="532"/>
      <c r="EZ400" s="532"/>
      <c r="FA400" s="532"/>
      <c r="FB400" s="532"/>
      <c r="FC400" s="532"/>
      <c r="FD400" s="532"/>
      <c r="FE400" s="532"/>
      <c r="FF400" s="532"/>
      <c r="FG400" s="532"/>
      <c r="FH400" s="532"/>
      <c r="FI400" s="532"/>
      <c r="FJ400" s="532"/>
      <c r="FK400" s="532"/>
      <c r="FL400" s="532"/>
      <c r="FM400" s="532"/>
      <c r="FN400" s="532"/>
      <c r="FO400" s="532"/>
      <c r="FP400" s="532"/>
    </row>
    <row r="401" spans="1:172" ht="12" customHeight="1" x14ac:dyDescent="0.2">
      <c r="A401" s="533" t="s">
        <v>260</v>
      </c>
      <c r="B401" s="534" t="s">
        <v>261</v>
      </c>
      <c r="C401" s="208">
        <f>2+1685+1461+28</f>
        <v>3176</v>
      </c>
      <c r="D401" s="666">
        <f>1967+1423</f>
        <v>3390</v>
      </c>
      <c r="E401" s="208">
        <f>1340+1342</f>
        <v>2682</v>
      </c>
      <c r="F401" s="208">
        <f>1370+1654</f>
        <v>3024</v>
      </c>
      <c r="G401" s="208">
        <f>1+1837+1554</f>
        <v>3392</v>
      </c>
      <c r="H401" s="208">
        <f>1754+1711</f>
        <v>3465</v>
      </c>
      <c r="I401" s="208">
        <f>1633+1687</f>
        <v>3320</v>
      </c>
      <c r="J401" s="208">
        <f>2397+1574</f>
        <v>3971</v>
      </c>
      <c r="K401" s="208">
        <f>1837+1484</f>
        <v>3321</v>
      </c>
      <c r="L401" s="562">
        <f>1592+1585</f>
        <v>3177</v>
      </c>
      <c r="M401" s="562">
        <f>2191+1584</f>
        <v>3775</v>
      </c>
      <c r="N401" s="562">
        <f>1782+1462</f>
        <v>3244</v>
      </c>
      <c r="O401" s="530">
        <f>SUM(C401:N401)</f>
        <v>39937</v>
      </c>
      <c r="P401" s="531"/>
      <c r="Q401" s="531"/>
      <c r="R401" s="531"/>
      <c r="S401" s="531"/>
      <c r="T401" s="531"/>
      <c r="U401" s="531"/>
      <c r="V401" s="531"/>
      <c r="W401" s="531"/>
      <c r="X401" s="531"/>
      <c r="Y401" s="531"/>
      <c r="Z401" s="531"/>
      <c r="AA401" s="531"/>
      <c r="AB401" s="531"/>
      <c r="AC401" s="531"/>
      <c r="AD401" s="531"/>
      <c r="AE401" s="531"/>
      <c r="AF401" s="531"/>
      <c r="AG401" s="531"/>
      <c r="AH401" s="532"/>
      <c r="AI401" s="532"/>
      <c r="AJ401" s="532"/>
      <c r="AK401" s="532"/>
      <c r="AL401" s="532"/>
      <c r="AM401" s="532"/>
      <c r="AN401" s="532"/>
      <c r="AO401" s="532"/>
      <c r="AP401" s="532"/>
      <c r="AQ401" s="532"/>
      <c r="AR401" s="532"/>
      <c r="AS401" s="532"/>
      <c r="AT401" s="532"/>
      <c r="AU401" s="532"/>
      <c r="AV401" s="532"/>
      <c r="AW401" s="532"/>
      <c r="AX401" s="532"/>
      <c r="AY401" s="532"/>
      <c r="AZ401" s="532"/>
      <c r="BA401" s="532"/>
      <c r="BB401" s="532"/>
      <c r="BC401" s="532"/>
      <c r="BD401" s="532"/>
      <c r="BE401" s="532"/>
      <c r="BF401" s="532"/>
      <c r="BG401" s="532"/>
      <c r="BH401" s="532"/>
      <c r="BI401" s="532"/>
      <c r="BJ401" s="532"/>
      <c r="BK401" s="532"/>
      <c r="BL401" s="532"/>
      <c r="BM401" s="532"/>
      <c r="BN401" s="532"/>
      <c r="BO401" s="532"/>
      <c r="BP401" s="532"/>
      <c r="BQ401" s="532"/>
      <c r="BR401" s="532"/>
      <c r="BS401" s="532"/>
      <c r="BT401" s="532"/>
      <c r="BU401" s="532"/>
      <c r="BV401" s="532"/>
      <c r="BW401" s="532"/>
      <c r="BX401" s="532"/>
      <c r="BY401" s="532"/>
      <c r="BZ401" s="532"/>
      <c r="CA401" s="532"/>
      <c r="CB401" s="532"/>
      <c r="CC401" s="532"/>
      <c r="CD401" s="532"/>
      <c r="CE401" s="532"/>
      <c r="CF401" s="532"/>
      <c r="CG401" s="532"/>
      <c r="CH401" s="532"/>
      <c r="CI401" s="532"/>
      <c r="CJ401" s="532"/>
      <c r="CK401" s="532"/>
      <c r="CL401" s="532"/>
      <c r="CM401" s="532"/>
      <c r="CN401" s="532"/>
      <c r="CO401" s="532"/>
      <c r="CP401" s="532"/>
      <c r="CQ401" s="532"/>
      <c r="CR401" s="532"/>
      <c r="CS401" s="532"/>
      <c r="CT401" s="532"/>
      <c r="CU401" s="532"/>
      <c r="CV401" s="532"/>
      <c r="CW401" s="532"/>
      <c r="CX401" s="532"/>
      <c r="CY401" s="532"/>
      <c r="CZ401" s="532"/>
      <c r="DA401" s="532"/>
      <c r="DB401" s="532"/>
      <c r="DC401" s="532"/>
      <c r="DD401" s="532"/>
      <c r="DE401" s="532"/>
      <c r="DF401" s="532"/>
      <c r="DG401" s="532"/>
      <c r="DH401" s="532"/>
      <c r="DI401" s="532"/>
      <c r="DJ401" s="532"/>
      <c r="DK401" s="532"/>
      <c r="DL401" s="532"/>
      <c r="DM401" s="532"/>
      <c r="DN401" s="532"/>
      <c r="DO401" s="532"/>
      <c r="DP401" s="532"/>
      <c r="DQ401" s="532"/>
      <c r="DR401" s="532"/>
      <c r="DS401" s="532"/>
      <c r="DT401" s="532"/>
      <c r="DU401" s="532"/>
      <c r="DV401" s="532"/>
      <c r="DW401" s="532"/>
      <c r="DX401" s="532"/>
      <c r="DY401" s="532"/>
      <c r="DZ401" s="532"/>
      <c r="EA401" s="532"/>
      <c r="EB401" s="532"/>
      <c r="EC401" s="532"/>
      <c r="ED401" s="532"/>
      <c r="EE401" s="532"/>
      <c r="EF401" s="532"/>
      <c r="EG401" s="532"/>
      <c r="EH401" s="532"/>
      <c r="EI401" s="532"/>
      <c r="EJ401" s="532"/>
      <c r="EK401" s="532"/>
      <c r="EL401" s="532"/>
      <c r="EM401" s="532"/>
      <c r="EN401" s="532"/>
      <c r="EO401" s="532"/>
      <c r="EP401" s="532"/>
      <c r="EQ401" s="532"/>
      <c r="ER401" s="532"/>
      <c r="ES401" s="532"/>
      <c r="ET401" s="532"/>
      <c r="EU401" s="532"/>
      <c r="EV401" s="532"/>
      <c r="EW401" s="532"/>
      <c r="EX401" s="532"/>
      <c r="EY401" s="532"/>
      <c r="EZ401" s="532"/>
      <c r="FA401" s="532"/>
      <c r="FB401" s="532"/>
      <c r="FC401" s="532"/>
      <c r="FD401" s="532"/>
      <c r="FE401" s="532"/>
      <c r="FF401" s="532"/>
      <c r="FG401" s="532"/>
      <c r="FH401" s="532"/>
      <c r="FI401" s="532"/>
      <c r="FJ401" s="532"/>
      <c r="FK401" s="532"/>
      <c r="FL401" s="532"/>
      <c r="FM401" s="532"/>
      <c r="FN401" s="532"/>
      <c r="FO401" s="532"/>
      <c r="FP401" s="532"/>
    </row>
    <row r="402" spans="1:172" ht="12" customHeight="1" x14ac:dyDescent="0.2">
      <c r="A402" s="533" t="s">
        <v>262</v>
      </c>
      <c r="B402" s="534"/>
      <c r="C402" s="208">
        <f t="shared" ref="C402:N402" si="179">SUM(C400:C401)</f>
        <v>4336</v>
      </c>
      <c r="D402" s="666">
        <f t="shared" si="179"/>
        <v>4845</v>
      </c>
      <c r="E402" s="208">
        <f t="shared" si="179"/>
        <v>4075</v>
      </c>
      <c r="F402" s="208">
        <f t="shared" si="179"/>
        <v>4762</v>
      </c>
      <c r="G402" s="208">
        <f t="shared" si="179"/>
        <v>5224</v>
      </c>
      <c r="H402" s="208">
        <f t="shared" si="179"/>
        <v>5811</v>
      </c>
      <c r="I402" s="208">
        <f t="shared" si="179"/>
        <v>4666</v>
      </c>
      <c r="J402" s="208">
        <f t="shared" si="179"/>
        <v>5072</v>
      </c>
      <c r="K402" s="208">
        <f t="shared" si="179"/>
        <v>4932</v>
      </c>
      <c r="L402" s="562">
        <f t="shared" si="179"/>
        <v>5206</v>
      </c>
      <c r="M402" s="562">
        <f t="shared" si="179"/>
        <v>6165</v>
      </c>
      <c r="N402" s="562">
        <f t="shared" si="179"/>
        <v>4913</v>
      </c>
      <c r="O402" s="530">
        <f>SUM(C402:N402)</f>
        <v>60007</v>
      </c>
      <c r="P402" s="531"/>
      <c r="Q402" s="531"/>
      <c r="R402" s="531"/>
      <c r="S402" s="531"/>
      <c r="T402" s="531"/>
      <c r="U402" s="531"/>
      <c r="V402" s="531"/>
      <c r="W402" s="531"/>
      <c r="X402" s="531"/>
      <c r="Y402" s="531"/>
      <c r="Z402" s="531"/>
      <c r="AA402" s="531"/>
      <c r="AB402" s="531"/>
      <c r="AC402" s="531"/>
      <c r="AD402" s="531"/>
      <c r="AE402" s="531"/>
      <c r="AF402" s="531"/>
      <c r="AG402" s="531"/>
      <c r="AH402" s="532"/>
      <c r="AI402" s="532"/>
      <c r="AJ402" s="532"/>
      <c r="AK402" s="532"/>
      <c r="AL402" s="532"/>
      <c r="AM402" s="532"/>
      <c r="AN402" s="532"/>
      <c r="AO402" s="532"/>
      <c r="AP402" s="532"/>
      <c r="AQ402" s="532"/>
      <c r="AR402" s="532"/>
      <c r="AS402" s="532"/>
      <c r="AT402" s="532"/>
      <c r="AU402" s="532"/>
      <c r="AV402" s="532"/>
      <c r="AW402" s="532"/>
      <c r="AX402" s="532"/>
      <c r="AY402" s="532"/>
      <c r="AZ402" s="532"/>
      <c r="BA402" s="532"/>
      <c r="BB402" s="532"/>
      <c r="BC402" s="532"/>
      <c r="BD402" s="532"/>
      <c r="BE402" s="532"/>
      <c r="BF402" s="532"/>
      <c r="BG402" s="532"/>
      <c r="BH402" s="532"/>
      <c r="BI402" s="532"/>
      <c r="BJ402" s="532"/>
      <c r="BK402" s="532"/>
      <c r="BL402" s="532"/>
      <c r="BM402" s="532"/>
      <c r="BN402" s="532"/>
      <c r="BO402" s="532"/>
      <c r="BP402" s="532"/>
      <c r="BQ402" s="532"/>
      <c r="BR402" s="532"/>
      <c r="BS402" s="532"/>
      <c r="BT402" s="532"/>
      <c r="BU402" s="532"/>
      <c r="BV402" s="532"/>
      <c r="BW402" s="532"/>
      <c r="BX402" s="532"/>
      <c r="BY402" s="532"/>
      <c r="BZ402" s="532"/>
      <c r="CA402" s="532"/>
      <c r="CB402" s="532"/>
      <c r="CC402" s="532"/>
      <c r="CD402" s="532"/>
      <c r="CE402" s="532"/>
      <c r="CF402" s="532"/>
      <c r="CG402" s="532"/>
      <c r="CH402" s="532"/>
      <c r="CI402" s="532"/>
      <c r="CJ402" s="532"/>
      <c r="CK402" s="532"/>
      <c r="CL402" s="532"/>
      <c r="CM402" s="532"/>
      <c r="CN402" s="532"/>
      <c r="CO402" s="532"/>
      <c r="CP402" s="532"/>
      <c r="CQ402" s="532"/>
      <c r="CR402" s="532"/>
      <c r="CS402" s="532"/>
      <c r="CT402" s="532"/>
      <c r="CU402" s="532"/>
      <c r="CV402" s="532"/>
      <c r="CW402" s="532"/>
      <c r="CX402" s="532"/>
      <c r="CY402" s="532"/>
      <c r="CZ402" s="532"/>
      <c r="DA402" s="532"/>
      <c r="DB402" s="532"/>
      <c r="DC402" s="532"/>
      <c r="DD402" s="532"/>
      <c r="DE402" s="532"/>
      <c r="DF402" s="532"/>
      <c r="DG402" s="532"/>
      <c r="DH402" s="532"/>
      <c r="DI402" s="532"/>
      <c r="DJ402" s="532"/>
      <c r="DK402" s="532"/>
      <c r="DL402" s="532"/>
      <c r="DM402" s="532"/>
      <c r="DN402" s="532"/>
      <c r="DO402" s="532"/>
      <c r="DP402" s="532"/>
      <c r="DQ402" s="532"/>
      <c r="DR402" s="532"/>
      <c r="DS402" s="532"/>
      <c r="DT402" s="532"/>
      <c r="DU402" s="532"/>
      <c r="DV402" s="532"/>
      <c r="DW402" s="532"/>
      <c r="DX402" s="532"/>
      <c r="DY402" s="532"/>
      <c r="DZ402" s="532"/>
      <c r="EA402" s="532"/>
      <c r="EB402" s="532"/>
      <c r="EC402" s="532"/>
      <c r="ED402" s="532"/>
      <c r="EE402" s="532"/>
      <c r="EF402" s="532"/>
      <c r="EG402" s="532"/>
      <c r="EH402" s="532"/>
      <c r="EI402" s="532"/>
      <c r="EJ402" s="532"/>
      <c r="EK402" s="532"/>
      <c r="EL402" s="532"/>
      <c r="EM402" s="532"/>
      <c r="EN402" s="532"/>
      <c r="EO402" s="532"/>
      <c r="EP402" s="532"/>
      <c r="EQ402" s="532"/>
      <c r="ER402" s="532"/>
      <c r="ES402" s="532"/>
      <c r="ET402" s="532"/>
      <c r="EU402" s="532"/>
      <c r="EV402" s="532"/>
      <c r="EW402" s="532"/>
      <c r="EX402" s="532"/>
      <c r="EY402" s="532"/>
      <c r="EZ402" s="532"/>
      <c r="FA402" s="532"/>
      <c r="FB402" s="532"/>
      <c r="FC402" s="532"/>
      <c r="FD402" s="532"/>
      <c r="FE402" s="532"/>
      <c r="FF402" s="532"/>
      <c r="FG402" s="532"/>
      <c r="FH402" s="532"/>
      <c r="FI402" s="532"/>
      <c r="FJ402" s="532"/>
      <c r="FK402" s="532"/>
      <c r="FL402" s="532"/>
      <c r="FM402" s="532"/>
      <c r="FN402" s="532"/>
      <c r="FO402" s="532"/>
      <c r="FP402" s="532"/>
    </row>
    <row r="403" spans="1:172" ht="12" customHeight="1" x14ac:dyDescent="0.2">
      <c r="A403" s="529"/>
      <c r="B403" s="529"/>
      <c r="C403" s="529"/>
      <c r="D403" s="529"/>
      <c r="E403" s="529"/>
      <c r="F403" s="529"/>
      <c r="G403" s="529"/>
      <c r="H403" s="529"/>
      <c r="I403" s="529"/>
      <c r="J403" s="529"/>
      <c r="K403" s="664"/>
      <c r="L403" s="569"/>
      <c r="M403" s="569"/>
      <c r="N403" s="569"/>
      <c r="O403" s="530" t="s">
        <v>55</v>
      </c>
      <c r="P403" s="531"/>
      <c r="Q403" s="531"/>
      <c r="R403" s="531"/>
      <c r="S403" s="531"/>
      <c r="T403" s="531"/>
      <c r="U403" s="531"/>
      <c r="V403" s="531"/>
      <c r="W403" s="531"/>
      <c r="X403" s="531"/>
      <c r="Y403" s="531"/>
      <c r="Z403" s="531"/>
      <c r="AA403" s="531"/>
      <c r="AB403" s="531"/>
      <c r="AC403" s="531"/>
      <c r="AD403" s="531"/>
      <c r="AE403" s="531"/>
      <c r="AF403" s="531"/>
      <c r="AG403" s="531"/>
      <c r="AH403" s="532"/>
      <c r="AI403" s="532"/>
      <c r="AJ403" s="532"/>
      <c r="AK403" s="532"/>
      <c r="AL403" s="532"/>
      <c r="AM403" s="532"/>
      <c r="AN403" s="532"/>
      <c r="AO403" s="532"/>
      <c r="AP403" s="532"/>
      <c r="AQ403" s="532"/>
      <c r="AR403" s="532"/>
      <c r="AS403" s="532"/>
      <c r="AT403" s="532"/>
      <c r="AU403" s="532"/>
      <c r="AV403" s="532"/>
      <c r="AW403" s="532"/>
      <c r="AX403" s="532"/>
      <c r="AY403" s="532"/>
      <c r="AZ403" s="532"/>
      <c r="BA403" s="532"/>
      <c r="BB403" s="532"/>
      <c r="BC403" s="532"/>
      <c r="BD403" s="532"/>
      <c r="BE403" s="532"/>
      <c r="BF403" s="532"/>
      <c r="BG403" s="532"/>
      <c r="BH403" s="532"/>
      <c r="BI403" s="532"/>
      <c r="BJ403" s="532"/>
      <c r="BK403" s="532"/>
      <c r="BL403" s="532"/>
      <c r="BM403" s="532"/>
      <c r="BN403" s="532"/>
      <c r="BO403" s="532"/>
      <c r="BP403" s="532"/>
      <c r="BQ403" s="532"/>
      <c r="BR403" s="532"/>
      <c r="BS403" s="532"/>
      <c r="BT403" s="532"/>
      <c r="BU403" s="532"/>
      <c r="BV403" s="532"/>
      <c r="BW403" s="532"/>
      <c r="BX403" s="532"/>
      <c r="BY403" s="532"/>
      <c r="BZ403" s="532"/>
      <c r="CA403" s="532"/>
      <c r="CB403" s="532"/>
      <c r="CC403" s="532"/>
      <c r="CD403" s="532"/>
      <c r="CE403" s="532"/>
      <c r="CF403" s="532"/>
      <c r="CG403" s="532"/>
      <c r="CH403" s="532"/>
      <c r="CI403" s="532"/>
      <c r="CJ403" s="532"/>
      <c r="CK403" s="532"/>
      <c r="CL403" s="532"/>
      <c r="CM403" s="532"/>
      <c r="CN403" s="532"/>
      <c r="CO403" s="532"/>
      <c r="CP403" s="532"/>
      <c r="CQ403" s="532"/>
      <c r="CR403" s="532"/>
      <c r="CS403" s="532"/>
      <c r="CT403" s="532"/>
      <c r="CU403" s="532"/>
      <c r="CV403" s="532"/>
      <c r="CW403" s="532"/>
      <c r="CX403" s="532"/>
      <c r="CY403" s="532"/>
      <c r="CZ403" s="532"/>
      <c r="DA403" s="532"/>
      <c r="DB403" s="532"/>
      <c r="DC403" s="532"/>
      <c r="DD403" s="532"/>
      <c r="DE403" s="532"/>
      <c r="DF403" s="532"/>
      <c r="DG403" s="532"/>
      <c r="DH403" s="532"/>
      <c r="DI403" s="532"/>
      <c r="DJ403" s="532"/>
      <c r="DK403" s="532"/>
      <c r="DL403" s="532"/>
      <c r="DM403" s="532"/>
      <c r="DN403" s="532"/>
      <c r="DO403" s="532"/>
      <c r="DP403" s="532"/>
      <c r="DQ403" s="532"/>
      <c r="DR403" s="532"/>
      <c r="DS403" s="532"/>
      <c r="DT403" s="532"/>
      <c r="DU403" s="532"/>
      <c r="DV403" s="532"/>
      <c r="DW403" s="532"/>
      <c r="DX403" s="532"/>
      <c r="DY403" s="532"/>
      <c r="DZ403" s="532"/>
      <c r="EA403" s="532"/>
      <c r="EB403" s="532"/>
      <c r="EC403" s="532"/>
      <c r="ED403" s="532"/>
      <c r="EE403" s="532"/>
      <c r="EF403" s="532"/>
      <c r="EG403" s="532"/>
      <c r="EH403" s="532"/>
      <c r="EI403" s="532"/>
      <c r="EJ403" s="532"/>
      <c r="EK403" s="532"/>
      <c r="EL403" s="532"/>
      <c r="EM403" s="532"/>
      <c r="EN403" s="532"/>
      <c r="EO403" s="532"/>
      <c r="EP403" s="532"/>
      <c r="EQ403" s="532"/>
      <c r="ER403" s="532"/>
      <c r="ES403" s="532"/>
      <c r="ET403" s="532"/>
      <c r="EU403" s="532"/>
      <c r="EV403" s="532"/>
      <c r="EW403" s="532"/>
      <c r="EX403" s="532"/>
      <c r="EY403" s="532"/>
      <c r="EZ403" s="532"/>
      <c r="FA403" s="532"/>
      <c r="FB403" s="532"/>
      <c r="FC403" s="532"/>
      <c r="FD403" s="532"/>
      <c r="FE403" s="532"/>
      <c r="FF403" s="532"/>
      <c r="FG403" s="532"/>
      <c r="FH403" s="532"/>
      <c r="FI403" s="532"/>
      <c r="FJ403" s="532"/>
      <c r="FK403" s="532"/>
      <c r="FL403" s="532"/>
      <c r="FM403" s="532"/>
      <c r="FN403" s="532"/>
      <c r="FO403" s="532"/>
      <c r="FP403" s="532"/>
    </row>
    <row r="404" spans="1:172" ht="12" customHeight="1" x14ac:dyDescent="0.2">
      <c r="A404" s="533" t="s">
        <v>263</v>
      </c>
      <c r="B404" s="534" t="s">
        <v>264</v>
      </c>
      <c r="C404" s="208">
        <v>789</v>
      </c>
      <c r="D404" s="208">
        <v>1288</v>
      </c>
      <c r="E404" s="208">
        <v>1111</v>
      </c>
      <c r="F404" s="208">
        <v>1189</v>
      </c>
      <c r="G404" s="208">
        <v>1133</v>
      </c>
      <c r="H404" s="208">
        <v>1431</v>
      </c>
      <c r="I404" s="208">
        <v>1016</v>
      </c>
      <c r="J404" s="208">
        <v>866</v>
      </c>
      <c r="K404" s="208">
        <v>1251</v>
      </c>
      <c r="L404" s="562">
        <v>1217</v>
      </c>
      <c r="M404" s="562">
        <v>1580</v>
      </c>
      <c r="N404" s="562">
        <v>1082</v>
      </c>
      <c r="O404" s="530">
        <f>SUM(C404:N404)</f>
        <v>13953</v>
      </c>
      <c r="P404" s="531"/>
      <c r="Q404" s="531"/>
      <c r="R404" s="531"/>
      <c r="S404" s="531"/>
      <c r="T404" s="531"/>
      <c r="U404" s="531"/>
      <c r="V404" s="531"/>
      <c r="W404" s="531"/>
      <c r="X404" s="531"/>
      <c r="Y404" s="531"/>
      <c r="Z404" s="531"/>
      <c r="AA404" s="531"/>
      <c r="AB404" s="531"/>
      <c r="AC404" s="531"/>
      <c r="AD404" s="531"/>
      <c r="AE404" s="531"/>
      <c r="AF404" s="531"/>
      <c r="AG404" s="531"/>
      <c r="AH404" s="532"/>
      <c r="AI404" s="532"/>
      <c r="AJ404" s="532"/>
      <c r="AK404" s="532"/>
      <c r="AL404" s="532"/>
      <c r="AM404" s="532"/>
      <c r="AN404" s="532"/>
      <c r="AO404" s="532"/>
      <c r="AP404" s="532"/>
      <c r="AQ404" s="532"/>
      <c r="AR404" s="532"/>
      <c r="AS404" s="532"/>
      <c r="AT404" s="532"/>
      <c r="AU404" s="532"/>
      <c r="AV404" s="532"/>
      <c r="AW404" s="532"/>
      <c r="AX404" s="532"/>
      <c r="AY404" s="532"/>
      <c r="AZ404" s="532"/>
      <c r="BA404" s="532"/>
      <c r="BB404" s="532"/>
      <c r="BC404" s="532"/>
      <c r="BD404" s="532"/>
      <c r="BE404" s="532"/>
      <c r="BF404" s="532"/>
      <c r="BG404" s="532"/>
      <c r="BH404" s="532"/>
      <c r="BI404" s="532"/>
      <c r="BJ404" s="532"/>
      <c r="BK404" s="532"/>
      <c r="BL404" s="532"/>
      <c r="BM404" s="532"/>
      <c r="BN404" s="532"/>
      <c r="BO404" s="532"/>
      <c r="BP404" s="532"/>
      <c r="BQ404" s="532"/>
      <c r="BR404" s="532"/>
      <c r="BS404" s="532"/>
      <c r="BT404" s="532"/>
      <c r="BU404" s="532"/>
      <c r="BV404" s="532"/>
      <c r="BW404" s="532"/>
      <c r="BX404" s="532"/>
      <c r="BY404" s="532"/>
      <c r="BZ404" s="532"/>
      <c r="CA404" s="532"/>
      <c r="CB404" s="532"/>
      <c r="CC404" s="532"/>
      <c r="CD404" s="532"/>
      <c r="CE404" s="532"/>
      <c r="CF404" s="532"/>
      <c r="CG404" s="532"/>
      <c r="CH404" s="532"/>
      <c r="CI404" s="532"/>
      <c r="CJ404" s="532"/>
      <c r="CK404" s="532"/>
      <c r="CL404" s="532"/>
      <c r="CM404" s="532"/>
      <c r="CN404" s="532"/>
      <c r="CO404" s="532"/>
      <c r="CP404" s="532"/>
      <c r="CQ404" s="532"/>
      <c r="CR404" s="532"/>
      <c r="CS404" s="532"/>
      <c r="CT404" s="532"/>
      <c r="CU404" s="532"/>
      <c r="CV404" s="532"/>
      <c r="CW404" s="532"/>
      <c r="CX404" s="532"/>
      <c r="CY404" s="532"/>
      <c r="CZ404" s="532"/>
      <c r="DA404" s="532"/>
      <c r="DB404" s="532"/>
      <c r="DC404" s="532"/>
      <c r="DD404" s="532"/>
      <c r="DE404" s="532"/>
      <c r="DF404" s="532"/>
      <c r="DG404" s="532"/>
      <c r="DH404" s="532"/>
      <c r="DI404" s="532"/>
      <c r="DJ404" s="532"/>
      <c r="DK404" s="532"/>
      <c r="DL404" s="532"/>
      <c r="DM404" s="532"/>
      <c r="DN404" s="532"/>
      <c r="DO404" s="532"/>
      <c r="DP404" s="532"/>
      <c r="DQ404" s="532"/>
      <c r="DR404" s="532"/>
      <c r="DS404" s="532"/>
      <c r="DT404" s="532"/>
      <c r="DU404" s="532"/>
      <c r="DV404" s="532"/>
      <c r="DW404" s="532"/>
      <c r="DX404" s="532"/>
      <c r="DY404" s="532"/>
      <c r="DZ404" s="532"/>
      <c r="EA404" s="532"/>
      <c r="EB404" s="532"/>
      <c r="EC404" s="532"/>
      <c r="ED404" s="532"/>
      <c r="EE404" s="532"/>
      <c r="EF404" s="532"/>
      <c r="EG404" s="532"/>
      <c r="EH404" s="532"/>
      <c r="EI404" s="532"/>
      <c r="EJ404" s="532"/>
      <c r="EK404" s="532"/>
      <c r="EL404" s="532"/>
      <c r="EM404" s="532"/>
      <c r="EN404" s="532"/>
      <c r="EO404" s="532"/>
      <c r="EP404" s="532"/>
      <c r="EQ404" s="532"/>
      <c r="ER404" s="532"/>
      <c r="ES404" s="532"/>
      <c r="ET404" s="532"/>
      <c r="EU404" s="532"/>
      <c r="EV404" s="532"/>
      <c r="EW404" s="532"/>
      <c r="EX404" s="532"/>
      <c r="EY404" s="532"/>
      <c r="EZ404" s="532"/>
      <c r="FA404" s="532"/>
      <c r="FB404" s="532"/>
      <c r="FC404" s="532"/>
      <c r="FD404" s="532"/>
      <c r="FE404" s="532"/>
      <c r="FF404" s="532"/>
      <c r="FG404" s="532"/>
      <c r="FH404" s="532"/>
      <c r="FI404" s="532"/>
      <c r="FJ404" s="532"/>
      <c r="FK404" s="532"/>
      <c r="FL404" s="532"/>
      <c r="FM404" s="532"/>
      <c r="FN404" s="532"/>
      <c r="FO404" s="532"/>
      <c r="FP404" s="532"/>
    </row>
    <row r="405" spans="1:172" ht="12" customHeight="1" x14ac:dyDescent="0.2">
      <c r="A405" s="533" t="s">
        <v>265</v>
      </c>
      <c r="B405" s="534" t="s">
        <v>266</v>
      </c>
      <c r="C405" s="208">
        <v>4381</v>
      </c>
      <c r="D405" s="208">
        <v>3993</v>
      </c>
      <c r="E405" s="208">
        <v>3938</v>
      </c>
      <c r="F405" s="208">
        <v>4698</v>
      </c>
      <c r="G405" s="208">
        <v>4968</v>
      </c>
      <c r="H405" s="208">
        <v>5361</v>
      </c>
      <c r="I405" s="208">
        <v>4972</v>
      </c>
      <c r="J405" s="208">
        <v>5354</v>
      </c>
      <c r="K405" s="208">
        <v>4686</v>
      </c>
      <c r="L405" s="562">
        <v>3965</v>
      </c>
      <c r="M405" s="562">
        <v>6753</v>
      </c>
      <c r="N405" s="562">
        <v>11375</v>
      </c>
      <c r="O405" s="530">
        <f>SUM(C405:N405)</f>
        <v>64444</v>
      </c>
      <c r="P405" s="531"/>
      <c r="Q405" s="531"/>
      <c r="R405" s="531"/>
      <c r="S405" s="531"/>
      <c r="T405" s="531"/>
      <c r="U405" s="531"/>
      <c r="V405" s="531"/>
      <c r="W405" s="531"/>
      <c r="X405" s="531"/>
      <c r="Y405" s="531"/>
      <c r="Z405" s="531"/>
      <c r="AA405" s="531"/>
      <c r="AB405" s="531"/>
      <c r="AC405" s="531"/>
      <c r="AD405" s="531"/>
      <c r="AE405" s="531"/>
      <c r="AF405" s="531"/>
      <c r="AG405" s="531"/>
      <c r="AH405" s="532"/>
      <c r="AI405" s="532"/>
      <c r="AJ405" s="532"/>
      <c r="AK405" s="532"/>
      <c r="AL405" s="532"/>
      <c r="AM405" s="532"/>
      <c r="AN405" s="532"/>
      <c r="AO405" s="532"/>
      <c r="AP405" s="532"/>
      <c r="AQ405" s="532"/>
      <c r="AR405" s="532"/>
      <c r="AS405" s="532"/>
      <c r="AT405" s="532"/>
      <c r="AU405" s="532"/>
      <c r="AV405" s="532"/>
      <c r="AW405" s="532"/>
      <c r="AX405" s="532"/>
      <c r="AY405" s="532"/>
      <c r="AZ405" s="532"/>
      <c r="BA405" s="532"/>
      <c r="BB405" s="532"/>
      <c r="BC405" s="532"/>
      <c r="BD405" s="532"/>
      <c r="BE405" s="532"/>
      <c r="BF405" s="532"/>
      <c r="BG405" s="532"/>
      <c r="BH405" s="532"/>
      <c r="BI405" s="532"/>
      <c r="BJ405" s="532"/>
      <c r="BK405" s="532"/>
      <c r="BL405" s="532"/>
      <c r="BM405" s="532"/>
      <c r="BN405" s="532"/>
      <c r="BO405" s="532"/>
      <c r="BP405" s="532"/>
      <c r="BQ405" s="532"/>
      <c r="BR405" s="532"/>
      <c r="BS405" s="532"/>
      <c r="BT405" s="532"/>
      <c r="BU405" s="532"/>
      <c r="BV405" s="532"/>
      <c r="BW405" s="532"/>
      <c r="BX405" s="532"/>
      <c r="BY405" s="532"/>
      <c r="BZ405" s="532"/>
      <c r="CA405" s="532"/>
      <c r="CB405" s="532"/>
      <c r="CC405" s="532"/>
      <c r="CD405" s="532"/>
      <c r="CE405" s="532"/>
      <c r="CF405" s="532"/>
      <c r="CG405" s="532"/>
      <c r="CH405" s="532"/>
      <c r="CI405" s="532"/>
      <c r="CJ405" s="532"/>
      <c r="CK405" s="532"/>
      <c r="CL405" s="532"/>
      <c r="CM405" s="532"/>
      <c r="CN405" s="532"/>
      <c r="CO405" s="532"/>
      <c r="CP405" s="532"/>
      <c r="CQ405" s="532"/>
      <c r="CR405" s="532"/>
      <c r="CS405" s="532"/>
      <c r="CT405" s="532"/>
      <c r="CU405" s="532"/>
      <c r="CV405" s="532"/>
      <c r="CW405" s="532"/>
      <c r="CX405" s="532"/>
      <c r="CY405" s="532"/>
      <c r="CZ405" s="532"/>
      <c r="DA405" s="532"/>
      <c r="DB405" s="532"/>
      <c r="DC405" s="532"/>
      <c r="DD405" s="532"/>
      <c r="DE405" s="532"/>
      <c r="DF405" s="532"/>
      <c r="DG405" s="532"/>
      <c r="DH405" s="532"/>
      <c r="DI405" s="532"/>
      <c r="DJ405" s="532"/>
      <c r="DK405" s="532"/>
      <c r="DL405" s="532"/>
      <c r="DM405" s="532"/>
      <c r="DN405" s="532"/>
      <c r="DO405" s="532"/>
      <c r="DP405" s="532"/>
      <c r="DQ405" s="532"/>
      <c r="DR405" s="532"/>
      <c r="DS405" s="532"/>
      <c r="DT405" s="532"/>
      <c r="DU405" s="532"/>
      <c r="DV405" s="532"/>
      <c r="DW405" s="532"/>
      <c r="DX405" s="532"/>
      <c r="DY405" s="532"/>
      <c r="DZ405" s="532"/>
      <c r="EA405" s="532"/>
      <c r="EB405" s="532"/>
      <c r="EC405" s="532"/>
      <c r="ED405" s="532"/>
      <c r="EE405" s="532"/>
      <c r="EF405" s="532"/>
      <c r="EG405" s="532"/>
      <c r="EH405" s="532"/>
      <c r="EI405" s="532"/>
      <c r="EJ405" s="532"/>
      <c r="EK405" s="532"/>
      <c r="EL405" s="532"/>
      <c r="EM405" s="532"/>
      <c r="EN405" s="532"/>
      <c r="EO405" s="532"/>
      <c r="EP405" s="532"/>
      <c r="EQ405" s="532"/>
      <c r="ER405" s="532"/>
      <c r="ES405" s="532"/>
      <c r="ET405" s="532"/>
      <c r="EU405" s="532"/>
      <c r="EV405" s="532"/>
      <c r="EW405" s="532"/>
      <c r="EX405" s="532"/>
      <c r="EY405" s="532"/>
      <c r="EZ405" s="532"/>
      <c r="FA405" s="532"/>
      <c r="FB405" s="532"/>
      <c r="FC405" s="532"/>
      <c r="FD405" s="532"/>
      <c r="FE405" s="532"/>
      <c r="FF405" s="532"/>
      <c r="FG405" s="532"/>
      <c r="FH405" s="532"/>
      <c r="FI405" s="532"/>
      <c r="FJ405" s="532"/>
      <c r="FK405" s="532"/>
      <c r="FL405" s="532"/>
      <c r="FM405" s="532"/>
      <c r="FN405" s="532"/>
      <c r="FO405" s="532"/>
      <c r="FP405" s="532"/>
    </row>
    <row r="406" spans="1:172" ht="12" customHeight="1" x14ac:dyDescent="0.2">
      <c r="A406" s="533" t="s">
        <v>267</v>
      </c>
      <c r="B406" s="534" t="s">
        <v>55</v>
      </c>
      <c r="C406" s="208">
        <f t="shared" ref="C406:N406" si="180">SUM(C404:C405)</f>
        <v>5170</v>
      </c>
      <c r="D406" s="208">
        <f t="shared" si="180"/>
        <v>5281</v>
      </c>
      <c r="E406" s="208">
        <f t="shared" si="180"/>
        <v>5049</v>
      </c>
      <c r="F406" s="208">
        <f t="shared" si="180"/>
        <v>5887</v>
      </c>
      <c r="G406" s="208">
        <f t="shared" si="180"/>
        <v>6101</v>
      </c>
      <c r="H406" s="208">
        <f t="shared" si="180"/>
        <v>6792</v>
      </c>
      <c r="I406" s="208">
        <f t="shared" si="180"/>
        <v>5988</v>
      </c>
      <c r="J406" s="208">
        <f t="shared" si="180"/>
        <v>6220</v>
      </c>
      <c r="K406" s="208">
        <f t="shared" si="180"/>
        <v>5937</v>
      </c>
      <c r="L406" s="562">
        <f t="shared" si="180"/>
        <v>5182</v>
      </c>
      <c r="M406" s="562">
        <f t="shared" si="180"/>
        <v>8333</v>
      </c>
      <c r="N406" s="562">
        <f t="shared" si="180"/>
        <v>12457</v>
      </c>
      <c r="O406" s="530">
        <f>SUM(C406:N406)</f>
        <v>78397</v>
      </c>
      <c r="P406" s="531"/>
      <c r="Q406" s="531"/>
      <c r="R406" s="531"/>
      <c r="S406" s="531"/>
      <c r="T406" s="531"/>
      <c r="U406" s="531"/>
      <c r="V406" s="531"/>
      <c r="W406" s="531"/>
      <c r="X406" s="531"/>
      <c r="Y406" s="531"/>
      <c r="Z406" s="531"/>
      <c r="AA406" s="531"/>
      <c r="AB406" s="531"/>
      <c r="AC406" s="531"/>
      <c r="AD406" s="531"/>
      <c r="AE406" s="531"/>
      <c r="AF406" s="531"/>
      <c r="AG406" s="531"/>
      <c r="AH406" s="532"/>
      <c r="AI406" s="532"/>
      <c r="AJ406" s="532"/>
      <c r="AK406" s="532"/>
      <c r="AL406" s="532"/>
      <c r="AM406" s="532"/>
      <c r="AN406" s="532"/>
      <c r="AO406" s="532"/>
      <c r="AP406" s="532"/>
      <c r="AQ406" s="532"/>
      <c r="AR406" s="532"/>
      <c r="AS406" s="532"/>
      <c r="AT406" s="532"/>
      <c r="AU406" s="532"/>
      <c r="AV406" s="532"/>
      <c r="AW406" s="532"/>
      <c r="AX406" s="532"/>
      <c r="AY406" s="532"/>
      <c r="AZ406" s="532"/>
      <c r="BA406" s="532"/>
      <c r="BB406" s="532"/>
      <c r="BC406" s="532"/>
      <c r="BD406" s="532"/>
      <c r="BE406" s="532"/>
      <c r="BF406" s="532"/>
      <c r="BG406" s="532"/>
      <c r="BH406" s="532"/>
      <c r="BI406" s="532"/>
      <c r="BJ406" s="532"/>
      <c r="BK406" s="532"/>
      <c r="BL406" s="532"/>
      <c r="BM406" s="532"/>
      <c r="BN406" s="532"/>
      <c r="BO406" s="532"/>
      <c r="BP406" s="532"/>
      <c r="BQ406" s="532"/>
      <c r="BR406" s="532"/>
      <c r="BS406" s="532"/>
      <c r="BT406" s="532"/>
      <c r="BU406" s="532"/>
      <c r="BV406" s="532"/>
      <c r="BW406" s="532"/>
      <c r="BX406" s="532"/>
      <c r="BY406" s="532"/>
      <c r="BZ406" s="532"/>
      <c r="CA406" s="532"/>
      <c r="CB406" s="532"/>
      <c r="CC406" s="532"/>
      <c r="CD406" s="532"/>
      <c r="CE406" s="532"/>
      <c r="CF406" s="532"/>
      <c r="CG406" s="532"/>
      <c r="CH406" s="532"/>
      <c r="CI406" s="532"/>
      <c r="CJ406" s="532"/>
      <c r="CK406" s="532"/>
      <c r="CL406" s="532"/>
      <c r="CM406" s="532"/>
      <c r="CN406" s="532"/>
      <c r="CO406" s="532"/>
      <c r="CP406" s="532"/>
      <c r="CQ406" s="532"/>
      <c r="CR406" s="532"/>
      <c r="CS406" s="532"/>
      <c r="CT406" s="532"/>
      <c r="CU406" s="532"/>
      <c r="CV406" s="532"/>
      <c r="CW406" s="532"/>
      <c r="CX406" s="532"/>
      <c r="CY406" s="532"/>
      <c r="CZ406" s="532"/>
      <c r="DA406" s="532"/>
      <c r="DB406" s="532"/>
      <c r="DC406" s="532"/>
      <c r="DD406" s="532"/>
      <c r="DE406" s="532"/>
      <c r="DF406" s="532"/>
      <c r="DG406" s="532"/>
      <c r="DH406" s="532"/>
      <c r="DI406" s="532"/>
      <c r="DJ406" s="532"/>
      <c r="DK406" s="532"/>
      <c r="DL406" s="532"/>
      <c r="DM406" s="532"/>
      <c r="DN406" s="532"/>
      <c r="DO406" s="532"/>
      <c r="DP406" s="532"/>
      <c r="DQ406" s="532"/>
      <c r="DR406" s="532"/>
      <c r="DS406" s="532"/>
      <c r="DT406" s="532"/>
      <c r="DU406" s="532"/>
      <c r="DV406" s="532"/>
      <c r="DW406" s="532"/>
      <c r="DX406" s="532"/>
      <c r="DY406" s="532"/>
      <c r="DZ406" s="532"/>
      <c r="EA406" s="532"/>
      <c r="EB406" s="532"/>
      <c r="EC406" s="532"/>
      <c r="ED406" s="532"/>
      <c r="EE406" s="532"/>
      <c r="EF406" s="532"/>
      <c r="EG406" s="532"/>
      <c r="EH406" s="532"/>
      <c r="EI406" s="532"/>
      <c r="EJ406" s="532"/>
      <c r="EK406" s="532"/>
      <c r="EL406" s="532"/>
      <c r="EM406" s="532"/>
      <c r="EN406" s="532"/>
      <c r="EO406" s="532"/>
      <c r="EP406" s="532"/>
      <c r="EQ406" s="532"/>
      <c r="ER406" s="532"/>
      <c r="ES406" s="532"/>
      <c r="ET406" s="532"/>
      <c r="EU406" s="532"/>
      <c r="EV406" s="532"/>
      <c r="EW406" s="532"/>
      <c r="EX406" s="532"/>
      <c r="EY406" s="532"/>
      <c r="EZ406" s="532"/>
      <c r="FA406" s="532"/>
      <c r="FB406" s="532"/>
      <c r="FC406" s="532"/>
      <c r="FD406" s="532"/>
      <c r="FE406" s="532"/>
      <c r="FF406" s="532"/>
      <c r="FG406" s="532"/>
      <c r="FH406" s="532"/>
      <c r="FI406" s="532"/>
      <c r="FJ406" s="532"/>
      <c r="FK406" s="532"/>
      <c r="FL406" s="532"/>
      <c r="FM406" s="532"/>
      <c r="FN406" s="532"/>
      <c r="FO406" s="532"/>
      <c r="FP406" s="532"/>
    </row>
    <row r="407" spans="1:172" ht="12" customHeight="1" x14ac:dyDescent="0.2">
      <c r="A407" s="533"/>
      <c r="B407" s="534"/>
      <c r="C407" s="534"/>
      <c r="D407" s="534"/>
      <c r="E407" s="534"/>
      <c r="F407" s="534"/>
      <c r="G407" s="534"/>
      <c r="H407" s="534"/>
      <c r="I407" s="534"/>
      <c r="J407" s="534"/>
      <c r="K407" s="658"/>
      <c r="L407" s="562"/>
      <c r="M407" s="562"/>
      <c r="N407" s="562"/>
      <c r="O407" s="530"/>
      <c r="P407" s="531"/>
      <c r="Q407" s="531"/>
      <c r="R407" s="531"/>
      <c r="S407" s="531"/>
      <c r="T407" s="531"/>
      <c r="U407" s="531"/>
      <c r="V407" s="531"/>
      <c r="W407" s="531"/>
      <c r="X407" s="531"/>
      <c r="Y407" s="531"/>
      <c r="Z407" s="531"/>
      <c r="AA407" s="531"/>
      <c r="AB407" s="531"/>
      <c r="AC407" s="531"/>
      <c r="AD407" s="531"/>
      <c r="AE407" s="531"/>
      <c r="AF407" s="531"/>
      <c r="AG407" s="531"/>
      <c r="AH407" s="532"/>
      <c r="AI407" s="532"/>
      <c r="AJ407" s="532"/>
      <c r="AK407" s="532"/>
      <c r="AL407" s="532"/>
      <c r="AM407" s="532"/>
      <c r="AN407" s="532"/>
      <c r="AO407" s="532"/>
      <c r="AP407" s="532"/>
      <c r="AQ407" s="532"/>
      <c r="AR407" s="532"/>
      <c r="AS407" s="532"/>
      <c r="AT407" s="532"/>
      <c r="AU407" s="532"/>
      <c r="AV407" s="532"/>
      <c r="AW407" s="532"/>
      <c r="AX407" s="532"/>
      <c r="AY407" s="532"/>
      <c r="AZ407" s="532"/>
      <c r="BA407" s="532"/>
      <c r="BB407" s="532"/>
      <c r="BC407" s="532"/>
      <c r="BD407" s="532"/>
      <c r="BE407" s="532"/>
      <c r="BF407" s="532"/>
      <c r="BG407" s="532"/>
      <c r="BH407" s="532"/>
      <c r="BI407" s="532"/>
      <c r="BJ407" s="532"/>
      <c r="BK407" s="532"/>
      <c r="BL407" s="532"/>
      <c r="BM407" s="532"/>
      <c r="BN407" s="532"/>
      <c r="BO407" s="532"/>
      <c r="BP407" s="532"/>
      <c r="BQ407" s="532"/>
      <c r="BR407" s="532"/>
      <c r="BS407" s="532"/>
      <c r="BT407" s="532"/>
      <c r="BU407" s="532"/>
      <c r="BV407" s="532"/>
      <c r="BW407" s="532"/>
      <c r="BX407" s="532"/>
      <c r="BY407" s="532"/>
      <c r="BZ407" s="532"/>
      <c r="CA407" s="532"/>
      <c r="CB407" s="532"/>
      <c r="CC407" s="532"/>
      <c r="CD407" s="532"/>
      <c r="CE407" s="532"/>
      <c r="CF407" s="532"/>
      <c r="CG407" s="532"/>
      <c r="CH407" s="532"/>
      <c r="CI407" s="532"/>
      <c r="CJ407" s="532"/>
      <c r="CK407" s="532"/>
      <c r="CL407" s="532"/>
      <c r="CM407" s="532"/>
      <c r="CN407" s="532"/>
      <c r="CO407" s="532"/>
      <c r="CP407" s="532"/>
      <c r="CQ407" s="532"/>
      <c r="CR407" s="532"/>
      <c r="CS407" s="532"/>
      <c r="CT407" s="532"/>
      <c r="CU407" s="532"/>
      <c r="CV407" s="532"/>
      <c r="CW407" s="532"/>
      <c r="CX407" s="532"/>
      <c r="CY407" s="532"/>
      <c r="CZ407" s="532"/>
      <c r="DA407" s="532"/>
      <c r="DB407" s="532"/>
      <c r="DC407" s="532"/>
      <c r="DD407" s="532"/>
      <c r="DE407" s="532"/>
      <c r="DF407" s="532"/>
      <c r="DG407" s="532"/>
      <c r="DH407" s="532"/>
      <c r="DI407" s="532"/>
      <c r="DJ407" s="532"/>
      <c r="DK407" s="532"/>
      <c r="DL407" s="532"/>
      <c r="DM407" s="532"/>
      <c r="DN407" s="532"/>
      <c r="DO407" s="532"/>
      <c r="DP407" s="532"/>
      <c r="DQ407" s="532"/>
      <c r="DR407" s="532"/>
      <c r="DS407" s="532"/>
      <c r="DT407" s="532"/>
      <c r="DU407" s="532"/>
      <c r="DV407" s="532"/>
      <c r="DW407" s="532"/>
      <c r="DX407" s="532"/>
      <c r="DY407" s="532"/>
      <c r="DZ407" s="532"/>
      <c r="EA407" s="532"/>
      <c r="EB407" s="532"/>
      <c r="EC407" s="532"/>
      <c r="ED407" s="532"/>
      <c r="EE407" s="532"/>
      <c r="EF407" s="532"/>
      <c r="EG407" s="532"/>
      <c r="EH407" s="532"/>
      <c r="EI407" s="532"/>
      <c r="EJ407" s="532"/>
      <c r="EK407" s="532"/>
      <c r="EL407" s="532"/>
      <c r="EM407" s="532"/>
      <c r="EN407" s="532"/>
      <c r="EO407" s="532"/>
      <c r="EP407" s="532"/>
      <c r="EQ407" s="532"/>
      <c r="ER407" s="532"/>
      <c r="ES407" s="532"/>
      <c r="ET407" s="532"/>
      <c r="EU407" s="532"/>
      <c r="EV407" s="532"/>
      <c r="EW407" s="532"/>
      <c r="EX407" s="532"/>
      <c r="EY407" s="532"/>
      <c r="EZ407" s="532"/>
      <c r="FA407" s="532"/>
      <c r="FB407" s="532"/>
      <c r="FC407" s="532"/>
      <c r="FD407" s="532"/>
      <c r="FE407" s="532"/>
      <c r="FF407" s="532"/>
      <c r="FG407" s="532"/>
      <c r="FH407" s="532"/>
      <c r="FI407" s="532"/>
      <c r="FJ407" s="532"/>
      <c r="FK407" s="532"/>
      <c r="FL407" s="532"/>
      <c r="FM407" s="532"/>
      <c r="FN407" s="532"/>
      <c r="FO407" s="532"/>
      <c r="FP407" s="532"/>
    </row>
    <row r="408" spans="1:172" ht="12" customHeight="1" x14ac:dyDescent="0.2">
      <c r="A408" s="533" t="s">
        <v>268</v>
      </c>
      <c r="B408" s="534" t="s">
        <v>269</v>
      </c>
      <c r="C408" s="208">
        <v>0</v>
      </c>
      <c r="D408" s="208">
        <v>0</v>
      </c>
      <c r="E408" s="208">
        <v>0</v>
      </c>
      <c r="F408" s="208">
        <v>0</v>
      </c>
      <c r="G408" s="208">
        <v>0</v>
      </c>
      <c r="H408" s="208">
        <v>0</v>
      </c>
      <c r="I408" s="208">
        <v>1</v>
      </c>
      <c r="J408" s="208">
        <v>0</v>
      </c>
      <c r="K408" s="208">
        <v>0</v>
      </c>
      <c r="L408" s="562">
        <v>0</v>
      </c>
      <c r="M408" s="562">
        <v>4</v>
      </c>
      <c r="N408" s="562">
        <v>0</v>
      </c>
      <c r="O408" s="530">
        <f>SUM(C408:N408)</f>
        <v>5</v>
      </c>
      <c r="P408" s="531"/>
      <c r="Q408" s="531"/>
      <c r="R408" s="531"/>
      <c r="S408" s="531"/>
      <c r="T408" s="531"/>
      <c r="U408" s="531"/>
      <c r="V408" s="531"/>
      <c r="W408" s="531"/>
      <c r="X408" s="531"/>
      <c r="Y408" s="531"/>
      <c r="Z408" s="531"/>
      <c r="AA408" s="531"/>
      <c r="AB408" s="531"/>
      <c r="AC408" s="531"/>
      <c r="AD408" s="531"/>
      <c r="AE408" s="531"/>
      <c r="AF408" s="531"/>
      <c r="AG408" s="531"/>
      <c r="AH408" s="532"/>
      <c r="AI408" s="532"/>
      <c r="AJ408" s="532"/>
      <c r="AK408" s="532"/>
      <c r="AL408" s="532"/>
      <c r="AM408" s="532"/>
      <c r="AN408" s="532"/>
      <c r="AO408" s="532"/>
      <c r="AP408" s="532"/>
      <c r="AQ408" s="532"/>
      <c r="AR408" s="532"/>
      <c r="AS408" s="532"/>
      <c r="AT408" s="532"/>
      <c r="AU408" s="532"/>
      <c r="AV408" s="532"/>
      <c r="AW408" s="532"/>
      <c r="AX408" s="532"/>
      <c r="AY408" s="532"/>
      <c r="AZ408" s="532"/>
      <c r="BA408" s="532"/>
      <c r="BB408" s="532"/>
      <c r="BC408" s="532"/>
      <c r="BD408" s="532"/>
      <c r="BE408" s="532"/>
      <c r="BF408" s="532"/>
      <c r="BG408" s="532"/>
      <c r="BH408" s="532"/>
      <c r="BI408" s="532"/>
      <c r="BJ408" s="532"/>
      <c r="BK408" s="532"/>
      <c r="BL408" s="532"/>
      <c r="BM408" s="532"/>
      <c r="BN408" s="532"/>
      <c r="BO408" s="532"/>
      <c r="BP408" s="532"/>
      <c r="BQ408" s="532"/>
      <c r="BR408" s="532"/>
      <c r="BS408" s="532"/>
      <c r="BT408" s="532"/>
      <c r="BU408" s="532"/>
      <c r="BV408" s="532"/>
      <c r="BW408" s="532"/>
      <c r="BX408" s="532"/>
      <c r="BY408" s="532"/>
      <c r="BZ408" s="532"/>
      <c r="CA408" s="532"/>
      <c r="CB408" s="532"/>
      <c r="CC408" s="532"/>
      <c r="CD408" s="532"/>
      <c r="CE408" s="532"/>
      <c r="CF408" s="532"/>
      <c r="CG408" s="532"/>
      <c r="CH408" s="532"/>
      <c r="CI408" s="532"/>
      <c r="CJ408" s="532"/>
      <c r="CK408" s="532"/>
      <c r="CL408" s="532"/>
      <c r="CM408" s="532"/>
      <c r="CN408" s="532"/>
      <c r="CO408" s="532"/>
      <c r="CP408" s="532"/>
      <c r="CQ408" s="532"/>
      <c r="CR408" s="532"/>
      <c r="CS408" s="532"/>
      <c r="CT408" s="532"/>
      <c r="CU408" s="532"/>
      <c r="CV408" s="532"/>
      <c r="CW408" s="532"/>
      <c r="CX408" s="532"/>
      <c r="CY408" s="532"/>
      <c r="CZ408" s="532"/>
      <c r="DA408" s="532"/>
      <c r="DB408" s="532"/>
      <c r="DC408" s="532"/>
      <c r="DD408" s="532"/>
      <c r="DE408" s="532"/>
      <c r="DF408" s="532"/>
      <c r="DG408" s="532"/>
      <c r="DH408" s="532"/>
      <c r="DI408" s="532"/>
      <c r="DJ408" s="532"/>
      <c r="DK408" s="532"/>
      <c r="DL408" s="532"/>
      <c r="DM408" s="532"/>
      <c r="DN408" s="532"/>
      <c r="DO408" s="532"/>
      <c r="DP408" s="532"/>
      <c r="DQ408" s="532"/>
      <c r="DR408" s="532"/>
      <c r="DS408" s="532"/>
      <c r="DT408" s="532"/>
      <c r="DU408" s="532"/>
      <c r="DV408" s="532"/>
      <c r="DW408" s="532"/>
      <c r="DX408" s="532"/>
      <c r="DY408" s="532"/>
      <c r="DZ408" s="532"/>
      <c r="EA408" s="532"/>
      <c r="EB408" s="532"/>
      <c r="EC408" s="532"/>
      <c r="ED408" s="532"/>
      <c r="EE408" s="532"/>
      <c r="EF408" s="532"/>
      <c r="EG408" s="532"/>
      <c r="EH408" s="532"/>
      <c r="EI408" s="532"/>
      <c r="EJ408" s="532"/>
      <c r="EK408" s="532"/>
      <c r="EL408" s="532"/>
      <c r="EM408" s="532"/>
      <c r="EN408" s="532"/>
      <c r="EO408" s="532"/>
      <c r="EP408" s="532"/>
      <c r="EQ408" s="532"/>
      <c r="ER408" s="532"/>
      <c r="ES408" s="532"/>
      <c r="ET408" s="532"/>
      <c r="EU408" s="532"/>
      <c r="EV408" s="532"/>
      <c r="EW408" s="532"/>
      <c r="EX408" s="532"/>
      <c r="EY408" s="532"/>
      <c r="EZ408" s="532"/>
      <c r="FA408" s="532"/>
      <c r="FB408" s="532"/>
      <c r="FC408" s="532"/>
      <c r="FD408" s="532"/>
      <c r="FE408" s="532"/>
      <c r="FF408" s="532"/>
      <c r="FG408" s="532"/>
      <c r="FH408" s="532"/>
      <c r="FI408" s="532"/>
      <c r="FJ408" s="532"/>
      <c r="FK408" s="532"/>
      <c r="FL408" s="532"/>
      <c r="FM408" s="532"/>
      <c r="FN408" s="532"/>
      <c r="FO408" s="532"/>
      <c r="FP408" s="532"/>
    </row>
    <row r="409" spans="1:172" ht="12" customHeight="1" x14ac:dyDescent="0.2">
      <c r="A409" s="533" t="s">
        <v>270</v>
      </c>
      <c r="B409" s="534" t="s">
        <v>271</v>
      </c>
      <c r="C409" s="208">
        <v>0</v>
      </c>
      <c r="D409" s="208">
        <v>0</v>
      </c>
      <c r="E409" s="208">
        <v>1</v>
      </c>
      <c r="F409" s="208">
        <v>0</v>
      </c>
      <c r="G409" s="208">
        <v>0</v>
      </c>
      <c r="H409" s="208">
        <v>0</v>
      </c>
      <c r="I409" s="208">
        <v>0</v>
      </c>
      <c r="J409" s="208">
        <v>1</v>
      </c>
      <c r="K409" s="208">
        <v>1</v>
      </c>
      <c r="L409" s="562">
        <v>0</v>
      </c>
      <c r="M409" s="562">
        <v>0</v>
      </c>
      <c r="N409" s="562">
        <v>0</v>
      </c>
      <c r="O409" s="530">
        <f>SUM(C409:N409)</f>
        <v>3</v>
      </c>
      <c r="P409" s="531"/>
      <c r="Q409" s="531"/>
      <c r="R409" s="531"/>
      <c r="S409" s="531"/>
      <c r="T409" s="531"/>
      <c r="U409" s="531"/>
      <c r="V409" s="531"/>
      <c r="W409" s="531"/>
      <c r="X409" s="531"/>
      <c r="Y409" s="531"/>
      <c r="Z409" s="531"/>
      <c r="AA409" s="531"/>
      <c r="AB409" s="531"/>
      <c r="AC409" s="531"/>
      <c r="AD409" s="531"/>
      <c r="AE409" s="531"/>
      <c r="AF409" s="531"/>
      <c r="AG409" s="531"/>
      <c r="AH409" s="532"/>
      <c r="AI409" s="532"/>
      <c r="AJ409" s="532"/>
      <c r="AK409" s="532"/>
      <c r="AL409" s="532"/>
      <c r="AM409" s="532"/>
      <c r="AN409" s="532"/>
      <c r="AO409" s="532"/>
      <c r="AP409" s="532"/>
      <c r="AQ409" s="532"/>
      <c r="AR409" s="532"/>
      <c r="AS409" s="532"/>
      <c r="AT409" s="532"/>
      <c r="AU409" s="532"/>
      <c r="AV409" s="532"/>
      <c r="AW409" s="532"/>
      <c r="AX409" s="532"/>
      <c r="AY409" s="532"/>
      <c r="AZ409" s="532"/>
      <c r="BA409" s="532"/>
      <c r="BB409" s="532"/>
      <c r="BC409" s="532"/>
      <c r="BD409" s="532"/>
      <c r="BE409" s="532"/>
      <c r="BF409" s="532"/>
      <c r="BG409" s="532"/>
      <c r="BH409" s="532"/>
      <c r="BI409" s="532"/>
      <c r="BJ409" s="532"/>
      <c r="BK409" s="532"/>
      <c r="BL409" s="532"/>
      <c r="BM409" s="532"/>
      <c r="BN409" s="532"/>
      <c r="BO409" s="532"/>
      <c r="BP409" s="532"/>
      <c r="BQ409" s="532"/>
      <c r="BR409" s="532"/>
      <c r="BS409" s="532"/>
      <c r="BT409" s="532"/>
      <c r="BU409" s="532"/>
      <c r="BV409" s="532"/>
      <c r="BW409" s="532"/>
      <c r="BX409" s="532"/>
      <c r="BY409" s="532"/>
      <c r="BZ409" s="532"/>
      <c r="CA409" s="532"/>
      <c r="CB409" s="532"/>
      <c r="CC409" s="532"/>
      <c r="CD409" s="532"/>
      <c r="CE409" s="532"/>
      <c r="CF409" s="532"/>
      <c r="CG409" s="532"/>
      <c r="CH409" s="532"/>
      <c r="CI409" s="532"/>
      <c r="CJ409" s="532"/>
      <c r="CK409" s="532"/>
      <c r="CL409" s="532"/>
      <c r="CM409" s="532"/>
      <c r="CN409" s="532"/>
      <c r="CO409" s="532"/>
      <c r="CP409" s="532"/>
      <c r="CQ409" s="532"/>
      <c r="CR409" s="532"/>
      <c r="CS409" s="532"/>
      <c r="CT409" s="532"/>
      <c r="CU409" s="532"/>
      <c r="CV409" s="532"/>
      <c r="CW409" s="532"/>
      <c r="CX409" s="532"/>
      <c r="CY409" s="532"/>
      <c r="CZ409" s="532"/>
      <c r="DA409" s="532"/>
      <c r="DB409" s="532"/>
      <c r="DC409" s="532"/>
      <c r="DD409" s="532"/>
      <c r="DE409" s="532"/>
      <c r="DF409" s="532"/>
      <c r="DG409" s="532"/>
      <c r="DH409" s="532"/>
      <c r="DI409" s="532"/>
      <c r="DJ409" s="532"/>
      <c r="DK409" s="532"/>
      <c r="DL409" s="532"/>
      <c r="DM409" s="532"/>
      <c r="DN409" s="532"/>
      <c r="DO409" s="532"/>
      <c r="DP409" s="532"/>
      <c r="DQ409" s="532"/>
      <c r="DR409" s="532"/>
      <c r="DS409" s="532"/>
      <c r="DT409" s="532"/>
      <c r="DU409" s="532"/>
      <c r="DV409" s="532"/>
      <c r="DW409" s="532"/>
      <c r="DX409" s="532"/>
      <c r="DY409" s="532"/>
      <c r="DZ409" s="532"/>
      <c r="EA409" s="532"/>
      <c r="EB409" s="532"/>
      <c r="EC409" s="532"/>
      <c r="ED409" s="532"/>
      <c r="EE409" s="532"/>
      <c r="EF409" s="532"/>
      <c r="EG409" s="532"/>
      <c r="EH409" s="532"/>
      <c r="EI409" s="532"/>
      <c r="EJ409" s="532"/>
      <c r="EK409" s="532"/>
      <c r="EL409" s="532"/>
      <c r="EM409" s="532"/>
      <c r="EN409" s="532"/>
      <c r="EO409" s="532"/>
      <c r="EP409" s="532"/>
      <c r="EQ409" s="532"/>
      <c r="ER409" s="532"/>
      <c r="ES409" s="532"/>
      <c r="ET409" s="532"/>
      <c r="EU409" s="532"/>
      <c r="EV409" s="532"/>
      <c r="EW409" s="532"/>
      <c r="EX409" s="532"/>
      <c r="EY409" s="532"/>
      <c r="EZ409" s="532"/>
      <c r="FA409" s="532"/>
      <c r="FB409" s="532"/>
      <c r="FC409" s="532"/>
      <c r="FD409" s="532"/>
      <c r="FE409" s="532"/>
      <c r="FF409" s="532"/>
      <c r="FG409" s="532"/>
      <c r="FH409" s="532"/>
      <c r="FI409" s="532"/>
      <c r="FJ409" s="532"/>
      <c r="FK409" s="532"/>
      <c r="FL409" s="532"/>
      <c r="FM409" s="532"/>
      <c r="FN409" s="532"/>
      <c r="FO409" s="532"/>
      <c r="FP409" s="532"/>
    </row>
    <row r="410" spans="1:172" ht="12" customHeight="1" x14ac:dyDescent="0.2">
      <c r="A410" s="533" t="s">
        <v>272</v>
      </c>
      <c r="B410" s="534" t="s">
        <v>55</v>
      </c>
      <c r="C410" s="208">
        <f t="shared" ref="C410:N410" si="181">SUM(C408:C409)</f>
        <v>0</v>
      </c>
      <c r="D410" s="208">
        <f t="shared" si="181"/>
        <v>0</v>
      </c>
      <c r="E410" s="208">
        <f t="shared" si="181"/>
        <v>1</v>
      </c>
      <c r="F410" s="208">
        <f t="shared" si="181"/>
        <v>0</v>
      </c>
      <c r="G410" s="208">
        <f t="shared" si="181"/>
        <v>0</v>
      </c>
      <c r="H410" s="208">
        <f t="shared" si="181"/>
        <v>0</v>
      </c>
      <c r="I410" s="208">
        <f t="shared" si="181"/>
        <v>1</v>
      </c>
      <c r="J410" s="208">
        <f t="shared" si="181"/>
        <v>1</v>
      </c>
      <c r="K410" s="208">
        <f t="shared" si="181"/>
        <v>1</v>
      </c>
      <c r="L410" s="562">
        <f t="shared" si="181"/>
        <v>0</v>
      </c>
      <c r="M410" s="562">
        <f t="shared" si="181"/>
        <v>4</v>
      </c>
      <c r="N410" s="562">
        <f t="shared" si="181"/>
        <v>0</v>
      </c>
      <c r="O410" s="530">
        <f>SUM(C410:N410)</f>
        <v>8</v>
      </c>
      <c r="P410" s="531"/>
      <c r="Q410" s="531"/>
      <c r="R410" s="531"/>
      <c r="S410" s="531"/>
      <c r="T410" s="531"/>
      <c r="U410" s="531"/>
      <c r="V410" s="531"/>
      <c r="W410" s="531"/>
      <c r="X410" s="531"/>
      <c r="Y410" s="531"/>
      <c r="Z410" s="531"/>
      <c r="AA410" s="531"/>
      <c r="AB410" s="531"/>
      <c r="AC410" s="531"/>
      <c r="AD410" s="531"/>
      <c r="AE410" s="531"/>
      <c r="AF410" s="531"/>
      <c r="AG410" s="531"/>
      <c r="AH410" s="532"/>
      <c r="AI410" s="532"/>
      <c r="AJ410" s="532"/>
      <c r="AK410" s="532"/>
      <c r="AL410" s="532"/>
      <c r="AM410" s="532"/>
      <c r="AN410" s="532"/>
      <c r="AO410" s="532"/>
      <c r="AP410" s="532"/>
      <c r="AQ410" s="532"/>
      <c r="AR410" s="532"/>
      <c r="AS410" s="532"/>
      <c r="AT410" s="532"/>
      <c r="AU410" s="532"/>
      <c r="AV410" s="532"/>
      <c r="AW410" s="532"/>
      <c r="AX410" s="532"/>
      <c r="AY410" s="532"/>
      <c r="AZ410" s="532"/>
      <c r="BA410" s="532"/>
      <c r="BB410" s="532"/>
      <c r="BC410" s="532"/>
      <c r="BD410" s="532"/>
      <c r="BE410" s="532"/>
      <c r="BF410" s="532"/>
      <c r="BG410" s="532"/>
      <c r="BH410" s="532"/>
      <c r="BI410" s="532"/>
      <c r="BJ410" s="532"/>
      <c r="BK410" s="532"/>
      <c r="BL410" s="532"/>
      <c r="BM410" s="532"/>
      <c r="BN410" s="532"/>
      <c r="BO410" s="532"/>
      <c r="BP410" s="532"/>
      <c r="BQ410" s="532"/>
      <c r="BR410" s="532"/>
      <c r="BS410" s="532"/>
      <c r="BT410" s="532"/>
      <c r="BU410" s="532"/>
      <c r="BV410" s="532"/>
      <c r="BW410" s="532"/>
      <c r="BX410" s="532"/>
      <c r="BY410" s="532"/>
      <c r="BZ410" s="532"/>
      <c r="CA410" s="532"/>
      <c r="CB410" s="532"/>
      <c r="CC410" s="532"/>
      <c r="CD410" s="532"/>
      <c r="CE410" s="532"/>
      <c r="CF410" s="532"/>
      <c r="CG410" s="532"/>
      <c r="CH410" s="532"/>
      <c r="CI410" s="532"/>
      <c r="CJ410" s="532"/>
      <c r="CK410" s="532"/>
      <c r="CL410" s="532"/>
      <c r="CM410" s="532"/>
      <c r="CN410" s="532"/>
      <c r="CO410" s="532"/>
      <c r="CP410" s="532"/>
      <c r="CQ410" s="532"/>
      <c r="CR410" s="532"/>
      <c r="CS410" s="532"/>
      <c r="CT410" s="532"/>
      <c r="CU410" s="532"/>
      <c r="CV410" s="532"/>
      <c r="CW410" s="532"/>
      <c r="CX410" s="532"/>
      <c r="CY410" s="532"/>
      <c r="CZ410" s="532"/>
      <c r="DA410" s="532"/>
      <c r="DB410" s="532"/>
      <c r="DC410" s="532"/>
      <c r="DD410" s="532"/>
      <c r="DE410" s="532"/>
      <c r="DF410" s="532"/>
      <c r="DG410" s="532"/>
      <c r="DH410" s="532"/>
      <c r="DI410" s="532"/>
      <c r="DJ410" s="532"/>
      <c r="DK410" s="532"/>
      <c r="DL410" s="532"/>
      <c r="DM410" s="532"/>
      <c r="DN410" s="532"/>
      <c r="DO410" s="532"/>
      <c r="DP410" s="532"/>
      <c r="DQ410" s="532"/>
      <c r="DR410" s="532"/>
      <c r="DS410" s="532"/>
      <c r="DT410" s="532"/>
      <c r="DU410" s="532"/>
      <c r="DV410" s="532"/>
      <c r="DW410" s="532"/>
      <c r="DX410" s="532"/>
      <c r="DY410" s="532"/>
      <c r="DZ410" s="532"/>
      <c r="EA410" s="532"/>
      <c r="EB410" s="532"/>
      <c r="EC410" s="532"/>
      <c r="ED410" s="532"/>
      <c r="EE410" s="532"/>
      <c r="EF410" s="532"/>
      <c r="EG410" s="532"/>
      <c r="EH410" s="532"/>
      <c r="EI410" s="532"/>
      <c r="EJ410" s="532"/>
      <c r="EK410" s="532"/>
      <c r="EL410" s="532"/>
      <c r="EM410" s="532"/>
      <c r="EN410" s="532"/>
      <c r="EO410" s="532"/>
      <c r="EP410" s="532"/>
      <c r="EQ410" s="532"/>
      <c r="ER410" s="532"/>
      <c r="ES410" s="532"/>
      <c r="ET410" s="532"/>
      <c r="EU410" s="532"/>
      <c r="EV410" s="532"/>
      <c r="EW410" s="532"/>
      <c r="EX410" s="532"/>
      <c r="EY410" s="532"/>
      <c r="EZ410" s="532"/>
      <c r="FA410" s="532"/>
      <c r="FB410" s="532"/>
      <c r="FC410" s="532"/>
      <c r="FD410" s="532"/>
      <c r="FE410" s="532"/>
      <c r="FF410" s="532"/>
      <c r="FG410" s="532"/>
      <c r="FH410" s="532"/>
      <c r="FI410" s="532"/>
      <c r="FJ410" s="532"/>
      <c r="FK410" s="532"/>
      <c r="FL410" s="532"/>
      <c r="FM410" s="532"/>
      <c r="FN410" s="532"/>
      <c r="FO410" s="532"/>
      <c r="FP410" s="532"/>
    </row>
    <row r="411" spans="1:172" ht="12" customHeight="1" x14ac:dyDescent="0.2">
      <c r="A411" s="533"/>
      <c r="B411" s="534"/>
      <c r="C411" s="534"/>
      <c r="D411" s="534"/>
      <c r="E411" s="534"/>
      <c r="F411" s="534"/>
      <c r="G411" s="534"/>
      <c r="H411" s="534"/>
      <c r="I411" s="534"/>
      <c r="J411" s="534"/>
      <c r="K411" s="658"/>
      <c r="L411" s="562"/>
      <c r="M411" s="562"/>
      <c r="N411" s="562"/>
      <c r="O411" s="530"/>
      <c r="P411" s="531"/>
      <c r="Q411" s="531"/>
      <c r="R411" s="531"/>
      <c r="S411" s="531"/>
      <c r="T411" s="531"/>
      <c r="U411" s="531"/>
      <c r="V411" s="531"/>
      <c r="W411" s="531"/>
      <c r="X411" s="531"/>
      <c r="Y411" s="531"/>
      <c r="Z411" s="531"/>
      <c r="AA411" s="531"/>
      <c r="AB411" s="531"/>
      <c r="AC411" s="531"/>
      <c r="AD411" s="531"/>
      <c r="AE411" s="531"/>
      <c r="AF411" s="531"/>
      <c r="AG411" s="531"/>
      <c r="AH411" s="532"/>
      <c r="AI411" s="532"/>
      <c r="AJ411" s="532"/>
      <c r="AK411" s="532"/>
      <c r="AL411" s="532"/>
      <c r="AM411" s="532"/>
      <c r="AN411" s="532"/>
      <c r="AO411" s="532"/>
      <c r="AP411" s="532"/>
      <c r="AQ411" s="532"/>
      <c r="AR411" s="532"/>
      <c r="AS411" s="532"/>
      <c r="AT411" s="532"/>
      <c r="AU411" s="532"/>
      <c r="AV411" s="532"/>
      <c r="AW411" s="532"/>
      <c r="AX411" s="532"/>
      <c r="AY411" s="532"/>
      <c r="AZ411" s="532"/>
      <c r="BA411" s="532"/>
      <c r="BB411" s="532"/>
      <c r="BC411" s="532"/>
      <c r="BD411" s="532"/>
      <c r="BE411" s="532"/>
      <c r="BF411" s="532"/>
      <c r="BG411" s="532"/>
      <c r="BH411" s="532"/>
      <c r="BI411" s="532"/>
      <c r="BJ411" s="532"/>
      <c r="BK411" s="532"/>
      <c r="BL411" s="532"/>
      <c r="BM411" s="532"/>
      <c r="BN411" s="532"/>
      <c r="BO411" s="532"/>
      <c r="BP411" s="532"/>
      <c r="BQ411" s="532"/>
      <c r="BR411" s="532"/>
      <c r="BS411" s="532"/>
      <c r="BT411" s="532"/>
      <c r="BU411" s="532"/>
      <c r="BV411" s="532"/>
      <c r="BW411" s="532"/>
      <c r="BX411" s="532"/>
      <c r="BY411" s="532"/>
      <c r="BZ411" s="532"/>
      <c r="CA411" s="532"/>
      <c r="CB411" s="532"/>
      <c r="CC411" s="532"/>
      <c r="CD411" s="532"/>
      <c r="CE411" s="532"/>
      <c r="CF411" s="532"/>
      <c r="CG411" s="532"/>
      <c r="CH411" s="532"/>
      <c r="CI411" s="532"/>
      <c r="CJ411" s="532"/>
      <c r="CK411" s="532"/>
      <c r="CL411" s="532"/>
      <c r="CM411" s="532"/>
      <c r="CN411" s="532"/>
      <c r="CO411" s="532"/>
      <c r="CP411" s="532"/>
      <c r="CQ411" s="532"/>
      <c r="CR411" s="532"/>
      <c r="CS411" s="532"/>
      <c r="CT411" s="532"/>
      <c r="CU411" s="532"/>
      <c r="CV411" s="532"/>
      <c r="CW411" s="532"/>
      <c r="CX411" s="532"/>
      <c r="CY411" s="532"/>
      <c r="CZ411" s="532"/>
      <c r="DA411" s="532"/>
      <c r="DB411" s="532"/>
      <c r="DC411" s="532"/>
      <c r="DD411" s="532"/>
      <c r="DE411" s="532"/>
      <c r="DF411" s="532"/>
      <c r="DG411" s="532"/>
      <c r="DH411" s="532"/>
      <c r="DI411" s="532"/>
      <c r="DJ411" s="532"/>
      <c r="DK411" s="532"/>
      <c r="DL411" s="532"/>
      <c r="DM411" s="532"/>
      <c r="DN411" s="532"/>
      <c r="DO411" s="532"/>
      <c r="DP411" s="532"/>
      <c r="DQ411" s="532"/>
      <c r="DR411" s="532"/>
      <c r="DS411" s="532"/>
      <c r="DT411" s="532"/>
      <c r="DU411" s="532"/>
      <c r="DV411" s="532"/>
      <c r="DW411" s="532"/>
      <c r="DX411" s="532"/>
      <c r="DY411" s="532"/>
      <c r="DZ411" s="532"/>
      <c r="EA411" s="532"/>
      <c r="EB411" s="532"/>
      <c r="EC411" s="532"/>
      <c r="ED411" s="532"/>
      <c r="EE411" s="532"/>
      <c r="EF411" s="532"/>
      <c r="EG411" s="532"/>
      <c r="EH411" s="532"/>
      <c r="EI411" s="532"/>
      <c r="EJ411" s="532"/>
      <c r="EK411" s="532"/>
      <c r="EL411" s="532"/>
      <c r="EM411" s="532"/>
      <c r="EN411" s="532"/>
      <c r="EO411" s="532"/>
      <c r="EP411" s="532"/>
      <c r="EQ411" s="532"/>
      <c r="ER411" s="532"/>
      <c r="ES411" s="532"/>
      <c r="ET411" s="532"/>
      <c r="EU411" s="532"/>
      <c r="EV411" s="532"/>
      <c r="EW411" s="532"/>
      <c r="EX411" s="532"/>
      <c r="EY411" s="532"/>
      <c r="EZ411" s="532"/>
      <c r="FA411" s="532"/>
      <c r="FB411" s="532"/>
      <c r="FC411" s="532"/>
      <c r="FD411" s="532"/>
      <c r="FE411" s="532"/>
      <c r="FF411" s="532"/>
      <c r="FG411" s="532"/>
      <c r="FH411" s="532"/>
      <c r="FI411" s="532"/>
      <c r="FJ411" s="532"/>
      <c r="FK411" s="532"/>
      <c r="FL411" s="532"/>
      <c r="FM411" s="532"/>
      <c r="FN411" s="532"/>
      <c r="FO411" s="532"/>
      <c r="FP411" s="532"/>
    </row>
    <row r="412" spans="1:172" ht="12" customHeight="1" x14ac:dyDescent="0.2">
      <c r="A412" s="533" t="s">
        <v>273</v>
      </c>
      <c r="B412" s="534" t="s">
        <v>274</v>
      </c>
      <c r="C412" s="208">
        <v>20</v>
      </c>
      <c r="D412" s="208">
        <f>12+30</f>
        <v>42</v>
      </c>
      <c r="E412" s="208">
        <f>24+47</f>
        <v>71</v>
      </c>
      <c r="F412" s="208">
        <f>3+66</f>
        <v>69</v>
      </c>
      <c r="G412" s="208">
        <f>56+25</f>
        <v>81</v>
      </c>
      <c r="H412" s="208">
        <f>29+63</f>
        <v>92</v>
      </c>
      <c r="I412" s="208">
        <f>9+27</f>
        <v>36</v>
      </c>
      <c r="J412" s="208">
        <f>38+41</f>
        <v>79</v>
      </c>
      <c r="K412" s="208">
        <v>46</v>
      </c>
      <c r="L412" s="562">
        <f>59+19</f>
        <v>78</v>
      </c>
      <c r="M412" s="562">
        <f>21+68</f>
        <v>89</v>
      </c>
      <c r="N412" s="562">
        <f>44+44</f>
        <v>88</v>
      </c>
      <c r="O412" s="530">
        <f>SUM(C412:N412)</f>
        <v>791</v>
      </c>
      <c r="P412" s="531"/>
      <c r="Q412" s="531"/>
      <c r="R412" s="531"/>
      <c r="S412" s="531"/>
      <c r="T412" s="531"/>
      <c r="U412" s="531"/>
      <c r="V412" s="531"/>
      <c r="W412" s="531"/>
      <c r="X412" s="531"/>
      <c r="Y412" s="531"/>
      <c r="Z412" s="531"/>
      <c r="AA412" s="531"/>
      <c r="AB412" s="531"/>
      <c r="AC412" s="531"/>
      <c r="AD412" s="531"/>
      <c r="AE412" s="531"/>
      <c r="AF412" s="531"/>
      <c r="AG412" s="531"/>
      <c r="AH412" s="532"/>
      <c r="AI412" s="532"/>
      <c r="AJ412" s="532"/>
      <c r="AK412" s="532"/>
      <c r="AL412" s="532"/>
      <c r="AM412" s="532"/>
      <c r="AN412" s="532"/>
      <c r="AO412" s="532"/>
      <c r="AP412" s="532"/>
      <c r="AQ412" s="532"/>
      <c r="AR412" s="532"/>
      <c r="AS412" s="532"/>
      <c r="AT412" s="532"/>
      <c r="AU412" s="532"/>
      <c r="AV412" s="532"/>
      <c r="AW412" s="532"/>
      <c r="AX412" s="532"/>
      <c r="AY412" s="532"/>
      <c r="AZ412" s="532"/>
      <c r="BA412" s="532"/>
      <c r="BB412" s="532"/>
      <c r="BC412" s="532"/>
      <c r="BD412" s="532"/>
      <c r="BE412" s="532"/>
      <c r="BF412" s="532"/>
      <c r="BG412" s="532"/>
      <c r="BH412" s="532"/>
      <c r="BI412" s="532"/>
      <c r="BJ412" s="532"/>
      <c r="BK412" s="532"/>
      <c r="BL412" s="532"/>
      <c r="BM412" s="532"/>
      <c r="BN412" s="532"/>
      <c r="BO412" s="532"/>
      <c r="BP412" s="532"/>
      <c r="BQ412" s="532"/>
      <c r="BR412" s="532"/>
      <c r="BS412" s="532"/>
      <c r="BT412" s="532"/>
      <c r="BU412" s="532"/>
      <c r="BV412" s="532"/>
      <c r="BW412" s="532"/>
      <c r="BX412" s="532"/>
      <c r="BY412" s="532"/>
      <c r="BZ412" s="532"/>
      <c r="CA412" s="532"/>
      <c r="CB412" s="532"/>
      <c r="CC412" s="532"/>
      <c r="CD412" s="532"/>
      <c r="CE412" s="532"/>
      <c r="CF412" s="532"/>
      <c r="CG412" s="532"/>
      <c r="CH412" s="532"/>
      <c r="CI412" s="532"/>
      <c r="CJ412" s="532"/>
      <c r="CK412" s="532"/>
      <c r="CL412" s="532"/>
      <c r="CM412" s="532"/>
      <c r="CN412" s="532"/>
      <c r="CO412" s="532"/>
      <c r="CP412" s="532"/>
      <c r="CQ412" s="532"/>
      <c r="CR412" s="532"/>
      <c r="CS412" s="532"/>
      <c r="CT412" s="532"/>
      <c r="CU412" s="532"/>
      <c r="CV412" s="532"/>
      <c r="CW412" s="532"/>
      <c r="CX412" s="532"/>
      <c r="CY412" s="532"/>
      <c r="CZ412" s="532"/>
      <c r="DA412" s="532"/>
      <c r="DB412" s="532"/>
      <c r="DC412" s="532"/>
      <c r="DD412" s="532"/>
      <c r="DE412" s="532"/>
      <c r="DF412" s="532"/>
      <c r="DG412" s="532"/>
      <c r="DH412" s="532"/>
      <c r="DI412" s="532"/>
      <c r="DJ412" s="532"/>
      <c r="DK412" s="532"/>
      <c r="DL412" s="532"/>
      <c r="DM412" s="532"/>
      <c r="DN412" s="532"/>
      <c r="DO412" s="532"/>
      <c r="DP412" s="532"/>
      <c r="DQ412" s="532"/>
      <c r="DR412" s="532"/>
      <c r="DS412" s="532"/>
      <c r="DT412" s="532"/>
      <c r="DU412" s="532"/>
      <c r="DV412" s="532"/>
      <c r="DW412" s="532"/>
      <c r="DX412" s="532"/>
      <c r="DY412" s="532"/>
      <c r="DZ412" s="532"/>
      <c r="EA412" s="532"/>
      <c r="EB412" s="532"/>
      <c r="EC412" s="532"/>
      <c r="ED412" s="532"/>
      <c r="EE412" s="532"/>
      <c r="EF412" s="532"/>
      <c r="EG412" s="532"/>
      <c r="EH412" s="532"/>
      <c r="EI412" s="532"/>
      <c r="EJ412" s="532"/>
      <c r="EK412" s="532"/>
      <c r="EL412" s="532"/>
      <c r="EM412" s="532"/>
      <c r="EN412" s="532"/>
      <c r="EO412" s="532"/>
      <c r="EP412" s="532"/>
      <c r="EQ412" s="532"/>
      <c r="ER412" s="532"/>
      <c r="ES412" s="532"/>
      <c r="ET412" s="532"/>
      <c r="EU412" s="532"/>
      <c r="EV412" s="532"/>
      <c r="EW412" s="532"/>
      <c r="EX412" s="532"/>
      <c r="EY412" s="532"/>
      <c r="EZ412" s="532"/>
      <c r="FA412" s="532"/>
      <c r="FB412" s="532"/>
      <c r="FC412" s="532"/>
      <c r="FD412" s="532"/>
      <c r="FE412" s="532"/>
      <c r="FF412" s="532"/>
      <c r="FG412" s="532"/>
      <c r="FH412" s="532"/>
      <c r="FI412" s="532"/>
      <c r="FJ412" s="532"/>
      <c r="FK412" s="532"/>
      <c r="FL412" s="532"/>
      <c r="FM412" s="532"/>
      <c r="FN412" s="532"/>
      <c r="FO412" s="532"/>
      <c r="FP412" s="532"/>
    </row>
    <row r="413" spans="1:172" ht="12" customHeight="1" x14ac:dyDescent="0.2">
      <c r="A413" s="533"/>
      <c r="B413" s="534"/>
      <c r="C413" s="534"/>
      <c r="D413" s="534"/>
      <c r="E413" s="534"/>
      <c r="F413" s="534"/>
      <c r="G413" s="534"/>
      <c r="H413" s="534"/>
      <c r="I413" s="534"/>
      <c r="J413" s="534"/>
      <c r="K413" s="658"/>
      <c r="L413" s="562"/>
      <c r="M413" s="562"/>
      <c r="N413" s="562"/>
      <c r="O413" s="530"/>
      <c r="P413" s="531"/>
      <c r="Q413" s="531"/>
      <c r="R413" s="531"/>
      <c r="S413" s="531"/>
      <c r="T413" s="531"/>
      <c r="U413" s="531"/>
      <c r="V413" s="531"/>
      <c r="W413" s="531"/>
      <c r="X413" s="531"/>
      <c r="Y413" s="531"/>
      <c r="Z413" s="531"/>
      <c r="AA413" s="531"/>
      <c r="AB413" s="531"/>
      <c r="AC413" s="531"/>
      <c r="AD413" s="531"/>
      <c r="AE413" s="531"/>
      <c r="AF413" s="531"/>
      <c r="AG413" s="531"/>
      <c r="AH413" s="532"/>
      <c r="AI413" s="532"/>
      <c r="AJ413" s="532"/>
      <c r="AK413" s="532"/>
      <c r="AL413" s="532"/>
      <c r="AM413" s="532"/>
      <c r="AN413" s="532"/>
      <c r="AO413" s="532"/>
      <c r="AP413" s="532"/>
      <c r="AQ413" s="532"/>
      <c r="AR413" s="532"/>
      <c r="AS413" s="532"/>
      <c r="AT413" s="532"/>
      <c r="AU413" s="532"/>
      <c r="AV413" s="532"/>
      <c r="AW413" s="532"/>
      <c r="AX413" s="532"/>
      <c r="AY413" s="532"/>
      <c r="AZ413" s="532"/>
      <c r="BA413" s="532"/>
      <c r="BB413" s="532"/>
      <c r="BC413" s="532"/>
      <c r="BD413" s="532"/>
      <c r="BE413" s="532"/>
      <c r="BF413" s="532"/>
      <c r="BG413" s="532"/>
      <c r="BH413" s="532"/>
      <c r="BI413" s="532"/>
      <c r="BJ413" s="532"/>
      <c r="BK413" s="532"/>
      <c r="BL413" s="532"/>
      <c r="BM413" s="532"/>
      <c r="BN413" s="532"/>
      <c r="BO413" s="532"/>
      <c r="BP413" s="532"/>
      <c r="BQ413" s="532"/>
      <c r="BR413" s="532"/>
      <c r="BS413" s="532"/>
      <c r="BT413" s="532"/>
      <c r="BU413" s="532"/>
      <c r="BV413" s="532"/>
      <c r="BW413" s="532"/>
      <c r="BX413" s="532"/>
      <c r="BY413" s="532"/>
      <c r="BZ413" s="532"/>
      <c r="CA413" s="532"/>
      <c r="CB413" s="532"/>
      <c r="CC413" s="532"/>
      <c r="CD413" s="532"/>
      <c r="CE413" s="532"/>
      <c r="CF413" s="532"/>
      <c r="CG413" s="532"/>
      <c r="CH413" s="532"/>
      <c r="CI413" s="532"/>
      <c r="CJ413" s="532"/>
      <c r="CK413" s="532"/>
      <c r="CL413" s="532"/>
      <c r="CM413" s="532"/>
      <c r="CN413" s="532"/>
      <c r="CO413" s="532"/>
      <c r="CP413" s="532"/>
      <c r="CQ413" s="532"/>
      <c r="CR413" s="532"/>
      <c r="CS413" s="532"/>
      <c r="CT413" s="532"/>
      <c r="CU413" s="532"/>
      <c r="CV413" s="532"/>
      <c r="CW413" s="532"/>
      <c r="CX413" s="532"/>
      <c r="CY413" s="532"/>
      <c r="CZ413" s="532"/>
      <c r="DA413" s="532"/>
      <c r="DB413" s="532"/>
      <c r="DC413" s="532"/>
      <c r="DD413" s="532"/>
      <c r="DE413" s="532"/>
      <c r="DF413" s="532"/>
      <c r="DG413" s="532"/>
      <c r="DH413" s="532"/>
      <c r="DI413" s="532"/>
      <c r="DJ413" s="532"/>
      <c r="DK413" s="532"/>
      <c r="DL413" s="532"/>
      <c r="DM413" s="532"/>
      <c r="DN413" s="532"/>
      <c r="DO413" s="532"/>
      <c r="DP413" s="532"/>
      <c r="DQ413" s="532"/>
      <c r="DR413" s="532"/>
      <c r="DS413" s="532"/>
      <c r="DT413" s="532"/>
      <c r="DU413" s="532"/>
      <c r="DV413" s="532"/>
      <c r="DW413" s="532"/>
      <c r="DX413" s="532"/>
      <c r="DY413" s="532"/>
      <c r="DZ413" s="532"/>
      <c r="EA413" s="532"/>
      <c r="EB413" s="532"/>
      <c r="EC413" s="532"/>
      <c r="ED413" s="532"/>
      <c r="EE413" s="532"/>
      <c r="EF413" s="532"/>
      <c r="EG413" s="532"/>
      <c r="EH413" s="532"/>
      <c r="EI413" s="532"/>
      <c r="EJ413" s="532"/>
      <c r="EK413" s="532"/>
      <c r="EL413" s="532"/>
      <c r="EM413" s="532"/>
      <c r="EN413" s="532"/>
      <c r="EO413" s="532"/>
      <c r="EP413" s="532"/>
      <c r="EQ413" s="532"/>
      <c r="ER413" s="532"/>
      <c r="ES413" s="532"/>
      <c r="ET413" s="532"/>
      <c r="EU413" s="532"/>
      <c r="EV413" s="532"/>
      <c r="EW413" s="532"/>
      <c r="EX413" s="532"/>
      <c r="EY413" s="532"/>
      <c r="EZ413" s="532"/>
      <c r="FA413" s="532"/>
      <c r="FB413" s="532"/>
      <c r="FC413" s="532"/>
      <c r="FD413" s="532"/>
      <c r="FE413" s="532"/>
      <c r="FF413" s="532"/>
      <c r="FG413" s="532"/>
      <c r="FH413" s="532"/>
      <c r="FI413" s="532"/>
      <c r="FJ413" s="532"/>
      <c r="FK413" s="532"/>
      <c r="FL413" s="532"/>
      <c r="FM413" s="532"/>
      <c r="FN413" s="532"/>
      <c r="FO413" s="532"/>
      <c r="FP413" s="532"/>
    </row>
    <row r="414" spans="1:172" ht="12" customHeight="1" x14ac:dyDescent="0.2">
      <c r="A414" s="533" t="s">
        <v>275</v>
      </c>
      <c r="B414" s="534" t="s">
        <v>276</v>
      </c>
      <c r="C414" s="208">
        <v>12</v>
      </c>
      <c r="D414" s="208">
        <v>14</v>
      </c>
      <c r="E414" s="208">
        <v>12</v>
      </c>
      <c r="F414" s="208">
        <v>8</v>
      </c>
      <c r="G414" s="208">
        <v>2</v>
      </c>
      <c r="H414" s="208">
        <v>10</v>
      </c>
      <c r="I414" s="208">
        <v>9</v>
      </c>
      <c r="J414" s="208">
        <v>1</v>
      </c>
      <c r="K414" s="208">
        <v>13</v>
      </c>
      <c r="L414" s="562">
        <v>10</v>
      </c>
      <c r="M414" s="562">
        <v>15</v>
      </c>
      <c r="N414" s="562">
        <v>6</v>
      </c>
      <c r="O414" s="530">
        <f>SUM(C414:N414)</f>
        <v>112</v>
      </c>
      <c r="P414" s="531"/>
      <c r="Q414" s="531"/>
      <c r="R414" s="531"/>
      <c r="S414" s="531"/>
      <c r="T414" s="531"/>
      <c r="U414" s="531"/>
      <c r="V414" s="531"/>
      <c r="W414" s="531"/>
      <c r="X414" s="531"/>
      <c r="Y414" s="531"/>
      <c r="Z414" s="531"/>
      <c r="AA414" s="531"/>
      <c r="AB414" s="531"/>
      <c r="AC414" s="531"/>
      <c r="AD414" s="531"/>
      <c r="AE414" s="531"/>
      <c r="AF414" s="531"/>
      <c r="AG414" s="531"/>
      <c r="AH414" s="532"/>
      <c r="AI414" s="532"/>
      <c r="AJ414" s="532"/>
      <c r="AK414" s="532"/>
      <c r="AL414" s="532"/>
      <c r="AM414" s="532"/>
      <c r="AN414" s="532"/>
      <c r="AO414" s="532"/>
      <c r="AP414" s="532"/>
      <c r="AQ414" s="532"/>
      <c r="AR414" s="532"/>
      <c r="AS414" s="532"/>
      <c r="AT414" s="532"/>
      <c r="AU414" s="532"/>
      <c r="AV414" s="532"/>
      <c r="AW414" s="532"/>
      <c r="AX414" s="532"/>
      <c r="AY414" s="532"/>
      <c r="AZ414" s="532"/>
      <c r="BA414" s="532"/>
      <c r="BB414" s="532"/>
      <c r="BC414" s="532"/>
      <c r="BD414" s="532"/>
      <c r="BE414" s="532"/>
      <c r="BF414" s="532"/>
      <c r="BG414" s="532"/>
      <c r="BH414" s="532"/>
      <c r="BI414" s="532"/>
      <c r="BJ414" s="532"/>
      <c r="BK414" s="532"/>
      <c r="BL414" s="532"/>
      <c r="BM414" s="532"/>
      <c r="BN414" s="532"/>
      <c r="BO414" s="532"/>
      <c r="BP414" s="532"/>
      <c r="BQ414" s="532"/>
      <c r="BR414" s="532"/>
      <c r="BS414" s="532"/>
      <c r="BT414" s="532"/>
      <c r="BU414" s="532"/>
      <c r="BV414" s="532"/>
      <c r="BW414" s="532"/>
      <c r="BX414" s="532"/>
      <c r="BY414" s="532"/>
      <c r="BZ414" s="532"/>
      <c r="CA414" s="532"/>
      <c r="CB414" s="532"/>
      <c r="CC414" s="532"/>
      <c r="CD414" s="532"/>
      <c r="CE414" s="532"/>
      <c r="CF414" s="532"/>
      <c r="CG414" s="532"/>
      <c r="CH414" s="532"/>
      <c r="CI414" s="532"/>
      <c r="CJ414" s="532"/>
      <c r="CK414" s="532"/>
      <c r="CL414" s="532"/>
      <c r="CM414" s="532"/>
      <c r="CN414" s="532"/>
      <c r="CO414" s="532"/>
      <c r="CP414" s="532"/>
      <c r="CQ414" s="532"/>
      <c r="CR414" s="532"/>
      <c r="CS414" s="532"/>
      <c r="CT414" s="532"/>
      <c r="CU414" s="532"/>
      <c r="CV414" s="532"/>
      <c r="CW414" s="532"/>
      <c r="CX414" s="532"/>
      <c r="CY414" s="532"/>
      <c r="CZ414" s="532"/>
      <c r="DA414" s="532"/>
      <c r="DB414" s="532"/>
      <c r="DC414" s="532"/>
      <c r="DD414" s="532"/>
      <c r="DE414" s="532"/>
      <c r="DF414" s="532"/>
      <c r="DG414" s="532"/>
      <c r="DH414" s="532"/>
      <c r="DI414" s="532"/>
      <c r="DJ414" s="532"/>
      <c r="DK414" s="532"/>
      <c r="DL414" s="532"/>
      <c r="DM414" s="532"/>
      <c r="DN414" s="532"/>
      <c r="DO414" s="532"/>
      <c r="DP414" s="532"/>
      <c r="DQ414" s="532"/>
      <c r="DR414" s="532"/>
      <c r="DS414" s="532"/>
      <c r="DT414" s="532"/>
      <c r="DU414" s="532"/>
      <c r="DV414" s="532"/>
      <c r="DW414" s="532"/>
      <c r="DX414" s="532"/>
      <c r="DY414" s="532"/>
      <c r="DZ414" s="532"/>
      <c r="EA414" s="532"/>
      <c r="EB414" s="532"/>
      <c r="EC414" s="532"/>
      <c r="ED414" s="532"/>
      <c r="EE414" s="532"/>
      <c r="EF414" s="532"/>
      <c r="EG414" s="532"/>
      <c r="EH414" s="532"/>
      <c r="EI414" s="532"/>
      <c r="EJ414" s="532"/>
      <c r="EK414" s="532"/>
      <c r="EL414" s="532"/>
      <c r="EM414" s="532"/>
      <c r="EN414" s="532"/>
      <c r="EO414" s="532"/>
      <c r="EP414" s="532"/>
      <c r="EQ414" s="532"/>
      <c r="ER414" s="532"/>
      <c r="ES414" s="532"/>
      <c r="ET414" s="532"/>
      <c r="EU414" s="532"/>
      <c r="EV414" s="532"/>
      <c r="EW414" s="532"/>
      <c r="EX414" s="532"/>
      <c r="EY414" s="532"/>
      <c r="EZ414" s="532"/>
      <c r="FA414" s="532"/>
      <c r="FB414" s="532"/>
      <c r="FC414" s="532"/>
      <c r="FD414" s="532"/>
      <c r="FE414" s="532"/>
      <c r="FF414" s="532"/>
      <c r="FG414" s="532"/>
      <c r="FH414" s="532"/>
      <c r="FI414" s="532"/>
      <c r="FJ414" s="532"/>
      <c r="FK414" s="532"/>
      <c r="FL414" s="532"/>
      <c r="FM414" s="532"/>
      <c r="FN414" s="532"/>
      <c r="FO414" s="532"/>
      <c r="FP414" s="532"/>
    </row>
    <row r="415" spans="1:172" ht="12" customHeight="1" x14ac:dyDescent="0.2">
      <c r="A415" s="533" t="s">
        <v>277</v>
      </c>
      <c r="B415" s="534" t="s">
        <v>278</v>
      </c>
      <c r="C415" s="208">
        <v>9</v>
      </c>
      <c r="D415" s="208">
        <v>8</v>
      </c>
      <c r="E415" s="208">
        <v>11</v>
      </c>
      <c r="F415" s="208">
        <v>16</v>
      </c>
      <c r="G415" s="208">
        <v>12</v>
      </c>
      <c r="H415" s="208">
        <v>14</v>
      </c>
      <c r="I415" s="208">
        <v>14</v>
      </c>
      <c r="J415" s="208">
        <v>9</v>
      </c>
      <c r="K415" s="208">
        <v>17</v>
      </c>
      <c r="L415" s="562">
        <v>16</v>
      </c>
      <c r="M415" s="562">
        <v>16</v>
      </c>
      <c r="N415" s="562">
        <v>14</v>
      </c>
      <c r="O415" s="530">
        <f>SUM(C415:N415)</f>
        <v>156</v>
      </c>
      <c r="P415" s="531"/>
      <c r="Q415" s="531"/>
      <c r="R415" s="531"/>
      <c r="S415" s="531"/>
      <c r="T415" s="531"/>
      <c r="U415" s="531"/>
      <c r="V415" s="531"/>
      <c r="W415" s="531"/>
      <c r="X415" s="531"/>
      <c r="Y415" s="531"/>
      <c r="Z415" s="531"/>
      <c r="AA415" s="531"/>
      <c r="AB415" s="531"/>
      <c r="AC415" s="531"/>
      <c r="AD415" s="531"/>
      <c r="AE415" s="531"/>
      <c r="AF415" s="531"/>
      <c r="AG415" s="531"/>
      <c r="AH415" s="532"/>
      <c r="AI415" s="532"/>
      <c r="AJ415" s="532"/>
      <c r="AK415" s="532"/>
      <c r="AL415" s="532"/>
      <c r="AM415" s="532"/>
      <c r="AN415" s="532"/>
      <c r="AO415" s="532"/>
      <c r="AP415" s="532"/>
      <c r="AQ415" s="532"/>
      <c r="AR415" s="532"/>
      <c r="AS415" s="532"/>
      <c r="AT415" s="532"/>
      <c r="AU415" s="532"/>
      <c r="AV415" s="532"/>
      <c r="AW415" s="532"/>
      <c r="AX415" s="532"/>
      <c r="AY415" s="532"/>
      <c r="AZ415" s="532"/>
      <c r="BA415" s="532"/>
      <c r="BB415" s="532"/>
      <c r="BC415" s="532"/>
      <c r="BD415" s="532"/>
      <c r="BE415" s="532"/>
      <c r="BF415" s="532"/>
      <c r="BG415" s="532"/>
      <c r="BH415" s="532"/>
      <c r="BI415" s="532"/>
      <c r="BJ415" s="532"/>
      <c r="BK415" s="532"/>
      <c r="BL415" s="532"/>
      <c r="BM415" s="532"/>
      <c r="BN415" s="532"/>
      <c r="BO415" s="532"/>
      <c r="BP415" s="532"/>
      <c r="BQ415" s="532"/>
      <c r="BR415" s="532"/>
      <c r="BS415" s="532"/>
      <c r="BT415" s="532"/>
      <c r="BU415" s="532"/>
      <c r="BV415" s="532"/>
      <c r="BW415" s="532"/>
      <c r="BX415" s="532"/>
      <c r="BY415" s="532"/>
      <c r="BZ415" s="532"/>
      <c r="CA415" s="532"/>
      <c r="CB415" s="532"/>
      <c r="CC415" s="532"/>
      <c r="CD415" s="532"/>
      <c r="CE415" s="532"/>
      <c r="CF415" s="532"/>
      <c r="CG415" s="532"/>
      <c r="CH415" s="532"/>
      <c r="CI415" s="532"/>
      <c r="CJ415" s="532"/>
      <c r="CK415" s="532"/>
      <c r="CL415" s="532"/>
      <c r="CM415" s="532"/>
      <c r="CN415" s="532"/>
      <c r="CO415" s="532"/>
      <c r="CP415" s="532"/>
      <c r="CQ415" s="532"/>
      <c r="CR415" s="532"/>
      <c r="CS415" s="532"/>
      <c r="CT415" s="532"/>
      <c r="CU415" s="532"/>
      <c r="CV415" s="532"/>
      <c r="CW415" s="532"/>
      <c r="CX415" s="532"/>
      <c r="CY415" s="532"/>
      <c r="CZ415" s="532"/>
      <c r="DA415" s="532"/>
      <c r="DB415" s="532"/>
      <c r="DC415" s="532"/>
      <c r="DD415" s="532"/>
      <c r="DE415" s="532"/>
      <c r="DF415" s="532"/>
      <c r="DG415" s="532"/>
      <c r="DH415" s="532"/>
      <c r="DI415" s="532"/>
      <c r="DJ415" s="532"/>
      <c r="DK415" s="532"/>
      <c r="DL415" s="532"/>
      <c r="DM415" s="532"/>
      <c r="DN415" s="532"/>
      <c r="DO415" s="532"/>
      <c r="DP415" s="532"/>
      <c r="DQ415" s="532"/>
      <c r="DR415" s="532"/>
      <c r="DS415" s="532"/>
      <c r="DT415" s="532"/>
      <c r="DU415" s="532"/>
      <c r="DV415" s="532"/>
      <c r="DW415" s="532"/>
      <c r="DX415" s="532"/>
      <c r="DY415" s="532"/>
      <c r="DZ415" s="532"/>
      <c r="EA415" s="532"/>
      <c r="EB415" s="532"/>
      <c r="EC415" s="532"/>
      <c r="ED415" s="532"/>
      <c r="EE415" s="532"/>
      <c r="EF415" s="532"/>
      <c r="EG415" s="532"/>
      <c r="EH415" s="532"/>
      <c r="EI415" s="532"/>
      <c r="EJ415" s="532"/>
      <c r="EK415" s="532"/>
      <c r="EL415" s="532"/>
      <c r="EM415" s="532"/>
      <c r="EN415" s="532"/>
      <c r="EO415" s="532"/>
      <c r="EP415" s="532"/>
      <c r="EQ415" s="532"/>
      <c r="ER415" s="532"/>
      <c r="ES415" s="532"/>
      <c r="ET415" s="532"/>
      <c r="EU415" s="532"/>
      <c r="EV415" s="532"/>
      <c r="EW415" s="532"/>
      <c r="EX415" s="532"/>
      <c r="EY415" s="532"/>
      <c r="EZ415" s="532"/>
      <c r="FA415" s="532"/>
      <c r="FB415" s="532"/>
      <c r="FC415" s="532"/>
      <c r="FD415" s="532"/>
      <c r="FE415" s="532"/>
      <c r="FF415" s="532"/>
      <c r="FG415" s="532"/>
      <c r="FH415" s="532"/>
      <c r="FI415" s="532"/>
      <c r="FJ415" s="532"/>
      <c r="FK415" s="532"/>
      <c r="FL415" s="532"/>
      <c r="FM415" s="532"/>
      <c r="FN415" s="532"/>
      <c r="FO415" s="532"/>
      <c r="FP415" s="532"/>
    </row>
    <row r="416" spans="1:172" ht="12" customHeight="1" x14ac:dyDescent="0.2">
      <c r="A416" s="533" t="s">
        <v>279</v>
      </c>
      <c r="B416" s="534" t="s">
        <v>55</v>
      </c>
      <c r="C416" s="208">
        <f t="shared" ref="C416:N416" si="182">SUM(C414:C415)</f>
        <v>21</v>
      </c>
      <c r="D416" s="208">
        <f t="shared" si="182"/>
        <v>22</v>
      </c>
      <c r="E416" s="208">
        <f t="shared" si="182"/>
        <v>23</v>
      </c>
      <c r="F416" s="208">
        <f t="shared" si="182"/>
        <v>24</v>
      </c>
      <c r="G416" s="208">
        <f t="shared" si="182"/>
        <v>14</v>
      </c>
      <c r="H416" s="208">
        <f t="shared" si="182"/>
        <v>24</v>
      </c>
      <c r="I416" s="208">
        <f t="shared" si="182"/>
        <v>23</v>
      </c>
      <c r="J416" s="208">
        <f t="shared" si="182"/>
        <v>10</v>
      </c>
      <c r="K416" s="208">
        <f t="shared" si="182"/>
        <v>30</v>
      </c>
      <c r="L416" s="562">
        <f t="shared" si="182"/>
        <v>26</v>
      </c>
      <c r="M416" s="562">
        <f t="shared" si="182"/>
        <v>31</v>
      </c>
      <c r="N416" s="562">
        <f t="shared" si="182"/>
        <v>20</v>
      </c>
      <c r="O416" s="530">
        <f>SUM(C416:N416)</f>
        <v>268</v>
      </c>
      <c r="P416" s="531"/>
      <c r="Q416" s="531"/>
      <c r="R416" s="531"/>
      <c r="S416" s="531"/>
      <c r="T416" s="531"/>
      <c r="U416" s="531"/>
      <c r="V416" s="531"/>
      <c r="W416" s="531"/>
      <c r="X416" s="531"/>
      <c r="Y416" s="531"/>
      <c r="Z416" s="531"/>
      <c r="AA416" s="531"/>
      <c r="AB416" s="531"/>
      <c r="AC416" s="531"/>
      <c r="AD416" s="531"/>
      <c r="AE416" s="531"/>
      <c r="AF416" s="531"/>
      <c r="AG416" s="531"/>
      <c r="AH416" s="532"/>
      <c r="AI416" s="532"/>
      <c r="AJ416" s="532"/>
      <c r="AK416" s="532"/>
      <c r="AL416" s="532"/>
      <c r="AM416" s="532"/>
      <c r="AN416" s="532"/>
      <c r="AO416" s="532"/>
      <c r="AP416" s="532"/>
      <c r="AQ416" s="532"/>
      <c r="AR416" s="532"/>
      <c r="AS416" s="532"/>
      <c r="AT416" s="532"/>
      <c r="AU416" s="532"/>
      <c r="AV416" s="532"/>
      <c r="AW416" s="532"/>
      <c r="AX416" s="532"/>
      <c r="AY416" s="532"/>
      <c r="AZ416" s="532"/>
      <c r="BA416" s="532"/>
      <c r="BB416" s="532"/>
      <c r="BC416" s="532"/>
      <c r="BD416" s="532"/>
      <c r="BE416" s="532"/>
      <c r="BF416" s="532"/>
      <c r="BG416" s="532"/>
      <c r="BH416" s="532"/>
      <c r="BI416" s="532"/>
      <c r="BJ416" s="532"/>
      <c r="BK416" s="532"/>
      <c r="BL416" s="532"/>
      <c r="BM416" s="532"/>
      <c r="BN416" s="532"/>
      <c r="BO416" s="532"/>
      <c r="BP416" s="532"/>
      <c r="BQ416" s="532"/>
      <c r="BR416" s="532"/>
      <c r="BS416" s="532"/>
      <c r="BT416" s="532"/>
      <c r="BU416" s="532"/>
      <c r="BV416" s="532"/>
      <c r="BW416" s="532"/>
      <c r="BX416" s="532"/>
      <c r="BY416" s="532"/>
      <c r="BZ416" s="532"/>
      <c r="CA416" s="532"/>
      <c r="CB416" s="532"/>
      <c r="CC416" s="532"/>
      <c r="CD416" s="532"/>
      <c r="CE416" s="532"/>
      <c r="CF416" s="532"/>
      <c r="CG416" s="532"/>
      <c r="CH416" s="532"/>
      <c r="CI416" s="532"/>
      <c r="CJ416" s="532"/>
      <c r="CK416" s="532"/>
      <c r="CL416" s="532"/>
      <c r="CM416" s="532"/>
      <c r="CN416" s="532"/>
      <c r="CO416" s="532"/>
      <c r="CP416" s="532"/>
      <c r="CQ416" s="532"/>
      <c r="CR416" s="532"/>
      <c r="CS416" s="532"/>
      <c r="CT416" s="532"/>
      <c r="CU416" s="532"/>
      <c r="CV416" s="532"/>
      <c r="CW416" s="532"/>
      <c r="CX416" s="532"/>
      <c r="CY416" s="532"/>
      <c r="CZ416" s="532"/>
      <c r="DA416" s="532"/>
      <c r="DB416" s="532"/>
      <c r="DC416" s="532"/>
      <c r="DD416" s="532"/>
      <c r="DE416" s="532"/>
      <c r="DF416" s="532"/>
      <c r="DG416" s="532"/>
      <c r="DH416" s="532"/>
      <c r="DI416" s="532"/>
      <c r="DJ416" s="532"/>
      <c r="DK416" s="532"/>
      <c r="DL416" s="532"/>
      <c r="DM416" s="532"/>
      <c r="DN416" s="532"/>
      <c r="DO416" s="532"/>
      <c r="DP416" s="532"/>
      <c r="DQ416" s="532"/>
      <c r="DR416" s="532"/>
      <c r="DS416" s="532"/>
      <c r="DT416" s="532"/>
      <c r="DU416" s="532"/>
      <c r="DV416" s="532"/>
      <c r="DW416" s="532"/>
      <c r="DX416" s="532"/>
      <c r="DY416" s="532"/>
      <c r="DZ416" s="532"/>
      <c r="EA416" s="532"/>
      <c r="EB416" s="532"/>
      <c r="EC416" s="532"/>
      <c r="ED416" s="532"/>
      <c r="EE416" s="532"/>
      <c r="EF416" s="532"/>
      <c r="EG416" s="532"/>
      <c r="EH416" s="532"/>
      <c r="EI416" s="532"/>
      <c r="EJ416" s="532"/>
      <c r="EK416" s="532"/>
      <c r="EL416" s="532"/>
      <c r="EM416" s="532"/>
      <c r="EN416" s="532"/>
      <c r="EO416" s="532"/>
      <c r="EP416" s="532"/>
      <c r="EQ416" s="532"/>
      <c r="ER416" s="532"/>
      <c r="ES416" s="532"/>
      <c r="ET416" s="532"/>
      <c r="EU416" s="532"/>
      <c r="EV416" s="532"/>
      <c r="EW416" s="532"/>
      <c r="EX416" s="532"/>
      <c r="EY416" s="532"/>
      <c r="EZ416" s="532"/>
      <c r="FA416" s="532"/>
      <c r="FB416" s="532"/>
      <c r="FC416" s="532"/>
      <c r="FD416" s="532"/>
      <c r="FE416" s="532"/>
      <c r="FF416" s="532"/>
      <c r="FG416" s="532"/>
      <c r="FH416" s="532"/>
      <c r="FI416" s="532"/>
      <c r="FJ416" s="532"/>
      <c r="FK416" s="532"/>
      <c r="FL416" s="532"/>
      <c r="FM416" s="532"/>
      <c r="FN416" s="532"/>
      <c r="FO416" s="532"/>
      <c r="FP416" s="532"/>
    </row>
    <row r="417" spans="1:172" ht="12" customHeight="1" x14ac:dyDescent="0.2">
      <c r="A417" s="533" t="s">
        <v>55</v>
      </c>
      <c r="B417" s="534" t="s">
        <v>55</v>
      </c>
      <c r="C417" s="534"/>
      <c r="D417" s="534"/>
      <c r="E417" s="534"/>
      <c r="F417" s="534"/>
      <c r="G417" s="534"/>
      <c r="H417" s="534"/>
      <c r="I417" s="534"/>
      <c r="J417" s="534"/>
      <c r="K417" s="658"/>
      <c r="L417" s="562"/>
      <c r="M417" s="562"/>
      <c r="N417" s="562"/>
      <c r="O417" s="530"/>
      <c r="P417" s="531"/>
      <c r="Q417" s="531"/>
      <c r="R417" s="531"/>
      <c r="S417" s="531"/>
      <c r="T417" s="531"/>
      <c r="U417" s="531"/>
      <c r="V417" s="531"/>
      <c r="W417" s="531"/>
      <c r="X417" s="531"/>
      <c r="Y417" s="531"/>
      <c r="Z417" s="531"/>
      <c r="AA417" s="531"/>
      <c r="AB417" s="531"/>
      <c r="AC417" s="531"/>
      <c r="AD417" s="531"/>
      <c r="AE417" s="531"/>
      <c r="AF417" s="531"/>
      <c r="AG417" s="531"/>
      <c r="AH417" s="532"/>
      <c r="AI417" s="532"/>
      <c r="AJ417" s="532"/>
      <c r="AK417" s="532"/>
      <c r="AL417" s="532"/>
      <c r="AM417" s="532"/>
      <c r="AN417" s="532"/>
      <c r="AO417" s="532"/>
      <c r="AP417" s="532"/>
      <c r="AQ417" s="532"/>
      <c r="AR417" s="532"/>
      <c r="AS417" s="532"/>
      <c r="AT417" s="532"/>
      <c r="AU417" s="532"/>
      <c r="AV417" s="532"/>
      <c r="AW417" s="532"/>
      <c r="AX417" s="532"/>
      <c r="AY417" s="532"/>
      <c r="AZ417" s="532"/>
      <c r="BA417" s="532"/>
      <c r="BB417" s="532"/>
      <c r="BC417" s="532"/>
      <c r="BD417" s="532"/>
      <c r="BE417" s="532"/>
      <c r="BF417" s="532"/>
      <c r="BG417" s="532"/>
      <c r="BH417" s="532"/>
      <c r="BI417" s="532"/>
      <c r="BJ417" s="532"/>
      <c r="BK417" s="532"/>
      <c r="BL417" s="532"/>
      <c r="BM417" s="532"/>
      <c r="BN417" s="532"/>
      <c r="BO417" s="532"/>
      <c r="BP417" s="532"/>
      <c r="BQ417" s="532"/>
      <c r="BR417" s="532"/>
      <c r="BS417" s="532"/>
      <c r="BT417" s="532"/>
      <c r="BU417" s="532"/>
      <c r="BV417" s="532"/>
      <c r="BW417" s="532"/>
      <c r="BX417" s="532"/>
      <c r="BY417" s="532"/>
      <c r="BZ417" s="532"/>
      <c r="CA417" s="532"/>
      <c r="CB417" s="532"/>
      <c r="CC417" s="532"/>
      <c r="CD417" s="532"/>
      <c r="CE417" s="532"/>
      <c r="CF417" s="532"/>
      <c r="CG417" s="532"/>
      <c r="CH417" s="532"/>
      <c r="CI417" s="532"/>
      <c r="CJ417" s="532"/>
      <c r="CK417" s="532"/>
      <c r="CL417" s="532"/>
      <c r="CM417" s="532"/>
      <c r="CN417" s="532"/>
      <c r="CO417" s="532"/>
      <c r="CP417" s="532"/>
      <c r="CQ417" s="532"/>
      <c r="CR417" s="532"/>
      <c r="CS417" s="532"/>
      <c r="CT417" s="532"/>
      <c r="CU417" s="532"/>
      <c r="CV417" s="532"/>
      <c r="CW417" s="532"/>
      <c r="CX417" s="532"/>
      <c r="CY417" s="532"/>
      <c r="CZ417" s="532"/>
      <c r="DA417" s="532"/>
      <c r="DB417" s="532"/>
      <c r="DC417" s="532"/>
      <c r="DD417" s="532"/>
      <c r="DE417" s="532"/>
      <c r="DF417" s="532"/>
      <c r="DG417" s="532"/>
      <c r="DH417" s="532"/>
      <c r="DI417" s="532"/>
      <c r="DJ417" s="532"/>
      <c r="DK417" s="532"/>
      <c r="DL417" s="532"/>
      <c r="DM417" s="532"/>
      <c r="DN417" s="532"/>
      <c r="DO417" s="532"/>
      <c r="DP417" s="532"/>
      <c r="DQ417" s="532"/>
      <c r="DR417" s="532"/>
      <c r="DS417" s="532"/>
      <c r="DT417" s="532"/>
      <c r="DU417" s="532"/>
      <c r="DV417" s="532"/>
      <c r="DW417" s="532"/>
      <c r="DX417" s="532"/>
      <c r="DY417" s="532"/>
      <c r="DZ417" s="532"/>
      <c r="EA417" s="532"/>
      <c r="EB417" s="532"/>
      <c r="EC417" s="532"/>
      <c r="ED417" s="532"/>
      <c r="EE417" s="532"/>
      <c r="EF417" s="532"/>
      <c r="EG417" s="532"/>
      <c r="EH417" s="532"/>
      <c r="EI417" s="532"/>
      <c r="EJ417" s="532"/>
      <c r="EK417" s="532"/>
      <c r="EL417" s="532"/>
      <c r="EM417" s="532"/>
      <c r="EN417" s="532"/>
      <c r="EO417" s="532"/>
      <c r="EP417" s="532"/>
      <c r="EQ417" s="532"/>
      <c r="ER417" s="532"/>
      <c r="ES417" s="532"/>
      <c r="ET417" s="532"/>
      <c r="EU417" s="532"/>
      <c r="EV417" s="532"/>
      <c r="EW417" s="532"/>
      <c r="EX417" s="532"/>
      <c r="EY417" s="532"/>
      <c r="EZ417" s="532"/>
      <c r="FA417" s="532"/>
      <c r="FB417" s="532"/>
      <c r="FC417" s="532"/>
      <c r="FD417" s="532"/>
      <c r="FE417" s="532"/>
      <c r="FF417" s="532"/>
      <c r="FG417" s="532"/>
      <c r="FH417" s="532"/>
      <c r="FI417" s="532"/>
      <c r="FJ417" s="532"/>
      <c r="FK417" s="532"/>
      <c r="FL417" s="532"/>
      <c r="FM417" s="532"/>
      <c r="FN417" s="532"/>
      <c r="FO417" s="532"/>
      <c r="FP417" s="532"/>
    </row>
    <row r="418" spans="1:172" ht="12" customHeight="1" x14ac:dyDescent="0.2">
      <c r="A418" s="533" t="s">
        <v>280</v>
      </c>
      <c r="B418" s="534" t="s">
        <v>281</v>
      </c>
      <c r="C418" s="208">
        <v>27</v>
      </c>
      <c r="D418" s="208">
        <v>55</v>
      </c>
      <c r="E418" s="208">
        <v>52</v>
      </c>
      <c r="F418" s="208">
        <v>53</v>
      </c>
      <c r="G418" s="208">
        <v>62</v>
      </c>
      <c r="H418" s="208">
        <v>38</v>
      </c>
      <c r="I418" s="208">
        <v>39</v>
      </c>
      <c r="J418" s="208">
        <v>21</v>
      </c>
      <c r="K418" s="208">
        <v>54</v>
      </c>
      <c r="L418" s="562">
        <v>40</v>
      </c>
      <c r="M418" s="562">
        <v>63</v>
      </c>
      <c r="N418" s="562">
        <v>29</v>
      </c>
      <c r="O418" s="530">
        <f>SUM(C418:N418)</f>
        <v>533</v>
      </c>
      <c r="P418" s="531"/>
      <c r="Q418" s="531"/>
      <c r="R418" s="531"/>
      <c r="S418" s="531"/>
      <c r="T418" s="531"/>
      <c r="U418" s="531"/>
      <c r="V418" s="531"/>
      <c r="W418" s="531"/>
      <c r="X418" s="531"/>
      <c r="Y418" s="531"/>
      <c r="Z418" s="531"/>
      <c r="AA418" s="531"/>
      <c r="AB418" s="531"/>
      <c r="AC418" s="531"/>
      <c r="AD418" s="531"/>
      <c r="AE418" s="531"/>
      <c r="AF418" s="531"/>
      <c r="AG418" s="531"/>
      <c r="AH418" s="532"/>
      <c r="AI418" s="532"/>
      <c r="AJ418" s="532"/>
      <c r="AK418" s="532"/>
      <c r="AL418" s="532"/>
      <c r="AM418" s="532"/>
      <c r="AN418" s="532"/>
      <c r="AO418" s="532"/>
      <c r="AP418" s="532"/>
      <c r="AQ418" s="532"/>
      <c r="AR418" s="532"/>
      <c r="AS418" s="532"/>
      <c r="AT418" s="532"/>
      <c r="AU418" s="532"/>
      <c r="AV418" s="532"/>
      <c r="AW418" s="532"/>
      <c r="AX418" s="532"/>
      <c r="AY418" s="532"/>
      <c r="AZ418" s="532"/>
      <c r="BA418" s="532"/>
      <c r="BB418" s="532"/>
      <c r="BC418" s="532"/>
      <c r="BD418" s="532"/>
      <c r="BE418" s="532"/>
      <c r="BF418" s="532"/>
      <c r="BG418" s="532"/>
      <c r="BH418" s="532"/>
      <c r="BI418" s="532"/>
      <c r="BJ418" s="532"/>
      <c r="BK418" s="532"/>
      <c r="BL418" s="532"/>
      <c r="BM418" s="532"/>
      <c r="BN418" s="532"/>
      <c r="BO418" s="532"/>
      <c r="BP418" s="532"/>
      <c r="BQ418" s="532"/>
      <c r="BR418" s="532"/>
      <c r="BS418" s="532"/>
      <c r="BT418" s="532"/>
      <c r="BU418" s="532"/>
      <c r="BV418" s="532"/>
      <c r="BW418" s="532"/>
      <c r="BX418" s="532"/>
      <c r="BY418" s="532"/>
      <c r="BZ418" s="532"/>
      <c r="CA418" s="532"/>
      <c r="CB418" s="532"/>
      <c r="CC418" s="532"/>
      <c r="CD418" s="532"/>
      <c r="CE418" s="532"/>
      <c r="CF418" s="532"/>
      <c r="CG418" s="532"/>
      <c r="CH418" s="532"/>
      <c r="CI418" s="532"/>
      <c r="CJ418" s="532"/>
      <c r="CK418" s="532"/>
      <c r="CL418" s="532"/>
      <c r="CM418" s="532"/>
      <c r="CN418" s="532"/>
      <c r="CO418" s="532"/>
      <c r="CP418" s="532"/>
      <c r="CQ418" s="532"/>
      <c r="CR418" s="532"/>
      <c r="CS418" s="532"/>
      <c r="CT418" s="532"/>
      <c r="CU418" s="532"/>
      <c r="CV418" s="532"/>
      <c r="CW418" s="532"/>
      <c r="CX418" s="532"/>
      <c r="CY418" s="532"/>
      <c r="CZ418" s="532"/>
      <c r="DA418" s="532"/>
      <c r="DB418" s="532"/>
      <c r="DC418" s="532"/>
      <c r="DD418" s="532"/>
      <c r="DE418" s="532"/>
      <c r="DF418" s="532"/>
      <c r="DG418" s="532"/>
      <c r="DH418" s="532"/>
      <c r="DI418" s="532"/>
      <c r="DJ418" s="532"/>
      <c r="DK418" s="532"/>
      <c r="DL418" s="532"/>
      <c r="DM418" s="532"/>
      <c r="DN418" s="532"/>
      <c r="DO418" s="532"/>
      <c r="DP418" s="532"/>
      <c r="DQ418" s="532"/>
      <c r="DR418" s="532"/>
      <c r="DS418" s="532"/>
      <c r="DT418" s="532"/>
      <c r="DU418" s="532"/>
      <c r="DV418" s="532"/>
      <c r="DW418" s="532"/>
      <c r="DX418" s="532"/>
      <c r="DY418" s="532"/>
      <c r="DZ418" s="532"/>
      <c r="EA418" s="532"/>
      <c r="EB418" s="532"/>
      <c r="EC418" s="532"/>
      <c r="ED418" s="532"/>
      <c r="EE418" s="532"/>
      <c r="EF418" s="532"/>
      <c r="EG418" s="532"/>
      <c r="EH418" s="532"/>
      <c r="EI418" s="532"/>
      <c r="EJ418" s="532"/>
      <c r="EK418" s="532"/>
      <c r="EL418" s="532"/>
      <c r="EM418" s="532"/>
      <c r="EN418" s="532"/>
      <c r="EO418" s="532"/>
      <c r="EP418" s="532"/>
      <c r="EQ418" s="532"/>
      <c r="ER418" s="532"/>
      <c r="ES418" s="532"/>
      <c r="ET418" s="532"/>
      <c r="EU418" s="532"/>
      <c r="EV418" s="532"/>
      <c r="EW418" s="532"/>
      <c r="EX418" s="532"/>
      <c r="EY418" s="532"/>
      <c r="EZ418" s="532"/>
      <c r="FA418" s="532"/>
      <c r="FB418" s="532"/>
      <c r="FC418" s="532"/>
      <c r="FD418" s="532"/>
      <c r="FE418" s="532"/>
      <c r="FF418" s="532"/>
      <c r="FG418" s="532"/>
      <c r="FH418" s="532"/>
      <c r="FI418" s="532"/>
      <c r="FJ418" s="532"/>
      <c r="FK418" s="532"/>
      <c r="FL418" s="532"/>
      <c r="FM418" s="532"/>
      <c r="FN418" s="532"/>
      <c r="FO418" s="532"/>
      <c r="FP418" s="532"/>
    </row>
    <row r="419" spans="1:172" ht="12" customHeight="1" x14ac:dyDescent="0.2">
      <c r="A419" s="533" t="s">
        <v>282</v>
      </c>
      <c r="B419" s="534" t="s">
        <v>283</v>
      </c>
      <c r="C419" s="208">
        <v>135</v>
      </c>
      <c r="D419" s="208">
        <v>128</v>
      </c>
      <c r="E419" s="208">
        <v>133</v>
      </c>
      <c r="F419" s="208">
        <v>164</v>
      </c>
      <c r="G419" s="208">
        <v>139</v>
      </c>
      <c r="H419" s="208">
        <v>166</v>
      </c>
      <c r="I419" s="208">
        <v>156</v>
      </c>
      <c r="J419" s="208">
        <v>176</v>
      </c>
      <c r="K419" s="208">
        <v>165</v>
      </c>
      <c r="L419" s="562">
        <v>162</v>
      </c>
      <c r="M419" s="562">
        <v>169</v>
      </c>
      <c r="N419" s="562">
        <v>167</v>
      </c>
      <c r="O419" s="530">
        <f>SUM(C419:N419)</f>
        <v>1860</v>
      </c>
      <c r="P419" s="531"/>
      <c r="Q419" s="531"/>
      <c r="R419" s="531"/>
      <c r="S419" s="531"/>
      <c r="T419" s="531"/>
      <c r="U419" s="531"/>
      <c r="V419" s="531"/>
      <c r="W419" s="531"/>
      <c r="X419" s="531"/>
      <c r="Y419" s="531"/>
      <c r="Z419" s="531"/>
      <c r="AA419" s="531"/>
      <c r="AB419" s="531"/>
      <c r="AC419" s="531"/>
      <c r="AD419" s="531"/>
      <c r="AE419" s="531"/>
      <c r="AF419" s="531"/>
      <c r="AG419" s="531"/>
      <c r="AH419" s="532"/>
      <c r="AI419" s="532"/>
      <c r="AJ419" s="532"/>
      <c r="AK419" s="532"/>
      <c r="AL419" s="532"/>
      <c r="AM419" s="532"/>
      <c r="AN419" s="532"/>
      <c r="AO419" s="532"/>
      <c r="AP419" s="532"/>
      <c r="AQ419" s="532"/>
      <c r="AR419" s="532"/>
      <c r="AS419" s="532"/>
      <c r="AT419" s="532"/>
      <c r="AU419" s="532"/>
      <c r="AV419" s="532"/>
      <c r="AW419" s="532"/>
      <c r="AX419" s="532"/>
      <c r="AY419" s="532"/>
      <c r="AZ419" s="532"/>
      <c r="BA419" s="532"/>
      <c r="BB419" s="532"/>
      <c r="BC419" s="532"/>
      <c r="BD419" s="532"/>
      <c r="BE419" s="532"/>
      <c r="BF419" s="532"/>
      <c r="BG419" s="532"/>
      <c r="BH419" s="532"/>
      <c r="BI419" s="532"/>
      <c r="BJ419" s="532"/>
      <c r="BK419" s="532"/>
      <c r="BL419" s="532"/>
      <c r="BM419" s="532"/>
      <c r="BN419" s="532"/>
      <c r="BO419" s="532"/>
      <c r="BP419" s="532"/>
      <c r="BQ419" s="532"/>
      <c r="BR419" s="532"/>
      <c r="BS419" s="532"/>
      <c r="BT419" s="532"/>
      <c r="BU419" s="532"/>
      <c r="BV419" s="532"/>
      <c r="BW419" s="532"/>
      <c r="BX419" s="532"/>
      <c r="BY419" s="532"/>
      <c r="BZ419" s="532"/>
      <c r="CA419" s="532"/>
      <c r="CB419" s="532"/>
      <c r="CC419" s="532"/>
      <c r="CD419" s="532"/>
      <c r="CE419" s="532"/>
      <c r="CF419" s="532"/>
      <c r="CG419" s="532"/>
      <c r="CH419" s="532"/>
      <c r="CI419" s="532"/>
      <c r="CJ419" s="532"/>
      <c r="CK419" s="532"/>
      <c r="CL419" s="532"/>
      <c r="CM419" s="532"/>
      <c r="CN419" s="532"/>
      <c r="CO419" s="532"/>
      <c r="CP419" s="532"/>
      <c r="CQ419" s="532"/>
      <c r="CR419" s="532"/>
      <c r="CS419" s="532"/>
      <c r="CT419" s="532"/>
      <c r="CU419" s="532"/>
      <c r="CV419" s="532"/>
      <c r="CW419" s="532"/>
      <c r="CX419" s="532"/>
      <c r="CY419" s="532"/>
      <c r="CZ419" s="532"/>
      <c r="DA419" s="532"/>
      <c r="DB419" s="532"/>
      <c r="DC419" s="532"/>
      <c r="DD419" s="532"/>
      <c r="DE419" s="532"/>
      <c r="DF419" s="532"/>
      <c r="DG419" s="532"/>
      <c r="DH419" s="532"/>
      <c r="DI419" s="532"/>
      <c r="DJ419" s="532"/>
      <c r="DK419" s="532"/>
      <c r="DL419" s="532"/>
      <c r="DM419" s="532"/>
      <c r="DN419" s="532"/>
      <c r="DO419" s="532"/>
      <c r="DP419" s="532"/>
      <c r="DQ419" s="532"/>
      <c r="DR419" s="532"/>
      <c r="DS419" s="532"/>
      <c r="DT419" s="532"/>
      <c r="DU419" s="532"/>
      <c r="DV419" s="532"/>
      <c r="DW419" s="532"/>
      <c r="DX419" s="532"/>
      <c r="DY419" s="532"/>
      <c r="DZ419" s="532"/>
      <c r="EA419" s="532"/>
      <c r="EB419" s="532"/>
      <c r="EC419" s="532"/>
      <c r="ED419" s="532"/>
      <c r="EE419" s="532"/>
      <c r="EF419" s="532"/>
      <c r="EG419" s="532"/>
      <c r="EH419" s="532"/>
      <c r="EI419" s="532"/>
      <c r="EJ419" s="532"/>
      <c r="EK419" s="532"/>
      <c r="EL419" s="532"/>
      <c r="EM419" s="532"/>
      <c r="EN419" s="532"/>
      <c r="EO419" s="532"/>
      <c r="EP419" s="532"/>
      <c r="EQ419" s="532"/>
      <c r="ER419" s="532"/>
      <c r="ES419" s="532"/>
      <c r="ET419" s="532"/>
      <c r="EU419" s="532"/>
      <c r="EV419" s="532"/>
      <c r="EW419" s="532"/>
      <c r="EX419" s="532"/>
      <c r="EY419" s="532"/>
      <c r="EZ419" s="532"/>
      <c r="FA419" s="532"/>
      <c r="FB419" s="532"/>
      <c r="FC419" s="532"/>
      <c r="FD419" s="532"/>
      <c r="FE419" s="532"/>
      <c r="FF419" s="532"/>
      <c r="FG419" s="532"/>
      <c r="FH419" s="532"/>
      <c r="FI419" s="532"/>
      <c r="FJ419" s="532"/>
      <c r="FK419" s="532"/>
      <c r="FL419" s="532"/>
      <c r="FM419" s="532"/>
      <c r="FN419" s="532"/>
      <c r="FO419" s="532"/>
      <c r="FP419" s="532"/>
    </row>
    <row r="420" spans="1:172" ht="12" customHeight="1" x14ac:dyDescent="0.2">
      <c r="A420" s="533" t="s">
        <v>284</v>
      </c>
      <c r="B420" s="534" t="s">
        <v>55</v>
      </c>
      <c r="C420" s="208">
        <f t="shared" ref="C420:N420" si="183">SUM(C418:C419)</f>
        <v>162</v>
      </c>
      <c r="D420" s="208">
        <f t="shared" si="183"/>
        <v>183</v>
      </c>
      <c r="E420" s="208">
        <f t="shared" si="183"/>
        <v>185</v>
      </c>
      <c r="F420" s="208">
        <f t="shared" si="183"/>
        <v>217</v>
      </c>
      <c r="G420" s="208">
        <f t="shared" si="183"/>
        <v>201</v>
      </c>
      <c r="H420" s="208">
        <f t="shared" si="183"/>
        <v>204</v>
      </c>
      <c r="I420" s="208">
        <f t="shared" si="183"/>
        <v>195</v>
      </c>
      <c r="J420" s="208">
        <f t="shared" si="183"/>
        <v>197</v>
      </c>
      <c r="K420" s="208">
        <f t="shared" si="183"/>
        <v>219</v>
      </c>
      <c r="L420" s="562">
        <f t="shared" si="183"/>
        <v>202</v>
      </c>
      <c r="M420" s="562">
        <f t="shared" si="183"/>
        <v>232</v>
      </c>
      <c r="N420" s="562">
        <f t="shared" si="183"/>
        <v>196</v>
      </c>
      <c r="O420" s="530">
        <f>SUM(C420:N420)</f>
        <v>2393</v>
      </c>
      <c r="P420" s="531"/>
      <c r="Q420" s="531"/>
      <c r="R420" s="531"/>
      <c r="S420" s="531"/>
      <c r="T420" s="531"/>
      <c r="U420" s="531"/>
      <c r="V420" s="531"/>
      <c r="W420" s="531"/>
      <c r="X420" s="531"/>
      <c r="Y420" s="531"/>
      <c r="Z420" s="531"/>
      <c r="AA420" s="531"/>
      <c r="AB420" s="531"/>
      <c r="AC420" s="531"/>
      <c r="AD420" s="531"/>
      <c r="AE420" s="531"/>
      <c r="AF420" s="531"/>
      <c r="AG420" s="531"/>
      <c r="AH420" s="532"/>
      <c r="AI420" s="532"/>
      <c r="AJ420" s="532"/>
      <c r="AK420" s="532"/>
      <c r="AL420" s="532"/>
      <c r="AM420" s="532"/>
      <c r="AN420" s="532"/>
      <c r="AO420" s="532"/>
      <c r="AP420" s="532"/>
      <c r="AQ420" s="532"/>
      <c r="AR420" s="532"/>
      <c r="AS420" s="532"/>
      <c r="AT420" s="532"/>
      <c r="AU420" s="532"/>
      <c r="AV420" s="532"/>
      <c r="AW420" s="532"/>
      <c r="AX420" s="532"/>
      <c r="AY420" s="532"/>
      <c r="AZ420" s="532"/>
      <c r="BA420" s="532"/>
      <c r="BB420" s="532"/>
      <c r="BC420" s="532"/>
      <c r="BD420" s="532"/>
      <c r="BE420" s="532"/>
      <c r="BF420" s="532"/>
      <c r="BG420" s="532"/>
      <c r="BH420" s="532"/>
      <c r="BI420" s="532"/>
      <c r="BJ420" s="532"/>
      <c r="BK420" s="532"/>
      <c r="BL420" s="532"/>
      <c r="BM420" s="532"/>
      <c r="BN420" s="532"/>
      <c r="BO420" s="532"/>
      <c r="BP420" s="532"/>
      <c r="BQ420" s="532"/>
      <c r="BR420" s="532"/>
      <c r="BS420" s="532"/>
      <c r="BT420" s="532"/>
      <c r="BU420" s="532"/>
      <c r="BV420" s="532"/>
      <c r="BW420" s="532"/>
      <c r="BX420" s="532"/>
      <c r="BY420" s="532"/>
      <c r="BZ420" s="532"/>
      <c r="CA420" s="532"/>
      <c r="CB420" s="532"/>
      <c r="CC420" s="532"/>
      <c r="CD420" s="532"/>
      <c r="CE420" s="532"/>
      <c r="CF420" s="532"/>
      <c r="CG420" s="532"/>
      <c r="CH420" s="532"/>
      <c r="CI420" s="532"/>
      <c r="CJ420" s="532"/>
      <c r="CK420" s="532"/>
      <c r="CL420" s="532"/>
      <c r="CM420" s="532"/>
      <c r="CN420" s="532"/>
      <c r="CO420" s="532"/>
      <c r="CP420" s="532"/>
      <c r="CQ420" s="532"/>
      <c r="CR420" s="532"/>
      <c r="CS420" s="532"/>
      <c r="CT420" s="532"/>
      <c r="CU420" s="532"/>
      <c r="CV420" s="532"/>
      <c r="CW420" s="532"/>
      <c r="CX420" s="532"/>
      <c r="CY420" s="532"/>
      <c r="CZ420" s="532"/>
      <c r="DA420" s="532"/>
      <c r="DB420" s="532"/>
      <c r="DC420" s="532"/>
      <c r="DD420" s="532"/>
      <c r="DE420" s="532"/>
      <c r="DF420" s="532"/>
      <c r="DG420" s="532"/>
      <c r="DH420" s="532"/>
      <c r="DI420" s="532"/>
      <c r="DJ420" s="532"/>
      <c r="DK420" s="532"/>
      <c r="DL420" s="532"/>
      <c r="DM420" s="532"/>
      <c r="DN420" s="532"/>
      <c r="DO420" s="532"/>
      <c r="DP420" s="532"/>
      <c r="DQ420" s="532"/>
      <c r="DR420" s="532"/>
      <c r="DS420" s="532"/>
      <c r="DT420" s="532"/>
      <c r="DU420" s="532"/>
      <c r="DV420" s="532"/>
      <c r="DW420" s="532"/>
      <c r="DX420" s="532"/>
      <c r="DY420" s="532"/>
      <c r="DZ420" s="532"/>
      <c r="EA420" s="532"/>
      <c r="EB420" s="532"/>
      <c r="EC420" s="532"/>
      <c r="ED420" s="532"/>
      <c r="EE420" s="532"/>
      <c r="EF420" s="532"/>
      <c r="EG420" s="532"/>
      <c r="EH420" s="532"/>
      <c r="EI420" s="532"/>
      <c r="EJ420" s="532"/>
      <c r="EK420" s="532"/>
      <c r="EL420" s="532"/>
      <c r="EM420" s="532"/>
      <c r="EN420" s="532"/>
      <c r="EO420" s="532"/>
      <c r="EP420" s="532"/>
      <c r="EQ420" s="532"/>
      <c r="ER420" s="532"/>
      <c r="ES420" s="532"/>
      <c r="ET420" s="532"/>
      <c r="EU420" s="532"/>
      <c r="EV420" s="532"/>
      <c r="EW420" s="532"/>
      <c r="EX420" s="532"/>
      <c r="EY420" s="532"/>
      <c r="EZ420" s="532"/>
      <c r="FA420" s="532"/>
      <c r="FB420" s="532"/>
      <c r="FC420" s="532"/>
      <c r="FD420" s="532"/>
      <c r="FE420" s="532"/>
      <c r="FF420" s="532"/>
      <c r="FG420" s="532"/>
      <c r="FH420" s="532"/>
      <c r="FI420" s="532"/>
      <c r="FJ420" s="532"/>
      <c r="FK420" s="532"/>
      <c r="FL420" s="532"/>
      <c r="FM420" s="532"/>
      <c r="FN420" s="532"/>
      <c r="FO420" s="532"/>
      <c r="FP420" s="532"/>
    </row>
    <row r="421" spans="1:172" ht="12" customHeight="1" x14ac:dyDescent="0.2">
      <c r="A421" s="533"/>
      <c r="B421" s="534"/>
      <c r="C421" s="534"/>
      <c r="D421" s="534"/>
      <c r="E421" s="534"/>
      <c r="F421" s="534"/>
      <c r="G421" s="534"/>
      <c r="H421" s="534"/>
      <c r="I421" s="534"/>
      <c r="J421" s="534"/>
      <c r="K421" s="658"/>
      <c r="L421" s="562"/>
      <c r="M421" s="562"/>
      <c r="N421" s="562"/>
      <c r="O421" s="530"/>
      <c r="P421" s="531"/>
      <c r="Q421" s="531"/>
      <c r="R421" s="531"/>
      <c r="S421" s="531"/>
      <c r="T421" s="531"/>
      <c r="U421" s="531"/>
      <c r="V421" s="531"/>
      <c r="W421" s="531"/>
      <c r="X421" s="531"/>
      <c r="Y421" s="531"/>
      <c r="Z421" s="531"/>
      <c r="AA421" s="531"/>
      <c r="AB421" s="531"/>
      <c r="AC421" s="531"/>
      <c r="AD421" s="531"/>
      <c r="AE421" s="531"/>
      <c r="AF421" s="531"/>
      <c r="AG421" s="531"/>
      <c r="AH421" s="532"/>
      <c r="AI421" s="532"/>
      <c r="AJ421" s="532"/>
      <c r="AK421" s="532"/>
      <c r="AL421" s="532"/>
      <c r="AM421" s="532"/>
      <c r="AN421" s="532"/>
      <c r="AO421" s="532"/>
      <c r="AP421" s="532"/>
      <c r="AQ421" s="532"/>
      <c r="AR421" s="532"/>
      <c r="AS421" s="532"/>
      <c r="AT421" s="532"/>
      <c r="AU421" s="532"/>
      <c r="AV421" s="532"/>
      <c r="AW421" s="532"/>
      <c r="AX421" s="532"/>
      <c r="AY421" s="532"/>
      <c r="AZ421" s="532"/>
      <c r="BA421" s="532"/>
      <c r="BB421" s="532"/>
      <c r="BC421" s="532"/>
      <c r="BD421" s="532"/>
      <c r="BE421" s="532"/>
      <c r="BF421" s="532"/>
      <c r="BG421" s="532"/>
      <c r="BH421" s="532"/>
      <c r="BI421" s="532"/>
      <c r="BJ421" s="532"/>
      <c r="BK421" s="532"/>
      <c r="BL421" s="532"/>
      <c r="BM421" s="532"/>
      <c r="BN421" s="532"/>
      <c r="BO421" s="532"/>
      <c r="BP421" s="532"/>
      <c r="BQ421" s="532"/>
      <c r="BR421" s="532"/>
      <c r="BS421" s="532"/>
      <c r="BT421" s="532"/>
      <c r="BU421" s="532"/>
      <c r="BV421" s="532"/>
      <c r="BW421" s="532"/>
      <c r="BX421" s="532"/>
      <c r="BY421" s="532"/>
      <c r="BZ421" s="532"/>
      <c r="CA421" s="532"/>
      <c r="CB421" s="532"/>
      <c r="CC421" s="532"/>
      <c r="CD421" s="532"/>
      <c r="CE421" s="532"/>
      <c r="CF421" s="532"/>
      <c r="CG421" s="532"/>
      <c r="CH421" s="532"/>
      <c r="CI421" s="532"/>
      <c r="CJ421" s="532"/>
      <c r="CK421" s="532"/>
      <c r="CL421" s="532"/>
      <c r="CM421" s="532"/>
      <c r="CN421" s="532"/>
      <c r="CO421" s="532"/>
      <c r="CP421" s="532"/>
      <c r="CQ421" s="532"/>
      <c r="CR421" s="532"/>
      <c r="CS421" s="532"/>
      <c r="CT421" s="532"/>
      <c r="CU421" s="532"/>
      <c r="CV421" s="532"/>
      <c r="CW421" s="532"/>
      <c r="CX421" s="532"/>
      <c r="CY421" s="532"/>
      <c r="CZ421" s="532"/>
      <c r="DA421" s="532"/>
      <c r="DB421" s="532"/>
      <c r="DC421" s="532"/>
      <c r="DD421" s="532"/>
      <c r="DE421" s="532"/>
      <c r="DF421" s="532"/>
      <c r="DG421" s="532"/>
      <c r="DH421" s="532"/>
      <c r="DI421" s="532"/>
      <c r="DJ421" s="532"/>
      <c r="DK421" s="532"/>
      <c r="DL421" s="532"/>
      <c r="DM421" s="532"/>
      <c r="DN421" s="532"/>
      <c r="DO421" s="532"/>
      <c r="DP421" s="532"/>
      <c r="DQ421" s="532"/>
      <c r="DR421" s="532"/>
      <c r="DS421" s="532"/>
      <c r="DT421" s="532"/>
      <c r="DU421" s="532"/>
      <c r="DV421" s="532"/>
      <c r="DW421" s="532"/>
      <c r="DX421" s="532"/>
      <c r="DY421" s="532"/>
      <c r="DZ421" s="532"/>
      <c r="EA421" s="532"/>
      <c r="EB421" s="532"/>
      <c r="EC421" s="532"/>
      <c r="ED421" s="532"/>
      <c r="EE421" s="532"/>
      <c r="EF421" s="532"/>
      <c r="EG421" s="532"/>
      <c r="EH421" s="532"/>
      <c r="EI421" s="532"/>
      <c r="EJ421" s="532"/>
      <c r="EK421" s="532"/>
      <c r="EL421" s="532"/>
      <c r="EM421" s="532"/>
      <c r="EN421" s="532"/>
      <c r="EO421" s="532"/>
      <c r="EP421" s="532"/>
      <c r="EQ421" s="532"/>
      <c r="ER421" s="532"/>
      <c r="ES421" s="532"/>
      <c r="ET421" s="532"/>
      <c r="EU421" s="532"/>
      <c r="EV421" s="532"/>
      <c r="EW421" s="532"/>
      <c r="EX421" s="532"/>
      <c r="EY421" s="532"/>
      <c r="EZ421" s="532"/>
      <c r="FA421" s="532"/>
      <c r="FB421" s="532"/>
      <c r="FC421" s="532"/>
      <c r="FD421" s="532"/>
      <c r="FE421" s="532"/>
      <c r="FF421" s="532"/>
      <c r="FG421" s="532"/>
      <c r="FH421" s="532"/>
      <c r="FI421" s="532"/>
      <c r="FJ421" s="532"/>
      <c r="FK421" s="532"/>
      <c r="FL421" s="532"/>
      <c r="FM421" s="532"/>
      <c r="FN421" s="532"/>
      <c r="FO421" s="532"/>
      <c r="FP421" s="532"/>
    </row>
    <row r="422" spans="1:172" ht="12" customHeight="1" x14ac:dyDescent="0.2">
      <c r="A422" s="533" t="s">
        <v>285</v>
      </c>
      <c r="B422" s="534" t="s">
        <v>286</v>
      </c>
      <c r="C422" s="534">
        <v>0</v>
      </c>
      <c r="D422" s="534">
        <v>0</v>
      </c>
      <c r="E422" s="534">
        <v>0</v>
      </c>
      <c r="F422" s="534">
        <v>0</v>
      </c>
      <c r="G422" s="534">
        <v>0</v>
      </c>
      <c r="H422" s="534">
        <v>0</v>
      </c>
      <c r="I422" s="534">
        <v>0</v>
      </c>
      <c r="J422" s="534">
        <v>0</v>
      </c>
      <c r="K422" s="658">
        <v>0</v>
      </c>
      <c r="L422" s="562">
        <v>0</v>
      </c>
      <c r="M422" s="562">
        <v>0</v>
      </c>
      <c r="N422" s="562">
        <v>0</v>
      </c>
      <c r="O422" s="530">
        <f>SUM(C422:N422)</f>
        <v>0</v>
      </c>
      <c r="P422" s="531"/>
      <c r="Q422" s="531"/>
      <c r="R422" s="531"/>
      <c r="S422" s="531"/>
      <c r="T422" s="531"/>
      <c r="U422" s="531"/>
      <c r="V422" s="531"/>
      <c r="W422" s="531"/>
      <c r="X422" s="531"/>
      <c r="Y422" s="531"/>
      <c r="Z422" s="531"/>
      <c r="AA422" s="531"/>
      <c r="AB422" s="531"/>
      <c r="AC422" s="531"/>
      <c r="AD422" s="531"/>
      <c r="AE422" s="531"/>
      <c r="AF422" s="531"/>
      <c r="AG422" s="531"/>
      <c r="AH422" s="532"/>
      <c r="AI422" s="532"/>
      <c r="AJ422" s="532"/>
      <c r="AK422" s="532"/>
      <c r="AL422" s="532"/>
      <c r="AM422" s="532"/>
      <c r="AN422" s="532"/>
      <c r="AO422" s="532"/>
      <c r="AP422" s="532"/>
      <c r="AQ422" s="532"/>
      <c r="AR422" s="532"/>
      <c r="AS422" s="532"/>
      <c r="AT422" s="532"/>
      <c r="AU422" s="532"/>
      <c r="AV422" s="532"/>
      <c r="AW422" s="532"/>
      <c r="AX422" s="532"/>
      <c r="AY422" s="532"/>
      <c r="AZ422" s="532"/>
      <c r="BA422" s="532"/>
      <c r="BB422" s="532"/>
      <c r="BC422" s="532"/>
      <c r="BD422" s="532"/>
      <c r="BE422" s="532"/>
      <c r="BF422" s="532"/>
      <c r="BG422" s="532"/>
      <c r="BH422" s="532"/>
      <c r="BI422" s="532"/>
      <c r="BJ422" s="532"/>
      <c r="BK422" s="532"/>
      <c r="BL422" s="532"/>
      <c r="BM422" s="532"/>
      <c r="BN422" s="532"/>
      <c r="BO422" s="532"/>
      <c r="BP422" s="532"/>
      <c r="BQ422" s="532"/>
      <c r="BR422" s="532"/>
      <c r="BS422" s="532"/>
      <c r="BT422" s="532"/>
      <c r="BU422" s="532"/>
      <c r="BV422" s="532"/>
      <c r="BW422" s="532"/>
      <c r="BX422" s="532"/>
      <c r="BY422" s="532"/>
      <c r="BZ422" s="532"/>
      <c r="CA422" s="532"/>
      <c r="CB422" s="532"/>
      <c r="CC422" s="532"/>
      <c r="CD422" s="532"/>
      <c r="CE422" s="532"/>
      <c r="CF422" s="532"/>
      <c r="CG422" s="532"/>
      <c r="CH422" s="532"/>
      <c r="CI422" s="532"/>
      <c r="CJ422" s="532"/>
      <c r="CK422" s="532"/>
      <c r="CL422" s="532"/>
      <c r="CM422" s="532"/>
      <c r="CN422" s="532"/>
      <c r="CO422" s="532"/>
      <c r="CP422" s="532"/>
      <c r="CQ422" s="532"/>
      <c r="CR422" s="532"/>
      <c r="CS422" s="532"/>
      <c r="CT422" s="532"/>
      <c r="CU422" s="532"/>
      <c r="CV422" s="532"/>
      <c r="CW422" s="532"/>
      <c r="CX422" s="532"/>
      <c r="CY422" s="532"/>
      <c r="CZ422" s="532"/>
      <c r="DA422" s="532"/>
      <c r="DB422" s="532"/>
      <c r="DC422" s="532"/>
      <c r="DD422" s="532"/>
      <c r="DE422" s="532"/>
      <c r="DF422" s="532"/>
      <c r="DG422" s="532"/>
      <c r="DH422" s="532"/>
      <c r="DI422" s="532"/>
      <c r="DJ422" s="532"/>
      <c r="DK422" s="532"/>
      <c r="DL422" s="532"/>
      <c r="DM422" s="532"/>
      <c r="DN422" s="532"/>
      <c r="DO422" s="532"/>
      <c r="DP422" s="532"/>
      <c r="DQ422" s="532"/>
      <c r="DR422" s="532"/>
      <c r="DS422" s="532"/>
      <c r="DT422" s="532"/>
      <c r="DU422" s="532"/>
      <c r="DV422" s="532"/>
      <c r="DW422" s="532"/>
      <c r="DX422" s="532"/>
      <c r="DY422" s="532"/>
      <c r="DZ422" s="532"/>
      <c r="EA422" s="532"/>
      <c r="EB422" s="532"/>
      <c r="EC422" s="532"/>
      <c r="ED422" s="532"/>
      <c r="EE422" s="532"/>
      <c r="EF422" s="532"/>
      <c r="EG422" s="532"/>
      <c r="EH422" s="532"/>
      <c r="EI422" s="532"/>
      <c r="EJ422" s="532"/>
      <c r="EK422" s="532"/>
      <c r="EL422" s="532"/>
      <c r="EM422" s="532"/>
      <c r="EN422" s="532"/>
      <c r="EO422" s="532"/>
      <c r="EP422" s="532"/>
      <c r="EQ422" s="532"/>
      <c r="ER422" s="532"/>
      <c r="ES422" s="532"/>
      <c r="ET422" s="532"/>
      <c r="EU422" s="532"/>
      <c r="EV422" s="532"/>
      <c r="EW422" s="532"/>
      <c r="EX422" s="532"/>
      <c r="EY422" s="532"/>
      <c r="EZ422" s="532"/>
      <c r="FA422" s="532"/>
      <c r="FB422" s="532"/>
      <c r="FC422" s="532"/>
      <c r="FD422" s="532"/>
      <c r="FE422" s="532"/>
      <c r="FF422" s="532"/>
      <c r="FG422" s="532"/>
      <c r="FH422" s="532"/>
      <c r="FI422" s="532"/>
      <c r="FJ422" s="532"/>
      <c r="FK422" s="532"/>
      <c r="FL422" s="532"/>
      <c r="FM422" s="532"/>
      <c r="FN422" s="532"/>
      <c r="FO422" s="532"/>
      <c r="FP422" s="532"/>
    </row>
    <row r="423" spans="1:172" ht="12" customHeight="1" x14ac:dyDescent="0.2">
      <c r="A423" s="533" t="s">
        <v>287</v>
      </c>
      <c r="B423" s="534" t="s">
        <v>288</v>
      </c>
      <c r="C423" s="534">
        <v>0</v>
      </c>
      <c r="D423" s="534">
        <v>0</v>
      </c>
      <c r="E423" s="534">
        <v>0</v>
      </c>
      <c r="F423" s="534">
        <v>0</v>
      </c>
      <c r="G423" s="534">
        <v>0</v>
      </c>
      <c r="H423" s="534">
        <v>0</v>
      </c>
      <c r="I423" s="534">
        <v>0</v>
      </c>
      <c r="J423" s="534">
        <v>0</v>
      </c>
      <c r="K423" s="658">
        <v>0</v>
      </c>
      <c r="L423" s="562">
        <v>0</v>
      </c>
      <c r="M423" s="562">
        <v>0</v>
      </c>
      <c r="N423" s="562">
        <v>0</v>
      </c>
      <c r="O423" s="530">
        <f>SUM(C423:N423)</f>
        <v>0</v>
      </c>
      <c r="P423" s="531"/>
      <c r="Q423" s="531"/>
      <c r="R423" s="531"/>
      <c r="S423" s="531"/>
      <c r="T423" s="531"/>
      <c r="U423" s="531"/>
      <c r="V423" s="531"/>
      <c r="W423" s="531"/>
      <c r="X423" s="531"/>
      <c r="Y423" s="531"/>
      <c r="Z423" s="531"/>
      <c r="AA423" s="531"/>
      <c r="AB423" s="531"/>
      <c r="AC423" s="531"/>
      <c r="AD423" s="531"/>
      <c r="AE423" s="531"/>
      <c r="AF423" s="531"/>
      <c r="AG423" s="531"/>
      <c r="AH423" s="532"/>
      <c r="AI423" s="532"/>
      <c r="AJ423" s="532"/>
      <c r="AK423" s="532"/>
      <c r="AL423" s="532"/>
      <c r="AM423" s="532"/>
      <c r="AN423" s="532"/>
      <c r="AO423" s="532"/>
      <c r="AP423" s="532"/>
      <c r="AQ423" s="532"/>
      <c r="AR423" s="532"/>
      <c r="AS423" s="532"/>
      <c r="AT423" s="532"/>
      <c r="AU423" s="532"/>
      <c r="AV423" s="532"/>
      <c r="AW423" s="532"/>
      <c r="AX423" s="532"/>
      <c r="AY423" s="532"/>
      <c r="AZ423" s="532"/>
      <c r="BA423" s="532"/>
      <c r="BB423" s="532"/>
      <c r="BC423" s="532"/>
      <c r="BD423" s="532"/>
      <c r="BE423" s="532"/>
      <c r="BF423" s="532"/>
      <c r="BG423" s="532"/>
      <c r="BH423" s="532"/>
      <c r="BI423" s="532"/>
      <c r="BJ423" s="532"/>
      <c r="BK423" s="532"/>
      <c r="BL423" s="532"/>
      <c r="BM423" s="532"/>
      <c r="BN423" s="532"/>
      <c r="BO423" s="532"/>
      <c r="BP423" s="532"/>
      <c r="BQ423" s="532"/>
      <c r="BR423" s="532"/>
      <c r="BS423" s="532"/>
      <c r="BT423" s="532"/>
      <c r="BU423" s="532"/>
      <c r="BV423" s="532"/>
      <c r="BW423" s="532"/>
      <c r="BX423" s="532"/>
      <c r="BY423" s="532"/>
      <c r="BZ423" s="532"/>
      <c r="CA423" s="532"/>
      <c r="CB423" s="532"/>
      <c r="CC423" s="532"/>
      <c r="CD423" s="532"/>
      <c r="CE423" s="532"/>
      <c r="CF423" s="532"/>
      <c r="CG423" s="532"/>
      <c r="CH423" s="532"/>
      <c r="CI423" s="532"/>
      <c r="CJ423" s="532"/>
      <c r="CK423" s="532"/>
      <c r="CL423" s="532"/>
      <c r="CM423" s="532"/>
      <c r="CN423" s="532"/>
      <c r="CO423" s="532"/>
      <c r="CP423" s="532"/>
      <c r="CQ423" s="532"/>
      <c r="CR423" s="532"/>
      <c r="CS423" s="532"/>
      <c r="CT423" s="532"/>
      <c r="CU423" s="532"/>
      <c r="CV423" s="532"/>
      <c r="CW423" s="532"/>
      <c r="CX423" s="532"/>
      <c r="CY423" s="532"/>
      <c r="CZ423" s="532"/>
      <c r="DA423" s="532"/>
      <c r="DB423" s="532"/>
      <c r="DC423" s="532"/>
      <c r="DD423" s="532"/>
      <c r="DE423" s="532"/>
      <c r="DF423" s="532"/>
      <c r="DG423" s="532"/>
      <c r="DH423" s="532"/>
      <c r="DI423" s="532"/>
      <c r="DJ423" s="532"/>
      <c r="DK423" s="532"/>
      <c r="DL423" s="532"/>
      <c r="DM423" s="532"/>
      <c r="DN423" s="532"/>
      <c r="DO423" s="532"/>
      <c r="DP423" s="532"/>
      <c r="DQ423" s="532"/>
      <c r="DR423" s="532"/>
      <c r="DS423" s="532"/>
      <c r="DT423" s="532"/>
      <c r="DU423" s="532"/>
      <c r="DV423" s="532"/>
      <c r="DW423" s="532"/>
      <c r="DX423" s="532"/>
      <c r="DY423" s="532"/>
      <c r="DZ423" s="532"/>
      <c r="EA423" s="532"/>
      <c r="EB423" s="532"/>
      <c r="EC423" s="532"/>
      <c r="ED423" s="532"/>
      <c r="EE423" s="532"/>
      <c r="EF423" s="532"/>
      <c r="EG423" s="532"/>
      <c r="EH423" s="532"/>
      <c r="EI423" s="532"/>
      <c r="EJ423" s="532"/>
      <c r="EK423" s="532"/>
      <c r="EL423" s="532"/>
      <c r="EM423" s="532"/>
      <c r="EN423" s="532"/>
      <c r="EO423" s="532"/>
      <c r="EP423" s="532"/>
      <c r="EQ423" s="532"/>
      <c r="ER423" s="532"/>
      <c r="ES423" s="532"/>
      <c r="ET423" s="532"/>
      <c r="EU423" s="532"/>
      <c r="EV423" s="532"/>
      <c r="EW423" s="532"/>
      <c r="EX423" s="532"/>
      <c r="EY423" s="532"/>
      <c r="EZ423" s="532"/>
      <c r="FA423" s="532"/>
      <c r="FB423" s="532"/>
      <c r="FC423" s="532"/>
      <c r="FD423" s="532"/>
      <c r="FE423" s="532"/>
      <c r="FF423" s="532"/>
      <c r="FG423" s="532"/>
      <c r="FH423" s="532"/>
      <c r="FI423" s="532"/>
      <c r="FJ423" s="532"/>
      <c r="FK423" s="532"/>
      <c r="FL423" s="532"/>
      <c r="FM423" s="532"/>
      <c r="FN423" s="532"/>
      <c r="FO423" s="532"/>
      <c r="FP423" s="532"/>
    </row>
    <row r="424" spans="1:172" ht="12" customHeight="1" x14ac:dyDescent="0.2">
      <c r="A424" s="533" t="s">
        <v>289</v>
      </c>
      <c r="B424" s="534" t="s">
        <v>55</v>
      </c>
      <c r="C424" s="534">
        <f>SUM(C422:C423)</f>
        <v>0</v>
      </c>
      <c r="D424" s="534">
        <f>SUM(D422:D423)</f>
        <v>0</v>
      </c>
      <c r="E424" s="534">
        <f>SUM(E422:E423)</f>
        <v>0</v>
      </c>
      <c r="F424" s="534">
        <f t="shared" ref="F424:J424" si="184">SUM(F422:F423)</f>
        <v>0</v>
      </c>
      <c r="G424" s="534">
        <f t="shared" si="184"/>
        <v>0</v>
      </c>
      <c r="H424" s="534">
        <f t="shared" si="184"/>
        <v>0</v>
      </c>
      <c r="I424" s="534">
        <f t="shared" si="184"/>
        <v>0</v>
      </c>
      <c r="J424" s="534">
        <f t="shared" si="184"/>
        <v>0</v>
      </c>
      <c r="K424" s="658">
        <f t="shared" ref="K424:N424" si="185">SUM(K422:K423)</f>
        <v>0</v>
      </c>
      <c r="L424" s="562">
        <f t="shared" si="185"/>
        <v>0</v>
      </c>
      <c r="M424" s="562">
        <f t="shared" si="185"/>
        <v>0</v>
      </c>
      <c r="N424" s="562">
        <f t="shared" si="185"/>
        <v>0</v>
      </c>
      <c r="O424" s="530">
        <f>SUM(C424:N424)</f>
        <v>0</v>
      </c>
      <c r="P424" s="531"/>
      <c r="Q424" s="531"/>
      <c r="R424" s="531"/>
      <c r="S424" s="531"/>
      <c r="T424" s="531"/>
      <c r="U424" s="531"/>
      <c r="V424" s="531"/>
      <c r="W424" s="531"/>
      <c r="X424" s="531"/>
      <c r="Y424" s="531"/>
      <c r="Z424" s="531"/>
      <c r="AA424" s="531"/>
      <c r="AB424" s="531"/>
      <c r="AC424" s="531"/>
      <c r="AD424" s="531"/>
      <c r="AE424" s="531"/>
      <c r="AF424" s="531"/>
      <c r="AG424" s="531"/>
      <c r="AH424" s="532"/>
      <c r="AI424" s="532"/>
      <c r="AJ424" s="532"/>
      <c r="AK424" s="532"/>
      <c r="AL424" s="532"/>
      <c r="AM424" s="532"/>
      <c r="AN424" s="532"/>
      <c r="AO424" s="532"/>
      <c r="AP424" s="532"/>
      <c r="AQ424" s="532"/>
      <c r="AR424" s="532"/>
      <c r="AS424" s="532"/>
      <c r="AT424" s="532"/>
      <c r="AU424" s="532"/>
      <c r="AV424" s="532"/>
      <c r="AW424" s="532"/>
      <c r="AX424" s="532"/>
      <c r="AY424" s="532"/>
      <c r="AZ424" s="532"/>
      <c r="BA424" s="532"/>
      <c r="BB424" s="532"/>
      <c r="BC424" s="532"/>
      <c r="BD424" s="532"/>
      <c r="BE424" s="532"/>
      <c r="BF424" s="532"/>
      <c r="BG424" s="532"/>
      <c r="BH424" s="532"/>
      <c r="BI424" s="532"/>
      <c r="BJ424" s="532"/>
      <c r="BK424" s="532"/>
      <c r="BL424" s="532"/>
      <c r="BM424" s="532"/>
      <c r="BN424" s="532"/>
      <c r="BO424" s="532"/>
      <c r="BP424" s="532"/>
      <c r="BQ424" s="532"/>
      <c r="BR424" s="532"/>
      <c r="BS424" s="532"/>
      <c r="BT424" s="532"/>
      <c r="BU424" s="532"/>
      <c r="BV424" s="532"/>
      <c r="BW424" s="532"/>
      <c r="BX424" s="532"/>
      <c r="BY424" s="532"/>
      <c r="BZ424" s="532"/>
      <c r="CA424" s="532"/>
      <c r="CB424" s="532"/>
      <c r="CC424" s="532"/>
      <c r="CD424" s="532"/>
      <c r="CE424" s="532"/>
      <c r="CF424" s="532"/>
      <c r="CG424" s="532"/>
      <c r="CH424" s="532"/>
      <c r="CI424" s="532"/>
      <c r="CJ424" s="532"/>
      <c r="CK424" s="532"/>
      <c r="CL424" s="532"/>
      <c r="CM424" s="532"/>
      <c r="CN424" s="532"/>
      <c r="CO424" s="532"/>
      <c r="CP424" s="532"/>
      <c r="CQ424" s="532"/>
      <c r="CR424" s="532"/>
      <c r="CS424" s="532"/>
      <c r="CT424" s="532"/>
      <c r="CU424" s="532"/>
      <c r="CV424" s="532"/>
      <c r="CW424" s="532"/>
      <c r="CX424" s="532"/>
      <c r="CY424" s="532"/>
      <c r="CZ424" s="532"/>
      <c r="DA424" s="532"/>
      <c r="DB424" s="532"/>
      <c r="DC424" s="532"/>
      <c r="DD424" s="532"/>
      <c r="DE424" s="532"/>
      <c r="DF424" s="532"/>
      <c r="DG424" s="532"/>
      <c r="DH424" s="532"/>
      <c r="DI424" s="532"/>
      <c r="DJ424" s="532"/>
      <c r="DK424" s="532"/>
      <c r="DL424" s="532"/>
      <c r="DM424" s="532"/>
      <c r="DN424" s="532"/>
      <c r="DO424" s="532"/>
      <c r="DP424" s="532"/>
      <c r="DQ424" s="532"/>
      <c r="DR424" s="532"/>
      <c r="DS424" s="532"/>
      <c r="DT424" s="532"/>
      <c r="DU424" s="532"/>
      <c r="DV424" s="532"/>
      <c r="DW424" s="532"/>
      <c r="DX424" s="532"/>
      <c r="DY424" s="532"/>
      <c r="DZ424" s="532"/>
      <c r="EA424" s="532"/>
      <c r="EB424" s="532"/>
      <c r="EC424" s="532"/>
      <c r="ED424" s="532"/>
      <c r="EE424" s="532"/>
      <c r="EF424" s="532"/>
      <c r="EG424" s="532"/>
      <c r="EH424" s="532"/>
      <c r="EI424" s="532"/>
      <c r="EJ424" s="532"/>
      <c r="EK424" s="532"/>
      <c r="EL424" s="532"/>
      <c r="EM424" s="532"/>
      <c r="EN424" s="532"/>
      <c r="EO424" s="532"/>
      <c r="EP424" s="532"/>
      <c r="EQ424" s="532"/>
      <c r="ER424" s="532"/>
      <c r="ES424" s="532"/>
      <c r="ET424" s="532"/>
      <c r="EU424" s="532"/>
      <c r="EV424" s="532"/>
      <c r="EW424" s="532"/>
      <c r="EX424" s="532"/>
      <c r="EY424" s="532"/>
      <c r="EZ424" s="532"/>
      <c r="FA424" s="532"/>
      <c r="FB424" s="532"/>
      <c r="FC424" s="532"/>
      <c r="FD424" s="532"/>
      <c r="FE424" s="532"/>
      <c r="FF424" s="532"/>
      <c r="FG424" s="532"/>
      <c r="FH424" s="532"/>
      <c r="FI424" s="532"/>
      <c r="FJ424" s="532"/>
      <c r="FK424" s="532"/>
      <c r="FL424" s="532"/>
      <c r="FM424" s="532"/>
      <c r="FN424" s="532"/>
      <c r="FO424" s="532"/>
      <c r="FP424" s="532"/>
    </row>
    <row r="425" spans="1:172" ht="12" customHeight="1" x14ac:dyDescent="0.2">
      <c r="A425" s="533"/>
      <c r="B425" s="534"/>
      <c r="C425" s="534"/>
      <c r="D425" s="534"/>
      <c r="E425" s="534"/>
      <c r="F425" s="534"/>
      <c r="G425" s="534"/>
      <c r="H425" s="534"/>
      <c r="I425" s="534"/>
      <c r="J425" s="534"/>
      <c r="K425" s="658"/>
      <c r="L425" s="562"/>
      <c r="M425" s="562"/>
      <c r="N425" s="562"/>
      <c r="O425" s="530"/>
      <c r="P425" s="531"/>
      <c r="Q425" s="531"/>
      <c r="R425" s="531"/>
      <c r="S425" s="531"/>
      <c r="T425" s="531"/>
      <c r="U425" s="531"/>
      <c r="V425" s="531"/>
      <c r="W425" s="531"/>
      <c r="X425" s="531"/>
      <c r="Y425" s="531"/>
      <c r="Z425" s="531"/>
      <c r="AA425" s="531"/>
      <c r="AB425" s="531"/>
      <c r="AC425" s="531"/>
      <c r="AD425" s="531"/>
      <c r="AE425" s="531"/>
      <c r="AF425" s="531"/>
      <c r="AG425" s="531"/>
      <c r="AH425" s="532"/>
      <c r="AI425" s="532"/>
      <c r="AJ425" s="532"/>
      <c r="AK425" s="532"/>
      <c r="AL425" s="532"/>
      <c r="AM425" s="532"/>
      <c r="AN425" s="532"/>
      <c r="AO425" s="532"/>
      <c r="AP425" s="532"/>
      <c r="AQ425" s="532"/>
      <c r="AR425" s="532"/>
      <c r="AS425" s="532"/>
      <c r="AT425" s="532"/>
      <c r="AU425" s="532"/>
      <c r="AV425" s="532"/>
      <c r="AW425" s="532"/>
      <c r="AX425" s="532"/>
      <c r="AY425" s="532"/>
      <c r="AZ425" s="532"/>
      <c r="BA425" s="532"/>
      <c r="BB425" s="532"/>
      <c r="BC425" s="532"/>
      <c r="BD425" s="532"/>
      <c r="BE425" s="532"/>
      <c r="BF425" s="532"/>
      <c r="BG425" s="532"/>
      <c r="BH425" s="532"/>
      <c r="BI425" s="532"/>
      <c r="BJ425" s="532"/>
      <c r="BK425" s="532"/>
      <c r="BL425" s="532"/>
      <c r="BM425" s="532"/>
      <c r="BN425" s="532"/>
      <c r="BO425" s="532"/>
      <c r="BP425" s="532"/>
      <c r="BQ425" s="532"/>
      <c r="BR425" s="532"/>
      <c r="BS425" s="532"/>
      <c r="BT425" s="532"/>
      <c r="BU425" s="532"/>
      <c r="BV425" s="532"/>
      <c r="BW425" s="532"/>
      <c r="BX425" s="532"/>
      <c r="BY425" s="532"/>
      <c r="BZ425" s="532"/>
      <c r="CA425" s="532"/>
      <c r="CB425" s="532"/>
      <c r="CC425" s="532"/>
      <c r="CD425" s="532"/>
      <c r="CE425" s="532"/>
      <c r="CF425" s="532"/>
      <c r="CG425" s="532"/>
      <c r="CH425" s="532"/>
      <c r="CI425" s="532"/>
      <c r="CJ425" s="532"/>
      <c r="CK425" s="532"/>
      <c r="CL425" s="532"/>
      <c r="CM425" s="532"/>
      <c r="CN425" s="532"/>
      <c r="CO425" s="532"/>
      <c r="CP425" s="532"/>
      <c r="CQ425" s="532"/>
      <c r="CR425" s="532"/>
      <c r="CS425" s="532"/>
      <c r="CT425" s="532"/>
      <c r="CU425" s="532"/>
      <c r="CV425" s="532"/>
      <c r="CW425" s="532"/>
      <c r="CX425" s="532"/>
      <c r="CY425" s="532"/>
      <c r="CZ425" s="532"/>
      <c r="DA425" s="532"/>
      <c r="DB425" s="532"/>
      <c r="DC425" s="532"/>
      <c r="DD425" s="532"/>
      <c r="DE425" s="532"/>
      <c r="DF425" s="532"/>
      <c r="DG425" s="532"/>
      <c r="DH425" s="532"/>
      <c r="DI425" s="532"/>
      <c r="DJ425" s="532"/>
      <c r="DK425" s="532"/>
      <c r="DL425" s="532"/>
      <c r="DM425" s="532"/>
      <c r="DN425" s="532"/>
      <c r="DO425" s="532"/>
      <c r="DP425" s="532"/>
      <c r="DQ425" s="532"/>
      <c r="DR425" s="532"/>
      <c r="DS425" s="532"/>
      <c r="DT425" s="532"/>
      <c r="DU425" s="532"/>
      <c r="DV425" s="532"/>
      <c r="DW425" s="532"/>
      <c r="DX425" s="532"/>
      <c r="DY425" s="532"/>
      <c r="DZ425" s="532"/>
      <c r="EA425" s="532"/>
      <c r="EB425" s="532"/>
      <c r="EC425" s="532"/>
      <c r="ED425" s="532"/>
      <c r="EE425" s="532"/>
      <c r="EF425" s="532"/>
      <c r="EG425" s="532"/>
      <c r="EH425" s="532"/>
      <c r="EI425" s="532"/>
      <c r="EJ425" s="532"/>
      <c r="EK425" s="532"/>
      <c r="EL425" s="532"/>
      <c r="EM425" s="532"/>
      <c r="EN425" s="532"/>
      <c r="EO425" s="532"/>
      <c r="EP425" s="532"/>
      <c r="EQ425" s="532"/>
      <c r="ER425" s="532"/>
      <c r="ES425" s="532"/>
      <c r="ET425" s="532"/>
      <c r="EU425" s="532"/>
      <c r="EV425" s="532"/>
      <c r="EW425" s="532"/>
      <c r="EX425" s="532"/>
      <c r="EY425" s="532"/>
      <c r="EZ425" s="532"/>
      <c r="FA425" s="532"/>
      <c r="FB425" s="532"/>
      <c r="FC425" s="532"/>
      <c r="FD425" s="532"/>
      <c r="FE425" s="532"/>
      <c r="FF425" s="532"/>
      <c r="FG425" s="532"/>
      <c r="FH425" s="532"/>
      <c r="FI425" s="532"/>
      <c r="FJ425" s="532"/>
      <c r="FK425" s="532"/>
      <c r="FL425" s="532"/>
      <c r="FM425" s="532"/>
      <c r="FN425" s="532"/>
      <c r="FO425" s="532"/>
      <c r="FP425" s="532"/>
    </row>
    <row r="426" spans="1:172" ht="12" customHeight="1" x14ac:dyDescent="0.2">
      <c r="A426" s="533" t="s">
        <v>290</v>
      </c>
      <c r="B426" s="534" t="s">
        <v>291</v>
      </c>
      <c r="C426" s="208">
        <v>3004</v>
      </c>
      <c r="D426" s="208">
        <v>3335</v>
      </c>
      <c r="E426" s="208">
        <v>2098</v>
      </c>
      <c r="F426" s="208">
        <v>3891</v>
      </c>
      <c r="G426" s="208">
        <v>3303</v>
      </c>
      <c r="H426" s="208">
        <v>3679</v>
      </c>
      <c r="I426" s="208">
        <v>1845</v>
      </c>
      <c r="J426" s="208">
        <v>2368</v>
      </c>
      <c r="K426" s="208">
        <v>4100</v>
      </c>
      <c r="L426" s="562">
        <v>3203</v>
      </c>
      <c r="M426" s="562">
        <v>5180</v>
      </c>
      <c r="N426" s="562">
        <v>4961</v>
      </c>
      <c r="O426" s="530">
        <f>SUM(C426:N426)</f>
        <v>40967</v>
      </c>
      <c r="P426" s="531"/>
      <c r="Q426" s="531"/>
      <c r="R426" s="531"/>
      <c r="S426" s="531"/>
      <c r="T426" s="531"/>
      <c r="U426" s="531"/>
      <c r="V426" s="531"/>
      <c r="W426" s="531"/>
      <c r="X426" s="531"/>
      <c r="Y426" s="531"/>
      <c r="Z426" s="531"/>
      <c r="AA426" s="531"/>
      <c r="AB426" s="531"/>
      <c r="AC426" s="531"/>
      <c r="AD426" s="531"/>
      <c r="AE426" s="531"/>
      <c r="AF426" s="531"/>
      <c r="AG426" s="531"/>
      <c r="AH426" s="532"/>
      <c r="AI426" s="532"/>
      <c r="AJ426" s="532"/>
      <c r="AK426" s="532"/>
      <c r="AL426" s="532"/>
      <c r="AM426" s="532"/>
      <c r="AN426" s="532"/>
      <c r="AO426" s="532"/>
      <c r="AP426" s="532"/>
      <c r="AQ426" s="532"/>
      <c r="AR426" s="532"/>
      <c r="AS426" s="532"/>
      <c r="AT426" s="532"/>
      <c r="AU426" s="532"/>
      <c r="AV426" s="532"/>
      <c r="AW426" s="532"/>
      <c r="AX426" s="532"/>
      <c r="AY426" s="532"/>
      <c r="AZ426" s="532"/>
      <c r="BA426" s="532"/>
      <c r="BB426" s="532"/>
      <c r="BC426" s="532"/>
      <c r="BD426" s="532"/>
      <c r="BE426" s="532"/>
      <c r="BF426" s="532"/>
      <c r="BG426" s="532"/>
      <c r="BH426" s="532"/>
      <c r="BI426" s="532"/>
      <c r="BJ426" s="532"/>
      <c r="BK426" s="532"/>
      <c r="BL426" s="532"/>
      <c r="BM426" s="532"/>
      <c r="BN426" s="532"/>
      <c r="BO426" s="532"/>
      <c r="BP426" s="532"/>
      <c r="BQ426" s="532"/>
      <c r="BR426" s="532"/>
      <c r="BS426" s="532"/>
      <c r="BT426" s="532"/>
      <c r="BU426" s="532"/>
      <c r="BV426" s="532"/>
      <c r="BW426" s="532"/>
      <c r="BX426" s="532"/>
      <c r="BY426" s="532"/>
      <c r="BZ426" s="532"/>
      <c r="CA426" s="532"/>
      <c r="CB426" s="532"/>
      <c r="CC426" s="532"/>
      <c r="CD426" s="532"/>
      <c r="CE426" s="532"/>
      <c r="CF426" s="532"/>
      <c r="CG426" s="532"/>
      <c r="CH426" s="532"/>
      <c r="CI426" s="532"/>
      <c r="CJ426" s="532"/>
      <c r="CK426" s="532"/>
      <c r="CL426" s="532"/>
      <c r="CM426" s="532"/>
      <c r="CN426" s="532"/>
      <c r="CO426" s="532"/>
      <c r="CP426" s="532"/>
      <c r="CQ426" s="532"/>
      <c r="CR426" s="532"/>
      <c r="CS426" s="532"/>
      <c r="CT426" s="532"/>
      <c r="CU426" s="532"/>
      <c r="CV426" s="532"/>
      <c r="CW426" s="532"/>
      <c r="CX426" s="532"/>
      <c r="CY426" s="532"/>
      <c r="CZ426" s="532"/>
      <c r="DA426" s="532"/>
      <c r="DB426" s="532"/>
      <c r="DC426" s="532"/>
      <c r="DD426" s="532"/>
      <c r="DE426" s="532"/>
      <c r="DF426" s="532"/>
      <c r="DG426" s="532"/>
      <c r="DH426" s="532"/>
      <c r="DI426" s="532"/>
      <c r="DJ426" s="532"/>
      <c r="DK426" s="532"/>
      <c r="DL426" s="532"/>
      <c r="DM426" s="532"/>
      <c r="DN426" s="532"/>
      <c r="DO426" s="532"/>
      <c r="DP426" s="532"/>
      <c r="DQ426" s="532"/>
      <c r="DR426" s="532"/>
      <c r="DS426" s="532"/>
      <c r="DT426" s="532"/>
      <c r="DU426" s="532"/>
      <c r="DV426" s="532"/>
      <c r="DW426" s="532"/>
      <c r="DX426" s="532"/>
      <c r="DY426" s="532"/>
      <c r="DZ426" s="532"/>
      <c r="EA426" s="532"/>
      <c r="EB426" s="532"/>
      <c r="EC426" s="532"/>
      <c r="ED426" s="532"/>
      <c r="EE426" s="532"/>
      <c r="EF426" s="532"/>
      <c r="EG426" s="532"/>
      <c r="EH426" s="532"/>
      <c r="EI426" s="532"/>
      <c r="EJ426" s="532"/>
      <c r="EK426" s="532"/>
      <c r="EL426" s="532"/>
      <c r="EM426" s="532"/>
      <c r="EN426" s="532"/>
      <c r="EO426" s="532"/>
      <c r="EP426" s="532"/>
      <c r="EQ426" s="532"/>
      <c r="ER426" s="532"/>
      <c r="ES426" s="532"/>
      <c r="ET426" s="532"/>
      <c r="EU426" s="532"/>
      <c r="EV426" s="532"/>
      <c r="EW426" s="532"/>
      <c r="EX426" s="532"/>
      <c r="EY426" s="532"/>
      <c r="EZ426" s="532"/>
      <c r="FA426" s="532"/>
      <c r="FB426" s="532"/>
      <c r="FC426" s="532"/>
      <c r="FD426" s="532"/>
      <c r="FE426" s="532"/>
      <c r="FF426" s="532"/>
      <c r="FG426" s="532"/>
      <c r="FH426" s="532"/>
      <c r="FI426" s="532"/>
      <c r="FJ426" s="532"/>
      <c r="FK426" s="532"/>
      <c r="FL426" s="532"/>
      <c r="FM426" s="532"/>
      <c r="FN426" s="532"/>
      <c r="FO426" s="532"/>
      <c r="FP426" s="532"/>
    </row>
    <row r="427" spans="1:172" ht="12" customHeight="1" x14ac:dyDescent="0.2">
      <c r="A427" s="533" t="s">
        <v>292</v>
      </c>
      <c r="B427" s="534" t="s">
        <v>293</v>
      </c>
      <c r="C427" s="208">
        <v>378</v>
      </c>
      <c r="D427" s="208">
        <v>344</v>
      </c>
      <c r="E427" s="208">
        <v>417</v>
      </c>
      <c r="F427" s="208">
        <v>479</v>
      </c>
      <c r="G427" s="208">
        <v>485</v>
      </c>
      <c r="H427" s="208">
        <v>351</v>
      </c>
      <c r="I427" s="208">
        <v>454</v>
      </c>
      <c r="J427" s="208">
        <v>402</v>
      </c>
      <c r="K427" s="208">
        <v>448</v>
      </c>
      <c r="L427" s="562">
        <v>345</v>
      </c>
      <c r="M427" s="562">
        <v>352</v>
      </c>
      <c r="N427" s="562">
        <v>383</v>
      </c>
      <c r="O427" s="530">
        <f>SUM(C427:N427)</f>
        <v>4838</v>
      </c>
      <c r="P427" s="531"/>
      <c r="Q427" s="531"/>
      <c r="R427" s="531"/>
      <c r="S427" s="531"/>
      <c r="T427" s="531"/>
      <c r="U427" s="531"/>
      <c r="V427" s="531"/>
      <c r="W427" s="531"/>
      <c r="X427" s="531"/>
      <c r="Y427" s="531"/>
      <c r="Z427" s="531"/>
      <c r="AA427" s="531"/>
      <c r="AB427" s="531"/>
      <c r="AC427" s="531"/>
      <c r="AD427" s="531"/>
      <c r="AE427" s="531"/>
      <c r="AF427" s="531"/>
      <c r="AG427" s="531"/>
      <c r="AH427" s="532"/>
      <c r="AI427" s="532"/>
      <c r="AJ427" s="532"/>
      <c r="AK427" s="532"/>
      <c r="AL427" s="532"/>
      <c r="AM427" s="532"/>
      <c r="AN427" s="532"/>
      <c r="AO427" s="532"/>
      <c r="AP427" s="532"/>
      <c r="AQ427" s="532"/>
      <c r="AR427" s="532"/>
      <c r="AS427" s="532"/>
      <c r="AT427" s="532"/>
      <c r="AU427" s="532"/>
      <c r="AV427" s="532"/>
      <c r="AW427" s="532"/>
      <c r="AX427" s="532"/>
      <c r="AY427" s="532"/>
      <c r="AZ427" s="532"/>
      <c r="BA427" s="532"/>
      <c r="BB427" s="532"/>
      <c r="BC427" s="532"/>
      <c r="BD427" s="532"/>
      <c r="BE427" s="532"/>
      <c r="BF427" s="532"/>
      <c r="BG427" s="532"/>
      <c r="BH427" s="532"/>
      <c r="BI427" s="532"/>
      <c r="BJ427" s="532"/>
      <c r="BK427" s="532"/>
      <c r="BL427" s="532"/>
      <c r="BM427" s="532"/>
      <c r="BN427" s="532"/>
      <c r="BO427" s="532"/>
      <c r="BP427" s="532"/>
      <c r="BQ427" s="532"/>
      <c r="BR427" s="532"/>
      <c r="BS427" s="532"/>
      <c r="BT427" s="532"/>
      <c r="BU427" s="532"/>
      <c r="BV427" s="532"/>
      <c r="BW427" s="532"/>
      <c r="BX427" s="532"/>
      <c r="BY427" s="532"/>
      <c r="BZ427" s="532"/>
      <c r="CA427" s="532"/>
      <c r="CB427" s="532"/>
      <c r="CC427" s="532"/>
      <c r="CD427" s="532"/>
      <c r="CE427" s="532"/>
      <c r="CF427" s="532"/>
      <c r="CG427" s="532"/>
      <c r="CH427" s="532"/>
      <c r="CI427" s="532"/>
      <c r="CJ427" s="532"/>
      <c r="CK427" s="532"/>
      <c r="CL427" s="532"/>
      <c r="CM427" s="532"/>
      <c r="CN427" s="532"/>
      <c r="CO427" s="532"/>
      <c r="CP427" s="532"/>
      <c r="CQ427" s="532"/>
      <c r="CR427" s="532"/>
      <c r="CS427" s="532"/>
      <c r="CT427" s="532"/>
      <c r="CU427" s="532"/>
      <c r="CV427" s="532"/>
      <c r="CW427" s="532"/>
      <c r="CX427" s="532"/>
      <c r="CY427" s="532"/>
      <c r="CZ427" s="532"/>
      <c r="DA427" s="532"/>
      <c r="DB427" s="532"/>
      <c r="DC427" s="532"/>
      <c r="DD427" s="532"/>
      <c r="DE427" s="532"/>
      <c r="DF427" s="532"/>
      <c r="DG427" s="532"/>
      <c r="DH427" s="532"/>
      <c r="DI427" s="532"/>
      <c r="DJ427" s="532"/>
      <c r="DK427" s="532"/>
      <c r="DL427" s="532"/>
      <c r="DM427" s="532"/>
      <c r="DN427" s="532"/>
      <c r="DO427" s="532"/>
      <c r="DP427" s="532"/>
      <c r="DQ427" s="532"/>
      <c r="DR427" s="532"/>
      <c r="DS427" s="532"/>
      <c r="DT427" s="532"/>
      <c r="DU427" s="532"/>
      <c r="DV427" s="532"/>
      <c r="DW427" s="532"/>
      <c r="DX427" s="532"/>
      <c r="DY427" s="532"/>
      <c r="DZ427" s="532"/>
      <c r="EA427" s="532"/>
      <c r="EB427" s="532"/>
      <c r="EC427" s="532"/>
      <c r="ED427" s="532"/>
      <c r="EE427" s="532"/>
      <c r="EF427" s="532"/>
      <c r="EG427" s="532"/>
      <c r="EH427" s="532"/>
      <c r="EI427" s="532"/>
      <c r="EJ427" s="532"/>
      <c r="EK427" s="532"/>
      <c r="EL427" s="532"/>
      <c r="EM427" s="532"/>
      <c r="EN427" s="532"/>
      <c r="EO427" s="532"/>
      <c r="EP427" s="532"/>
      <c r="EQ427" s="532"/>
      <c r="ER427" s="532"/>
      <c r="ES427" s="532"/>
      <c r="ET427" s="532"/>
      <c r="EU427" s="532"/>
      <c r="EV427" s="532"/>
      <c r="EW427" s="532"/>
      <c r="EX427" s="532"/>
      <c r="EY427" s="532"/>
      <c r="EZ427" s="532"/>
      <c r="FA427" s="532"/>
      <c r="FB427" s="532"/>
      <c r="FC427" s="532"/>
      <c r="FD427" s="532"/>
      <c r="FE427" s="532"/>
      <c r="FF427" s="532"/>
      <c r="FG427" s="532"/>
      <c r="FH427" s="532"/>
      <c r="FI427" s="532"/>
      <c r="FJ427" s="532"/>
      <c r="FK427" s="532"/>
      <c r="FL427" s="532"/>
      <c r="FM427" s="532"/>
      <c r="FN427" s="532"/>
      <c r="FO427" s="532"/>
      <c r="FP427" s="532"/>
    </row>
    <row r="428" spans="1:172" ht="12" customHeight="1" x14ac:dyDescent="0.2">
      <c r="A428" s="533" t="s">
        <v>294</v>
      </c>
      <c r="B428" s="534"/>
      <c r="C428" s="208">
        <f t="shared" ref="C428:N428" si="186">SUM(C426:C427)</f>
        <v>3382</v>
      </c>
      <c r="D428" s="208">
        <f t="shared" si="186"/>
        <v>3679</v>
      </c>
      <c r="E428" s="208">
        <f t="shared" si="186"/>
        <v>2515</v>
      </c>
      <c r="F428" s="208">
        <f t="shared" si="186"/>
        <v>4370</v>
      </c>
      <c r="G428" s="208">
        <f t="shared" si="186"/>
        <v>3788</v>
      </c>
      <c r="H428" s="208">
        <f t="shared" si="186"/>
        <v>4030</v>
      </c>
      <c r="I428" s="208">
        <f t="shared" si="186"/>
        <v>2299</v>
      </c>
      <c r="J428" s="208">
        <f t="shared" si="186"/>
        <v>2770</v>
      </c>
      <c r="K428" s="208">
        <f t="shared" si="186"/>
        <v>4548</v>
      </c>
      <c r="L428" s="562">
        <f t="shared" si="186"/>
        <v>3548</v>
      </c>
      <c r="M428" s="562">
        <f t="shared" si="186"/>
        <v>5532</v>
      </c>
      <c r="N428" s="562">
        <f t="shared" si="186"/>
        <v>5344</v>
      </c>
      <c r="O428" s="530">
        <f>SUM(C428:N428)</f>
        <v>45805</v>
      </c>
      <c r="P428" s="531"/>
      <c r="Q428" s="531"/>
      <c r="R428" s="531"/>
      <c r="S428" s="531"/>
      <c r="T428" s="531"/>
      <c r="U428" s="531"/>
      <c r="V428" s="531"/>
      <c r="W428" s="531"/>
      <c r="X428" s="531"/>
      <c r="Y428" s="531"/>
      <c r="Z428" s="531"/>
      <c r="AA428" s="531"/>
      <c r="AB428" s="531"/>
      <c r="AC428" s="531"/>
      <c r="AD428" s="531"/>
      <c r="AE428" s="531"/>
      <c r="AF428" s="531"/>
      <c r="AG428" s="531"/>
      <c r="AH428" s="532"/>
      <c r="AI428" s="532"/>
      <c r="AJ428" s="532"/>
      <c r="AK428" s="532"/>
      <c r="AL428" s="532"/>
      <c r="AM428" s="532"/>
      <c r="AN428" s="532"/>
      <c r="AO428" s="532"/>
      <c r="AP428" s="532"/>
      <c r="AQ428" s="532"/>
      <c r="AR428" s="532"/>
      <c r="AS428" s="532"/>
      <c r="AT428" s="532"/>
      <c r="AU428" s="532"/>
      <c r="AV428" s="532"/>
      <c r="AW428" s="532"/>
      <c r="AX428" s="532"/>
      <c r="AY428" s="532"/>
      <c r="AZ428" s="532"/>
      <c r="BA428" s="532"/>
      <c r="BB428" s="532"/>
      <c r="BC428" s="532"/>
      <c r="BD428" s="532"/>
      <c r="BE428" s="532"/>
      <c r="BF428" s="532"/>
      <c r="BG428" s="532"/>
      <c r="BH428" s="532"/>
      <c r="BI428" s="532"/>
      <c r="BJ428" s="532"/>
      <c r="BK428" s="532"/>
      <c r="BL428" s="532"/>
      <c r="BM428" s="532"/>
      <c r="BN428" s="532"/>
      <c r="BO428" s="532"/>
      <c r="BP428" s="532"/>
      <c r="BQ428" s="532"/>
      <c r="BR428" s="532"/>
      <c r="BS428" s="532"/>
      <c r="BT428" s="532"/>
      <c r="BU428" s="532"/>
      <c r="BV428" s="532"/>
      <c r="BW428" s="532"/>
      <c r="BX428" s="532"/>
      <c r="BY428" s="532"/>
      <c r="BZ428" s="532"/>
      <c r="CA428" s="532"/>
      <c r="CB428" s="532"/>
      <c r="CC428" s="532"/>
      <c r="CD428" s="532"/>
      <c r="CE428" s="532"/>
      <c r="CF428" s="532"/>
      <c r="CG428" s="532"/>
      <c r="CH428" s="532"/>
      <c r="CI428" s="532"/>
      <c r="CJ428" s="532"/>
      <c r="CK428" s="532"/>
      <c r="CL428" s="532"/>
      <c r="CM428" s="532"/>
      <c r="CN428" s="532"/>
      <c r="CO428" s="532"/>
      <c r="CP428" s="532"/>
      <c r="CQ428" s="532"/>
      <c r="CR428" s="532"/>
      <c r="CS428" s="532"/>
      <c r="CT428" s="532"/>
      <c r="CU428" s="532"/>
      <c r="CV428" s="532"/>
      <c r="CW428" s="532"/>
      <c r="CX428" s="532"/>
      <c r="CY428" s="532"/>
      <c r="CZ428" s="532"/>
      <c r="DA428" s="532"/>
      <c r="DB428" s="532"/>
      <c r="DC428" s="532"/>
      <c r="DD428" s="532"/>
      <c r="DE428" s="532"/>
      <c r="DF428" s="532"/>
      <c r="DG428" s="532"/>
      <c r="DH428" s="532"/>
      <c r="DI428" s="532"/>
      <c r="DJ428" s="532"/>
      <c r="DK428" s="532"/>
      <c r="DL428" s="532"/>
      <c r="DM428" s="532"/>
      <c r="DN428" s="532"/>
      <c r="DO428" s="532"/>
      <c r="DP428" s="532"/>
      <c r="DQ428" s="532"/>
      <c r="DR428" s="532"/>
      <c r="DS428" s="532"/>
      <c r="DT428" s="532"/>
      <c r="DU428" s="532"/>
      <c r="DV428" s="532"/>
      <c r="DW428" s="532"/>
      <c r="DX428" s="532"/>
      <c r="DY428" s="532"/>
      <c r="DZ428" s="532"/>
      <c r="EA428" s="532"/>
      <c r="EB428" s="532"/>
      <c r="EC428" s="532"/>
      <c r="ED428" s="532"/>
      <c r="EE428" s="532"/>
      <c r="EF428" s="532"/>
      <c r="EG428" s="532"/>
      <c r="EH428" s="532"/>
      <c r="EI428" s="532"/>
      <c r="EJ428" s="532"/>
      <c r="EK428" s="532"/>
      <c r="EL428" s="532"/>
      <c r="EM428" s="532"/>
      <c r="EN428" s="532"/>
      <c r="EO428" s="532"/>
      <c r="EP428" s="532"/>
      <c r="EQ428" s="532"/>
      <c r="ER428" s="532"/>
      <c r="ES428" s="532"/>
      <c r="ET428" s="532"/>
      <c r="EU428" s="532"/>
      <c r="EV428" s="532"/>
      <c r="EW428" s="532"/>
      <c r="EX428" s="532"/>
      <c r="EY428" s="532"/>
      <c r="EZ428" s="532"/>
      <c r="FA428" s="532"/>
      <c r="FB428" s="532"/>
      <c r="FC428" s="532"/>
      <c r="FD428" s="532"/>
      <c r="FE428" s="532"/>
      <c r="FF428" s="532"/>
      <c r="FG428" s="532"/>
      <c r="FH428" s="532"/>
      <c r="FI428" s="532"/>
      <c r="FJ428" s="532"/>
      <c r="FK428" s="532"/>
      <c r="FL428" s="532"/>
      <c r="FM428" s="532"/>
      <c r="FN428" s="532"/>
      <c r="FO428" s="532"/>
      <c r="FP428" s="532"/>
    </row>
    <row r="429" spans="1:172" ht="12" customHeight="1" x14ac:dyDescent="0.2">
      <c r="A429" s="533"/>
      <c r="B429" s="534"/>
      <c r="C429" s="534"/>
      <c r="D429" s="534"/>
      <c r="E429" s="534"/>
      <c r="F429" s="534"/>
      <c r="G429" s="534"/>
      <c r="H429" s="534"/>
      <c r="I429" s="534"/>
      <c r="J429" s="534"/>
      <c r="K429" s="658"/>
      <c r="L429" s="562"/>
      <c r="M429" s="562"/>
      <c r="N429" s="562"/>
      <c r="O429" s="530"/>
      <c r="P429" s="531"/>
      <c r="Q429" s="531"/>
      <c r="R429" s="531"/>
      <c r="S429" s="531"/>
      <c r="T429" s="531"/>
      <c r="U429" s="531"/>
      <c r="V429" s="531"/>
      <c r="W429" s="531"/>
      <c r="X429" s="531"/>
      <c r="Y429" s="531"/>
      <c r="Z429" s="531"/>
      <c r="AA429" s="531"/>
      <c r="AB429" s="531"/>
      <c r="AC429" s="531"/>
      <c r="AD429" s="531"/>
      <c r="AE429" s="531"/>
      <c r="AF429" s="531"/>
      <c r="AG429" s="531"/>
      <c r="AH429" s="532"/>
      <c r="AI429" s="532"/>
      <c r="AJ429" s="532"/>
      <c r="AK429" s="532"/>
      <c r="AL429" s="532"/>
      <c r="AM429" s="532"/>
      <c r="AN429" s="532"/>
      <c r="AO429" s="532"/>
      <c r="AP429" s="532"/>
      <c r="AQ429" s="532"/>
      <c r="AR429" s="532"/>
      <c r="AS429" s="532"/>
      <c r="AT429" s="532"/>
      <c r="AU429" s="532"/>
      <c r="AV429" s="532"/>
      <c r="AW429" s="532"/>
      <c r="AX429" s="532"/>
      <c r="AY429" s="532"/>
      <c r="AZ429" s="532"/>
      <c r="BA429" s="532"/>
      <c r="BB429" s="532"/>
      <c r="BC429" s="532"/>
      <c r="BD429" s="532"/>
      <c r="BE429" s="532"/>
      <c r="BF429" s="532"/>
      <c r="BG429" s="532"/>
      <c r="BH429" s="532"/>
      <c r="BI429" s="532"/>
      <c r="BJ429" s="532"/>
      <c r="BK429" s="532"/>
      <c r="BL429" s="532"/>
      <c r="BM429" s="532"/>
      <c r="BN429" s="532"/>
      <c r="BO429" s="532"/>
      <c r="BP429" s="532"/>
      <c r="BQ429" s="532"/>
      <c r="BR429" s="532"/>
      <c r="BS429" s="532"/>
      <c r="BT429" s="532"/>
      <c r="BU429" s="532"/>
      <c r="BV429" s="532"/>
      <c r="BW429" s="532"/>
      <c r="BX429" s="532"/>
      <c r="BY429" s="532"/>
      <c r="BZ429" s="532"/>
      <c r="CA429" s="532"/>
      <c r="CB429" s="532"/>
      <c r="CC429" s="532"/>
      <c r="CD429" s="532"/>
      <c r="CE429" s="532"/>
      <c r="CF429" s="532"/>
      <c r="CG429" s="532"/>
      <c r="CH429" s="532"/>
      <c r="CI429" s="532"/>
      <c r="CJ429" s="532"/>
      <c r="CK429" s="532"/>
      <c r="CL429" s="532"/>
      <c r="CM429" s="532"/>
      <c r="CN429" s="532"/>
      <c r="CO429" s="532"/>
      <c r="CP429" s="532"/>
      <c r="CQ429" s="532"/>
      <c r="CR429" s="532"/>
      <c r="CS429" s="532"/>
      <c r="CT429" s="532"/>
      <c r="CU429" s="532"/>
      <c r="CV429" s="532"/>
      <c r="CW429" s="532"/>
      <c r="CX429" s="532"/>
      <c r="CY429" s="532"/>
      <c r="CZ429" s="532"/>
      <c r="DA429" s="532"/>
      <c r="DB429" s="532"/>
      <c r="DC429" s="532"/>
      <c r="DD429" s="532"/>
      <c r="DE429" s="532"/>
      <c r="DF429" s="532"/>
      <c r="DG429" s="532"/>
      <c r="DH429" s="532"/>
      <c r="DI429" s="532"/>
      <c r="DJ429" s="532"/>
      <c r="DK429" s="532"/>
      <c r="DL429" s="532"/>
      <c r="DM429" s="532"/>
      <c r="DN429" s="532"/>
      <c r="DO429" s="532"/>
      <c r="DP429" s="532"/>
      <c r="DQ429" s="532"/>
      <c r="DR429" s="532"/>
      <c r="DS429" s="532"/>
      <c r="DT429" s="532"/>
      <c r="DU429" s="532"/>
      <c r="DV429" s="532"/>
      <c r="DW429" s="532"/>
      <c r="DX429" s="532"/>
      <c r="DY429" s="532"/>
      <c r="DZ429" s="532"/>
      <c r="EA429" s="532"/>
      <c r="EB429" s="532"/>
      <c r="EC429" s="532"/>
      <c r="ED429" s="532"/>
      <c r="EE429" s="532"/>
      <c r="EF429" s="532"/>
      <c r="EG429" s="532"/>
      <c r="EH429" s="532"/>
      <c r="EI429" s="532"/>
      <c r="EJ429" s="532"/>
      <c r="EK429" s="532"/>
      <c r="EL429" s="532"/>
      <c r="EM429" s="532"/>
      <c r="EN429" s="532"/>
      <c r="EO429" s="532"/>
      <c r="EP429" s="532"/>
      <c r="EQ429" s="532"/>
      <c r="ER429" s="532"/>
      <c r="ES429" s="532"/>
      <c r="ET429" s="532"/>
      <c r="EU429" s="532"/>
      <c r="EV429" s="532"/>
      <c r="EW429" s="532"/>
      <c r="EX429" s="532"/>
      <c r="EY429" s="532"/>
      <c r="EZ429" s="532"/>
      <c r="FA429" s="532"/>
      <c r="FB429" s="532"/>
      <c r="FC429" s="532"/>
      <c r="FD429" s="532"/>
      <c r="FE429" s="532"/>
      <c r="FF429" s="532"/>
      <c r="FG429" s="532"/>
      <c r="FH429" s="532"/>
      <c r="FI429" s="532"/>
      <c r="FJ429" s="532"/>
      <c r="FK429" s="532"/>
      <c r="FL429" s="532"/>
      <c r="FM429" s="532"/>
      <c r="FN429" s="532"/>
      <c r="FO429" s="532"/>
      <c r="FP429" s="532"/>
    </row>
    <row r="430" spans="1:172" ht="12" customHeight="1" x14ac:dyDescent="0.2">
      <c r="A430" s="533" t="s">
        <v>295</v>
      </c>
      <c r="B430" s="534"/>
      <c r="C430" s="534">
        <v>0</v>
      </c>
      <c r="D430" s="534">
        <v>0</v>
      </c>
      <c r="E430" s="534">
        <v>0</v>
      </c>
      <c r="F430" s="534">
        <v>0</v>
      </c>
      <c r="G430" s="534">
        <v>0</v>
      </c>
      <c r="H430" s="534">
        <v>0</v>
      </c>
      <c r="I430" s="534">
        <v>0</v>
      </c>
      <c r="J430" s="534">
        <v>0</v>
      </c>
      <c r="K430" s="658">
        <v>0</v>
      </c>
      <c r="L430" s="562">
        <v>0</v>
      </c>
      <c r="M430" s="562">
        <v>0</v>
      </c>
      <c r="N430" s="562">
        <v>0</v>
      </c>
      <c r="O430" s="530">
        <f>SUM(C430:N430)</f>
        <v>0</v>
      </c>
      <c r="P430" s="531"/>
      <c r="Q430" s="531"/>
      <c r="R430" s="531"/>
      <c r="S430" s="531"/>
      <c r="T430" s="531"/>
      <c r="U430" s="531"/>
      <c r="V430" s="531"/>
      <c r="W430" s="531"/>
      <c r="X430" s="531"/>
      <c r="Y430" s="531"/>
      <c r="Z430" s="531"/>
      <c r="AA430" s="531"/>
      <c r="AB430" s="531"/>
      <c r="AC430" s="531"/>
      <c r="AD430" s="531"/>
      <c r="AE430" s="531"/>
      <c r="AF430" s="531"/>
      <c r="AG430" s="531"/>
      <c r="AH430" s="532"/>
      <c r="AI430" s="532"/>
      <c r="AJ430" s="532"/>
      <c r="AK430" s="532"/>
      <c r="AL430" s="532"/>
      <c r="AM430" s="532"/>
      <c r="AN430" s="532"/>
      <c r="AO430" s="532"/>
      <c r="AP430" s="532"/>
      <c r="AQ430" s="532"/>
      <c r="AR430" s="532"/>
      <c r="AS430" s="532"/>
      <c r="AT430" s="532"/>
      <c r="AU430" s="532"/>
      <c r="AV430" s="532"/>
      <c r="AW430" s="532"/>
      <c r="AX430" s="532"/>
      <c r="AY430" s="532"/>
      <c r="AZ430" s="532"/>
      <c r="BA430" s="532"/>
      <c r="BB430" s="532"/>
      <c r="BC430" s="532"/>
      <c r="BD430" s="532"/>
      <c r="BE430" s="532"/>
      <c r="BF430" s="532"/>
      <c r="BG430" s="532"/>
      <c r="BH430" s="532"/>
      <c r="BI430" s="532"/>
      <c r="BJ430" s="532"/>
      <c r="BK430" s="532"/>
      <c r="BL430" s="532"/>
      <c r="BM430" s="532"/>
      <c r="BN430" s="532"/>
      <c r="BO430" s="532"/>
      <c r="BP430" s="532"/>
      <c r="BQ430" s="532"/>
      <c r="BR430" s="532"/>
      <c r="BS430" s="532"/>
      <c r="BT430" s="532"/>
      <c r="BU430" s="532"/>
      <c r="BV430" s="532"/>
      <c r="BW430" s="532"/>
      <c r="BX430" s="532"/>
      <c r="BY430" s="532"/>
      <c r="BZ430" s="532"/>
      <c r="CA430" s="532"/>
      <c r="CB430" s="532"/>
      <c r="CC430" s="532"/>
      <c r="CD430" s="532"/>
      <c r="CE430" s="532"/>
      <c r="CF430" s="532"/>
      <c r="CG430" s="532"/>
      <c r="CH430" s="532"/>
      <c r="CI430" s="532"/>
      <c r="CJ430" s="532"/>
      <c r="CK430" s="532"/>
      <c r="CL430" s="532"/>
      <c r="CM430" s="532"/>
      <c r="CN430" s="532"/>
      <c r="CO430" s="532"/>
      <c r="CP430" s="532"/>
      <c r="CQ430" s="532"/>
      <c r="CR430" s="532"/>
      <c r="CS430" s="532"/>
      <c r="CT430" s="532"/>
      <c r="CU430" s="532"/>
      <c r="CV430" s="532"/>
      <c r="CW430" s="532"/>
      <c r="CX430" s="532"/>
      <c r="CY430" s="532"/>
      <c r="CZ430" s="532"/>
      <c r="DA430" s="532"/>
      <c r="DB430" s="532"/>
      <c r="DC430" s="532"/>
      <c r="DD430" s="532"/>
      <c r="DE430" s="532"/>
      <c r="DF430" s="532"/>
      <c r="DG430" s="532"/>
      <c r="DH430" s="532"/>
      <c r="DI430" s="532"/>
      <c r="DJ430" s="532"/>
      <c r="DK430" s="532"/>
      <c r="DL430" s="532"/>
      <c r="DM430" s="532"/>
      <c r="DN430" s="532"/>
      <c r="DO430" s="532"/>
      <c r="DP430" s="532"/>
      <c r="DQ430" s="532"/>
      <c r="DR430" s="532"/>
      <c r="DS430" s="532"/>
      <c r="DT430" s="532"/>
      <c r="DU430" s="532"/>
      <c r="DV430" s="532"/>
      <c r="DW430" s="532"/>
      <c r="DX430" s="532"/>
      <c r="DY430" s="532"/>
      <c r="DZ430" s="532"/>
      <c r="EA430" s="532"/>
      <c r="EB430" s="532"/>
      <c r="EC430" s="532"/>
      <c r="ED430" s="532"/>
      <c r="EE430" s="532"/>
      <c r="EF430" s="532"/>
      <c r="EG430" s="532"/>
      <c r="EH430" s="532"/>
      <c r="EI430" s="532"/>
      <c r="EJ430" s="532"/>
      <c r="EK430" s="532"/>
      <c r="EL430" s="532"/>
      <c r="EM430" s="532"/>
      <c r="EN430" s="532"/>
      <c r="EO430" s="532"/>
      <c r="EP430" s="532"/>
      <c r="EQ430" s="532"/>
      <c r="ER430" s="532"/>
      <c r="ES430" s="532"/>
      <c r="ET430" s="532"/>
      <c r="EU430" s="532"/>
      <c r="EV430" s="532"/>
      <c r="EW430" s="532"/>
      <c r="EX430" s="532"/>
      <c r="EY430" s="532"/>
      <c r="EZ430" s="532"/>
      <c r="FA430" s="532"/>
      <c r="FB430" s="532"/>
      <c r="FC430" s="532"/>
      <c r="FD430" s="532"/>
      <c r="FE430" s="532"/>
      <c r="FF430" s="532"/>
      <c r="FG430" s="532"/>
      <c r="FH430" s="532"/>
      <c r="FI430" s="532"/>
      <c r="FJ430" s="532"/>
      <c r="FK430" s="532"/>
      <c r="FL430" s="532"/>
      <c r="FM430" s="532"/>
      <c r="FN430" s="532"/>
      <c r="FO430" s="532"/>
      <c r="FP430" s="532"/>
    </row>
    <row r="431" spans="1:172" ht="12" customHeight="1" x14ac:dyDescent="0.2">
      <c r="A431" s="533"/>
      <c r="B431" s="534"/>
      <c r="C431" s="534"/>
      <c r="D431" s="534"/>
      <c r="E431" s="534"/>
      <c r="F431" s="534"/>
      <c r="G431" s="534"/>
      <c r="H431" s="534"/>
      <c r="I431" s="534"/>
      <c r="J431" s="534"/>
      <c r="K431" s="658"/>
      <c r="L431" s="562"/>
      <c r="M431" s="562"/>
      <c r="N431" s="562"/>
      <c r="O431" s="530"/>
      <c r="P431" s="531"/>
      <c r="Q431" s="531"/>
      <c r="R431" s="531"/>
      <c r="S431" s="531"/>
      <c r="T431" s="531"/>
      <c r="U431" s="531"/>
      <c r="V431" s="531"/>
      <c r="W431" s="531"/>
      <c r="X431" s="531"/>
      <c r="Y431" s="531"/>
      <c r="Z431" s="531"/>
      <c r="AA431" s="531"/>
      <c r="AB431" s="531"/>
      <c r="AC431" s="531"/>
      <c r="AD431" s="531"/>
      <c r="AE431" s="531"/>
      <c r="AF431" s="531"/>
      <c r="AG431" s="531"/>
      <c r="AH431" s="532"/>
      <c r="AI431" s="532"/>
      <c r="AJ431" s="532"/>
      <c r="AK431" s="532"/>
      <c r="AL431" s="532"/>
      <c r="AM431" s="532"/>
      <c r="AN431" s="532"/>
      <c r="AO431" s="532"/>
      <c r="AP431" s="532"/>
      <c r="AQ431" s="532"/>
      <c r="AR431" s="532"/>
      <c r="AS431" s="532"/>
      <c r="AT431" s="532"/>
      <c r="AU431" s="532"/>
      <c r="AV431" s="532"/>
      <c r="AW431" s="532"/>
      <c r="AX431" s="532"/>
      <c r="AY431" s="532"/>
      <c r="AZ431" s="532"/>
      <c r="BA431" s="532"/>
      <c r="BB431" s="532"/>
      <c r="BC431" s="532"/>
      <c r="BD431" s="532"/>
      <c r="BE431" s="532"/>
      <c r="BF431" s="532"/>
      <c r="BG431" s="532"/>
      <c r="BH431" s="532"/>
      <c r="BI431" s="532"/>
      <c r="BJ431" s="532"/>
      <c r="BK431" s="532"/>
      <c r="BL431" s="532"/>
      <c r="BM431" s="532"/>
      <c r="BN431" s="532"/>
      <c r="BO431" s="532"/>
      <c r="BP431" s="532"/>
      <c r="BQ431" s="532"/>
      <c r="BR431" s="532"/>
      <c r="BS431" s="532"/>
      <c r="BT431" s="532"/>
      <c r="BU431" s="532"/>
      <c r="BV431" s="532"/>
      <c r="BW431" s="532"/>
      <c r="BX431" s="532"/>
      <c r="BY431" s="532"/>
      <c r="BZ431" s="532"/>
      <c r="CA431" s="532"/>
      <c r="CB431" s="532"/>
      <c r="CC431" s="532"/>
      <c r="CD431" s="532"/>
      <c r="CE431" s="532"/>
      <c r="CF431" s="532"/>
      <c r="CG431" s="532"/>
      <c r="CH431" s="532"/>
      <c r="CI431" s="532"/>
      <c r="CJ431" s="532"/>
      <c r="CK431" s="532"/>
      <c r="CL431" s="532"/>
      <c r="CM431" s="532"/>
      <c r="CN431" s="532"/>
      <c r="CO431" s="532"/>
      <c r="CP431" s="532"/>
      <c r="CQ431" s="532"/>
      <c r="CR431" s="532"/>
      <c r="CS431" s="532"/>
      <c r="CT431" s="532"/>
      <c r="CU431" s="532"/>
      <c r="CV431" s="532"/>
      <c r="CW431" s="532"/>
      <c r="CX431" s="532"/>
      <c r="CY431" s="532"/>
      <c r="CZ431" s="532"/>
      <c r="DA431" s="532"/>
      <c r="DB431" s="532"/>
      <c r="DC431" s="532"/>
      <c r="DD431" s="532"/>
      <c r="DE431" s="532"/>
      <c r="DF431" s="532"/>
      <c r="DG431" s="532"/>
      <c r="DH431" s="532"/>
      <c r="DI431" s="532"/>
      <c r="DJ431" s="532"/>
      <c r="DK431" s="532"/>
      <c r="DL431" s="532"/>
      <c r="DM431" s="532"/>
      <c r="DN431" s="532"/>
      <c r="DO431" s="532"/>
      <c r="DP431" s="532"/>
      <c r="DQ431" s="532"/>
      <c r="DR431" s="532"/>
      <c r="DS431" s="532"/>
      <c r="DT431" s="532"/>
      <c r="DU431" s="532"/>
      <c r="DV431" s="532"/>
      <c r="DW431" s="532"/>
      <c r="DX431" s="532"/>
      <c r="DY431" s="532"/>
      <c r="DZ431" s="532"/>
      <c r="EA431" s="532"/>
      <c r="EB431" s="532"/>
      <c r="EC431" s="532"/>
      <c r="ED431" s="532"/>
      <c r="EE431" s="532"/>
      <c r="EF431" s="532"/>
      <c r="EG431" s="532"/>
      <c r="EH431" s="532"/>
      <c r="EI431" s="532"/>
      <c r="EJ431" s="532"/>
      <c r="EK431" s="532"/>
      <c r="EL431" s="532"/>
      <c r="EM431" s="532"/>
      <c r="EN431" s="532"/>
      <c r="EO431" s="532"/>
      <c r="EP431" s="532"/>
      <c r="EQ431" s="532"/>
      <c r="ER431" s="532"/>
      <c r="ES431" s="532"/>
      <c r="ET431" s="532"/>
      <c r="EU431" s="532"/>
      <c r="EV431" s="532"/>
      <c r="EW431" s="532"/>
      <c r="EX431" s="532"/>
      <c r="EY431" s="532"/>
      <c r="EZ431" s="532"/>
      <c r="FA431" s="532"/>
      <c r="FB431" s="532"/>
      <c r="FC431" s="532"/>
      <c r="FD431" s="532"/>
      <c r="FE431" s="532"/>
      <c r="FF431" s="532"/>
      <c r="FG431" s="532"/>
      <c r="FH431" s="532"/>
      <c r="FI431" s="532"/>
      <c r="FJ431" s="532"/>
      <c r="FK431" s="532"/>
      <c r="FL431" s="532"/>
      <c r="FM431" s="532"/>
      <c r="FN431" s="532"/>
      <c r="FO431" s="532"/>
      <c r="FP431" s="532"/>
    </row>
    <row r="432" spans="1:172" ht="12" customHeight="1" x14ac:dyDescent="0.2">
      <c r="A432" s="533" t="s">
        <v>296</v>
      </c>
      <c r="B432" s="534" t="s">
        <v>297</v>
      </c>
      <c r="C432" s="208">
        <v>38</v>
      </c>
      <c r="D432" s="208">
        <v>39</v>
      </c>
      <c r="E432" s="208">
        <v>40</v>
      </c>
      <c r="F432" s="208">
        <v>40</v>
      </c>
      <c r="G432" s="208">
        <v>75</v>
      </c>
      <c r="H432" s="208">
        <v>64</v>
      </c>
      <c r="I432" s="208">
        <v>44</v>
      </c>
      <c r="J432" s="208">
        <v>35</v>
      </c>
      <c r="K432" s="208">
        <v>61</v>
      </c>
      <c r="L432" s="562">
        <v>52</v>
      </c>
      <c r="M432" s="562">
        <v>65</v>
      </c>
      <c r="N432" s="562">
        <v>40</v>
      </c>
      <c r="O432" s="530">
        <f>SUM(C432:N432)</f>
        <v>593</v>
      </c>
      <c r="P432" s="531"/>
      <c r="Q432" s="531"/>
      <c r="R432" s="531"/>
      <c r="S432" s="531"/>
      <c r="T432" s="531"/>
      <c r="U432" s="531"/>
      <c r="V432" s="531"/>
      <c r="W432" s="531"/>
      <c r="X432" s="531"/>
      <c r="Y432" s="531"/>
      <c r="Z432" s="531"/>
      <c r="AA432" s="531"/>
      <c r="AB432" s="531"/>
      <c r="AC432" s="531"/>
      <c r="AD432" s="531"/>
      <c r="AE432" s="531"/>
      <c r="AF432" s="531"/>
      <c r="AG432" s="531"/>
      <c r="AH432" s="532"/>
      <c r="AI432" s="532"/>
      <c r="AJ432" s="532"/>
      <c r="AK432" s="532"/>
      <c r="AL432" s="532"/>
      <c r="AM432" s="532"/>
      <c r="AN432" s="532"/>
      <c r="AO432" s="532"/>
      <c r="AP432" s="532"/>
      <c r="AQ432" s="532"/>
      <c r="AR432" s="532"/>
      <c r="AS432" s="532"/>
      <c r="AT432" s="532"/>
      <c r="AU432" s="532"/>
      <c r="AV432" s="532"/>
      <c r="AW432" s="532"/>
      <c r="AX432" s="532"/>
      <c r="AY432" s="532"/>
      <c r="AZ432" s="532"/>
      <c r="BA432" s="532"/>
      <c r="BB432" s="532"/>
      <c r="BC432" s="532"/>
      <c r="BD432" s="532"/>
      <c r="BE432" s="532"/>
      <c r="BF432" s="532"/>
      <c r="BG432" s="532"/>
      <c r="BH432" s="532"/>
      <c r="BI432" s="532"/>
      <c r="BJ432" s="532"/>
      <c r="BK432" s="532"/>
      <c r="BL432" s="532"/>
      <c r="BM432" s="532"/>
      <c r="BN432" s="532"/>
      <c r="BO432" s="532"/>
      <c r="BP432" s="532"/>
      <c r="BQ432" s="532"/>
      <c r="BR432" s="532"/>
      <c r="BS432" s="532"/>
      <c r="BT432" s="532"/>
      <c r="BU432" s="532"/>
      <c r="BV432" s="532"/>
      <c r="BW432" s="532"/>
      <c r="BX432" s="532"/>
      <c r="BY432" s="532"/>
      <c r="BZ432" s="532"/>
      <c r="CA432" s="532"/>
      <c r="CB432" s="532"/>
      <c r="CC432" s="532"/>
      <c r="CD432" s="532"/>
      <c r="CE432" s="532"/>
      <c r="CF432" s="532"/>
      <c r="CG432" s="532"/>
      <c r="CH432" s="532"/>
      <c r="CI432" s="532"/>
      <c r="CJ432" s="532"/>
      <c r="CK432" s="532"/>
      <c r="CL432" s="532"/>
      <c r="CM432" s="532"/>
      <c r="CN432" s="532"/>
      <c r="CO432" s="532"/>
      <c r="CP432" s="532"/>
      <c r="CQ432" s="532"/>
      <c r="CR432" s="532"/>
      <c r="CS432" s="532"/>
      <c r="CT432" s="532"/>
      <c r="CU432" s="532"/>
      <c r="CV432" s="532"/>
      <c r="CW432" s="532"/>
      <c r="CX432" s="532"/>
      <c r="CY432" s="532"/>
      <c r="CZ432" s="532"/>
      <c r="DA432" s="532"/>
      <c r="DB432" s="532"/>
      <c r="DC432" s="532"/>
      <c r="DD432" s="532"/>
      <c r="DE432" s="532"/>
      <c r="DF432" s="532"/>
      <c r="DG432" s="532"/>
      <c r="DH432" s="532"/>
      <c r="DI432" s="532"/>
      <c r="DJ432" s="532"/>
      <c r="DK432" s="532"/>
      <c r="DL432" s="532"/>
      <c r="DM432" s="532"/>
      <c r="DN432" s="532"/>
      <c r="DO432" s="532"/>
      <c r="DP432" s="532"/>
      <c r="DQ432" s="532"/>
      <c r="DR432" s="532"/>
      <c r="DS432" s="532"/>
      <c r="DT432" s="532"/>
      <c r="DU432" s="532"/>
      <c r="DV432" s="532"/>
      <c r="DW432" s="532"/>
      <c r="DX432" s="532"/>
      <c r="DY432" s="532"/>
      <c r="DZ432" s="532"/>
      <c r="EA432" s="532"/>
      <c r="EB432" s="532"/>
      <c r="EC432" s="532"/>
      <c r="ED432" s="532"/>
      <c r="EE432" s="532"/>
      <c r="EF432" s="532"/>
      <c r="EG432" s="532"/>
      <c r="EH432" s="532"/>
      <c r="EI432" s="532"/>
      <c r="EJ432" s="532"/>
      <c r="EK432" s="532"/>
      <c r="EL432" s="532"/>
      <c r="EM432" s="532"/>
      <c r="EN432" s="532"/>
      <c r="EO432" s="532"/>
      <c r="EP432" s="532"/>
      <c r="EQ432" s="532"/>
      <c r="ER432" s="532"/>
      <c r="ES432" s="532"/>
      <c r="ET432" s="532"/>
      <c r="EU432" s="532"/>
      <c r="EV432" s="532"/>
      <c r="EW432" s="532"/>
      <c r="EX432" s="532"/>
      <c r="EY432" s="532"/>
      <c r="EZ432" s="532"/>
      <c r="FA432" s="532"/>
      <c r="FB432" s="532"/>
      <c r="FC432" s="532"/>
      <c r="FD432" s="532"/>
      <c r="FE432" s="532"/>
      <c r="FF432" s="532"/>
      <c r="FG432" s="532"/>
      <c r="FH432" s="532"/>
      <c r="FI432" s="532"/>
      <c r="FJ432" s="532"/>
      <c r="FK432" s="532"/>
      <c r="FL432" s="532"/>
      <c r="FM432" s="532"/>
      <c r="FN432" s="532"/>
      <c r="FO432" s="532"/>
      <c r="FP432" s="532"/>
    </row>
    <row r="433" spans="1:172" ht="12" customHeight="1" x14ac:dyDescent="0.2">
      <c r="A433" s="533" t="s">
        <v>298</v>
      </c>
      <c r="B433" s="534" t="s">
        <v>299</v>
      </c>
      <c r="C433" s="208">
        <f>205+250</f>
        <v>455</v>
      </c>
      <c r="D433" s="208">
        <f>223+243</f>
        <v>466</v>
      </c>
      <c r="E433" s="208">
        <f>194+241</f>
        <v>435</v>
      </c>
      <c r="F433" s="208">
        <f>191+257</f>
        <v>448</v>
      </c>
      <c r="G433" s="208">
        <f>232+257</f>
        <v>489</v>
      </c>
      <c r="H433" s="208">
        <f>203+235</f>
        <v>438</v>
      </c>
      <c r="I433" s="208">
        <f>227+225</f>
        <v>452</v>
      </c>
      <c r="J433" s="208">
        <f>219+229</f>
        <v>448</v>
      </c>
      <c r="K433" s="208">
        <f>186+221</f>
        <v>407</v>
      </c>
      <c r="L433" s="562">
        <f>147+248</f>
        <v>395</v>
      </c>
      <c r="M433" s="562">
        <f>226+244</f>
        <v>470</v>
      </c>
      <c r="N433" s="562">
        <f>166+271</f>
        <v>437</v>
      </c>
      <c r="O433" s="530">
        <f>SUM(C433:N433)</f>
        <v>5340</v>
      </c>
      <c r="P433" s="531"/>
      <c r="Q433" s="531"/>
      <c r="R433" s="531"/>
      <c r="S433" s="531"/>
      <c r="T433" s="531"/>
      <c r="U433" s="531"/>
      <c r="V433" s="531"/>
      <c r="W433" s="531"/>
      <c r="X433" s="531"/>
      <c r="Y433" s="531"/>
      <c r="Z433" s="531"/>
      <c r="AA433" s="531"/>
      <c r="AB433" s="531"/>
      <c r="AC433" s="531"/>
      <c r="AD433" s="531"/>
      <c r="AE433" s="531"/>
      <c r="AF433" s="531"/>
      <c r="AG433" s="531"/>
      <c r="AH433" s="532"/>
      <c r="AI433" s="532"/>
      <c r="AJ433" s="532"/>
      <c r="AK433" s="532"/>
      <c r="AL433" s="532"/>
      <c r="AM433" s="532"/>
      <c r="AN433" s="532"/>
      <c r="AO433" s="532"/>
      <c r="AP433" s="532"/>
      <c r="AQ433" s="532"/>
      <c r="AR433" s="532"/>
      <c r="AS433" s="532"/>
      <c r="AT433" s="532"/>
      <c r="AU433" s="532"/>
      <c r="AV433" s="532"/>
      <c r="AW433" s="532"/>
      <c r="AX433" s="532"/>
      <c r="AY433" s="532"/>
      <c r="AZ433" s="532"/>
      <c r="BA433" s="532"/>
      <c r="BB433" s="532"/>
      <c r="BC433" s="532"/>
      <c r="BD433" s="532"/>
      <c r="BE433" s="532"/>
      <c r="BF433" s="532"/>
      <c r="BG433" s="532"/>
      <c r="BH433" s="532"/>
      <c r="BI433" s="532"/>
      <c r="BJ433" s="532"/>
      <c r="BK433" s="532"/>
      <c r="BL433" s="532"/>
      <c r="BM433" s="532"/>
      <c r="BN433" s="532"/>
      <c r="BO433" s="532"/>
      <c r="BP433" s="532"/>
      <c r="BQ433" s="532"/>
      <c r="BR433" s="532"/>
      <c r="BS433" s="532"/>
      <c r="BT433" s="532"/>
      <c r="BU433" s="532"/>
      <c r="BV433" s="532"/>
      <c r="BW433" s="532"/>
      <c r="BX433" s="532"/>
      <c r="BY433" s="532"/>
      <c r="BZ433" s="532"/>
      <c r="CA433" s="532"/>
      <c r="CB433" s="532"/>
      <c r="CC433" s="532"/>
      <c r="CD433" s="532"/>
      <c r="CE433" s="532"/>
      <c r="CF433" s="532"/>
      <c r="CG433" s="532"/>
      <c r="CH433" s="532"/>
      <c r="CI433" s="532"/>
      <c r="CJ433" s="532"/>
      <c r="CK433" s="532"/>
      <c r="CL433" s="532"/>
      <c r="CM433" s="532"/>
      <c r="CN433" s="532"/>
      <c r="CO433" s="532"/>
      <c r="CP433" s="532"/>
      <c r="CQ433" s="532"/>
      <c r="CR433" s="532"/>
      <c r="CS433" s="532"/>
      <c r="CT433" s="532"/>
      <c r="CU433" s="532"/>
      <c r="CV433" s="532"/>
      <c r="CW433" s="532"/>
      <c r="CX433" s="532"/>
      <c r="CY433" s="532"/>
      <c r="CZ433" s="532"/>
      <c r="DA433" s="532"/>
      <c r="DB433" s="532"/>
      <c r="DC433" s="532"/>
      <c r="DD433" s="532"/>
      <c r="DE433" s="532"/>
      <c r="DF433" s="532"/>
      <c r="DG433" s="532"/>
      <c r="DH433" s="532"/>
      <c r="DI433" s="532"/>
      <c r="DJ433" s="532"/>
      <c r="DK433" s="532"/>
      <c r="DL433" s="532"/>
      <c r="DM433" s="532"/>
      <c r="DN433" s="532"/>
      <c r="DO433" s="532"/>
      <c r="DP433" s="532"/>
      <c r="DQ433" s="532"/>
      <c r="DR433" s="532"/>
      <c r="DS433" s="532"/>
      <c r="DT433" s="532"/>
      <c r="DU433" s="532"/>
      <c r="DV433" s="532"/>
      <c r="DW433" s="532"/>
      <c r="DX433" s="532"/>
      <c r="DY433" s="532"/>
      <c r="DZ433" s="532"/>
      <c r="EA433" s="532"/>
      <c r="EB433" s="532"/>
      <c r="EC433" s="532"/>
      <c r="ED433" s="532"/>
      <c r="EE433" s="532"/>
      <c r="EF433" s="532"/>
      <c r="EG433" s="532"/>
      <c r="EH433" s="532"/>
      <c r="EI433" s="532"/>
      <c r="EJ433" s="532"/>
      <c r="EK433" s="532"/>
      <c r="EL433" s="532"/>
      <c r="EM433" s="532"/>
      <c r="EN433" s="532"/>
      <c r="EO433" s="532"/>
      <c r="EP433" s="532"/>
      <c r="EQ433" s="532"/>
      <c r="ER433" s="532"/>
      <c r="ES433" s="532"/>
      <c r="ET433" s="532"/>
      <c r="EU433" s="532"/>
      <c r="EV433" s="532"/>
      <c r="EW433" s="532"/>
      <c r="EX433" s="532"/>
      <c r="EY433" s="532"/>
      <c r="EZ433" s="532"/>
      <c r="FA433" s="532"/>
      <c r="FB433" s="532"/>
      <c r="FC433" s="532"/>
      <c r="FD433" s="532"/>
      <c r="FE433" s="532"/>
      <c r="FF433" s="532"/>
      <c r="FG433" s="532"/>
      <c r="FH433" s="532"/>
      <c r="FI433" s="532"/>
      <c r="FJ433" s="532"/>
      <c r="FK433" s="532"/>
      <c r="FL433" s="532"/>
      <c r="FM433" s="532"/>
      <c r="FN433" s="532"/>
      <c r="FO433" s="532"/>
      <c r="FP433" s="532"/>
    </row>
    <row r="434" spans="1:172" ht="12" customHeight="1" x14ac:dyDescent="0.2">
      <c r="A434" s="533" t="s">
        <v>300</v>
      </c>
      <c r="B434" s="534" t="s">
        <v>55</v>
      </c>
      <c r="C434" s="208">
        <f t="shared" ref="C434:N434" si="187">SUM(C432:C433)</f>
        <v>493</v>
      </c>
      <c r="D434" s="208">
        <f t="shared" si="187"/>
        <v>505</v>
      </c>
      <c r="E434" s="208">
        <f t="shared" si="187"/>
        <v>475</v>
      </c>
      <c r="F434" s="208">
        <f t="shared" si="187"/>
        <v>488</v>
      </c>
      <c r="G434" s="208">
        <f t="shared" si="187"/>
        <v>564</v>
      </c>
      <c r="H434" s="208">
        <f t="shared" si="187"/>
        <v>502</v>
      </c>
      <c r="I434" s="208">
        <f t="shared" si="187"/>
        <v>496</v>
      </c>
      <c r="J434" s="208">
        <f t="shared" si="187"/>
        <v>483</v>
      </c>
      <c r="K434" s="208">
        <f t="shared" si="187"/>
        <v>468</v>
      </c>
      <c r="L434" s="562">
        <f t="shared" si="187"/>
        <v>447</v>
      </c>
      <c r="M434" s="562">
        <f t="shared" si="187"/>
        <v>535</v>
      </c>
      <c r="N434" s="562">
        <f t="shared" si="187"/>
        <v>477</v>
      </c>
      <c r="O434" s="530">
        <f>SUM(C434:N434)</f>
        <v>5933</v>
      </c>
      <c r="P434" s="531"/>
      <c r="Q434" s="531"/>
      <c r="R434" s="531"/>
      <c r="S434" s="531"/>
      <c r="T434" s="531"/>
      <c r="U434" s="531"/>
      <c r="V434" s="531"/>
      <c r="W434" s="531"/>
      <c r="X434" s="531"/>
      <c r="Y434" s="531"/>
      <c r="Z434" s="531"/>
      <c r="AA434" s="531"/>
      <c r="AB434" s="531"/>
      <c r="AC434" s="531"/>
      <c r="AD434" s="531"/>
      <c r="AE434" s="531"/>
      <c r="AF434" s="531"/>
      <c r="AG434" s="531"/>
      <c r="AH434" s="532"/>
      <c r="AI434" s="532"/>
      <c r="AJ434" s="532"/>
      <c r="AK434" s="532"/>
      <c r="AL434" s="532"/>
      <c r="AM434" s="532"/>
      <c r="AN434" s="532"/>
      <c r="AO434" s="532"/>
      <c r="AP434" s="532"/>
      <c r="AQ434" s="532"/>
      <c r="AR434" s="532"/>
      <c r="AS434" s="532"/>
      <c r="AT434" s="532"/>
      <c r="AU434" s="532"/>
      <c r="AV434" s="532"/>
      <c r="AW434" s="532"/>
      <c r="AX434" s="532"/>
      <c r="AY434" s="532"/>
      <c r="AZ434" s="532"/>
      <c r="BA434" s="532"/>
      <c r="BB434" s="532"/>
      <c r="BC434" s="532"/>
      <c r="BD434" s="532"/>
      <c r="BE434" s="532"/>
      <c r="BF434" s="532"/>
      <c r="BG434" s="532"/>
      <c r="BH434" s="532"/>
      <c r="BI434" s="532"/>
      <c r="BJ434" s="532"/>
      <c r="BK434" s="532"/>
      <c r="BL434" s="532"/>
      <c r="BM434" s="532"/>
      <c r="BN434" s="532"/>
      <c r="BO434" s="532"/>
      <c r="BP434" s="532"/>
      <c r="BQ434" s="532"/>
      <c r="BR434" s="532"/>
      <c r="BS434" s="532"/>
      <c r="BT434" s="532"/>
      <c r="BU434" s="532"/>
      <c r="BV434" s="532"/>
      <c r="BW434" s="532"/>
      <c r="BX434" s="532"/>
      <c r="BY434" s="532"/>
      <c r="BZ434" s="532"/>
      <c r="CA434" s="532"/>
      <c r="CB434" s="532"/>
      <c r="CC434" s="532"/>
      <c r="CD434" s="532"/>
      <c r="CE434" s="532"/>
      <c r="CF434" s="532"/>
      <c r="CG434" s="532"/>
      <c r="CH434" s="532"/>
      <c r="CI434" s="532"/>
      <c r="CJ434" s="532"/>
      <c r="CK434" s="532"/>
      <c r="CL434" s="532"/>
      <c r="CM434" s="532"/>
      <c r="CN434" s="532"/>
      <c r="CO434" s="532"/>
      <c r="CP434" s="532"/>
      <c r="CQ434" s="532"/>
      <c r="CR434" s="532"/>
      <c r="CS434" s="532"/>
      <c r="CT434" s="532"/>
      <c r="CU434" s="532"/>
      <c r="CV434" s="532"/>
      <c r="CW434" s="532"/>
      <c r="CX434" s="532"/>
      <c r="CY434" s="532"/>
      <c r="CZ434" s="532"/>
      <c r="DA434" s="532"/>
      <c r="DB434" s="532"/>
      <c r="DC434" s="532"/>
      <c r="DD434" s="532"/>
      <c r="DE434" s="532"/>
      <c r="DF434" s="532"/>
      <c r="DG434" s="532"/>
      <c r="DH434" s="532"/>
      <c r="DI434" s="532"/>
      <c r="DJ434" s="532"/>
      <c r="DK434" s="532"/>
      <c r="DL434" s="532"/>
      <c r="DM434" s="532"/>
      <c r="DN434" s="532"/>
      <c r="DO434" s="532"/>
      <c r="DP434" s="532"/>
      <c r="DQ434" s="532"/>
      <c r="DR434" s="532"/>
      <c r="DS434" s="532"/>
      <c r="DT434" s="532"/>
      <c r="DU434" s="532"/>
      <c r="DV434" s="532"/>
      <c r="DW434" s="532"/>
      <c r="DX434" s="532"/>
      <c r="DY434" s="532"/>
      <c r="DZ434" s="532"/>
      <c r="EA434" s="532"/>
      <c r="EB434" s="532"/>
      <c r="EC434" s="532"/>
      <c r="ED434" s="532"/>
      <c r="EE434" s="532"/>
      <c r="EF434" s="532"/>
      <c r="EG434" s="532"/>
      <c r="EH434" s="532"/>
      <c r="EI434" s="532"/>
      <c r="EJ434" s="532"/>
      <c r="EK434" s="532"/>
      <c r="EL434" s="532"/>
      <c r="EM434" s="532"/>
      <c r="EN434" s="532"/>
      <c r="EO434" s="532"/>
      <c r="EP434" s="532"/>
      <c r="EQ434" s="532"/>
      <c r="ER434" s="532"/>
      <c r="ES434" s="532"/>
      <c r="ET434" s="532"/>
      <c r="EU434" s="532"/>
      <c r="EV434" s="532"/>
      <c r="EW434" s="532"/>
      <c r="EX434" s="532"/>
      <c r="EY434" s="532"/>
      <c r="EZ434" s="532"/>
      <c r="FA434" s="532"/>
      <c r="FB434" s="532"/>
      <c r="FC434" s="532"/>
      <c r="FD434" s="532"/>
      <c r="FE434" s="532"/>
      <c r="FF434" s="532"/>
      <c r="FG434" s="532"/>
      <c r="FH434" s="532"/>
      <c r="FI434" s="532"/>
      <c r="FJ434" s="532"/>
      <c r="FK434" s="532"/>
      <c r="FL434" s="532"/>
      <c r="FM434" s="532"/>
      <c r="FN434" s="532"/>
      <c r="FO434" s="532"/>
      <c r="FP434" s="532"/>
    </row>
    <row r="435" spans="1:172" ht="12" customHeight="1" x14ac:dyDescent="0.2">
      <c r="A435" s="533"/>
      <c r="B435" s="534"/>
      <c r="C435" s="534"/>
      <c r="D435" s="534"/>
      <c r="E435" s="534"/>
      <c r="F435" s="534"/>
      <c r="G435" s="534"/>
      <c r="H435" s="534"/>
      <c r="I435" s="534"/>
      <c r="J435" s="534"/>
      <c r="K435" s="658"/>
      <c r="L435" s="562"/>
      <c r="M435" s="562"/>
      <c r="N435" s="562"/>
      <c r="O435" s="530"/>
      <c r="P435" s="531"/>
      <c r="Q435" s="531"/>
      <c r="R435" s="531"/>
      <c r="S435" s="531"/>
      <c r="T435" s="531"/>
      <c r="U435" s="531"/>
      <c r="V435" s="531"/>
      <c r="W435" s="531"/>
      <c r="X435" s="531"/>
      <c r="Y435" s="531"/>
      <c r="Z435" s="531"/>
      <c r="AA435" s="531"/>
      <c r="AB435" s="531"/>
      <c r="AC435" s="531"/>
      <c r="AD435" s="531"/>
      <c r="AE435" s="531"/>
      <c r="AF435" s="531"/>
      <c r="AG435" s="531"/>
      <c r="AH435" s="532"/>
      <c r="AI435" s="532"/>
      <c r="AJ435" s="532"/>
      <c r="AK435" s="532"/>
      <c r="AL435" s="532"/>
      <c r="AM435" s="532"/>
      <c r="AN435" s="532"/>
      <c r="AO435" s="532"/>
      <c r="AP435" s="532"/>
      <c r="AQ435" s="532"/>
      <c r="AR435" s="532"/>
      <c r="AS435" s="532"/>
      <c r="AT435" s="532"/>
      <c r="AU435" s="532"/>
      <c r="AV435" s="532"/>
      <c r="AW435" s="532"/>
      <c r="AX435" s="532"/>
      <c r="AY435" s="532"/>
      <c r="AZ435" s="532"/>
      <c r="BA435" s="532"/>
      <c r="BB435" s="532"/>
      <c r="BC435" s="532"/>
      <c r="BD435" s="532"/>
      <c r="BE435" s="532"/>
      <c r="BF435" s="532"/>
      <c r="BG435" s="532"/>
      <c r="BH435" s="532"/>
      <c r="BI435" s="532"/>
      <c r="BJ435" s="532"/>
      <c r="BK435" s="532"/>
      <c r="BL435" s="532"/>
      <c r="BM435" s="532"/>
      <c r="BN435" s="532"/>
      <c r="BO435" s="532"/>
      <c r="BP435" s="532"/>
      <c r="BQ435" s="532"/>
      <c r="BR435" s="532"/>
      <c r="BS435" s="532"/>
      <c r="BT435" s="532"/>
      <c r="BU435" s="532"/>
      <c r="BV435" s="532"/>
      <c r="BW435" s="532"/>
      <c r="BX435" s="532"/>
      <c r="BY435" s="532"/>
      <c r="BZ435" s="532"/>
      <c r="CA435" s="532"/>
      <c r="CB435" s="532"/>
      <c r="CC435" s="532"/>
      <c r="CD435" s="532"/>
      <c r="CE435" s="532"/>
      <c r="CF435" s="532"/>
      <c r="CG435" s="532"/>
      <c r="CH435" s="532"/>
      <c r="CI435" s="532"/>
      <c r="CJ435" s="532"/>
      <c r="CK435" s="532"/>
      <c r="CL435" s="532"/>
      <c r="CM435" s="532"/>
      <c r="CN435" s="532"/>
      <c r="CO435" s="532"/>
      <c r="CP435" s="532"/>
      <c r="CQ435" s="532"/>
      <c r="CR435" s="532"/>
      <c r="CS435" s="532"/>
      <c r="CT435" s="532"/>
      <c r="CU435" s="532"/>
      <c r="CV435" s="532"/>
      <c r="CW435" s="532"/>
      <c r="CX435" s="532"/>
      <c r="CY435" s="532"/>
      <c r="CZ435" s="532"/>
      <c r="DA435" s="532"/>
      <c r="DB435" s="532"/>
      <c r="DC435" s="532"/>
      <c r="DD435" s="532"/>
      <c r="DE435" s="532"/>
      <c r="DF435" s="532"/>
      <c r="DG435" s="532"/>
      <c r="DH435" s="532"/>
      <c r="DI435" s="532"/>
      <c r="DJ435" s="532"/>
      <c r="DK435" s="532"/>
      <c r="DL435" s="532"/>
      <c r="DM435" s="532"/>
      <c r="DN435" s="532"/>
      <c r="DO435" s="532"/>
      <c r="DP435" s="532"/>
      <c r="DQ435" s="532"/>
      <c r="DR435" s="532"/>
      <c r="DS435" s="532"/>
      <c r="DT435" s="532"/>
      <c r="DU435" s="532"/>
      <c r="DV435" s="532"/>
      <c r="DW435" s="532"/>
      <c r="DX435" s="532"/>
      <c r="DY435" s="532"/>
      <c r="DZ435" s="532"/>
      <c r="EA435" s="532"/>
      <c r="EB435" s="532"/>
      <c r="EC435" s="532"/>
      <c r="ED435" s="532"/>
      <c r="EE435" s="532"/>
      <c r="EF435" s="532"/>
      <c r="EG435" s="532"/>
      <c r="EH435" s="532"/>
      <c r="EI435" s="532"/>
      <c r="EJ435" s="532"/>
      <c r="EK435" s="532"/>
      <c r="EL435" s="532"/>
      <c r="EM435" s="532"/>
      <c r="EN435" s="532"/>
      <c r="EO435" s="532"/>
      <c r="EP435" s="532"/>
      <c r="EQ435" s="532"/>
      <c r="ER435" s="532"/>
      <c r="ES435" s="532"/>
      <c r="ET435" s="532"/>
      <c r="EU435" s="532"/>
      <c r="EV435" s="532"/>
      <c r="EW435" s="532"/>
      <c r="EX435" s="532"/>
      <c r="EY435" s="532"/>
      <c r="EZ435" s="532"/>
      <c r="FA435" s="532"/>
      <c r="FB435" s="532"/>
      <c r="FC435" s="532"/>
      <c r="FD435" s="532"/>
      <c r="FE435" s="532"/>
      <c r="FF435" s="532"/>
      <c r="FG435" s="532"/>
      <c r="FH435" s="532"/>
      <c r="FI435" s="532"/>
      <c r="FJ435" s="532"/>
      <c r="FK435" s="532"/>
      <c r="FL435" s="532"/>
      <c r="FM435" s="532"/>
      <c r="FN435" s="532"/>
      <c r="FO435" s="532"/>
      <c r="FP435" s="532"/>
    </row>
    <row r="436" spans="1:172" ht="12" customHeight="1" x14ac:dyDescent="0.2">
      <c r="A436" s="533" t="s">
        <v>301</v>
      </c>
      <c r="B436" s="534" t="s">
        <v>302</v>
      </c>
      <c r="C436" s="208">
        <v>9</v>
      </c>
      <c r="D436" s="208">
        <v>14</v>
      </c>
      <c r="E436" s="208">
        <v>10</v>
      </c>
      <c r="F436" s="208">
        <v>5</v>
      </c>
      <c r="G436" s="208">
        <v>7</v>
      </c>
      <c r="H436" s="208">
        <v>10</v>
      </c>
      <c r="I436" s="208">
        <v>2</v>
      </c>
      <c r="J436" s="208">
        <v>12</v>
      </c>
      <c r="K436" s="208">
        <v>11</v>
      </c>
      <c r="L436" s="562">
        <v>10</v>
      </c>
      <c r="M436" s="562">
        <v>13</v>
      </c>
      <c r="N436" s="562">
        <v>13</v>
      </c>
      <c r="O436" s="530">
        <f>SUM(C436:N436)</f>
        <v>116</v>
      </c>
      <c r="P436" s="531"/>
      <c r="Q436" s="531"/>
      <c r="R436" s="531"/>
      <c r="S436" s="531"/>
      <c r="T436" s="531"/>
      <c r="U436" s="531"/>
      <c r="V436" s="531"/>
      <c r="W436" s="531"/>
      <c r="X436" s="531"/>
      <c r="Y436" s="531"/>
      <c r="Z436" s="531"/>
      <c r="AA436" s="531"/>
      <c r="AB436" s="531"/>
      <c r="AC436" s="531"/>
      <c r="AD436" s="531"/>
      <c r="AE436" s="531"/>
      <c r="AF436" s="531"/>
      <c r="AG436" s="531"/>
      <c r="AH436" s="532"/>
      <c r="AI436" s="532"/>
      <c r="AJ436" s="532"/>
      <c r="AK436" s="532"/>
      <c r="AL436" s="532"/>
      <c r="AM436" s="532"/>
      <c r="AN436" s="532"/>
      <c r="AO436" s="532"/>
      <c r="AP436" s="532"/>
      <c r="AQ436" s="532"/>
      <c r="AR436" s="532"/>
      <c r="AS436" s="532"/>
      <c r="AT436" s="532"/>
      <c r="AU436" s="532"/>
      <c r="AV436" s="532"/>
      <c r="AW436" s="532"/>
      <c r="AX436" s="532"/>
      <c r="AY436" s="532"/>
      <c r="AZ436" s="532"/>
      <c r="BA436" s="532"/>
      <c r="BB436" s="532"/>
      <c r="BC436" s="532"/>
      <c r="BD436" s="532"/>
      <c r="BE436" s="532"/>
      <c r="BF436" s="532"/>
      <c r="BG436" s="532"/>
      <c r="BH436" s="532"/>
      <c r="BI436" s="532"/>
      <c r="BJ436" s="532"/>
      <c r="BK436" s="532"/>
      <c r="BL436" s="532"/>
      <c r="BM436" s="532"/>
      <c r="BN436" s="532"/>
      <c r="BO436" s="532"/>
      <c r="BP436" s="532"/>
      <c r="BQ436" s="532"/>
      <c r="BR436" s="532"/>
      <c r="BS436" s="532"/>
      <c r="BT436" s="532"/>
      <c r="BU436" s="532"/>
      <c r="BV436" s="532"/>
      <c r="BW436" s="532"/>
      <c r="BX436" s="532"/>
      <c r="BY436" s="532"/>
      <c r="BZ436" s="532"/>
      <c r="CA436" s="532"/>
      <c r="CB436" s="532"/>
      <c r="CC436" s="532"/>
      <c r="CD436" s="532"/>
      <c r="CE436" s="532"/>
      <c r="CF436" s="532"/>
      <c r="CG436" s="532"/>
      <c r="CH436" s="532"/>
      <c r="CI436" s="532"/>
      <c r="CJ436" s="532"/>
      <c r="CK436" s="532"/>
      <c r="CL436" s="532"/>
      <c r="CM436" s="532"/>
      <c r="CN436" s="532"/>
      <c r="CO436" s="532"/>
      <c r="CP436" s="532"/>
      <c r="CQ436" s="532"/>
      <c r="CR436" s="532"/>
      <c r="CS436" s="532"/>
      <c r="CT436" s="532"/>
      <c r="CU436" s="532"/>
      <c r="CV436" s="532"/>
      <c r="CW436" s="532"/>
      <c r="CX436" s="532"/>
      <c r="CY436" s="532"/>
      <c r="CZ436" s="532"/>
      <c r="DA436" s="532"/>
      <c r="DB436" s="532"/>
      <c r="DC436" s="532"/>
      <c r="DD436" s="532"/>
      <c r="DE436" s="532"/>
      <c r="DF436" s="532"/>
      <c r="DG436" s="532"/>
      <c r="DH436" s="532"/>
      <c r="DI436" s="532"/>
      <c r="DJ436" s="532"/>
      <c r="DK436" s="532"/>
      <c r="DL436" s="532"/>
      <c r="DM436" s="532"/>
      <c r="DN436" s="532"/>
      <c r="DO436" s="532"/>
      <c r="DP436" s="532"/>
      <c r="DQ436" s="532"/>
      <c r="DR436" s="532"/>
      <c r="DS436" s="532"/>
      <c r="DT436" s="532"/>
      <c r="DU436" s="532"/>
      <c r="DV436" s="532"/>
      <c r="DW436" s="532"/>
      <c r="DX436" s="532"/>
      <c r="DY436" s="532"/>
      <c r="DZ436" s="532"/>
      <c r="EA436" s="532"/>
      <c r="EB436" s="532"/>
      <c r="EC436" s="532"/>
      <c r="ED436" s="532"/>
      <c r="EE436" s="532"/>
      <c r="EF436" s="532"/>
      <c r="EG436" s="532"/>
      <c r="EH436" s="532"/>
      <c r="EI436" s="532"/>
      <c r="EJ436" s="532"/>
      <c r="EK436" s="532"/>
      <c r="EL436" s="532"/>
      <c r="EM436" s="532"/>
      <c r="EN436" s="532"/>
      <c r="EO436" s="532"/>
      <c r="EP436" s="532"/>
      <c r="EQ436" s="532"/>
      <c r="ER436" s="532"/>
      <c r="ES436" s="532"/>
      <c r="ET436" s="532"/>
      <c r="EU436" s="532"/>
      <c r="EV436" s="532"/>
      <c r="EW436" s="532"/>
      <c r="EX436" s="532"/>
      <c r="EY436" s="532"/>
      <c r="EZ436" s="532"/>
      <c r="FA436" s="532"/>
      <c r="FB436" s="532"/>
      <c r="FC436" s="532"/>
      <c r="FD436" s="532"/>
      <c r="FE436" s="532"/>
      <c r="FF436" s="532"/>
      <c r="FG436" s="532"/>
      <c r="FH436" s="532"/>
      <c r="FI436" s="532"/>
      <c r="FJ436" s="532"/>
      <c r="FK436" s="532"/>
      <c r="FL436" s="532"/>
      <c r="FM436" s="532"/>
      <c r="FN436" s="532"/>
      <c r="FO436" s="532"/>
      <c r="FP436" s="532"/>
    </row>
    <row r="437" spans="1:172" ht="12" customHeight="1" x14ac:dyDescent="0.2">
      <c r="A437" s="533" t="s">
        <v>303</v>
      </c>
      <c r="B437" s="534" t="s">
        <v>304</v>
      </c>
      <c r="C437" s="208">
        <f>76+6</f>
        <v>82</v>
      </c>
      <c r="D437" s="208">
        <f>69+4</f>
        <v>73</v>
      </c>
      <c r="E437" s="208">
        <f>50+4</f>
        <v>54</v>
      </c>
      <c r="F437" s="208">
        <f>73+6</f>
        <v>79</v>
      </c>
      <c r="G437" s="208">
        <f>90+6</f>
        <v>96</v>
      </c>
      <c r="H437" s="208">
        <f>90+7</f>
        <v>97</v>
      </c>
      <c r="I437" s="208">
        <f>67+4</f>
        <v>71</v>
      </c>
      <c r="J437" s="208">
        <f>69+6</f>
        <v>75</v>
      </c>
      <c r="K437" s="208">
        <f>85+8</f>
        <v>93</v>
      </c>
      <c r="L437" s="562">
        <f>79+9</f>
        <v>88</v>
      </c>
      <c r="M437" s="562">
        <f>94+11</f>
        <v>105</v>
      </c>
      <c r="N437" s="562">
        <f>80+6</f>
        <v>86</v>
      </c>
      <c r="O437" s="530">
        <f>SUM(C437:N437)</f>
        <v>999</v>
      </c>
      <c r="P437" s="531"/>
      <c r="Q437" s="531"/>
      <c r="R437" s="531"/>
      <c r="S437" s="531"/>
      <c r="T437" s="531"/>
      <c r="U437" s="531"/>
      <c r="V437" s="531"/>
      <c r="W437" s="531"/>
      <c r="X437" s="531"/>
      <c r="Y437" s="531"/>
      <c r="Z437" s="531"/>
      <c r="AA437" s="531"/>
      <c r="AB437" s="531"/>
      <c r="AC437" s="531"/>
      <c r="AD437" s="531"/>
      <c r="AE437" s="531"/>
      <c r="AF437" s="531"/>
      <c r="AG437" s="531"/>
      <c r="AH437" s="532"/>
      <c r="AI437" s="532"/>
      <c r="AJ437" s="532"/>
      <c r="AK437" s="532"/>
      <c r="AL437" s="532"/>
      <c r="AM437" s="532"/>
      <c r="AN437" s="532"/>
      <c r="AO437" s="532"/>
      <c r="AP437" s="532"/>
      <c r="AQ437" s="532"/>
      <c r="AR437" s="532"/>
      <c r="AS437" s="532"/>
      <c r="AT437" s="532"/>
      <c r="AU437" s="532"/>
      <c r="AV437" s="532"/>
      <c r="AW437" s="532"/>
      <c r="AX437" s="532"/>
      <c r="AY437" s="532"/>
      <c r="AZ437" s="532"/>
      <c r="BA437" s="532"/>
      <c r="BB437" s="532"/>
      <c r="BC437" s="532"/>
      <c r="BD437" s="532"/>
      <c r="BE437" s="532"/>
      <c r="BF437" s="532"/>
      <c r="BG437" s="532"/>
      <c r="BH437" s="532"/>
      <c r="BI437" s="532"/>
      <c r="BJ437" s="532"/>
      <c r="BK437" s="532"/>
      <c r="BL437" s="532"/>
      <c r="BM437" s="532"/>
      <c r="BN437" s="532"/>
      <c r="BO437" s="532"/>
      <c r="BP437" s="532"/>
      <c r="BQ437" s="532"/>
      <c r="BR437" s="532"/>
      <c r="BS437" s="532"/>
      <c r="BT437" s="532"/>
      <c r="BU437" s="532"/>
      <c r="BV437" s="532"/>
      <c r="BW437" s="532"/>
      <c r="BX437" s="532"/>
      <c r="BY437" s="532"/>
      <c r="BZ437" s="532"/>
      <c r="CA437" s="532"/>
      <c r="CB437" s="532"/>
      <c r="CC437" s="532"/>
      <c r="CD437" s="532"/>
      <c r="CE437" s="532"/>
      <c r="CF437" s="532"/>
      <c r="CG437" s="532"/>
      <c r="CH437" s="532"/>
      <c r="CI437" s="532"/>
      <c r="CJ437" s="532"/>
      <c r="CK437" s="532"/>
      <c r="CL437" s="532"/>
      <c r="CM437" s="532"/>
      <c r="CN437" s="532"/>
      <c r="CO437" s="532"/>
      <c r="CP437" s="532"/>
      <c r="CQ437" s="532"/>
      <c r="CR437" s="532"/>
      <c r="CS437" s="532"/>
      <c r="CT437" s="532"/>
      <c r="CU437" s="532"/>
      <c r="CV437" s="532"/>
      <c r="CW437" s="532"/>
      <c r="CX437" s="532"/>
      <c r="CY437" s="532"/>
      <c r="CZ437" s="532"/>
      <c r="DA437" s="532"/>
      <c r="DB437" s="532"/>
      <c r="DC437" s="532"/>
      <c r="DD437" s="532"/>
      <c r="DE437" s="532"/>
      <c r="DF437" s="532"/>
      <c r="DG437" s="532"/>
      <c r="DH437" s="532"/>
      <c r="DI437" s="532"/>
      <c r="DJ437" s="532"/>
      <c r="DK437" s="532"/>
      <c r="DL437" s="532"/>
      <c r="DM437" s="532"/>
      <c r="DN437" s="532"/>
      <c r="DO437" s="532"/>
      <c r="DP437" s="532"/>
      <c r="DQ437" s="532"/>
      <c r="DR437" s="532"/>
      <c r="DS437" s="532"/>
      <c r="DT437" s="532"/>
      <c r="DU437" s="532"/>
      <c r="DV437" s="532"/>
      <c r="DW437" s="532"/>
      <c r="DX437" s="532"/>
      <c r="DY437" s="532"/>
      <c r="DZ437" s="532"/>
      <c r="EA437" s="532"/>
      <c r="EB437" s="532"/>
      <c r="EC437" s="532"/>
      <c r="ED437" s="532"/>
      <c r="EE437" s="532"/>
      <c r="EF437" s="532"/>
      <c r="EG437" s="532"/>
      <c r="EH437" s="532"/>
      <c r="EI437" s="532"/>
      <c r="EJ437" s="532"/>
      <c r="EK437" s="532"/>
      <c r="EL437" s="532"/>
      <c r="EM437" s="532"/>
      <c r="EN437" s="532"/>
      <c r="EO437" s="532"/>
      <c r="EP437" s="532"/>
      <c r="EQ437" s="532"/>
      <c r="ER437" s="532"/>
      <c r="ES437" s="532"/>
      <c r="ET437" s="532"/>
      <c r="EU437" s="532"/>
      <c r="EV437" s="532"/>
      <c r="EW437" s="532"/>
      <c r="EX437" s="532"/>
      <c r="EY437" s="532"/>
      <c r="EZ437" s="532"/>
      <c r="FA437" s="532"/>
      <c r="FB437" s="532"/>
      <c r="FC437" s="532"/>
      <c r="FD437" s="532"/>
      <c r="FE437" s="532"/>
      <c r="FF437" s="532"/>
      <c r="FG437" s="532"/>
      <c r="FH437" s="532"/>
      <c r="FI437" s="532"/>
      <c r="FJ437" s="532"/>
      <c r="FK437" s="532"/>
      <c r="FL437" s="532"/>
      <c r="FM437" s="532"/>
      <c r="FN437" s="532"/>
      <c r="FO437" s="532"/>
      <c r="FP437" s="532"/>
    </row>
    <row r="438" spans="1:172" ht="12" customHeight="1" x14ac:dyDescent="0.2">
      <c r="A438" s="533" t="s">
        <v>305</v>
      </c>
      <c r="B438" s="534" t="s">
        <v>55</v>
      </c>
      <c r="C438" s="208">
        <f t="shared" ref="C438:N438" si="188">SUM(C436:C437)</f>
        <v>91</v>
      </c>
      <c r="D438" s="208">
        <f t="shared" si="188"/>
        <v>87</v>
      </c>
      <c r="E438" s="208">
        <f t="shared" si="188"/>
        <v>64</v>
      </c>
      <c r="F438" s="208">
        <f t="shared" si="188"/>
        <v>84</v>
      </c>
      <c r="G438" s="208">
        <f t="shared" si="188"/>
        <v>103</v>
      </c>
      <c r="H438" s="208">
        <f t="shared" si="188"/>
        <v>107</v>
      </c>
      <c r="I438" s="208">
        <f t="shared" si="188"/>
        <v>73</v>
      </c>
      <c r="J438" s="208">
        <f t="shared" si="188"/>
        <v>87</v>
      </c>
      <c r="K438" s="208">
        <f t="shared" si="188"/>
        <v>104</v>
      </c>
      <c r="L438" s="562">
        <f t="shared" si="188"/>
        <v>98</v>
      </c>
      <c r="M438" s="562">
        <f t="shared" si="188"/>
        <v>118</v>
      </c>
      <c r="N438" s="562">
        <f t="shared" si="188"/>
        <v>99</v>
      </c>
      <c r="O438" s="530">
        <f>SUM(C438:N438)</f>
        <v>1115</v>
      </c>
      <c r="P438" s="531"/>
      <c r="Q438" s="531"/>
      <c r="R438" s="531"/>
      <c r="S438" s="531"/>
      <c r="T438" s="531"/>
      <c r="U438" s="531"/>
      <c r="V438" s="531"/>
      <c r="W438" s="531"/>
      <c r="X438" s="531"/>
      <c r="Y438" s="531"/>
      <c r="Z438" s="531"/>
      <c r="AA438" s="531"/>
      <c r="AB438" s="531"/>
      <c r="AC438" s="531"/>
      <c r="AD438" s="531"/>
      <c r="AE438" s="531"/>
      <c r="AF438" s="531"/>
      <c r="AG438" s="531"/>
      <c r="AH438" s="532"/>
      <c r="AI438" s="532"/>
      <c r="AJ438" s="532"/>
      <c r="AK438" s="532"/>
      <c r="AL438" s="532"/>
      <c r="AM438" s="532"/>
      <c r="AN438" s="532"/>
      <c r="AO438" s="532"/>
      <c r="AP438" s="532"/>
      <c r="AQ438" s="532"/>
      <c r="AR438" s="532"/>
      <c r="AS438" s="532"/>
      <c r="AT438" s="532"/>
      <c r="AU438" s="532"/>
      <c r="AV438" s="532"/>
      <c r="AW438" s="532"/>
      <c r="AX438" s="532"/>
      <c r="AY438" s="532"/>
      <c r="AZ438" s="532"/>
      <c r="BA438" s="532"/>
      <c r="BB438" s="532"/>
      <c r="BC438" s="532"/>
      <c r="BD438" s="532"/>
      <c r="BE438" s="532"/>
      <c r="BF438" s="532"/>
      <c r="BG438" s="532"/>
      <c r="BH438" s="532"/>
      <c r="BI438" s="532"/>
      <c r="BJ438" s="532"/>
      <c r="BK438" s="532"/>
      <c r="BL438" s="532"/>
      <c r="BM438" s="532"/>
      <c r="BN438" s="532"/>
      <c r="BO438" s="532"/>
      <c r="BP438" s="532"/>
      <c r="BQ438" s="532"/>
      <c r="BR438" s="532"/>
      <c r="BS438" s="532"/>
      <c r="BT438" s="532"/>
      <c r="BU438" s="532"/>
      <c r="BV438" s="532"/>
      <c r="BW438" s="532"/>
      <c r="BX438" s="532"/>
      <c r="BY438" s="532"/>
      <c r="BZ438" s="532"/>
      <c r="CA438" s="532"/>
      <c r="CB438" s="532"/>
      <c r="CC438" s="532"/>
      <c r="CD438" s="532"/>
      <c r="CE438" s="532"/>
      <c r="CF438" s="532"/>
      <c r="CG438" s="532"/>
      <c r="CH438" s="532"/>
      <c r="CI438" s="532"/>
      <c r="CJ438" s="532"/>
      <c r="CK438" s="532"/>
      <c r="CL438" s="532"/>
      <c r="CM438" s="532"/>
      <c r="CN438" s="532"/>
      <c r="CO438" s="532"/>
      <c r="CP438" s="532"/>
      <c r="CQ438" s="532"/>
      <c r="CR438" s="532"/>
      <c r="CS438" s="532"/>
      <c r="CT438" s="532"/>
      <c r="CU438" s="532"/>
      <c r="CV438" s="532"/>
      <c r="CW438" s="532"/>
      <c r="CX438" s="532"/>
      <c r="CY438" s="532"/>
      <c r="CZ438" s="532"/>
      <c r="DA438" s="532"/>
      <c r="DB438" s="532"/>
      <c r="DC438" s="532"/>
      <c r="DD438" s="532"/>
      <c r="DE438" s="532"/>
      <c r="DF438" s="532"/>
      <c r="DG438" s="532"/>
      <c r="DH438" s="532"/>
      <c r="DI438" s="532"/>
      <c r="DJ438" s="532"/>
      <c r="DK438" s="532"/>
      <c r="DL438" s="532"/>
      <c r="DM438" s="532"/>
      <c r="DN438" s="532"/>
      <c r="DO438" s="532"/>
      <c r="DP438" s="532"/>
      <c r="DQ438" s="532"/>
      <c r="DR438" s="532"/>
      <c r="DS438" s="532"/>
      <c r="DT438" s="532"/>
      <c r="DU438" s="532"/>
      <c r="DV438" s="532"/>
      <c r="DW438" s="532"/>
      <c r="DX438" s="532"/>
      <c r="DY438" s="532"/>
      <c r="DZ438" s="532"/>
      <c r="EA438" s="532"/>
      <c r="EB438" s="532"/>
      <c r="EC438" s="532"/>
      <c r="ED438" s="532"/>
      <c r="EE438" s="532"/>
      <c r="EF438" s="532"/>
      <c r="EG438" s="532"/>
      <c r="EH438" s="532"/>
      <c r="EI438" s="532"/>
      <c r="EJ438" s="532"/>
      <c r="EK438" s="532"/>
      <c r="EL438" s="532"/>
      <c r="EM438" s="532"/>
      <c r="EN438" s="532"/>
      <c r="EO438" s="532"/>
      <c r="EP438" s="532"/>
      <c r="EQ438" s="532"/>
      <c r="ER438" s="532"/>
      <c r="ES438" s="532"/>
      <c r="ET438" s="532"/>
      <c r="EU438" s="532"/>
      <c r="EV438" s="532"/>
      <c r="EW438" s="532"/>
      <c r="EX438" s="532"/>
      <c r="EY438" s="532"/>
      <c r="EZ438" s="532"/>
      <c r="FA438" s="532"/>
      <c r="FB438" s="532"/>
      <c r="FC438" s="532"/>
      <c r="FD438" s="532"/>
      <c r="FE438" s="532"/>
      <c r="FF438" s="532"/>
      <c r="FG438" s="532"/>
      <c r="FH438" s="532"/>
      <c r="FI438" s="532"/>
      <c r="FJ438" s="532"/>
      <c r="FK438" s="532"/>
      <c r="FL438" s="532"/>
      <c r="FM438" s="532"/>
      <c r="FN438" s="532"/>
      <c r="FO438" s="532"/>
      <c r="FP438" s="532"/>
    </row>
    <row r="439" spans="1:172" ht="12" customHeight="1" x14ac:dyDescent="0.2">
      <c r="A439" s="533"/>
      <c r="B439" s="534"/>
      <c r="C439" s="534"/>
      <c r="D439" s="534"/>
      <c r="E439" s="534"/>
      <c r="F439" s="534"/>
      <c r="G439" s="534"/>
      <c r="H439" s="534"/>
      <c r="I439" s="534"/>
      <c r="J439" s="534"/>
      <c r="K439" s="658"/>
      <c r="L439" s="562"/>
      <c r="M439" s="562"/>
      <c r="N439" s="562"/>
      <c r="O439" s="530"/>
      <c r="P439" s="531"/>
      <c r="Q439" s="531"/>
      <c r="R439" s="531"/>
      <c r="S439" s="531"/>
      <c r="T439" s="531"/>
      <c r="U439" s="531"/>
      <c r="V439" s="531"/>
      <c r="W439" s="531"/>
      <c r="X439" s="531"/>
      <c r="Y439" s="531"/>
      <c r="Z439" s="531"/>
      <c r="AA439" s="531"/>
      <c r="AB439" s="531"/>
      <c r="AC439" s="531"/>
      <c r="AD439" s="531"/>
      <c r="AE439" s="531"/>
      <c r="AF439" s="531"/>
      <c r="AG439" s="531"/>
      <c r="AH439" s="532"/>
      <c r="AI439" s="532"/>
      <c r="AJ439" s="532"/>
      <c r="AK439" s="532"/>
      <c r="AL439" s="532"/>
      <c r="AM439" s="532"/>
      <c r="AN439" s="532"/>
      <c r="AO439" s="532"/>
      <c r="AP439" s="532"/>
      <c r="AQ439" s="532"/>
      <c r="AR439" s="532"/>
      <c r="AS439" s="532"/>
      <c r="AT439" s="532"/>
      <c r="AU439" s="532"/>
      <c r="AV439" s="532"/>
      <c r="AW439" s="532"/>
      <c r="AX439" s="532"/>
      <c r="AY439" s="532"/>
      <c r="AZ439" s="532"/>
      <c r="BA439" s="532"/>
      <c r="BB439" s="532"/>
      <c r="BC439" s="532"/>
      <c r="BD439" s="532"/>
      <c r="BE439" s="532"/>
      <c r="BF439" s="532"/>
      <c r="BG439" s="532"/>
      <c r="BH439" s="532"/>
      <c r="BI439" s="532"/>
      <c r="BJ439" s="532"/>
      <c r="BK439" s="532"/>
      <c r="BL439" s="532"/>
      <c r="BM439" s="532"/>
      <c r="BN439" s="532"/>
      <c r="BO439" s="532"/>
      <c r="BP439" s="532"/>
      <c r="BQ439" s="532"/>
      <c r="BR439" s="532"/>
      <c r="BS439" s="532"/>
      <c r="BT439" s="532"/>
      <c r="BU439" s="532"/>
      <c r="BV439" s="532"/>
      <c r="BW439" s="532"/>
      <c r="BX439" s="532"/>
      <c r="BY439" s="532"/>
      <c r="BZ439" s="532"/>
      <c r="CA439" s="532"/>
      <c r="CB439" s="532"/>
      <c r="CC439" s="532"/>
      <c r="CD439" s="532"/>
      <c r="CE439" s="532"/>
      <c r="CF439" s="532"/>
      <c r="CG439" s="532"/>
      <c r="CH439" s="532"/>
      <c r="CI439" s="532"/>
      <c r="CJ439" s="532"/>
      <c r="CK439" s="532"/>
      <c r="CL439" s="532"/>
      <c r="CM439" s="532"/>
      <c r="CN439" s="532"/>
      <c r="CO439" s="532"/>
      <c r="CP439" s="532"/>
      <c r="CQ439" s="532"/>
      <c r="CR439" s="532"/>
      <c r="CS439" s="532"/>
      <c r="CT439" s="532"/>
      <c r="CU439" s="532"/>
      <c r="CV439" s="532"/>
      <c r="CW439" s="532"/>
      <c r="CX439" s="532"/>
      <c r="CY439" s="532"/>
      <c r="CZ439" s="532"/>
      <c r="DA439" s="532"/>
      <c r="DB439" s="532"/>
      <c r="DC439" s="532"/>
      <c r="DD439" s="532"/>
      <c r="DE439" s="532"/>
      <c r="DF439" s="532"/>
      <c r="DG439" s="532"/>
      <c r="DH439" s="532"/>
      <c r="DI439" s="532"/>
      <c r="DJ439" s="532"/>
      <c r="DK439" s="532"/>
      <c r="DL439" s="532"/>
      <c r="DM439" s="532"/>
      <c r="DN439" s="532"/>
      <c r="DO439" s="532"/>
      <c r="DP439" s="532"/>
      <c r="DQ439" s="532"/>
      <c r="DR439" s="532"/>
      <c r="DS439" s="532"/>
      <c r="DT439" s="532"/>
      <c r="DU439" s="532"/>
      <c r="DV439" s="532"/>
      <c r="DW439" s="532"/>
      <c r="DX439" s="532"/>
      <c r="DY439" s="532"/>
      <c r="DZ439" s="532"/>
      <c r="EA439" s="532"/>
      <c r="EB439" s="532"/>
      <c r="EC439" s="532"/>
      <c r="ED439" s="532"/>
      <c r="EE439" s="532"/>
      <c r="EF439" s="532"/>
      <c r="EG439" s="532"/>
      <c r="EH439" s="532"/>
      <c r="EI439" s="532"/>
      <c r="EJ439" s="532"/>
      <c r="EK439" s="532"/>
      <c r="EL439" s="532"/>
      <c r="EM439" s="532"/>
      <c r="EN439" s="532"/>
      <c r="EO439" s="532"/>
      <c r="EP439" s="532"/>
      <c r="EQ439" s="532"/>
      <c r="ER439" s="532"/>
      <c r="ES439" s="532"/>
      <c r="ET439" s="532"/>
      <c r="EU439" s="532"/>
      <c r="EV439" s="532"/>
      <c r="EW439" s="532"/>
      <c r="EX439" s="532"/>
      <c r="EY439" s="532"/>
      <c r="EZ439" s="532"/>
      <c r="FA439" s="532"/>
      <c r="FB439" s="532"/>
      <c r="FC439" s="532"/>
      <c r="FD439" s="532"/>
      <c r="FE439" s="532"/>
      <c r="FF439" s="532"/>
      <c r="FG439" s="532"/>
      <c r="FH439" s="532"/>
      <c r="FI439" s="532"/>
      <c r="FJ439" s="532"/>
      <c r="FK439" s="532"/>
      <c r="FL439" s="532"/>
      <c r="FM439" s="532"/>
      <c r="FN439" s="532"/>
      <c r="FO439" s="532"/>
      <c r="FP439" s="532"/>
    </row>
    <row r="440" spans="1:172" ht="12" customHeight="1" x14ac:dyDescent="0.2">
      <c r="A440" s="533" t="s">
        <v>306</v>
      </c>
      <c r="B440" s="534" t="s">
        <v>307</v>
      </c>
      <c r="C440" s="208">
        <v>11</v>
      </c>
      <c r="D440" s="208">
        <v>27</v>
      </c>
      <c r="E440" s="208">
        <v>21</v>
      </c>
      <c r="F440" s="208">
        <v>17</v>
      </c>
      <c r="G440" s="208">
        <v>18</v>
      </c>
      <c r="H440" s="208">
        <v>11</v>
      </c>
      <c r="I440" s="208">
        <v>17</v>
      </c>
      <c r="J440" s="208">
        <v>14</v>
      </c>
      <c r="K440" s="208">
        <v>16</v>
      </c>
      <c r="L440" s="562">
        <v>8</v>
      </c>
      <c r="M440" s="562">
        <v>23</v>
      </c>
      <c r="N440" s="562">
        <v>9</v>
      </c>
      <c r="O440" s="530">
        <f>SUM(C440:N440)</f>
        <v>192</v>
      </c>
      <c r="P440" s="531"/>
      <c r="Q440" s="531"/>
      <c r="R440" s="531"/>
      <c r="S440" s="531"/>
      <c r="T440" s="531"/>
      <c r="U440" s="531"/>
      <c r="V440" s="531"/>
      <c r="W440" s="531"/>
      <c r="X440" s="531"/>
      <c r="Y440" s="531"/>
      <c r="Z440" s="531"/>
      <c r="AA440" s="531"/>
      <c r="AB440" s="531"/>
      <c r="AC440" s="531"/>
      <c r="AD440" s="531"/>
      <c r="AE440" s="531"/>
      <c r="AF440" s="531"/>
      <c r="AG440" s="531"/>
      <c r="AH440" s="532"/>
      <c r="AI440" s="532"/>
      <c r="AJ440" s="532"/>
      <c r="AK440" s="532"/>
      <c r="AL440" s="532"/>
      <c r="AM440" s="532"/>
      <c r="AN440" s="532"/>
      <c r="AO440" s="532"/>
      <c r="AP440" s="532"/>
      <c r="AQ440" s="532"/>
      <c r="AR440" s="532"/>
      <c r="AS440" s="532"/>
      <c r="AT440" s="532"/>
      <c r="AU440" s="532"/>
      <c r="AV440" s="532"/>
      <c r="AW440" s="532"/>
      <c r="AX440" s="532"/>
      <c r="AY440" s="532"/>
      <c r="AZ440" s="532"/>
      <c r="BA440" s="532"/>
      <c r="BB440" s="532"/>
      <c r="BC440" s="532"/>
      <c r="BD440" s="532"/>
      <c r="BE440" s="532"/>
      <c r="BF440" s="532"/>
      <c r="BG440" s="532"/>
      <c r="BH440" s="532"/>
      <c r="BI440" s="532"/>
      <c r="BJ440" s="532"/>
      <c r="BK440" s="532"/>
      <c r="BL440" s="532"/>
      <c r="BM440" s="532"/>
      <c r="BN440" s="532"/>
      <c r="BO440" s="532"/>
      <c r="BP440" s="532"/>
      <c r="BQ440" s="532"/>
      <c r="BR440" s="532"/>
      <c r="BS440" s="532"/>
      <c r="BT440" s="532"/>
      <c r="BU440" s="532"/>
      <c r="BV440" s="532"/>
      <c r="BW440" s="532"/>
      <c r="BX440" s="532"/>
      <c r="BY440" s="532"/>
      <c r="BZ440" s="532"/>
      <c r="CA440" s="532"/>
      <c r="CB440" s="532"/>
      <c r="CC440" s="532"/>
      <c r="CD440" s="532"/>
      <c r="CE440" s="532"/>
      <c r="CF440" s="532"/>
      <c r="CG440" s="532"/>
      <c r="CH440" s="532"/>
      <c r="CI440" s="532"/>
      <c r="CJ440" s="532"/>
      <c r="CK440" s="532"/>
      <c r="CL440" s="532"/>
      <c r="CM440" s="532"/>
      <c r="CN440" s="532"/>
      <c r="CO440" s="532"/>
      <c r="CP440" s="532"/>
      <c r="CQ440" s="532"/>
      <c r="CR440" s="532"/>
      <c r="CS440" s="532"/>
      <c r="CT440" s="532"/>
      <c r="CU440" s="532"/>
      <c r="CV440" s="532"/>
      <c r="CW440" s="532"/>
      <c r="CX440" s="532"/>
      <c r="CY440" s="532"/>
      <c r="CZ440" s="532"/>
      <c r="DA440" s="532"/>
      <c r="DB440" s="532"/>
      <c r="DC440" s="532"/>
      <c r="DD440" s="532"/>
      <c r="DE440" s="532"/>
      <c r="DF440" s="532"/>
      <c r="DG440" s="532"/>
      <c r="DH440" s="532"/>
      <c r="DI440" s="532"/>
      <c r="DJ440" s="532"/>
      <c r="DK440" s="532"/>
      <c r="DL440" s="532"/>
      <c r="DM440" s="532"/>
      <c r="DN440" s="532"/>
      <c r="DO440" s="532"/>
      <c r="DP440" s="532"/>
      <c r="DQ440" s="532"/>
      <c r="DR440" s="532"/>
      <c r="DS440" s="532"/>
      <c r="DT440" s="532"/>
      <c r="DU440" s="532"/>
      <c r="DV440" s="532"/>
      <c r="DW440" s="532"/>
      <c r="DX440" s="532"/>
      <c r="DY440" s="532"/>
      <c r="DZ440" s="532"/>
      <c r="EA440" s="532"/>
      <c r="EB440" s="532"/>
      <c r="EC440" s="532"/>
      <c r="ED440" s="532"/>
      <c r="EE440" s="532"/>
      <c r="EF440" s="532"/>
      <c r="EG440" s="532"/>
      <c r="EH440" s="532"/>
      <c r="EI440" s="532"/>
      <c r="EJ440" s="532"/>
      <c r="EK440" s="532"/>
      <c r="EL440" s="532"/>
      <c r="EM440" s="532"/>
      <c r="EN440" s="532"/>
      <c r="EO440" s="532"/>
      <c r="EP440" s="532"/>
      <c r="EQ440" s="532"/>
      <c r="ER440" s="532"/>
      <c r="ES440" s="532"/>
      <c r="ET440" s="532"/>
      <c r="EU440" s="532"/>
      <c r="EV440" s="532"/>
      <c r="EW440" s="532"/>
      <c r="EX440" s="532"/>
      <c r="EY440" s="532"/>
      <c r="EZ440" s="532"/>
      <c r="FA440" s="532"/>
      <c r="FB440" s="532"/>
      <c r="FC440" s="532"/>
      <c r="FD440" s="532"/>
      <c r="FE440" s="532"/>
      <c r="FF440" s="532"/>
      <c r="FG440" s="532"/>
      <c r="FH440" s="532"/>
      <c r="FI440" s="532"/>
      <c r="FJ440" s="532"/>
      <c r="FK440" s="532"/>
      <c r="FL440" s="532"/>
      <c r="FM440" s="532"/>
      <c r="FN440" s="532"/>
      <c r="FO440" s="532"/>
      <c r="FP440" s="532"/>
    </row>
    <row r="441" spans="1:172" ht="12" customHeight="1" x14ac:dyDescent="0.2">
      <c r="A441" s="533" t="s">
        <v>308</v>
      </c>
      <c r="B441" s="534" t="s">
        <v>309</v>
      </c>
      <c r="C441" s="208">
        <f>43+123</f>
        <v>166</v>
      </c>
      <c r="D441" s="208">
        <f>38+143</f>
        <v>181</v>
      </c>
      <c r="E441" s="208">
        <f>41+114</f>
        <v>155</v>
      </c>
      <c r="F441" s="208">
        <f>46+133</f>
        <v>179</v>
      </c>
      <c r="G441" s="208">
        <f>57+129</f>
        <v>186</v>
      </c>
      <c r="H441" s="208">
        <f>52+147</f>
        <v>199</v>
      </c>
      <c r="I441" s="208">
        <f>65+142</f>
        <v>207</v>
      </c>
      <c r="J441" s="208">
        <f>60+138</f>
        <v>198</v>
      </c>
      <c r="K441" s="208">
        <f>41+125</f>
        <v>166</v>
      </c>
      <c r="L441" s="562">
        <f>31+153</f>
        <v>184</v>
      </c>
      <c r="M441" s="562">
        <f>52+164</f>
        <v>216</v>
      </c>
      <c r="N441" s="562">
        <f>40+119</f>
        <v>159</v>
      </c>
      <c r="O441" s="530">
        <f>SUM(C441:N441)</f>
        <v>2196</v>
      </c>
      <c r="P441" s="531"/>
      <c r="Q441" s="531"/>
      <c r="R441" s="531"/>
      <c r="S441" s="531"/>
      <c r="T441" s="531"/>
      <c r="U441" s="531"/>
      <c r="V441" s="531"/>
      <c r="W441" s="531"/>
      <c r="X441" s="531"/>
      <c r="Y441" s="531"/>
      <c r="Z441" s="531"/>
      <c r="AA441" s="531"/>
      <c r="AB441" s="531"/>
      <c r="AC441" s="531"/>
      <c r="AD441" s="531"/>
      <c r="AE441" s="531"/>
      <c r="AF441" s="531"/>
      <c r="AG441" s="531"/>
      <c r="AH441" s="532"/>
      <c r="AI441" s="532"/>
      <c r="AJ441" s="532"/>
      <c r="AK441" s="532"/>
      <c r="AL441" s="532"/>
      <c r="AM441" s="532"/>
      <c r="AN441" s="532"/>
      <c r="AO441" s="532"/>
      <c r="AP441" s="532"/>
      <c r="AQ441" s="532"/>
      <c r="AR441" s="532"/>
      <c r="AS441" s="532"/>
      <c r="AT441" s="532"/>
      <c r="AU441" s="532"/>
      <c r="AV441" s="532"/>
      <c r="AW441" s="532"/>
      <c r="AX441" s="532"/>
      <c r="AY441" s="532"/>
      <c r="AZ441" s="532"/>
      <c r="BA441" s="532"/>
      <c r="BB441" s="532"/>
      <c r="BC441" s="532"/>
      <c r="BD441" s="532"/>
      <c r="BE441" s="532"/>
      <c r="BF441" s="532"/>
      <c r="BG441" s="532"/>
      <c r="BH441" s="532"/>
      <c r="BI441" s="532"/>
      <c r="BJ441" s="532"/>
      <c r="BK441" s="532"/>
      <c r="BL441" s="532"/>
      <c r="BM441" s="532"/>
      <c r="BN441" s="532"/>
      <c r="BO441" s="532"/>
      <c r="BP441" s="532"/>
      <c r="BQ441" s="532"/>
      <c r="BR441" s="532"/>
      <c r="BS441" s="532"/>
      <c r="BT441" s="532"/>
      <c r="BU441" s="532"/>
      <c r="BV441" s="532"/>
      <c r="BW441" s="532"/>
      <c r="BX441" s="532"/>
      <c r="BY441" s="532"/>
      <c r="BZ441" s="532"/>
      <c r="CA441" s="532"/>
      <c r="CB441" s="532"/>
      <c r="CC441" s="532"/>
      <c r="CD441" s="532"/>
      <c r="CE441" s="532"/>
      <c r="CF441" s="532"/>
      <c r="CG441" s="532"/>
      <c r="CH441" s="532"/>
      <c r="CI441" s="532"/>
      <c r="CJ441" s="532"/>
      <c r="CK441" s="532"/>
      <c r="CL441" s="532"/>
      <c r="CM441" s="532"/>
      <c r="CN441" s="532"/>
      <c r="CO441" s="532"/>
      <c r="CP441" s="532"/>
      <c r="CQ441" s="532"/>
      <c r="CR441" s="532"/>
      <c r="CS441" s="532"/>
      <c r="CT441" s="532"/>
      <c r="CU441" s="532"/>
      <c r="CV441" s="532"/>
      <c r="CW441" s="532"/>
      <c r="CX441" s="532"/>
      <c r="CY441" s="532"/>
      <c r="CZ441" s="532"/>
      <c r="DA441" s="532"/>
      <c r="DB441" s="532"/>
      <c r="DC441" s="532"/>
      <c r="DD441" s="532"/>
      <c r="DE441" s="532"/>
      <c r="DF441" s="532"/>
      <c r="DG441" s="532"/>
      <c r="DH441" s="532"/>
      <c r="DI441" s="532"/>
      <c r="DJ441" s="532"/>
      <c r="DK441" s="532"/>
      <c r="DL441" s="532"/>
      <c r="DM441" s="532"/>
      <c r="DN441" s="532"/>
      <c r="DO441" s="532"/>
      <c r="DP441" s="532"/>
      <c r="DQ441" s="532"/>
      <c r="DR441" s="532"/>
      <c r="DS441" s="532"/>
      <c r="DT441" s="532"/>
      <c r="DU441" s="532"/>
      <c r="DV441" s="532"/>
      <c r="DW441" s="532"/>
      <c r="DX441" s="532"/>
      <c r="DY441" s="532"/>
      <c r="DZ441" s="532"/>
      <c r="EA441" s="532"/>
      <c r="EB441" s="532"/>
      <c r="EC441" s="532"/>
      <c r="ED441" s="532"/>
      <c r="EE441" s="532"/>
      <c r="EF441" s="532"/>
      <c r="EG441" s="532"/>
      <c r="EH441" s="532"/>
      <c r="EI441" s="532"/>
      <c r="EJ441" s="532"/>
      <c r="EK441" s="532"/>
      <c r="EL441" s="532"/>
      <c r="EM441" s="532"/>
      <c r="EN441" s="532"/>
      <c r="EO441" s="532"/>
      <c r="EP441" s="532"/>
      <c r="EQ441" s="532"/>
      <c r="ER441" s="532"/>
      <c r="ES441" s="532"/>
      <c r="ET441" s="532"/>
      <c r="EU441" s="532"/>
      <c r="EV441" s="532"/>
      <c r="EW441" s="532"/>
      <c r="EX441" s="532"/>
      <c r="EY441" s="532"/>
      <c r="EZ441" s="532"/>
      <c r="FA441" s="532"/>
      <c r="FB441" s="532"/>
      <c r="FC441" s="532"/>
      <c r="FD441" s="532"/>
      <c r="FE441" s="532"/>
      <c r="FF441" s="532"/>
      <c r="FG441" s="532"/>
      <c r="FH441" s="532"/>
      <c r="FI441" s="532"/>
      <c r="FJ441" s="532"/>
      <c r="FK441" s="532"/>
      <c r="FL441" s="532"/>
      <c r="FM441" s="532"/>
      <c r="FN441" s="532"/>
      <c r="FO441" s="532"/>
      <c r="FP441" s="532"/>
    </row>
    <row r="442" spans="1:172" ht="12" customHeight="1" x14ac:dyDescent="0.2">
      <c r="A442" s="533" t="s">
        <v>310</v>
      </c>
      <c r="B442" s="534"/>
      <c r="C442" s="208">
        <f t="shared" ref="C442:N442" si="189">SUM(C440:C441)</f>
        <v>177</v>
      </c>
      <c r="D442" s="208">
        <f t="shared" si="189"/>
        <v>208</v>
      </c>
      <c r="E442" s="208">
        <f t="shared" si="189"/>
        <v>176</v>
      </c>
      <c r="F442" s="208">
        <f t="shared" si="189"/>
        <v>196</v>
      </c>
      <c r="G442" s="208">
        <f t="shared" si="189"/>
        <v>204</v>
      </c>
      <c r="H442" s="208">
        <f t="shared" si="189"/>
        <v>210</v>
      </c>
      <c r="I442" s="208">
        <f t="shared" si="189"/>
        <v>224</v>
      </c>
      <c r="J442" s="208">
        <f t="shared" si="189"/>
        <v>212</v>
      </c>
      <c r="K442" s="208">
        <f t="shared" si="189"/>
        <v>182</v>
      </c>
      <c r="L442" s="562">
        <f t="shared" si="189"/>
        <v>192</v>
      </c>
      <c r="M442" s="562">
        <f t="shared" si="189"/>
        <v>239</v>
      </c>
      <c r="N442" s="562">
        <f t="shared" si="189"/>
        <v>168</v>
      </c>
      <c r="O442" s="530">
        <f>SUM(C442:N442)</f>
        <v>2388</v>
      </c>
      <c r="P442" s="531"/>
      <c r="Q442" s="531"/>
      <c r="R442" s="531"/>
      <c r="S442" s="531"/>
      <c r="T442" s="531"/>
      <c r="U442" s="531"/>
      <c r="V442" s="531"/>
      <c r="W442" s="531"/>
      <c r="X442" s="531"/>
      <c r="Y442" s="531"/>
      <c r="Z442" s="531"/>
      <c r="AA442" s="531"/>
      <c r="AB442" s="531"/>
      <c r="AC442" s="531"/>
      <c r="AD442" s="531"/>
      <c r="AE442" s="531"/>
      <c r="AF442" s="531"/>
      <c r="AG442" s="531"/>
      <c r="AH442" s="532"/>
      <c r="AI442" s="532"/>
      <c r="AJ442" s="532"/>
      <c r="AK442" s="532"/>
      <c r="AL442" s="532"/>
      <c r="AM442" s="532"/>
      <c r="AN442" s="532"/>
      <c r="AO442" s="532"/>
      <c r="AP442" s="532"/>
      <c r="AQ442" s="532"/>
      <c r="AR442" s="532"/>
      <c r="AS442" s="532"/>
      <c r="AT442" s="532"/>
      <c r="AU442" s="532"/>
      <c r="AV442" s="532"/>
      <c r="AW442" s="532"/>
      <c r="AX442" s="532"/>
      <c r="AY442" s="532"/>
      <c r="AZ442" s="532"/>
      <c r="BA442" s="532"/>
      <c r="BB442" s="532"/>
      <c r="BC442" s="532"/>
      <c r="BD442" s="532"/>
      <c r="BE442" s="532"/>
      <c r="BF442" s="532"/>
      <c r="BG442" s="532"/>
      <c r="BH442" s="532"/>
      <c r="BI442" s="532"/>
      <c r="BJ442" s="532"/>
      <c r="BK442" s="532"/>
      <c r="BL442" s="532"/>
      <c r="BM442" s="532"/>
      <c r="BN442" s="532"/>
      <c r="BO442" s="532"/>
      <c r="BP442" s="532"/>
      <c r="BQ442" s="532"/>
      <c r="BR442" s="532"/>
      <c r="BS442" s="532"/>
      <c r="BT442" s="532"/>
      <c r="BU442" s="532"/>
      <c r="BV442" s="532"/>
      <c r="BW442" s="532"/>
      <c r="BX442" s="532"/>
      <c r="BY442" s="532"/>
      <c r="BZ442" s="532"/>
      <c r="CA442" s="532"/>
      <c r="CB442" s="532"/>
      <c r="CC442" s="532"/>
      <c r="CD442" s="532"/>
      <c r="CE442" s="532"/>
      <c r="CF442" s="532"/>
      <c r="CG442" s="532"/>
      <c r="CH442" s="532"/>
      <c r="CI442" s="532"/>
      <c r="CJ442" s="532"/>
      <c r="CK442" s="532"/>
      <c r="CL442" s="532"/>
      <c r="CM442" s="532"/>
      <c r="CN442" s="532"/>
      <c r="CO442" s="532"/>
      <c r="CP442" s="532"/>
      <c r="CQ442" s="532"/>
      <c r="CR442" s="532"/>
      <c r="CS442" s="532"/>
      <c r="CT442" s="532"/>
      <c r="CU442" s="532"/>
      <c r="CV442" s="532"/>
      <c r="CW442" s="532"/>
      <c r="CX442" s="532"/>
      <c r="CY442" s="532"/>
      <c r="CZ442" s="532"/>
      <c r="DA442" s="532"/>
      <c r="DB442" s="532"/>
      <c r="DC442" s="532"/>
      <c r="DD442" s="532"/>
      <c r="DE442" s="532"/>
      <c r="DF442" s="532"/>
      <c r="DG442" s="532"/>
      <c r="DH442" s="532"/>
      <c r="DI442" s="532"/>
      <c r="DJ442" s="532"/>
      <c r="DK442" s="532"/>
      <c r="DL442" s="532"/>
      <c r="DM442" s="532"/>
      <c r="DN442" s="532"/>
      <c r="DO442" s="532"/>
      <c r="DP442" s="532"/>
      <c r="DQ442" s="532"/>
      <c r="DR442" s="532"/>
      <c r="DS442" s="532"/>
      <c r="DT442" s="532"/>
      <c r="DU442" s="532"/>
      <c r="DV442" s="532"/>
      <c r="DW442" s="532"/>
      <c r="DX442" s="532"/>
      <c r="DY442" s="532"/>
      <c r="DZ442" s="532"/>
      <c r="EA442" s="532"/>
      <c r="EB442" s="532"/>
      <c r="EC442" s="532"/>
      <c r="ED442" s="532"/>
      <c r="EE442" s="532"/>
      <c r="EF442" s="532"/>
      <c r="EG442" s="532"/>
      <c r="EH442" s="532"/>
      <c r="EI442" s="532"/>
      <c r="EJ442" s="532"/>
      <c r="EK442" s="532"/>
      <c r="EL442" s="532"/>
      <c r="EM442" s="532"/>
      <c r="EN442" s="532"/>
      <c r="EO442" s="532"/>
      <c r="EP442" s="532"/>
      <c r="EQ442" s="532"/>
      <c r="ER442" s="532"/>
      <c r="ES442" s="532"/>
      <c r="ET442" s="532"/>
      <c r="EU442" s="532"/>
      <c r="EV442" s="532"/>
      <c r="EW442" s="532"/>
      <c r="EX442" s="532"/>
      <c r="EY442" s="532"/>
      <c r="EZ442" s="532"/>
      <c r="FA442" s="532"/>
      <c r="FB442" s="532"/>
      <c r="FC442" s="532"/>
      <c r="FD442" s="532"/>
      <c r="FE442" s="532"/>
      <c r="FF442" s="532"/>
      <c r="FG442" s="532"/>
      <c r="FH442" s="532"/>
      <c r="FI442" s="532"/>
      <c r="FJ442" s="532"/>
      <c r="FK442" s="532"/>
      <c r="FL442" s="532"/>
      <c r="FM442" s="532"/>
      <c r="FN442" s="532"/>
      <c r="FO442" s="532"/>
      <c r="FP442" s="532"/>
    </row>
    <row r="443" spans="1:172" ht="12" customHeight="1" x14ac:dyDescent="0.2">
      <c r="A443" s="533"/>
      <c r="B443" s="534"/>
      <c r="C443" s="534"/>
      <c r="D443" s="534"/>
      <c r="E443" s="534"/>
      <c r="F443" s="534"/>
      <c r="G443" s="534"/>
      <c r="H443" s="534"/>
      <c r="I443" s="534"/>
      <c r="J443" s="534"/>
      <c r="K443" s="658"/>
      <c r="L443" s="562"/>
      <c r="M443" s="562"/>
      <c r="N443" s="562"/>
      <c r="O443" s="530"/>
      <c r="P443" s="531"/>
      <c r="Q443" s="531"/>
      <c r="R443" s="531"/>
      <c r="S443" s="531"/>
      <c r="T443" s="531"/>
      <c r="U443" s="531"/>
      <c r="V443" s="531"/>
      <c r="W443" s="531"/>
      <c r="X443" s="531"/>
      <c r="Y443" s="531"/>
      <c r="Z443" s="531"/>
      <c r="AA443" s="531"/>
      <c r="AB443" s="531"/>
      <c r="AC443" s="531"/>
      <c r="AD443" s="531"/>
      <c r="AE443" s="531"/>
      <c r="AF443" s="531"/>
      <c r="AG443" s="531"/>
      <c r="AH443" s="532"/>
      <c r="AI443" s="532"/>
      <c r="AJ443" s="532"/>
      <c r="AK443" s="532"/>
      <c r="AL443" s="532"/>
      <c r="AM443" s="532"/>
      <c r="AN443" s="532"/>
      <c r="AO443" s="532"/>
      <c r="AP443" s="532"/>
      <c r="AQ443" s="532"/>
      <c r="AR443" s="532"/>
      <c r="AS443" s="532"/>
      <c r="AT443" s="532"/>
      <c r="AU443" s="532"/>
      <c r="AV443" s="532"/>
      <c r="AW443" s="532"/>
      <c r="AX443" s="532"/>
      <c r="AY443" s="532"/>
      <c r="AZ443" s="532"/>
      <c r="BA443" s="532"/>
      <c r="BB443" s="532"/>
      <c r="BC443" s="532"/>
      <c r="BD443" s="532"/>
      <c r="BE443" s="532"/>
      <c r="BF443" s="532"/>
      <c r="BG443" s="532"/>
      <c r="BH443" s="532"/>
      <c r="BI443" s="532"/>
      <c r="BJ443" s="532"/>
      <c r="BK443" s="532"/>
      <c r="BL443" s="532"/>
      <c r="BM443" s="532"/>
      <c r="BN443" s="532"/>
      <c r="BO443" s="532"/>
      <c r="BP443" s="532"/>
      <c r="BQ443" s="532"/>
      <c r="BR443" s="532"/>
      <c r="BS443" s="532"/>
      <c r="BT443" s="532"/>
      <c r="BU443" s="532"/>
      <c r="BV443" s="532"/>
      <c r="BW443" s="532"/>
      <c r="BX443" s="532"/>
      <c r="BY443" s="532"/>
      <c r="BZ443" s="532"/>
      <c r="CA443" s="532"/>
      <c r="CB443" s="532"/>
      <c r="CC443" s="532"/>
      <c r="CD443" s="532"/>
      <c r="CE443" s="532"/>
      <c r="CF443" s="532"/>
      <c r="CG443" s="532"/>
      <c r="CH443" s="532"/>
      <c r="CI443" s="532"/>
      <c r="CJ443" s="532"/>
      <c r="CK443" s="532"/>
      <c r="CL443" s="532"/>
      <c r="CM443" s="532"/>
      <c r="CN443" s="532"/>
      <c r="CO443" s="532"/>
      <c r="CP443" s="532"/>
      <c r="CQ443" s="532"/>
      <c r="CR443" s="532"/>
      <c r="CS443" s="532"/>
      <c r="CT443" s="532"/>
      <c r="CU443" s="532"/>
      <c r="CV443" s="532"/>
      <c r="CW443" s="532"/>
      <c r="CX443" s="532"/>
      <c r="CY443" s="532"/>
      <c r="CZ443" s="532"/>
      <c r="DA443" s="532"/>
      <c r="DB443" s="532"/>
      <c r="DC443" s="532"/>
      <c r="DD443" s="532"/>
      <c r="DE443" s="532"/>
      <c r="DF443" s="532"/>
      <c r="DG443" s="532"/>
      <c r="DH443" s="532"/>
      <c r="DI443" s="532"/>
      <c r="DJ443" s="532"/>
      <c r="DK443" s="532"/>
      <c r="DL443" s="532"/>
      <c r="DM443" s="532"/>
      <c r="DN443" s="532"/>
      <c r="DO443" s="532"/>
      <c r="DP443" s="532"/>
      <c r="DQ443" s="532"/>
      <c r="DR443" s="532"/>
      <c r="DS443" s="532"/>
      <c r="DT443" s="532"/>
      <c r="DU443" s="532"/>
      <c r="DV443" s="532"/>
      <c r="DW443" s="532"/>
      <c r="DX443" s="532"/>
      <c r="DY443" s="532"/>
      <c r="DZ443" s="532"/>
      <c r="EA443" s="532"/>
      <c r="EB443" s="532"/>
      <c r="EC443" s="532"/>
      <c r="ED443" s="532"/>
      <c r="EE443" s="532"/>
      <c r="EF443" s="532"/>
      <c r="EG443" s="532"/>
      <c r="EH443" s="532"/>
      <c r="EI443" s="532"/>
      <c r="EJ443" s="532"/>
      <c r="EK443" s="532"/>
      <c r="EL443" s="532"/>
      <c r="EM443" s="532"/>
      <c r="EN443" s="532"/>
      <c r="EO443" s="532"/>
      <c r="EP443" s="532"/>
      <c r="EQ443" s="532"/>
      <c r="ER443" s="532"/>
      <c r="ES443" s="532"/>
      <c r="ET443" s="532"/>
      <c r="EU443" s="532"/>
      <c r="EV443" s="532"/>
      <c r="EW443" s="532"/>
      <c r="EX443" s="532"/>
      <c r="EY443" s="532"/>
      <c r="EZ443" s="532"/>
      <c r="FA443" s="532"/>
      <c r="FB443" s="532"/>
      <c r="FC443" s="532"/>
      <c r="FD443" s="532"/>
      <c r="FE443" s="532"/>
      <c r="FF443" s="532"/>
      <c r="FG443" s="532"/>
      <c r="FH443" s="532"/>
      <c r="FI443" s="532"/>
      <c r="FJ443" s="532"/>
      <c r="FK443" s="532"/>
      <c r="FL443" s="532"/>
      <c r="FM443" s="532"/>
      <c r="FN443" s="532"/>
      <c r="FO443" s="532"/>
      <c r="FP443" s="532"/>
    </row>
    <row r="444" spans="1:172" ht="12" customHeight="1" x14ac:dyDescent="0.2">
      <c r="A444" s="533" t="s">
        <v>311</v>
      </c>
      <c r="B444" s="534" t="s">
        <v>312</v>
      </c>
      <c r="C444" s="208">
        <v>0</v>
      </c>
      <c r="D444" s="208">
        <v>0</v>
      </c>
      <c r="E444" s="208">
        <v>0</v>
      </c>
      <c r="F444" s="208">
        <v>0</v>
      </c>
      <c r="G444" s="208">
        <v>0</v>
      </c>
      <c r="H444" s="208">
        <v>0</v>
      </c>
      <c r="I444" s="208">
        <v>0</v>
      </c>
      <c r="J444" s="208">
        <v>1</v>
      </c>
      <c r="K444" s="208">
        <v>0</v>
      </c>
      <c r="L444" s="562">
        <v>0</v>
      </c>
      <c r="M444" s="562">
        <v>0</v>
      </c>
      <c r="N444" s="562">
        <v>0</v>
      </c>
      <c r="O444" s="530">
        <f>SUM(C444:N444)</f>
        <v>1</v>
      </c>
      <c r="P444" s="531"/>
      <c r="Q444" s="531"/>
      <c r="R444" s="531"/>
      <c r="S444" s="531"/>
      <c r="T444" s="531"/>
      <c r="U444" s="531"/>
      <c r="V444" s="531"/>
      <c r="W444" s="531"/>
      <c r="X444" s="531"/>
      <c r="Y444" s="531"/>
      <c r="Z444" s="531"/>
      <c r="AA444" s="531"/>
      <c r="AB444" s="531"/>
      <c r="AC444" s="531"/>
      <c r="AD444" s="531"/>
      <c r="AE444" s="531"/>
      <c r="AF444" s="531"/>
      <c r="AG444" s="531"/>
      <c r="AH444" s="532"/>
      <c r="AI444" s="532"/>
      <c r="AJ444" s="532"/>
      <c r="AK444" s="532"/>
      <c r="AL444" s="532"/>
      <c r="AM444" s="532"/>
      <c r="AN444" s="532"/>
      <c r="AO444" s="532"/>
      <c r="AP444" s="532"/>
      <c r="AQ444" s="532"/>
      <c r="AR444" s="532"/>
      <c r="AS444" s="532"/>
      <c r="AT444" s="532"/>
      <c r="AU444" s="532"/>
      <c r="AV444" s="532"/>
      <c r="AW444" s="532"/>
      <c r="AX444" s="532"/>
      <c r="AY444" s="532"/>
      <c r="AZ444" s="532"/>
      <c r="BA444" s="532"/>
      <c r="BB444" s="532"/>
      <c r="BC444" s="532"/>
      <c r="BD444" s="532"/>
      <c r="BE444" s="532"/>
      <c r="BF444" s="532"/>
      <c r="BG444" s="532"/>
      <c r="BH444" s="532"/>
      <c r="BI444" s="532"/>
      <c r="BJ444" s="532"/>
      <c r="BK444" s="532"/>
      <c r="BL444" s="532"/>
      <c r="BM444" s="532"/>
      <c r="BN444" s="532"/>
      <c r="BO444" s="532"/>
      <c r="BP444" s="532"/>
      <c r="BQ444" s="532"/>
      <c r="BR444" s="532"/>
      <c r="BS444" s="532"/>
      <c r="BT444" s="532"/>
      <c r="BU444" s="532"/>
      <c r="BV444" s="532"/>
      <c r="BW444" s="532"/>
      <c r="BX444" s="532"/>
      <c r="BY444" s="532"/>
      <c r="BZ444" s="532"/>
      <c r="CA444" s="532"/>
      <c r="CB444" s="532"/>
      <c r="CC444" s="532"/>
      <c r="CD444" s="532"/>
      <c r="CE444" s="532"/>
      <c r="CF444" s="532"/>
      <c r="CG444" s="532"/>
      <c r="CH444" s="532"/>
      <c r="CI444" s="532"/>
      <c r="CJ444" s="532"/>
      <c r="CK444" s="532"/>
      <c r="CL444" s="532"/>
      <c r="CM444" s="532"/>
      <c r="CN444" s="532"/>
      <c r="CO444" s="532"/>
      <c r="CP444" s="532"/>
      <c r="CQ444" s="532"/>
      <c r="CR444" s="532"/>
      <c r="CS444" s="532"/>
      <c r="CT444" s="532"/>
      <c r="CU444" s="532"/>
      <c r="CV444" s="532"/>
      <c r="CW444" s="532"/>
      <c r="CX444" s="532"/>
      <c r="CY444" s="532"/>
      <c r="CZ444" s="532"/>
      <c r="DA444" s="532"/>
      <c r="DB444" s="532"/>
      <c r="DC444" s="532"/>
      <c r="DD444" s="532"/>
      <c r="DE444" s="532"/>
      <c r="DF444" s="532"/>
      <c r="DG444" s="532"/>
      <c r="DH444" s="532"/>
      <c r="DI444" s="532"/>
      <c r="DJ444" s="532"/>
      <c r="DK444" s="532"/>
      <c r="DL444" s="532"/>
      <c r="DM444" s="532"/>
      <c r="DN444" s="532"/>
      <c r="DO444" s="532"/>
      <c r="DP444" s="532"/>
      <c r="DQ444" s="532"/>
      <c r="DR444" s="532"/>
      <c r="DS444" s="532"/>
      <c r="DT444" s="532"/>
      <c r="DU444" s="532"/>
      <c r="DV444" s="532"/>
      <c r="DW444" s="532"/>
      <c r="DX444" s="532"/>
      <c r="DY444" s="532"/>
      <c r="DZ444" s="532"/>
      <c r="EA444" s="532"/>
      <c r="EB444" s="532"/>
      <c r="EC444" s="532"/>
      <c r="ED444" s="532"/>
      <c r="EE444" s="532"/>
      <c r="EF444" s="532"/>
      <c r="EG444" s="532"/>
      <c r="EH444" s="532"/>
      <c r="EI444" s="532"/>
      <c r="EJ444" s="532"/>
      <c r="EK444" s="532"/>
      <c r="EL444" s="532"/>
      <c r="EM444" s="532"/>
      <c r="EN444" s="532"/>
      <c r="EO444" s="532"/>
      <c r="EP444" s="532"/>
      <c r="EQ444" s="532"/>
      <c r="ER444" s="532"/>
      <c r="ES444" s="532"/>
      <c r="ET444" s="532"/>
      <c r="EU444" s="532"/>
      <c r="EV444" s="532"/>
      <c r="EW444" s="532"/>
      <c r="EX444" s="532"/>
      <c r="EY444" s="532"/>
      <c r="EZ444" s="532"/>
      <c r="FA444" s="532"/>
      <c r="FB444" s="532"/>
      <c r="FC444" s="532"/>
      <c r="FD444" s="532"/>
      <c r="FE444" s="532"/>
      <c r="FF444" s="532"/>
      <c r="FG444" s="532"/>
      <c r="FH444" s="532"/>
      <c r="FI444" s="532"/>
      <c r="FJ444" s="532"/>
      <c r="FK444" s="532"/>
      <c r="FL444" s="532"/>
      <c r="FM444" s="532"/>
      <c r="FN444" s="532"/>
      <c r="FO444" s="532"/>
      <c r="FP444" s="532"/>
    </row>
    <row r="445" spans="1:172" ht="12" customHeight="1" x14ac:dyDescent="0.2">
      <c r="A445" s="533" t="s">
        <v>313</v>
      </c>
      <c r="B445" s="534" t="s">
        <v>314</v>
      </c>
      <c r="C445" s="208">
        <v>0</v>
      </c>
      <c r="D445" s="208">
        <v>0</v>
      </c>
      <c r="E445" s="208">
        <v>0</v>
      </c>
      <c r="F445" s="208">
        <v>3</v>
      </c>
      <c r="G445" s="208">
        <v>23</v>
      </c>
      <c r="H445" s="208">
        <f>18+1</f>
        <v>19</v>
      </c>
      <c r="I445" s="208">
        <v>9</v>
      </c>
      <c r="J445" s="208">
        <v>19</v>
      </c>
      <c r="K445" s="208">
        <v>20</v>
      </c>
      <c r="L445" s="562">
        <v>0</v>
      </c>
      <c r="M445" s="562">
        <v>0</v>
      </c>
      <c r="N445" s="562">
        <v>0</v>
      </c>
      <c r="O445" s="530">
        <f>SUM(C445:N445)</f>
        <v>93</v>
      </c>
      <c r="P445" s="531"/>
      <c r="Q445" s="531"/>
      <c r="R445" s="531"/>
      <c r="S445" s="531"/>
      <c r="T445" s="531"/>
      <c r="U445" s="531"/>
      <c r="V445" s="531"/>
      <c r="W445" s="531"/>
      <c r="X445" s="531"/>
      <c r="Y445" s="531"/>
      <c r="Z445" s="531"/>
      <c r="AA445" s="531"/>
      <c r="AB445" s="531"/>
      <c r="AC445" s="531"/>
      <c r="AD445" s="531"/>
      <c r="AE445" s="531"/>
      <c r="AF445" s="531"/>
      <c r="AG445" s="531"/>
      <c r="AH445" s="532"/>
      <c r="AI445" s="532"/>
      <c r="AJ445" s="532"/>
      <c r="AK445" s="532"/>
      <c r="AL445" s="532"/>
      <c r="AM445" s="532"/>
      <c r="AN445" s="532"/>
      <c r="AO445" s="532"/>
      <c r="AP445" s="532"/>
      <c r="AQ445" s="532"/>
      <c r="AR445" s="532"/>
      <c r="AS445" s="532"/>
      <c r="AT445" s="532"/>
      <c r="AU445" s="532"/>
      <c r="AV445" s="532"/>
      <c r="AW445" s="532"/>
      <c r="AX445" s="532"/>
      <c r="AY445" s="532"/>
      <c r="AZ445" s="532"/>
      <c r="BA445" s="532"/>
      <c r="BB445" s="532"/>
      <c r="BC445" s="532"/>
      <c r="BD445" s="532"/>
      <c r="BE445" s="532"/>
      <c r="BF445" s="532"/>
      <c r="BG445" s="532"/>
      <c r="BH445" s="532"/>
      <c r="BI445" s="532"/>
      <c r="BJ445" s="532"/>
      <c r="BK445" s="532"/>
      <c r="BL445" s="532"/>
      <c r="BM445" s="532"/>
      <c r="BN445" s="532"/>
      <c r="BO445" s="532"/>
      <c r="BP445" s="532"/>
      <c r="BQ445" s="532"/>
      <c r="BR445" s="532"/>
      <c r="BS445" s="532"/>
      <c r="BT445" s="532"/>
      <c r="BU445" s="532"/>
      <c r="BV445" s="532"/>
      <c r="BW445" s="532"/>
      <c r="BX445" s="532"/>
      <c r="BY445" s="532"/>
      <c r="BZ445" s="532"/>
      <c r="CA445" s="532"/>
      <c r="CB445" s="532"/>
      <c r="CC445" s="532"/>
      <c r="CD445" s="532"/>
      <c r="CE445" s="532"/>
      <c r="CF445" s="532"/>
      <c r="CG445" s="532"/>
      <c r="CH445" s="532"/>
      <c r="CI445" s="532"/>
      <c r="CJ445" s="532"/>
      <c r="CK445" s="532"/>
      <c r="CL445" s="532"/>
      <c r="CM445" s="532"/>
      <c r="CN445" s="532"/>
      <c r="CO445" s="532"/>
      <c r="CP445" s="532"/>
      <c r="CQ445" s="532"/>
      <c r="CR445" s="532"/>
      <c r="CS445" s="532"/>
      <c r="CT445" s="532"/>
      <c r="CU445" s="532"/>
      <c r="CV445" s="532"/>
      <c r="CW445" s="532"/>
      <c r="CX445" s="532"/>
      <c r="CY445" s="532"/>
      <c r="CZ445" s="532"/>
      <c r="DA445" s="532"/>
      <c r="DB445" s="532"/>
      <c r="DC445" s="532"/>
      <c r="DD445" s="532"/>
      <c r="DE445" s="532"/>
      <c r="DF445" s="532"/>
      <c r="DG445" s="532"/>
      <c r="DH445" s="532"/>
      <c r="DI445" s="532"/>
      <c r="DJ445" s="532"/>
      <c r="DK445" s="532"/>
      <c r="DL445" s="532"/>
      <c r="DM445" s="532"/>
      <c r="DN445" s="532"/>
      <c r="DO445" s="532"/>
      <c r="DP445" s="532"/>
      <c r="DQ445" s="532"/>
      <c r="DR445" s="532"/>
      <c r="DS445" s="532"/>
      <c r="DT445" s="532"/>
      <c r="DU445" s="532"/>
      <c r="DV445" s="532"/>
      <c r="DW445" s="532"/>
      <c r="DX445" s="532"/>
      <c r="DY445" s="532"/>
      <c r="DZ445" s="532"/>
      <c r="EA445" s="532"/>
      <c r="EB445" s="532"/>
      <c r="EC445" s="532"/>
      <c r="ED445" s="532"/>
      <c r="EE445" s="532"/>
      <c r="EF445" s="532"/>
      <c r="EG445" s="532"/>
      <c r="EH445" s="532"/>
      <c r="EI445" s="532"/>
      <c r="EJ445" s="532"/>
      <c r="EK445" s="532"/>
      <c r="EL445" s="532"/>
      <c r="EM445" s="532"/>
      <c r="EN445" s="532"/>
      <c r="EO445" s="532"/>
      <c r="EP445" s="532"/>
      <c r="EQ445" s="532"/>
      <c r="ER445" s="532"/>
      <c r="ES445" s="532"/>
      <c r="ET445" s="532"/>
      <c r="EU445" s="532"/>
      <c r="EV445" s="532"/>
      <c r="EW445" s="532"/>
      <c r="EX445" s="532"/>
      <c r="EY445" s="532"/>
      <c r="EZ445" s="532"/>
      <c r="FA445" s="532"/>
      <c r="FB445" s="532"/>
      <c r="FC445" s="532"/>
      <c r="FD445" s="532"/>
      <c r="FE445" s="532"/>
      <c r="FF445" s="532"/>
      <c r="FG445" s="532"/>
      <c r="FH445" s="532"/>
      <c r="FI445" s="532"/>
      <c r="FJ445" s="532"/>
      <c r="FK445" s="532"/>
      <c r="FL445" s="532"/>
      <c r="FM445" s="532"/>
      <c r="FN445" s="532"/>
      <c r="FO445" s="532"/>
      <c r="FP445" s="532"/>
    </row>
    <row r="446" spans="1:172" ht="12" customHeight="1" x14ac:dyDescent="0.2">
      <c r="A446" s="533" t="s">
        <v>315</v>
      </c>
      <c r="B446" s="534"/>
      <c r="C446" s="208">
        <f t="shared" ref="C446:K446" si="190">SUM(C444:C445)</f>
        <v>0</v>
      </c>
      <c r="D446" s="208">
        <f t="shared" si="190"/>
        <v>0</v>
      </c>
      <c r="E446" s="208">
        <f t="shared" si="190"/>
        <v>0</v>
      </c>
      <c r="F446" s="208">
        <f t="shared" si="190"/>
        <v>3</v>
      </c>
      <c r="G446" s="208">
        <f t="shared" si="190"/>
        <v>23</v>
      </c>
      <c r="H446" s="208">
        <f t="shared" si="190"/>
        <v>19</v>
      </c>
      <c r="I446" s="208">
        <f t="shared" si="190"/>
        <v>9</v>
      </c>
      <c r="J446" s="208">
        <f t="shared" si="190"/>
        <v>20</v>
      </c>
      <c r="K446" s="208">
        <f t="shared" si="190"/>
        <v>20</v>
      </c>
      <c r="L446" s="562">
        <f t="shared" ref="L446:N446" si="191">SUM(L444:L445)</f>
        <v>0</v>
      </c>
      <c r="M446" s="562">
        <f t="shared" si="191"/>
        <v>0</v>
      </c>
      <c r="N446" s="562">
        <f t="shared" si="191"/>
        <v>0</v>
      </c>
      <c r="O446" s="530">
        <f>SUM(C446:N446)</f>
        <v>94</v>
      </c>
      <c r="P446" s="531"/>
      <c r="Q446" s="531"/>
      <c r="R446" s="531"/>
      <c r="S446" s="531"/>
      <c r="T446" s="531"/>
      <c r="U446" s="531"/>
      <c r="V446" s="531"/>
      <c r="W446" s="531"/>
      <c r="X446" s="531"/>
      <c r="Y446" s="531"/>
      <c r="Z446" s="531"/>
      <c r="AA446" s="531"/>
      <c r="AB446" s="531"/>
      <c r="AC446" s="531"/>
      <c r="AD446" s="531"/>
      <c r="AE446" s="531"/>
      <c r="AF446" s="531"/>
      <c r="AG446" s="531"/>
      <c r="AH446" s="532"/>
      <c r="AI446" s="532"/>
      <c r="AJ446" s="532"/>
      <c r="AK446" s="532"/>
      <c r="AL446" s="532"/>
      <c r="AM446" s="532"/>
      <c r="AN446" s="532"/>
      <c r="AO446" s="532"/>
      <c r="AP446" s="532"/>
      <c r="AQ446" s="532"/>
      <c r="AR446" s="532"/>
      <c r="AS446" s="532"/>
      <c r="AT446" s="532"/>
      <c r="AU446" s="532"/>
      <c r="AV446" s="532"/>
      <c r="AW446" s="532"/>
      <c r="AX446" s="532"/>
      <c r="AY446" s="532"/>
      <c r="AZ446" s="532"/>
      <c r="BA446" s="532"/>
      <c r="BB446" s="532"/>
      <c r="BC446" s="532"/>
      <c r="BD446" s="532"/>
      <c r="BE446" s="532"/>
      <c r="BF446" s="532"/>
      <c r="BG446" s="532"/>
      <c r="BH446" s="532"/>
      <c r="BI446" s="532"/>
      <c r="BJ446" s="532"/>
      <c r="BK446" s="532"/>
      <c r="BL446" s="532"/>
      <c r="BM446" s="532"/>
      <c r="BN446" s="532"/>
      <c r="BO446" s="532"/>
      <c r="BP446" s="532"/>
      <c r="BQ446" s="532"/>
      <c r="BR446" s="532"/>
      <c r="BS446" s="532"/>
      <c r="BT446" s="532"/>
      <c r="BU446" s="532"/>
      <c r="BV446" s="532"/>
      <c r="BW446" s="532"/>
      <c r="BX446" s="532"/>
      <c r="BY446" s="532"/>
      <c r="BZ446" s="532"/>
      <c r="CA446" s="532"/>
      <c r="CB446" s="532"/>
      <c r="CC446" s="532"/>
      <c r="CD446" s="532"/>
      <c r="CE446" s="532"/>
      <c r="CF446" s="532"/>
      <c r="CG446" s="532"/>
      <c r="CH446" s="532"/>
      <c r="CI446" s="532"/>
      <c r="CJ446" s="532"/>
      <c r="CK446" s="532"/>
      <c r="CL446" s="532"/>
      <c r="CM446" s="532"/>
      <c r="CN446" s="532"/>
      <c r="CO446" s="532"/>
      <c r="CP446" s="532"/>
      <c r="CQ446" s="532"/>
      <c r="CR446" s="532"/>
      <c r="CS446" s="532"/>
      <c r="CT446" s="532"/>
      <c r="CU446" s="532"/>
      <c r="CV446" s="532"/>
      <c r="CW446" s="532"/>
      <c r="CX446" s="532"/>
      <c r="CY446" s="532"/>
      <c r="CZ446" s="532"/>
      <c r="DA446" s="532"/>
      <c r="DB446" s="532"/>
      <c r="DC446" s="532"/>
      <c r="DD446" s="532"/>
      <c r="DE446" s="532"/>
      <c r="DF446" s="532"/>
      <c r="DG446" s="532"/>
      <c r="DH446" s="532"/>
      <c r="DI446" s="532"/>
      <c r="DJ446" s="532"/>
      <c r="DK446" s="532"/>
      <c r="DL446" s="532"/>
      <c r="DM446" s="532"/>
      <c r="DN446" s="532"/>
      <c r="DO446" s="532"/>
      <c r="DP446" s="532"/>
      <c r="DQ446" s="532"/>
      <c r="DR446" s="532"/>
      <c r="DS446" s="532"/>
      <c r="DT446" s="532"/>
      <c r="DU446" s="532"/>
      <c r="DV446" s="532"/>
      <c r="DW446" s="532"/>
      <c r="DX446" s="532"/>
      <c r="DY446" s="532"/>
      <c r="DZ446" s="532"/>
      <c r="EA446" s="532"/>
      <c r="EB446" s="532"/>
      <c r="EC446" s="532"/>
      <c r="ED446" s="532"/>
      <c r="EE446" s="532"/>
      <c r="EF446" s="532"/>
      <c r="EG446" s="532"/>
      <c r="EH446" s="532"/>
      <c r="EI446" s="532"/>
      <c r="EJ446" s="532"/>
      <c r="EK446" s="532"/>
      <c r="EL446" s="532"/>
      <c r="EM446" s="532"/>
      <c r="EN446" s="532"/>
      <c r="EO446" s="532"/>
      <c r="EP446" s="532"/>
      <c r="EQ446" s="532"/>
      <c r="ER446" s="532"/>
      <c r="ES446" s="532"/>
      <c r="ET446" s="532"/>
      <c r="EU446" s="532"/>
      <c r="EV446" s="532"/>
      <c r="EW446" s="532"/>
      <c r="EX446" s="532"/>
      <c r="EY446" s="532"/>
      <c r="EZ446" s="532"/>
      <c r="FA446" s="532"/>
      <c r="FB446" s="532"/>
      <c r="FC446" s="532"/>
      <c r="FD446" s="532"/>
      <c r="FE446" s="532"/>
      <c r="FF446" s="532"/>
      <c r="FG446" s="532"/>
      <c r="FH446" s="532"/>
      <c r="FI446" s="532"/>
      <c r="FJ446" s="532"/>
      <c r="FK446" s="532"/>
      <c r="FL446" s="532"/>
      <c r="FM446" s="532"/>
      <c r="FN446" s="532"/>
      <c r="FO446" s="532"/>
      <c r="FP446" s="532"/>
    </row>
    <row r="447" spans="1:172" ht="12" customHeight="1" x14ac:dyDescent="0.2">
      <c r="A447" s="533"/>
      <c r="B447" s="534"/>
      <c r="C447" s="534"/>
      <c r="D447" s="534"/>
      <c r="E447" s="534"/>
      <c r="F447" s="534"/>
      <c r="G447" s="534"/>
      <c r="H447" s="534"/>
      <c r="I447" s="534"/>
      <c r="J447" s="534"/>
      <c r="K447" s="658"/>
      <c r="L447" s="562"/>
      <c r="M447" s="562"/>
      <c r="N447" s="562"/>
      <c r="O447" s="530"/>
      <c r="P447" s="531"/>
      <c r="Q447" s="531"/>
      <c r="R447" s="531"/>
      <c r="S447" s="531"/>
      <c r="T447" s="531"/>
      <c r="U447" s="531"/>
      <c r="V447" s="531"/>
      <c r="W447" s="531"/>
      <c r="X447" s="531"/>
      <c r="Y447" s="531"/>
      <c r="Z447" s="531"/>
      <c r="AA447" s="531"/>
      <c r="AB447" s="531"/>
      <c r="AC447" s="531"/>
      <c r="AD447" s="531"/>
      <c r="AE447" s="531"/>
      <c r="AF447" s="531"/>
      <c r="AG447" s="531"/>
      <c r="AH447" s="532"/>
      <c r="AI447" s="532"/>
      <c r="AJ447" s="532"/>
      <c r="AK447" s="532"/>
      <c r="AL447" s="532"/>
      <c r="AM447" s="532"/>
      <c r="AN447" s="532"/>
      <c r="AO447" s="532"/>
      <c r="AP447" s="532"/>
      <c r="AQ447" s="532"/>
      <c r="AR447" s="532"/>
      <c r="AS447" s="532"/>
      <c r="AT447" s="532"/>
      <c r="AU447" s="532"/>
      <c r="AV447" s="532"/>
      <c r="AW447" s="532"/>
      <c r="AX447" s="532"/>
      <c r="AY447" s="532"/>
      <c r="AZ447" s="532"/>
      <c r="BA447" s="532"/>
      <c r="BB447" s="532"/>
      <c r="BC447" s="532"/>
      <c r="BD447" s="532"/>
      <c r="BE447" s="532"/>
      <c r="BF447" s="532"/>
      <c r="BG447" s="532"/>
      <c r="BH447" s="532"/>
      <c r="BI447" s="532"/>
      <c r="BJ447" s="532"/>
      <c r="BK447" s="532"/>
      <c r="BL447" s="532"/>
      <c r="BM447" s="532"/>
      <c r="BN447" s="532"/>
      <c r="BO447" s="532"/>
      <c r="BP447" s="532"/>
      <c r="BQ447" s="532"/>
      <c r="BR447" s="532"/>
      <c r="BS447" s="532"/>
      <c r="BT447" s="532"/>
      <c r="BU447" s="532"/>
      <c r="BV447" s="532"/>
      <c r="BW447" s="532"/>
      <c r="BX447" s="532"/>
      <c r="BY447" s="532"/>
      <c r="BZ447" s="532"/>
      <c r="CA447" s="532"/>
      <c r="CB447" s="532"/>
      <c r="CC447" s="532"/>
      <c r="CD447" s="532"/>
      <c r="CE447" s="532"/>
      <c r="CF447" s="532"/>
      <c r="CG447" s="532"/>
      <c r="CH447" s="532"/>
      <c r="CI447" s="532"/>
      <c r="CJ447" s="532"/>
      <c r="CK447" s="532"/>
      <c r="CL447" s="532"/>
      <c r="CM447" s="532"/>
      <c r="CN447" s="532"/>
      <c r="CO447" s="532"/>
      <c r="CP447" s="532"/>
      <c r="CQ447" s="532"/>
      <c r="CR447" s="532"/>
      <c r="CS447" s="532"/>
      <c r="CT447" s="532"/>
      <c r="CU447" s="532"/>
      <c r="CV447" s="532"/>
      <c r="CW447" s="532"/>
      <c r="CX447" s="532"/>
      <c r="CY447" s="532"/>
      <c r="CZ447" s="532"/>
      <c r="DA447" s="532"/>
      <c r="DB447" s="532"/>
      <c r="DC447" s="532"/>
      <c r="DD447" s="532"/>
      <c r="DE447" s="532"/>
      <c r="DF447" s="532"/>
      <c r="DG447" s="532"/>
      <c r="DH447" s="532"/>
      <c r="DI447" s="532"/>
      <c r="DJ447" s="532"/>
      <c r="DK447" s="532"/>
      <c r="DL447" s="532"/>
      <c r="DM447" s="532"/>
      <c r="DN447" s="532"/>
      <c r="DO447" s="532"/>
      <c r="DP447" s="532"/>
      <c r="DQ447" s="532"/>
      <c r="DR447" s="532"/>
      <c r="DS447" s="532"/>
      <c r="DT447" s="532"/>
      <c r="DU447" s="532"/>
      <c r="DV447" s="532"/>
      <c r="DW447" s="532"/>
      <c r="DX447" s="532"/>
      <c r="DY447" s="532"/>
      <c r="DZ447" s="532"/>
      <c r="EA447" s="532"/>
      <c r="EB447" s="532"/>
      <c r="EC447" s="532"/>
      <c r="ED447" s="532"/>
      <c r="EE447" s="532"/>
      <c r="EF447" s="532"/>
      <c r="EG447" s="532"/>
      <c r="EH447" s="532"/>
      <c r="EI447" s="532"/>
      <c r="EJ447" s="532"/>
      <c r="EK447" s="532"/>
      <c r="EL447" s="532"/>
      <c r="EM447" s="532"/>
      <c r="EN447" s="532"/>
      <c r="EO447" s="532"/>
      <c r="EP447" s="532"/>
      <c r="EQ447" s="532"/>
      <c r="ER447" s="532"/>
      <c r="ES447" s="532"/>
      <c r="ET447" s="532"/>
      <c r="EU447" s="532"/>
      <c r="EV447" s="532"/>
      <c r="EW447" s="532"/>
      <c r="EX447" s="532"/>
      <c r="EY447" s="532"/>
      <c r="EZ447" s="532"/>
      <c r="FA447" s="532"/>
      <c r="FB447" s="532"/>
      <c r="FC447" s="532"/>
      <c r="FD447" s="532"/>
      <c r="FE447" s="532"/>
      <c r="FF447" s="532"/>
      <c r="FG447" s="532"/>
      <c r="FH447" s="532"/>
      <c r="FI447" s="532"/>
      <c r="FJ447" s="532"/>
      <c r="FK447" s="532"/>
      <c r="FL447" s="532"/>
      <c r="FM447" s="532"/>
      <c r="FN447" s="532"/>
      <c r="FO447" s="532"/>
      <c r="FP447" s="532"/>
    </row>
    <row r="448" spans="1:172" ht="12" customHeight="1" x14ac:dyDescent="0.2">
      <c r="A448" s="533" t="s">
        <v>316</v>
      </c>
      <c r="B448" s="534" t="s">
        <v>317</v>
      </c>
      <c r="C448" s="658">
        <v>0</v>
      </c>
      <c r="D448" s="208">
        <v>0</v>
      </c>
      <c r="E448" s="208">
        <v>0</v>
      </c>
      <c r="F448" s="208">
        <v>0</v>
      </c>
      <c r="G448" s="208">
        <v>0</v>
      </c>
      <c r="H448" s="208">
        <v>0</v>
      </c>
      <c r="I448" s="208">
        <v>0</v>
      </c>
      <c r="J448" s="208">
        <v>0</v>
      </c>
      <c r="K448" s="208">
        <v>0</v>
      </c>
      <c r="L448" s="562">
        <v>0</v>
      </c>
      <c r="M448" s="562">
        <v>0</v>
      </c>
      <c r="N448" s="562">
        <v>0</v>
      </c>
      <c r="O448" s="530">
        <f>SUM(C448:N448)</f>
        <v>0</v>
      </c>
      <c r="P448" s="531"/>
      <c r="Q448" s="531"/>
      <c r="R448" s="531"/>
      <c r="S448" s="531"/>
      <c r="T448" s="531"/>
      <c r="U448" s="531"/>
      <c r="V448" s="531"/>
      <c r="W448" s="531"/>
      <c r="X448" s="531"/>
      <c r="Y448" s="531"/>
      <c r="Z448" s="531"/>
      <c r="AA448" s="531"/>
      <c r="AB448" s="531"/>
      <c r="AC448" s="531"/>
      <c r="AD448" s="531"/>
      <c r="AE448" s="531"/>
      <c r="AF448" s="531"/>
      <c r="AG448" s="531"/>
      <c r="AH448" s="532"/>
      <c r="AI448" s="532"/>
      <c r="AJ448" s="532"/>
      <c r="AK448" s="532"/>
      <c r="AL448" s="532"/>
      <c r="AM448" s="532"/>
      <c r="AN448" s="532"/>
      <c r="AO448" s="532"/>
      <c r="AP448" s="532"/>
      <c r="AQ448" s="532"/>
      <c r="AR448" s="532"/>
      <c r="AS448" s="532"/>
      <c r="AT448" s="532"/>
      <c r="AU448" s="532"/>
      <c r="AV448" s="532"/>
      <c r="AW448" s="532"/>
      <c r="AX448" s="532"/>
      <c r="AY448" s="532"/>
      <c r="AZ448" s="532"/>
      <c r="BA448" s="532"/>
      <c r="BB448" s="532"/>
      <c r="BC448" s="532"/>
      <c r="BD448" s="532"/>
      <c r="BE448" s="532"/>
      <c r="BF448" s="532"/>
      <c r="BG448" s="532"/>
      <c r="BH448" s="532"/>
      <c r="BI448" s="532"/>
      <c r="BJ448" s="532"/>
      <c r="BK448" s="532"/>
      <c r="BL448" s="532"/>
      <c r="BM448" s="532"/>
      <c r="BN448" s="532"/>
      <c r="BO448" s="532"/>
      <c r="BP448" s="532"/>
      <c r="BQ448" s="532"/>
      <c r="BR448" s="532"/>
      <c r="BS448" s="532"/>
      <c r="BT448" s="532"/>
      <c r="BU448" s="532"/>
      <c r="BV448" s="532"/>
      <c r="BW448" s="532"/>
      <c r="BX448" s="532"/>
      <c r="BY448" s="532"/>
      <c r="BZ448" s="532"/>
      <c r="CA448" s="532"/>
      <c r="CB448" s="532"/>
      <c r="CC448" s="532"/>
      <c r="CD448" s="532"/>
      <c r="CE448" s="532"/>
      <c r="CF448" s="532"/>
      <c r="CG448" s="532"/>
      <c r="CH448" s="532"/>
      <c r="CI448" s="532"/>
      <c r="CJ448" s="532"/>
      <c r="CK448" s="532"/>
      <c r="CL448" s="532"/>
      <c r="CM448" s="532"/>
      <c r="CN448" s="532"/>
      <c r="CO448" s="532"/>
      <c r="CP448" s="532"/>
      <c r="CQ448" s="532"/>
      <c r="CR448" s="532"/>
      <c r="CS448" s="532"/>
      <c r="CT448" s="532"/>
      <c r="CU448" s="532"/>
      <c r="CV448" s="532"/>
      <c r="CW448" s="532"/>
      <c r="CX448" s="532"/>
      <c r="CY448" s="532"/>
      <c r="CZ448" s="532"/>
      <c r="DA448" s="532"/>
      <c r="DB448" s="532"/>
      <c r="DC448" s="532"/>
      <c r="DD448" s="532"/>
      <c r="DE448" s="532"/>
      <c r="DF448" s="532"/>
      <c r="DG448" s="532"/>
      <c r="DH448" s="532"/>
      <c r="DI448" s="532"/>
      <c r="DJ448" s="532"/>
      <c r="DK448" s="532"/>
      <c r="DL448" s="532"/>
      <c r="DM448" s="532"/>
      <c r="DN448" s="532"/>
      <c r="DO448" s="532"/>
      <c r="DP448" s="532"/>
      <c r="DQ448" s="532"/>
      <c r="DR448" s="532"/>
      <c r="DS448" s="532"/>
      <c r="DT448" s="532"/>
      <c r="DU448" s="532"/>
      <c r="DV448" s="532"/>
      <c r="DW448" s="532"/>
      <c r="DX448" s="532"/>
      <c r="DY448" s="532"/>
      <c r="DZ448" s="532"/>
      <c r="EA448" s="532"/>
      <c r="EB448" s="532"/>
      <c r="EC448" s="532"/>
      <c r="ED448" s="532"/>
      <c r="EE448" s="532"/>
      <c r="EF448" s="532"/>
      <c r="EG448" s="532"/>
      <c r="EH448" s="532"/>
      <c r="EI448" s="532"/>
      <c r="EJ448" s="532"/>
      <c r="EK448" s="532"/>
      <c r="EL448" s="532"/>
      <c r="EM448" s="532"/>
      <c r="EN448" s="532"/>
      <c r="EO448" s="532"/>
      <c r="EP448" s="532"/>
      <c r="EQ448" s="532"/>
      <c r="ER448" s="532"/>
      <c r="ES448" s="532"/>
      <c r="ET448" s="532"/>
      <c r="EU448" s="532"/>
      <c r="EV448" s="532"/>
      <c r="EW448" s="532"/>
      <c r="EX448" s="532"/>
      <c r="EY448" s="532"/>
      <c r="EZ448" s="532"/>
      <c r="FA448" s="532"/>
      <c r="FB448" s="532"/>
      <c r="FC448" s="532"/>
      <c r="FD448" s="532"/>
      <c r="FE448" s="532"/>
      <c r="FF448" s="532"/>
      <c r="FG448" s="532"/>
      <c r="FH448" s="532"/>
      <c r="FI448" s="532"/>
      <c r="FJ448" s="532"/>
      <c r="FK448" s="532"/>
      <c r="FL448" s="532"/>
      <c r="FM448" s="532"/>
      <c r="FN448" s="532"/>
      <c r="FO448" s="532"/>
      <c r="FP448" s="532"/>
    </row>
    <row r="449" spans="1:172" ht="12" customHeight="1" x14ac:dyDescent="0.2">
      <c r="A449" s="533" t="s">
        <v>318</v>
      </c>
      <c r="B449" s="534" t="s">
        <v>319</v>
      </c>
      <c r="C449" s="658">
        <v>116</v>
      </c>
      <c r="D449" s="208">
        <v>134</v>
      </c>
      <c r="E449" s="208">
        <v>79</v>
      </c>
      <c r="F449" s="208">
        <v>107</v>
      </c>
      <c r="G449" s="208">
        <v>77</v>
      </c>
      <c r="H449" s="208">
        <v>85</v>
      </c>
      <c r="I449" s="208">
        <v>66</v>
      </c>
      <c r="J449" s="208">
        <v>65</v>
      </c>
      <c r="K449" s="208">
        <v>65</v>
      </c>
      <c r="L449" s="562">
        <v>102</v>
      </c>
      <c r="M449" s="562">
        <v>132</v>
      </c>
      <c r="N449" s="562">
        <v>107</v>
      </c>
      <c r="O449" s="530">
        <f>SUM(C449:N449)</f>
        <v>1135</v>
      </c>
      <c r="P449" s="531"/>
      <c r="Q449" s="531"/>
      <c r="R449" s="531"/>
      <c r="S449" s="531"/>
      <c r="T449" s="531"/>
      <c r="U449" s="531"/>
      <c r="V449" s="531"/>
      <c r="W449" s="531"/>
      <c r="X449" s="531"/>
      <c r="Y449" s="531"/>
      <c r="Z449" s="531"/>
      <c r="AA449" s="531"/>
      <c r="AB449" s="531"/>
      <c r="AC449" s="531"/>
      <c r="AD449" s="531"/>
      <c r="AE449" s="531"/>
      <c r="AF449" s="531"/>
      <c r="AG449" s="531"/>
      <c r="AH449" s="532"/>
      <c r="AI449" s="532"/>
      <c r="AJ449" s="532"/>
      <c r="AK449" s="532"/>
      <c r="AL449" s="532"/>
      <c r="AM449" s="532"/>
      <c r="AN449" s="532"/>
      <c r="AO449" s="532"/>
      <c r="AP449" s="532"/>
      <c r="AQ449" s="532"/>
      <c r="AR449" s="532"/>
      <c r="AS449" s="532"/>
      <c r="AT449" s="532"/>
      <c r="AU449" s="532"/>
      <c r="AV449" s="532"/>
      <c r="AW449" s="532"/>
      <c r="AX449" s="532"/>
      <c r="AY449" s="532"/>
      <c r="AZ449" s="532"/>
      <c r="BA449" s="532"/>
      <c r="BB449" s="532"/>
      <c r="BC449" s="532"/>
      <c r="BD449" s="532"/>
      <c r="BE449" s="532"/>
      <c r="BF449" s="532"/>
      <c r="BG449" s="532"/>
      <c r="BH449" s="532"/>
      <c r="BI449" s="532"/>
      <c r="BJ449" s="532"/>
      <c r="BK449" s="532"/>
      <c r="BL449" s="532"/>
      <c r="BM449" s="532"/>
      <c r="BN449" s="532"/>
      <c r="BO449" s="532"/>
      <c r="BP449" s="532"/>
      <c r="BQ449" s="532"/>
      <c r="BR449" s="532"/>
      <c r="BS449" s="532"/>
      <c r="BT449" s="532"/>
      <c r="BU449" s="532"/>
      <c r="BV449" s="532"/>
      <c r="BW449" s="532"/>
      <c r="BX449" s="532"/>
      <c r="BY449" s="532"/>
      <c r="BZ449" s="532"/>
      <c r="CA449" s="532"/>
      <c r="CB449" s="532"/>
      <c r="CC449" s="532"/>
      <c r="CD449" s="532"/>
      <c r="CE449" s="532"/>
      <c r="CF449" s="532"/>
      <c r="CG449" s="532"/>
      <c r="CH449" s="532"/>
      <c r="CI449" s="532"/>
      <c r="CJ449" s="532"/>
      <c r="CK449" s="532"/>
      <c r="CL449" s="532"/>
      <c r="CM449" s="532"/>
      <c r="CN449" s="532"/>
      <c r="CO449" s="532"/>
      <c r="CP449" s="532"/>
      <c r="CQ449" s="532"/>
      <c r="CR449" s="532"/>
      <c r="CS449" s="532"/>
      <c r="CT449" s="532"/>
      <c r="CU449" s="532"/>
      <c r="CV449" s="532"/>
      <c r="CW449" s="532"/>
      <c r="CX449" s="532"/>
      <c r="CY449" s="532"/>
      <c r="CZ449" s="532"/>
      <c r="DA449" s="532"/>
      <c r="DB449" s="532"/>
      <c r="DC449" s="532"/>
      <c r="DD449" s="532"/>
      <c r="DE449" s="532"/>
      <c r="DF449" s="532"/>
      <c r="DG449" s="532"/>
      <c r="DH449" s="532"/>
      <c r="DI449" s="532"/>
      <c r="DJ449" s="532"/>
      <c r="DK449" s="532"/>
      <c r="DL449" s="532"/>
      <c r="DM449" s="532"/>
      <c r="DN449" s="532"/>
      <c r="DO449" s="532"/>
      <c r="DP449" s="532"/>
      <c r="DQ449" s="532"/>
      <c r="DR449" s="532"/>
      <c r="DS449" s="532"/>
      <c r="DT449" s="532"/>
      <c r="DU449" s="532"/>
      <c r="DV449" s="532"/>
      <c r="DW449" s="532"/>
      <c r="DX449" s="532"/>
      <c r="DY449" s="532"/>
      <c r="DZ449" s="532"/>
      <c r="EA449" s="532"/>
      <c r="EB449" s="532"/>
      <c r="EC449" s="532"/>
      <c r="ED449" s="532"/>
      <c r="EE449" s="532"/>
      <c r="EF449" s="532"/>
      <c r="EG449" s="532"/>
      <c r="EH449" s="532"/>
      <c r="EI449" s="532"/>
      <c r="EJ449" s="532"/>
      <c r="EK449" s="532"/>
      <c r="EL449" s="532"/>
      <c r="EM449" s="532"/>
      <c r="EN449" s="532"/>
      <c r="EO449" s="532"/>
      <c r="EP449" s="532"/>
      <c r="EQ449" s="532"/>
      <c r="ER449" s="532"/>
      <c r="ES449" s="532"/>
      <c r="ET449" s="532"/>
      <c r="EU449" s="532"/>
      <c r="EV449" s="532"/>
      <c r="EW449" s="532"/>
      <c r="EX449" s="532"/>
      <c r="EY449" s="532"/>
      <c r="EZ449" s="532"/>
      <c r="FA449" s="532"/>
      <c r="FB449" s="532"/>
      <c r="FC449" s="532"/>
      <c r="FD449" s="532"/>
      <c r="FE449" s="532"/>
      <c r="FF449" s="532"/>
      <c r="FG449" s="532"/>
      <c r="FH449" s="532"/>
      <c r="FI449" s="532"/>
      <c r="FJ449" s="532"/>
      <c r="FK449" s="532"/>
      <c r="FL449" s="532"/>
      <c r="FM449" s="532"/>
      <c r="FN449" s="532"/>
      <c r="FO449" s="532"/>
      <c r="FP449" s="532"/>
    </row>
    <row r="450" spans="1:172" ht="12" customHeight="1" x14ac:dyDescent="0.2">
      <c r="A450" s="533" t="s">
        <v>55</v>
      </c>
      <c r="B450" s="534"/>
      <c r="C450" s="208">
        <f t="shared" ref="C450:N450" si="192">SUM(C448:C449)</f>
        <v>116</v>
      </c>
      <c r="D450" s="208">
        <f t="shared" si="192"/>
        <v>134</v>
      </c>
      <c r="E450" s="208">
        <f t="shared" si="192"/>
        <v>79</v>
      </c>
      <c r="F450" s="208">
        <f t="shared" si="192"/>
        <v>107</v>
      </c>
      <c r="G450" s="208">
        <f t="shared" si="192"/>
        <v>77</v>
      </c>
      <c r="H450" s="208">
        <f t="shared" si="192"/>
        <v>85</v>
      </c>
      <c r="I450" s="208">
        <f t="shared" si="192"/>
        <v>66</v>
      </c>
      <c r="J450" s="208">
        <f t="shared" si="192"/>
        <v>65</v>
      </c>
      <c r="K450" s="208">
        <f t="shared" si="192"/>
        <v>65</v>
      </c>
      <c r="L450" s="562">
        <f t="shared" si="192"/>
        <v>102</v>
      </c>
      <c r="M450" s="562">
        <f t="shared" si="192"/>
        <v>132</v>
      </c>
      <c r="N450" s="562">
        <f t="shared" si="192"/>
        <v>107</v>
      </c>
      <c r="O450" s="530">
        <f>SUM(C450:N450)</f>
        <v>1135</v>
      </c>
      <c r="P450" s="531"/>
      <c r="Q450" s="531"/>
      <c r="R450" s="531"/>
      <c r="S450" s="531"/>
      <c r="T450" s="531"/>
      <c r="U450" s="531"/>
      <c r="V450" s="531"/>
      <c r="W450" s="531"/>
      <c r="X450" s="531"/>
      <c r="Y450" s="531"/>
      <c r="Z450" s="531"/>
      <c r="AA450" s="531"/>
      <c r="AB450" s="531"/>
      <c r="AC450" s="531"/>
      <c r="AD450" s="531"/>
      <c r="AE450" s="531"/>
      <c r="AF450" s="531"/>
      <c r="AG450" s="531"/>
      <c r="AH450" s="532"/>
      <c r="AI450" s="532"/>
      <c r="AJ450" s="532"/>
      <c r="AK450" s="532"/>
      <c r="AL450" s="532"/>
      <c r="AM450" s="532"/>
      <c r="AN450" s="532"/>
      <c r="AO450" s="532"/>
      <c r="AP450" s="532"/>
      <c r="AQ450" s="532"/>
      <c r="AR450" s="532"/>
      <c r="AS450" s="532"/>
      <c r="AT450" s="532"/>
      <c r="AU450" s="532"/>
      <c r="AV450" s="532"/>
      <c r="AW450" s="532"/>
      <c r="AX450" s="532"/>
      <c r="AY450" s="532"/>
      <c r="AZ450" s="532"/>
      <c r="BA450" s="532"/>
      <c r="BB450" s="532"/>
      <c r="BC450" s="532"/>
      <c r="BD450" s="532"/>
      <c r="BE450" s="532"/>
      <c r="BF450" s="532"/>
      <c r="BG450" s="532"/>
      <c r="BH450" s="532"/>
      <c r="BI450" s="532"/>
      <c r="BJ450" s="532"/>
      <c r="BK450" s="532"/>
      <c r="BL450" s="532"/>
      <c r="BM450" s="532"/>
      <c r="BN450" s="532"/>
      <c r="BO450" s="532"/>
      <c r="BP450" s="532"/>
      <c r="BQ450" s="532"/>
      <c r="BR450" s="532"/>
      <c r="BS450" s="532"/>
      <c r="BT450" s="532"/>
      <c r="BU450" s="532"/>
      <c r="BV450" s="532"/>
      <c r="BW450" s="532"/>
      <c r="BX450" s="532"/>
      <c r="BY450" s="532"/>
      <c r="BZ450" s="532"/>
      <c r="CA450" s="532"/>
      <c r="CB450" s="532"/>
      <c r="CC450" s="532"/>
      <c r="CD450" s="532"/>
      <c r="CE450" s="532"/>
      <c r="CF450" s="532"/>
      <c r="CG450" s="532"/>
      <c r="CH450" s="532"/>
      <c r="CI450" s="532"/>
      <c r="CJ450" s="532"/>
      <c r="CK450" s="532"/>
      <c r="CL450" s="532"/>
      <c r="CM450" s="532"/>
      <c r="CN450" s="532"/>
      <c r="CO450" s="532"/>
      <c r="CP450" s="532"/>
      <c r="CQ450" s="532"/>
      <c r="CR450" s="532"/>
      <c r="CS450" s="532"/>
      <c r="CT450" s="532"/>
      <c r="CU450" s="532"/>
      <c r="CV450" s="532"/>
      <c r="CW450" s="532"/>
      <c r="CX450" s="532"/>
      <c r="CY450" s="532"/>
      <c r="CZ450" s="532"/>
      <c r="DA450" s="532"/>
      <c r="DB450" s="532"/>
      <c r="DC450" s="532"/>
      <c r="DD450" s="532"/>
      <c r="DE450" s="532"/>
      <c r="DF450" s="532"/>
      <c r="DG450" s="532"/>
      <c r="DH450" s="532"/>
      <c r="DI450" s="532"/>
      <c r="DJ450" s="532"/>
      <c r="DK450" s="532"/>
      <c r="DL450" s="532"/>
      <c r="DM450" s="532"/>
      <c r="DN450" s="532"/>
      <c r="DO450" s="532"/>
      <c r="DP450" s="532"/>
      <c r="DQ450" s="532"/>
      <c r="DR450" s="532"/>
      <c r="DS450" s="532"/>
      <c r="DT450" s="532"/>
      <c r="DU450" s="532"/>
      <c r="DV450" s="532"/>
      <c r="DW450" s="532"/>
      <c r="DX450" s="532"/>
      <c r="DY450" s="532"/>
      <c r="DZ450" s="532"/>
      <c r="EA450" s="532"/>
      <c r="EB450" s="532"/>
      <c r="EC450" s="532"/>
      <c r="ED450" s="532"/>
      <c r="EE450" s="532"/>
      <c r="EF450" s="532"/>
      <c r="EG450" s="532"/>
      <c r="EH450" s="532"/>
      <c r="EI450" s="532"/>
      <c r="EJ450" s="532"/>
      <c r="EK450" s="532"/>
      <c r="EL450" s="532"/>
      <c r="EM450" s="532"/>
      <c r="EN450" s="532"/>
      <c r="EO450" s="532"/>
      <c r="EP450" s="532"/>
      <c r="EQ450" s="532"/>
      <c r="ER450" s="532"/>
      <c r="ES450" s="532"/>
      <c r="ET450" s="532"/>
      <c r="EU450" s="532"/>
      <c r="EV450" s="532"/>
      <c r="EW450" s="532"/>
      <c r="EX450" s="532"/>
      <c r="EY450" s="532"/>
      <c r="EZ450" s="532"/>
      <c r="FA450" s="532"/>
      <c r="FB450" s="532"/>
      <c r="FC450" s="532"/>
      <c r="FD450" s="532"/>
      <c r="FE450" s="532"/>
      <c r="FF450" s="532"/>
      <c r="FG450" s="532"/>
      <c r="FH450" s="532"/>
      <c r="FI450" s="532"/>
      <c r="FJ450" s="532"/>
      <c r="FK450" s="532"/>
      <c r="FL450" s="532"/>
      <c r="FM450" s="532"/>
      <c r="FN450" s="532"/>
      <c r="FO450" s="532"/>
      <c r="FP450" s="532"/>
    </row>
    <row r="451" spans="1:172" ht="12" customHeight="1" x14ac:dyDescent="0.2">
      <c r="A451" s="533"/>
      <c r="B451" s="534"/>
      <c r="C451" s="534"/>
      <c r="D451" s="534"/>
      <c r="E451" s="534"/>
      <c r="F451" s="534"/>
      <c r="G451" s="534"/>
      <c r="H451" s="534"/>
      <c r="I451" s="534"/>
      <c r="J451" s="534"/>
      <c r="K451" s="658"/>
      <c r="L451" s="562"/>
      <c r="M451" s="562"/>
      <c r="N451" s="562"/>
      <c r="O451" s="530"/>
      <c r="P451" s="531"/>
      <c r="Q451" s="531"/>
      <c r="R451" s="531"/>
      <c r="S451" s="531"/>
      <c r="T451" s="531"/>
      <c r="U451" s="531"/>
      <c r="V451" s="531"/>
      <c r="W451" s="531"/>
      <c r="X451" s="531"/>
      <c r="Y451" s="531"/>
      <c r="Z451" s="531"/>
      <c r="AA451" s="531"/>
      <c r="AB451" s="531"/>
      <c r="AC451" s="531"/>
      <c r="AD451" s="531"/>
      <c r="AE451" s="531"/>
      <c r="AF451" s="531"/>
      <c r="AG451" s="531"/>
      <c r="AH451" s="532"/>
      <c r="AI451" s="532"/>
      <c r="AJ451" s="532"/>
      <c r="AK451" s="532"/>
      <c r="AL451" s="532"/>
      <c r="AM451" s="532"/>
      <c r="AN451" s="532"/>
      <c r="AO451" s="532"/>
      <c r="AP451" s="532"/>
      <c r="AQ451" s="532"/>
      <c r="AR451" s="532"/>
      <c r="AS451" s="532"/>
      <c r="AT451" s="532"/>
      <c r="AU451" s="532"/>
      <c r="AV451" s="532"/>
      <c r="AW451" s="532"/>
      <c r="AX451" s="532"/>
      <c r="AY451" s="532"/>
      <c r="AZ451" s="532"/>
      <c r="BA451" s="532"/>
      <c r="BB451" s="532"/>
      <c r="BC451" s="532"/>
      <c r="BD451" s="532"/>
      <c r="BE451" s="532"/>
      <c r="BF451" s="532"/>
      <c r="BG451" s="532"/>
      <c r="BH451" s="532"/>
      <c r="BI451" s="532"/>
      <c r="BJ451" s="532"/>
      <c r="BK451" s="532"/>
      <c r="BL451" s="532"/>
      <c r="BM451" s="532"/>
      <c r="BN451" s="532"/>
      <c r="BO451" s="532"/>
      <c r="BP451" s="532"/>
      <c r="BQ451" s="532"/>
      <c r="BR451" s="532"/>
      <c r="BS451" s="532"/>
      <c r="BT451" s="532"/>
      <c r="BU451" s="532"/>
      <c r="BV451" s="532"/>
      <c r="BW451" s="532"/>
      <c r="BX451" s="532"/>
      <c r="BY451" s="532"/>
      <c r="BZ451" s="532"/>
      <c r="CA451" s="532"/>
      <c r="CB451" s="532"/>
      <c r="CC451" s="532"/>
      <c r="CD451" s="532"/>
      <c r="CE451" s="532"/>
      <c r="CF451" s="532"/>
      <c r="CG451" s="532"/>
      <c r="CH451" s="532"/>
      <c r="CI451" s="532"/>
      <c r="CJ451" s="532"/>
      <c r="CK451" s="532"/>
      <c r="CL451" s="532"/>
      <c r="CM451" s="532"/>
      <c r="CN451" s="532"/>
      <c r="CO451" s="532"/>
      <c r="CP451" s="532"/>
      <c r="CQ451" s="532"/>
      <c r="CR451" s="532"/>
      <c r="CS451" s="532"/>
      <c r="CT451" s="532"/>
      <c r="CU451" s="532"/>
      <c r="CV451" s="532"/>
      <c r="CW451" s="532"/>
      <c r="CX451" s="532"/>
      <c r="CY451" s="532"/>
      <c r="CZ451" s="532"/>
      <c r="DA451" s="532"/>
      <c r="DB451" s="532"/>
      <c r="DC451" s="532"/>
      <c r="DD451" s="532"/>
      <c r="DE451" s="532"/>
      <c r="DF451" s="532"/>
      <c r="DG451" s="532"/>
      <c r="DH451" s="532"/>
      <c r="DI451" s="532"/>
      <c r="DJ451" s="532"/>
      <c r="DK451" s="532"/>
      <c r="DL451" s="532"/>
      <c r="DM451" s="532"/>
      <c r="DN451" s="532"/>
      <c r="DO451" s="532"/>
      <c r="DP451" s="532"/>
      <c r="DQ451" s="532"/>
      <c r="DR451" s="532"/>
      <c r="DS451" s="532"/>
      <c r="DT451" s="532"/>
      <c r="DU451" s="532"/>
      <c r="DV451" s="532"/>
      <c r="DW451" s="532"/>
      <c r="DX451" s="532"/>
      <c r="DY451" s="532"/>
      <c r="DZ451" s="532"/>
      <c r="EA451" s="532"/>
      <c r="EB451" s="532"/>
      <c r="EC451" s="532"/>
      <c r="ED451" s="532"/>
      <c r="EE451" s="532"/>
      <c r="EF451" s="532"/>
      <c r="EG451" s="532"/>
      <c r="EH451" s="532"/>
      <c r="EI451" s="532"/>
      <c r="EJ451" s="532"/>
      <c r="EK451" s="532"/>
      <c r="EL451" s="532"/>
      <c r="EM451" s="532"/>
      <c r="EN451" s="532"/>
      <c r="EO451" s="532"/>
      <c r="EP451" s="532"/>
      <c r="EQ451" s="532"/>
      <c r="ER451" s="532"/>
      <c r="ES451" s="532"/>
      <c r="ET451" s="532"/>
      <c r="EU451" s="532"/>
      <c r="EV451" s="532"/>
      <c r="EW451" s="532"/>
      <c r="EX451" s="532"/>
      <c r="EY451" s="532"/>
      <c r="EZ451" s="532"/>
      <c r="FA451" s="532"/>
      <c r="FB451" s="532"/>
      <c r="FC451" s="532"/>
      <c r="FD451" s="532"/>
      <c r="FE451" s="532"/>
      <c r="FF451" s="532"/>
      <c r="FG451" s="532"/>
      <c r="FH451" s="532"/>
      <c r="FI451" s="532"/>
      <c r="FJ451" s="532"/>
      <c r="FK451" s="532"/>
      <c r="FL451" s="532"/>
      <c r="FM451" s="532"/>
      <c r="FN451" s="532"/>
      <c r="FO451" s="532"/>
      <c r="FP451" s="532"/>
    </row>
    <row r="452" spans="1:172" ht="12" customHeight="1" x14ac:dyDescent="0.2">
      <c r="A452" s="533" t="s">
        <v>320</v>
      </c>
      <c r="B452" s="534" t="s">
        <v>321</v>
      </c>
      <c r="C452" s="666">
        <v>31</v>
      </c>
      <c r="D452" s="208">
        <v>23</v>
      </c>
      <c r="E452" s="208">
        <v>11</v>
      </c>
      <c r="F452" s="208">
        <v>34</v>
      </c>
      <c r="G452" s="208">
        <v>40</v>
      </c>
      <c r="H452" s="208">
        <v>40</v>
      </c>
      <c r="I452" s="208">
        <v>12</v>
      </c>
      <c r="J452" s="208">
        <v>17</v>
      </c>
      <c r="K452" s="208">
        <v>34</v>
      </c>
      <c r="L452" s="562">
        <v>61</v>
      </c>
      <c r="M452" s="562">
        <v>23</v>
      </c>
      <c r="N452" s="562">
        <v>26</v>
      </c>
      <c r="O452" s="530">
        <f>SUM(C452:N452)</f>
        <v>352</v>
      </c>
      <c r="P452" s="531"/>
      <c r="Q452" s="531"/>
      <c r="R452" s="531"/>
      <c r="S452" s="531"/>
      <c r="T452" s="531"/>
      <c r="U452" s="531"/>
      <c r="V452" s="531"/>
      <c r="W452" s="531"/>
      <c r="X452" s="531"/>
      <c r="Y452" s="531"/>
      <c r="Z452" s="531"/>
      <c r="AA452" s="531"/>
      <c r="AB452" s="531"/>
      <c r="AC452" s="531"/>
      <c r="AD452" s="531"/>
      <c r="AE452" s="531"/>
      <c r="AF452" s="531"/>
      <c r="AG452" s="531"/>
      <c r="AH452" s="532"/>
      <c r="AI452" s="532"/>
      <c r="AJ452" s="532"/>
      <c r="AK452" s="532"/>
      <c r="AL452" s="532"/>
      <c r="AM452" s="532"/>
      <c r="AN452" s="532"/>
      <c r="AO452" s="532"/>
      <c r="AP452" s="532"/>
      <c r="AQ452" s="532"/>
      <c r="AR452" s="532"/>
      <c r="AS452" s="532"/>
      <c r="AT452" s="532"/>
      <c r="AU452" s="532"/>
      <c r="AV452" s="532"/>
      <c r="AW452" s="532"/>
      <c r="AX452" s="532"/>
      <c r="AY452" s="532"/>
      <c r="AZ452" s="532"/>
      <c r="BA452" s="532"/>
      <c r="BB452" s="532"/>
      <c r="BC452" s="532"/>
      <c r="BD452" s="532"/>
      <c r="BE452" s="532"/>
      <c r="BF452" s="532"/>
      <c r="BG452" s="532"/>
      <c r="BH452" s="532"/>
      <c r="BI452" s="532"/>
      <c r="BJ452" s="532"/>
      <c r="BK452" s="532"/>
      <c r="BL452" s="532"/>
      <c r="BM452" s="532"/>
      <c r="BN452" s="532"/>
      <c r="BO452" s="532"/>
      <c r="BP452" s="532"/>
      <c r="BQ452" s="532"/>
      <c r="BR452" s="532"/>
      <c r="BS452" s="532"/>
      <c r="BT452" s="532"/>
      <c r="BU452" s="532"/>
      <c r="BV452" s="532"/>
      <c r="BW452" s="532"/>
      <c r="BX452" s="532"/>
      <c r="BY452" s="532"/>
      <c r="BZ452" s="532"/>
      <c r="CA452" s="532"/>
      <c r="CB452" s="532"/>
      <c r="CC452" s="532"/>
      <c r="CD452" s="532"/>
      <c r="CE452" s="532"/>
      <c r="CF452" s="532"/>
      <c r="CG452" s="532"/>
      <c r="CH452" s="532"/>
      <c r="CI452" s="532"/>
      <c r="CJ452" s="532"/>
      <c r="CK452" s="532"/>
      <c r="CL452" s="532"/>
      <c r="CM452" s="532"/>
      <c r="CN452" s="532"/>
      <c r="CO452" s="532"/>
      <c r="CP452" s="532"/>
      <c r="CQ452" s="532"/>
      <c r="CR452" s="532"/>
      <c r="CS452" s="532"/>
      <c r="CT452" s="532"/>
      <c r="CU452" s="532"/>
      <c r="CV452" s="532"/>
      <c r="CW452" s="532"/>
      <c r="CX452" s="532"/>
      <c r="CY452" s="532"/>
      <c r="CZ452" s="532"/>
      <c r="DA452" s="532"/>
      <c r="DB452" s="532"/>
      <c r="DC452" s="532"/>
      <c r="DD452" s="532"/>
      <c r="DE452" s="532"/>
      <c r="DF452" s="532"/>
      <c r="DG452" s="532"/>
      <c r="DH452" s="532"/>
      <c r="DI452" s="532"/>
      <c r="DJ452" s="532"/>
      <c r="DK452" s="532"/>
      <c r="DL452" s="532"/>
      <c r="DM452" s="532"/>
      <c r="DN452" s="532"/>
      <c r="DO452" s="532"/>
      <c r="DP452" s="532"/>
      <c r="DQ452" s="532"/>
      <c r="DR452" s="532"/>
      <c r="DS452" s="532"/>
      <c r="DT452" s="532"/>
      <c r="DU452" s="532"/>
      <c r="DV452" s="532"/>
      <c r="DW452" s="532"/>
      <c r="DX452" s="532"/>
      <c r="DY452" s="532"/>
      <c r="DZ452" s="532"/>
      <c r="EA452" s="532"/>
      <c r="EB452" s="532"/>
      <c r="EC452" s="532"/>
      <c r="ED452" s="532"/>
      <c r="EE452" s="532"/>
      <c r="EF452" s="532"/>
      <c r="EG452" s="532"/>
      <c r="EH452" s="532"/>
      <c r="EI452" s="532"/>
      <c r="EJ452" s="532"/>
      <c r="EK452" s="532"/>
      <c r="EL452" s="532"/>
      <c r="EM452" s="532"/>
      <c r="EN452" s="532"/>
      <c r="EO452" s="532"/>
      <c r="EP452" s="532"/>
      <c r="EQ452" s="532"/>
      <c r="ER452" s="532"/>
      <c r="ES452" s="532"/>
      <c r="ET452" s="532"/>
      <c r="EU452" s="532"/>
      <c r="EV452" s="532"/>
      <c r="EW452" s="532"/>
      <c r="EX452" s="532"/>
      <c r="EY452" s="532"/>
      <c r="EZ452" s="532"/>
      <c r="FA452" s="532"/>
      <c r="FB452" s="532"/>
      <c r="FC452" s="532"/>
      <c r="FD452" s="532"/>
      <c r="FE452" s="532"/>
      <c r="FF452" s="532"/>
      <c r="FG452" s="532"/>
      <c r="FH452" s="532"/>
      <c r="FI452" s="532"/>
      <c r="FJ452" s="532"/>
      <c r="FK452" s="532"/>
      <c r="FL452" s="532"/>
      <c r="FM452" s="532"/>
      <c r="FN452" s="532"/>
      <c r="FO452" s="532"/>
      <c r="FP452" s="532"/>
    </row>
    <row r="453" spans="1:172" ht="12" customHeight="1" x14ac:dyDescent="0.2">
      <c r="A453" s="533"/>
      <c r="B453" s="534"/>
      <c r="C453" s="534"/>
      <c r="D453" s="534"/>
      <c r="E453" s="534"/>
      <c r="F453" s="534"/>
      <c r="G453" s="534"/>
      <c r="H453" s="534"/>
      <c r="I453" s="534"/>
      <c r="J453" s="534"/>
      <c r="K453" s="658"/>
      <c r="L453" s="562"/>
      <c r="M453" s="562"/>
      <c r="N453" s="562"/>
      <c r="O453" s="530"/>
      <c r="P453" s="531"/>
      <c r="Q453" s="531"/>
      <c r="R453" s="531"/>
      <c r="S453" s="531"/>
      <c r="T453" s="531"/>
      <c r="U453" s="531"/>
      <c r="V453" s="531"/>
      <c r="W453" s="531"/>
      <c r="X453" s="531"/>
      <c r="Y453" s="531"/>
      <c r="Z453" s="531"/>
      <c r="AA453" s="531"/>
      <c r="AB453" s="531"/>
      <c r="AC453" s="531"/>
      <c r="AD453" s="531"/>
      <c r="AE453" s="531"/>
      <c r="AF453" s="531"/>
      <c r="AG453" s="531"/>
      <c r="AH453" s="532"/>
      <c r="AI453" s="532"/>
      <c r="AJ453" s="532"/>
      <c r="AK453" s="532"/>
      <c r="AL453" s="532"/>
      <c r="AM453" s="532"/>
      <c r="AN453" s="532"/>
      <c r="AO453" s="532"/>
      <c r="AP453" s="532"/>
      <c r="AQ453" s="532"/>
      <c r="AR453" s="532"/>
      <c r="AS453" s="532"/>
      <c r="AT453" s="532"/>
      <c r="AU453" s="532"/>
      <c r="AV453" s="532"/>
      <c r="AW453" s="532"/>
      <c r="AX453" s="532"/>
      <c r="AY453" s="532"/>
      <c r="AZ453" s="532"/>
      <c r="BA453" s="532"/>
      <c r="BB453" s="532"/>
      <c r="BC453" s="532"/>
      <c r="BD453" s="532"/>
      <c r="BE453" s="532"/>
      <c r="BF453" s="532"/>
      <c r="BG453" s="532"/>
      <c r="BH453" s="532"/>
      <c r="BI453" s="532"/>
      <c r="BJ453" s="532"/>
      <c r="BK453" s="532"/>
      <c r="BL453" s="532"/>
      <c r="BM453" s="532"/>
      <c r="BN453" s="532"/>
      <c r="BO453" s="532"/>
      <c r="BP453" s="532"/>
      <c r="BQ453" s="532"/>
      <c r="BR453" s="532"/>
      <c r="BS453" s="532"/>
      <c r="BT453" s="532"/>
      <c r="BU453" s="532"/>
      <c r="BV453" s="532"/>
      <c r="BW453" s="532"/>
      <c r="BX453" s="532"/>
      <c r="BY453" s="532"/>
      <c r="BZ453" s="532"/>
      <c r="CA453" s="532"/>
      <c r="CB453" s="532"/>
      <c r="CC453" s="532"/>
      <c r="CD453" s="532"/>
      <c r="CE453" s="532"/>
      <c r="CF453" s="532"/>
      <c r="CG453" s="532"/>
      <c r="CH453" s="532"/>
      <c r="CI453" s="532"/>
      <c r="CJ453" s="532"/>
      <c r="CK453" s="532"/>
      <c r="CL453" s="532"/>
      <c r="CM453" s="532"/>
      <c r="CN453" s="532"/>
      <c r="CO453" s="532"/>
      <c r="CP453" s="532"/>
      <c r="CQ453" s="532"/>
      <c r="CR453" s="532"/>
      <c r="CS453" s="532"/>
      <c r="CT453" s="532"/>
      <c r="CU453" s="532"/>
      <c r="CV453" s="532"/>
      <c r="CW453" s="532"/>
      <c r="CX453" s="532"/>
      <c r="CY453" s="532"/>
      <c r="CZ453" s="532"/>
      <c r="DA453" s="532"/>
      <c r="DB453" s="532"/>
      <c r="DC453" s="532"/>
      <c r="DD453" s="532"/>
      <c r="DE453" s="532"/>
      <c r="DF453" s="532"/>
      <c r="DG453" s="532"/>
      <c r="DH453" s="532"/>
      <c r="DI453" s="532"/>
      <c r="DJ453" s="532"/>
      <c r="DK453" s="532"/>
      <c r="DL453" s="532"/>
      <c r="DM453" s="532"/>
      <c r="DN453" s="532"/>
      <c r="DO453" s="532"/>
      <c r="DP453" s="532"/>
      <c r="DQ453" s="532"/>
      <c r="DR453" s="532"/>
      <c r="DS453" s="532"/>
      <c r="DT453" s="532"/>
      <c r="DU453" s="532"/>
      <c r="DV453" s="532"/>
      <c r="DW453" s="532"/>
      <c r="DX453" s="532"/>
      <c r="DY453" s="532"/>
      <c r="DZ453" s="532"/>
      <c r="EA453" s="532"/>
      <c r="EB453" s="532"/>
      <c r="EC453" s="532"/>
      <c r="ED453" s="532"/>
      <c r="EE453" s="532"/>
      <c r="EF453" s="532"/>
      <c r="EG453" s="532"/>
      <c r="EH453" s="532"/>
      <c r="EI453" s="532"/>
      <c r="EJ453" s="532"/>
      <c r="EK453" s="532"/>
      <c r="EL453" s="532"/>
      <c r="EM453" s="532"/>
      <c r="EN453" s="532"/>
      <c r="EO453" s="532"/>
      <c r="EP453" s="532"/>
      <c r="EQ453" s="532"/>
      <c r="ER453" s="532"/>
      <c r="ES453" s="532"/>
      <c r="ET453" s="532"/>
      <c r="EU453" s="532"/>
      <c r="EV453" s="532"/>
      <c r="EW453" s="532"/>
      <c r="EX453" s="532"/>
      <c r="EY453" s="532"/>
      <c r="EZ453" s="532"/>
      <c r="FA453" s="532"/>
      <c r="FB453" s="532"/>
      <c r="FC453" s="532"/>
      <c r="FD453" s="532"/>
      <c r="FE453" s="532"/>
      <c r="FF453" s="532"/>
      <c r="FG453" s="532"/>
      <c r="FH453" s="532"/>
      <c r="FI453" s="532"/>
      <c r="FJ453" s="532"/>
      <c r="FK453" s="532"/>
      <c r="FL453" s="532"/>
      <c r="FM453" s="532"/>
      <c r="FN453" s="532"/>
      <c r="FO453" s="532"/>
      <c r="FP453" s="532"/>
    </row>
    <row r="454" spans="1:172" ht="12" customHeight="1" x14ac:dyDescent="0.2">
      <c r="A454" s="533" t="s">
        <v>322</v>
      </c>
      <c r="B454" s="534" t="s">
        <v>323</v>
      </c>
      <c r="C454" s="208">
        <v>0</v>
      </c>
      <c r="D454" s="208">
        <v>0</v>
      </c>
      <c r="E454" s="208">
        <v>0</v>
      </c>
      <c r="F454" s="208">
        <v>0</v>
      </c>
      <c r="G454" s="208">
        <v>0</v>
      </c>
      <c r="H454" s="208">
        <v>0</v>
      </c>
      <c r="I454" s="208">
        <v>0</v>
      </c>
      <c r="J454" s="208">
        <v>0</v>
      </c>
      <c r="K454" s="208">
        <v>0</v>
      </c>
      <c r="L454" s="562">
        <v>0</v>
      </c>
      <c r="M454" s="562">
        <v>0</v>
      </c>
      <c r="N454" s="562">
        <v>0</v>
      </c>
      <c r="O454" s="530">
        <f>SUM(C454:N454)</f>
        <v>0</v>
      </c>
      <c r="P454" s="531"/>
      <c r="Q454" s="531"/>
      <c r="R454" s="531"/>
      <c r="S454" s="531"/>
      <c r="T454" s="531"/>
      <c r="U454" s="531"/>
      <c r="V454" s="531"/>
      <c r="W454" s="531"/>
      <c r="X454" s="531"/>
      <c r="Y454" s="531"/>
      <c r="Z454" s="531"/>
      <c r="AA454" s="531"/>
      <c r="AB454" s="531"/>
      <c r="AC454" s="531"/>
      <c r="AD454" s="531"/>
      <c r="AE454" s="531"/>
      <c r="AF454" s="531"/>
      <c r="AG454" s="531"/>
      <c r="AH454" s="532"/>
      <c r="AI454" s="532"/>
      <c r="AJ454" s="532"/>
      <c r="AK454" s="532"/>
      <c r="AL454" s="532"/>
      <c r="AM454" s="532"/>
      <c r="AN454" s="532"/>
      <c r="AO454" s="532"/>
      <c r="AP454" s="532"/>
      <c r="AQ454" s="532"/>
      <c r="AR454" s="532"/>
      <c r="AS454" s="532"/>
      <c r="AT454" s="532"/>
      <c r="AU454" s="532"/>
      <c r="AV454" s="532"/>
      <c r="AW454" s="532"/>
      <c r="AX454" s="532"/>
      <c r="AY454" s="532"/>
      <c r="AZ454" s="532"/>
      <c r="BA454" s="532"/>
      <c r="BB454" s="532"/>
      <c r="BC454" s="532"/>
      <c r="BD454" s="532"/>
      <c r="BE454" s="532"/>
      <c r="BF454" s="532"/>
      <c r="BG454" s="532"/>
      <c r="BH454" s="532"/>
      <c r="BI454" s="532"/>
      <c r="BJ454" s="532"/>
      <c r="BK454" s="532"/>
      <c r="BL454" s="532"/>
      <c r="BM454" s="532"/>
      <c r="BN454" s="532"/>
      <c r="BO454" s="532"/>
      <c r="BP454" s="532"/>
      <c r="BQ454" s="532"/>
      <c r="BR454" s="532"/>
      <c r="BS454" s="532"/>
      <c r="BT454" s="532"/>
      <c r="BU454" s="532"/>
      <c r="BV454" s="532"/>
      <c r="BW454" s="532"/>
      <c r="BX454" s="532"/>
      <c r="BY454" s="532"/>
      <c r="BZ454" s="532"/>
      <c r="CA454" s="532"/>
      <c r="CB454" s="532"/>
      <c r="CC454" s="532"/>
      <c r="CD454" s="532"/>
      <c r="CE454" s="532"/>
      <c r="CF454" s="532"/>
      <c r="CG454" s="532"/>
      <c r="CH454" s="532"/>
      <c r="CI454" s="532"/>
      <c r="CJ454" s="532"/>
      <c r="CK454" s="532"/>
      <c r="CL454" s="532"/>
      <c r="CM454" s="532"/>
      <c r="CN454" s="532"/>
      <c r="CO454" s="532"/>
      <c r="CP454" s="532"/>
      <c r="CQ454" s="532"/>
      <c r="CR454" s="532"/>
      <c r="CS454" s="532"/>
      <c r="CT454" s="532"/>
      <c r="CU454" s="532"/>
      <c r="CV454" s="532"/>
      <c r="CW454" s="532"/>
      <c r="CX454" s="532"/>
      <c r="CY454" s="532"/>
      <c r="CZ454" s="532"/>
      <c r="DA454" s="532"/>
      <c r="DB454" s="532"/>
      <c r="DC454" s="532"/>
      <c r="DD454" s="532"/>
      <c r="DE454" s="532"/>
      <c r="DF454" s="532"/>
      <c r="DG454" s="532"/>
      <c r="DH454" s="532"/>
      <c r="DI454" s="532"/>
      <c r="DJ454" s="532"/>
      <c r="DK454" s="532"/>
      <c r="DL454" s="532"/>
      <c r="DM454" s="532"/>
      <c r="DN454" s="532"/>
      <c r="DO454" s="532"/>
      <c r="DP454" s="532"/>
      <c r="DQ454" s="532"/>
      <c r="DR454" s="532"/>
      <c r="DS454" s="532"/>
      <c r="DT454" s="532"/>
      <c r="DU454" s="532"/>
      <c r="DV454" s="532"/>
      <c r="DW454" s="532"/>
      <c r="DX454" s="532"/>
      <c r="DY454" s="532"/>
      <c r="DZ454" s="532"/>
      <c r="EA454" s="532"/>
      <c r="EB454" s="532"/>
      <c r="EC454" s="532"/>
      <c r="ED454" s="532"/>
      <c r="EE454" s="532"/>
      <c r="EF454" s="532"/>
      <c r="EG454" s="532"/>
      <c r="EH454" s="532"/>
      <c r="EI454" s="532"/>
      <c r="EJ454" s="532"/>
      <c r="EK454" s="532"/>
      <c r="EL454" s="532"/>
      <c r="EM454" s="532"/>
      <c r="EN454" s="532"/>
      <c r="EO454" s="532"/>
      <c r="EP454" s="532"/>
      <c r="EQ454" s="532"/>
      <c r="ER454" s="532"/>
      <c r="ES454" s="532"/>
      <c r="ET454" s="532"/>
      <c r="EU454" s="532"/>
      <c r="EV454" s="532"/>
      <c r="EW454" s="532"/>
      <c r="EX454" s="532"/>
      <c r="EY454" s="532"/>
      <c r="EZ454" s="532"/>
      <c r="FA454" s="532"/>
      <c r="FB454" s="532"/>
      <c r="FC454" s="532"/>
      <c r="FD454" s="532"/>
      <c r="FE454" s="532"/>
      <c r="FF454" s="532"/>
      <c r="FG454" s="532"/>
      <c r="FH454" s="532"/>
      <c r="FI454" s="532"/>
      <c r="FJ454" s="532"/>
      <c r="FK454" s="532"/>
      <c r="FL454" s="532"/>
      <c r="FM454" s="532"/>
      <c r="FN454" s="532"/>
      <c r="FO454" s="532"/>
      <c r="FP454" s="532"/>
    </row>
    <row r="455" spans="1:172" ht="12" customHeight="1" x14ac:dyDescent="0.2">
      <c r="A455" s="533" t="s">
        <v>324</v>
      </c>
      <c r="B455" s="534" t="s">
        <v>325</v>
      </c>
      <c r="C455" s="208">
        <v>39</v>
      </c>
      <c r="D455" s="208">
        <f>38+2</f>
        <v>40</v>
      </c>
      <c r="E455" s="208">
        <v>27</v>
      </c>
      <c r="F455" s="208">
        <v>30</v>
      </c>
      <c r="G455" s="208">
        <v>6</v>
      </c>
      <c r="H455" s="208">
        <v>2</v>
      </c>
      <c r="I455" s="208">
        <v>0</v>
      </c>
      <c r="J455" s="208">
        <v>0</v>
      </c>
      <c r="K455" s="208">
        <v>0</v>
      </c>
      <c r="L455" s="562">
        <v>40</v>
      </c>
      <c r="M455" s="562">
        <v>47</v>
      </c>
      <c r="N455" s="562">
        <v>43</v>
      </c>
      <c r="O455" s="530">
        <f>SUM(C455:N455)</f>
        <v>274</v>
      </c>
      <c r="P455" s="531"/>
      <c r="Q455" s="531"/>
      <c r="R455" s="531"/>
      <c r="S455" s="531"/>
      <c r="T455" s="531"/>
      <c r="U455" s="531"/>
      <c r="V455" s="531"/>
      <c r="W455" s="531"/>
      <c r="X455" s="531"/>
      <c r="Y455" s="531"/>
      <c r="Z455" s="531"/>
      <c r="AA455" s="531"/>
      <c r="AB455" s="531"/>
      <c r="AC455" s="531"/>
      <c r="AD455" s="531"/>
      <c r="AE455" s="531"/>
      <c r="AF455" s="531"/>
      <c r="AG455" s="531"/>
      <c r="AH455" s="532"/>
      <c r="AI455" s="532"/>
      <c r="AJ455" s="532"/>
      <c r="AK455" s="532"/>
      <c r="AL455" s="532"/>
      <c r="AM455" s="532"/>
      <c r="AN455" s="532"/>
      <c r="AO455" s="532"/>
      <c r="AP455" s="532"/>
      <c r="AQ455" s="532"/>
      <c r="AR455" s="532"/>
      <c r="AS455" s="532"/>
      <c r="AT455" s="532"/>
      <c r="AU455" s="532"/>
      <c r="AV455" s="532"/>
      <c r="AW455" s="532"/>
      <c r="AX455" s="532"/>
      <c r="AY455" s="532"/>
      <c r="AZ455" s="532"/>
      <c r="BA455" s="532"/>
      <c r="BB455" s="532"/>
      <c r="BC455" s="532"/>
      <c r="BD455" s="532"/>
      <c r="BE455" s="532"/>
      <c r="BF455" s="532"/>
      <c r="BG455" s="532"/>
      <c r="BH455" s="532"/>
      <c r="BI455" s="532"/>
      <c r="BJ455" s="532"/>
      <c r="BK455" s="532"/>
      <c r="BL455" s="532"/>
      <c r="BM455" s="532"/>
      <c r="BN455" s="532"/>
      <c r="BO455" s="532"/>
      <c r="BP455" s="532"/>
      <c r="BQ455" s="532"/>
      <c r="BR455" s="532"/>
      <c r="BS455" s="532"/>
      <c r="BT455" s="532"/>
      <c r="BU455" s="532"/>
      <c r="BV455" s="532"/>
      <c r="BW455" s="532"/>
      <c r="BX455" s="532"/>
      <c r="BY455" s="532"/>
      <c r="BZ455" s="532"/>
      <c r="CA455" s="532"/>
      <c r="CB455" s="532"/>
      <c r="CC455" s="532"/>
      <c r="CD455" s="532"/>
      <c r="CE455" s="532"/>
      <c r="CF455" s="532"/>
      <c r="CG455" s="532"/>
      <c r="CH455" s="532"/>
      <c r="CI455" s="532"/>
      <c r="CJ455" s="532"/>
      <c r="CK455" s="532"/>
      <c r="CL455" s="532"/>
      <c r="CM455" s="532"/>
      <c r="CN455" s="532"/>
      <c r="CO455" s="532"/>
      <c r="CP455" s="532"/>
      <c r="CQ455" s="532"/>
      <c r="CR455" s="532"/>
      <c r="CS455" s="532"/>
      <c r="CT455" s="532"/>
      <c r="CU455" s="532"/>
      <c r="CV455" s="532"/>
      <c r="CW455" s="532"/>
      <c r="CX455" s="532"/>
      <c r="CY455" s="532"/>
      <c r="CZ455" s="532"/>
      <c r="DA455" s="532"/>
      <c r="DB455" s="532"/>
      <c r="DC455" s="532"/>
      <c r="DD455" s="532"/>
      <c r="DE455" s="532"/>
      <c r="DF455" s="532"/>
      <c r="DG455" s="532"/>
      <c r="DH455" s="532"/>
      <c r="DI455" s="532"/>
      <c r="DJ455" s="532"/>
      <c r="DK455" s="532"/>
      <c r="DL455" s="532"/>
      <c r="DM455" s="532"/>
      <c r="DN455" s="532"/>
      <c r="DO455" s="532"/>
      <c r="DP455" s="532"/>
      <c r="DQ455" s="532"/>
      <c r="DR455" s="532"/>
      <c r="DS455" s="532"/>
      <c r="DT455" s="532"/>
      <c r="DU455" s="532"/>
      <c r="DV455" s="532"/>
      <c r="DW455" s="532"/>
      <c r="DX455" s="532"/>
      <c r="DY455" s="532"/>
      <c r="DZ455" s="532"/>
      <c r="EA455" s="532"/>
      <c r="EB455" s="532"/>
      <c r="EC455" s="532"/>
      <c r="ED455" s="532"/>
      <c r="EE455" s="532"/>
      <c r="EF455" s="532"/>
      <c r="EG455" s="532"/>
      <c r="EH455" s="532"/>
      <c r="EI455" s="532"/>
      <c r="EJ455" s="532"/>
      <c r="EK455" s="532"/>
      <c r="EL455" s="532"/>
      <c r="EM455" s="532"/>
      <c r="EN455" s="532"/>
      <c r="EO455" s="532"/>
      <c r="EP455" s="532"/>
      <c r="EQ455" s="532"/>
      <c r="ER455" s="532"/>
      <c r="ES455" s="532"/>
      <c r="ET455" s="532"/>
      <c r="EU455" s="532"/>
      <c r="EV455" s="532"/>
      <c r="EW455" s="532"/>
      <c r="EX455" s="532"/>
      <c r="EY455" s="532"/>
      <c r="EZ455" s="532"/>
      <c r="FA455" s="532"/>
      <c r="FB455" s="532"/>
      <c r="FC455" s="532"/>
      <c r="FD455" s="532"/>
      <c r="FE455" s="532"/>
      <c r="FF455" s="532"/>
      <c r="FG455" s="532"/>
      <c r="FH455" s="532"/>
      <c r="FI455" s="532"/>
      <c r="FJ455" s="532"/>
      <c r="FK455" s="532"/>
      <c r="FL455" s="532"/>
      <c r="FM455" s="532"/>
      <c r="FN455" s="532"/>
      <c r="FO455" s="532"/>
      <c r="FP455" s="532"/>
    </row>
    <row r="456" spans="1:172" ht="12" customHeight="1" x14ac:dyDescent="0.2">
      <c r="A456" s="533" t="s">
        <v>326</v>
      </c>
      <c r="B456" s="534"/>
      <c r="C456" s="208">
        <f t="shared" ref="C456:N456" si="193">SUM(C454:C455)</f>
        <v>39</v>
      </c>
      <c r="D456" s="208">
        <f t="shared" si="193"/>
        <v>40</v>
      </c>
      <c r="E456" s="208">
        <f t="shared" si="193"/>
        <v>27</v>
      </c>
      <c r="F456" s="208">
        <f t="shared" si="193"/>
        <v>30</v>
      </c>
      <c r="G456" s="208">
        <f t="shared" si="193"/>
        <v>6</v>
      </c>
      <c r="H456" s="208">
        <f t="shared" si="193"/>
        <v>2</v>
      </c>
      <c r="I456" s="208">
        <f t="shared" si="193"/>
        <v>0</v>
      </c>
      <c r="J456" s="208">
        <f t="shared" si="193"/>
        <v>0</v>
      </c>
      <c r="K456" s="208">
        <f t="shared" si="193"/>
        <v>0</v>
      </c>
      <c r="L456" s="562">
        <f t="shared" si="193"/>
        <v>40</v>
      </c>
      <c r="M456" s="562">
        <f t="shared" si="193"/>
        <v>47</v>
      </c>
      <c r="N456" s="562">
        <f t="shared" si="193"/>
        <v>43</v>
      </c>
      <c r="O456" s="530">
        <f>SUM(C456:N456)</f>
        <v>274</v>
      </c>
      <c r="P456" s="531"/>
      <c r="Q456" s="531"/>
      <c r="R456" s="531"/>
      <c r="S456" s="531"/>
      <c r="T456" s="531"/>
      <c r="U456" s="531"/>
      <c r="V456" s="531"/>
      <c r="W456" s="531"/>
      <c r="X456" s="531"/>
      <c r="Y456" s="531"/>
      <c r="Z456" s="531"/>
      <c r="AA456" s="531"/>
      <c r="AB456" s="531"/>
      <c r="AC456" s="531"/>
      <c r="AD456" s="531"/>
      <c r="AE456" s="531"/>
      <c r="AF456" s="531"/>
      <c r="AG456" s="531"/>
      <c r="AH456" s="532"/>
      <c r="AI456" s="532"/>
      <c r="AJ456" s="532"/>
      <c r="AK456" s="532"/>
      <c r="AL456" s="532"/>
      <c r="AM456" s="532"/>
      <c r="AN456" s="532"/>
      <c r="AO456" s="532"/>
      <c r="AP456" s="532"/>
      <c r="AQ456" s="532"/>
      <c r="AR456" s="532"/>
      <c r="AS456" s="532"/>
      <c r="AT456" s="532"/>
      <c r="AU456" s="532"/>
      <c r="AV456" s="532"/>
      <c r="AW456" s="532"/>
      <c r="AX456" s="532"/>
      <c r="AY456" s="532"/>
      <c r="AZ456" s="532"/>
      <c r="BA456" s="532"/>
      <c r="BB456" s="532"/>
      <c r="BC456" s="532"/>
      <c r="BD456" s="532"/>
      <c r="BE456" s="532"/>
      <c r="BF456" s="532"/>
      <c r="BG456" s="532"/>
      <c r="BH456" s="532"/>
      <c r="BI456" s="532"/>
      <c r="BJ456" s="532"/>
      <c r="BK456" s="532"/>
      <c r="BL456" s="532"/>
      <c r="BM456" s="532"/>
      <c r="BN456" s="532"/>
      <c r="BO456" s="532"/>
      <c r="BP456" s="532"/>
      <c r="BQ456" s="532"/>
      <c r="BR456" s="532"/>
      <c r="BS456" s="532"/>
      <c r="BT456" s="532"/>
      <c r="BU456" s="532"/>
      <c r="BV456" s="532"/>
      <c r="BW456" s="532"/>
      <c r="BX456" s="532"/>
      <c r="BY456" s="532"/>
      <c r="BZ456" s="532"/>
      <c r="CA456" s="532"/>
      <c r="CB456" s="532"/>
      <c r="CC456" s="532"/>
      <c r="CD456" s="532"/>
      <c r="CE456" s="532"/>
      <c r="CF456" s="532"/>
      <c r="CG456" s="532"/>
      <c r="CH456" s="532"/>
      <c r="CI456" s="532"/>
      <c r="CJ456" s="532"/>
      <c r="CK456" s="532"/>
      <c r="CL456" s="532"/>
      <c r="CM456" s="532"/>
      <c r="CN456" s="532"/>
      <c r="CO456" s="532"/>
      <c r="CP456" s="532"/>
      <c r="CQ456" s="532"/>
      <c r="CR456" s="532"/>
      <c r="CS456" s="532"/>
      <c r="CT456" s="532"/>
      <c r="CU456" s="532"/>
      <c r="CV456" s="532"/>
      <c r="CW456" s="532"/>
      <c r="CX456" s="532"/>
      <c r="CY456" s="532"/>
      <c r="CZ456" s="532"/>
      <c r="DA456" s="532"/>
      <c r="DB456" s="532"/>
      <c r="DC456" s="532"/>
      <c r="DD456" s="532"/>
      <c r="DE456" s="532"/>
      <c r="DF456" s="532"/>
      <c r="DG456" s="532"/>
      <c r="DH456" s="532"/>
      <c r="DI456" s="532"/>
      <c r="DJ456" s="532"/>
      <c r="DK456" s="532"/>
      <c r="DL456" s="532"/>
      <c r="DM456" s="532"/>
      <c r="DN456" s="532"/>
      <c r="DO456" s="532"/>
      <c r="DP456" s="532"/>
      <c r="DQ456" s="532"/>
      <c r="DR456" s="532"/>
      <c r="DS456" s="532"/>
      <c r="DT456" s="532"/>
      <c r="DU456" s="532"/>
      <c r="DV456" s="532"/>
      <c r="DW456" s="532"/>
      <c r="DX456" s="532"/>
      <c r="DY456" s="532"/>
      <c r="DZ456" s="532"/>
      <c r="EA456" s="532"/>
      <c r="EB456" s="532"/>
      <c r="EC456" s="532"/>
      <c r="ED456" s="532"/>
      <c r="EE456" s="532"/>
      <c r="EF456" s="532"/>
      <c r="EG456" s="532"/>
      <c r="EH456" s="532"/>
      <c r="EI456" s="532"/>
      <c r="EJ456" s="532"/>
      <c r="EK456" s="532"/>
      <c r="EL456" s="532"/>
      <c r="EM456" s="532"/>
      <c r="EN456" s="532"/>
      <c r="EO456" s="532"/>
      <c r="EP456" s="532"/>
      <c r="EQ456" s="532"/>
      <c r="ER456" s="532"/>
      <c r="ES456" s="532"/>
      <c r="ET456" s="532"/>
      <c r="EU456" s="532"/>
      <c r="EV456" s="532"/>
      <c r="EW456" s="532"/>
      <c r="EX456" s="532"/>
      <c r="EY456" s="532"/>
      <c r="EZ456" s="532"/>
      <c r="FA456" s="532"/>
      <c r="FB456" s="532"/>
      <c r="FC456" s="532"/>
      <c r="FD456" s="532"/>
      <c r="FE456" s="532"/>
      <c r="FF456" s="532"/>
      <c r="FG456" s="532"/>
      <c r="FH456" s="532"/>
      <c r="FI456" s="532"/>
      <c r="FJ456" s="532"/>
      <c r="FK456" s="532"/>
      <c r="FL456" s="532"/>
      <c r="FM456" s="532"/>
      <c r="FN456" s="532"/>
      <c r="FO456" s="532"/>
      <c r="FP456" s="532"/>
    </row>
    <row r="457" spans="1:172" ht="12" customHeight="1" x14ac:dyDescent="0.2">
      <c r="A457" s="533"/>
      <c r="B457" s="534"/>
      <c r="C457" s="534"/>
      <c r="D457" s="534"/>
      <c r="E457" s="534"/>
      <c r="F457" s="534"/>
      <c r="G457" s="534"/>
      <c r="H457" s="534"/>
      <c r="I457" s="534"/>
      <c r="J457" s="534"/>
      <c r="K457" s="658"/>
      <c r="L457" s="562"/>
      <c r="M457" s="562"/>
      <c r="N457" s="562"/>
      <c r="O457" s="530"/>
      <c r="P457" s="531"/>
      <c r="Q457" s="531"/>
      <c r="R457" s="531"/>
      <c r="S457" s="531"/>
      <c r="T457" s="531"/>
      <c r="U457" s="531"/>
      <c r="V457" s="531"/>
      <c r="W457" s="531"/>
      <c r="X457" s="531"/>
      <c r="Y457" s="531"/>
      <c r="Z457" s="531"/>
      <c r="AA457" s="531"/>
      <c r="AB457" s="531"/>
      <c r="AC457" s="531"/>
      <c r="AD457" s="531"/>
      <c r="AE457" s="531"/>
      <c r="AF457" s="531"/>
      <c r="AG457" s="531"/>
      <c r="AH457" s="532"/>
      <c r="AI457" s="532"/>
      <c r="AJ457" s="532"/>
      <c r="AK457" s="532"/>
      <c r="AL457" s="532"/>
      <c r="AM457" s="532"/>
      <c r="AN457" s="532"/>
      <c r="AO457" s="532"/>
      <c r="AP457" s="532"/>
      <c r="AQ457" s="532"/>
      <c r="AR457" s="532"/>
      <c r="AS457" s="532"/>
      <c r="AT457" s="532"/>
      <c r="AU457" s="532"/>
      <c r="AV457" s="532"/>
      <c r="AW457" s="532"/>
      <c r="AX457" s="532"/>
      <c r="AY457" s="532"/>
      <c r="AZ457" s="532"/>
      <c r="BA457" s="532"/>
      <c r="BB457" s="532"/>
      <c r="BC457" s="532"/>
      <c r="BD457" s="532"/>
      <c r="BE457" s="532"/>
      <c r="BF457" s="532"/>
      <c r="BG457" s="532"/>
      <c r="BH457" s="532"/>
      <c r="BI457" s="532"/>
      <c r="BJ457" s="532"/>
      <c r="BK457" s="532"/>
      <c r="BL457" s="532"/>
      <c r="BM457" s="532"/>
      <c r="BN457" s="532"/>
      <c r="BO457" s="532"/>
      <c r="BP457" s="532"/>
      <c r="BQ457" s="532"/>
      <c r="BR457" s="532"/>
      <c r="BS457" s="532"/>
      <c r="BT457" s="532"/>
      <c r="BU457" s="532"/>
      <c r="BV457" s="532"/>
      <c r="BW457" s="532"/>
      <c r="BX457" s="532"/>
      <c r="BY457" s="532"/>
      <c r="BZ457" s="532"/>
      <c r="CA457" s="532"/>
      <c r="CB457" s="532"/>
      <c r="CC457" s="532"/>
      <c r="CD457" s="532"/>
      <c r="CE457" s="532"/>
      <c r="CF457" s="532"/>
      <c r="CG457" s="532"/>
      <c r="CH457" s="532"/>
      <c r="CI457" s="532"/>
      <c r="CJ457" s="532"/>
      <c r="CK457" s="532"/>
      <c r="CL457" s="532"/>
      <c r="CM457" s="532"/>
      <c r="CN457" s="532"/>
      <c r="CO457" s="532"/>
      <c r="CP457" s="532"/>
      <c r="CQ457" s="532"/>
      <c r="CR457" s="532"/>
      <c r="CS457" s="532"/>
      <c r="CT457" s="532"/>
      <c r="CU457" s="532"/>
      <c r="CV457" s="532"/>
      <c r="CW457" s="532"/>
      <c r="CX457" s="532"/>
      <c r="CY457" s="532"/>
      <c r="CZ457" s="532"/>
      <c r="DA457" s="532"/>
      <c r="DB457" s="532"/>
      <c r="DC457" s="532"/>
      <c r="DD457" s="532"/>
      <c r="DE457" s="532"/>
      <c r="DF457" s="532"/>
      <c r="DG457" s="532"/>
      <c r="DH457" s="532"/>
      <c r="DI457" s="532"/>
      <c r="DJ457" s="532"/>
      <c r="DK457" s="532"/>
      <c r="DL457" s="532"/>
      <c r="DM457" s="532"/>
      <c r="DN457" s="532"/>
      <c r="DO457" s="532"/>
      <c r="DP457" s="532"/>
      <c r="DQ457" s="532"/>
      <c r="DR457" s="532"/>
      <c r="DS457" s="532"/>
      <c r="DT457" s="532"/>
      <c r="DU457" s="532"/>
      <c r="DV457" s="532"/>
      <c r="DW457" s="532"/>
      <c r="DX457" s="532"/>
      <c r="DY457" s="532"/>
      <c r="DZ457" s="532"/>
      <c r="EA457" s="532"/>
      <c r="EB457" s="532"/>
      <c r="EC457" s="532"/>
      <c r="ED457" s="532"/>
      <c r="EE457" s="532"/>
      <c r="EF457" s="532"/>
      <c r="EG457" s="532"/>
      <c r="EH457" s="532"/>
      <c r="EI457" s="532"/>
      <c r="EJ457" s="532"/>
      <c r="EK457" s="532"/>
      <c r="EL457" s="532"/>
      <c r="EM457" s="532"/>
      <c r="EN457" s="532"/>
      <c r="EO457" s="532"/>
      <c r="EP457" s="532"/>
      <c r="EQ457" s="532"/>
      <c r="ER457" s="532"/>
      <c r="ES457" s="532"/>
      <c r="ET457" s="532"/>
      <c r="EU457" s="532"/>
      <c r="EV457" s="532"/>
      <c r="EW457" s="532"/>
      <c r="EX457" s="532"/>
      <c r="EY457" s="532"/>
      <c r="EZ457" s="532"/>
      <c r="FA457" s="532"/>
      <c r="FB457" s="532"/>
      <c r="FC457" s="532"/>
      <c r="FD457" s="532"/>
      <c r="FE457" s="532"/>
      <c r="FF457" s="532"/>
      <c r="FG457" s="532"/>
      <c r="FH457" s="532"/>
      <c r="FI457" s="532"/>
      <c r="FJ457" s="532"/>
      <c r="FK457" s="532"/>
      <c r="FL457" s="532"/>
      <c r="FM457" s="532"/>
      <c r="FN457" s="532"/>
      <c r="FO457" s="532"/>
      <c r="FP457" s="532"/>
    </row>
    <row r="458" spans="1:172" ht="12" customHeight="1" x14ac:dyDescent="0.2">
      <c r="A458" s="533" t="s">
        <v>327</v>
      </c>
      <c r="B458" s="534" t="s">
        <v>328</v>
      </c>
      <c r="C458" s="658">
        <v>0</v>
      </c>
      <c r="D458" s="658">
        <v>0</v>
      </c>
      <c r="E458" s="658">
        <v>0</v>
      </c>
      <c r="F458" s="658">
        <v>0</v>
      </c>
      <c r="G458" s="658">
        <v>0</v>
      </c>
      <c r="H458" s="658">
        <v>0</v>
      </c>
      <c r="I458" s="658">
        <v>0</v>
      </c>
      <c r="J458" s="658">
        <v>0</v>
      </c>
      <c r="K458" s="658">
        <v>0</v>
      </c>
      <c r="L458" s="562">
        <v>0</v>
      </c>
      <c r="M458" s="562">
        <v>0</v>
      </c>
      <c r="N458" s="562">
        <v>0</v>
      </c>
      <c r="O458" s="530">
        <f>SUM(C458:N458)</f>
        <v>0</v>
      </c>
      <c r="P458" s="531"/>
      <c r="Q458" s="531"/>
      <c r="R458" s="531"/>
      <c r="S458" s="531"/>
      <c r="T458" s="531"/>
      <c r="U458" s="531"/>
      <c r="V458" s="531"/>
      <c r="W458" s="531"/>
      <c r="X458" s="531"/>
      <c r="Y458" s="531"/>
      <c r="Z458" s="531"/>
      <c r="AA458" s="531"/>
      <c r="AB458" s="531"/>
      <c r="AC458" s="531"/>
      <c r="AD458" s="531"/>
      <c r="AE458" s="531"/>
      <c r="AF458" s="531"/>
      <c r="AG458" s="531"/>
      <c r="AH458" s="532"/>
      <c r="AI458" s="532"/>
      <c r="AJ458" s="532"/>
      <c r="AK458" s="532"/>
      <c r="AL458" s="532"/>
      <c r="AM458" s="532"/>
      <c r="AN458" s="532"/>
      <c r="AO458" s="532"/>
      <c r="AP458" s="532"/>
      <c r="AQ458" s="532"/>
      <c r="AR458" s="532"/>
      <c r="AS458" s="532"/>
      <c r="AT458" s="532"/>
      <c r="AU458" s="532"/>
      <c r="AV458" s="532"/>
      <c r="AW458" s="532"/>
      <c r="AX458" s="532"/>
      <c r="AY458" s="532"/>
      <c r="AZ458" s="532"/>
      <c r="BA458" s="532"/>
      <c r="BB458" s="532"/>
      <c r="BC458" s="532"/>
      <c r="BD458" s="532"/>
      <c r="BE458" s="532"/>
      <c r="BF458" s="532"/>
      <c r="BG458" s="532"/>
      <c r="BH458" s="532"/>
      <c r="BI458" s="532"/>
      <c r="BJ458" s="532"/>
      <c r="BK458" s="532"/>
      <c r="BL458" s="532"/>
      <c r="BM458" s="532"/>
      <c r="BN458" s="532"/>
      <c r="BO458" s="532"/>
      <c r="BP458" s="532"/>
      <c r="BQ458" s="532"/>
      <c r="BR458" s="532"/>
      <c r="BS458" s="532"/>
      <c r="BT458" s="532"/>
      <c r="BU458" s="532"/>
      <c r="BV458" s="532"/>
      <c r="BW458" s="532"/>
      <c r="BX458" s="532"/>
      <c r="BY458" s="532"/>
      <c r="BZ458" s="532"/>
      <c r="CA458" s="532"/>
      <c r="CB458" s="532"/>
      <c r="CC458" s="532"/>
      <c r="CD458" s="532"/>
      <c r="CE458" s="532"/>
      <c r="CF458" s="532"/>
      <c r="CG458" s="532"/>
      <c r="CH458" s="532"/>
      <c r="CI458" s="532"/>
      <c r="CJ458" s="532"/>
      <c r="CK458" s="532"/>
      <c r="CL458" s="532"/>
      <c r="CM458" s="532"/>
      <c r="CN458" s="532"/>
      <c r="CO458" s="532"/>
      <c r="CP458" s="532"/>
      <c r="CQ458" s="532"/>
      <c r="CR458" s="532"/>
      <c r="CS458" s="532"/>
      <c r="CT458" s="532"/>
      <c r="CU458" s="532"/>
      <c r="CV458" s="532"/>
      <c r="CW458" s="532"/>
      <c r="CX458" s="532"/>
      <c r="CY458" s="532"/>
      <c r="CZ458" s="532"/>
      <c r="DA458" s="532"/>
      <c r="DB458" s="532"/>
      <c r="DC458" s="532"/>
      <c r="DD458" s="532"/>
      <c r="DE458" s="532"/>
      <c r="DF458" s="532"/>
      <c r="DG458" s="532"/>
      <c r="DH458" s="532"/>
      <c r="DI458" s="532"/>
      <c r="DJ458" s="532"/>
      <c r="DK458" s="532"/>
      <c r="DL458" s="532"/>
      <c r="DM458" s="532"/>
      <c r="DN458" s="532"/>
      <c r="DO458" s="532"/>
      <c r="DP458" s="532"/>
      <c r="DQ458" s="532"/>
      <c r="DR458" s="532"/>
      <c r="DS458" s="532"/>
      <c r="DT458" s="532"/>
      <c r="DU458" s="532"/>
      <c r="DV458" s="532"/>
      <c r="DW458" s="532"/>
      <c r="DX458" s="532"/>
      <c r="DY458" s="532"/>
      <c r="DZ458" s="532"/>
      <c r="EA458" s="532"/>
      <c r="EB458" s="532"/>
      <c r="EC458" s="532"/>
      <c r="ED458" s="532"/>
      <c r="EE458" s="532"/>
      <c r="EF458" s="532"/>
      <c r="EG458" s="532"/>
      <c r="EH458" s="532"/>
      <c r="EI458" s="532"/>
      <c r="EJ458" s="532"/>
      <c r="EK458" s="532"/>
      <c r="EL458" s="532"/>
      <c r="EM458" s="532"/>
      <c r="EN458" s="532"/>
      <c r="EO458" s="532"/>
      <c r="EP458" s="532"/>
      <c r="EQ458" s="532"/>
      <c r="ER458" s="532"/>
      <c r="ES458" s="532"/>
      <c r="ET458" s="532"/>
      <c r="EU458" s="532"/>
      <c r="EV458" s="532"/>
      <c r="EW458" s="532"/>
      <c r="EX458" s="532"/>
      <c r="EY458" s="532"/>
      <c r="EZ458" s="532"/>
      <c r="FA458" s="532"/>
      <c r="FB458" s="532"/>
      <c r="FC458" s="532"/>
      <c r="FD458" s="532"/>
      <c r="FE458" s="532"/>
      <c r="FF458" s="532"/>
      <c r="FG458" s="532"/>
      <c r="FH458" s="532"/>
      <c r="FI458" s="532"/>
      <c r="FJ458" s="532"/>
      <c r="FK458" s="532"/>
      <c r="FL458" s="532"/>
      <c r="FM458" s="532"/>
      <c r="FN458" s="532"/>
      <c r="FO458" s="532"/>
      <c r="FP458" s="532"/>
    </row>
    <row r="459" spans="1:172" ht="12" customHeight="1" x14ac:dyDescent="0.2">
      <c r="A459" s="533" t="s">
        <v>329</v>
      </c>
      <c r="B459" s="534" t="s">
        <v>330</v>
      </c>
      <c r="C459" s="658">
        <v>3</v>
      </c>
      <c r="D459" s="658">
        <v>2</v>
      </c>
      <c r="E459" s="658">
        <v>1</v>
      </c>
      <c r="F459" s="658">
        <v>2</v>
      </c>
      <c r="G459" s="658">
        <v>1</v>
      </c>
      <c r="H459" s="658">
        <v>1</v>
      </c>
      <c r="I459" s="658">
        <v>0</v>
      </c>
      <c r="J459" s="658">
        <v>0</v>
      </c>
      <c r="K459" s="658">
        <v>1</v>
      </c>
      <c r="L459" s="562">
        <v>2</v>
      </c>
      <c r="M459" s="562">
        <v>3</v>
      </c>
      <c r="N459" s="562">
        <v>2</v>
      </c>
      <c r="O459" s="530">
        <f>SUM(C459:N459)</f>
        <v>18</v>
      </c>
      <c r="P459" s="531"/>
      <c r="Q459" s="531"/>
      <c r="R459" s="531"/>
      <c r="S459" s="531"/>
      <c r="T459" s="531"/>
      <c r="U459" s="531"/>
      <c r="V459" s="531"/>
      <c r="W459" s="531"/>
      <c r="X459" s="531"/>
      <c r="Y459" s="531"/>
      <c r="Z459" s="531"/>
      <c r="AA459" s="531"/>
      <c r="AB459" s="531"/>
      <c r="AC459" s="531"/>
      <c r="AD459" s="531"/>
      <c r="AE459" s="531"/>
      <c r="AF459" s="531"/>
      <c r="AG459" s="531"/>
      <c r="AH459" s="532"/>
      <c r="AI459" s="532"/>
      <c r="AJ459" s="532"/>
      <c r="AK459" s="532"/>
      <c r="AL459" s="532"/>
      <c r="AM459" s="532"/>
      <c r="AN459" s="532"/>
      <c r="AO459" s="532"/>
      <c r="AP459" s="532"/>
      <c r="AQ459" s="532"/>
      <c r="AR459" s="532"/>
      <c r="AS459" s="532"/>
      <c r="AT459" s="532"/>
      <c r="AU459" s="532"/>
      <c r="AV459" s="532"/>
      <c r="AW459" s="532"/>
      <c r="AX459" s="532"/>
      <c r="AY459" s="532"/>
      <c r="AZ459" s="532"/>
      <c r="BA459" s="532"/>
      <c r="BB459" s="532"/>
      <c r="BC459" s="532"/>
      <c r="BD459" s="532"/>
      <c r="BE459" s="532"/>
      <c r="BF459" s="532"/>
      <c r="BG459" s="532"/>
      <c r="BH459" s="532"/>
      <c r="BI459" s="532"/>
      <c r="BJ459" s="532"/>
      <c r="BK459" s="532"/>
      <c r="BL459" s="532"/>
      <c r="BM459" s="532"/>
      <c r="BN459" s="532"/>
      <c r="BO459" s="532"/>
      <c r="BP459" s="532"/>
      <c r="BQ459" s="532"/>
      <c r="BR459" s="532"/>
      <c r="BS459" s="532"/>
      <c r="BT459" s="532"/>
      <c r="BU459" s="532"/>
      <c r="BV459" s="532"/>
      <c r="BW459" s="532"/>
      <c r="BX459" s="532"/>
      <c r="BY459" s="532"/>
      <c r="BZ459" s="532"/>
      <c r="CA459" s="532"/>
      <c r="CB459" s="532"/>
      <c r="CC459" s="532"/>
      <c r="CD459" s="532"/>
      <c r="CE459" s="532"/>
      <c r="CF459" s="532"/>
      <c r="CG459" s="532"/>
      <c r="CH459" s="532"/>
      <c r="CI459" s="532"/>
      <c r="CJ459" s="532"/>
      <c r="CK459" s="532"/>
      <c r="CL459" s="532"/>
      <c r="CM459" s="532"/>
      <c r="CN459" s="532"/>
      <c r="CO459" s="532"/>
      <c r="CP459" s="532"/>
      <c r="CQ459" s="532"/>
      <c r="CR459" s="532"/>
      <c r="CS459" s="532"/>
      <c r="CT459" s="532"/>
      <c r="CU459" s="532"/>
      <c r="CV459" s="532"/>
      <c r="CW459" s="532"/>
      <c r="CX459" s="532"/>
      <c r="CY459" s="532"/>
      <c r="CZ459" s="532"/>
      <c r="DA459" s="532"/>
      <c r="DB459" s="532"/>
      <c r="DC459" s="532"/>
      <c r="DD459" s="532"/>
      <c r="DE459" s="532"/>
      <c r="DF459" s="532"/>
      <c r="DG459" s="532"/>
      <c r="DH459" s="532"/>
      <c r="DI459" s="532"/>
      <c r="DJ459" s="532"/>
      <c r="DK459" s="532"/>
      <c r="DL459" s="532"/>
      <c r="DM459" s="532"/>
      <c r="DN459" s="532"/>
      <c r="DO459" s="532"/>
      <c r="DP459" s="532"/>
      <c r="DQ459" s="532"/>
      <c r="DR459" s="532"/>
      <c r="DS459" s="532"/>
      <c r="DT459" s="532"/>
      <c r="DU459" s="532"/>
      <c r="DV459" s="532"/>
      <c r="DW459" s="532"/>
      <c r="DX459" s="532"/>
      <c r="DY459" s="532"/>
      <c r="DZ459" s="532"/>
      <c r="EA459" s="532"/>
      <c r="EB459" s="532"/>
      <c r="EC459" s="532"/>
      <c r="ED459" s="532"/>
      <c r="EE459" s="532"/>
      <c r="EF459" s="532"/>
      <c r="EG459" s="532"/>
      <c r="EH459" s="532"/>
      <c r="EI459" s="532"/>
      <c r="EJ459" s="532"/>
      <c r="EK459" s="532"/>
      <c r="EL459" s="532"/>
      <c r="EM459" s="532"/>
      <c r="EN459" s="532"/>
      <c r="EO459" s="532"/>
      <c r="EP459" s="532"/>
      <c r="EQ459" s="532"/>
      <c r="ER459" s="532"/>
      <c r="ES459" s="532"/>
      <c r="ET459" s="532"/>
      <c r="EU459" s="532"/>
      <c r="EV459" s="532"/>
      <c r="EW459" s="532"/>
      <c r="EX459" s="532"/>
      <c r="EY459" s="532"/>
      <c r="EZ459" s="532"/>
      <c r="FA459" s="532"/>
      <c r="FB459" s="532"/>
      <c r="FC459" s="532"/>
      <c r="FD459" s="532"/>
      <c r="FE459" s="532"/>
      <c r="FF459" s="532"/>
      <c r="FG459" s="532"/>
      <c r="FH459" s="532"/>
      <c r="FI459" s="532"/>
      <c r="FJ459" s="532"/>
      <c r="FK459" s="532"/>
      <c r="FL459" s="532"/>
      <c r="FM459" s="532"/>
      <c r="FN459" s="532"/>
      <c r="FO459" s="532"/>
      <c r="FP459" s="532"/>
    </row>
    <row r="460" spans="1:172" ht="12" customHeight="1" x14ac:dyDescent="0.2">
      <c r="A460" s="533" t="s">
        <v>331</v>
      </c>
      <c r="B460" s="534"/>
      <c r="C460" s="208">
        <f t="shared" ref="C460:N460" si="194">SUM(C458:C459)</f>
        <v>3</v>
      </c>
      <c r="D460" s="208">
        <f t="shared" si="194"/>
        <v>2</v>
      </c>
      <c r="E460" s="208">
        <f t="shared" si="194"/>
        <v>1</v>
      </c>
      <c r="F460" s="208">
        <f t="shared" si="194"/>
        <v>2</v>
      </c>
      <c r="G460" s="208">
        <f t="shared" si="194"/>
        <v>1</v>
      </c>
      <c r="H460" s="208">
        <f t="shared" si="194"/>
        <v>1</v>
      </c>
      <c r="I460" s="208">
        <f t="shared" si="194"/>
        <v>0</v>
      </c>
      <c r="J460" s="208">
        <f t="shared" si="194"/>
        <v>0</v>
      </c>
      <c r="K460" s="208">
        <f t="shared" si="194"/>
        <v>1</v>
      </c>
      <c r="L460" s="562">
        <f t="shared" si="194"/>
        <v>2</v>
      </c>
      <c r="M460" s="562">
        <f t="shared" si="194"/>
        <v>3</v>
      </c>
      <c r="N460" s="562">
        <f t="shared" si="194"/>
        <v>2</v>
      </c>
      <c r="O460" s="530">
        <f>SUM(C460:N460)</f>
        <v>18</v>
      </c>
      <c r="P460" s="531"/>
      <c r="Q460" s="531"/>
      <c r="R460" s="531"/>
      <c r="S460" s="531"/>
      <c r="T460" s="531"/>
      <c r="U460" s="531"/>
      <c r="V460" s="531"/>
      <c r="W460" s="531"/>
      <c r="X460" s="531"/>
      <c r="Y460" s="531"/>
      <c r="Z460" s="531"/>
      <c r="AA460" s="531"/>
      <c r="AB460" s="531"/>
      <c r="AC460" s="531"/>
      <c r="AD460" s="531"/>
      <c r="AE460" s="531"/>
      <c r="AF460" s="531"/>
      <c r="AG460" s="531"/>
      <c r="AH460" s="532"/>
      <c r="AI460" s="532"/>
      <c r="AJ460" s="532"/>
      <c r="AK460" s="532"/>
      <c r="AL460" s="532"/>
      <c r="AM460" s="532"/>
      <c r="AN460" s="532"/>
      <c r="AO460" s="532"/>
      <c r="AP460" s="532"/>
      <c r="AQ460" s="532"/>
      <c r="AR460" s="532"/>
      <c r="AS460" s="532"/>
      <c r="AT460" s="532"/>
      <c r="AU460" s="532"/>
      <c r="AV460" s="532"/>
      <c r="AW460" s="532"/>
      <c r="AX460" s="532"/>
      <c r="AY460" s="532"/>
      <c r="AZ460" s="532"/>
      <c r="BA460" s="532"/>
      <c r="BB460" s="532"/>
      <c r="BC460" s="532"/>
      <c r="BD460" s="532"/>
      <c r="BE460" s="532"/>
      <c r="BF460" s="532"/>
      <c r="BG460" s="532"/>
      <c r="BH460" s="532"/>
      <c r="BI460" s="532"/>
      <c r="BJ460" s="532"/>
      <c r="BK460" s="532"/>
      <c r="BL460" s="532"/>
      <c r="BM460" s="532"/>
      <c r="BN460" s="532"/>
      <c r="BO460" s="532"/>
      <c r="BP460" s="532"/>
      <c r="BQ460" s="532"/>
      <c r="BR460" s="532"/>
      <c r="BS460" s="532"/>
      <c r="BT460" s="532"/>
      <c r="BU460" s="532"/>
      <c r="BV460" s="532"/>
      <c r="BW460" s="532"/>
      <c r="BX460" s="532"/>
      <c r="BY460" s="532"/>
      <c r="BZ460" s="532"/>
      <c r="CA460" s="532"/>
      <c r="CB460" s="532"/>
      <c r="CC460" s="532"/>
      <c r="CD460" s="532"/>
      <c r="CE460" s="532"/>
      <c r="CF460" s="532"/>
      <c r="CG460" s="532"/>
      <c r="CH460" s="532"/>
      <c r="CI460" s="532"/>
      <c r="CJ460" s="532"/>
      <c r="CK460" s="532"/>
      <c r="CL460" s="532"/>
      <c r="CM460" s="532"/>
      <c r="CN460" s="532"/>
      <c r="CO460" s="532"/>
      <c r="CP460" s="532"/>
      <c r="CQ460" s="532"/>
      <c r="CR460" s="532"/>
      <c r="CS460" s="532"/>
      <c r="CT460" s="532"/>
      <c r="CU460" s="532"/>
      <c r="CV460" s="532"/>
      <c r="CW460" s="532"/>
      <c r="CX460" s="532"/>
      <c r="CY460" s="532"/>
      <c r="CZ460" s="532"/>
      <c r="DA460" s="532"/>
      <c r="DB460" s="532"/>
      <c r="DC460" s="532"/>
      <c r="DD460" s="532"/>
      <c r="DE460" s="532"/>
      <c r="DF460" s="532"/>
      <c r="DG460" s="532"/>
      <c r="DH460" s="532"/>
      <c r="DI460" s="532"/>
      <c r="DJ460" s="532"/>
      <c r="DK460" s="532"/>
      <c r="DL460" s="532"/>
      <c r="DM460" s="532"/>
      <c r="DN460" s="532"/>
      <c r="DO460" s="532"/>
      <c r="DP460" s="532"/>
      <c r="DQ460" s="532"/>
      <c r="DR460" s="532"/>
      <c r="DS460" s="532"/>
      <c r="DT460" s="532"/>
      <c r="DU460" s="532"/>
      <c r="DV460" s="532"/>
      <c r="DW460" s="532"/>
      <c r="DX460" s="532"/>
      <c r="DY460" s="532"/>
      <c r="DZ460" s="532"/>
      <c r="EA460" s="532"/>
      <c r="EB460" s="532"/>
      <c r="EC460" s="532"/>
      <c r="ED460" s="532"/>
      <c r="EE460" s="532"/>
      <c r="EF460" s="532"/>
      <c r="EG460" s="532"/>
      <c r="EH460" s="532"/>
      <c r="EI460" s="532"/>
      <c r="EJ460" s="532"/>
      <c r="EK460" s="532"/>
      <c r="EL460" s="532"/>
      <c r="EM460" s="532"/>
      <c r="EN460" s="532"/>
      <c r="EO460" s="532"/>
      <c r="EP460" s="532"/>
      <c r="EQ460" s="532"/>
      <c r="ER460" s="532"/>
      <c r="ES460" s="532"/>
      <c r="ET460" s="532"/>
      <c r="EU460" s="532"/>
      <c r="EV460" s="532"/>
      <c r="EW460" s="532"/>
      <c r="EX460" s="532"/>
      <c r="EY460" s="532"/>
      <c r="EZ460" s="532"/>
      <c r="FA460" s="532"/>
      <c r="FB460" s="532"/>
      <c r="FC460" s="532"/>
      <c r="FD460" s="532"/>
      <c r="FE460" s="532"/>
      <c r="FF460" s="532"/>
      <c r="FG460" s="532"/>
      <c r="FH460" s="532"/>
      <c r="FI460" s="532"/>
      <c r="FJ460" s="532"/>
      <c r="FK460" s="532"/>
      <c r="FL460" s="532"/>
      <c r="FM460" s="532"/>
      <c r="FN460" s="532"/>
      <c r="FO460" s="532"/>
      <c r="FP460" s="532"/>
    </row>
    <row r="461" spans="1:172" ht="12" customHeight="1" x14ac:dyDescent="0.2">
      <c r="A461" s="533"/>
      <c r="B461" s="534"/>
      <c r="C461" s="534"/>
      <c r="D461" s="534"/>
      <c r="E461" s="534"/>
      <c r="F461" s="534"/>
      <c r="G461" s="534"/>
      <c r="H461" s="534"/>
      <c r="I461" s="534"/>
      <c r="J461" s="534"/>
      <c r="K461" s="658"/>
      <c r="L461" s="562"/>
      <c r="M461" s="562"/>
      <c r="N461" s="562"/>
      <c r="O461" s="530"/>
      <c r="P461" s="531"/>
      <c r="Q461" s="531"/>
      <c r="R461" s="531"/>
      <c r="S461" s="531"/>
      <c r="T461" s="531"/>
      <c r="U461" s="531"/>
      <c r="V461" s="531"/>
      <c r="W461" s="531"/>
      <c r="X461" s="531"/>
      <c r="Y461" s="531"/>
      <c r="Z461" s="531"/>
      <c r="AA461" s="531"/>
      <c r="AB461" s="531"/>
      <c r="AC461" s="531"/>
      <c r="AD461" s="531"/>
      <c r="AE461" s="531"/>
      <c r="AF461" s="531"/>
      <c r="AG461" s="531"/>
      <c r="AH461" s="532"/>
      <c r="AI461" s="532"/>
      <c r="AJ461" s="532"/>
      <c r="AK461" s="532"/>
      <c r="AL461" s="532"/>
      <c r="AM461" s="532"/>
      <c r="AN461" s="532"/>
      <c r="AO461" s="532"/>
      <c r="AP461" s="532"/>
      <c r="AQ461" s="532"/>
      <c r="AR461" s="532"/>
      <c r="AS461" s="532"/>
      <c r="AT461" s="532"/>
      <c r="AU461" s="532"/>
      <c r="AV461" s="532"/>
      <c r="AW461" s="532"/>
      <c r="AX461" s="532"/>
      <c r="AY461" s="532"/>
      <c r="AZ461" s="532"/>
      <c r="BA461" s="532"/>
      <c r="BB461" s="532"/>
      <c r="BC461" s="532"/>
      <c r="BD461" s="532"/>
      <c r="BE461" s="532"/>
      <c r="BF461" s="532"/>
      <c r="BG461" s="532"/>
      <c r="BH461" s="532"/>
      <c r="BI461" s="532"/>
      <c r="BJ461" s="532"/>
      <c r="BK461" s="532"/>
      <c r="BL461" s="532"/>
      <c r="BM461" s="532"/>
      <c r="BN461" s="532"/>
      <c r="BO461" s="532"/>
      <c r="BP461" s="532"/>
      <c r="BQ461" s="532"/>
      <c r="BR461" s="532"/>
      <c r="BS461" s="532"/>
      <c r="BT461" s="532"/>
      <c r="BU461" s="532"/>
      <c r="BV461" s="532"/>
      <c r="BW461" s="532"/>
      <c r="BX461" s="532"/>
      <c r="BY461" s="532"/>
      <c r="BZ461" s="532"/>
      <c r="CA461" s="532"/>
      <c r="CB461" s="532"/>
      <c r="CC461" s="532"/>
      <c r="CD461" s="532"/>
      <c r="CE461" s="532"/>
      <c r="CF461" s="532"/>
      <c r="CG461" s="532"/>
      <c r="CH461" s="532"/>
      <c r="CI461" s="532"/>
      <c r="CJ461" s="532"/>
      <c r="CK461" s="532"/>
      <c r="CL461" s="532"/>
      <c r="CM461" s="532"/>
      <c r="CN461" s="532"/>
      <c r="CO461" s="532"/>
      <c r="CP461" s="532"/>
      <c r="CQ461" s="532"/>
      <c r="CR461" s="532"/>
      <c r="CS461" s="532"/>
      <c r="CT461" s="532"/>
      <c r="CU461" s="532"/>
      <c r="CV461" s="532"/>
      <c r="CW461" s="532"/>
      <c r="CX461" s="532"/>
      <c r="CY461" s="532"/>
      <c r="CZ461" s="532"/>
      <c r="DA461" s="532"/>
      <c r="DB461" s="532"/>
      <c r="DC461" s="532"/>
      <c r="DD461" s="532"/>
      <c r="DE461" s="532"/>
      <c r="DF461" s="532"/>
      <c r="DG461" s="532"/>
      <c r="DH461" s="532"/>
      <c r="DI461" s="532"/>
      <c r="DJ461" s="532"/>
      <c r="DK461" s="532"/>
      <c r="DL461" s="532"/>
      <c r="DM461" s="532"/>
      <c r="DN461" s="532"/>
      <c r="DO461" s="532"/>
      <c r="DP461" s="532"/>
      <c r="DQ461" s="532"/>
      <c r="DR461" s="532"/>
      <c r="DS461" s="532"/>
      <c r="DT461" s="532"/>
      <c r="DU461" s="532"/>
      <c r="DV461" s="532"/>
      <c r="DW461" s="532"/>
      <c r="DX461" s="532"/>
      <c r="DY461" s="532"/>
      <c r="DZ461" s="532"/>
      <c r="EA461" s="532"/>
      <c r="EB461" s="532"/>
      <c r="EC461" s="532"/>
      <c r="ED461" s="532"/>
      <c r="EE461" s="532"/>
      <c r="EF461" s="532"/>
      <c r="EG461" s="532"/>
      <c r="EH461" s="532"/>
      <c r="EI461" s="532"/>
      <c r="EJ461" s="532"/>
      <c r="EK461" s="532"/>
      <c r="EL461" s="532"/>
      <c r="EM461" s="532"/>
      <c r="EN461" s="532"/>
      <c r="EO461" s="532"/>
      <c r="EP461" s="532"/>
      <c r="EQ461" s="532"/>
      <c r="ER461" s="532"/>
      <c r="ES461" s="532"/>
      <c r="ET461" s="532"/>
      <c r="EU461" s="532"/>
      <c r="EV461" s="532"/>
      <c r="EW461" s="532"/>
      <c r="EX461" s="532"/>
      <c r="EY461" s="532"/>
      <c r="EZ461" s="532"/>
      <c r="FA461" s="532"/>
      <c r="FB461" s="532"/>
      <c r="FC461" s="532"/>
      <c r="FD461" s="532"/>
      <c r="FE461" s="532"/>
      <c r="FF461" s="532"/>
      <c r="FG461" s="532"/>
      <c r="FH461" s="532"/>
      <c r="FI461" s="532"/>
      <c r="FJ461" s="532"/>
      <c r="FK461" s="532"/>
      <c r="FL461" s="532"/>
      <c r="FM461" s="532"/>
      <c r="FN461" s="532"/>
      <c r="FO461" s="532"/>
      <c r="FP461" s="532"/>
    </row>
    <row r="462" spans="1:172" ht="12" customHeight="1" x14ac:dyDescent="0.2">
      <c r="A462" s="533" t="s">
        <v>1021</v>
      </c>
      <c r="B462" s="534"/>
      <c r="C462" s="208">
        <v>0</v>
      </c>
      <c r="D462" s="208">
        <v>0</v>
      </c>
      <c r="E462" s="208">
        <v>0</v>
      </c>
      <c r="F462" s="208">
        <v>1</v>
      </c>
      <c r="G462" s="208">
        <v>0</v>
      </c>
      <c r="H462" s="208">
        <v>0</v>
      </c>
      <c r="I462" s="208">
        <v>0</v>
      </c>
      <c r="J462" s="208">
        <v>0</v>
      </c>
      <c r="K462" s="208">
        <v>0</v>
      </c>
      <c r="L462" s="562">
        <v>0</v>
      </c>
      <c r="M462" s="562">
        <v>0</v>
      </c>
      <c r="N462" s="562">
        <v>0</v>
      </c>
      <c r="O462" s="530">
        <f>SUM(C462:N462)</f>
        <v>1</v>
      </c>
      <c r="P462" s="531"/>
      <c r="Q462" s="531"/>
      <c r="R462" s="531"/>
      <c r="S462" s="531"/>
      <c r="T462" s="531"/>
      <c r="U462" s="531"/>
      <c r="V462" s="531"/>
      <c r="W462" s="531"/>
      <c r="X462" s="531"/>
      <c r="Y462" s="531"/>
      <c r="Z462" s="531"/>
      <c r="AA462" s="531"/>
      <c r="AB462" s="531"/>
      <c r="AC462" s="531"/>
      <c r="AD462" s="531"/>
      <c r="AE462" s="531"/>
      <c r="AF462" s="531"/>
      <c r="AG462" s="531"/>
      <c r="AH462" s="532"/>
      <c r="AI462" s="532"/>
      <c r="AJ462" s="532"/>
      <c r="AK462" s="532"/>
      <c r="AL462" s="532"/>
      <c r="AM462" s="532"/>
      <c r="AN462" s="532"/>
      <c r="AO462" s="532"/>
      <c r="AP462" s="532"/>
      <c r="AQ462" s="532"/>
      <c r="AR462" s="532"/>
      <c r="AS462" s="532"/>
      <c r="AT462" s="532"/>
      <c r="AU462" s="532"/>
      <c r="AV462" s="532"/>
      <c r="AW462" s="532"/>
      <c r="AX462" s="532"/>
      <c r="AY462" s="532"/>
      <c r="AZ462" s="532"/>
      <c r="BA462" s="532"/>
      <c r="BB462" s="532"/>
      <c r="BC462" s="532"/>
      <c r="BD462" s="532"/>
      <c r="BE462" s="532"/>
      <c r="BF462" s="532"/>
      <c r="BG462" s="532"/>
      <c r="BH462" s="532"/>
      <c r="BI462" s="532"/>
      <c r="BJ462" s="532"/>
      <c r="BK462" s="532"/>
      <c r="BL462" s="532"/>
      <c r="BM462" s="532"/>
      <c r="BN462" s="532"/>
      <c r="BO462" s="532"/>
      <c r="BP462" s="532"/>
      <c r="BQ462" s="532"/>
      <c r="BR462" s="532"/>
      <c r="BS462" s="532"/>
      <c r="BT462" s="532"/>
      <c r="BU462" s="532"/>
      <c r="BV462" s="532"/>
      <c r="BW462" s="532"/>
      <c r="BX462" s="532"/>
      <c r="BY462" s="532"/>
      <c r="BZ462" s="532"/>
      <c r="CA462" s="532"/>
      <c r="CB462" s="532"/>
      <c r="CC462" s="532"/>
      <c r="CD462" s="532"/>
      <c r="CE462" s="532"/>
      <c r="CF462" s="532"/>
      <c r="CG462" s="532"/>
      <c r="CH462" s="532"/>
      <c r="CI462" s="532"/>
      <c r="CJ462" s="532"/>
      <c r="CK462" s="532"/>
      <c r="CL462" s="532"/>
      <c r="CM462" s="532"/>
      <c r="CN462" s="532"/>
      <c r="CO462" s="532"/>
      <c r="CP462" s="532"/>
      <c r="CQ462" s="532"/>
      <c r="CR462" s="532"/>
      <c r="CS462" s="532"/>
      <c r="CT462" s="532"/>
      <c r="CU462" s="532"/>
      <c r="CV462" s="532"/>
      <c r="CW462" s="532"/>
      <c r="CX462" s="532"/>
      <c r="CY462" s="532"/>
      <c r="CZ462" s="532"/>
      <c r="DA462" s="532"/>
      <c r="DB462" s="532"/>
      <c r="DC462" s="532"/>
      <c r="DD462" s="532"/>
      <c r="DE462" s="532"/>
      <c r="DF462" s="532"/>
      <c r="DG462" s="532"/>
      <c r="DH462" s="532"/>
      <c r="DI462" s="532"/>
      <c r="DJ462" s="532"/>
      <c r="DK462" s="532"/>
      <c r="DL462" s="532"/>
      <c r="DM462" s="532"/>
      <c r="DN462" s="532"/>
      <c r="DO462" s="532"/>
      <c r="DP462" s="532"/>
      <c r="DQ462" s="532"/>
      <c r="DR462" s="532"/>
      <c r="DS462" s="532"/>
      <c r="DT462" s="532"/>
      <c r="DU462" s="532"/>
      <c r="DV462" s="532"/>
      <c r="DW462" s="532"/>
      <c r="DX462" s="532"/>
      <c r="DY462" s="532"/>
      <c r="DZ462" s="532"/>
      <c r="EA462" s="532"/>
      <c r="EB462" s="532"/>
      <c r="EC462" s="532"/>
      <c r="ED462" s="532"/>
      <c r="EE462" s="532"/>
      <c r="EF462" s="532"/>
      <c r="EG462" s="532"/>
      <c r="EH462" s="532"/>
      <c r="EI462" s="532"/>
      <c r="EJ462" s="532"/>
      <c r="EK462" s="532"/>
      <c r="EL462" s="532"/>
      <c r="EM462" s="532"/>
      <c r="EN462" s="532"/>
      <c r="EO462" s="532"/>
      <c r="EP462" s="532"/>
      <c r="EQ462" s="532"/>
      <c r="ER462" s="532"/>
      <c r="ES462" s="532"/>
      <c r="ET462" s="532"/>
      <c r="EU462" s="532"/>
      <c r="EV462" s="532"/>
      <c r="EW462" s="532"/>
      <c r="EX462" s="532"/>
      <c r="EY462" s="532"/>
      <c r="EZ462" s="532"/>
      <c r="FA462" s="532"/>
      <c r="FB462" s="532"/>
      <c r="FC462" s="532"/>
      <c r="FD462" s="532"/>
      <c r="FE462" s="532"/>
      <c r="FF462" s="532"/>
      <c r="FG462" s="532"/>
      <c r="FH462" s="532"/>
      <c r="FI462" s="532"/>
      <c r="FJ462" s="532"/>
      <c r="FK462" s="532"/>
      <c r="FL462" s="532"/>
      <c r="FM462" s="532"/>
      <c r="FN462" s="532"/>
      <c r="FO462" s="532"/>
      <c r="FP462" s="532"/>
    </row>
    <row r="463" spans="1:172" ht="12" customHeight="1" x14ac:dyDescent="0.2">
      <c r="A463" s="533" t="s">
        <v>1022</v>
      </c>
      <c r="B463" s="534"/>
      <c r="C463" s="208">
        <v>3</v>
      </c>
      <c r="D463" s="208">
        <v>4</v>
      </c>
      <c r="E463" s="208">
        <v>4</v>
      </c>
      <c r="F463" s="208">
        <v>4</v>
      </c>
      <c r="G463" s="208">
        <v>2</v>
      </c>
      <c r="H463" s="208">
        <v>3</v>
      </c>
      <c r="I463" s="208">
        <v>9</v>
      </c>
      <c r="J463" s="208">
        <v>6</v>
      </c>
      <c r="K463" s="208">
        <v>3</v>
      </c>
      <c r="L463" s="562">
        <v>5</v>
      </c>
      <c r="M463" s="562">
        <v>8</v>
      </c>
      <c r="N463" s="562">
        <v>3</v>
      </c>
      <c r="O463" s="530">
        <f>SUM(C463:N463)</f>
        <v>54</v>
      </c>
      <c r="P463" s="531"/>
      <c r="Q463" s="531"/>
      <c r="R463" s="531"/>
      <c r="S463" s="531"/>
      <c r="T463" s="531"/>
      <c r="U463" s="531"/>
      <c r="V463" s="531"/>
      <c r="W463" s="531"/>
      <c r="X463" s="531"/>
      <c r="Y463" s="531"/>
      <c r="Z463" s="531"/>
      <c r="AA463" s="531"/>
      <c r="AB463" s="531"/>
      <c r="AC463" s="531"/>
      <c r="AD463" s="531"/>
      <c r="AE463" s="531"/>
      <c r="AF463" s="531"/>
      <c r="AG463" s="531"/>
      <c r="AH463" s="532"/>
      <c r="AI463" s="532"/>
      <c r="AJ463" s="532"/>
      <c r="AK463" s="532"/>
      <c r="AL463" s="532"/>
      <c r="AM463" s="532"/>
      <c r="AN463" s="532"/>
      <c r="AO463" s="532"/>
      <c r="AP463" s="532"/>
      <c r="AQ463" s="532"/>
      <c r="AR463" s="532"/>
      <c r="AS463" s="532"/>
      <c r="AT463" s="532"/>
      <c r="AU463" s="532"/>
      <c r="AV463" s="532"/>
      <c r="AW463" s="532"/>
      <c r="AX463" s="532"/>
      <c r="AY463" s="532"/>
      <c r="AZ463" s="532"/>
      <c r="BA463" s="532"/>
      <c r="BB463" s="532"/>
      <c r="BC463" s="532"/>
      <c r="BD463" s="532"/>
      <c r="BE463" s="532"/>
      <c r="BF463" s="532"/>
      <c r="BG463" s="532"/>
      <c r="BH463" s="532"/>
      <c r="BI463" s="532"/>
      <c r="BJ463" s="532"/>
      <c r="BK463" s="532"/>
      <c r="BL463" s="532"/>
      <c r="BM463" s="532"/>
      <c r="BN463" s="532"/>
      <c r="BO463" s="532"/>
      <c r="BP463" s="532"/>
      <c r="BQ463" s="532"/>
      <c r="BR463" s="532"/>
      <c r="BS463" s="532"/>
      <c r="BT463" s="532"/>
      <c r="BU463" s="532"/>
      <c r="BV463" s="532"/>
      <c r="BW463" s="532"/>
      <c r="BX463" s="532"/>
      <c r="BY463" s="532"/>
      <c r="BZ463" s="532"/>
      <c r="CA463" s="532"/>
      <c r="CB463" s="532"/>
      <c r="CC463" s="532"/>
      <c r="CD463" s="532"/>
      <c r="CE463" s="532"/>
      <c r="CF463" s="532"/>
      <c r="CG463" s="532"/>
      <c r="CH463" s="532"/>
      <c r="CI463" s="532"/>
      <c r="CJ463" s="532"/>
      <c r="CK463" s="532"/>
      <c r="CL463" s="532"/>
      <c r="CM463" s="532"/>
      <c r="CN463" s="532"/>
      <c r="CO463" s="532"/>
      <c r="CP463" s="532"/>
      <c r="CQ463" s="532"/>
      <c r="CR463" s="532"/>
      <c r="CS463" s="532"/>
      <c r="CT463" s="532"/>
      <c r="CU463" s="532"/>
      <c r="CV463" s="532"/>
      <c r="CW463" s="532"/>
      <c r="CX463" s="532"/>
      <c r="CY463" s="532"/>
      <c r="CZ463" s="532"/>
      <c r="DA463" s="532"/>
      <c r="DB463" s="532"/>
      <c r="DC463" s="532"/>
      <c r="DD463" s="532"/>
      <c r="DE463" s="532"/>
      <c r="DF463" s="532"/>
      <c r="DG463" s="532"/>
      <c r="DH463" s="532"/>
      <c r="DI463" s="532"/>
      <c r="DJ463" s="532"/>
      <c r="DK463" s="532"/>
      <c r="DL463" s="532"/>
      <c r="DM463" s="532"/>
      <c r="DN463" s="532"/>
      <c r="DO463" s="532"/>
      <c r="DP463" s="532"/>
      <c r="DQ463" s="532"/>
      <c r="DR463" s="532"/>
      <c r="DS463" s="532"/>
      <c r="DT463" s="532"/>
      <c r="DU463" s="532"/>
      <c r="DV463" s="532"/>
      <c r="DW463" s="532"/>
      <c r="DX463" s="532"/>
      <c r="DY463" s="532"/>
      <c r="DZ463" s="532"/>
      <c r="EA463" s="532"/>
      <c r="EB463" s="532"/>
      <c r="EC463" s="532"/>
      <c r="ED463" s="532"/>
      <c r="EE463" s="532"/>
      <c r="EF463" s="532"/>
      <c r="EG463" s="532"/>
      <c r="EH463" s="532"/>
      <c r="EI463" s="532"/>
      <c r="EJ463" s="532"/>
      <c r="EK463" s="532"/>
      <c r="EL463" s="532"/>
      <c r="EM463" s="532"/>
      <c r="EN463" s="532"/>
      <c r="EO463" s="532"/>
      <c r="EP463" s="532"/>
      <c r="EQ463" s="532"/>
      <c r="ER463" s="532"/>
      <c r="ES463" s="532"/>
      <c r="ET463" s="532"/>
      <c r="EU463" s="532"/>
      <c r="EV463" s="532"/>
      <c r="EW463" s="532"/>
      <c r="EX463" s="532"/>
      <c r="EY463" s="532"/>
      <c r="EZ463" s="532"/>
      <c r="FA463" s="532"/>
      <c r="FB463" s="532"/>
      <c r="FC463" s="532"/>
      <c r="FD463" s="532"/>
      <c r="FE463" s="532"/>
      <c r="FF463" s="532"/>
      <c r="FG463" s="532"/>
      <c r="FH463" s="532"/>
      <c r="FI463" s="532"/>
      <c r="FJ463" s="532"/>
      <c r="FK463" s="532"/>
      <c r="FL463" s="532"/>
      <c r="FM463" s="532"/>
      <c r="FN463" s="532"/>
      <c r="FO463" s="532"/>
      <c r="FP463" s="532"/>
    </row>
    <row r="464" spans="1:172" ht="12" customHeight="1" x14ac:dyDescent="0.2">
      <c r="A464" s="533" t="s">
        <v>1023</v>
      </c>
      <c r="B464" s="534"/>
      <c r="C464" s="208">
        <f t="shared" ref="C464:N464" si="195">C462+C463</f>
        <v>3</v>
      </c>
      <c r="D464" s="208">
        <f t="shared" si="195"/>
        <v>4</v>
      </c>
      <c r="E464" s="208">
        <f t="shared" si="195"/>
        <v>4</v>
      </c>
      <c r="F464" s="208">
        <f t="shared" si="195"/>
        <v>5</v>
      </c>
      <c r="G464" s="208">
        <f t="shared" si="195"/>
        <v>2</v>
      </c>
      <c r="H464" s="208">
        <f t="shared" si="195"/>
        <v>3</v>
      </c>
      <c r="I464" s="208">
        <f t="shared" si="195"/>
        <v>9</v>
      </c>
      <c r="J464" s="208">
        <f t="shared" si="195"/>
        <v>6</v>
      </c>
      <c r="K464" s="208">
        <f t="shared" si="195"/>
        <v>3</v>
      </c>
      <c r="L464" s="562">
        <f t="shared" si="195"/>
        <v>5</v>
      </c>
      <c r="M464" s="562">
        <f t="shared" si="195"/>
        <v>8</v>
      </c>
      <c r="N464" s="562">
        <f t="shared" si="195"/>
        <v>3</v>
      </c>
      <c r="O464" s="530">
        <f>SUM(C464:N464)</f>
        <v>55</v>
      </c>
      <c r="P464" s="531"/>
      <c r="Q464" s="531"/>
      <c r="R464" s="531"/>
      <c r="S464" s="531"/>
      <c r="T464" s="531"/>
      <c r="U464" s="531"/>
      <c r="V464" s="531"/>
      <c r="W464" s="531"/>
      <c r="X464" s="531"/>
      <c r="Y464" s="531"/>
      <c r="Z464" s="531"/>
      <c r="AA464" s="531"/>
      <c r="AB464" s="531"/>
      <c r="AC464" s="531"/>
      <c r="AD464" s="531"/>
      <c r="AE464" s="531"/>
      <c r="AF464" s="531"/>
      <c r="AG464" s="531"/>
      <c r="AH464" s="532"/>
      <c r="AI464" s="532"/>
      <c r="AJ464" s="532"/>
      <c r="AK464" s="532"/>
      <c r="AL464" s="532"/>
      <c r="AM464" s="532"/>
      <c r="AN464" s="532"/>
      <c r="AO464" s="532"/>
      <c r="AP464" s="532"/>
      <c r="AQ464" s="532"/>
      <c r="AR464" s="532"/>
      <c r="AS464" s="532"/>
      <c r="AT464" s="532"/>
      <c r="AU464" s="532"/>
      <c r="AV464" s="532"/>
      <c r="AW464" s="532"/>
      <c r="AX464" s="532"/>
      <c r="AY464" s="532"/>
      <c r="AZ464" s="532"/>
      <c r="BA464" s="532"/>
      <c r="BB464" s="532"/>
      <c r="BC464" s="532"/>
      <c r="BD464" s="532"/>
      <c r="BE464" s="532"/>
      <c r="BF464" s="532"/>
      <c r="BG464" s="532"/>
      <c r="BH464" s="532"/>
      <c r="BI464" s="532"/>
      <c r="BJ464" s="532"/>
      <c r="BK464" s="532"/>
      <c r="BL464" s="532"/>
      <c r="BM464" s="532"/>
      <c r="BN464" s="532"/>
      <c r="BO464" s="532"/>
      <c r="BP464" s="532"/>
      <c r="BQ464" s="532"/>
      <c r="BR464" s="532"/>
      <c r="BS464" s="532"/>
      <c r="BT464" s="532"/>
      <c r="BU464" s="532"/>
      <c r="BV464" s="532"/>
      <c r="BW464" s="532"/>
      <c r="BX464" s="532"/>
      <c r="BY464" s="532"/>
      <c r="BZ464" s="532"/>
      <c r="CA464" s="532"/>
      <c r="CB464" s="532"/>
      <c r="CC464" s="532"/>
      <c r="CD464" s="532"/>
      <c r="CE464" s="532"/>
      <c r="CF464" s="532"/>
      <c r="CG464" s="532"/>
      <c r="CH464" s="532"/>
      <c r="CI464" s="532"/>
      <c r="CJ464" s="532"/>
      <c r="CK464" s="532"/>
      <c r="CL464" s="532"/>
      <c r="CM464" s="532"/>
      <c r="CN464" s="532"/>
      <c r="CO464" s="532"/>
      <c r="CP464" s="532"/>
      <c r="CQ464" s="532"/>
      <c r="CR464" s="532"/>
      <c r="CS464" s="532"/>
      <c r="CT464" s="532"/>
      <c r="CU464" s="532"/>
      <c r="CV464" s="532"/>
      <c r="CW464" s="532"/>
      <c r="CX464" s="532"/>
      <c r="CY464" s="532"/>
      <c r="CZ464" s="532"/>
      <c r="DA464" s="532"/>
      <c r="DB464" s="532"/>
      <c r="DC464" s="532"/>
      <c r="DD464" s="532"/>
      <c r="DE464" s="532"/>
      <c r="DF464" s="532"/>
      <c r="DG464" s="532"/>
      <c r="DH464" s="532"/>
      <c r="DI464" s="532"/>
      <c r="DJ464" s="532"/>
      <c r="DK464" s="532"/>
      <c r="DL464" s="532"/>
      <c r="DM464" s="532"/>
      <c r="DN464" s="532"/>
      <c r="DO464" s="532"/>
      <c r="DP464" s="532"/>
      <c r="DQ464" s="532"/>
      <c r="DR464" s="532"/>
      <c r="DS464" s="532"/>
      <c r="DT464" s="532"/>
      <c r="DU464" s="532"/>
      <c r="DV464" s="532"/>
      <c r="DW464" s="532"/>
      <c r="DX464" s="532"/>
      <c r="DY464" s="532"/>
      <c r="DZ464" s="532"/>
      <c r="EA464" s="532"/>
      <c r="EB464" s="532"/>
      <c r="EC464" s="532"/>
      <c r="ED464" s="532"/>
      <c r="EE464" s="532"/>
      <c r="EF464" s="532"/>
      <c r="EG464" s="532"/>
      <c r="EH464" s="532"/>
      <c r="EI464" s="532"/>
      <c r="EJ464" s="532"/>
      <c r="EK464" s="532"/>
      <c r="EL464" s="532"/>
      <c r="EM464" s="532"/>
      <c r="EN464" s="532"/>
      <c r="EO464" s="532"/>
      <c r="EP464" s="532"/>
      <c r="EQ464" s="532"/>
      <c r="ER464" s="532"/>
      <c r="ES464" s="532"/>
      <c r="ET464" s="532"/>
      <c r="EU464" s="532"/>
      <c r="EV464" s="532"/>
      <c r="EW464" s="532"/>
      <c r="EX464" s="532"/>
      <c r="EY464" s="532"/>
      <c r="EZ464" s="532"/>
      <c r="FA464" s="532"/>
      <c r="FB464" s="532"/>
      <c r="FC464" s="532"/>
      <c r="FD464" s="532"/>
      <c r="FE464" s="532"/>
      <c r="FF464" s="532"/>
      <c r="FG464" s="532"/>
      <c r="FH464" s="532"/>
      <c r="FI464" s="532"/>
      <c r="FJ464" s="532"/>
      <c r="FK464" s="532"/>
      <c r="FL464" s="532"/>
      <c r="FM464" s="532"/>
      <c r="FN464" s="532"/>
      <c r="FO464" s="532"/>
      <c r="FP464" s="532"/>
    </row>
    <row r="465" spans="1:172" ht="12" customHeight="1" x14ac:dyDescent="0.2">
      <c r="A465" s="533"/>
      <c r="B465" s="534"/>
      <c r="C465" s="534"/>
      <c r="D465" s="534"/>
      <c r="E465" s="534"/>
      <c r="F465" s="534"/>
      <c r="G465" s="534"/>
      <c r="H465" s="534"/>
      <c r="I465" s="534"/>
      <c r="J465" s="534"/>
      <c r="K465" s="658"/>
      <c r="L465" s="562"/>
      <c r="M465" s="562"/>
      <c r="N465" s="562"/>
      <c r="O465" s="530"/>
      <c r="P465" s="531"/>
      <c r="Q465" s="531"/>
      <c r="R465" s="531"/>
      <c r="S465" s="531"/>
      <c r="T465" s="531"/>
      <c r="U465" s="531"/>
      <c r="V465" s="531"/>
      <c r="W465" s="531"/>
      <c r="X465" s="531"/>
      <c r="Y465" s="531"/>
      <c r="Z465" s="531"/>
      <c r="AA465" s="531"/>
      <c r="AB465" s="531"/>
      <c r="AC465" s="531"/>
      <c r="AD465" s="531"/>
      <c r="AE465" s="531"/>
      <c r="AF465" s="531"/>
      <c r="AG465" s="531"/>
      <c r="AH465" s="532"/>
      <c r="AI465" s="532"/>
      <c r="AJ465" s="532"/>
      <c r="AK465" s="532"/>
      <c r="AL465" s="532"/>
      <c r="AM465" s="532"/>
      <c r="AN465" s="532"/>
      <c r="AO465" s="532"/>
      <c r="AP465" s="532"/>
      <c r="AQ465" s="532"/>
      <c r="AR465" s="532"/>
      <c r="AS465" s="532"/>
      <c r="AT465" s="532"/>
      <c r="AU465" s="532"/>
      <c r="AV465" s="532"/>
      <c r="AW465" s="532"/>
      <c r="AX465" s="532"/>
      <c r="AY465" s="532"/>
      <c r="AZ465" s="532"/>
      <c r="BA465" s="532"/>
      <c r="BB465" s="532"/>
      <c r="BC465" s="532"/>
      <c r="BD465" s="532"/>
      <c r="BE465" s="532"/>
      <c r="BF465" s="532"/>
      <c r="BG465" s="532"/>
      <c r="BH465" s="532"/>
      <c r="BI465" s="532"/>
      <c r="BJ465" s="532"/>
      <c r="BK465" s="532"/>
      <c r="BL465" s="532"/>
      <c r="BM465" s="532"/>
      <c r="BN465" s="532"/>
      <c r="BO465" s="532"/>
      <c r="BP465" s="532"/>
      <c r="BQ465" s="532"/>
      <c r="BR465" s="532"/>
      <c r="BS465" s="532"/>
      <c r="BT465" s="532"/>
      <c r="BU465" s="532"/>
      <c r="BV465" s="532"/>
      <c r="BW465" s="532"/>
      <c r="BX465" s="532"/>
      <c r="BY465" s="532"/>
      <c r="BZ465" s="532"/>
      <c r="CA465" s="532"/>
      <c r="CB465" s="532"/>
      <c r="CC465" s="532"/>
      <c r="CD465" s="532"/>
      <c r="CE465" s="532"/>
      <c r="CF465" s="532"/>
      <c r="CG465" s="532"/>
      <c r="CH465" s="532"/>
      <c r="CI465" s="532"/>
      <c r="CJ465" s="532"/>
      <c r="CK465" s="532"/>
      <c r="CL465" s="532"/>
      <c r="CM465" s="532"/>
      <c r="CN465" s="532"/>
      <c r="CO465" s="532"/>
      <c r="CP465" s="532"/>
      <c r="CQ465" s="532"/>
      <c r="CR465" s="532"/>
      <c r="CS465" s="532"/>
      <c r="CT465" s="532"/>
      <c r="CU465" s="532"/>
      <c r="CV465" s="532"/>
      <c r="CW465" s="532"/>
      <c r="CX465" s="532"/>
      <c r="CY465" s="532"/>
      <c r="CZ465" s="532"/>
      <c r="DA465" s="532"/>
      <c r="DB465" s="532"/>
      <c r="DC465" s="532"/>
      <c r="DD465" s="532"/>
      <c r="DE465" s="532"/>
      <c r="DF465" s="532"/>
      <c r="DG465" s="532"/>
      <c r="DH465" s="532"/>
      <c r="DI465" s="532"/>
      <c r="DJ465" s="532"/>
      <c r="DK465" s="532"/>
      <c r="DL465" s="532"/>
      <c r="DM465" s="532"/>
      <c r="DN465" s="532"/>
      <c r="DO465" s="532"/>
      <c r="DP465" s="532"/>
      <c r="DQ465" s="532"/>
      <c r="DR465" s="532"/>
      <c r="DS465" s="532"/>
      <c r="DT465" s="532"/>
      <c r="DU465" s="532"/>
      <c r="DV465" s="532"/>
      <c r="DW465" s="532"/>
      <c r="DX465" s="532"/>
      <c r="DY465" s="532"/>
      <c r="DZ465" s="532"/>
      <c r="EA465" s="532"/>
      <c r="EB465" s="532"/>
      <c r="EC465" s="532"/>
      <c r="ED465" s="532"/>
      <c r="EE465" s="532"/>
      <c r="EF465" s="532"/>
      <c r="EG465" s="532"/>
      <c r="EH465" s="532"/>
      <c r="EI465" s="532"/>
      <c r="EJ465" s="532"/>
      <c r="EK465" s="532"/>
      <c r="EL465" s="532"/>
      <c r="EM465" s="532"/>
      <c r="EN465" s="532"/>
      <c r="EO465" s="532"/>
      <c r="EP465" s="532"/>
      <c r="EQ465" s="532"/>
      <c r="ER465" s="532"/>
      <c r="ES465" s="532"/>
      <c r="ET465" s="532"/>
      <c r="EU465" s="532"/>
      <c r="EV465" s="532"/>
      <c r="EW465" s="532"/>
      <c r="EX465" s="532"/>
      <c r="EY465" s="532"/>
      <c r="EZ465" s="532"/>
      <c r="FA465" s="532"/>
      <c r="FB465" s="532"/>
      <c r="FC465" s="532"/>
      <c r="FD465" s="532"/>
      <c r="FE465" s="532"/>
      <c r="FF465" s="532"/>
      <c r="FG465" s="532"/>
      <c r="FH465" s="532"/>
      <c r="FI465" s="532"/>
      <c r="FJ465" s="532"/>
      <c r="FK465" s="532"/>
      <c r="FL465" s="532"/>
      <c r="FM465" s="532"/>
      <c r="FN465" s="532"/>
      <c r="FO465" s="532"/>
      <c r="FP465" s="532"/>
    </row>
    <row r="466" spans="1:172" ht="12" customHeight="1" x14ac:dyDescent="0.2">
      <c r="A466" s="534" t="s">
        <v>332</v>
      </c>
      <c r="B466" s="534"/>
      <c r="C466" s="534"/>
      <c r="D466" s="534"/>
      <c r="E466" s="534"/>
      <c r="F466" s="534"/>
      <c r="G466" s="534"/>
      <c r="H466" s="534"/>
      <c r="I466" s="534"/>
      <c r="J466" s="534"/>
      <c r="K466" s="658"/>
      <c r="L466" s="562"/>
      <c r="M466" s="562"/>
      <c r="N466" s="562"/>
      <c r="O466" s="530"/>
      <c r="P466" s="531"/>
      <c r="Q466" s="531"/>
      <c r="R466" s="531"/>
      <c r="S466" s="531"/>
      <c r="T466" s="531"/>
      <c r="U466" s="531"/>
      <c r="V466" s="531"/>
      <c r="W466" s="531"/>
      <c r="X466" s="531"/>
      <c r="Y466" s="531"/>
      <c r="Z466" s="531"/>
      <c r="AA466" s="531"/>
      <c r="AB466" s="531"/>
      <c r="AC466" s="531"/>
      <c r="AD466" s="531"/>
      <c r="AE466" s="531"/>
      <c r="AF466" s="531"/>
      <c r="AG466" s="531"/>
      <c r="AH466" s="532"/>
      <c r="AI466" s="532"/>
      <c r="AJ466" s="532"/>
      <c r="AK466" s="532"/>
      <c r="AL466" s="532"/>
      <c r="AM466" s="532"/>
      <c r="AN466" s="532"/>
      <c r="AO466" s="532"/>
      <c r="AP466" s="532"/>
      <c r="AQ466" s="532"/>
      <c r="AR466" s="532"/>
      <c r="AS466" s="532"/>
      <c r="AT466" s="532"/>
      <c r="AU466" s="532"/>
      <c r="AV466" s="532"/>
      <c r="AW466" s="532"/>
      <c r="AX466" s="532"/>
      <c r="AY466" s="532"/>
      <c r="AZ466" s="532"/>
      <c r="BA466" s="532"/>
      <c r="BB466" s="532"/>
      <c r="BC466" s="532"/>
      <c r="BD466" s="532"/>
      <c r="BE466" s="532"/>
      <c r="BF466" s="532"/>
      <c r="BG466" s="532"/>
      <c r="BH466" s="532"/>
      <c r="BI466" s="532"/>
      <c r="BJ466" s="532"/>
      <c r="BK466" s="532"/>
      <c r="BL466" s="532"/>
      <c r="BM466" s="532"/>
      <c r="BN466" s="532"/>
      <c r="BO466" s="532"/>
      <c r="BP466" s="532"/>
      <c r="BQ466" s="532"/>
      <c r="BR466" s="532"/>
      <c r="BS466" s="532"/>
      <c r="BT466" s="532"/>
      <c r="BU466" s="532"/>
      <c r="BV466" s="532"/>
      <c r="BW466" s="532"/>
      <c r="BX466" s="532"/>
      <c r="BY466" s="532"/>
      <c r="BZ466" s="532"/>
      <c r="CA466" s="532"/>
      <c r="CB466" s="532"/>
      <c r="CC466" s="532"/>
      <c r="CD466" s="532"/>
      <c r="CE466" s="532"/>
      <c r="CF466" s="532"/>
      <c r="CG466" s="532"/>
      <c r="CH466" s="532"/>
      <c r="CI466" s="532"/>
      <c r="CJ466" s="532"/>
      <c r="CK466" s="532"/>
      <c r="CL466" s="532"/>
      <c r="CM466" s="532"/>
      <c r="CN466" s="532"/>
      <c r="CO466" s="532"/>
      <c r="CP466" s="532"/>
      <c r="CQ466" s="532"/>
      <c r="CR466" s="532"/>
      <c r="CS466" s="532"/>
      <c r="CT466" s="532"/>
      <c r="CU466" s="532"/>
      <c r="CV466" s="532"/>
      <c r="CW466" s="532"/>
      <c r="CX466" s="532"/>
      <c r="CY466" s="532"/>
      <c r="CZ466" s="532"/>
      <c r="DA466" s="532"/>
      <c r="DB466" s="532"/>
      <c r="DC466" s="532"/>
      <c r="DD466" s="532"/>
      <c r="DE466" s="532"/>
      <c r="DF466" s="532"/>
      <c r="DG466" s="532"/>
      <c r="DH466" s="532"/>
      <c r="DI466" s="532"/>
      <c r="DJ466" s="532"/>
      <c r="DK466" s="532"/>
      <c r="DL466" s="532"/>
      <c r="DM466" s="532"/>
      <c r="DN466" s="532"/>
      <c r="DO466" s="532"/>
      <c r="DP466" s="532"/>
      <c r="DQ466" s="532"/>
      <c r="DR466" s="532"/>
      <c r="DS466" s="532"/>
      <c r="DT466" s="532"/>
      <c r="DU466" s="532"/>
      <c r="DV466" s="532"/>
      <c r="DW466" s="532"/>
      <c r="DX466" s="532"/>
      <c r="DY466" s="532"/>
      <c r="DZ466" s="532"/>
      <c r="EA466" s="532"/>
      <c r="EB466" s="532"/>
      <c r="EC466" s="532"/>
      <c r="ED466" s="532"/>
      <c r="EE466" s="532"/>
      <c r="EF466" s="532"/>
      <c r="EG466" s="532"/>
      <c r="EH466" s="532"/>
      <c r="EI466" s="532"/>
      <c r="EJ466" s="532"/>
      <c r="EK466" s="532"/>
      <c r="EL466" s="532"/>
      <c r="EM466" s="532"/>
      <c r="EN466" s="532"/>
      <c r="EO466" s="532"/>
      <c r="EP466" s="532"/>
      <c r="EQ466" s="532"/>
      <c r="ER466" s="532"/>
      <c r="ES466" s="532"/>
      <c r="ET466" s="532"/>
      <c r="EU466" s="532"/>
      <c r="EV466" s="532"/>
      <c r="EW466" s="532"/>
      <c r="EX466" s="532"/>
      <c r="EY466" s="532"/>
      <c r="EZ466" s="532"/>
      <c r="FA466" s="532"/>
      <c r="FB466" s="532"/>
      <c r="FC466" s="532"/>
      <c r="FD466" s="532"/>
      <c r="FE466" s="532"/>
      <c r="FF466" s="532"/>
      <c r="FG466" s="532"/>
      <c r="FH466" s="532"/>
      <c r="FI466" s="532"/>
      <c r="FJ466" s="532"/>
      <c r="FK466" s="532"/>
      <c r="FL466" s="532"/>
      <c r="FM466" s="532"/>
      <c r="FN466" s="532"/>
      <c r="FO466" s="532"/>
      <c r="FP466" s="532"/>
    </row>
    <row r="467" spans="1:172" ht="12" customHeight="1" x14ac:dyDescent="0.2">
      <c r="A467" s="531" t="s">
        <v>333</v>
      </c>
      <c r="B467" s="534"/>
      <c r="C467" s="208">
        <v>345</v>
      </c>
      <c r="D467" s="208">
        <v>359</v>
      </c>
      <c r="E467" s="208">
        <v>325</v>
      </c>
      <c r="F467" s="208">
        <v>396</v>
      </c>
      <c r="G467" s="208">
        <v>410</v>
      </c>
      <c r="H467" s="208">
        <v>400</v>
      </c>
      <c r="I467" s="208">
        <v>368</v>
      </c>
      <c r="J467" s="208">
        <v>403</v>
      </c>
      <c r="K467" s="658">
        <v>375</v>
      </c>
      <c r="L467" s="562">
        <v>291</v>
      </c>
      <c r="M467" s="562">
        <v>374</v>
      </c>
      <c r="N467" s="562">
        <v>344</v>
      </c>
      <c r="O467" s="530">
        <f t="shared" ref="O467:O471" si="196">SUM(C467:N467)</f>
        <v>4390</v>
      </c>
      <c r="P467" s="531"/>
      <c r="Q467" s="531"/>
      <c r="R467" s="531"/>
      <c r="S467" s="531"/>
      <c r="T467" s="531"/>
      <c r="U467" s="531"/>
      <c r="V467" s="531"/>
      <c r="W467" s="531"/>
      <c r="X467" s="531"/>
      <c r="Y467" s="531"/>
      <c r="Z467" s="531"/>
      <c r="AA467" s="531"/>
      <c r="AB467" s="531"/>
      <c r="AC467" s="531"/>
      <c r="AD467" s="531"/>
      <c r="AE467" s="531"/>
      <c r="AF467" s="531"/>
      <c r="AG467" s="531"/>
      <c r="AH467" s="532"/>
      <c r="AI467" s="532"/>
      <c r="AJ467" s="532"/>
      <c r="AK467" s="532"/>
      <c r="AL467" s="532"/>
      <c r="AM467" s="532"/>
      <c r="AN467" s="532"/>
      <c r="AO467" s="532"/>
      <c r="AP467" s="532"/>
      <c r="AQ467" s="532"/>
      <c r="AR467" s="532"/>
      <c r="AS467" s="532"/>
      <c r="AT467" s="532"/>
      <c r="AU467" s="532"/>
      <c r="AV467" s="532"/>
      <c r="AW467" s="532"/>
      <c r="AX467" s="532"/>
      <c r="AY467" s="532"/>
      <c r="AZ467" s="532"/>
      <c r="BA467" s="532"/>
      <c r="BB467" s="532"/>
      <c r="BC467" s="532"/>
      <c r="BD467" s="532"/>
      <c r="BE467" s="532"/>
      <c r="BF467" s="532"/>
      <c r="BG467" s="532"/>
      <c r="BH467" s="532"/>
      <c r="BI467" s="532"/>
      <c r="BJ467" s="532"/>
      <c r="BK467" s="532"/>
      <c r="BL467" s="532"/>
      <c r="BM467" s="532"/>
      <c r="BN467" s="532"/>
      <c r="BO467" s="532"/>
      <c r="BP467" s="532"/>
      <c r="BQ467" s="532"/>
      <c r="BR467" s="532"/>
      <c r="BS467" s="532"/>
      <c r="BT467" s="532"/>
      <c r="BU467" s="532"/>
      <c r="BV467" s="532"/>
      <c r="BW467" s="532"/>
      <c r="BX467" s="532"/>
      <c r="BY467" s="532"/>
      <c r="BZ467" s="532"/>
      <c r="CA467" s="532"/>
      <c r="CB467" s="532"/>
      <c r="CC467" s="532"/>
      <c r="CD467" s="532"/>
      <c r="CE467" s="532"/>
      <c r="CF467" s="532"/>
      <c r="CG467" s="532"/>
      <c r="CH467" s="532"/>
      <c r="CI467" s="532"/>
      <c r="CJ467" s="532"/>
      <c r="CK467" s="532"/>
      <c r="CL467" s="532"/>
      <c r="CM467" s="532"/>
      <c r="CN467" s="532"/>
      <c r="CO467" s="532"/>
      <c r="CP467" s="532"/>
      <c r="CQ467" s="532"/>
      <c r="CR467" s="532"/>
      <c r="CS467" s="532"/>
      <c r="CT467" s="532"/>
      <c r="CU467" s="532"/>
      <c r="CV467" s="532"/>
      <c r="CW467" s="532"/>
      <c r="CX467" s="532"/>
      <c r="CY467" s="532"/>
      <c r="CZ467" s="532"/>
      <c r="DA467" s="532"/>
      <c r="DB467" s="532"/>
      <c r="DC467" s="532"/>
      <c r="DD467" s="532"/>
      <c r="DE467" s="532"/>
      <c r="DF467" s="532"/>
      <c r="DG467" s="532"/>
      <c r="DH467" s="532"/>
      <c r="DI467" s="532"/>
      <c r="DJ467" s="532"/>
      <c r="DK467" s="532"/>
      <c r="DL467" s="532"/>
      <c r="DM467" s="532"/>
      <c r="DN467" s="532"/>
      <c r="DO467" s="532"/>
      <c r="DP467" s="532"/>
      <c r="DQ467" s="532"/>
      <c r="DR467" s="532"/>
      <c r="DS467" s="532"/>
      <c r="DT467" s="532"/>
      <c r="DU467" s="532"/>
      <c r="DV467" s="532"/>
      <c r="DW467" s="532"/>
      <c r="DX467" s="532"/>
      <c r="DY467" s="532"/>
      <c r="DZ467" s="532"/>
      <c r="EA467" s="532"/>
      <c r="EB467" s="532"/>
      <c r="EC467" s="532"/>
      <c r="ED467" s="532"/>
      <c r="EE467" s="532"/>
      <c r="EF467" s="532"/>
      <c r="EG467" s="532"/>
      <c r="EH467" s="532"/>
      <c r="EI467" s="532"/>
      <c r="EJ467" s="532"/>
      <c r="EK467" s="532"/>
      <c r="EL467" s="532"/>
      <c r="EM467" s="532"/>
      <c r="EN467" s="532"/>
      <c r="EO467" s="532"/>
      <c r="EP467" s="532"/>
      <c r="EQ467" s="532"/>
      <c r="ER467" s="532"/>
      <c r="ES467" s="532"/>
      <c r="ET467" s="532"/>
      <c r="EU467" s="532"/>
      <c r="EV467" s="532"/>
      <c r="EW467" s="532"/>
      <c r="EX467" s="532"/>
      <c r="EY467" s="532"/>
      <c r="EZ467" s="532"/>
      <c r="FA467" s="532"/>
      <c r="FB467" s="532"/>
      <c r="FC467" s="532"/>
      <c r="FD467" s="532"/>
      <c r="FE467" s="532"/>
      <c r="FF467" s="532"/>
      <c r="FG467" s="532"/>
      <c r="FH467" s="532"/>
      <c r="FI467" s="532"/>
      <c r="FJ467" s="532"/>
      <c r="FK467" s="532"/>
      <c r="FL467" s="532"/>
      <c r="FM467" s="532"/>
      <c r="FN467" s="532"/>
      <c r="FO467" s="532"/>
      <c r="FP467" s="532"/>
    </row>
    <row r="468" spans="1:172" ht="12" customHeight="1" x14ac:dyDescent="0.2">
      <c r="A468" s="531" t="s">
        <v>934</v>
      </c>
      <c r="B468" s="534"/>
      <c r="C468" s="658">
        <v>18</v>
      </c>
      <c r="D468" s="658">
        <v>14</v>
      </c>
      <c r="E468" s="658">
        <v>39</v>
      </c>
      <c r="F468" s="658">
        <v>61</v>
      </c>
      <c r="G468" s="658">
        <v>21</v>
      </c>
      <c r="H468" s="658">
        <v>41</v>
      </c>
      <c r="I468" s="658">
        <v>36</v>
      </c>
      <c r="J468" s="658">
        <v>43</v>
      </c>
      <c r="K468" s="658">
        <v>41</v>
      </c>
      <c r="L468" s="562">
        <v>37</v>
      </c>
      <c r="M468" s="562">
        <v>53</v>
      </c>
      <c r="N468" s="562">
        <v>43</v>
      </c>
      <c r="O468" s="530">
        <f t="shared" si="196"/>
        <v>447</v>
      </c>
      <c r="P468" s="531"/>
      <c r="Q468" s="531"/>
      <c r="R468" s="531"/>
      <c r="S468" s="531"/>
      <c r="T468" s="531"/>
      <c r="U468" s="531"/>
      <c r="V468" s="531"/>
      <c r="W468" s="531"/>
      <c r="X468" s="531"/>
      <c r="Y468" s="531"/>
      <c r="Z468" s="531"/>
      <c r="AA468" s="531"/>
      <c r="AB468" s="531"/>
      <c r="AC468" s="531"/>
      <c r="AD468" s="531"/>
      <c r="AE468" s="531"/>
      <c r="AF468" s="531"/>
      <c r="AG468" s="531"/>
      <c r="AH468" s="532"/>
      <c r="AI468" s="532"/>
      <c r="AJ468" s="532"/>
      <c r="AK468" s="532"/>
      <c r="AL468" s="532"/>
      <c r="AM468" s="532"/>
      <c r="AN468" s="532"/>
      <c r="AO468" s="532"/>
      <c r="AP468" s="532"/>
      <c r="AQ468" s="532"/>
      <c r="AR468" s="532"/>
      <c r="AS468" s="532"/>
      <c r="AT468" s="532"/>
      <c r="AU468" s="532"/>
      <c r="AV468" s="532"/>
      <c r="AW468" s="532"/>
      <c r="AX468" s="532"/>
      <c r="AY468" s="532"/>
      <c r="AZ468" s="532"/>
      <c r="BA468" s="532"/>
      <c r="BB468" s="532"/>
      <c r="BC468" s="532"/>
      <c r="BD468" s="532"/>
      <c r="BE468" s="532"/>
      <c r="BF468" s="532"/>
      <c r="BG468" s="532"/>
      <c r="BH468" s="532"/>
      <c r="BI468" s="532"/>
      <c r="BJ468" s="532"/>
      <c r="BK468" s="532"/>
      <c r="BL468" s="532"/>
      <c r="BM468" s="532"/>
      <c r="BN468" s="532"/>
      <c r="BO468" s="532"/>
      <c r="BP468" s="532"/>
      <c r="BQ468" s="532"/>
      <c r="BR468" s="532"/>
      <c r="BS468" s="532"/>
      <c r="BT468" s="532"/>
      <c r="BU468" s="532"/>
      <c r="BV468" s="532"/>
      <c r="BW468" s="532"/>
      <c r="BX468" s="532"/>
      <c r="BY468" s="532"/>
      <c r="BZ468" s="532"/>
      <c r="CA468" s="532"/>
      <c r="CB468" s="532"/>
      <c r="CC468" s="532"/>
      <c r="CD468" s="532"/>
      <c r="CE468" s="532"/>
      <c r="CF468" s="532"/>
      <c r="CG468" s="532"/>
      <c r="CH468" s="532"/>
      <c r="CI468" s="532"/>
      <c r="CJ468" s="532"/>
      <c r="CK468" s="532"/>
      <c r="CL468" s="532"/>
      <c r="CM468" s="532"/>
      <c r="CN468" s="532"/>
      <c r="CO468" s="532"/>
      <c r="CP468" s="532"/>
      <c r="CQ468" s="532"/>
      <c r="CR468" s="532"/>
      <c r="CS468" s="532"/>
      <c r="CT468" s="532"/>
      <c r="CU468" s="532"/>
      <c r="CV468" s="532"/>
      <c r="CW468" s="532"/>
      <c r="CX468" s="532"/>
      <c r="CY468" s="532"/>
      <c r="CZ468" s="532"/>
      <c r="DA468" s="532"/>
      <c r="DB468" s="532"/>
      <c r="DC468" s="532"/>
      <c r="DD468" s="532"/>
      <c r="DE468" s="532"/>
      <c r="DF468" s="532"/>
      <c r="DG468" s="532"/>
      <c r="DH468" s="532"/>
      <c r="DI468" s="532"/>
      <c r="DJ468" s="532"/>
      <c r="DK468" s="532"/>
      <c r="DL468" s="532"/>
      <c r="DM468" s="532"/>
      <c r="DN468" s="532"/>
      <c r="DO468" s="532"/>
      <c r="DP468" s="532"/>
      <c r="DQ468" s="532"/>
      <c r="DR468" s="532"/>
      <c r="DS468" s="532"/>
      <c r="DT468" s="532"/>
      <c r="DU468" s="532"/>
      <c r="DV468" s="532"/>
      <c r="DW468" s="532"/>
      <c r="DX468" s="532"/>
      <c r="DY468" s="532"/>
      <c r="DZ468" s="532"/>
      <c r="EA468" s="532"/>
      <c r="EB468" s="532"/>
      <c r="EC468" s="532"/>
      <c r="ED468" s="532"/>
      <c r="EE468" s="532"/>
      <c r="EF468" s="532"/>
      <c r="EG468" s="532"/>
      <c r="EH468" s="532"/>
      <c r="EI468" s="532"/>
      <c r="EJ468" s="532"/>
      <c r="EK468" s="532"/>
      <c r="EL468" s="532"/>
      <c r="EM468" s="532"/>
      <c r="EN468" s="532"/>
      <c r="EO468" s="532"/>
      <c r="EP468" s="532"/>
      <c r="EQ468" s="532"/>
      <c r="ER468" s="532"/>
      <c r="ES468" s="532"/>
      <c r="ET468" s="532"/>
      <c r="EU468" s="532"/>
      <c r="EV468" s="532"/>
      <c r="EW468" s="532"/>
      <c r="EX468" s="532"/>
      <c r="EY468" s="532"/>
      <c r="EZ468" s="532"/>
      <c r="FA468" s="532"/>
      <c r="FB468" s="532"/>
      <c r="FC468" s="532"/>
      <c r="FD468" s="532"/>
      <c r="FE468" s="532"/>
      <c r="FF468" s="532"/>
      <c r="FG468" s="532"/>
      <c r="FH468" s="532"/>
      <c r="FI468" s="532"/>
      <c r="FJ468" s="532"/>
      <c r="FK468" s="532"/>
      <c r="FL468" s="532"/>
      <c r="FM468" s="532"/>
      <c r="FN468" s="532"/>
      <c r="FO468" s="532"/>
      <c r="FP468" s="532"/>
    </row>
    <row r="469" spans="1:172" ht="12" customHeight="1" x14ac:dyDescent="0.2">
      <c r="A469" s="531" t="s">
        <v>935</v>
      </c>
      <c r="B469" s="534"/>
      <c r="C469" s="658">
        <v>22</v>
      </c>
      <c r="D469" s="658">
        <v>41</v>
      </c>
      <c r="E469" s="658">
        <v>23</v>
      </c>
      <c r="F469" s="658">
        <v>25</v>
      </c>
      <c r="G469" s="658">
        <v>15</v>
      </c>
      <c r="H469" s="658">
        <v>33</v>
      </c>
      <c r="I469" s="658">
        <v>18</v>
      </c>
      <c r="J469" s="658">
        <v>26</v>
      </c>
      <c r="K469" s="658">
        <v>27</v>
      </c>
      <c r="L469" s="562">
        <v>27</v>
      </c>
      <c r="M469" s="562">
        <v>26</v>
      </c>
      <c r="N469" s="562">
        <v>21</v>
      </c>
      <c r="O469" s="530">
        <f t="shared" si="196"/>
        <v>304</v>
      </c>
      <c r="P469" s="531"/>
      <c r="Q469" s="531"/>
      <c r="R469" s="531"/>
      <c r="S469" s="531"/>
      <c r="T469" s="531"/>
      <c r="U469" s="531"/>
      <c r="V469" s="531"/>
      <c r="W469" s="531"/>
      <c r="X469" s="531"/>
      <c r="Y469" s="531"/>
      <c r="Z469" s="531"/>
      <c r="AA469" s="531"/>
      <c r="AB469" s="531"/>
      <c r="AC469" s="531"/>
      <c r="AD469" s="531"/>
      <c r="AE469" s="531"/>
      <c r="AF469" s="531"/>
      <c r="AG469" s="531"/>
      <c r="AH469" s="532"/>
      <c r="AI469" s="532"/>
      <c r="AJ469" s="532"/>
      <c r="AK469" s="532"/>
      <c r="AL469" s="532"/>
      <c r="AM469" s="532"/>
      <c r="AN469" s="532"/>
      <c r="AO469" s="532"/>
      <c r="AP469" s="532"/>
      <c r="AQ469" s="532"/>
      <c r="AR469" s="532"/>
      <c r="AS469" s="532"/>
      <c r="AT469" s="532"/>
      <c r="AU469" s="532"/>
      <c r="AV469" s="532"/>
      <c r="AW469" s="532"/>
      <c r="AX469" s="532"/>
      <c r="AY469" s="532"/>
      <c r="AZ469" s="532"/>
      <c r="BA469" s="532"/>
      <c r="BB469" s="532"/>
      <c r="BC469" s="532"/>
      <c r="BD469" s="532"/>
      <c r="BE469" s="532"/>
      <c r="BF469" s="532"/>
      <c r="BG469" s="532"/>
      <c r="BH469" s="532"/>
      <c r="BI469" s="532"/>
      <c r="BJ469" s="532"/>
      <c r="BK469" s="532"/>
      <c r="BL469" s="532"/>
      <c r="BM469" s="532"/>
      <c r="BN469" s="532"/>
      <c r="BO469" s="532"/>
      <c r="BP469" s="532"/>
      <c r="BQ469" s="532"/>
      <c r="BR469" s="532"/>
      <c r="BS469" s="532"/>
      <c r="BT469" s="532"/>
      <c r="BU469" s="532"/>
      <c r="BV469" s="532"/>
      <c r="BW469" s="532"/>
      <c r="BX469" s="532"/>
      <c r="BY469" s="532"/>
      <c r="BZ469" s="532"/>
      <c r="CA469" s="532"/>
      <c r="CB469" s="532"/>
      <c r="CC469" s="532"/>
      <c r="CD469" s="532"/>
      <c r="CE469" s="532"/>
      <c r="CF469" s="532"/>
      <c r="CG469" s="532"/>
      <c r="CH469" s="532"/>
      <c r="CI469" s="532"/>
      <c r="CJ469" s="532"/>
      <c r="CK469" s="532"/>
      <c r="CL469" s="532"/>
      <c r="CM469" s="532"/>
      <c r="CN469" s="532"/>
      <c r="CO469" s="532"/>
      <c r="CP469" s="532"/>
      <c r="CQ469" s="532"/>
      <c r="CR469" s="532"/>
      <c r="CS469" s="532"/>
      <c r="CT469" s="532"/>
      <c r="CU469" s="532"/>
      <c r="CV469" s="532"/>
      <c r="CW469" s="532"/>
      <c r="CX469" s="532"/>
      <c r="CY469" s="532"/>
      <c r="CZ469" s="532"/>
      <c r="DA469" s="532"/>
      <c r="DB469" s="532"/>
      <c r="DC469" s="532"/>
      <c r="DD469" s="532"/>
      <c r="DE469" s="532"/>
      <c r="DF469" s="532"/>
      <c r="DG469" s="532"/>
      <c r="DH469" s="532"/>
      <c r="DI469" s="532"/>
      <c r="DJ469" s="532"/>
      <c r="DK469" s="532"/>
      <c r="DL469" s="532"/>
      <c r="DM469" s="532"/>
      <c r="DN469" s="532"/>
      <c r="DO469" s="532"/>
      <c r="DP469" s="532"/>
      <c r="DQ469" s="532"/>
      <c r="DR469" s="532"/>
      <c r="DS469" s="532"/>
      <c r="DT469" s="532"/>
      <c r="DU469" s="532"/>
      <c r="DV469" s="532"/>
      <c r="DW469" s="532"/>
      <c r="DX469" s="532"/>
      <c r="DY469" s="532"/>
      <c r="DZ469" s="532"/>
      <c r="EA469" s="532"/>
      <c r="EB469" s="532"/>
      <c r="EC469" s="532"/>
      <c r="ED469" s="532"/>
      <c r="EE469" s="532"/>
      <c r="EF469" s="532"/>
      <c r="EG469" s="532"/>
      <c r="EH469" s="532"/>
      <c r="EI469" s="532"/>
      <c r="EJ469" s="532"/>
      <c r="EK469" s="532"/>
      <c r="EL469" s="532"/>
      <c r="EM469" s="532"/>
      <c r="EN469" s="532"/>
      <c r="EO469" s="532"/>
      <c r="EP469" s="532"/>
      <c r="EQ469" s="532"/>
      <c r="ER469" s="532"/>
      <c r="ES469" s="532"/>
      <c r="ET469" s="532"/>
      <c r="EU469" s="532"/>
      <c r="EV469" s="532"/>
      <c r="EW469" s="532"/>
      <c r="EX469" s="532"/>
      <c r="EY469" s="532"/>
      <c r="EZ469" s="532"/>
      <c r="FA469" s="532"/>
      <c r="FB469" s="532"/>
      <c r="FC469" s="532"/>
      <c r="FD469" s="532"/>
      <c r="FE469" s="532"/>
      <c r="FF469" s="532"/>
      <c r="FG469" s="532"/>
      <c r="FH469" s="532"/>
      <c r="FI469" s="532"/>
      <c r="FJ469" s="532"/>
      <c r="FK469" s="532"/>
      <c r="FL469" s="532"/>
      <c r="FM469" s="532"/>
      <c r="FN469" s="532"/>
      <c r="FO469" s="532"/>
      <c r="FP469" s="532"/>
    </row>
    <row r="470" spans="1:172" ht="12" customHeight="1" x14ac:dyDescent="0.2">
      <c r="A470" s="531" t="s">
        <v>965</v>
      </c>
      <c r="B470" s="534"/>
      <c r="C470" s="658">
        <v>40</v>
      </c>
      <c r="D470" s="658">
        <v>34</v>
      </c>
      <c r="E470" s="658">
        <v>32</v>
      </c>
      <c r="F470" s="658">
        <v>25</v>
      </c>
      <c r="G470" s="658">
        <v>30</v>
      </c>
      <c r="H470" s="658">
        <v>25</v>
      </c>
      <c r="I470" s="658">
        <v>20</v>
      </c>
      <c r="J470" s="658">
        <v>25</v>
      </c>
      <c r="K470" s="658">
        <v>12</v>
      </c>
      <c r="L470" s="562">
        <v>60</v>
      </c>
      <c r="M470" s="562">
        <v>69</v>
      </c>
      <c r="N470" s="562">
        <v>75</v>
      </c>
      <c r="O470" s="530">
        <f t="shared" si="196"/>
        <v>447</v>
      </c>
      <c r="P470" s="531"/>
      <c r="Q470" s="531"/>
      <c r="R470" s="531"/>
      <c r="S470" s="531"/>
      <c r="T470" s="531"/>
      <c r="U470" s="531"/>
      <c r="V470" s="531"/>
      <c r="W470" s="531"/>
      <c r="X470" s="531"/>
      <c r="Y470" s="531"/>
      <c r="Z470" s="531"/>
      <c r="AA470" s="531"/>
      <c r="AB470" s="531"/>
      <c r="AC470" s="531"/>
      <c r="AD470" s="531"/>
      <c r="AE470" s="531"/>
      <c r="AF470" s="531"/>
      <c r="AG470" s="531"/>
      <c r="AH470" s="532"/>
      <c r="AI470" s="532"/>
      <c r="AJ470" s="532"/>
      <c r="AK470" s="532"/>
      <c r="AL470" s="532"/>
      <c r="AM470" s="532"/>
      <c r="AN470" s="532"/>
      <c r="AO470" s="532"/>
      <c r="AP470" s="532"/>
      <c r="AQ470" s="532"/>
      <c r="AR470" s="532"/>
      <c r="AS470" s="532"/>
      <c r="AT470" s="532"/>
      <c r="AU470" s="532"/>
      <c r="AV470" s="532"/>
      <c r="AW470" s="532"/>
      <c r="AX470" s="532"/>
      <c r="AY470" s="532"/>
      <c r="AZ470" s="532"/>
      <c r="BA470" s="532"/>
      <c r="BB470" s="532"/>
      <c r="BC470" s="532"/>
      <c r="BD470" s="532"/>
      <c r="BE470" s="532"/>
      <c r="BF470" s="532"/>
      <c r="BG470" s="532"/>
      <c r="BH470" s="532"/>
      <c r="BI470" s="532"/>
      <c r="BJ470" s="532"/>
      <c r="BK470" s="532"/>
      <c r="BL470" s="532"/>
      <c r="BM470" s="532"/>
      <c r="BN470" s="532"/>
      <c r="BO470" s="532"/>
      <c r="BP470" s="532"/>
      <c r="BQ470" s="532"/>
      <c r="BR470" s="532"/>
      <c r="BS470" s="532"/>
      <c r="BT470" s="532"/>
      <c r="BU470" s="532"/>
      <c r="BV470" s="532"/>
      <c r="BW470" s="532"/>
      <c r="BX470" s="532"/>
      <c r="BY470" s="532"/>
      <c r="BZ470" s="532"/>
      <c r="CA470" s="532"/>
      <c r="CB470" s="532"/>
      <c r="CC470" s="532"/>
      <c r="CD470" s="532"/>
      <c r="CE470" s="532"/>
      <c r="CF470" s="532"/>
      <c r="CG470" s="532"/>
      <c r="CH470" s="532"/>
      <c r="CI470" s="532"/>
      <c r="CJ470" s="532"/>
      <c r="CK470" s="532"/>
      <c r="CL470" s="532"/>
      <c r="CM470" s="532"/>
      <c r="CN470" s="532"/>
      <c r="CO470" s="532"/>
      <c r="CP470" s="532"/>
      <c r="CQ470" s="532"/>
      <c r="CR470" s="532"/>
      <c r="CS470" s="532"/>
      <c r="CT470" s="532"/>
      <c r="CU470" s="532"/>
      <c r="CV470" s="532"/>
      <c r="CW470" s="532"/>
      <c r="CX470" s="532"/>
      <c r="CY470" s="532"/>
      <c r="CZ470" s="532"/>
      <c r="DA470" s="532"/>
      <c r="DB470" s="532"/>
      <c r="DC470" s="532"/>
      <c r="DD470" s="532"/>
      <c r="DE470" s="532"/>
      <c r="DF470" s="532"/>
      <c r="DG470" s="532"/>
      <c r="DH470" s="532"/>
      <c r="DI470" s="532"/>
      <c r="DJ470" s="532"/>
      <c r="DK470" s="532"/>
      <c r="DL470" s="532"/>
      <c r="DM470" s="532"/>
      <c r="DN470" s="532"/>
      <c r="DO470" s="532"/>
      <c r="DP470" s="532"/>
      <c r="DQ470" s="532"/>
      <c r="DR470" s="532"/>
      <c r="DS470" s="532"/>
      <c r="DT470" s="532"/>
      <c r="DU470" s="532"/>
      <c r="DV470" s="532"/>
      <c r="DW470" s="532"/>
      <c r="DX470" s="532"/>
      <c r="DY470" s="532"/>
      <c r="DZ470" s="532"/>
      <c r="EA470" s="532"/>
      <c r="EB470" s="532"/>
      <c r="EC470" s="532"/>
      <c r="ED470" s="532"/>
      <c r="EE470" s="532"/>
      <c r="EF470" s="532"/>
      <c r="EG470" s="532"/>
      <c r="EH470" s="532"/>
      <c r="EI470" s="532"/>
      <c r="EJ470" s="532"/>
      <c r="EK470" s="532"/>
      <c r="EL470" s="532"/>
      <c r="EM470" s="532"/>
      <c r="EN470" s="532"/>
      <c r="EO470" s="532"/>
      <c r="EP470" s="532"/>
      <c r="EQ470" s="532"/>
      <c r="ER470" s="532"/>
      <c r="ES470" s="532"/>
      <c r="ET470" s="532"/>
      <c r="EU470" s="532"/>
      <c r="EV470" s="532"/>
      <c r="EW470" s="532"/>
      <c r="EX470" s="532"/>
      <c r="EY470" s="532"/>
      <c r="EZ470" s="532"/>
      <c r="FA470" s="532"/>
      <c r="FB470" s="532"/>
      <c r="FC470" s="532"/>
      <c r="FD470" s="532"/>
      <c r="FE470" s="532"/>
      <c r="FF470" s="532"/>
      <c r="FG470" s="532"/>
      <c r="FH470" s="532"/>
      <c r="FI470" s="532"/>
      <c r="FJ470" s="532"/>
      <c r="FK470" s="532"/>
      <c r="FL470" s="532"/>
      <c r="FM470" s="532"/>
      <c r="FN470" s="532"/>
      <c r="FO470" s="532"/>
      <c r="FP470" s="532"/>
    </row>
    <row r="471" spans="1:172" ht="12" customHeight="1" x14ac:dyDescent="0.2">
      <c r="A471" s="533" t="s">
        <v>334</v>
      </c>
      <c r="B471" s="534" t="s">
        <v>335</v>
      </c>
      <c r="C471" s="534">
        <f t="shared" ref="C471:N471" si="197">SUM(C467:C470)</f>
        <v>425</v>
      </c>
      <c r="D471" s="534">
        <f t="shared" si="197"/>
        <v>448</v>
      </c>
      <c r="E471" s="534">
        <f t="shared" si="197"/>
        <v>419</v>
      </c>
      <c r="F471" s="534">
        <f t="shared" si="197"/>
        <v>507</v>
      </c>
      <c r="G471" s="534">
        <f t="shared" si="197"/>
        <v>476</v>
      </c>
      <c r="H471" s="534">
        <f t="shared" si="197"/>
        <v>499</v>
      </c>
      <c r="I471" s="534">
        <f t="shared" si="197"/>
        <v>442</v>
      </c>
      <c r="J471" s="534">
        <f t="shared" si="197"/>
        <v>497</v>
      </c>
      <c r="K471" s="535">
        <f t="shared" si="197"/>
        <v>455</v>
      </c>
      <c r="L471" s="561">
        <f t="shared" si="197"/>
        <v>415</v>
      </c>
      <c r="M471" s="561">
        <f t="shared" si="197"/>
        <v>522</v>
      </c>
      <c r="N471" s="561">
        <f t="shared" si="197"/>
        <v>483</v>
      </c>
      <c r="O471" s="530">
        <f t="shared" si="196"/>
        <v>5588</v>
      </c>
      <c r="P471" s="531"/>
      <c r="Q471" s="531"/>
      <c r="R471" s="531"/>
      <c r="S471" s="531"/>
      <c r="T471" s="531"/>
      <c r="U471" s="531"/>
      <c r="V471" s="531"/>
      <c r="W471" s="531"/>
      <c r="X471" s="531"/>
      <c r="Y471" s="531"/>
      <c r="Z471" s="531"/>
      <c r="AA471" s="531"/>
      <c r="AB471" s="531"/>
      <c r="AC471" s="531"/>
      <c r="AD471" s="531"/>
      <c r="AE471" s="531"/>
      <c r="AF471" s="531"/>
      <c r="AG471" s="531"/>
      <c r="AH471" s="532"/>
      <c r="AI471" s="532"/>
      <c r="AJ471" s="532"/>
      <c r="AK471" s="532"/>
      <c r="AL471" s="532"/>
      <c r="AM471" s="532"/>
      <c r="AN471" s="532"/>
      <c r="AO471" s="532"/>
      <c r="AP471" s="532"/>
      <c r="AQ471" s="532"/>
      <c r="AR471" s="532"/>
      <c r="AS471" s="532"/>
      <c r="AT471" s="532"/>
      <c r="AU471" s="532"/>
      <c r="AV471" s="532"/>
      <c r="AW471" s="532"/>
      <c r="AX471" s="532"/>
      <c r="AY471" s="532"/>
      <c r="AZ471" s="532"/>
      <c r="BA471" s="532"/>
      <c r="BB471" s="532"/>
      <c r="BC471" s="532"/>
      <c r="BD471" s="532"/>
      <c r="BE471" s="532"/>
      <c r="BF471" s="532"/>
      <c r="BG471" s="532"/>
      <c r="BH471" s="532"/>
      <c r="BI471" s="532"/>
      <c r="BJ471" s="532"/>
      <c r="BK471" s="532"/>
      <c r="BL471" s="532"/>
      <c r="BM471" s="532"/>
      <c r="BN471" s="532"/>
      <c r="BO471" s="532"/>
      <c r="BP471" s="532"/>
      <c r="BQ471" s="532"/>
      <c r="BR471" s="532"/>
      <c r="BS471" s="532"/>
      <c r="BT471" s="532"/>
      <c r="BU471" s="532"/>
      <c r="BV471" s="532"/>
      <c r="BW471" s="532"/>
      <c r="BX471" s="532"/>
      <c r="BY471" s="532"/>
      <c r="BZ471" s="532"/>
      <c r="CA471" s="532"/>
      <c r="CB471" s="532"/>
      <c r="CC471" s="532"/>
      <c r="CD471" s="532"/>
      <c r="CE471" s="532"/>
      <c r="CF471" s="532"/>
      <c r="CG471" s="532"/>
      <c r="CH471" s="532"/>
      <c r="CI471" s="532"/>
      <c r="CJ471" s="532"/>
      <c r="CK471" s="532"/>
      <c r="CL471" s="532"/>
      <c r="CM471" s="532"/>
      <c r="CN471" s="532"/>
      <c r="CO471" s="532"/>
      <c r="CP471" s="532"/>
      <c r="CQ471" s="532"/>
      <c r="CR471" s="532"/>
      <c r="CS471" s="532"/>
      <c r="CT471" s="532"/>
      <c r="CU471" s="532"/>
      <c r="CV471" s="532"/>
      <c r="CW471" s="532"/>
      <c r="CX471" s="532"/>
      <c r="CY471" s="532"/>
      <c r="CZ471" s="532"/>
      <c r="DA471" s="532"/>
      <c r="DB471" s="532"/>
      <c r="DC471" s="532"/>
      <c r="DD471" s="532"/>
      <c r="DE471" s="532"/>
      <c r="DF471" s="532"/>
      <c r="DG471" s="532"/>
      <c r="DH471" s="532"/>
      <c r="DI471" s="532"/>
      <c r="DJ471" s="532"/>
      <c r="DK471" s="532"/>
      <c r="DL471" s="532"/>
      <c r="DM471" s="532"/>
      <c r="DN471" s="532"/>
      <c r="DO471" s="532"/>
      <c r="DP471" s="532"/>
      <c r="DQ471" s="532"/>
      <c r="DR471" s="532"/>
      <c r="DS471" s="532"/>
      <c r="DT471" s="532"/>
      <c r="DU471" s="532"/>
      <c r="DV471" s="532"/>
      <c r="DW471" s="532"/>
      <c r="DX471" s="532"/>
      <c r="DY471" s="532"/>
      <c r="DZ471" s="532"/>
      <c r="EA471" s="532"/>
      <c r="EB471" s="532"/>
      <c r="EC471" s="532"/>
      <c r="ED471" s="532"/>
      <c r="EE471" s="532"/>
      <c r="EF471" s="532"/>
      <c r="EG471" s="532"/>
      <c r="EH471" s="532"/>
      <c r="EI471" s="532"/>
      <c r="EJ471" s="532"/>
      <c r="EK471" s="532"/>
      <c r="EL471" s="532"/>
      <c r="EM471" s="532"/>
      <c r="EN471" s="532"/>
      <c r="EO471" s="532"/>
      <c r="EP471" s="532"/>
      <c r="EQ471" s="532"/>
      <c r="ER471" s="532"/>
      <c r="ES471" s="532"/>
      <c r="ET471" s="532"/>
      <c r="EU471" s="532"/>
      <c r="EV471" s="532"/>
      <c r="EW471" s="532"/>
      <c r="EX471" s="532"/>
      <c r="EY471" s="532"/>
      <c r="EZ471" s="532"/>
      <c r="FA471" s="532"/>
      <c r="FB471" s="532"/>
      <c r="FC471" s="532"/>
      <c r="FD471" s="532"/>
      <c r="FE471" s="532"/>
      <c r="FF471" s="532"/>
      <c r="FG471" s="532"/>
      <c r="FH471" s="532"/>
      <c r="FI471" s="532"/>
      <c r="FJ471" s="532"/>
      <c r="FK471" s="532"/>
      <c r="FL471" s="532"/>
      <c r="FM471" s="532"/>
      <c r="FN471" s="532"/>
      <c r="FO471" s="532"/>
      <c r="FP471" s="532"/>
    </row>
    <row r="472" spans="1:172" ht="12" customHeight="1" x14ac:dyDescent="0.2">
      <c r="A472" s="533"/>
      <c r="B472" s="534"/>
      <c r="C472" s="534"/>
      <c r="D472" s="534"/>
      <c r="E472" s="534"/>
      <c r="F472" s="534"/>
      <c r="G472" s="534"/>
      <c r="H472" s="534"/>
      <c r="I472" s="534"/>
      <c r="J472" s="534"/>
      <c r="K472" s="658"/>
      <c r="L472" s="562"/>
      <c r="M472" s="562"/>
      <c r="N472" s="562"/>
      <c r="O472" s="530"/>
      <c r="P472" s="531"/>
      <c r="Q472" s="531"/>
      <c r="R472" s="531"/>
      <c r="S472" s="531"/>
      <c r="T472" s="531"/>
      <c r="U472" s="531"/>
      <c r="V472" s="531"/>
      <c r="W472" s="531"/>
      <c r="X472" s="531"/>
      <c r="Y472" s="531"/>
      <c r="Z472" s="531"/>
      <c r="AA472" s="531"/>
      <c r="AB472" s="531"/>
      <c r="AC472" s="531"/>
      <c r="AD472" s="531"/>
      <c r="AE472" s="531"/>
      <c r="AF472" s="531"/>
      <c r="AG472" s="531"/>
      <c r="AH472" s="532"/>
      <c r="AI472" s="532"/>
      <c r="AJ472" s="532"/>
      <c r="AK472" s="532"/>
      <c r="AL472" s="532"/>
      <c r="AM472" s="532"/>
      <c r="AN472" s="532"/>
      <c r="AO472" s="532"/>
      <c r="AP472" s="532"/>
      <c r="AQ472" s="532"/>
      <c r="AR472" s="532"/>
      <c r="AS472" s="532"/>
      <c r="AT472" s="532"/>
      <c r="AU472" s="532"/>
      <c r="AV472" s="532"/>
      <c r="AW472" s="532"/>
      <c r="AX472" s="532"/>
      <c r="AY472" s="532"/>
      <c r="AZ472" s="532"/>
      <c r="BA472" s="532"/>
      <c r="BB472" s="532"/>
      <c r="BC472" s="532"/>
      <c r="BD472" s="532"/>
      <c r="BE472" s="532"/>
      <c r="BF472" s="532"/>
      <c r="BG472" s="532"/>
      <c r="BH472" s="532"/>
      <c r="BI472" s="532"/>
      <c r="BJ472" s="532"/>
      <c r="BK472" s="532"/>
      <c r="BL472" s="532"/>
      <c r="BM472" s="532"/>
      <c r="BN472" s="532"/>
      <c r="BO472" s="532"/>
      <c r="BP472" s="532"/>
      <c r="BQ472" s="532"/>
      <c r="BR472" s="532"/>
      <c r="BS472" s="532"/>
      <c r="BT472" s="532"/>
      <c r="BU472" s="532"/>
      <c r="BV472" s="532"/>
      <c r="BW472" s="532"/>
      <c r="BX472" s="532"/>
      <c r="BY472" s="532"/>
      <c r="BZ472" s="532"/>
      <c r="CA472" s="532"/>
      <c r="CB472" s="532"/>
      <c r="CC472" s="532"/>
      <c r="CD472" s="532"/>
      <c r="CE472" s="532"/>
      <c r="CF472" s="532"/>
      <c r="CG472" s="532"/>
      <c r="CH472" s="532"/>
      <c r="CI472" s="532"/>
      <c r="CJ472" s="532"/>
      <c r="CK472" s="532"/>
      <c r="CL472" s="532"/>
      <c r="CM472" s="532"/>
      <c r="CN472" s="532"/>
      <c r="CO472" s="532"/>
      <c r="CP472" s="532"/>
      <c r="CQ472" s="532"/>
      <c r="CR472" s="532"/>
      <c r="CS472" s="532"/>
      <c r="CT472" s="532"/>
      <c r="CU472" s="532"/>
      <c r="CV472" s="532"/>
      <c r="CW472" s="532"/>
      <c r="CX472" s="532"/>
      <c r="CY472" s="532"/>
      <c r="CZ472" s="532"/>
      <c r="DA472" s="532"/>
      <c r="DB472" s="532"/>
      <c r="DC472" s="532"/>
      <c r="DD472" s="532"/>
      <c r="DE472" s="532"/>
      <c r="DF472" s="532"/>
      <c r="DG472" s="532"/>
      <c r="DH472" s="532"/>
      <c r="DI472" s="532"/>
      <c r="DJ472" s="532"/>
      <c r="DK472" s="532"/>
      <c r="DL472" s="532"/>
      <c r="DM472" s="532"/>
      <c r="DN472" s="532"/>
      <c r="DO472" s="532"/>
      <c r="DP472" s="532"/>
      <c r="DQ472" s="532"/>
      <c r="DR472" s="532"/>
      <c r="DS472" s="532"/>
      <c r="DT472" s="532"/>
      <c r="DU472" s="532"/>
      <c r="DV472" s="532"/>
      <c r="DW472" s="532"/>
      <c r="DX472" s="532"/>
      <c r="DY472" s="532"/>
      <c r="DZ472" s="532"/>
      <c r="EA472" s="532"/>
      <c r="EB472" s="532"/>
      <c r="EC472" s="532"/>
      <c r="ED472" s="532"/>
      <c r="EE472" s="532"/>
      <c r="EF472" s="532"/>
      <c r="EG472" s="532"/>
      <c r="EH472" s="532"/>
      <c r="EI472" s="532"/>
      <c r="EJ472" s="532"/>
      <c r="EK472" s="532"/>
      <c r="EL472" s="532"/>
      <c r="EM472" s="532"/>
      <c r="EN472" s="532"/>
      <c r="EO472" s="532"/>
      <c r="EP472" s="532"/>
      <c r="EQ472" s="532"/>
      <c r="ER472" s="532"/>
      <c r="ES472" s="532"/>
      <c r="ET472" s="532"/>
      <c r="EU472" s="532"/>
      <c r="EV472" s="532"/>
      <c r="EW472" s="532"/>
      <c r="EX472" s="532"/>
      <c r="EY472" s="532"/>
      <c r="EZ472" s="532"/>
      <c r="FA472" s="532"/>
      <c r="FB472" s="532"/>
      <c r="FC472" s="532"/>
      <c r="FD472" s="532"/>
      <c r="FE472" s="532"/>
      <c r="FF472" s="532"/>
      <c r="FG472" s="532"/>
      <c r="FH472" s="532"/>
      <c r="FI472" s="532"/>
      <c r="FJ472" s="532"/>
      <c r="FK472" s="532"/>
      <c r="FL472" s="532"/>
      <c r="FM472" s="532"/>
      <c r="FN472" s="532"/>
      <c r="FO472" s="532"/>
      <c r="FP472" s="532"/>
    </row>
    <row r="473" spans="1:172" ht="12" customHeight="1" x14ac:dyDescent="0.2">
      <c r="A473" s="537" t="s">
        <v>336</v>
      </c>
      <c r="B473" s="534"/>
      <c r="C473" s="534"/>
      <c r="D473" s="534"/>
      <c r="E473" s="534"/>
      <c r="F473" s="534"/>
      <c r="G473" s="534"/>
      <c r="H473" s="534"/>
      <c r="I473" s="534"/>
      <c r="J473" s="534"/>
      <c r="K473" s="658"/>
      <c r="L473" s="562"/>
      <c r="M473" s="562"/>
      <c r="N473" s="562"/>
      <c r="O473" s="546"/>
      <c r="P473" s="556"/>
      <c r="Q473" s="556"/>
      <c r="R473" s="556"/>
      <c r="S473" s="556"/>
      <c r="T473" s="556"/>
      <c r="U473" s="556"/>
      <c r="V473" s="556"/>
      <c r="W473" s="556"/>
      <c r="X473" s="556"/>
      <c r="Y473" s="556"/>
      <c r="Z473" s="556"/>
      <c r="AA473" s="531"/>
      <c r="AB473" s="531"/>
      <c r="AC473" s="531"/>
      <c r="AD473" s="531"/>
      <c r="AE473" s="531"/>
      <c r="AF473" s="531"/>
      <c r="AG473" s="531"/>
      <c r="AH473" s="532"/>
      <c r="AI473" s="532"/>
      <c r="AJ473" s="532"/>
      <c r="AK473" s="532"/>
      <c r="AL473" s="532"/>
      <c r="AM473" s="532"/>
      <c r="AN473" s="532"/>
      <c r="AO473" s="532"/>
      <c r="AP473" s="532"/>
      <c r="AQ473" s="532"/>
      <c r="AR473" s="532"/>
      <c r="AS473" s="532"/>
      <c r="AT473" s="532"/>
      <c r="AU473" s="532"/>
      <c r="AV473" s="532"/>
      <c r="AW473" s="532"/>
      <c r="AX473" s="532"/>
      <c r="AY473" s="532"/>
      <c r="AZ473" s="532"/>
      <c r="BA473" s="532"/>
      <c r="BB473" s="532"/>
      <c r="BC473" s="532"/>
      <c r="BD473" s="532"/>
      <c r="BE473" s="532"/>
      <c r="BF473" s="532"/>
      <c r="BG473" s="532"/>
      <c r="BH473" s="532"/>
      <c r="BI473" s="532"/>
      <c r="BJ473" s="532"/>
      <c r="BK473" s="532"/>
      <c r="BL473" s="532"/>
      <c r="BM473" s="532"/>
      <c r="BN473" s="532"/>
      <c r="BO473" s="532"/>
      <c r="BP473" s="532"/>
      <c r="BQ473" s="532"/>
      <c r="BR473" s="532"/>
      <c r="BS473" s="532"/>
      <c r="BT473" s="532"/>
      <c r="BU473" s="532"/>
      <c r="BV473" s="532"/>
      <c r="BW473" s="532"/>
      <c r="BX473" s="532"/>
      <c r="BY473" s="532"/>
      <c r="BZ473" s="532"/>
      <c r="CA473" s="532"/>
      <c r="CB473" s="532"/>
      <c r="CC473" s="532"/>
      <c r="CD473" s="532"/>
      <c r="CE473" s="532"/>
      <c r="CF473" s="532"/>
      <c r="CG473" s="532"/>
      <c r="CH473" s="532"/>
      <c r="CI473" s="532"/>
      <c r="CJ473" s="532"/>
      <c r="CK473" s="532"/>
      <c r="CL473" s="532"/>
      <c r="CM473" s="532"/>
      <c r="CN473" s="532"/>
      <c r="CO473" s="532"/>
      <c r="CP473" s="532"/>
      <c r="CQ473" s="532"/>
      <c r="CR473" s="532"/>
      <c r="CS473" s="532"/>
      <c r="CT473" s="532"/>
      <c r="CU473" s="532"/>
      <c r="CV473" s="532"/>
      <c r="CW473" s="532"/>
      <c r="CX473" s="532"/>
      <c r="CY473" s="532"/>
      <c r="CZ473" s="532"/>
      <c r="DA473" s="532"/>
      <c r="DB473" s="532"/>
      <c r="DC473" s="532"/>
      <c r="DD473" s="532"/>
      <c r="DE473" s="532"/>
      <c r="DF473" s="532"/>
      <c r="DG473" s="532"/>
      <c r="DH473" s="532"/>
      <c r="DI473" s="532"/>
      <c r="DJ473" s="532"/>
      <c r="DK473" s="532"/>
      <c r="DL473" s="532"/>
      <c r="DM473" s="532"/>
      <c r="DN473" s="532"/>
      <c r="DO473" s="532"/>
      <c r="DP473" s="532"/>
      <c r="DQ473" s="532"/>
      <c r="DR473" s="532"/>
      <c r="DS473" s="532"/>
      <c r="DT473" s="532"/>
      <c r="DU473" s="532"/>
      <c r="DV473" s="532"/>
      <c r="DW473" s="532"/>
      <c r="DX473" s="532"/>
      <c r="DY473" s="532"/>
      <c r="DZ473" s="532"/>
      <c r="EA473" s="532"/>
      <c r="EB473" s="532"/>
      <c r="EC473" s="532"/>
      <c r="ED473" s="532"/>
      <c r="EE473" s="532"/>
      <c r="EF473" s="532"/>
      <c r="EG473" s="532"/>
      <c r="EH473" s="532"/>
      <c r="EI473" s="532"/>
      <c r="EJ473" s="532"/>
      <c r="EK473" s="532"/>
      <c r="EL473" s="532"/>
      <c r="EM473" s="532"/>
      <c r="EN473" s="532"/>
      <c r="EO473" s="532"/>
      <c r="EP473" s="532"/>
      <c r="EQ473" s="532"/>
      <c r="ER473" s="532"/>
      <c r="ES473" s="532"/>
      <c r="ET473" s="532"/>
      <c r="EU473" s="532"/>
      <c r="EV473" s="532"/>
      <c r="EW473" s="532"/>
      <c r="EX473" s="532"/>
      <c r="EY473" s="532"/>
      <c r="EZ473" s="532"/>
      <c r="FA473" s="532"/>
      <c r="FB473" s="532"/>
      <c r="FC473" s="532"/>
      <c r="FD473" s="532"/>
      <c r="FE473" s="532"/>
      <c r="FF473" s="532"/>
      <c r="FG473" s="532"/>
      <c r="FH473" s="532"/>
      <c r="FI473" s="532"/>
      <c r="FJ473" s="532"/>
      <c r="FK473" s="532"/>
      <c r="FL473" s="532"/>
      <c r="FM473" s="532"/>
      <c r="FN473" s="532"/>
      <c r="FO473" s="532"/>
      <c r="FP473" s="532"/>
    </row>
    <row r="474" spans="1:172" x14ac:dyDescent="0.2">
      <c r="A474" s="557" t="s">
        <v>337</v>
      </c>
      <c r="B474" s="534" t="s">
        <v>338</v>
      </c>
      <c r="C474" s="534"/>
      <c r="D474" s="534"/>
      <c r="E474" s="534"/>
      <c r="F474" s="534"/>
      <c r="G474" s="534"/>
      <c r="H474" s="534"/>
      <c r="I474" s="534"/>
      <c r="J474" s="534"/>
      <c r="K474" s="658"/>
      <c r="L474" s="562"/>
      <c r="M474" s="562" t="s">
        <v>55</v>
      </c>
      <c r="N474" s="562"/>
      <c r="O474" s="530"/>
      <c r="P474" s="556"/>
      <c r="Q474" s="556"/>
      <c r="R474" s="556"/>
      <c r="S474" s="556"/>
      <c r="T474" s="556"/>
      <c r="U474" s="556"/>
      <c r="V474" s="556"/>
      <c r="W474" s="556"/>
      <c r="X474" s="556"/>
      <c r="Y474" s="556"/>
      <c r="Z474" s="556"/>
      <c r="AA474" s="531"/>
      <c r="AB474" s="531"/>
      <c r="AC474" s="531"/>
      <c r="AD474" s="531"/>
      <c r="AE474" s="531"/>
      <c r="AF474" s="531"/>
      <c r="AG474" s="531"/>
      <c r="AH474" s="532"/>
      <c r="AI474" s="532"/>
      <c r="AJ474" s="532"/>
      <c r="AK474" s="532"/>
      <c r="AL474" s="532"/>
      <c r="AM474" s="532"/>
      <c r="AN474" s="532"/>
      <c r="AO474" s="532"/>
      <c r="AP474" s="532"/>
      <c r="AQ474" s="532"/>
      <c r="AR474" s="532"/>
      <c r="AS474" s="532"/>
      <c r="AT474" s="532"/>
      <c r="AU474" s="532"/>
      <c r="AV474" s="532"/>
      <c r="AW474" s="532"/>
      <c r="AX474" s="532"/>
      <c r="AY474" s="532"/>
      <c r="AZ474" s="532"/>
      <c r="BA474" s="532"/>
      <c r="BB474" s="532"/>
      <c r="BC474" s="532"/>
      <c r="BD474" s="532"/>
      <c r="BE474" s="532"/>
      <c r="BF474" s="532"/>
      <c r="BG474" s="532"/>
      <c r="BH474" s="532"/>
      <c r="BI474" s="532"/>
      <c r="BJ474" s="532"/>
      <c r="BK474" s="532"/>
      <c r="BL474" s="532"/>
      <c r="BM474" s="532"/>
      <c r="BN474" s="532"/>
      <c r="BO474" s="532"/>
      <c r="BP474" s="532"/>
      <c r="BQ474" s="532"/>
      <c r="BR474" s="532"/>
      <c r="BS474" s="532"/>
      <c r="BT474" s="532"/>
      <c r="BU474" s="532"/>
      <c r="BV474" s="532"/>
      <c r="BW474" s="532"/>
      <c r="BX474" s="532"/>
      <c r="BY474" s="532"/>
      <c r="BZ474" s="532"/>
      <c r="CA474" s="532"/>
      <c r="CB474" s="532"/>
      <c r="CC474" s="532"/>
      <c r="CD474" s="532"/>
      <c r="CE474" s="532"/>
      <c r="CF474" s="532"/>
      <c r="CG474" s="532"/>
      <c r="CH474" s="532"/>
      <c r="CI474" s="532"/>
      <c r="CJ474" s="532"/>
      <c r="CK474" s="532"/>
      <c r="CL474" s="532"/>
      <c r="CM474" s="532"/>
      <c r="CN474" s="532"/>
      <c r="CO474" s="532"/>
      <c r="CP474" s="532"/>
      <c r="CQ474" s="532"/>
      <c r="CR474" s="532"/>
      <c r="CS474" s="532"/>
      <c r="CT474" s="532"/>
      <c r="CU474" s="532"/>
      <c r="CV474" s="532"/>
      <c r="CW474" s="532"/>
      <c r="CX474" s="532"/>
      <c r="CY474" s="532"/>
      <c r="CZ474" s="532"/>
      <c r="DA474" s="532"/>
      <c r="DB474" s="532"/>
      <c r="DC474" s="532"/>
      <c r="DD474" s="532"/>
      <c r="DE474" s="532"/>
      <c r="DF474" s="532"/>
      <c r="DG474" s="532"/>
      <c r="DH474" s="532"/>
      <c r="DI474" s="532"/>
      <c r="DJ474" s="532"/>
      <c r="DK474" s="532"/>
      <c r="DL474" s="532"/>
      <c r="DM474" s="532"/>
      <c r="DN474" s="532"/>
      <c r="DO474" s="532"/>
      <c r="DP474" s="532"/>
      <c r="DQ474" s="532"/>
      <c r="DR474" s="532"/>
      <c r="DS474" s="532"/>
      <c r="DT474" s="532"/>
      <c r="DU474" s="532"/>
      <c r="DV474" s="532"/>
      <c r="DW474" s="532"/>
      <c r="DX474" s="532"/>
      <c r="DY474" s="532"/>
      <c r="DZ474" s="532"/>
      <c r="EA474" s="532"/>
      <c r="EB474" s="532"/>
      <c r="EC474" s="532"/>
      <c r="ED474" s="532"/>
      <c r="EE474" s="532"/>
      <c r="EF474" s="532"/>
      <c r="EG474" s="532"/>
      <c r="EH474" s="532"/>
      <c r="EI474" s="532"/>
      <c r="EJ474" s="532"/>
      <c r="EK474" s="532"/>
      <c r="EL474" s="532"/>
      <c r="EM474" s="532"/>
      <c r="EN474" s="532"/>
      <c r="EO474" s="532"/>
      <c r="EP474" s="532"/>
      <c r="EQ474" s="532"/>
      <c r="ER474" s="532"/>
      <c r="ES474" s="532"/>
      <c r="ET474" s="532"/>
      <c r="EU474" s="532"/>
      <c r="EV474" s="532"/>
      <c r="EW474" s="532"/>
      <c r="EX474" s="532"/>
      <c r="EY474" s="532"/>
      <c r="EZ474" s="532"/>
      <c r="FA474" s="532"/>
      <c r="FB474" s="532"/>
      <c r="FC474" s="532"/>
      <c r="FD474" s="532"/>
      <c r="FE474" s="532"/>
      <c r="FF474" s="532"/>
      <c r="FG474" s="532"/>
      <c r="FH474" s="532"/>
      <c r="FI474" s="532"/>
      <c r="FJ474" s="532"/>
      <c r="FK474" s="532"/>
      <c r="FL474" s="532"/>
      <c r="FM474" s="532"/>
      <c r="FN474" s="532"/>
      <c r="FO474" s="532"/>
      <c r="FP474" s="532"/>
    </row>
    <row r="475" spans="1:172" ht="12" customHeight="1" x14ac:dyDescent="0.2">
      <c r="A475" s="531" t="s">
        <v>966</v>
      </c>
      <c r="B475" s="534">
        <v>5</v>
      </c>
      <c r="C475" s="208">
        <v>0</v>
      </c>
      <c r="D475" s="208">
        <v>0</v>
      </c>
      <c r="E475" s="208">
        <v>1</v>
      </c>
      <c r="F475" s="208">
        <v>0</v>
      </c>
      <c r="G475" s="208">
        <v>0</v>
      </c>
      <c r="H475" s="208">
        <v>0</v>
      </c>
      <c r="I475" s="208">
        <v>0</v>
      </c>
      <c r="J475" s="208">
        <v>0</v>
      </c>
      <c r="K475" s="208">
        <v>0</v>
      </c>
      <c r="L475" s="562">
        <v>0</v>
      </c>
      <c r="M475" s="562">
        <v>0</v>
      </c>
      <c r="N475" s="562">
        <v>0</v>
      </c>
      <c r="O475" s="530">
        <f>SUM(C475:N475)</f>
        <v>1</v>
      </c>
      <c r="P475" s="556" t="s">
        <v>55</v>
      </c>
      <c r="Q475" s="556"/>
      <c r="R475" s="556"/>
      <c r="S475" s="556"/>
      <c r="T475" s="556"/>
      <c r="U475" s="556"/>
      <c r="V475" s="556"/>
      <c r="W475" s="556"/>
      <c r="X475" s="556"/>
      <c r="Y475" s="556"/>
      <c r="Z475" s="556"/>
      <c r="AA475" s="531"/>
      <c r="AB475" s="531"/>
      <c r="AC475" s="531"/>
      <c r="AD475" s="531"/>
      <c r="AE475" s="531"/>
      <c r="AF475" s="531"/>
      <c r="AG475" s="531"/>
      <c r="AH475" s="532"/>
      <c r="AI475" s="532"/>
      <c r="AJ475" s="532"/>
      <c r="AK475" s="532"/>
      <c r="AL475" s="532"/>
      <c r="AM475" s="532"/>
      <c r="AN475" s="532"/>
      <c r="AO475" s="532"/>
      <c r="AP475" s="532"/>
      <c r="AQ475" s="532"/>
      <c r="AR475" s="532"/>
      <c r="AS475" s="532"/>
      <c r="AT475" s="532"/>
      <c r="AU475" s="532"/>
      <c r="AV475" s="532"/>
      <c r="AW475" s="532"/>
      <c r="AX475" s="532"/>
      <c r="AY475" s="532"/>
      <c r="AZ475" s="532"/>
      <c r="BA475" s="532"/>
      <c r="BB475" s="532"/>
      <c r="BC475" s="532"/>
      <c r="BD475" s="532"/>
      <c r="BE475" s="532"/>
      <c r="BF475" s="532"/>
      <c r="BG475" s="532"/>
      <c r="BH475" s="532"/>
      <c r="BI475" s="532"/>
      <c r="BJ475" s="532"/>
      <c r="BK475" s="532"/>
      <c r="BL475" s="532"/>
      <c r="BM475" s="532"/>
      <c r="BN475" s="532"/>
      <c r="BO475" s="532"/>
      <c r="BP475" s="532"/>
      <c r="BQ475" s="532"/>
      <c r="BR475" s="532"/>
      <c r="BS475" s="532"/>
      <c r="BT475" s="532"/>
      <c r="BU475" s="532"/>
      <c r="BV475" s="532"/>
      <c r="BW475" s="532"/>
      <c r="BX475" s="532"/>
      <c r="BY475" s="532"/>
      <c r="BZ475" s="532"/>
      <c r="CA475" s="532"/>
      <c r="CB475" s="532"/>
      <c r="CC475" s="532"/>
      <c r="CD475" s="532"/>
      <c r="CE475" s="532"/>
      <c r="CF475" s="532"/>
      <c r="CG475" s="532"/>
      <c r="CH475" s="532"/>
      <c r="CI475" s="532"/>
      <c r="CJ475" s="532"/>
      <c r="CK475" s="532"/>
      <c r="CL475" s="532"/>
      <c r="CM475" s="532"/>
      <c r="CN475" s="532"/>
      <c r="CO475" s="532"/>
      <c r="CP475" s="532"/>
      <c r="CQ475" s="532"/>
      <c r="CR475" s="532"/>
      <c r="CS475" s="532"/>
      <c r="CT475" s="532"/>
      <c r="CU475" s="532"/>
      <c r="CV475" s="532"/>
      <c r="CW475" s="532"/>
      <c r="CX475" s="532"/>
      <c r="CY475" s="532"/>
      <c r="CZ475" s="532"/>
      <c r="DA475" s="532"/>
      <c r="DB475" s="532"/>
      <c r="DC475" s="532"/>
      <c r="DD475" s="532"/>
      <c r="DE475" s="532"/>
      <c r="DF475" s="532"/>
      <c r="DG475" s="532"/>
      <c r="DH475" s="532"/>
      <c r="DI475" s="532"/>
      <c r="DJ475" s="532"/>
      <c r="DK475" s="532"/>
      <c r="DL475" s="532"/>
      <c r="DM475" s="532"/>
      <c r="DN475" s="532"/>
      <c r="DO475" s="532"/>
      <c r="DP475" s="532"/>
      <c r="DQ475" s="532"/>
      <c r="DR475" s="532"/>
      <c r="DS475" s="532"/>
      <c r="DT475" s="532"/>
      <c r="DU475" s="532"/>
      <c r="DV475" s="532"/>
      <c r="DW475" s="532"/>
      <c r="DX475" s="532"/>
      <c r="DY475" s="532"/>
      <c r="DZ475" s="532"/>
      <c r="EA475" s="532"/>
      <c r="EB475" s="532"/>
      <c r="EC475" s="532"/>
      <c r="ED475" s="532"/>
      <c r="EE475" s="532"/>
      <c r="EF475" s="532"/>
      <c r="EG475" s="532"/>
      <c r="EH475" s="532"/>
      <c r="EI475" s="532"/>
      <c r="EJ475" s="532"/>
      <c r="EK475" s="532"/>
      <c r="EL475" s="532"/>
      <c r="EM475" s="532"/>
      <c r="EN475" s="532"/>
      <c r="EO475" s="532"/>
      <c r="EP475" s="532"/>
      <c r="EQ475" s="532"/>
      <c r="ER475" s="532"/>
      <c r="ES475" s="532"/>
      <c r="ET475" s="532"/>
      <c r="EU475" s="532"/>
      <c r="EV475" s="532"/>
      <c r="EW475" s="532"/>
      <c r="EX475" s="532"/>
      <c r="EY475" s="532"/>
      <c r="EZ475" s="532"/>
      <c r="FA475" s="532"/>
      <c r="FB475" s="532"/>
      <c r="FC475" s="532"/>
      <c r="FD475" s="532"/>
      <c r="FE475" s="532"/>
      <c r="FF475" s="532"/>
      <c r="FG475" s="532"/>
      <c r="FH475" s="532"/>
      <c r="FI475" s="532"/>
      <c r="FJ475" s="532"/>
      <c r="FK475" s="532"/>
      <c r="FL475" s="532"/>
      <c r="FM475" s="532"/>
      <c r="FN475" s="532"/>
      <c r="FO475" s="532"/>
      <c r="FP475" s="532"/>
    </row>
    <row r="476" spans="1:172" ht="12" customHeight="1" x14ac:dyDescent="0.2">
      <c r="A476" s="531" t="s">
        <v>339</v>
      </c>
      <c r="B476" s="534">
        <v>83</v>
      </c>
      <c r="C476" s="208">
        <f>1+0</f>
        <v>1</v>
      </c>
      <c r="D476" s="208">
        <f>1+1</f>
        <v>2</v>
      </c>
      <c r="E476" s="208">
        <f>2+1</f>
        <v>3</v>
      </c>
      <c r="F476" s="208">
        <f>5+1</f>
        <v>6</v>
      </c>
      <c r="G476" s="208">
        <v>2</v>
      </c>
      <c r="H476" s="208">
        <v>0</v>
      </c>
      <c r="I476" s="208">
        <f>9</f>
        <v>9</v>
      </c>
      <c r="J476" s="208">
        <v>6</v>
      </c>
      <c r="K476" s="208">
        <f>5</f>
        <v>5</v>
      </c>
      <c r="L476" s="562">
        <f>3+2</f>
        <v>5</v>
      </c>
      <c r="M476" s="562">
        <f>4+1</f>
        <v>5</v>
      </c>
      <c r="N476" s="562">
        <f>3+1</f>
        <v>4</v>
      </c>
      <c r="O476" s="530">
        <f t="shared" ref="O476:O485" si="198">SUM(C476:N476)</f>
        <v>48</v>
      </c>
      <c r="P476" s="556" t="s">
        <v>55</v>
      </c>
      <c r="Q476" s="556"/>
      <c r="R476" s="556"/>
      <c r="S476" s="556"/>
      <c r="T476" s="556"/>
      <c r="U476" s="556"/>
      <c r="V476" s="556"/>
      <c r="W476" s="556"/>
      <c r="X476" s="556"/>
      <c r="Y476" s="556"/>
      <c r="Z476" s="556"/>
      <c r="AA476" s="531"/>
      <c r="AB476" s="531"/>
      <c r="AC476" s="531"/>
      <c r="AD476" s="531"/>
      <c r="AE476" s="531"/>
      <c r="AF476" s="531"/>
      <c r="AG476" s="531"/>
      <c r="AH476" s="532"/>
      <c r="AI476" s="532"/>
      <c r="AJ476" s="532"/>
      <c r="AK476" s="532"/>
      <c r="AL476" s="532"/>
      <c r="AM476" s="532"/>
      <c r="AN476" s="532"/>
      <c r="AO476" s="532"/>
      <c r="AP476" s="532"/>
      <c r="AQ476" s="532"/>
      <c r="AR476" s="532"/>
      <c r="AS476" s="532"/>
      <c r="AT476" s="532"/>
      <c r="AU476" s="532"/>
      <c r="AV476" s="532"/>
      <c r="AW476" s="532"/>
      <c r="AX476" s="532"/>
      <c r="AY476" s="532"/>
      <c r="AZ476" s="532"/>
      <c r="BA476" s="532"/>
      <c r="BB476" s="532"/>
      <c r="BC476" s="532"/>
      <c r="BD476" s="532"/>
      <c r="BE476" s="532"/>
      <c r="BF476" s="532"/>
      <c r="BG476" s="532"/>
      <c r="BH476" s="532"/>
      <c r="BI476" s="532"/>
      <c r="BJ476" s="532"/>
      <c r="BK476" s="532"/>
      <c r="BL476" s="532"/>
      <c r="BM476" s="532"/>
      <c r="BN476" s="532"/>
      <c r="BO476" s="532"/>
      <c r="BP476" s="532"/>
      <c r="BQ476" s="532"/>
      <c r="BR476" s="532"/>
      <c r="BS476" s="532"/>
      <c r="BT476" s="532"/>
      <c r="BU476" s="532"/>
      <c r="BV476" s="532"/>
      <c r="BW476" s="532"/>
      <c r="BX476" s="532"/>
      <c r="BY476" s="532"/>
      <c r="BZ476" s="532"/>
      <c r="CA476" s="532"/>
      <c r="CB476" s="532"/>
      <c r="CC476" s="532"/>
      <c r="CD476" s="532"/>
      <c r="CE476" s="532"/>
      <c r="CF476" s="532"/>
      <c r="CG476" s="532"/>
      <c r="CH476" s="532"/>
      <c r="CI476" s="532"/>
      <c r="CJ476" s="532"/>
      <c r="CK476" s="532"/>
      <c r="CL476" s="532"/>
      <c r="CM476" s="532"/>
      <c r="CN476" s="532"/>
      <c r="CO476" s="532"/>
      <c r="CP476" s="532"/>
      <c r="CQ476" s="532"/>
      <c r="CR476" s="532"/>
      <c r="CS476" s="532"/>
      <c r="CT476" s="532"/>
      <c r="CU476" s="532"/>
      <c r="CV476" s="532"/>
      <c r="CW476" s="532"/>
      <c r="CX476" s="532"/>
      <c r="CY476" s="532"/>
      <c r="CZ476" s="532"/>
      <c r="DA476" s="532"/>
      <c r="DB476" s="532"/>
      <c r="DC476" s="532"/>
      <c r="DD476" s="532"/>
      <c r="DE476" s="532"/>
      <c r="DF476" s="532"/>
      <c r="DG476" s="532"/>
      <c r="DH476" s="532"/>
      <c r="DI476" s="532"/>
      <c r="DJ476" s="532"/>
      <c r="DK476" s="532"/>
      <c r="DL476" s="532"/>
      <c r="DM476" s="532"/>
      <c r="DN476" s="532"/>
      <c r="DO476" s="532"/>
      <c r="DP476" s="532"/>
      <c r="DQ476" s="532"/>
      <c r="DR476" s="532"/>
      <c r="DS476" s="532"/>
      <c r="DT476" s="532"/>
      <c r="DU476" s="532"/>
      <c r="DV476" s="532"/>
      <c r="DW476" s="532"/>
      <c r="DX476" s="532"/>
      <c r="DY476" s="532"/>
      <c r="DZ476" s="532"/>
      <c r="EA476" s="532"/>
      <c r="EB476" s="532"/>
      <c r="EC476" s="532"/>
      <c r="ED476" s="532"/>
      <c r="EE476" s="532"/>
      <c r="EF476" s="532"/>
      <c r="EG476" s="532"/>
      <c r="EH476" s="532"/>
      <c r="EI476" s="532"/>
      <c r="EJ476" s="532"/>
      <c r="EK476" s="532"/>
      <c r="EL476" s="532"/>
      <c r="EM476" s="532"/>
      <c r="EN476" s="532"/>
      <c r="EO476" s="532"/>
      <c r="EP476" s="532"/>
      <c r="EQ476" s="532"/>
      <c r="ER476" s="532"/>
      <c r="ES476" s="532"/>
      <c r="ET476" s="532"/>
      <c r="EU476" s="532"/>
      <c r="EV476" s="532"/>
      <c r="EW476" s="532"/>
      <c r="EX476" s="532"/>
      <c r="EY476" s="532"/>
      <c r="EZ476" s="532"/>
      <c r="FA476" s="532"/>
      <c r="FB476" s="532"/>
      <c r="FC476" s="532"/>
      <c r="FD476" s="532"/>
      <c r="FE476" s="532"/>
      <c r="FF476" s="532"/>
      <c r="FG476" s="532"/>
      <c r="FH476" s="532"/>
      <c r="FI476" s="532"/>
      <c r="FJ476" s="532"/>
      <c r="FK476" s="532"/>
      <c r="FL476" s="532"/>
      <c r="FM476" s="532"/>
      <c r="FN476" s="532"/>
      <c r="FO476" s="532"/>
      <c r="FP476" s="532"/>
    </row>
    <row r="477" spans="1:172" ht="12" customHeight="1" x14ac:dyDescent="0.2">
      <c r="A477" s="531" t="s">
        <v>340</v>
      </c>
      <c r="B477" s="534">
        <v>14</v>
      </c>
      <c r="C477" s="208">
        <f>6+1</f>
        <v>7</v>
      </c>
      <c r="D477" s="208">
        <v>2</v>
      </c>
      <c r="E477" s="208">
        <v>1</v>
      </c>
      <c r="F477" s="208">
        <v>0</v>
      </c>
      <c r="G477" s="208">
        <v>4</v>
      </c>
      <c r="H477" s="208">
        <v>1</v>
      </c>
      <c r="I477" s="208">
        <v>1</v>
      </c>
      <c r="J477" s="208">
        <v>0</v>
      </c>
      <c r="K477" s="208">
        <v>7</v>
      </c>
      <c r="L477" s="562">
        <v>4</v>
      </c>
      <c r="M477" s="562">
        <v>0</v>
      </c>
      <c r="N477" s="562">
        <v>2</v>
      </c>
      <c r="O477" s="530">
        <f t="shared" si="198"/>
        <v>29</v>
      </c>
      <c r="P477" s="556"/>
      <c r="Q477" s="556"/>
      <c r="R477" s="556"/>
      <c r="S477" s="556"/>
      <c r="T477" s="556"/>
      <c r="U477" s="556"/>
      <c r="V477" s="556"/>
      <c r="W477" s="556"/>
      <c r="X477" s="556"/>
      <c r="Y477" s="556"/>
      <c r="Z477" s="556"/>
      <c r="AA477" s="531"/>
      <c r="AB477" s="531"/>
      <c r="AC477" s="531"/>
      <c r="AD477" s="531"/>
      <c r="AE477" s="531"/>
      <c r="AF477" s="531"/>
      <c r="AG477" s="531"/>
      <c r="AH477" s="532"/>
      <c r="AI477" s="532"/>
      <c r="AJ477" s="532"/>
      <c r="AK477" s="532"/>
      <c r="AL477" s="532"/>
      <c r="AM477" s="532"/>
      <c r="AN477" s="532"/>
      <c r="AO477" s="532"/>
      <c r="AP477" s="532"/>
      <c r="AQ477" s="532"/>
      <c r="AR477" s="532"/>
      <c r="AS477" s="532"/>
      <c r="AT477" s="532"/>
      <c r="AU477" s="532"/>
      <c r="AV477" s="532"/>
      <c r="AW477" s="532"/>
      <c r="AX477" s="532"/>
      <c r="AY477" s="532"/>
      <c r="AZ477" s="532"/>
      <c r="BA477" s="532"/>
      <c r="BB477" s="532"/>
      <c r="BC477" s="532"/>
      <c r="BD477" s="532"/>
      <c r="BE477" s="532"/>
      <c r="BF477" s="532"/>
      <c r="BG477" s="532"/>
      <c r="BH477" s="532"/>
      <c r="BI477" s="532"/>
      <c r="BJ477" s="532"/>
      <c r="BK477" s="532"/>
      <c r="BL477" s="532"/>
      <c r="BM477" s="532"/>
      <c r="BN477" s="532"/>
      <c r="BO477" s="532"/>
      <c r="BP477" s="532"/>
      <c r="BQ477" s="532"/>
      <c r="BR477" s="532"/>
      <c r="BS477" s="532"/>
      <c r="BT477" s="532"/>
      <c r="BU477" s="532"/>
      <c r="BV477" s="532"/>
      <c r="BW477" s="532"/>
      <c r="BX477" s="532"/>
      <c r="BY477" s="532"/>
      <c r="BZ477" s="532"/>
      <c r="CA477" s="532"/>
      <c r="CB477" s="532"/>
      <c r="CC477" s="532"/>
      <c r="CD477" s="532"/>
      <c r="CE477" s="532"/>
      <c r="CF477" s="532"/>
      <c r="CG477" s="532"/>
      <c r="CH477" s="532"/>
      <c r="CI477" s="532"/>
      <c r="CJ477" s="532"/>
      <c r="CK477" s="532"/>
      <c r="CL477" s="532"/>
      <c r="CM477" s="532"/>
      <c r="CN477" s="532"/>
      <c r="CO477" s="532"/>
      <c r="CP477" s="532"/>
      <c r="CQ477" s="532"/>
      <c r="CR477" s="532"/>
      <c r="CS477" s="532"/>
      <c r="CT477" s="532"/>
      <c r="CU477" s="532"/>
      <c r="CV477" s="532"/>
      <c r="CW477" s="532"/>
      <c r="CX477" s="532"/>
      <c r="CY477" s="532"/>
      <c r="CZ477" s="532"/>
      <c r="DA477" s="532"/>
      <c r="DB477" s="532"/>
      <c r="DC477" s="532"/>
      <c r="DD477" s="532"/>
      <c r="DE477" s="532"/>
      <c r="DF477" s="532"/>
      <c r="DG477" s="532"/>
      <c r="DH477" s="532"/>
      <c r="DI477" s="532"/>
      <c r="DJ477" s="532"/>
      <c r="DK477" s="532"/>
      <c r="DL477" s="532"/>
      <c r="DM477" s="532"/>
      <c r="DN477" s="532"/>
      <c r="DO477" s="532"/>
      <c r="DP477" s="532"/>
      <c r="DQ477" s="532"/>
      <c r="DR477" s="532"/>
      <c r="DS477" s="532"/>
      <c r="DT477" s="532"/>
      <c r="DU477" s="532"/>
      <c r="DV477" s="532"/>
      <c r="DW477" s="532"/>
      <c r="DX477" s="532"/>
      <c r="DY477" s="532"/>
      <c r="DZ477" s="532"/>
      <c r="EA477" s="532"/>
      <c r="EB477" s="532"/>
      <c r="EC477" s="532"/>
      <c r="ED477" s="532"/>
      <c r="EE477" s="532"/>
      <c r="EF477" s="532"/>
      <c r="EG477" s="532"/>
      <c r="EH477" s="532"/>
      <c r="EI477" s="532"/>
      <c r="EJ477" s="532"/>
      <c r="EK477" s="532"/>
      <c r="EL477" s="532"/>
      <c r="EM477" s="532"/>
      <c r="EN477" s="532"/>
      <c r="EO477" s="532"/>
      <c r="EP477" s="532"/>
      <c r="EQ477" s="532"/>
      <c r="ER477" s="532"/>
      <c r="ES477" s="532"/>
      <c r="ET477" s="532"/>
      <c r="EU477" s="532"/>
      <c r="EV477" s="532"/>
      <c r="EW477" s="532"/>
      <c r="EX477" s="532"/>
      <c r="EY477" s="532"/>
      <c r="EZ477" s="532"/>
      <c r="FA477" s="532"/>
      <c r="FB477" s="532"/>
      <c r="FC477" s="532"/>
      <c r="FD477" s="532"/>
      <c r="FE477" s="532"/>
      <c r="FF477" s="532"/>
      <c r="FG477" s="532"/>
      <c r="FH477" s="532"/>
      <c r="FI477" s="532"/>
      <c r="FJ477" s="532"/>
      <c r="FK477" s="532"/>
      <c r="FL477" s="532"/>
      <c r="FM477" s="532"/>
      <c r="FN477" s="532"/>
      <c r="FO477" s="532"/>
      <c r="FP477" s="532"/>
    </row>
    <row r="478" spans="1:172" ht="12" customHeight="1" x14ac:dyDescent="0.2">
      <c r="A478" s="531" t="s">
        <v>341</v>
      </c>
      <c r="B478" s="534">
        <v>3</v>
      </c>
      <c r="C478" s="208">
        <v>8</v>
      </c>
      <c r="D478" s="208">
        <v>11</v>
      </c>
      <c r="E478" s="208">
        <v>5</v>
      </c>
      <c r="F478" s="208">
        <f>7</f>
        <v>7</v>
      </c>
      <c r="G478" s="208">
        <v>5</v>
      </c>
      <c r="H478" s="208">
        <f>12+2</f>
        <v>14</v>
      </c>
      <c r="I478" s="208">
        <v>5</v>
      </c>
      <c r="J478" s="208">
        <f>8+1</f>
        <v>9</v>
      </c>
      <c r="K478" s="208">
        <v>8</v>
      </c>
      <c r="L478" s="562">
        <v>9</v>
      </c>
      <c r="M478" s="562">
        <f>19</f>
        <v>19</v>
      </c>
      <c r="N478" s="562">
        <f>8+1</f>
        <v>9</v>
      </c>
      <c r="O478" s="530">
        <f t="shared" si="198"/>
        <v>109</v>
      </c>
      <c r="P478" s="556"/>
      <c r="Q478" s="556"/>
      <c r="R478" s="556"/>
      <c r="S478" s="556"/>
      <c r="T478" s="556"/>
      <c r="U478" s="556"/>
      <c r="V478" s="556"/>
      <c r="W478" s="556"/>
      <c r="X478" s="556"/>
      <c r="Y478" s="556"/>
      <c r="Z478" s="556"/>
      <c r="AA478" s="531"/>
      <c r="AB478" s="531"/>
      <c r="AC478" s="531"/>
      <c r="AD478" s="531"/>
      <c r="AE478" s="531"/>
      <c r="AF478" s="531"/>
      <c r="AG478" s="531"/>
      <c r="AH478" s="532"/>
      <c r="AI478" s="532"/>
      <c r="AJ478" s="532"/>
      <c r="AK478" s="532"/>
      <c r="AL478" s="532"/>
      <c r="AM478" s="532"/>
      <c r="AN478" s="532"/>
      <c r="AO478" s="532"/>
      <c r="AP478" s="532"/>
      <c r="AQ478" s="532"/>
      <c r="AR478" s="532"/>
      <c r="AS478" s="532"/>
      <c r="AT478" s="532"/>
      <c r="AU478" s="532"/>
      <c r="AV478" s="532"/>
      <c r="AW478" s="532"/>
      <c r="AX478" s="532"/>
      <c r="AY478" s="532"/>
      <c r="AZ478" s="532"/>
      <c r="BA478" s="532"/>
      <c r="BB478" s="532"/>
      <c r="BC478" s="532"/>
      <c r="BD478" s="532"/>
      <c r="BE478" s="532"/>
      <c r="BF478" s="532"/>
      <c r="BG478" s="532"/>
      <c r="BH478" s="532"/>
      <c r="BI478" s="532"/>
      <c r="BJ478" s="532"/>
      <c r="BK478" s="532"/>
      <c r="BL478" s="532"/>
      <c r="BM478" s="532"/>
      <c r="BN478" s="532"/>
      <c r="BO478" s="532"/>
      <c r="BP478" s="532"/>
      <c r="BQ478" s="532"/>
      <c r="BR478" s="532"/>
      <c r="BS478" s="532"/>
      <c r="BT478" s="532"/>
      <c r="BU478" s="532"/>
      <c r="BV478" s="532"/>
      <c r="BW478" s="532"/>
      <c r="BX478" s="532"/>
      <c r="BY478" s="532"/>
      <c r="BZ478" s="532"/>
      <c r="CA478" s="532"/>
      <c r="CB478" s="532"/>
      <c r="CC478" s="532"/>
      <c r="CD478" s="532"/>
      <c r="CE478" s="532"/>
      <c r="CF478" s="532"/>
      <c r="CG478" s="532"/>
      <c r="CH478" s="532"/>
      <c r="CI478" s="532"/>
      <c r="CJ478" s="532"/>
      <c r="CK478" s="532"/>
      <c r="CL478" s="532"/>
      <c r="CM478" s="532"/>
      <c r="CN478" s="532"/>
      <c r="CO478" s="532"/>
      <c r="CP478" s="532"/>
      <c r="CQ478" s="532"/>
      <c r="CR478" s="532"/>
      <c r="CS478" s="532"/>
      <c r="CT478" s="532"/>
      <c r="CU478" s="532"/>
      <c r="CV478" s="532"/>
      <c r="CW478" s="532"/>
      <c r="CX478" s="532"/>
      <c r="CY478" s="532"/>
      <c r="CZ478" s="532"/>
      <c r="DA478" s="532"/>
      <c r="DB478" s="532"/>
      <c r="DC478" s="532"/>
      <c r="DD478" s="532"/>
      <c r="DE478" s="532"/>
      <c r="DF478" s="532"/>
      <c r="DG478" s="532"/>
      <c r="DH478" s="532"/>
      <c r="DI478" s="532"/>
      <c r="DJ478" s="532"/>
      <c r="DK478" s="532"/>
      <c r="DL478" s="532"/>
      <c r="DM478" s="532"/>
      <c r="DN478" s="532"/>
      <c r="DO478" s="532"/>
      <c r="DP478" s="532"/>
      <c r="DQ478" s="532"/>
      <c r="DR478" s="532"/>
      <c r="DS478" s="532"/>
      <c r="DT478" s="532"/>
      <c r="DU478" s="532"/>
      <c r="DV478" s="532"/>
      <c r="DW478" s="532"/>
      <c r="DX478" s="532"/>
      <c r="DY478" s="532"/>
      <c r="DZ478" s="532"/>
      <c r="EA478" s="532"/>
      <c r="EB478" s="532"/>
      <c r="EC478" s="532"/>
      <c r="ED478" s="532"/>
      <c r="EE478" s="532"/>
      <c r="EF478" s="532"/>
      <c r="EG478" s="532"/>
      <c r="EH478" s="532"/>
      <c r="EI478" s="532"/>
      <c r="EJ478" s="532"/>
      <c r="EK478" s="532"/>
      <c r="EL478" s="532"/>
      <c r="EM478" s="532"/>
      <c r="EN478" s="532"/>
      <c r="EO478" s="532"/>
      <c r="EP478" s="532"/>
      <c r="EQ478" s="532"/>
      <c r="ER478" s="532"/>
      <c r="ES478" s="532"/>
      <c r="ET478" s="532"/>
      <c r="EU478" s="532"/>
      <c r="EV478" s="532"/>
      <c r="EW478" s="532"/>
      <c r="EX478" s="532"/>
      <c r="EY478" s="532"/>
      <c r="EZ478" s="532"/>
      <c r="FA478" s="532"/>
      <c r="FB478" s="532"/>
      <c r="FC478" s="532"/>
      <c r="FD478" s="532"/>
      <c r="FE478" s="532"/>
      <c r="FF478" s="532"/>
      <c r="FG478" s="532"/>
      <c r="FH478" s="532"/>
      <c r="FI478" s="532"/>
      <c r="FJ478" s="532"/>
      <c r="FK478" s="532"/>
      <c r="FL478" s="532"/>
      <c r="FM478" s="532"/>
      <c r="FN478" s="532"/>
      <c r="FO478" s="532"/>
      <c r="FP478" s="532"/>
    </row>
    <row r="479" spans="1:172" ht="12" customHeight="1" x14ac:dyDescent="0.2">
      <c r="A479" s="531" t="s">
        <v>342</v>
      </c>
      <c r="B479" s="534">
        <v>680</v>
      </c>
      <c r="C479" s="208">
        <v>0</v>
      </c>
      <c r="D479" s="208">
        <v>0</v>
      </c>
      <c r="E479" s="208">
        <v>0</v>
      </c>
      <c r="F479" s="208">
        <v>0</v>
      </c>
      <c r="G479" s="208">
        <v>0</v>
      </c>
      <c r="H479" s="208">
        <v>0</v>
      </c>
      <c r="I479" s="208">
        <v>0</v>
      </c>
      <c r="J479" s="208">
        <v>0</v>
      </c>
      <c r="K479" s="208">
        <v>0</v>
      </c>
      <c r="L479" s="562">
        <v>0</v>
      </c>
      <c r="M479" s="562">
        <v>0</v>
      </c>
      <c r="N479" s="562">
        <v>0</v>
      </c>
      <c r="O479" s="530">
        <f t="shared" si="198"/>
        <v>0</v>
      </c>
      <c r="P479" s="556"/>
      <c r="Q479" s="556"/>
      <c r="R479" s="556"/>
      <c r="S479" s="556"/>
      <c r="T479" s="556"/>
      <c r="U479" s="556"/>
      <c r="V479" s="556"/>
      <c r="W479" s="556"/>
      <c r="X479" s="556"/>
      <c r="Y479" s="556"/>
      <c r="Z479" s="556"/>
      <c r="AA479" s="531"/>
      <c r="AB479" s="531"/>
      <c r="AC479" s="531"/>
      <c r="AD479" s="531"/>
      <c r="AE479" s="531"/>
      <c r="AF479" s="531"/>
      <c r="AG479" s="531"/>
      <c r="AH479" s="532"/>
      <c r="AI479" s="532"/>
      <c r="AJ479" s="532"/>
      <c r="AK479" s="532"/>
      <c r="AL479" s="532"/>
      <c r="AM479" s="532"/>
      <c r="AN479" s="532"/>
      <c r="AO479" s="532"/>
      <c r="AP479" s="532"/>
      <c r="AQ479" s="532"/>
      <c r="AR479" s="532"/>
      <c r="AS479" s="532"/>
      <c r="AT479" s="532"/>
      <c r="AU479" s="532"/>
      <c r="AV479" s="532"/>
      <c r="AW479" s="532"/>
      <c r="AX479" s="532"/>
      <c r="AY479" s="532"/>
      <c r="AZ479" s="532"/>
      <c r="BA479" s="532"/>
      <c r="BB479" s="532"/>
      <c r="BC479" s="532"/>
      <c r="BD479" s="532"/>
      <c r="BE479" s="532"/>
      <c r="BF479" s="532"/>
      <c r="BG479" s="532"/>
      <c r="BH479" s="532"/>
      <c r="BI479" s="532"/>
      <c r="BJ479" s="532"/>
      <c r="BK479" s="532"/>
      <c r="BL479" s="532"/>
      <c r="BM479" s="532"/>
      <c r="BN479" s="532"/>
      <c r="BO479" s="532"/>
      <c r="BP479" s="532"/>
      <c r="BQ479" s="532"/>
      <c r="BR479" s="532"/>
      <c r="BS479" s="532"/>
      <c r="BT479" s="532"/>
      <c r="BU479" s="532"/>
      <c r="BV479" s="532"/>
      <c r="BW479" s="532"/>
      <c r="BX479" s="532"/>
      <c r="BY479" s="532"/>
      <c r="BZ479" s="532"/>
      <c r="CA479" s="532"/>
      <c r="CB479" s="532"/>
      <c r="CC479" s="532"/>
      <c r="CD479" s="532"/>
      <c r="CE479" s="532"/>
      <c r="CF479" s="532"/>
      <c r="CG479" s="532"/>
      <c r="CH479" s="532"/>
      <c r="CI479" s="532"/>
      <c r="CJ479" s="532"/>
      <c r="CK479" s="532"/>
      <c r="CL479" s="532"/>
      <c r="CM479" s="532"/>
      <c r="CN479" s="532"/>
      <c r="CO479" s="532"/>
      <c r="CP479" s="532"/>
      <c r="CQ479" s="532"/>
      <c r="CR479" s="532"/>
      <c r="CS479" s="532"/>
      <c r="CT479" s="532"/>
      <c r="CU479" s="532"/>
      <c r="CV479" s="532"/>
      <c r="CW479" s="532"/>
      <c r="CX479" s="532"/>
      <c r="CY479" s="532"/>
      <c r="CZ479" s="532"/>
      <c r="DA479" s="532"/>
      <c r="DB479" s="532"/>
      <c r="DC479" s="532"/>
      <c r="DD479" s="532"/>
      <c r="DE479" s="532"/>
      <c r="DF479" s="532"/>
      <c r="DG479" s="532"/>
      <c r="DH479" s="532"/>
      <c r="DI479" s="532"/>
      <c r="DJ479" s="532"/>
      <c r="DK479" s="532"/>
      <c r="DL479" s="532"/>
      <c r="DM479" s="532"/>
      <c r="DN479" s="532"/>
      <c r="DO479" s="532"/>
      <c r="DP479" s="532"/>
      <c r="DQ479" s="532"/>
      <c r="DR479" s="532"/>
      <c r="DS479" s="532"/>
      <c r="DT479" s="532"/>
      <c r="DU479" s="532"/>
      <c r="DV479" s="532"/>
      <c r="DW479" s="532"/>
      <c r="DX479" s="532"/>
      <c r="DY479" s="532"/>
      <c r="DZ479" s="532"/>
      <c r="EA479" s="532"/>
      <c r="EB479" s="532"/>
      <c r="EC479" s="532"/>
      <c r="ED479" s="532"/>
      <c r="EE479" s="532"/>
      <c r="EF479" s="532"/>
      <c r="EG479" s="532"/>
      <c r="EH479" s="532"/>
      <c r="EI479" s="532"/>
      <c r="EJ479" s="532"/>
      <c r="EK479" s="532"/>
      <c r="EL479" s="532"/>
      <c r="EM479" s="532"/>
      <c r="EN479" s="532"/>
      <c r="EO479" s="532"/>
      <c r="EP479" s="532"/>
      <c r="EQ479" s="532"/>
      <c r="ER479" s="532"/>
      <c r="ES479" s="532"/>
      <c r="ET479" s="532"/>
      <c r="EU479" s="532"/>
      <c r="EV479" s="532"/>
      <c r="EW479" s="532"/>
      <c r="EX479" s="532"/>
      <c r="EY479" s="532"/>
      <c r="EZ479" s="532"/>
      <c r="FA479" s="532"/>
      <c r="FB479" s="532"/>
      <c r="FC479" s="532"/>
      <c r="FD479" s="532"/>
      <c r="FE479" s="532"/>
      <c r="FF479" s="532"/>
      <c r="FG479" s="532"/>
      <c r="FH479" s="532"/>
      <c r="FI479" s="532"/>
      <c r="FJ479" s="532"/>
      <c r="FK479" s="532"/>
      <c r="FL479" s="532"/>
      <c r="FM479" s="532"/>
      <c r="FN479" s="532"/>
      <c r="FO479" s="532"/>
      <c r="FP479" s="532"/>
    </row>
    <row r="480" spans="1:172" ht="12" customHeight="1" x14ac:dyDescent="0.2">
      <c r="A480" s="531" t="s">
        <v>333</v>
      </c>
      <c r="B480" s="534">
        <v>777</v>
      </c>
      <c r="C480" s="208">
        <v>0</v>
      </c>
      <c r="D480" s="208">
        <v>0</v>
      </c>
      <c r="E480" s="208">
        <f>1+1</f>
        <v>2</v>
      </c>
      <c r="F480" s="208">
        <f>4+1</f>
        <v>5</v>
      </c>
      <c r="G480" s="208">
        <v>1</v>
      </c>
      <c r="H480" s="208">
        <f>1</f>
        <v>1</v>
      </c>
      <c r="I480" s="208">
        <v>0</v>
      </c>
      <c r="J480" s="208">
        <f>2+1+1</f>
        <v>4</v>
      </c>
      <c r="K480" s="208">
        <f>3</f>
        <v>3</v>
      </c>
      <c r="L480" s="562">
        <v>6</v>
      </c>
      <c r="M480" s="562">
        <v>3</v>
      </c>
      <c r="N480" s="562">
        <f>1+1</f>
        <v>2</v>
      </c>
      <c r="O480" s="530">
        <f t="shared" si="198"/>
        <v>27</v>
      </c>
      <c r="P480" s="556"/>
      <c r="Q480" s="556"/>
      <c r="R480" s="556"/>
      <c r="S480" s="556"/>
      <c r="T480" s="556"/>
      <c r="U480" s="556"/>
      <c r="V480" s="556"/>
      <c r="W480" s="556"/>
      <c r="X480" s="556"/>
      <c r="Y480" s="556"/>
      <c r="Z480" s="556"/>
      <c r="AA480" s="531"/>
      <c r="AB480" s="531"/>
      <c r="AC480" s="531"/>
      <c r="AD480" s="531"/>
      <c r="AE480" s="531"/>
      <c r="AF480" s="531"/>
      <c r="AG480" s="531"/>
      <c r="AH480" s="532"/>
      <c r="AI480" s="532"/>
      <c r="AJ480" s="532"/>
      <c r="AK480" s="532"/>
      <c r="AL480" s="532"/>
      <c r="AM480" s="532"/>
      <c r="AN480" s="532"/>
      <c r="AO480" s="532"/>
      <c r="AP480" s="532"/>
      <c r="AQ480" s="532"/>
      <c r="AR480" s="532"/>
      <c r="AS480" s="532"/>
      <c r="AT480" s="532"/>
      <c r="AU480" s="532"/>
      <c r="AV480" s="532"/>
      <c r="AW480" s="532"/>
      <c r="AX480" s="532"/>
      <c r="AY480" s="532"/>
      <c r="AZ480" s="532"/>
      <c r="BA480" s="532"/>
      <c r="BB480" s="532"/>
      <c r="BC480" s="532"/>
      <c r="BD480" s="532"/>
      <c r="BE480" s="532"/>
      <c r="BF480" s="532"/>
      <c r="BG480" s="532"/>
      <c r="BH480" s="532"/>
      <c r="BI480" s="532"/>
      <c r="BJ480" s="532"/>
      <c r="BK480" s="532"/>
      <c r="BL480" s="532"/>
      <c r="BM480" s="532"/>
      <c r="BN480" s="532"/>
      <c r="BO480" s="532"/>
      <c r="BP480" s="532"/>
      <c r="BQ480" s="532"/>
      <c r="BR480" s="532"/>
      <c r="BS480" s="532"/>
      <c r="BT480" s="532"/>
      <c r="BU480" s="532"/>
      <c r="BV480" s="532"/>
      <c r="BW480" s="532"/>
      <c r="BX480" s="532"/>
      <c r="BY480" s="532"/>
      <c r="BZ480" s="532"/>
      <c r="CA480" s="532"/>
      <c r="CB480" s="532"/>
      <c r="CC480" s="532"/>
      <c r="CD480" s="532"/>
      <c r="CE480" s="532"/>
      <c r="CF480" s="532"/>
      <c r="CG480" s="532"/>
      <c r="CH480" s="532"/>
      <c r="CI480" s="532"/>
      <c r="CJ480" s="532"/>
      <c r="CK480" s="532"/>
      <c r="CL480" s="532"/>
      <c r="CM480" s="532"/>
      <c r="CN480" s="532"/>
      <c r="CO480" s="532"/>
      <c r="CP480" s="532"/>
      <c r="CQ480" s="532"/>
      <c r="CR480" s="532"/>
      <c r="CS480" s="532"/>
      <c r="CT480" s="532"/>
      <c r="CU480" s="532"/>
      <c r="CV480" s="532"/>
      <c r="CW480" s="532"/>
      <c r="CX480" s="532"/>
      <c r="CY480" s="532"/>
      <c r="CZ480" s="532"/>
      <c r="DA480" s="532"/>
      <c r="DB480" s="532"/>
      <c r="DC480" s="532"/>
      <c r="DD480" s="532"/>
      <c r="DE480" s="532"/>
      <c r="DF480" s="532"/>
      <c r="DG480" s="532"/>
      <c r="DH480" s="532"/>
      <c r="DI480" s="532"/>
      <c r="DJ480" s="532"/>
      <c r="DK480" s="532"/>
      <c r="DL480" s="532"/>
      <c r="DM480" s="532"/>
      <c r="DN480" s="532"/>
      <c r="DO480" s="532"/>
      <c r="DP480" s="532"/>
      <c r="DQ480" s="532"/>
      <c r="DR480" s="532"/>
      <c r="DS480" s="532"/>
      <c r="DT480" s="532"/>
      <c r="DU480" s="532"/>
      <c r="DV480" s="532"/>
      <c r="DW480" s="532"/>
      <c r="DX480" s="532"/>
      <c r="DY480" s="532"/>
      <c r="DZ480" s="532"/>
      <c r="EA480" s="532"/>
      <c r="EB480" s="532"/>
      <c r="EC480" s="532"/>
      <c r="ED480" s="532"/>
      <c r="EE480" s="532"/>
      <c r="EF480" s="532"/>
      <c r="EG480" s="532"/>
      <c r="EH480" s="532"/>
      <c r="EI480" s="532"/>
      <c r="EJ480" s="532"/>
      <c r="EK480" s="532"/>
      <c r="EL480" s="532"/>
      <c r="EM480" s="532"/>
      <c r="EN480" s="532"/>
      <c r="EO480" s="532"/>
      <c r="EP480" s="532"/>
      <c r="EQ480" s="532"/>
      <c r="ER480" s="532"/>
      <c r="ES480" s="532"/>
      <c r="ET480" s="532"/>
      <c r="EU480" s="532"/>
      <c r="EV480" s="532"/>
      <c r="EW480" s="532"/>
      <c r="EX480" s="532"/>
      <c r="EY480" s="532"/>
      <c r="EZ480" s="532"/>
      <c r="FA480" s="532"/>
      <c r="FB480" s="532"/>
      <c r="FC480" s="532"/>
      <c r="FD480" s="532"/>
      <c r="FE480" s="532"/>
      <c r="FF480" s="532"/>
      <c r="FG480" s="532"/>
      <c r="FH480" s="532"/>
      <c r="FI480" s="532"/>
      <c r="FJ480" s="532"/>
      <c r="FK480" s="532"/>
      <c r="FL480" s="532"/>
      <c r="FM480" s="532"/>
      <c r="FN480" s="532"/>
      <c r="FO480" s="532"/>
      <c r="FP480" s="532"/>
    </row>
    <row r="481" spans="1:172" ht="12" customHeight="1" x14ac:dyDescent="0.2">
      <c r="A481" s="531" t="s">
        <v>343</v>
      </c>
      <c r="B481" s="534">
        <v>47</v>
      </c>
      <c r="C481" s="208">
        <f>13+2</f>
        <v>15</v>
      </c>
      <c r="D481" s="208">
        <f>18+3</f>
        <v>21</v>
      </c>
      <c r="E481" s="208">
        <f>25+0</f>
        <v>25</v>
      </c>
      <c r="F481" s="208">
        <f>26+2+1</f>
        <v>29</v>
      </c>
      <c r="G481" s="208">
        <f>12+4</f>
        <v>16</v>
      </c>
      <c r="H481" s="208">
        <f>26+4</f>
        <v>30</v>
      </c>
      <c r="I481" s="208">
        <f>20+4</f>
        <v>24</v>
      </c>
      <c r="J481" s="208">
        <f>11+2</f>
        <v>13</v>
      </c>
      <c r="K481" s="208">
        <f>19+2</f>
        <v>21</v>
      </c>
      <c r="L481" s="562">
        <v>21</v>
      </c>
      <c r="M481" s="562">
        <f>28+3</f>
        <v>31</v>
      </c>
      <c r="N481" s="562">
        <f>23+2</f>
        <v>25</v>
      </c>
      <c r="O481" s="530">
        <f t="shared" si="198"/>
        <v>271</v>
      </c>
      <c r="P481" s="534"/>
      <c r="Q481" s="556"/>
      <c r="R481" s="556"/>
      <c r="S481" s="556"/>
      <c r="T481" s="556"/>
      <c r="U481" s="556"/>
      <c r="V481" s="556"/>
      <c r="W481" s="556"/>
      <c r="X481" s="556"/>
      <c r="Y481" s="556"/>
      <c r="Z481" s="556"/>
      <c r="AA481" s="531"/>
      <c r="AB481" s="531"/>
      <c r="AC481" s="531"/>
      <c r="AD481" s="531"/>
      <c r="AE481" s="531"/>
      <c r="AF481" s="531"/>
      <c r="AG481" s="531"/>
      <c r="AH481" s="532"/>
      <c r="AI481" s="532"/>
      <c r="AJ481" s="532"/>
      <c r="AK481" s="532"/>
      <c r="AL481" s="532"/>
      <c r="AM481" s="532"/>
      <c r="AN481" s="532"/>
      <c r="AO481" s="532"/>
      <c r="AP481" s="532"/>
      <c r="AQ481" s="532"/>
      <c r="AR481" s="532"/>
      <c r="AS481" s="532"/>
      <c r="AT481" s="532"/>
      <c r="AU481" s="532"/>
      <c r="AV481" s="532"/>
      <c r="AW481" s="532"/>
      <c r="AX481" s="532"/>
      <c r="AY481" s="532"/>
      <c r="AZ481" s="532"/>
      <c r="BA481" s="532"/>
      <c r="BB481" s="532"/>
      <c r="BC481" s="532"/>
      <c r="BD481" s="532"/>
      <c r="BE481" s="532"/>
      <c r="BF481" s="532"/>
      <c r="BG481" s="532"/>
      <c r="BH481" s="532"/>
      <c r="BI481" s="532"/>
      <c r="BJ481" s="532"/>
      <c r="BK481" s="532"/>
      <c r="BL481" s="532"/>
      <c r="BM481" s="532"/>
      <c r="BN481" s="532"/>
      <c r="BO481" s="532"/>
      <c r="BP481" s="532"/>
      <c r="BQ481" s="532"/>
      <c r="BR481" s="532"/>
      <c r="BS481" s="532"/>
      <c r="BT481" s="532"/>
      <c r="BU481" s="532"/>
      <c r="BV481" s="532"/>
      <c r="BW481" s="532"/>
      <c r="BX481" s="532"/>
      <c r="BY481" s="532"/>
      <c r="BZ481" s="532"/>
      <c r="CA481" s="532"/>
      <c r="CB481" s="532"/>
      <c r="CC481" s="532"/>
      <c r="CD481" s="532"/>
      <c r="CE481" s="532"/>
      <c r="CF481" s="532"/>
      <c r="CG481" s="532"/>
      <c r="CH481" s="532"/>
      <c r="CI481" s="532"/>
      <c r="CJ481" s="532"/>
      <c r="CK481" s="532"/>
      <c r="CL481" s="532"/>
      <c r="CM481" s="532"/>
      <c r="CN481" s="532"/>
      <c r="CO481" s="532"/>
      <c r="CP481" s="532"/>
      <c r="CQ481" s="532"/>
      <c r="CR481" s="532"/>
      <c r="CS481" s="532"/>
      <c r="CT481" s="532"/>
      <c r="CU481" s="532"/>
      <c r="CV481" s="532"/>
      <c r="CW481" s="532"/>
      <c r="CX481" s="532"/>
      <c r="CY481" s="532"/>
      <c r="CZ481" s="532"/>
      <c r="DA481" s="532"/>
      <c r="DB481" s="532"/>
      <c r="DC481" s="532"/>
      <c r="DD481" s="532"/>
      <c r="DE481" s="532"/>
      <c r="DF481" s="532"/>
      <c r="DG481" s="532"/>
      <c r="DH481" s="532"/>
      <c r="DI481" s="532"/>
      <c r="DJ481" s="532"/>
      <c r="DK481" s="532"/>
      <c r="DL481" s="532"/>
      <c r="DM481" s="532"/>
      <c r="DN481" s="532"/>
      <c r="DO481" s="532"/>
      <c r="DP481" s="532"/>
      <c r="DQ481" s="532"/>
      <c r="DR481" s="532"/>
      <c r="DS481" s="532"/>
      <c r="DT481" s="532"/>
      <c r="DU481" s="532"/>
      <c r="DV481" s="532"/>
      <c r="DW481" s="532"/>
      <c r="DX481" s="532"/>
      <c r="DY481" s="532"/>
      <c r="DZ481" s="532"/>
      <c r="EA481" s="532"/>
      <c r="EB481" s="532"/>
      <c r="EC481" s="532"/>
      <c r="ED481" s="532"/>
      <c r="EE481" s="532"/>
      <c r="EF481" s="532"/>
      <c r="EG481" s="532"/>
      <c r="EH481" s="532"/>
      <c r="EI481" s="532"/>
      <c r="EJ481" s="532"/>
      <c r="EK481" s="532"/>
      <c r="EL481" s="532"/>
      <c r="EM481" s="532"/>
      <c r="EN481" s="532"/>
      <c r="EO481" s="532"/>
      <c r="EP481" s="532"/>
      <c r="EQ481" s="532"/>
      <c r="ER481" s="532"/>
      <c r="ES481" s="532"/>
      <c r="ET481" s="532"/>
      <c r="EU481" s="532"/>
      <c r="EV481" s="532"/>
      <c r="EW481" s="532"/>
      <c r="EX481" s="532"/>
      <c r="EY481" s="532"/>
      <c r="EZ481" s="532"/>
      <c r="FA481" s="532"/>
      <c r="FB481" s="532"/>
      <c r="FC481" s="532"/>
      <c r="FD481" s="532"/>
      <c r="FE481" s="532"/>
      <c r="FF481" s="532"/>
      <c r="FG481" s="532"/>
      <c r="FH481" s="532"/>
      <c r="FI481" s="532"/>
      <c r="FJ481" s="532"/>
      <c r="FK481" s="532"/>
      <c r="FL481" s="532"/>
      <c r="FM481" s="532"/>
      <c r="FN481" s="532"/>
      <c r="FO481" s="532"/>
      <c r="FP481" s="532"/>
    </row>
    <row r="482" spans="1:172" ht="12" customHeight="1" x14ac:dyDescent="0.2">
      <c r="A482" s="531" t="s">
        <v>965</v>
      </c>
      <c r="B482" s="534">
        <v>200207</v>
      </c>
      <c r="C482" s="208">
        <f>3+2</f>
        <v>5</v>
      </c>
      <c r="D482" s="208">
        <f>5+5</f>
        <v>10</v>
      </c>
      <c r="E482" s="208">
        <f>5+4</f>
        <v>9</v>
      </c>
      <c r="F482" s="208">
        <f>3+3</f>
        <v>6</v>
      </c>
      <c r="G482" s="208">
        <f>10+5</f>
        <v>15</v>
      </c>
      <c r="H482" s="208">
        <f>2+2</f>
        <v>4</v>
      </c>
      <c r="I482" s="208">
        <f>3+4</f>
        <v>7</v>
      </c>
      <c r="J482" s="208">
        <f>3+3</f>
        <v>6</v>
      </c>
      <c r="K482" s="208">
        <f>4+7</f>
        <v>11</v>
      </c>
      <c r="L482" s="562">
        <v>7</v>
      </c>
      <c r="M482" s="562">
        <f>5+6</f>
        <v>11</v>
      </c>
      <c r="N482" s="562">
        <f>7+5</f>
        <v>12</v>
      </c>
      <c r="O482" s="530">
        <f t="shared" si="198"/>
        <v>103</v>
      </c>
      <c r="P482" s="534"/>
      <c r="Q482" s="529"/>
      <c r="R482" s="556"/>
      <c r="S482" s="556"/>
      <c r="T482" s="556"/>
      <c r="U482" s="556"/>
      <c r="V482" s="556"/>
      <c r="W482" s="556"/>
      <c r="X482" s="556"/>
      <c r="Y482" s="556"/>
      <c r="Z482" s="556"/>
      <c r="AA482" s="531"/>
      <c r="AB482" s="531"/>
      <c r="AC482" s="531"/>
      <c r="AD482" s="531"/>
      <c r="AE482" s="531"/>
      <c r="AF482" s="531"/>
      <c r="AG482" s="531"/>
      <c r="AH482" s="532"/>
      <c r="AI482" s="532"/>
      <c r="AJ482" s="532"/>
      <c r="AK482" s="532"/>
      <c r="AL482" s="532"/>
      <c r="AM482" s="532"/>
      <c r="AN482" s="532"/>
      <c r="AO482" s="532"/>
      <c r="AP482" s="532"/>
      <c r="AQ482" s="532"/>
      <c r="AR482" s="532"/>
      <c r="AS482" s="532"/>
      <c r="AT482" s="532"/>
      <c r="AU482" s="532"/>
      <c r="AV482" s="532"/>
      <c r="AW482" s="532"/>
      <c r="AX482" s="532"/>
      <c r="AY482" s="532"/>
      <c r="AZ482" s="532"/>
      <c r="BA482" s="532"/>
      <c r="BB482" s="532"/>
      <c r="BC482" s="532"/>
      <c r="BD482" s="532"/>
      <c r="BE482" s="532"/>
      <c r="BF482" s="532"/>
      <c r="BG482" s="532"/>
      <c r="BH482" s="532"/>
      <c r="BI482" s="532"/>
      <c r="BJ482" s="532"/>
      <c r="BK482" s="532"/>
      <c r="BL482" s="532"/>
      <c r="BM482" s="532"/>
      <c r="BN482" s="532"/>
      <c r="BO482" s="532"/>
      <c r="BP482" s="532"/>
      <c r="BQ482" s="532"/>
      <c r="BR482" s="532"/>
      <c r="BS482" s="532"/>
      <c r="BT482" s="532"/>
      <c r="BU482" s="532"/>
      <c r="BV482" s="532"/>
      <c r="BW482" s="532"/>
      <c r="BX482" s="532"/>
      <c r="BY482" s="532"/>
      <c r="BZ482" s="532"/>
      <c r="CA482" s="532"/>
      <c r="CB482" s="532"/>
      <c r="CC482" s="532"/>
      <c r="CD482" s="532"/>
      <c r="CE482" s="532"/>
      <c r="CF482" s="532"/>
      <c r="CG482" s="532"/>
      <c r="CH482" s="532"/>
      <c r="CI482" s="532"/>
      <c r="CJ482" s="532"/>
      <c r="CK482" s="532"/>
      <c r="CL482" s="532"/>
      <c r="CM482" s="532"/>
      <c r="CN482" s="532"/>
      <c r="CO482" s="532"/>
      <c r="CP482" s="532"/>
      <c r="CQ482" s="532"/>
      <c r="CR482" s="532"/>
      <c r="CS482" s="532"/>
      <c r="CT482" s="532"/>
      <c r="CU482" s="532"/>
      <c r="CV482" s="532"/>
      <c r="CW482" s="532"/>
      <c r="CX482" s="532"/>
      <c r="CY482" s="532"/>
      <c r="CZ482" s="532"/>
      <c r="DA482" s="532"/>
      <c r="DB482" s="532"/>
      <c r="DC482" s="532"/>
      <c r="DD482" s="532"/>
      <c r="DE482" s="532"/>
      <c r="DF482" s="532"/>
      <c r="DG482" s="532"/>
      <c r="DH482" s="532"/>
      <c r="DI482" s="532"/>
      <c r="DJ482" s="532"/>
      <c r="DK482" s="532"/>
      <c r="DL482" s="532"/>
      <c r="DM482" s="532"/>
      <c r="DN482" s="532"/>
      <c r="DO482" s="532"/>
      <c r="DP482" s="532"/>
      <c r="DQ482" s="532"/>
      <c r="DR482" s="532"/>
      <c r="DS482" s="532"/>
      <c r="DT482" s="532"/>
      <c r="DU482" s="532"/>
      <c r="DV482" s="532"/>
      <c r="DW482" s="532"/>
      <c r="DX482" s="532"/>
      <c r="DY482" s="532"/>
      <c r="DZ482" s="532"/>
      <c r="EA482" s="532"/>
      <c r="EB482" s="532"/>
      <c r="EC482" s="532"/>
      <c r="ED482" s="532"/>
      <c r="EE482" s="532"/>
      <c r="EF482" s="532"/>
      <c r="EG482" s="532"/>
      <c r="EH482" s="532"/>
      <c r="EI482" s="532"/>
      <c r="EJ482" s="532"/>
      <c r="EK482" s="532"/>
      <c r="EL482" s="532"/>
      <c r="EM482" s="532"/>
      <c r="EN482" s="532"/>
      <c r="EO482" s="532"/>
      <c r="EP482" s="532"/>
      <c r="EQ482" s="532"/>
      <c r="ER482" s="532"/>
      <c r="ES482" s="532"/>
      <c r="ET482" s="532"/>
      <c r="EU482" s="532"/>
      <c r="EV482" s="532"/>
      <c r="EW482" s="532"/>
      <c r="EX482" s="532"/>
      <c r="EY482" s="532"/>
      <c r="EZ482" s="532"/>
      <c r="FA482" s="532"/>
      <c r="FB482" s="532"/>
      <c r="FC482" s="532"/>
      <c r="FD482" s="532"/>
      <c r="FE482" s="532"/>
      <c r="FF482" s="532"/>
      <c r="FG482" s="532"/>
      <c r="FH482" s="532"/>
      <c r="FI482" s="532"/>
      <c r="FJ482" s="532"/>
      <c r="FK482" s="532"/>
      <c r="FL482" s="532"/>
      <c r="FM482" s="532"/>
      <c r="FN482" s="532"/>
      <c r="FO482" s="532"/>
      <c r="FP482" s="532"/>
    </row>
    <row r="483" spans="1:172" ht="12" customHeight="1" x14ac:dyDescent="0.2">
      <c r="A483" s="531" t="s">
        <v>1024</v>
      </c>
      <c r="B483" s="534">
        <v>200890</v>
      </c>
      <c r="C483" s="208">
        <v>2</v>
      </c>
      <c r="D483" s="208">
        <v>4</v>
      </c>
      <c r="E483" s="208">
        <f>2+1</f>
        <v>3</v>
      </c>
      <c r="F483" s="208">
        <v>3</v>
      </c>
      <c r="G483" s="208">
        <f>4+3</f>
        <v>7</v>
      </c>
      <c r="H483" s="208">
        <v>11</v>
      </c>
      <c r="I483" s="208">
        <v>6</v>
      </c>
      <c r="J483" s="208">
        <v>3</v>
      </c>
      <c r="K483" s="208">
        <f>1+1</f>
        <v>2</v>
      </c>
      <c r="L483" s="562">
        <v>6</v>
      </c>
      <c r="M483" s="562">
        <f>4+1</f>
        <v>5</v>
      </c>
      <c r="N483" s="562">
        <v>1</v>
      </c>
      <c r="O483" s="530">
        <f t="shared" si="198"/>
        <v>53</v>
      </c>
      <c r="P483" s="534"/>
      <c r="Q483" s="529"/>
      <c r="R483" s="556"/>
      <c r="S483" s="556"/>
      <c r="T483" s="556"/>
      <c r="U483" s="556"/>
      <c r="V483" s="556"/>
      <c r="W483" s="556"/>
      <c r="X483" s="556"/>
      <c r="Y483" s="556"/>
      <c r="Z483" s="556"/>
      <c r="AA483" s="531"/>
      <c r="AB483" s="531"/>
      <c r="AC483" s="531"/>
      <c r="AD483" s="531"/>
      <c r="AE483" s="531"/>
      <c r="AF483" s="531"/>
      <c r="AG483" s="531"/>
      <c r="AH483" s="532"/>
      <c r="AI483" s="532"/>
      <c r="AJ483" s="532"/>
      <c r="AK483" s="532"/>
      <c r="AL483" s="532"/>
      <c r="AM483" s="532"/>
      <c r="AN483" s="532"/>
      <c r="AO483" s="532"/>
      <c r="AP483" s="532"/>
      <c r="AQ483" s="532"/>
      <c r="AR483" s="532"/>
      <c r="AS483" s="532"/>
      <c r="AT483" s="532"/>
      <c r="AU483" s="532"/>
      <c r="AV483" s="532"/>
      <c r="AW483" s="532"/>
      <c r="AX483" s="532"/>
      <c r="AY483" s="532"/>
      <c r="AZ483" s="532"/>
      <c r="BA483" s="532"/>
      <c r="BB483" s="532"/>
      <c r="BC483" s="532"/>
      <c r="BD483" s="532"/>
      <c r="BE483" s="532"/>
      <c r="BF483" s="532"/>
      <c r="BG483" s="532"/>
      <c r="BH483" s="532"/>
      <c r="BI483" s="532"/>
      <c r="BJ483" s="532"/>
      <c r="BK483" s="532"/>
      <c r="BL483" s="532"/>
      <c r="BM483" s="532"/>
      <c r="BN483" s="532"/>
      <c r="BO483" s="532"/>
      <c r="BP483" s="532"/>
      <c r="BQ483" s="532"/>
      <c r="BR483" s="532"/>
      <c r="BS483" s="532"/>
      <c r="BT483" s="532"/>
      <c r="BU483" s="532"/>
      <c r="BV483" s="532"/>
      <c r="BW483" s="532"/>
      <c r="BX483" s="532"/>
      <c r="BY483" s="532"/>
      <c r="BZ483" s="532"/>
      <c r="CA483" s="532"/>
      <c r="CB483" s="532"/>
      <c r="CC483" s="532"/>
      <c r="CD483" s="532"/>
      <c r="CE483" s="532"/>
      <c r="CF483" s="532"/>
      <c r="CG483" s="532"/>
      <c r="CH483" s="532"/>
      <c r="CI483" s="532"/>
      <c r="CJ483" s="532"/>
      <c r="CK483" s="532"/>
      <c r="CL483" s="532"/>
      <c r="CM483" s="532"/>
      <c r="CN483" s="532"/>
      <c r="CO483" s="532"/>
      <c r="CP483" s="532"/>
      <c r="CQ483" s="532"/>
      <c r="CR483" s="532"/>
      <c r="CS483" s="532"/>
      <c r="CT483" s="532"/>
      <c r="CU483" s="532"/>
      <c r="CV483" s="532"/>
      <c r="CW483" s="532"/>
      <c r="CX483" s="532"/>
      <c r="CY483" s="532"/>
      <c r="CZ483" s="532"/>
      <c r="DA483" s="532"/>
      <c r="DB483" s="532"/>
      <c r="DC483" s="532"/>
      <c r="DD483" s="532"/>
      <c r="DE483" s="532"/>
      <c r="DF483" s="532"/>
      <c r="DG483" s="532"/>
      <c r="DH483" s="532"/>
      <c r="DI483" s="532"/>
      <c r="DJ483" s="532"/>
      <c r="DK483" s="532"/>
      <c r="DL483" s="532"/>
      <c r="DM483" s="532"/>
      <c r="DN483" s="532"/>
      <c r="DO483" s="532"/>
      <c r="DP483" s="532"/>
      <c r="DQ483" s="532"/>
      <c r="DR483" s="532"/>
      <c r="DS483" s="532"/>
      <c r="DT483" s="532"/>
      <c r="DU483" s="532"/>
      <c r="DV483" s="532"/>
      <c r="DW483" s="532"/>
      <c r="DX483" s="532"/>
      <c r="DY483" s="532"/>
      <c r="DZ483" s="532"/>
      <c r="EA483" s="532"/>
      <c r="EB483" s="532"/>
      <c r="EC483" s="532"/>
      <c r="ED483" s="532"/>
      <c r="EE483" s="532"/>
      <c r="EF483" s="532"/>
      <c r="EG483" s="532"/>
      <c r="EH483" s="532"/>
      <c r="EI483" s="532"/>
      <c r="EJ483" s="532"/>
      <c r="EK483" s="532"/>
      <c r="EL483" s="532"/>
      <c r="EM483" s="532"/>
      <c r="EN483" s="532"/>
      <c r="EO483" s="532"/>
      <c r="EP483" s="532"/>
      <c r="EQ483" s="532"/>
      <c r="ER483" s="532"/>
      <c r="ES483" s="532"/>
      <c r="ET483" s="532"/>
      <c r="EU483" s="532"/>
      <c r="EV483" s="532"/>
      <c r="EW483" s="532"/>
      <c r="EX483" s="532"/>
      <c r="EY483" s="532"/>
      <c r="EZ483" s="532"/>
      <c r="FA483" s="532"/>
      <c r="FB483" s="532"/>
      <c r="FC483" s="532"/>
      <c r="FD483" s="532"/>
      <c r="FE483" s="532"/>
      <c r="FF483" s="532"/>
      <c r="FG483" s="532"/>
      <c r="FH483" s="532"/>
      <c r="FI483" s="532"/>
      <c r="FJ483" s="532"/>
      <c r="FK483" s="532"/>
      <c r="FL483" s="532"/>
      <c r="FM483" s="532"/>
      <c r="FN483" s="532"/>
      <c r="FO483" s="532"/>
      <c r="FP483" s="532"/>
    </row>
    <row r="484" spans="1:172" ht="12" customHeight="1" x14ac:dyDescent="0.2">
      <c r="A484" s="531" t="s">
        <v>1025</v>
      </c>
      <c r="B484" s="534"/>
      <c r="C484" s="208">
        <f>1+1</f>
        <v>2</v>
      </c>
      <c r="D484" s="208">
        <v>0</v>
      </c>
      <c r="E484" s="208">
        <f>2+1</f>
        <v>3</v>
      </c>
      <c r="F484" s="208">
        <f>1+1</f>
        <v>2</v>
      </c>
      <c r="G484" s="208">
        <v>2</v>
      </c>
      <c r="H484" s="208">
        <v>0</v>
      </c>
      <c r="I484" s="208">
        <v>0</v>
      </c>
      <c r="J484" s="208">
        <v>1</v>
      </c>
      <c r="K484" s="208">
        <v>0</v>
      </c>
      <c r="L484" s="562">
        <v>0</v>
      </c>
      <c r="M484" s="562">
        <v>0</v>
      </c>
      <c r="N484" s="562">
        <v>0</v>
      </c>
      <c r="O484" s="530">
        <f t="shared" si="198"/>
        <v>10</v>
      </c>
      <c r="P484" s="556"/>
      <c r="Q484" s="556"/>
      <c r="R484" s="556"/>
      <c r="S484" s="556"/>
      <c r="T484" s="556"/>
      <c r="U484" s="556"/>
      <c r="V484" s="556"/>
      <c r="W484" s="556"/>
      <c r="X484" s="556"/>
      <c r="Y484" s="556"/>
      <c r="Z484" s="556"/>
      <c r="AA484" s="531"/>
      <c r="AB484" s="531"/>
      <c r="AC484" s="531"/>
      <c r="AD484" s="531"/>
      <c r="AE484" s="531"/>
      <c r="AF484" s="531"/>
      <c r="AG484" s="531"/>
      <c r="AH484" s="532"/>
      <c r="AI484" s="532"/>
      <c r="AJ484" s="532"/>
      <c r="AK484" s="532"/>
      <c r="AL484" s="532"/>
      <c r="AM484" s="532"/>
      <c r="AN484" s="532"/>
      <c r="AO484" s="532"/>
      <c r="AP484" s="532"/>
      <c r="AQ484" s="532"/>
      <c r="AR484" s="532"/>
      <c r="AS484" s="532"/>
      <c r="AT484" s="532"/>
      <c r="AU484" s="532"/>
      <c r="AV484" s="532"/>
      <c r="AW484" s="532"/>
      <c r="AX484" s="532"/>
      <c r="AY484" s="532"/>
      <c r="AZ484" s="532"/>
      <c r="BA484" s="532"/>
      <c r="BB484" s="532"/>
      <c r="BC484" s="532"/>
      <c r="BD484" s="532"/>
      <c r="BE484" s="532"/>
      <c r="BF484" s="532"/>
      <c r="BG484" s="532"/>
      <c r="BH484" s="532"/>
      <c r="BI484" s="532"/>
      <c r="BJ484" s="532"/>
      <c r="BK484" s="532"/>
      <c r="BL484" s="532"/>
      <c r="BM484" s="532"/>
      <c r="BN484" s="532"/>
      <c r="BO484" s="532"/>
      <c r="BP484" s="532"/>
      <c r="BQ484" s="532"/>
      <c r="BR484" s="532"/>
      <c r="BS484" s="532"/>
      <c r="BT484" s="532"/>
      <c r="BU484" s="532"/>
      <c r="BV484" s="532"/>
      <c r="BW484" s="532"/>
      <c r="BX484" s="532"/>
      <c r="BY484" s="532"/>
      <c r="BZ484" s="532"/>
      <c r="CA484" s="532"/>
      <c r="CB484" s="532"/>
      <c r="CC484" s="532"/>
      <c r="CD484" s="532"/>
      <c r="CE484" s="532"/>
      <c r="CF484" s="532"/>
      <c r="CG484" s="532"/>
      <c r="CH484" s="532"/>
      <c r="CI484" s="532"/>
      <c r="CJ484" s="532"/>
      <c r="CK484" s="532"/>
      <c r="CL484" s="532"/>
      <c r="CM484" s="532"/>
      <c r="CN484" s="532"/>
      <c r="CO484" s="532"/>
      <c r="CP484" s="532"/>
      <c r="CQ484" s="532"/>
      <c r="CR484" s="532"/>
      <c r="CS484" s="532"/>
      <c r="CT484" s="532"/>
      <c r="CU484" s="532"/>
      <c r="CV484" s="532"/>
      <c r="CW484" s="532"/>
      <c r="CX484" s="532"/>
      <c r="CY484" s="532"/>
      <c r="CZ484" s="532"/>
      <c r="DA484" s="532"/>
      <c r="DB484" s="532"/>
      <c r="DC484" s="532"/>
      <c r="DD484" s="532"/>
      <c r="DE484" s="532"/>
      <c r="DF484" s="532"/>
      <c r="DG484" s="532"/>
      <c r="DH484" s="532"/>
      <c r="DI484" s="532"/>
      <c r="DJ484" s="532"/>
      <c r="DK484" s="532"/>
      <c r="DL484" s="532"/>
      <c r="DM484" s="532"/>
      <c r="DN484" s="532"/>
      <c r="DO484" s="532"/>
      <c r="DP484" s="532"/>
      <c r="DQ484" s="532"/>
      <c r="DR484" s="532"/>
      <c r="DS484" s="532"/>
      <c r="DT484" s="532"/>
      <c r="DU484" s="532"/>
      <c r="DV484" s="532"/>
      <c r="DW484" s="532"/>
      <c r="DX484" s="532"/>
      <c r="DY484" s="532"/>
      <c r="DZ484" s="532"/>
      <c r="EA484" s="532"/>
      <c r="EB484" s="532"/>
      <c r="EC484" s="532"/>
      <c r="ED484" s="532"/>
      <c r="EE484" s="532"/>
      <c r="EF484" s="532"/>
      <c r="EG484" s="532"/>
      <c r="EH484" s="532"/>
      <c r="EI484" s="532"/>
      <c r="EJ484" s="532"/>
      <c r="EK484" s="532"/>
      <c r="EL484" s="532"/>
      <c r="EM484" s="532"/>
      <c r="EN484" s="532"/>
      <c r="EO484" s="532"/>
      <c r="EP484" s="532"/>
      <c r="EQ484" s="532"/>
      <c r="ER484" s="532"/>
      <c r="ES484" s="532"/>
      <c r="ET484" s="532"/>
      <c r="EU484" s="532"/>
      <c r="EV484" s="532"/>
      <c r="EW484" s="532"/>
      <c r="EX484" s="532"/>
      <c r="EY484" s="532"/>
      <c r="EZ484" s="532"/>
      <c r="FA484" s="532"/>
      <c r="FB484" s="532"/>
      <c r="FC484" s="532"/>
      <c r="FD484" s="532"/>
      <c r="FE484" s="532"/>
      <c r="FF484" s="532"/>
      <c r="FG484" s="532"/>
      <c r="FH484" s="532"/>
      <c r="FI484" s="532"/>
      <c r="FJ484" s="532"/>
      <c r="FK484" s="532"/>
      <c r="FL484" s="532"/>
      <c r="FM484" s="532"/>
      <c r="FN484" s="532"/>
      <c r="FO484" s="532"/>
      <c r="FP484" s="532"/>
    </row>
    <row r="485" spans="1:172" ht="12" customHeight="1" x14ac:dyDescent="0.2">
      <c r="A485" s="533" t="s">
        <v>37</v>
      </c>
      <c r="B485" s="534"/>
      <c r="C485" s="535">
        <f>SUM(C475:C484)</f>
        <v>40</v>
      </c>
      <c r="D485" s="535">
        <f>SUM(D475:D484)</f>
        <v>50</v>
      </c>
      <c r="E485" s="535">
        <f>SUM(E475:E484)</f>
        <v>52</v>
      </c>
      <c r="F485" s="535">
        <f t="shared" ref="F485:J485" si="199">SUM(F475:F484)</f>
        <v>58</v>
      </c>
      <c r="G485" s="535">
        <f t="shared" si="199"/>
        <v>52</v>
      </c>
      <c r="H485" s="535">
        <f t="shared" si="199"/>
        <v>61</v>
      </c>
      <c r="I485" s="535">
        <f t="shared" si="199"/>
        <v>52</v>
      </c>
      <c r="J485" s="535">
        <f t="shared" si="199"/>
        <v>42</v>
      </c>
      <c r="K485" s="658">
        <f>SUM(K475:K484)</f>
        <v>57</v>
      </c>
      <c r="L485" s="562">
        <f>SUM(L475:L484)</f>
        <v>58</v>
      </c>
      <c r="M485" s="562">
        <f>SUM(M475:M484)</f>
        <v>74</v>
      </c>
      <c r="N485" s="562">
        <f>SUM(N475:N484)</f>
        <v>55</v>
      </c>
      <c r="O485" s="530">
        <f t="shared" si="198"/>
        <v>651</v>
      </c>
      <c r="P485" s="556"/>
      <c r="Q485" s="556"/>
      <c r="R485" s="556"/>
      <c r="S485" s="556"/>
      <c r="T485" s="556"/>
      <c r="U485" s="556"/>
      <c r="V485" s="556"/>
      <c r="W485" s="556"/>
      <c r="X485" s="556"/>
      <c r="Y485" s="556"/>
      <c r="Z485" s="556"/>
      <c r="AA485" s="531"/>
      <c r="AB485" s="531"/>
      <c r="AC485" s="531"/>
      <c r="AD485" s="531"/>
      <c r="AE485" s="531"/>
      <c r="AF485" s="531"/>
      <c r="AG485" s="531"/>
      <c r="AH485" s="532"/>
      <c r="AI485" s="532"/>
      <c r="AJ485" s="532"/>
      <c r="AK485" s="532"/>
      <c r="AL485" s="532"/>
      <c r="AM485" s="532"/>
      <c r="AN485" s="532"/>
      <c r="AO485" s="532"/>
      <c r="AP485" s="532"/>
      <c r="AQ485" s="532"/>
      <c r="AR485" s="532"/>
      <c r="AS485" s="532"/>
      <c r="AT485" s="532"/>
      <c r="AU485" s="532"/>
      <c r="AV485" s="532"/>
      <c r="AW485" s="532"/>
      <c r="AX485" s="532"/>
      <c r="AY485" s="532"/>
      <c r="AZ485" s="532"/>
      <c r="BA485" s="532"/>
      <c r="BB485" s="532"/>
      <c r="BC485" s="532"/>
      <c r="BD485" s="532"/>
      <c r="BE485" s="532"/>
      <c r="BF485" s="532"/>
      <c r="BG485" s="532"/>
      <c r="BH485" s="532"/>
      <c r="BI485" s="532"/>
      <c r="BJ485" s="532"/>
      <c r="BK485" s="532"/>
      <c r="BL485" s="532"/>
      <c r="BM485" s="532"/>
      <c r="BN485" s="532"/>
      <c r="BO485" s="532"/>
      <c r="BP485" s="532"/>
      <c r="BQ485" s="532"/>
      <c r="BR485" s="532"/>
      <c r="BS485" s="532"/>
      <c r="BT485" s="532"/>
      <c r="BU485" s="532"/>
      <c r="BV485" s="532"/>
      <c r="BW485" s="532"/>
      <c r="BX485" s="532"/>
      <c r="BY485" s="532"/>
      <c r="BZ485" s="532"/>
      <c r="CA485" s="532"/>
      <c r="CB485" s="532"/>
      <c r="CC485" s="532"/>
      <c r="CD485" s="532"/>
      <c r="CE485" s="532"/>
      <c r="CF485" s="532"/>
      <c r="CG485" s="532"/>
      <c r="CH485" s="532"/>
      <c r="CI485" s="532"/>
      <c r="CJ485" s="532"/>
      <c r="CK485" s="532"/>
      <c r="CL485" s="532"/>
      <c r="CM485" s="532"/>
      <c r="CN485" s="532"/>
      <c r="CO485" s="532"/>
      <c r="CP485" s="532"/>
      <c r="CQ485" s="532"/>
      <c r="CR485" s="532"/>
      <c r="CS485" s="532"/>
      <c r="CT485" s="532"/>
      <c r="CU485" s="532"/>
      <c r="CV485" s="532"/>
      <c r="CW485" s="532"/>
      <c r="CX485" s="532"/>
      <c r="CY485" s="532"/>
      <c r="CZ485" s="532"/>
      <c r="DA485" s="532"/>
      <c r="DB485" s="532"/>
      <c r="DC485" s="532"/>
      <c r="DD485" s="532"/>
      <c r="DE485" s="532"/>
      <c r="DF485" s="532"/>
      <c r="DG485" s="532"/>
      <c r="DH485" s="532"/>
      <c r="DI485" s="532"/>
      <c r="DJ485" s="532"/>
      <c r="DK485" s="532"/>
      <c r="DL485" s="532"/>
      <c r="DM485" s="532"/>
      <c r="DN485" s="532"/>
      <c r="DO485" s="532"/>
      <c r="DP485" s="532"/>
      <c r="DQ485" s="532"/>
      <c r="DR485" s="532"/>
      <c r="DS485" s="532"/>
      <c r="DT485" s="532"/>
      <c r="DU485" s="532"/>
      <c r="DV485" s="532"/>
      <c r="DW485" s="532"/>
      <c r="DX485" s="532"/>
      <c r="DY485" s="532"/>
      <c r="DZ485" s="532"/>
      <c r="EA485" s="532"/>
      <c r="EB485" s="532"/>
      <c r="EC485" s="532"/>
      <c r="ED485" s="532"/>
      <c r="EE485" s="532"/>
      <c r="EF485" s="532"/>
      <c r="EG485" s="532"/>
      <c r="EH485" s="532"/>
      <c r="EI485" s="532"/>
      <c r="EJ485" s="532"/>
      <c r="EK485" s="532"/>
      <c r="EL485" s="532"/>
      <c r="EM485" s="532"/>
      <c r="EN485" s="532"/>
      <c r="EO485" s="532"/>
      <c r="EP485" s="532"/>
      <c r="EQ485" s="532"/>
      <c r="ER485" s="532"/>
      <c r="ES485" s="532"/>
      <c r="ET485" s="532"/>
      <c r="EU485" s="532"/>
      <c r="EV485" s="532"/>
      <c r="EW485" s="532"/>
      <c r="EX485" s="532"/>
      <c r="EY485" s="532"/>
      <c r="EZ485" s="532"/>
      <c r="FA485" s="532"/>
      <c r="FB485" s="532"/>
      <c r="FC485" s="532"/>
      <c r="FD485" s="532"/>
      <c r="FE485" s="532"/>
      <c r="FF485" s="532"/>
      <c r="FG485" s="532"/>
      <c r="FH485" s="532"/>
      <c r="FI485" s="532"/>
      <c r="FJ485" s="532"/>
      <c r="FK485" s="532"/>
      <c r="FL485" s="532"/>
      <c r="FM485" s="532"/>
      <c r="FN485" s="532"/>
      <c r="FO485" s="532"/>
      <c r="FP485" s="532"/>
    </row>
    <row r="486" spans="1:172" ht="12" customHeight="1" x14ac:dyDescent="0.2">
      <c r="A486" s="533"/>
      <c r="B486" s="534"/>
      <c r="C486" s="534"/>
      <c r="D486" s="534"/>
      <c r="E486" s="534"/>
      <c r="F486" s="534"/>
      <c r="G486" s="534"/>
      <c r="H486" s="534"/>
      <c r="I486" s="534"/>
      <c r="J486" s="534"/>
      <c r="K486" s="535"/>
      <c r="L486" s="534"/>
      <c r="M486" s="534"/>
      <c r="N486" s="534"/>
      <c r="O486" s="530"/>
      <c r="P486" s="556"/>
      <c r="Q486" s="556"/>
      <c r="R486" s="556"/>
      <c r="S486" s="556"/>
      <c r="T486" s="556"/>
      <c r="U486" s="556"/>
      <c r="V486" s="556"/>
      <c r="W486" s="556"/>
      <c r="X486" s="556"/>
      <c r="Y486" s="556"/>
      <c r="Z486" s="556"/>
      <c r="AA486" s="531"/>
      <c r="AB486" s="531"/>
      <c r="AC486" s="531"/>
      <c r="AD486" s="531"/>
      <c r="AE486" s="531"/>
      <c r="AF486" s="531"/>
      <c r="AG486" s="531"/>
      <c r="AH486" s="532"/>
      <c r="AI486" s="532"/>
      <c r="AJ486" s="532"/>
      <c r="AK486" s="532"/>
      <c r="AL486" s="532"/>
      <c r="AM486" s="532"/>
      <c r="AN486" s="532"/>
      <c r="AO486" s="532"/>
      <c r="AP486" s="532"/>
      <c r="AQ486" s="532"/>
      <c r="AR486" s="532"/>
      <c r="AS486" s="532"/>
      <c r="AT486" s="532"/>
      <c r="AU486" s="532"/>
      <c r="AV486" s="532"/>
      <c r="AW486" s="532"/>
      <c r="AX486" s="532"/>
      <c r="AY486" s="532"/>
      <c r="AZ486" s="532"/>
      <c r="BA486" s="532"/>
      <c r="BB486" s="532"/>
      <c r="BC486" s="532"/>
      <c r="BD486" s="532"/>
      <c r="BE486" s="532"/>
      <c r="BF486" s="532"/>
      <c r="BG486" s="532"/>
      <c r="BH486" s="532"/>
      <c r="BI486" s="532"/>
      <c r="BJ486" s="532"/>
      <c r="BK486" s="532"/>
      <c r="BL486" s="532"/>
      <c r="BM486" s="532"/>
      <c r="BN486" s="532"/>
      <c r="BO486" s="532"/>
      <c r="BP486" s="532"/>
      <c r="BQ486" s="532"/>
      <c r="BR486" s="532"/>
      <c r="BS486" s="532"/>
      <c r="BT486" s="532"/>
      <c r="BU486" s="532"/>
      <c r="BV486" s="532"/>
      <c r="BW486" s="532"/>
      <c r="BX486" s="532"/>
      <c r="BY486" s="532"/>
      <c r="BZ486" s="532"/>
      <c r="CA486" s="532"/>
      <c r="CB486" s="532"/>
      <c r="CC486" s="532"/>
      <c r="CD486" s="532"/>
      <c r="CE486" s="532"/>
      <c r="CF486" s="532"/>
      <c r="CG486" s="532"/>
      <c r="CH486" s="532"/>
      <c r="CI486" s="532"/>
      <c r="CJ486" s="532"/>
      <c r="CK486" s="532"/>
      <c r="CL486" s="532"/>
      <c r="CM486" s="532"/>
      <c r="CN486" s="532"/>
      <c r="CO486" s="532"/>
      <c r="CP486" s="532"/>
      <c r="CQ486" s="532"/>
      <c r="CR486" s="532"/>
      <c r="CS486" s="532"/>
      <c r="CT486" s="532"/>
      <c r="CU486" s="532"/>
      <c r="CV486" s="532"/>
      <c r="CW486" s="532"/>
      <c r="CX486" s="532"/>
      <c r="CY486" s="532"/>
      <c r="CZ486" s="532"/>
      <c r="DA486" s="532"/>
      <c r="DB486" s="532"/>
      <c r="DC486" s="532"/>
      <c r="DD486" s="532"/>
      <c r="DE486" s="532"/>
      <c r="DF486" s="532"/>
      <c r="DG486" s="532"/>
      <c r="DH486" s="532"/>
      <c r="DI486" s="532"/>
      <c r="DJ486" s="532"/>
      <c r="DK486" s="532"/>
      <c r="DL486" s="532"/>
      <c r="DM486" s="532"/>
      <c r="DN486" s="532"/>
      <c r="DO486" s="532"/>
      <c r="DP486" s="532"/>
      <c r="DQ486" s="532"/>
      <c r="DR486" s="532"/>
      <c r="DS486" s="532"/>
      <c r="DT486" s="532"/>
      <c r="DU486" s="532"/>
      <c r="DV486" s="532"/>
      <c r="DW486" s="532"/>
      <c r="DX486" s="532"/>
      <c r="DY486" s="532"/>
      <c r="DZ486" s="532"/>
      <c r="EA486" s="532"/>
      <c r="EB486" s="532"/>
      <c r="EC486" s="532"/>
      <c r="ED486" s="532"/>
      <c r="EE486" s="532"/>
      <c r="EF486" s="532"/>
      <c r="EG486" s="532"/>
      <c r="EH486" s="532"/>
      <c r="EI486" s="532"/>
      <c r="EJ486" s="532"/>
      <c r="EK486" s="532"/>
      <c r="EL486" s="532"/>
      <c r="EM486" s="532"/>
      <c r="EN486" s="532"/>
      <c r="EO486" s="532"/>
      <c r="EP486" s="532"/>
      <c r="EQ486" s="532"/>
      <c r="ER486" s="532"/>
      <c r="ES486" s="532"/>
      <c r="ET486" s="532"/>
      <c r="EU486" s="532"/>
      <c r="EV486" s="532"/>
      <c r="EW486" s="532"/>
      <c r="EX486" s="532"/>
      <c r="EY486" s="532"/>
      <c r="EZ486" s="532"/>
      <c r="FA486" s="532"/>
      <c r="FB486" s="532"/>
      <c r="FC486" s="532"/>
      <c r="FD486" s="532"/>
      <c r="FE486" s="532"/>
      <c r="FF486" s="532"/>
      <c r="FG486" s="532"/>
      <c r="FH486" s="532"/>
      <c r="FI486" s="532"/>
      <c r="FJ486" s="532"/>
      <c r="FK486" s="532"/>
      <c r="FL486" s="532"/>
      <c r="FM486" s="532"/>
      <c r="FN486" s="532"/>
      <c r="FO486" s="532"/>
      <c r="FP486" s="532"/>
    </row>
    <row r="487" spans="1:172" ht="12" customHeight="1" x14ac:dyDescent="0.2">
      <c r="A487" s="533"/>
      <c r="B487" s="534"/>
      <c r="C487" s="534"/>
      <c r="D487" s="534" t="s">
        <v>55</v>
      </c>
      <c r="E487" s="534"/>
      <c r="F487" s="534"/>
      <c r="G487" s="534"/>
      <c r="H487" s="534"/>
      <c r="I487" s="534"/>
      <c r="J487" s="534"/>
      <c r="K487" s="535"/>
      <c r="L487" s="534"/>
      <c r="M487" s="534"/>
      <c r="N487" s="534"/>
      <c r="O487" s="530"/>
      <c r="P487" s="556"/>
      <c r="Q487" s="556"/>
      <c r="R487" s="556"/>
      <c r="S487" s="556"/>
      <c r="T487" s="556"/>
      <c r="U487" s="556"/>
      <c r="V487" s="556"/>
      <c r="W487" s="556"/>
      <c r="X487" s="556"/>
      <c r="Y487" s="556"/>
      <c r="Z487" s="556"/>
      <c r="AA487" s="531"/>
      <c r="AB487" s="531"/>
      <c r="AC487" s="531"/>
      <c r="AD487" s="531"/>
      <c r="AE487" s="531"/>
      <c r="AF487" s="531"/>
      <c r="AG487" s="531"/>
      <c r="AH487" s="532"/>
      <c r="AI487" s="532"/>
      <c r="AJ487" s="532"/>
      <c r="AK487" s="532"/>
      <c r="AL487" s="532"/>
      <c r="AM487" s="532"/>
      <c r="AN487" s="532"/>
      <c r="AO487" s="532"/>
      <c r="AP487" s="532"/>
      <c r="AQ487" s="532"/>
      <c r="AR487" s="532"/>
      <c r="AS487" s="532"/>
      <c r="AT487" s="532"/>
      <c r="AU487" s="532"/>
      <c r="AV487" s="532"/>
      <c r="AW487" s="532"/>
      <c r="AX487" s="532"/>
      <c r="AY487" s="532"/>
      <c r="AZ487" s="532"/>
      <c r="BA487" s="532"/>
      <c r="BB487" s="532"/>
      <c r="BC487" s="532"/>
      <c r="BD487" s="532"/>
      <c r="BE487" s="532"/>
      <c r="BF487" s="532"/>
      <c r="BG487" s="532"/>
      <c r="BH487" s="532"/>
      <c r="BI487" s="532"/>
      <c r="BJ487" s="532"/>
      <c r="BK487" s="532"/>
      <c r="BL487" s="532"/>
      <c r="BM487" s="532"/>
      <c r="BN487" s="532"/>
      <c r="BO487" s="532"/>
      <c r="BP487" s="532"/>
      <c r="BQ487" s="532"/>
      <c r="BR487" s="532"/>
      <c r="BS487" s="532"/>
      <c r="BT487" s="532"/>
      <c r="BU487" s="532"/>
      <c r="BV487" s="532"/>
      <c r="BW487" s="532"/>
      <c r="BX487" s="532"/>
      <c r="BY487" s="532"/>
      <c r="BZ487" s="532"/>
      <c r="CA487" s="532"/>
      <c r="CB487" s="532"/>
      <c r="CC487" s="532"/>
      <c r="CD487" s="532"/>
      <c r="CE487" s="532"/>
      <c r="CF487" s="532"/>
      <c r="CG487" s="532"/>
      <c r="CH487" s="532"/>
      <c r="CI487" s="532"/>
      <c r="CJ487" s="532"/>
      <c r="CK487" s="532"/>
      <c r="CL487" s="532"/>
      <c r="CM487" s="532"/>
      <c r="CN487" s="532"/>
      <c r="CO487" s="532"/>
      <c r="CP487" s="532"/>
      <c r="CQ487" s="532"/>
      <c r="CR487" s="532"/>
      <c r="CS487" s="532"/>
      <c r="CT487" s="532"/>
      <c r="CU487" s="532"/>
      <c r="CV487" s="532"/>
      <c r="CW487" s="532"/>
      <c r="CX487" s="532"/>
      <c r="CY487" s="532"/>
      <c r="CZ487" s="532"/>
      <c r="DA487" s="532"/>
      <c r="DB487" s="532"/>
      <c r="DC487" s="532"/>
      <c r="DD487" s="532"/>
      <c r="DE487" s="532"/>
      <c r="DF487" s="532"/>
      <c r="DG487" s="532"/>
      <c r="DH487" s="532"/>
      <c r="DI487" s="532"/>
      <c r="DJ487" s="532"/>
      <c r="DK487" s="532"/>
      <c r="DL487" s="532"/>
      <c r="DM487" s="532"/>
      <c r="DN487" s="532"/>
      <c r="DO487" s="532"/>
      <c r="DP487" s="532"/>
      <c r="DQ487" s="532"/>
      <c r="DR487" s="532"/>
      <c r="DS487" s="532"/>
      <c r="DT487" s="532"/>
      <c r="DU487" s="532"/>
      <c r="DV487" s="532"/>
      <c r="DW487" s="532"/>
      <c r="DX487" s="532"/>
      <c r="DY487" s="532"/>
      <c r="DZ487" s="532"/>
      <c r="EA487" s="532"/>
      <c r="EB487" s="532"/>
      <c r="EC487" s="532"/>
      <c r="ED487" s="532"/>
      <c r="EE487" s="532"/>
      <c r="EF487" s="532"/>
      <c r="EG487" s="532"/>
      <c r="EH487" s="532"/>
      <c r="EI487" s="532"/>
      <c r="EJ487" s="532"/>
      <c r="EK487" s="532"/>
      <c r="EL487" s="532"/>
      <c r="EM487" s="532"/>
      <c r="EN487" s="532"/>
      <c r="EO487" s="532"/>
      <c r="EP487" s="532"/>
      <c r="EQ487" s="532"/>
      <c r="ER487" s="532"/>
      <c r="ES487" s="532"/>
      <c r="ET487" s="532"/>
      <c r="EU487" s="532"/>
      <c r="EV487" s="532"/>
      <c r="EW487" s="532"/>
      <c r="EX487" s="532"/>
      <c r="EY487" s="532"/>
      <c r="EZ487" s="532"/>
      <c r="FA487" s="532"/>
      <c r="FB487" s="532"/>
      <c r="FC487" s="532"/>
      <c r="FD487" s="532"/>
      <c r="FE487" s="532"/>
      <c r="FF487" s="532"/>
      <c r="FG487" s="532"/>
      <c r="FH487" s="532"/>
      <c r="FI487" s="532"/>
      <c r="FJ487" s="532"/>
      <c r="FK487" s="532"/>
      <c r="FL487" s="532"/>
      <c r="FM487" s="532"/>
      <c r="FN487" s="532"/>
      <c r="FO487" s="532"/>
      <c r="FP487" s="532"/>
    </row>
    <row r="488" spans="1:172" ht="12" customHeight="1" x14ac:dyDescent="0.2">
      <c r="A488" s="533" t="s">
        <v>55</v>
      </c>
      <c r="B488" s="534"/>
      <c r="C488" s="534"/>
      <c r="D488" s="534"/>
      <c r="E488" s="534"/>
      <c r="F488" s="534"/>
      <c r="G488" s="534"/>
      <c r="H488" s="534"/>
      <c r="I488" s="534"/>
      <c r="J488" s="534"/>
      <c r="K488" s="535"/>
      <c r="L488" s="534"/>
      <c r="M488" s="534"/>
      <c r="N488" s="534"/>
      <c r="O488" s="530"/>
      <c r="P488" s="531"/>
      <c r="Q488" s="531"/>
      <c r="R488" s="531"/>
      <c r="S488" s="531"/>
      <c r="T488" s="531"/>
      <c r="U488" s="531"/>
      <c r="V488" s="531"/>
      <c r="W488" s="531"/>
      <c r="X488" s="531"/>
      <c r="Y488" s="531"/>
      <c r="Z488" s="531"/>
      <c r="AA488" s="531"/>
      <c r="AB488" s="531"/>
      <c r="AC488" s="531"/>
      <c r="AD488" s="531"/>
      <c r="AE488" s="531"/>
      <c r="AF488" s="531"/>
      <c r="AG488" s="531"/>
      <c r="AH488" s="532"/>
      <c r="AI488" s="532"/>
      <c r="AJ488" s="532"/>
      <c r="AK488" s="532"/>
      <c r="AL488" s="532"/>
      <c r="AM488" s="532"/>
      <c r="AN488" s="532"/>
      <c r="AO488" s="532"/>
      <c r="AP488" s="532"/>
      <c r="AQ488" s="532"/>
      <c r="AR488" s="532"/>
      <c r="AS488" s="532"/>
      <c r="AT488" s="532"/>
      <c r="AU488" s="532"/>
      <c r="AV488" s="532"/>
      <c r="AW488" s="532"/>
      <c r="AX488" s="532"/>
      <c r="AY488" s="532"/>
      <c r="AZ488" s="532"/>
      <c r="BA488" s="532"/>
      <c r="BB488" s="532"/>
      <c r="BC488" s="532"/>
      <c r="BD488" s="532"/>
      <c r="BE488" s="532"/>
      <c r="BF488" s="532"/>
      <c r="BG488" s="532"/>
      <c r="BH488" s="532"/>
      <c r="BI488" s="532"/>
      <c r="BJ488" s="532"/>
      <c r="BK488" s="532"/>
      <c r="BL488" s="532"/>
      <c r="BM488" s="532"/>
      <c r="BN488" s="532"/>
      <c r="BO488" s="532"/>
      <c r="BP488" s="532"/>
      <c r="BQ488" s="532"/>
      <c r="BR488" s="532"/>
      <c r="BS488" s="532"/>
      <c r="BT488" s="532"/>
      <c r="BU488" s="532"/>
      <c r="BV488" s="532"/>
      <c r="BW488" s="532"/>
      <c r="BX488" s="532"/>
      <c r="BY488" s="532"/>
      <c r="BZ488" s="532"/>
      <c r="CA488" s="532"/>
      <c r="CB488" s="532"/>
      <c r="CC488" s="532"/>
      <c r="CD488" s="532"/>
      <c r="CE488" s="532"/>
      <c r="CF488" s="532"/>
      <c r="CG488" s="532"/>
      <c r="CH488" s="532"/>
      <c r="CI488" s="532"/>
      <c r="CJ488" s="532"/>
      <c r="CK488" s="532"/>
      <c r="CL488" s="532"/>
      <c r="CM488" s="532"/>
      <c r="CN488" s="532"/>
      <c r="CO488" s="532"/>
      <c r="CP488" s="532"/>
      <c r="CQ488" s="532"/>
      <c r="CR488" s="532"/>
      <c r="CS488" s="532"/>
      <c r="CT488" s="532"/>
      <c r="CU488" s="532"/>
      <c r="CV488" s="532"/>
      <c r="CW488" s="532"/>
      <c r="CX488" s="532"/>
      <c r="CY488" s="532"/>
      <c r="CZ488" s="532"/>
      <c r="DA488" s="532"/>
      <c r="DB488" s="532"/>
      <c r="DC488" s="532"/>
      <c r="DD488" s="532"/>
      <c r="DE488" s="532"/>
      <c r="DF488" s="532"/>
      <c r="DG488" s="532"/>
      <c r="DH488" s="532"/>
      <c r="DI488" s="532"/>
      <c r="DJ488" s="532"/>
      <c r="DK488" s="532"/>
      <c r="DL488" s="532"/>
      <c r="DM488" s="532"/>
      <c r="DN488" s="532"/>
      <c r="DO488" s="532"/>
      <c r="DP488" s="532"/>
      <c r="DQ488" s="532"/>
      <c r="DR488" s="532"/>
      <c r="DS488" s="532"/>
      <c r="DT488" s="532"/>
      <c r="DU488" s="532"/>
      <c r="DV488" s="532"/>
      <c r="DW488" s="532"/>
      <c r="DX488" s="532"/>
      <c r="DY488" s="532"/>
      <c r="DZ488" s="532"/>
      <c r="EA488" s="532"/>
      <c r="EB488" s="532"/>
      <c r="EC488" s="532"/>
      <c r="ED488" s="532"/>
      <c r="EE488" s="532"/>
      <c r="EF488" s="532"/>
      <c r="EG488" s="532"/>
      <c r="EH488" s="532"/>
      <c r="EI488" s="532"/>
      <c r="EJ488" s="532"/>
      <c r="EK488" s="532"/>
      <c r="EL488" s="532"/>
      <c r="EM488" s="532"/>
      <c r="EN488" s="532"/>
      <c r="EO488" s="532"/>
      <c r="EP488" s="532"/>
      <c r="EQ488" s="532"/>
      <c r="ER488" s="532"/>
      <c r="ES488" s="532"/>
      <c r="ET488" s="532"/>
      <c r="EU488" s="532"/>
      <c r="EV488" s="532"/>
      <c r="EW488" s="532"/>
      <c r="EX488" s="532"/>
      <c r="EY488" s="532"/>
      <c r="EZ488" s="532"/>
      <c r="FA488" s="532"/>
      <c r="FB488" s="532"/>
      <c r="FC488" s="532"/>
      <c r="FD488" s="532"/>
      <c r="FE488" s="532"/>
      <c r="FF488" s="532"/>
      <c r="FG488" s="532"/>
      <c r="FH488" s="532"/>
      <c r="FI488" s="532"/>
      <c r="FJ488" s="532"/>
      <c r="FK488" s="532"/>
      <c r="FL488" s="532"/>
      <c r="FM488" s="532"/>
      <c r="FN488" s="532"/>
      <c r="FO488" s="532"/>
      <c r="FP488" s="532"/>
    </row>
    <row r="489" spans="1:172" ht="12" customHeight="1" x14ac:dyDescent="0.2">
      <c r="A489" s="533"/>
      <c r="B489" s="534"/>
      <c r="C489" s="534"/>
      <c r="D489" s="534"/>
      <c r="E489" s="534"/>
      <c r="F489" s="534"/>
      <c r="G489" s="534"/>
      <c r="H489" s="534"/>
      <c r="I489" s="534"/>
      <c r="J489" s="534"/>
      <c r="K489" s="535"/>
      <c r="L489" s="534"/>
      <c r="M489" s="534"/>
      <c r="N489" s="534"/>
      <c r="O489" s="530"/>
      <c r="P489" s="531"/>
      <c r="Q489" s="531"/>
      <c r="R489" s="531"/>
      <c r="S489" s="531"/>
      <c r="T489" s="531"/>
      <c r="U489" s="531"/>
      <c r="V489" s="531"/>
      <c r="W489" s="531"/>
      <c r="X489" s="531"/>
      <c r="Y489" s="531"/>
      <c r="Z489" s="531"/>
      <c r="AA489" s="531"/>
      <c r="AB489" s="531"/>
      <c r="AC489" s="531"/>
      <c r="AD489" s="531"/>
      <c r="AE489" s="531"/>
      <c r="AF489" s="531"/>
      <c r="AG489" s="531"/>
      <c r="AH489" s="532"/>
      <c r="AI489" s="532"/>
      <c r="AJ489" s="532"/>
      <c r="AK489" s="532"/>
      <c r="AL489" s="532"/>
      <c r="AM489" s="532"/>
      <c r="AN489" s="532"/>
      <c r="AO489" s="532"/>
      <c r="AP489" s="532"/>
      <c r="AQ489" s="532"/>
      <c r="AR489" s="532"/>
      <c r="AS489" s="532"/>
      <c r="AT489" s="532"/>
      <c r="AU489" s="532"/>
      <c r="AV489" s="532"/>
      <c r="AW489" s="532"/>
      <c r="AX489" s="532"/>
      <c r="AY489" s="532"/>
      <c r="AZ489" s="532"/>
      <c r="BA489" s="532"/>
      <c r="BB489" s="532"/>
      <c r="BC489" s="532"/>
      <c r="BD489" s="532"/>
      <c r="BE489" s="532"/>
      <c r="BF489" s="532"/>
      <c r="BG489" s="532"/>
      <c r="BH489" s="532"/>
      <c r="BI489" s="532"/>
      <c r="BJ489" s="532"/>
      <c r="BK489" s="532"/>
      <c r="BL489" s="532"/>
      <c r="BM489" s="532"/>
      <c r="BN489" s="532"/>
      <c r="BO489" s="532"/>
      <c r="BP489" s="532"/>
      <c r="BQ489" s="532"/>
      <c r="BR489" s="532"/>
      <c r="BS489" s="532"/>
      <c r="BT489" s="532"/>
      <c r="BU489" s="532"/>
      <c r="BV489" s="532"/>
      <c r="BW489" s="532"/>
      <c r="BX489" s="532"/>
      <c r="BY489" s="532"/>
      <c r="BZ489" s="532"/>
      <c r="CA489" s="532"/>
      <c r="CB489" s="532"/>
      <c r="CC489" s="532"/>
      <c r="CD489" s="532"/>
      <c r="CE489" s="532"/>
      <c r="CF489" s="532"/>
      <c r="CG489" s="532"/>
      <c r="CH489" s="532"/>
      <c r="CI489" s="532"/>
      <c r="CJ489" s="532"/>
      <c r="CK489" s="532"/>
      <c r="CL489" s="532"/>
      <c r="CM489" s="532"/>
      <c r="CN489" s="532"/>
      <c r="CO489" s="532"/>
      <c r="CP489" s="532"/>
      <c r="CQ489" s="532"/>
      <c r="CR489" s="532"/>
      <c r="CS489" s="532"/>
      <c r="CT489" s="532"/>
      <c r="CU489" s="532"/>
      <c r="CV489" s="532"/>
      <c r="CW489" s="532"/>
      <c r="CX489" s="532"/>
      <c r="CY489" s="532"/>
      <c r="CZ489" s="532"/>
      <c r="DA489" s="532"/>
      <c r="DB489" s="532"/>
      <c r="DC489" s="532"/>
      <c r="DD489" s="532"/>
      <c r="DE489" s="532"/>
      <c r="DF489" s="532"/>
      <c r="DG489" s="532"/>
      <c r="DH489" s="532"/>
      <c r="DI489" s="532"/>
      <c r="DJ489" s="532"/>
      <c r="DK489" s="532"/>
      <c r="DL489" s="532"/>
      <c r="DM489" s="532"/>
      <c r="DN489" s="532"/>
      <c r="DO489" s="532"/>
      <c r="DP489" s="532"/>
      <c r="DQ489" s="532"/>
      <c r="DR489" s="532"/>
      <c r="DS489" s="532"/>
      <c r="DT489" s="532"/>
      <c r="DU489" s="532"/>
      <c r="DV489" s="532"/>
      <c r="DW489" s="532"/>
      <c r="DX489" s="532"/>
      <c r="DY489" s="532"/>
      <c r="DZ489" s="532"/>
      <c r="EA489" s="532"/>
      <c r="EB489" s="532"/>
      <c r="EC489" s="532"/>
      <c r="ED489" s="532"/>
      <c r="EE489" s="532"/>
      <c r="EF489" s="532"/>
      <c r="EG489" s="532"/>
      <c r="EH489" s="532"/>
      <c r="EI489" s="532"/>
      <c r="EJ489" s="532"/>
      <c r="EK489" s="532"/>
      <c r="EL489" s="532"/>
      <c r="EM489" s="532"/>
      <c r="EN489" s="532"/>
      <c r="EO489" s="532"/>
      <c r="EP489" s="532"/>
      <c r="EQ489" s="532"/>
      <c r="ER489" s="532"/>
      <c r="ES489" s="532"/>
      <c r="ET489" s="532"/>
      <c r="EU489" s="532"/>
      <c r="EV489" s="532"/>
      <c r="EW489" s="532"/>
      <c r="EX489" s="532"/>
      <c r="EY489" s="532"/>
      <c r="EZ489" s="532"/>
      <c r="FA489" s="532"/>
      <c r="FB489" s="532"/>
      <c r="FC489" s="532"/>
      <c r="FD489" s="532"/>
      <c r="FE489" s="532"/>
      <c r="FF489" s="532"/>
      <c r="FG489" s="532"/>
      <c r="FH489" s="532"/>
      <c r="FI489" s="532"/>
      <c r="FJ489" s="532"/>
      <c r="FK489" s="532"/>
      <c r="FL489" s="532"/>
      <c r="FM489" s="532"/>
      <c r="FN489" s="532"/>
      <c r="FO489" s="532"/>
      <c r="FP489" s="532"/>
    </row>
    <row r="490" spans="1:172" ht="12" customHeight="1" x14ac:dyDescent="0.2">
      <c r="A490" s="533"/>
      <c r="B490" s="534"/>
      <c r="C490" s="534"/>
      <c r="D490" s="534"/>
      <c r="E490" s="534"/>
      <c r="F490" s="534"/>
      <c r="G490" s="534"/>
      <c r="H490" s="534"/>
      <c r="I490" s="534"/>
      <c r="J490" s="534"/>
      <c r="K490" s="535"/>
      <c r="L490" s="534"/>
      <c r="M490" s="534"/>
      <c r="N490" s="534"/>
      <c r="O490" s="530"/>
      <c r="P490" s="531"/>
      <c r="Q490" s="531"/>
      <c r="R490" s="531"/>
      <c r="S490" s="531"/>
      <c r="T490" s="531"/>
      <c r="U490" s="531"/>
      <c r="V490" s="531"/>
      <c r="W490" s="531"/>
      <c r="X490" s="531"/>
      <c r="Y490" s="531"/>
      <c r="Z490" s="531"/>
      <c r="AA490" s="531"/>
      <c r="AB490" s="531"/>
      <c r="AC490" s="531"/>
      <c r="AD490" s="531"/>
      <c r="AE490" s="531"/>
      <c r="AF490" s="531"/>
      <c r="AG490" s="531"/>
      <c r="AH490" s="532"/>
      <c r="AI490" s="532"/>
      <c r="AJ490" s="532"/>
      <c r="AK490" s="532"/>
      <c r="AL490" s="532"/>
      <c r="AM490" s="532"/>
      <c r="AN490" s="532"/>
      <c r="AO490" s="532"/>
      <c r="AP490" s="532"/>
      <c r="AQ490" s="532"/>
      <c r="AR490" s="532"/>
      <c r="AS490" s="532"/>
      <c r="AT490" s="532"/>
      <c r="AU490" s="532"/>
      <c r="AV490" s="532"/>
      <c r="AW490" s="532"/>
      <c r="AX490" s="532"/>
      <c r="AY490" s="532"/>
      <c r="AZ490" s="532"/>
      <c r="BA490" s="532"/>
      <c r="BB490" s="532"/>
      <c r="BC490" s="532"/>
      <c r="BD490" s="532"/>
      <c r="BE490" s="532"/>
      <c r="BF490" s="532"/>
      <c r="BG490" s="532"/>
      <c r="BH490" s="532"/>
      <c r="BI490" s="532"/>
      <c r="BJ490" s="532"/>
      <c r="BK490" s="532"/>
      <c r="BL490" s="532"/>
      <c r="BM490" s="532"/>
      <c r="BN490" s="532"/>
      <c r="BO490" s="532"/>
      <c r="BP490" s="532"/>
      <c r="BQ490" s="532"/>
      <c r="BR490" s="532"/>
      <c r="BS490" s="532"/>
      <c r="BT490" s="532"/>
      <c r="BU490" s="532"/>
      <c r="BV490" s="532"/>
      <c r="BW490" s="532"/>
      <c r="BX490" s="532"/>
      <c r="BY490" s="532"/>
      <c r="BZ490" s="532"/>
      <c r="CA490" s="532"/>
      <c r="CB490" s="532"/>
      <c r="CC490" s="532"/>
      <c r="CD490" s="532"/>
      <c r="CE490" s="532"/>
      <c r="CF490" s="532"/>
      <c r="CG490" s="532"/>
      <c r="CH490" s="532"/>
      <c r="CI490" s="532"/>
      <c r="CJ490" s="532"/>
      <c r="CK490" s="532"/>
      <c r="CL490" s="532"/>
      <c r="CM490" s="532"/>
      <c r="CN490" s="532"/>
      <c r="CO490" s="532"/>
      <c r="CP490" s="532"/>
      <c r="CQ490" s="532"/>
      <c r="CR490" s="532"/>
      <c r="CS490" s="532"/>
      <c r="CT490" s="532"/>
      <c r="CU490" s="532"/>
      <c r="CV490" s="532"/>
      <c r="CW490" s="532"/>
      <c r="CX490" s="532"/>
      <c r="CY490" s="532"/>
      <c r="CZ490" s="532"/>
      <c r="DA490" s="532"/>
      <c r="DB490" s="532"/>
      <c r="DC490" s="532"/>
      <c r="DD490" s="532"/>
      <c r="DE490" s="532"/>
      <c r="DF490" s="532"/>
      <c r="DG490" s="532"/>
      <c r="DH490" s="532"/>
      <c r="DI490" s="532"/>
      <c r="DJ490" s="532"/>
      <c r="DK490" s="532"/>
      <c r="DL490" s="532"/>
      <c r="DM490" s="532"/>
      <c r="DN490" s="532"/>
      <c r="DO490" s="532"/>
      <c r="DP490" s="532"/>
      <c r="DQ490" s="532"/>
      <c r="DR490" s="532"/>
      <c r="DS490" s="532"/>
      <c r="DT490" s="532"/>
      <c r="DU490" s="532"/>
      <c r="DV490" s="532"/>
      <c r="DW490" s="532"/>
      <c r="DX490" s="532"/>
      <c r="DY490" s="532"/>
      <c r="DZ490" s="532"/>
      <c r="EA490" s="532"/>
      <c r="EB490" s="532"/>
      <c r="EC490" s="532"/>
      <c r="ED490" s="532"/>
      <c r="EE490" s="532"/>
      <c r="EF490" s="532"/>
      <c r="EG490" s="532"/>
      <c r="EH490" s="532"/>
      <c r="EI490" s="532"/>
      <c r="EJ490" s="532"/>
      <c r="EK490" s="532"/>
      <c r="EL490" s="532"/>
      <c r="EM490" s="532"/>
      <c r="EN490" s="532"/>
      <c r="EO490" s="532"/>
      <c r="EP490" s="532"/>
      <c r="EQ490" s="532"/>
      <c r="ER490" s="532"/>
      <c r="ES490" s="532"/>
      <c r="ET490" s="532"/>
      <c r="EU490" s="532"/>
      <c r="EV490" s="532"/>
      <c r="EW490" s="532"/>
      <c r="EX490" s="532"/>
      <c r="EY490" s="532"/>
      <c r="EZ490" s="532"/>
      <c r="FA490" s="532"/>
      <c r="FB490" s="532"/>
      <c r="FC490" s="532"/>
      <c r="FD490" s="532"/>
      <c r="FE490" s="532"/>
      <c r="FF490" s="532"/>
      <c r="FG490" s="532"/>
      <c r="FH490" s="532"/>
      <c r="FI490" s="532"/>
      <c r="FJ490" s="532"/>
      <c r="FK490" s="532"/>
      <c r="FL490" s="532"/>
      <c r="FM490" s="532"/>
      <c r="FN490" s="532"/>
      <c r="FO490" s="532"/>
      <c r="FP490" s="532"/>
    </row>
    <row r="491" spans="1:172" ht="12" customHeight="1" x14ac:dyDescent="0.2">
      <c r="A491" s="533"/>
      <c r="B491" s="534"/>
      <c r="C491" s="534"/>
      <c r="D491" s="534"/>
      <c r="E491" s="534"/>
      <c r="F491" s="534"/>
      <c r="G491" s="534"/>
      <c r="H491" s="534"/>
      <c r="I491" s="534"/>
      <c r="J491" s="534"/>
      <c r="K491" s="535"/>
      <c r="L491" s="534"/>
      <c r="M491" s="534"/>
      <c r="N491" s="534"/>
      <c r="O491" s="530"/>
      <c r="P491" s="531"/>
      <c r="Q491" s="531"/>
      <c r="R491" s="531"/>
      <c r="S491" s="531"/>
      <c r="T491" s="531"/>
      <c r="U491" s="531"/>
      <c r="V491" s="531"/>
      <c r="W491" s="531"/>
      <c r="X491" s="531"/>
      <c r="Y491" s="531"/>
      <c r="Z491" s="531"/>
      <c r="AA491" s="531"/>
      <c r="AB491" s="531"/>
      <c r="AC491" s="531"/>
      <c r="AD491" s="531"/>
      <c r="AE491" s="531"/>
      <c r="AF491" s="531"/>
      <c r="AG491" s="531"/>
      <c r="AH491" s="532"/>
      <c r="AI491" s="532"/>
      <c r="AJ491" s="532"/>
      <c r="AK491" s="532"/>
      <c r="AL491" s="532"/>
      <c r="AM491" s="532"/>
      <c r="AN491" s="532"/>
      <c r="AO491" s="532"/>
      <c r="AP491" s="532"/>
      <c r="AQ491" s="532"/>
      <c r="AR491" s="532"/>
      <c r="AS491" s="532"/>
      <c r="AT491" s="532"/>
      <c r="AU491" s="532"/>
      <c r="AV491" s="532"/>
      <c r="AW491" s="532"/>
      <c r="AX491" s="532"/>
      <c r="AY491" s="532"/>
      <c r="AZ491" s="532"/>
      <c r="BA491" s="532"/>
      <c r="BB491" s="532"/>
      <c r="BC491" s="532"/>
      <c r="BD491" s="532"/>
      <c r="BE491" s="532"/>
      <c r="BF491" s="532"/>
      <c r="BG491" s="532"/>
      <c r="BH491" s="532"/>
      <c r="BI491" s="532"/>
      <c r="BJ491" s="532"/>
      <c r="BK491" s="532"/>
      <c r="BL491" s="532"/>
      <c r="BM491" s="532"/>
      <c r="BN491" s="532"/>
      <c r="BO491" s="532"/>
      <c r="BP491" s="532"/>
      <c r="BQ491" s="532"/>
      <c r="BR491" s="532"/>
      <c r="BS491" s="532"/>
      <c r="BT491" s="532"/>
      <c r="BU491" s="532"/>
      <c r="BV491" s="532"/>
      <c r="BW491" s="532"/>
      <c r="BX491" s="532"/>
      <c r="BY491" s="532"/>
      <c r="BZ491" s="532"/>
      <c r="CA491" s="532"/>
      <c r="CB491" s="532"/>
      <c r="CC491" s="532"/>
      <c r="CD491" s="532"/>
      <c r="CE491" s="532"/>
      <c r="CF491" s="532"/>
      <c r="CG491" s="532"/>
      <c r="CH491" s="532"/>
      <c r="CI491" s="532"/>
      <c r="CJ491" s="532"/>
      <c r="CK491" s="532"/>
      <c r="CL491" s="532"/>
      <c r="CM491" s="532"/>
      <c r="CN491" s="532"/>
      <c r="CO491" s="532"/>
      <c r="CP491" s="532"/>
      <c r="CQ491" s="532"/>
      <c r="CR491" s="532"/>
      <c r="CS491" s="532"/>
      <c r="CT491" s="532"/>
      <c r="CU491" s="532"/>
      <c r="CV491" s="532"/>
      <c r="CW491" s="532"/>
      <c r="CX491" s="532"/>
      <c r="CY491" s="532"/>
      <c r="CZ491" s="532"/>
      <c r="DA491" s="532"/>
      <c r="DB491" s="532"/>
      <c r="DC491" s="532"/>
      <c r="DD491" s="532"/>
      <c r="DE491" s="532"/>
      <c r="DF491" s="532"/>
      <c r="DG491" s="532"/>
      <c r="DH491" s="532"/>
      <c r="DI491" s="532"/>
      <c r="DJ491" s="532"/>
      <c r="DK491" s="532"/>
      <c r="DL491" s="532"/>
      <c r="DM491" s="532"/>
      <c r="DN491" s="532"/>
      <c r="DO491" s="532"/>
      <c r="DP491" s="532"/>
      <c r="DQ491" s="532"/>
      <c r="DR491" s="532"/>
      <c r="DS491" s="532"/>
      <c r="DT491" s="532"/>
      <c r="DU491" s="532"/>
      <c r="DV491" s="532"/>
      <c r="DW491" s="532"/>
      <c r="DX491" s="532"/>
      <c r="DY491" s="532"/>
      <c r="DZ491" s="532"/>
      <c r="EA491" s="532"/>
      <c r="EB491" s="532"/>
      <c r="EC491" s="532"/>
      <c r="ED491" s="532"/>
      <c r="EE491" s="532"/>
      <c r="EF491" s="532"/>
      <c r="EG491" s="532"/>
      <c r="EH491" s="532"/>
      <c r="EI491" s="532"/>
      <c r="EJ491" s="532"/>
      <c r="EK491" s="532"/>
      <c r="EL491" s="532"/>
      <c r="EM491" s="532"/>
      <c r="EN491" s="532"/>
      <c r="EO491" s="532"/>
      <c r="EP491" s="532"/>
      <c r="EQ491" s="532"/>
      <c r="ER491" s="532"/>
      <c r="ES491" s="532"/>
      <c r="ET491" s="532"/>
      <c r="EU491" s="532"/>
      <c r="EV491" s="532"/>
      <c r="EW491" s="532"/>
      <c r="EX491" s="532"/>
      <c r="EY491" s="532"/>
      <c r="EZ491" s="532"/>
      <c r="FA491" s="532"/>
      <c r="FB491" s="532"/>
      <c r="FC491" s="532"/>
      <c r="FD491" s="532"/>
      <c r="FE491" s="532"/>
      <c r="FF491" s="532"/>
      <c r="FG491" s="532"/>
      <c r="FH491" s="532"/>
      <c r="FI491" s="532"/>
      <c r="FJ491" s="532"/>
      <c r="FK491" s="532"/>
      <c r="FL491" s="532"/>
      <c r="FM491" s="532"/>
      <c r="FN491" s="532"/>
      <c r="FO491" s="532"/>
      <c r="FP491" s="532"/>
    </row>
    <row r="492" spans="1:172" ht="12" customHeight="1" x14ac:dyDescent="0.2">
      <c r="A492" s="533"/>
      <c r="B492" s="534"/>
      <c r="C492" s="534"/>
      <c r="D492" s="534"/>
      <c r="E492" s="534"/>
      <c r="F492" s="534"/>
      <c r="G492" s="534"/>
      <c r="H492" s="534"/>
      <c r="I492" s="534"/>
      <c r="J492" s="534"/>
      <c r="K492" s="535"/>
      <c r="L492" s="534"/>
      <c r="M492" s="534"/>
      <c r="N492" s="534"/>
      <c r="O492" s="530"/>
      <c r="P492" s="531"/>
      <c r="Q492" s="531"/>
      <c r="R492" s="531"/>
      <c r="S492" s="531"/>
      <c r="T492" s="531"/>
      <c r="U492" s="531"/>
      <c r="V492" s="531"/>
      <c r="W492" s="531"/>
      <c r="X492" s="531"/>
      <c r="Y492" s="531"/>
      <c r="Z492" s="531"/>
      <c r="AA492" s="531"/>
      <c r="AB492" s="531"/>
      <c r="AC492" s="531"/>
      <c r="AD492" s="531"/>
      <c r="AE492" s="531"/>
      <c r="AF492" s="531"/>
      <c r="AG492" s="531"/>
      <c r="AH492" s="532"/>
      <c r="AI492" s="532"/>
      <c r="AJ492" s="532"/>
      <c r="AK492" s="532"/>
      <c r="AL492" s="532"/>
      <c r="AM492" s="532"/>
      <c r="AN492" s="532"/>
      <c r="AO492" s="532"/>
      <c r="AP492" s="532"/>
      <c r="AQ492" s="532"/>
      <c r="AR492" s="532"/>
      <c r="AS492" s="532"/>
      <c r="AT492" s="532"/>
      <c r="AU492" s="532"/>
      <c r="AV492" s="532"/>
      <c r="AW492" s="532"/>
      <c r="AX492" s="532"/>
      <c r="AY492" s="532"/>
      <c r="AZ492" s="532"/>
      <c r="BA492" s="532"/>
      <c r="BB492" s="532"/>
      <c r="BC492" s="532"/>
      <c r="BD492" s="532"/>
      <c r="BE492" s="532"/>
      <c r="BF492" s="532"/>
      <c r="BG492" s="532"/>
      <c r="BH492" s="532"/>
      <c r="BI492" s="532"/>
      <c r="BJ492" s="532"/>
      <c r="BK492" s="532"/>
      <c r="BL492" s="532"/>
      <c r="BM492" s="532"/>
      <c r="BN492" s="532"/>
      <c r="BO492" s="532"/>
      <c r="BP492" s="532"/>
      <c r="BQ492" s="532"/>
      <c r="BR492" s="532"/>
      <c r="BS492" s="532"/>
      <c r="BT492" s="532"/>
      <c r="BU492" s="532"/>
      <c r="BV492" s="532"/>
      <c r="BW492" s="532"/>
      <c r="BX492" s="532"/>
      <c r="BY492" s="532"/>
      <c r="BZ492" s="532"/>
      <c r="CA492" s="532"/>
      <c r="CB492" s="532"/>
      <c r="CC492" s="532"/>
      <c r="CD492" s="532"/>
      <c r="CE492" s="532"/>
      <c r="CF492" s="532"/>
      <c r="CG492" s="532"/>
      <c r="CH492" s="532"/>
      <c r="CI492" s="532"/>
      <c r="CJ492" s="532"/>
      <c r="CK492" s="532"/>
      <c r="CL492" s="532"/>
      <c r="CM492" s="532"/>
      <c r="CN492" s="532"/>
      <c r="CO492" s="532"/>
      <c r="CP492" s="532"/>
      <c r="CQ492" s="532"/>
      <c r="CR492" s="532"/>
      <c r="CS492" s="532"/>
      <c r="CT492" s="532"/>
      <c r="CU492" s="532"/>
      <c r="CV492" s="532"/>
      <c r="CW492" s="532"/>
      <c r="CX492" s="532"/>
      <c r="CY492" s="532"/>
      <c r="CZ492" s="532"/>
      <c r="DA492" s="532"/>
      <c r="DB492" s="532"/>
      <c r="DC492" s="532"/>
      <c r="DD492" s="532"/>
      <c r="DE492" s="532"/>
      <c r="DF492" s="532"/>
      <c r="DG492" s="532"/>
      <c r="DH492" s="532"/>
      <c r="DI492" s="532"/>
      <c r="DJ492" s="532"/>
      <c r="DK492" s="532"/>
      <c r="DL492" s="532"/>
      <c r="DM492" s="532"/>
      <c r="DN492" s="532"/>
      <c r="DO492" s="532"/>
      <c r="DP492" s="532"/>
      <c r="DQ492" s="532"/>
      <c r="DR492" s="532"/>
      <c r="DS492" s="532"/>
      <c r="DT492" s="532"/>
      <c r="DU492" s="532"/>
      <c r="DV492" s="532"/>
      <c r="DW492" s="532"/>
      <c r="DX492" s="532"/>
      <c r="DY492" s="532"/>
      <c r="DZ492" s="532"/>
      <c r="EA492" s="532"/>
      <c r="EB492" s="532"/>
      <c r="EC492" s="532"/>
      <c r="ED492" s="532"/>
      <c r="EE492" s="532"/>
      <c r="EF492" s="532"/>
      <c r="EG492" s="532"/>
      <c r="EH492" s="532"/>
      <c r="EI492" s="532"/>
      <c r="EJ492" s="532"/>
      <c r="EK492" s="532"/>
      <c r="EL492" s="532"/>
      <c r="EM492" s="532"/>
      <c r="EN492" s="532"/>
      <c r="EO492" s="532"/>
      <c r="EP492" s="532"/>
      <c r="EQ492" s="532"/>
      <c r="ER492" s="532"/>
      <c r="ES492" s="532"/>
      <c r="ET492" s="532"/>
      <c r="EU492" s="532"/>
      <c r="EV492" s="532"/>
      <c r="EW492" s="532"/>
      <c r="EX492" s="532"/>
      <c r="EY492" s="532"/>
      <c r="EZ492" s="532"/>
      <c r="FA492" s="532"/>
      <c r="FB492" s="532"/>
      <c r="FC492" s="532"/>
      <c r="FD492" s="532"/>
      <c r="FE492" s="532"/>
      <c r="FF492" s="532"/>
      <c r="FG492" s="532"/>
      <c r="FH492" s="532"/>
      <c r="FI492" s="532"/>
      <c r="FJ492" s="532"/>
      <c r="FK492" s="532"/>
      <c r="FL492" s="532"/>
      <c r="FM492" s="532"/>
      <c r="FN492" s="532"/>
      <c r="FO492" s="532"/>
      <c r="FP492" s="532"/>
    </row>
    <row r="493" spans="1:172" ht="12" customHeight="1" x14ac:dyDescent="0.2">
      <c r="A493" s="533"/>
      <c r="B493" s="534"/>
      <c r="C493" s="534"/>
      <c r="D493" s="534"/>
      <c r="E493" s="534"/>
      <c r="F493" s="534"/>
      <c r="G493" s="534"/>
      <c r="H493" s="534"/>
      <c r="I493" s="534"/>
      <c r="J493" s="534"/>
      <c r="K493" s="535"/>
      <c r="L493" s="534"/>
      <c r="M493" s="534"/>
      <c r="N493" s="534"/>
      <c r="O493" s="530"/>
      <c r="P493" s="531"/>
      <c r="Q493" s="531"/>
      <c r="R493" s="531"/>
      <c r="S493" s="531"/>
      <c r="T493" s="531"/>
      <c r="U493" s="531"/>
      <c r="V493" s="531"/>
      <c r="W493" s="531"/>
      <c r="X493" s="531"/>
      <c r="Y493" s="531"/>
      <c r="Z493" s="531"/>
      <c r="AA493" s="531"/>
      <c r="AB493" s="531"/>
      <c r="AC493" s="531"/>
      <c r="AD493" s="531"/>
      <c r="AE493" s="531"/>
      <c r="AF493" s="531"/>
      <c r="AG493" s="531"/>
      <c r="AH493" s="532"/>
      <c r="AI493" s="532"/>
      <c r="AJ493" s="532"/>
      <c r="AK493" s="532"/>
      <c r="AL493" s="532"/>
      <c r="AM493" s="532"/>
      <c r="AN493" s="532"/>
      <c r="AO493" s="532"/>
      <c r="AP493" s="532"/>
      <c r="AQ493" s="532"/>
      <c r="AR493" s="532"/>
      <c r="AS493" s="532"/>
      <c r="AT493" s="532"/>
      <c r="AU493" s="532"/>
      <c r="AV493" s="532"/>
      <c r="AW493" s="532"/>
      <c r="AX493" s="532"/>
      <c r="AY493" s="532"/>
      <c r="AZ493" s="532"/>
      <c r="BA493" s="532"/>
      <c r="BB493" s="532"/>
      <c r="BC493" s="532"/>
      <c r="BD493" s="532"/>
      <c r="BE493" s="532"/>
      <c r="BF493" s="532"/>
      <c r="BG493" s="532"/>
      <c r="BH493" s="532"/>
      <c r="BI493" s="532"/>
      <c r="BJ493" s="532"/>
      <c r="BK493" s="532"/>
      <c r="BL493" s="532"/>
      <c r="BM493" s="532"/>
      <c r="BN493" s="532"/>
      <c r="BO493" s="532"/>
      <c r="BP493" s="532"/>
      <c r="BQ493" s="532"/>
      <c r="BR493" s="532"/>
      <c r="BS493" s="532"/>
      <c r="BT493" s="532"/>
      <c r="BU493" s="532"/>
      <c r="BV493" s="532"/>
      <c r="BW493" s="532"/>
      <c r="BX493" s="532"/>
      <c r="BY493" s="532"/>
      <c r="BZ493" s="532"/>
      <c r="CA493" s="532"/>
      <c r="CB493" s="532"/>
      <c r="CC493" s="532"/>
      <c r="CD493" s="532"/>
      <c r="CE493" s="532"/>
      <c r="CF493" s="532"/>
      <c r="CG493" s="532"/>
      <c r="CH493" s="532"/>
      <c r="CI493" s="532"/>
      <c r="CJ493" s="532"/>
      <c r="CK493" s="532"/>
      <c r="CL493" s="532"/>
      <c r="CM493" s="532"/>
      <c r="CN493" s="532"/>
      <c r="CO493" s="532"/>
      <c r="CP493" s="532"/>
      <c r="CQ493" s="532"/>
      <c r="CR493" s="532"/>
      <c r="CS493" s="532"/>
      <c r="CT493" s="532"/>
      <c r="CU493" s="532"/>
      <c r="CV493" s="532"/>
      <c r="CW493" s="532"/>
      <c r="CX493" s="532"/>
      <c r="CY493" s="532"/>
      <c r="CZ493" s="532"/>
      <c r="DA493" s="532"/>
      <c r="DB493" s="532"/>
      <c r="DC493" s="532"/>
      <c r="DD493" s="532"/>
      <c r="DE493" s="532"/>
      <c r="DF493" s="532"/>
      <c r="DG493" s="532"/>
      <c r="DH493" s="532"/>
      <c r="DI493" s="532"/>
      <c r="DJ493" s="532"/>
      <c r="DK493" s="532"/>
      <c r="DL493" s="532"/>
      <c r="DM493" s="532"/>
      <c r="DN493" s="532"/>
      <c r="DO493" s="532"/>
      <c r="DP493" s="532"/>
      <c r="DQ493" s="532"/>
      <c r="DR493" s="532"/>
      <c r="DS493" s="532"/>
      <c r="DT493" s="532"/>
      <c r="DU493" s="532"/>
      <c r="DV493" s="532"/>
      <c r="DW493" s="532"/>
      <c r="DX493" s="532"/>
      <c r="DY493" s="532"/>
      <c r="DZ493" s="532"/>
      <c r="EA493" s="532"/>
      <c r="EB493" s="532"/>
      <c r="EC493" s="532"/>
      <c r="ED493" s="532"/>
      <c r="EE493" s="532"/>
      <c r="EF493" s="532"/>
      <c r="EG493" s="532"/>
      <c r="EH493" s="532"/>
      <c r="EI493" s="532"/>
      <c r="EJ493" s="532"/>
      <c r="EK493" s="532"/>
      <c r="EL493" s="532"/>
      <c r="EM493" s="532"/>
      <c r="EN493" s="532"/>
      <c r="EO493" s="532"/>
      <c r="EP493" s="532"/>
      <c r="EQ493" s="532"/>
      <c r="ER493" s="532"/>
      <c r="ES493" s="532"/>
      <c r="ET493" s="532"/>
      <c r="EU493" s="532"/>
      <c r="EV493" s="532"/>
      <c r="EW493" s="532"/>
      <c r="EX493" s="532"/>
      <c r="EY493" s="532"/>
      <c r="EZ493" s="532"/>
      <c r="FA493" s="532"/>
      <c r="FB493" s="532"/>
      <c r="FC493" s="532"/>
      <c r="FD493" s="532"/>
      <c r="FE493" s="532"/>
      <c r="FF493" s="532"/>
      <c r="FG493" s="532"/>
      <c r="FH493" s="532"/>
      <c r="FI493" s="532"/>
      <c r="FJ493" s="532"/>
      <c r="FK493" s="532"/>
      <c r="FL493" s="532"/>
      <c r="FM493" s="532"/>
      <c r="FN493" s="532"/>
      <c r="FO493" s="532"/>
      <c r="FP493" s="532"/>
    </row>
    <row r="494" spans="1:172" ht="12" customHeight="1" x14ac:dyDescent="0.2">
      <c r="A494" s="533"/>
      <c r="B494" s="534"/>
      <c r="C494" s="534"/>
      <c r="D494" s="534"/>
      <c r="E494" s="534"/>
      <c r="F494" s="534"/>
      <c r="G494" s="534"/>
      <c r="H494" s="534"/>
      <c r="I494" s="534"/>
      <c r="J494" s="534"/>
      <c r="K494" s="535"/>
      <c r="L494" s="534"/>
      <c r="M494" s="534"/>
      <c r="N494" s="534"/>
      <c r="O494" s="530"/>
      <c r="P494" s="531"/>
      <c r="Q494" s="531"/>
      <c r="R494" s="531"/>
      <c r="S494" s="531"/>
      <c r="T494" s="531"/>
      <c r="U494" s="531"/>
      <c r="V494" s="531"/>
      <c r="W494" s="531"/>
      <c r="X494" s="531"/>
      <c r="Y494" s="531"/>
      <c r="Z494" s="531"/>
      <c r="AA494" s="531"/>
      <c r="AB494" s="531"/>
      <c r="AC494" s="531"/>
      <c r="AD494" s="531"/>
      <c r="AE494" s="531"/>
      <c r="AF494" s="531"/>
      <c r="AG494" s="531"/>
      <c r="AH494" s="532"/>
      <c r="AI494" s="532"/>
      <c r="AJ494" s="532"/>
      <c r="AK494" s="532"/>
      <c r="AL494" s="532"/>
      <c r="AM494" s="532"/>
      <c r="AN494" s="532"/>
      <c r="AO494" s="532"/>
      <c r="AP494" s="532"/>
      <c r="AQ494" s="532"/>
      <c r="AR494" s="532"/>
      <c r="AS494" s="532"/>
      <c r="AT494" s="532"/>
      <c r="AU494" s="532"/>
      <c r="AV494" s="532"/>
      <c r="AW494" s="532"/>
      <c r="AX494" s="532"/>
      <c r="AY494" s="532"/>
      <c r="AZ494" s="532"/>
      <c r="BA494" s="532"/>
      <c r="BB494" s="532"/>
      <c r="BC494" s="532"/>
      <c r="BD494" s="532"/>
      <c r="BE494" s="532"/>
      <c r="BF494" s="532"/>
      <c r="BG494" s="532"/>
      <c r="BH494" s="532"/>
      <c r="BI494" s="532"/>
      <c r="BJ494" s="532"/>
      <c r="BK494" s="532"/>
      <c r="BL494" s="532"/>
      <c r="BM494" s="532"/>
      <c r="BN494" s="532"/>
      <c r="BO494" s="532"/>
      <c r="BP494" s="532"/>
      <c r="BQ494" s="532"/>
      <c r="BR494" s="532"/>
      <c r="BS494" s="532"/>
      <c r="BT494" s="532"/>
      <c r="BU494" s="532"/>
      <c r="BV494" s="532"/>
      <c r="BW494" s="532"/>
      <c r="BX494" s="532"/>
      <c r="BY494" s="532"/>
      <c r="BZ494" s="532"/>
      <c r="CA494" s="532"/>
      <c r="CB494" s="532"/>
      <c r="CC494" s="532"/>
      <c r="CD494" s="532"/>
      <c r="CE494" s="532"/>
      <c r="CF494" s="532"/>
      <c r="CG494" s="532"/>
      <c r="CH494" s="532"/>
      <c r="CI494" s="532"/>
      <c r="CJ494" s="532"/>
      <c r="CK494" s="532"/>
      <c r="CL494" s="532"/>
      <c r="CM494" s="532"/>
      <c r="CN494" s="532"/>
      <c r="CO494" s="532"/>
      <c r="CP494" s="532"/>
      <c r="CQ494" s="532"/>
      <c r="CR494" s="532"/>
      <c r="CS494" s="532"/>
      <c r="CT494" s="532"/>
      <c r="CU494" s="532"/>
      <c r="CV494" s="532"/>
      <c r="CW494" s="532"/>
      <c r="CX494" s="532"/>
      <c r="CY494" s="532"/>
      <c r="CZ494" s="532"/>
      <c r="DA494" s="532"/>
      <c r="DB494" s="532"/>
      <c r="DC494" s="532"/>
      <c r="DD494" s="532"/>
      <c r="DE494" s="532"/>
      <c r="DF494" s="532"/>
      <c r="DG494" s="532"/>
      <c r="DH494" s="532"/>
      <c r="DI494" s="532"/>
      <c r="DJ494" s="532"/>
      <c r="DK494" s="532"/>
      <c r="DL494" s="532"/>
      <c r="DM494" s="532"/>
      <c r="DN494" s="532"/>
      <c r="DO494" s="532"/>
      <c r="DP494" s="532"/>
      <c r="DQ494" s="532"/>
      <c r="DR494" s="532"/>
      <c r="DS494" s="532"/>
      <c r="DT494" s="532"/>
      <c r="DU494" s="532"/>
      <c r="DV494" s="532"/>
      <c r="DW494" s="532"/>
      <c r="DX494" s="532"/>
      <c r="DY494" s="532"/>
      <c r="DZ494" s="532"/>
      <c r="EA494" s="532"/>
      <c r="EB494" s="532"/>
      <c r="EC494" s="532"/>
      <c r="ED494" s="532"/>
      <c r="EE494" s="532"/>
      <c r="EF494" s="532"/>
      <c r="EG494" s="532"/>
      <c r="EH494" s="532"/>
      <c r="EI494" s="532"/>
      <c r="EJ494" s="532"/>
      <c r="EK494" s="532"/>
      <c r="EL494" s="532"/>
      <c r="EM494" s="532"/>
      <c r="EN494" s="532"/>
      <c r="EO494" s="532"/>
      <c r="EP494" s="532"/>
      <c r="EQ494" s="532"/>
      <c r="ER494" s="532"/>
      <c r="ES494" s="532"/>
      <c r="ET494" s="532"/>
      <c r="EU494" s="532"/>
      <c r="EV494" s="532"/>
      <c r="EW494" s="532"/>
      <c r="EX494" s="532"/>
      <c r="EY494" s="532"/>
      <c r="EZ494" s="532"/>
      <c r="FA494" s="532"/>
      <c r="FB494" s="532"/>
      <c r="FC494" s="532"/>
      <c r="FD494" s="532"/>
      <c r="FE494" s="532"/>
      <c r="FF494" s="532"/>
      <c r="FG494" s="532"/>
      <c r="FH494" s="532"/>
      <c r="FI494" s="532"/>
      <c r="FJ494" s="532"/>
      <c r="FK494" s="532"/>
      <c r="FL494" s="532"/>
      <c r="FM494" s="532"/>
      <c r="FN494" s="532"/>
      <c r="FO494" s="532"/>
      <c r="FP494" s="532"/>
    </row>
    <row r="495" spans="1:172" ht="12" customHeight="1" x14ac:dyDescent="0.2">
      <c r="A495" s="533"/>
      <c r="B495" s="534"/>
      <c r="C495" s="534"/>
      <c r="D495" s="534"/>
      <c r="E495" s="534"/>
      <c r="F495" s="534"/>
      <c r="G495" s="534"/>
      <c r="H495" s="534"/>
      <c r="I495" s="534"/>
      <c r="J495" s="534"/>
      <c r="K495" s="535"/>
      <c r="L495" s="534"/>
      <c r="M495" s="534"/>
      <c r="N495" s="534"/>
      <c r="O495" s="530"/>
      <c r="P495" s="531"/>
      <c r="Q495" s="531"/>
      <c r="R495" s="531"/>
      <c r="S495" s="531"/>
      <c r="T495" s="531"/>
      <c r="U495" s="531"/>
      <c r="V495" s="531"/>
      <c r="W495" s="531"/>
      <c r="X495" s="531"/>
      <c r="Y495" s="531"/>
      <c r="Z495" s="531"/>
      <c r="AA495" s="531"/>
      <c r="AB495" s="531"/>
      <c r="AC495" s="531"/>
      <c r="AD495" s="531"/>
      <c r="AE495" s="531"/>
      <c r="AF495" s="531"/>
      <c r="AG495" s="531"/>
      <c r="AH495" s="532"/>
      <c r="AI495" s="532"/>
      <c r="AJ495" s="532"/>
      <c r="AK495" s="532"/>
      <c r="AL495" s="532"/>
      <c r="AM495" s="532"/>
      <c r="AN495" s="532"/>
      <c r="AO495" s="532"/>
      <c r="AP495" s="532"/>
      <c r="AQ495" s="532"/>
      <c r="AR495" s="532"/>
      <c r="AS495" s="532"/>
      <c r="AT495" s="532"/>
      <c r="AU495" s="532"/>
      <c r="AV495" s="532"/>
      <c r="AW495" s="532"/>
      <c r="AX495" s="532"/>
      <c r="AY495" s="532"/>
      <c r="AZ495" s="532"/>
      <c r="BA495" s="532"/>
      <c r="BB495" s="532"/>
      <c r="BC495" s="532"/>
      <c r="BD495" s="532"/>
      <c r="BE495" s="532"/>
      <c r="BF495" s="532"/>
      <c r="BG495" s="532"/>
      <c r="BH495" s="532"/>
      <c r="BI495" s="532"/>
      <c r="BJ495" s="532"/>
      <c r="BK495" s="532"/>
      <c r="BL495" s="532"/>
      <c r="BM495" s="532"/>
      <c r="BN495" s="532"/>
      <c r="BO495" s="532"/>
      <c r="BP495" s="532"/>
      <c r="BQ495" s="532"/>
      <c r="BR495" s="532"/>
      <c r="BS495" s="532"/>
      <c r="BT495" s="532"/>
      <c r="BU495" s="532"/>
      <c r="BV495" s="532"/>
      <c r="BW495" s="532"/>
      <c r="BX495" s="532"/>
      <c r="BY495" s="532"/>
      <c r="BZ495" s="532"/>
      <c r="CA495" s="532"/>
      <c r="CB495" s="532"/>
      <c r="CC495" s="532"/>
      <c r="CD495" s="532"/>
      <c r="CE495" s="532"/>
      <c r="CF495" s="532"/>
      <c r="CG495" s="532"/>
      <c r="CH495" s="532"/>
      <c r="CI495" s="532"/>
      <c r="CJ495" s="532"/>
      <c r="CK495" s="532"/>
      <c r="CL495" s="532"/>
      <c r="CM495" s="532"/>
      <c r="CN495" s="532"/>
      <c r="CO495" s="532"/>
      <c r="CP495" s="532"/>
      <c r="CQ495" s="532"/>
      <c r="CR495" s="532"/>
      <c r="CS495" s="532"/>
      <c r="CT495" s="532"/>
      <c r="CU495" s="532"/>
      <c r="CV495" s="532"/>
      <c r="CW495" s="532"/>
      <c r="CX495" s="532"/>
      <c r="CY495" s="532"/>
      <c r="CZ495" s="532"/>
      <c r="DA495" s="532"/>
      <c r="DB495" s="532"/>
      <c r="DC495" s="532"/>
      <c r="DD495" s="532"/>
      <c r="DE495" s="532"/>
      <c r="DF495" s="532"/>
      <c r="DG495" s="532"/>
      <c r="DH495" s="532"/>
      <c r="DI495" s="532"/>
      <c r="DJ495" s="532"/>
      <c r="DK495" s="532"/>
      <c r="DL495" s="532"/>
      <c r="DM495" s="532"/>
      <c r="DN495" s="532"/>
      <c r="DO495" s="532"/>
      <c r="DP495" s="532"/>
      <c r="DQ495" s="532"/>
      <c r="DR495" s="532"/>
      <c r="DS495" s="532"/>
      <c r="DT495" s="532"/>
      <c r="DU495" s="532"/>
      <c r="DV495" s="532"/>
      <c r="DW495" s="532"/>
      <c r="DX495" s="532"/>
      <c r="DY495" s="532"/>
      <c r="DZ495" s="532"/>
      <c r="EA495" s="532"/>
      <c r="EB495" s="532"/>
      <c r="EC495" s="532"/>
      <c r="ED495" s="532"/>
      <c r="EE495" s="532"/>
      <c r="EF495" s="532"/>
      <c r="EG495" s="532"/>
      <c r="EH495" s="532"/>
      <c r="EI495" s="532"/>
      <c r="EJ495" s="532"/>
      <c r="EK495" s="532"/>
      <c r="EL495" s="532"/>
      <c r="EM495" s="532"/>
      <c r="EN495" s="532"/>
      <c r="EO495" s="532"/>
      <c r="EP495" s="532"/>
      <c r="EQ495" s="532"/>
      <c r="ER495" s="532"/>
      <c r="ES495" s="532"/>
      <c r="ET495" s="532"/>
      <c r="EU495" s="532"/>
      <c r="EV495" s="532"/>
      <c r="EW495" s="532"/>
      <c r="EX495" s="532"/>
      <c r="EY495" s="532"/>
      <c r="EZ495" s="532"/>
      <c r="FA495" s="532"/>
      <c r="FB495" s="532"/>
      <c r="FC495" s="532"/>
      <c r="FD495" s="532"/>
      <c r="FE495" s="532"/>
      <c r="FF495" s="532"/>
      <c r="FG495" s="532"/>
      <c r="FH495" s="532"/>
      <c r="FI495" s="532"/>
      <c r="FJ495" s="532"/>
      <c r="FK495" s="532"/>
      <c r="FL495" s="532"/>
      <c r="FM495" s="532"/>
      <c r="FN495" s="532"/>
      <c r="FO495" s="532"/>
      <c r="FP495" s="532"/>
    </row>
    <row r="496" spans="1:172" ht="12" customHeight="1" x14ac:dyDescent="0.2">
      <c r="A496" s="533"/>
      <c r="B496" s="534"/>
      <c r="C496" s="534"/>
      <c r="D496" s="534"/>
      <c r="E496" s="534"/>
      <c r="F496" s="534"/>
      <c r="G496" s="534"/>
      <c r="H496" s="534"/>
      <c r="I496" s="534"/>
      <c r="J496" s="534"/>
      <c r="K496" s="535"/>
      <c r="L496" s="534"/>
      <c r="M496" s="534"/>
      <c r="N496" s="534"/>
      <c r="O496" s="530"/>
      <c r="P496" s="531"/>
      <c r="Q496" s="531"/>
      <c r="R496" s="531"/>
      <c r="S496" s="531"/>
      <c r="T496" s="531"/>
      <c r="U496" s="531"/>
      <c r="V496" s="531"/>
      <c r="W496" s="531"/>
      <c r="X496" s="531"/>
      <c r="Y496" s="531"/>
      <c r="Z496" s="531"/>
      <c r="AA496" s="531"/>
      <c r="AB496" s="531"/>
      <c r="AC496" s="531"/>
      <c r="AD496" s="531"/>
      <c r="AE496" s="531"/>
      <c r="AF496" s="531"/>
      <c r="AG496" s="531"/>
      <c r="AH496" s="532"/>
      <c r="AI496" s="532"/>
      <c r="AJ496" s="532"/>
      <c r="AK496" s="532"/>
      <c r="AL496" s="532"/>
      <c r="AM496" s="532"/>
      <c r="AN496" s="532"/>
      <c r="AO496" s="532"/>
      <c r="AP496" s="532"/>
      <c r="AQ496" s="532"/>
      <c r="AR496" s="532"/>
      <c r="AS496" s="532"/>
      <c r="AT496" s="532"/>
      <c r="AU496" s="532"/>
      <c r="AV496" s="532"/>
      <c r="AW496" s="532"/>
      <c r="AX496" s="532"/>
      <c r="AY496" s="532"/>
      <c r="AZ496" s="532"/>
      <c r="BA496" s="532"/>
      <c r="BB496" s="532"/>
      <c r="BC496" s="532"/>
      <c r="BD496" s="532"/>
      <c r="BE496" s="532"/>
      <c r="BF496" s="532"/>
      <c r="BG496" s="532"/>
      <c r="BH496" s="532"/>
      <c r="BI496" s="532"/>
      <c r="BJ496" s="532"/>
      <c r="BK496" s="532"/>
      <c r="BL496" s="532"/>
      <c r="BM496" s="532"/>
      <c r="BN496" s="532"/>
      <c r="BO496" s="532"/>
      <c r="BP496" s="532"/>
      <c r="BQ496" s="532"/>
      <c r="BR496" s="532"/>
      <c r="BS496" s="532"/>
      <c r="BT496" s="532"/>
      <c r="BU496" s="532"/>
      <c r="BV496" s="532"/>
      <c r="BW496" s="532"/>
      <c r="BX496" s="532"/>
      <c r="BY496" s="532"/>
      <c r="BZ496" s="532"/>
      <c r="CA496" s="532"/>
      <c r="CB496" s="532"/>
      <c r="CC496" s="532"/>
      <c r="CD496" s="532"/>
      <c r="CE496" s="532"/>
      <c r="CF496" s="532"/>
      <c r="CG496" s="532"/>
      <c r="CH496" s="532"/>
      <c r="CI496" s="532"/>
      <c r="CJ496" s="532"/>
      <c r="CK496" s="532"/>
      <c r="CL496" s="532"/>
      <c r="CM496" s="532"/>
      <c r="CN496" s="532"/>
      <c r="CO496" s="532"/>
      <c r="CP496" s="532"/>
      <c r="CQ496" s="532"/>
      <c r="CR496" s="532"/>
      <c r="CS496" s="532"/>
      <c r="CT496" s="532"/>
      <c r="CU496" s="532"/>
      <c r="CV496" s="532"/>
      <c r="CW496" s="532"/>
      <c r="CX496" s="532"/>
      <c r="CY496" s="532"/>
      <c r="CZ496" s="532"/>
      <c r="DA496" s="532"/>
      <c r="DB496" s="532"/>
      <c r="DC496" s="532"/>
      <c r="DD496" s="532"/>
      <c r="DE496" s="532"/>
      <c r="DF496" s="532"/>
      <c r="DG496" s="532"/>
      <c r="DH496" s="532"/>
      <c r="DI496" s="532"/>
      <c r="DJ496" s="532"/>
      <c r="DK496" s="532"/>
      <c r="DL496" s="532"/>
      <c r="DM496" s="532"/>
      <c r="DN496" s="532"/>
      <c r="DO496" s="532"/>
      <c r="DP496" s="532"/>
      <c r="DQ496" s="532"/>
      <c r="DR496" s="532"/>
      <c r="DS496" s="532"/>
      <c r="DT496" s="532"/>
      <c r="DU496" s="532"/>
      <c r="DV496" s="532"/>
      <c r="DW496" s="532"/>
      <c r="DX496" s="532"/>
      <c r="DY496" s="532"/>
      <c r="DZ496" s="532"/>
      <c r="EA496" s="532"/>
      <c r="EB496" s="532"/>
      <c r="EC496" s="532"/>
      <c r="ED496" s="532"/>
      <c r="EE496" s="532"/>
      <c r="EF496" s="532"/>
      <c r="EG496" s="532"/>
      <c r="EH496" s="532"/>
      <c r="EI496" s="532"/>
      <c r="EJ496" s="532"/>
      <c r="EK496" s="532"/>
      <c r="EL496" s="532"/>
      <c r="EM496" s="532"/>
      <c r="EN496" s="532"/>
      <c r="EO496" s="532"/>
      <c r="EP496" s="532"/>
      <c r="EQ496" s="532"/>
      <c r="ER496" s="532"/>
      <c r="ES496" s="532"/>
      <c r="ET496" s="532"/>
      <c r="EU496" s="532"/>
      <c r="EV496" s="532"/>
      <c r="EW496" s="532"/>
      <c r="EX496" s="532"/>
      <c r="EY496" s="532"/>
      <c r="EZ496" s="532"/>
      <c r="FA496" s="532"/>
      <c r="FB496" s="532"/>
      <c r="FC496" s="532"/>
      <c r="FD496" s="532"/>
      <c r="FE496" s="532"/>
      <c r="FF496" s="532"/>
      <c r="FG496" s="532"/>
      <c r="FH496" s="532"/>
      <c r="FI496" s="532"/>
      <c r="FJ496" s="532"/>
      <c r="FK496" s="532"/>
      <c r="FL496" s="532"/>
      <c r="FM496" s="532"/>
      <c r="FN496" s="532"/>
      <c r="FO496" s="532"/>
      <c r="FP496" s="532"/>
    </row>
    <row r="497" spans="1:172" ht="12" customHeight="1" x14ac:dyDescent="0.2">
      <c r="A497" s="537"/>
      <c r="B497" s="534"/>
      <c r="C497" s="534"/>
      <c r="D497" s="534"/>
      <c r="E497" s="534"/>
      <c r="F497" s="534"/>
      <c r="G497" s="534"/>
      <c r="H497" s="534"/>
      <c r="I497" s="534"/>
      <c r="J497" s="534"/>
      <c r="K497" s="535"/>
      <c r="L497" s="534"/>
      <c r="M497" s="534"/>
      <c r="N497" s="534"/>
      <c r="O497" s="530"/>
      <c r="P497" s="531"/>
      <c r="Q497" s="531"/>
      <c r="R497" s="531"/>
      <c r="S497" s="531"/>
      <c r="T497" s="531"/>
      <c r="U497" s="531"/>
      <c r="V497" s="531"/>
      <c r="W497" s="531"/>
      <c r="X497" s="531"/>
      <c r="Y497" s="531"/>
      <c r="Z497" s="531"/>
      <c r="AA497" s="531"/>
      <c r="AB497" s="531"/>
      <c r="AC497" s="531"/>
      <c r="AD497" s="531"/>
      <c r="AE497" s="531"/>
      <c r="AF497" s="531"/>
      <c r="AG497" s="531"/>
      <c r="AH497" s="532"/>
      <c r="AI497" s="532"/>
      <c r="AJ497" s="532"/>
      <c r="AK497" s="532"/>
      <c r="AL497" s="532"/>
      <c r="AM497" s="532"/>
      <c r="AN497" s="532"/>
      <c r="AO497" s="532"/>
      <c r="AP497" s="532"/>
      <c r="AQ497" s="532"/>
      <c r="AR497" s="532"/>
      <c r="AS497" s="532"/>
      <c r="AT497" s="532"/>
      <c r="AU497" s="532"/>
      <c r="AV497" s="532"/>
      <c r="AW497" s="532"/>
      <c r="AX497" s="532"/>
      <c r="AY497" s="532"/>
      <c r="AZ497" s="532"/>
      <c r="BA497" s="532"/>
      <c r="BB497" s="532"/>
      <c r="BC497" s="532"/>
      <c r="BD497" s="532"/>
      <c r="BE497" s="532"/>
      <c r="BF497" s="532"/>
      <c r="BG497" s="532"/>
      <c r="BH497" s="532"/>
      <c r="BI497" s="532"/>
      <c r="BJ497" s="532"/>
      <c r="BK497" s="532"/>
      <c r="BL497" s="532"/>
      <c r="BM497" s="532"/>
      <c r="BN497" s="532"/>
      <c r="BO497" s="532"/>
      <c r="BP497" s="532"/>
      <c r="BQ497" s="532"/>
      <c r="BR497" s="532"/>
      <c r="BS497" s="532"/>
      <c r="BT497" s="532"/>
      <c r="BU497" s="532"/>
      <c r="BV497" s="532"/>
      <c r="BW497" s="532"/>
      <c r="BX497" s="532"/>
      <c r="BY497" s="532"/>
      <c r="BZ497" s="532"/>
      <c r="CA497" s="532"/>
      <c r="CB497" s="532"/>
      <c r="CC497" s="532"/>
      <c r="CD497" s="532"/>
      <c r="CE497" s="532"/>
      <c r="CF497" s="532"/>
      <c r="CG497" s="532"/>
      <c r="CH497" s="532"/>
      <c r="CI497" s="532"/>
      <c r="CJ497" s="532"/>
      <c r="CK497" s="532"/>
      <c r="CL497" s="532"/>
      <c r="CM497" s="532"/>
      <c r="CN497" s="532"/>
      <c r="CO497" s="532"/>
      <c r="CP497" s="532"/>
      <c r="CQ497" s="532"/>
      <c r="CR497" s="532"/>
      <c r="CS497" s="532"/>
      <c r="CT497" s="532"/>
      <c r="CU497" s="532"/>
      <c r="CV497" s="532"/>
      <c r="CW497" s="532"/>
      <c r="CX497" s="532"/>
      <c r="CY497" s="532"/>
      <c r="CZ497" s="532"/>
      <c r="DA497" s="532"/>
      <c r="DB497" s="532"/>
      <c r="DC497" s="532"/>
      <c r="DD497" s="532"/>
      <c r="DE497" s="532"/>
      <c r="DF497" s="532"/>
      <c r="DG497" s="532"/>
      <c r="DH497" s="532"/>
      <c r="DI497" s="532"/>
      <c r="DJ497" s="532"/>
      <c r="DK497" s="532"/>
      <c r="DL497" s="532"/>
      <c r="DM497" s="532"/>
      <c r="DN497" s="532"/>
      <c r="DO497" s="532"/>
      <c r="DP497" s="532"/>
      <c r="DQ497" s="532"/>
      <c r="DR497" s="532"/>
      <c r="DS497" s="532"/>
      <c r="DT497" s="532"/>
      <c r="DU497" s="532"/>
      <c r="DV497" s="532"/>
      <c r="DW497" s="532"/>
      <c r="DX497" s="532"/>
      <c r="DY497" s="532"/>
      <c r="DZ497" s="532"/>
      <c r="EA497" s="532"/>
      <c r="EB497" s="532"/>
      <c r="EC497" s="532"/>
      <c r="ED497" s="532"/>
      <c r="EE497" s="532"/>
      <c r="EF497" s="532"/>
      <c r="EG497" s="532"/>
      <c r="EH497" s="532"/>
      <c r="EI497" s="532"/>
      <c r="EJ497" s="532"/>
      <c r="EK497" s="532"/>
      <c r="EL497" s="532"/>
      <c r="EM497" s="532"/>
      <c r="EN497" s="532"/>
      <c r="EO497" s="532"/>
      <c r="EP497" s="532"/>
      <c r="EQ497" s="532"/>
      <c r="ER497" s="532"/>
      <c r="ES497" s="532"/>
      <c r="ET497" s="532"/>
      <c r="EU497" s="532"/>
      <c r="EV497" s="532"/>
      <c r="EW497" s="532"/>
      <c r="EX497" s="532"/>
      <c r="EY497" s="532"/>
      <c r="EZ497" s="532"/>
      <c r="FA497" s="532"/>
      <c r="FB497" s="532"/>
      <c r="FC497" s="532"/>
      <c r="FD497" s="532"/>
      <c r="FE497" s="532"/>
      <c r="FF497" s="532"/>
      <c r="FG497" s="532"/>
      <c r="FH497" s="532"/>
      <c r="FI497" s="532"/>
      <c r="FJ497" s="532"/>
      <c r="FK497" s="532"/>
      <c r="FL497" s="532"/>
      <c r="FM497" s="532"/>
      <c r="FN497" s="532"/>
      <c r="FO497" s="532"/>
      <c r="FP497" s="532"/>
    </row>
    <row r="498" spans="1:172" ht="12" customHeight="1" x14ac:dyDescent="0.2">
      <c r="A498" s="557"/>
      <c r="B498" s="534"/>
      <c r="C498" s="534"/>
      <c r="D498" s="534"/>
      <c r="E498" s="534"/>
      <c r="F498" s="534"/>
      <c r="G498" s="534"/>
      <c r="H498" s="534"/>
      <c r="I498" s="534"/>
      <c r="J498" s="534"/>
      <c r="K498" s="535"/>
      <c r="L498" s="534"/>
      <c r="M498" s="534"/>
      <c r="N498" s="534"/>
      <c r="O498" s="530"/>
      <c r="P498" s="531"/>
      <c r="Q498" s="531"/>
      <c r="R498" s="531"/>
      <c r="S498" s="531"/>
      <c r="T498" s="531"/>
      <c r="U498" s="531"/>
      <c r="V498" s="531"/>
      <c r="W498" s="531"/>
      <c r="X498" s="531"/>
      <c r="Y498" s="531"/>
      <c r="Z498" s="531"/>
      <c r="AA498" s="531"/>
      <c r="AB498" s="531"/>
      <c r="AC498" s="531"/>
      <c r="AD498" s="531"/>
      <c r="AE498" s="531"/>
      <c r="AF498" s="531"/>
      <c r="AG498" s="531"/>
      <c r="AH498" s="532"/>
      <c r="AI498" s="532"/>
      <c r="AJ498" s="532"/>
      <c r="AK498" s="532"/>
      <c r="AL498" s="532"/>
      <c r="AM498" s="532"/>
      <c r="AN498" s="532"/>
      <c r="AO498" s="532"/>
      <c r="AP498" s="532"/>
      <c r="AQ498" s="532"/>
      <c r="AR498" s="532"/>
      <c r="AS498" s="532"/>
      <c r="AT498" s="532"/>
      <c r="AU498" s="532"/>
      <c r="AV498" s="532"/>
      <c r="AW498" s="532"/>
      <c r="AX498" s="532"/>
      <c r="AY498" s="532"/>
      <c r="AZ498" s="532"/>
      <c r="BA498" s="532"/>
      <c r="BB498" s="532"/>
      <c r="BC498" s="532"/>
      <c r="BD498" s="532"/>
      <c r="BE498" s="532"/>
      <c r="BF498" s="532"/>
      <c r="BG498" s="532"/>
      <c r="BH498" s="532"/>
      <c r="BI498" s="532"/>
      <c r="BJ498" s="532"/>
      <c r="BK498" s="532"/>
      <c r="BL498" s="532"/>
      <c r="BM498" s="532"/>
      <c r="BN498" s="532"/>
      <c r="BO498" s="532"/>
      <c r="BP498" s="532"/>
      <c r="BQ498" s="532"/>
      <c r="BR498" s="532"/>
      <c r="BS498" s="532"/>
      <c r="BT498" s="532"/>
      <c r="BU498" s="532"/>
      <c r="BV498" s="532"/>
      <c r="BW498" s="532"/>
      <c r="BX498" s="532"/>
      <c r="BY498" s="532"/>
      <c r="BZ498" s="532"/>
      <c r="CA498" s="532"/>
      <c r="CB498" s="532"/>
      <c r="CC498" s="532"/>
      <c r="CD498" s="532"/>
      <c r="CE498" s="532"/>
      <c r="CF498" s="532"/>
      <c r="CG498" s="532"/>
      <c r="CH498" s="532"/>
      <c r="CI498" s="532"/>
      <c r="CJ498" s="532"/>
      <c r="CK498" s="532"/>
      <c r="CL498" s="532"/>
      <c r="CM498" s="532"/>
      <c r="CN498" s="532"/>
      <c r="CO498" s="532"/>
      <c r="CP498" s="532"/>
      <c r="CQ498" s="532"/>
      <c r="CR498" s="532"/>
      <c r="CS498" s="532"/>
      <c r="CT498" s="532"/>
      <c r="CU498" s="532"/>
      <c r="CV498" s="532"/>
      <c r="CW498" s="532"/>
      <c r="CX498" s="532"/>
      <c r="CY498" s="532"/>
      <c r="CZ498" s="532"/>
      <c r="DA498" s="532"/>
      <c r="DB498" s="532"/>
      <c r="DC498" s="532"/>
      <c r="DD498" s="532"/>
      <c r="DE498" s="532"/>
      <c r="DF498" s="532"/>
      <c r="DG498" s="532"/>
      <c r="DH498" s="532"/>
      <c r="DI498" s="532"/>
      <c r="DJ498" s="532"/>
      <c r="DK498" s="532"/>
      <c r="DL498" s="532"/>
      <c r="DM498" s="532"/>
      <c r="DN498" s="532"/>
      <c r="DO498" s="532"/>
      <c r="DP498" s="532"/>
      <c r="DQ498" s="532"/>
      <c r="DR498" s="532"/>
      <c r="DS498" s="532"/>
      <c r="DT498" s="532"/>
      <c r="DU498" s="532"/>
      <c r="DV498" s="532"/>
      <c r="DW498" s="532"/>
      <c r="DX498" s="532"/>
      <c r="DY498" s="532"/>
      <c r="DZ498" s="532"/>
      <c r="EA498" s="532"/>
      <c r="EB498" s="532"/>
      <c r="EC498" s="532"/>
      <c r="ED498" s="532"/>
      <c r="EE498" s="532"/>
      <c r="EF498" s="532"/>
      <c r="EG498" s="532"/>
      <c r="EH498" s="532"/>
      <c r="EI498" s="532"/>
      <c r="EJ498" s="532"/>
      <c r="EK498" s="532"/>
      <c r="EL498" s="532"/>
      <c r="EM498" s="532"/>
      <c r="EN498" s="532"/>
      <c r="EO498" s="532"/>
      <c r="EP498" s="532"/>
      <c r="EQ498" s="532"/>
      <c r="ER498" s="532"/>
      <c r="ES498" s="532"/>
      <c r="ET498" s="532"/>
      <c r="EU498" s="532"/>
      <c r="EV498" s="532"/>
      <c r="EW498" s="532"/>
      <c r="EX498" s="532"/>
      <c r="EY498" s="532"/>
      <c r="EZ498" s="532"/>
      <c r="FA498" s="532"/>
      <c r="FB498" s="532"/>
      <c r="FC498" s="532"/>
      <c r="FD498" s="532"/>
      <c r="FE498" s="532"/>
      <c r="FF498" s="532"/>
      <c r="FG498" s="532"/>
      <c r="FH498" s="532"/>
      <c r="FI498" s="532"/>
      <c r="FJ498" s="532"/>
      <c r="FK498" s="532"/>
      <c r="FL498" s="532"/>
      <c r="FM498" s="532"/>
      <c r="FN498" s="532"/>
      <c r="FO498" s="532"/>
      <c r="FP498" s="532"/>
    </row>
    <row r="499" spans="1:172" ht="12" customHeight="1" x14ac:dyDescent="0.2">
      <c r="A499" s="531"/>
      <c r="B499" s="534"/>
      <c r="C499" s="534"/>
      <c r="D499" s="534"/>
      <c r="E499" s="534"/>
      <c r="F499" s="534"/>
      <c r="G499" s="534"/>
      <c r="H499" s="534"/>
      <c r="I499" s="534"/>
      <c r="J499" s="534"/>
      <c r="K499" s="535"/>
      <c r="L499" s="534"/>
      <c r="M499" s="534"/>
      <c r="N499" s="534"/>
      <c r="O499" s="530"/>
      <c r="P499" s="531"/>
      <c r="Q499" s="531"/>
      <c r="R499" s="531"/>
      <c r="S499" s="531"/>
      <c r="T499" s="531"/>
      <c r="U499" s="531"/>
      <c r="V499" s="531"/>
      <c r="W499" s="531"/>
      <c r="X499" s="531"/>
      <c r="Y499" s="531"/>
      <c r="Z499" s="531"/>
      <c r="AA499" s="531"/>
      <c r="AB499" s="531"/>
      <c r="AC499" s="531"/>
      <c r="AD499" s="531"/>
      <c r="AE499" s="531"/>
      <c r="AF499" s="531"/>
      <c r="AG499" s="531"/>
      <c r="AH499" s="532"/>
      <c r="AI499" s="532"/>
      <c r="AJ499" s="532"/>
      <c r="AK499" s="532"/>
      <c r="AL499" s="532"/>
      <c r="AM499" s="532"/>
      <c r="AN499" s="532"/>
      <c r="AO499" s="532"/>
      <c r="AP499" s="532"/>
      <c r="AQ499" s="532"/>
      <c r="AR499" s="532"/>
      <c r="AS499" s="532"/>
      <c r="AT499" s="532"/>
      <c r="AU499" s="532"/>
      <c r="AV499" s="532"/>
      <c r="AW499" s="532"/>
      <c r="AX499" s="532"/>
      <c r="AY499" s="532"/>
      <c r="AZ499" s="532"/>
      <c r="BA499" s="532"/>
      <c r="BB499" s="532"/>
      <c r="BC499" s="532"/>
      <c r="BD499" s="532"/>
      <c r="BE499" s="532"/>
      <c r="BF499" s="532"/>
      <c r="BG499" s="532"/>
      <c r="BH499" s="532"/>
      <c r="BI499" s="532"/>
      <c r="BJ499" s="532"/>
      <c r="BK499" s="532"/>
      <c r="BL499" s="532"/>
      <c r="BM499" s="532"/>
      <c r="BN499" s="532"/>
      <c r="BO499" s="532"/>
      <c r="BP499" s="532"/>
      <c r="BQ499" s="532"/>
      <c r="BR499" s="532"/>
      <c r="BS499" s="532"/>
      <c r="BT499" s="532"/>
      <c r="BU499" s="532"/>
      <c r="BV499" s="532"/>
      <c r="BW499" s="532"/>
      <c r="BX499" s="532"/>
      <c r="BY499" s="532"/>
      <c r="BZ499" s="532"/>
      <c r="CA499" s="532"/>
      <c r="CB499" s="532"/>
      <c r="CC499" s="532"/>
      <c r="CD499" s="532"/>
      <c r="CE499" s="532"/>
      <c r="CF499" s="532"/>
      <c r="CG499" s="532"/>
      <c r="CH499" s="532"/>
      <c r="CI499" s="532"/>
      <c r="CJ499" s="532"/>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532"/>
      <c r="DF499" s="532"/>
      <c r="DG499" s="532"/>
      <c r="DH499" s="532"/>
      <c r="DI499" s="532"/>
      <c r="DJ499" s="532"/>
      <c r="DK499" s="532"/>
      <c r="DL499" s="532"/>
      <c r="DM499" s="532"/>
      <c r="DN499" s="532"/>
      <c r="DO499" s="532"/>
      <c r="DP499" s="532"/>
      <c r="DQ499" s="532"/>
      <c r="DR499" s="532"/>
      <c r="DS499" s="532"/>
      <c r="DT499" s="532"/>
      <c r="DU499" s="532"/>
      <c r="DV499" s="532"/>
      <c r="DW499" s="532"/>
      <c r="DX499" s="532"/>
      <c r="DY499" s="532"/>
      <c r="DZ499" s="532"/>
      <c r="EA499" s="532"/>
      <c r="EB499" s="532"/>
      <c r="EC499" s="532"/>
      <c r="ED499" s="532"/>
      <c r="EE499" s="532"/>
      <c r="EF499" s="532"/>
      <c r="EG499" s="532"/>
      <c r="EH499" s="532"/>
      <c r="EI499" s="532"/>
      <c r="EJ499" s="532"/>
      <c r="EK499" s="532"/>
      <c r="EL499" s="532"/>
      <c r="EM499" s="532"/>
      <c r="EN499" s="532"/>
      <c r="EO499" s="532"/>
      <c r="EP499" s="532"/>
      <c r="EQ499" s="532"/>
      <c r="ER499" s="532"/>
      <c r="ES499" s="532"/>
      <c r="ET499" s="532"/>
      <c r="EU499" s="532"/>
      <c r="EV499" s="532"/>
      <c r="EW499" s="532"/>
      <c r="EX499" s="532"/>
      <c r="EY499" s="532"/>
      <c r="EZ499" s="532"/>
      <c r="FA499" s="532"/>
      <c r="FB499" s="532"/>
      <c r="FC499" s="532"/>
      <c r="FD499" s="532"/>
      <c r="FE499" s="532"/>
      <c r="FF499" s="532"/>
      <c r="FG499" s="532"/>
      <c r="FH499" s="532"/>
      <c r="FI499" s="532"/>
      <c r="FJ499" s="532"/>
      <c r="FK499" s="532"/>
      <c r="FL499" s="532"/>
      <c r="FM499" s="532"/>
      <c r="FN499" s="532"/>
      <c r="FO499" s="532"/>
      <c r="FP499" s="532"/>
    </row>
    <row r="500" spans="1:172" ht="12" customHeight="1" x14ac:dyDescent="0.2">
      <c r="A500" s="531"/>
      <c r="B500" s="534"/>
      <c r="C500" s="534"/>
      <c r="D500" s="534"/>
      <c r="E500" s="534"/>
      <c r="F500" s="534"/>
      <c r="G500" s="534"/>
      <c r="H500" s="534"/>
      <c r="I500" s="534"/>
      <c r="J500" s="534"/>
      <c r="K500" s="535"/>
      <c r="L500" s="534"/>
      <c r="M500" s="534"/>
      <c r="N500" s="534"/>
      <c r="O500" s="530"/>
      <c r="P500" s="531"/>
      <c r="Q500" s="531"/>
      <c r="R500" s="531"/>
      <c r="S500" s="531"/>
      <c r="T500" s="531"/>
      <c r="U500" s="531"/>
      <c r="V500" s="531"/>
      <c r="W500" s="531"/>
      <c r="X500" s="531"/>
      <c r="Y500" s="531"/>
      <c r="Z500" s="531"/>
      <c r="AA500" s="531"/>
      <c r="AB500" s="531"/>
      <c r="AC500" s="531"/>
      <c r="AD500" s="531"/>
      <c r="AE500" s="531"/>
      <c r="AF500" s="531"/>
      <c r="AG500" s="531"/>
      <c r="AH500" s="532"/>
      <c r="AI500" s="532"/>
      <c r="AJ500" s="532"/>
      <c r="AK500" s="532"/>
      <c r="AL500" s="532"/>
      <c r="AM500" s="532"/>
      <c r="AN500" s="532"/>
      <c r="AO500" s="532"/>
      <c r="AP500" s="532"/>
      <c r="AQ500" s="532"/>
      <c r="AR500" s="532"/>
      <c r="AS500" s="532"/>
      <c r="AT500" s="532"/>
      <c r="AU500" s="532"/>
      <c r="AV500" s="532"/>
      <c r="AW500" s="532"/>
      <c r="AX500" s="532"/>
      <c r="AY500" s="532"/>
      <c r="AZ500" s="532"/>
      <c r="BA500" s="532"/>
      <c r="BB500" s="532"/>
      <c r="BC500" s="532"/>
      <c r="BD500" s="532"/>
      <c r="BE500" s="532"/>
      <c r="BF500" s="532"/>
      <c r="BG500" s="532"/>
      <c r="BH500" s="532"/>
      <c r="BI500" s="532"/>
      <c r="BJ500" s="532"/>
      <c r="BK500" s="532"/>
      <c r="BL500" s="532"/>
      <c r="BM500" s="532"/>
      <c r="BN500" s="532"/>
      <c r="BO500" s="532"/>
      <c r="BP500" s="532"/>
      <c r="BQ500" s="532"/>
      <c r="BR500" s="532"/>
      <c r="BS500" s="532"/>
      <c r="BT500" s="532"/>
      <c r="BU500" s="532"/>
      <c r="BV500" s="532"/>
      <c r="BW500" s="532"/>
      <c r="BX500" s="532"/>
      <c r="BY500" s="532"/>
      <c r="BZ500" s="532"/>
      <c r="CA500" s="532"/>
      <c r="CB500" s="532"/>
      <c r="CC500" s="532"/>
      <c r="CD500" s="532"/>
      <c r="CE500" s="532"/>
      <c r="CF500" s="532"/>
      <c r="CG500" s="532"/>
      <c r="CH500" s="532"/>
      <c r="CI500" s="532"/>
      <c r="CJ500" s="532"/>
      <c r="CK500" s="532"/>
      <c r="CL500" s="532"/>
      <c r="CM500" s="532"/>
      <c r="CN500" s="532"/>
      <c r="CO500" s="532"/>
      <c r="CP500" s="532"/>
      <c r="CQ500" s="532"/>
      <c r="CR500" s="532"/>
      <c r="CS500" s="532"/>
      <c r="CT500" s="532"/>
      <c r="CU500" s="532"/>
      <c r="CV500" s="532"/>
      <c r="CW500" s="532"/>
      <c r="CX500" s="532"/>
      <c r="CY500" s="532"/>
      <c r="CZ500" s="532"/>
      <c r="DA500" s="532"/>
      <c r="DB500" s="532"/>
      <c r="DC500" s="532"/>
      <c r="DD500" s="532"/>
      <c r="DE500" s="532"/>
      <c r="DF500" s="532"/>
      <c r="DG500" s="532"/>
      <c r="DH500" s="532"/>
      <c r="DI500" s="532"/>
      <c r="DJ500" s="532"/>
      <c r="DK500" s="532"/>
      <c r="DL500" s="532"/>
      <c r="DM500" s="532"/>
      <c r="DN500" s="532"/>
      <c r="DO500" s="532"/>
      <c r="DP500" s="532"/>
      <c r="DQ500" s="532"/>
      <c r="DR500" s="532"/>
      <c r="DS500" s="532"/>
      <c r="DT500" s="532"/>
      <c r="DU500" s="532"/>
      <c r="DV500" s="532"/>
      <c r="DW500" s="532"/>
      <c r="DX500" s="532"/>
      <c r="DY500" s="532"/>
      <c r="DZ500" s="532"/>
      <c r="EA500" s="532"/>
      <c r="EB500" s="532"/>
      <c r="EC500" s="532"/>
      <c r="ED500" s="532"/>
      <c r="EE500" s="532"/>
      <c r="EF500" s="532"/>
      <c r="EG500" s="532"/>
      <c r="EH500" s="532"/>
      <c r="EI500" s="532"/>
      <c r="EJ500" s="532"/>
      <c r="EK500" s="532"/>
      <c r="EL500" s="532"/>
      <c r="EM500" s="532"/>
      <c r="EN500" s="532"/>
      <c r="EO500" s="532"/>
      <c r="EP500" s="532"/>
      <c r="EQ500" s="532"/>
      <c r="ER500" s="532"/>
      <c r="ES500" s="532"/>
      <c r="ET500" s="532"/>
      <c r="EU500" s="532"/>
      <c r="EV500" s="532"/>
      <c r="EW500" s="532"/>
      <c r="EX500" s="532"/>
      <c r="EY500" s="532"/>
      <c r="EZ500" s="532"/>
      <c r="FA500" s="532"/>
      <c r="FB500" s="532"/>
      <c r="FC500" s="532"/>
      <c r="FD500" s="532"/>
      <c r="FE500" s="532"/>
      <c r="FF500" s="532"/>
      <c r="FG500" s="532"/>
      <c r="FH500" s="532"/>
      <c r="FI500" s="532"/>
      <c r="FJ500" s="532"/>
      <c r="FK500" s="532"/>
      <c r="FL500" s="532"/>
      <c r="FM500" s="532"/>
      <c r="FN500" s="532"/>
      <c r="FO500" s="532"/>
      <c r="FP500" s="532"/>
    </row>
    <row r="501" spans="1:172" ht="12" customHeight="1" x14ac:dyDescent="0.2">
      <c r="A501" s="531"/>
      <c r="B501" s="534"/>
      <c r="C501" s="534"/>
      <c r="D501" s="534"/>
      <c r="E501" s="534"/>
      <c r="F501" s="534"/>
      <c r="G501" s="534"/>
      <c r="H501" s="534"/>
      <c r="I501" s="534"/>
      <c r="J501" s="534"/>
      <c r="K501" s="535"/>
      <c r="L501" s="534"/>
      <c r="M501" s="534"/>
      <c r="N501" s="534"/>
      <c r="O501" s="530"/>
      <c r="P501" s="531"/>
      <c r="Q501" s="531"/>
      <c r="R501" s="531"/>
      <c r="S501" s="531"/>
      <c r="T501" s="531"/>
      <c r="U501" s="531"/>
      <c r="V501" s="531"/>
      <c r="W501" s="531"/>
      <c r="X501" s="531"/>
      <c r="Y501" s="531"/>
      <c r="Z501" s="531"/>
      <c r="AA501" s="531"/>
      <c r="AB501" s="531"/>
      <c r="AC501" s="531"/>
      <c r="AD501" s="531"/>
      <c r="AE501" s="531"/>
      <c r="AF501" s="531"/>
      <c r="AG501" s="531"/>
      <c r="AH501" s="532"/>
      <c r="AI501" s="532"/>
      <c r="AJ501" s="532"/>
      <c r="AK501" s="532"/>
      <c r="AL501" s="532"/>
      <c r="AM501" s="532"/>
      <c r="AN501" s="532"/>
      <c r="AO501" s="532"/>
      <c r="AP501" s="532"/>
      <c r="AQ501" s="532"/>
      <c r="AR501" s="532"/>
      <c r="AS501" s="532"/>
      <c r="AT501" s="532"/>
      <c r="AU501" s="532"/>
      <c r="AV501" s="532"/>
      <c r="AW501" s="532"/>
      <c r="AX501" s="532"/>
      <c r="AY501" s="532"/>
      <c r="AZ501" s="532"/>
      <c r="BA501" s="532"/>
      <c r="BB501" s="532"/>
      <c r="BC501" s="532"/>
      <c r="BD501" s="532"/>
      <c r="BE501" s="532"/>
      <c r="BF501" s="532"/>
      <c r="BG501" s="532"/>
      <c r="BH501" s="532"/>
      <c r="BI501" s="532"/>
      <c r="BJ501" s="532"/>
      <c r="BK501" s="532"/>
      <c r="BL501" s="532"/>
      <c r="BM501" s="532"/>
      <c r="BN501" s="532"/>
      <c r="BO501" s="532"/>
      <c r="BP501" s="532"/>
      <c r="BQ501" s="532"/>
      <c r="BR501" s="532"/>
      <c r="BS501" s="532"/>
      <c r="BT501" s="532"/>
      <c r="BU501" s="532"/>
      <c r="BV501" s="532"/>
      <c r="BW501" s="532"/>
      <c r="BX501" s="532"/>
      <c r="BY501" s="532"/>
      <c r="BZ501" s="532"/>
      <c r="CA501" s="532"/>
      <c r="CB501" s="532"/>
      <c r="CC501" s="532"/>
      <c r="CD501" s="532"/>
      <c r="CE501" s="532"/>
      <c r="CF501" s="532"/>
      <c r="CG501" s="532"/>
      <c r="CH501" s="532"/>
      <c r="CI501" s="532"/>
      <c r="CJ501" s="532"/>
      <c r="CK501" s="532"/>
      <c r="CL501" s="532"/>
      <c r="CM501" s="532"/>
      <c r="CN501" s="532"/>
      <c r="CO501" s="532"/>
      <c r="CP501" s="532"/>
      <c r="CQ501" s="532"/>
      <c r="CR501" s="532"/>
      <c r="CS501" s="532"/>
      <c r="CT501" s="532"/>
      <c r="CU501" s="532"/>
      <c r="CV501" s="532"/>
      <c r="CW501" s="532"/>
      <c r="CX501" s="532"/>
      <c r="CY501" s="532"/>
      <c r="CZ501" s="532"/>
      <c r="DA501" s="532"/>
      <c r="DB501" s="532"/>
      <c r="DC501" s="532"/>
      <c r="DD501" s="532"/>
      <c r="DE501" s="532"/>
      <c r="DF501" s="532"/>
      <c r="DG501" s="532"/>
      <c r="DH501" s="532"/>
      <c r="DI501" s="532"/>
      <c r="DJ501" s="532"/>
      <c r="DK501" s="532"/>
      <c r="DL501" s="532"/>
      <c r="DM501" s="532"/>
      <c r="DN501" s="532"/>
      <c r="DO501" s="532"/>
      <c r="DP501" s="532"/>
      <c r="DQ501" s="532"/>
      <c r="DR501" s="532"/>
      <c r="DS501" s="532"/>
      <c r="DT501" s="532"/>
      <c r="DU501" s="532"/>
      <c r="DV501" s="532"/>
      <c r="DW501" s="532"/>
      <c r="DX501" s="532"/>
      <c r="DY501" s="532"/>
      <c r="DZ501" s="532"/>
      <c r="EA501" s="532"/>
      <c r="EB501" s="532"/>
      <c r="EC501" s="532"/>
      <c r="ED501" s="532"/>
      <c r="EE501" s="532"/>
      <c r="EF501" s="532"/>
      <c r="EG501" s="532"/>
      <c r="EH501" s="532"/>
      <c r="EI501" s="532"/>
      <c r="EJ501" s="532"/>
      <c r="EK501" s="532"/>
      <c r="EL501" s="532"/>
      <c r="EM501" s="532"/>
      <c r="EN501" s="532"/>
      <c r="EO501" s="532"/>
      <c r="EP501" s="532"/>
      <c r="EQ501" s="532"/>
      <c r="ER501" s="532"/>
      <c r="ES501" s="532"/>
      <c r="ET501" s="532"/>
      <c r="EU501" s="532"/>
      <c r="EV501" s="532"/>
      <c r="EW501" s="532"/>
      <c r="EX501" s="532"/>
      <c r="EY501" s="532"/>
      <c r="EZ501" s="532"/>
      <c r="FA501" s="532"/>
      <c r="FB501" s="532"/>
      <c r="FC501" s="532"/>
      <c r="FD501" s="532"/>
      <c r="FE501" s="532"/>
      <c r="FF501" s="532"/>
      <c r="FG501" s="532"/>
      <c r="FH501" s="532"/>
      <c r="FI501" s="532"/>
      <c r="FJ501" s="532"/>
      <c r="FK501" s="532"/>
      <c r="FL501" s="532"/>
      <c r="FM501" s="532"/>
      <c r="FN501" s="532"/>
      <c r="FO501" s="532"/>
      <c r="FP501" s="532"/>
    </row>
    <row r="502" spans="1:172" ht="12" customHeight="1" x14ac:dyDescent="0.2">
      <c r="A502" s="531"/>
      <c r="B502" s="534"/>
      <c r="C502" s="534"/>
      <c r="D502" s="534"/>
      <c r="E502" s="534"/>
      <c r="F502" s="534"/>
      <c r="G502" s="534"/>
      <c r="H502" s="534"/>
      <c r="I502" s="534"/>
      <c r="J502" s="534"/>
      <c r="K502" s="535"/>
      <c r="L502" s="534"/>
      <c r="M502" s="534"/>
      <c r="N502" s="534"/>
      <c r="O502" s="530"/>
      <c r="P502" s="531"/>
      <c r="Q502" s="531"/>
      <c r="R502" s="531"/>
      <c r="S502" s="531"/>
      <c r="T502" s="531"/>
      <c r="U502" s="531"/>
      <c r="V502" s="531"/>
      <c r="W502" s="531"/>
      <c r="X502" s="531"/>
      <c r="Y502" s="531"/>
      <c r="Z502" s="531"/>
      <c r="AA502" s="531"/>
      <c r="AB502" s="531"/>
      <c r="AC502" s="531"/>
      <c r="AD502" s="531"/>
      <c r="AE502" s="531"/>
      <c r="AF502" s="531"/>
      <c r="AG502" s="531"/>
      <c r="AH502" s="532"/>
      <c r="AI502" s="532"/>
      <c r="AJ502" s="532"/>
      <c r="AK502" s="532"/>
      <c r="AL502" s="532"/>
      <c r="AM502" s="532"/>
      <c r="AN502" s="532"/>
      <c r="AO502" s="532"/>
      <c r="AP502" s="532"/>
      <c r="AQ502" s="532"/>
      <c r="AR502" s="532"/>
      <c r="AS502" s="532"/>
      <c r="AT502" s="532"/>
      <c r="AU502" s="532"/>
      <c r="AV502" s="532"/>
      <c r="AW502" s="532"/>
      <c r="AX502" s="532"/>
      <c r="AY502" s="532"/>
      <c r="AZ502" s="532"/>
      <c r="BA502" s="532"/>
      <c r="BB502" s="532"/>
      <c r="BC502" s="532"/>
      <c r="BD502" s="532"/>
      <c r="BE502" s="532"/>
      <c r="BF502" s="532"/>
      <c r="BG502" s="532"/>
      <c r="BH502" s="532"/>
      <c r="BI502" s="532"/>
      <c r="BJ502" s="532"/>
      <c r="BK502" s="532"/>
      <c r="BL502" s="532"/>
      <c r="BM502" s="532"/>
      <c r="BN502" s="532"/>
      <c r="BO502" s="532"/>
      <c r="BP502" s="532"/>
      <c r="BQ502" s="532"/>
      <c r="BR502" s="532"/>
      <c r="BS502" s="532"/>
      <c r="BT502" s="532"/>
      <c r="BU502" s="532"/>
      <c r="BV502" s="532"/>
      <c r="BW502" s="532"/>
      <c r="BX502" s="532"/>
      <c r="BY502" s="532"/>
      <c r="BZ502" s="532"/>
      <c r="CA502" s="532"/>
      <c r="CB502" s="532"/>
      <c r="CC502" s="532"/>
      <c r="CD502" s="532"/>
      <c r="CE502" s="532"/>
      <c r="CF502" s="532"/>
      <c r="CG502" s="532"/>
      <c r="CH502" s="532"/>
      <c r="CI502" s="532"/>
      <c r="CJ502" s="532"/>
      <c r="CK502" s="532"/>
      <c r="CL502" s="532"/>
      <c r="CM502" s="532"/>
      <c r="CN502" s="532"/>
      <c r="CO502" s="532"/>
      <c r="CP502" s="532"/>
      <c r="CQ502" s="532"/>
      <c r="CR502" s="532"/>
      <c r="CS502" s="532"/>
      <c r="CT502" s="532"/>
      <c r="CU502" s="532"/>
      <c r="CV502" s="532"/>
      <c r="CW502" s="532"/>
      <c r="CX502" s="532"/>
      <c r="CY502" s="532"/>
      <c r="CZ502" s="532"/>
      <c r="DA502" s="532"/>
      <c r="DB502" s="532"/>
      <c r="DC502" s="532"/>
      <c r="DD502" s="532"/>
      <c r="DE502" s="532"/>
      <c r="DF502" s="532"/>
      <c r="DG502" s="532"/>
      <c r="DH502" s="532"/>
      <c r="DI502" s="532"/>
      <c r="DJ502" s="532"/>
      <c r="DK502" s="532"/>
      <c r="DL502" s="532"/>
      <c r="DM502" s="532"/>
      <c r="DN502" s="532"/>
      <c r="DO502" s="532"/>
      <c r="DP502" s="532"/>
      <c r="DQ502" s="532"/>
      <c r="DR502" s="532"/>
      <c r="DS502" s="532"/>
      <c r="DT502" s="532"/>
      <c r="DU502" s="532"/>
      <c r="DV502" s="532"/>
      <c r="DW502" s="532"/>
      <c r="DX502" s="532"/>
      <c r="DY502" s="532"/>
      <c r="DZ502" s="532"/>
      <c r="EA502" s="532"/>
      <c r="EB502" s="532"/>
      <c r="EC502" s="532"/>
      <c r="ED502" s="532"/>
      <c r="EE502" s="532"/>
      <c r="EF502" s="532"/>
      <c r="EG502" s="532"/>
      <c r="EH502" s="532"/>
      <c r="EI502" s="532"/>
      <c r="EJ502" s="532"/>
      <c r="EK502" s="532"/>
      <c r="EL502" s="532"/>
      <c r="EM502" s="532"/>
      <c r="EN502" s="532"/>
      <c r="EO502" s="532"/>
      <c r="EP502" s="532"/>
      <c r="EQ502" s="532"/>
      <c r="ER502" s="532"/>
      <c r="ES502" s="532"/>
      <c r="ET502" s="532"/>
      <c r="EU502" s="532"/>
      <c r="EV502" s="532"/>
      <c r="EW502" s="532"/>
      <c r="EX502" s="532"/>
      <c r="EY502" s="532"/>
      <c r="EZ502" s="532"/>
      <c r="FA502" s="532"/>
      <c r="FB502" s="532"/>
      <c r="FC502" s="532"/>
      <c r="FD502" s="532"/>
      <c r="FE502" s="532"/>
      <c r="FF502" s="532"/>
      <c r="FG502" s="532"/>
      <c r="FH502" s="532"/>
      <c r="FI502" s="532"/>
      <c r="FJ502" s="532"/>
      <c r="FK502" s="532"/>
      <c r="FL502" s="532"/>
      <c r="FM502" s="532"/>
      <c r="FN502" s="532"/>
      <c r="FO502" s="532"/>
      <c r="FP502" s="532"/>
    </row>
    <row r="503" spans="1:172" ht="12" customHeight="1" x14ac:dyDescent="0.2">
      <c r="A503" s="531"/>
      <c r="B503" s="534"/>
      <c r="C503" s="534"/>
      <c r="D503" s="534"/>
      <c r="E503" s="534"/>
      <c r="F503" s="534"/>
      <c r="G503" s="534"/>
      <c r="H503" s="534"/>
      <c r="I503" s="534"/>
      <c r="J503" s="534"/>
      <c r="K503" s="535"/>
      <c r="L503" s="534"/>
      <c r="M503" s="534"/>
      <c r="N503" s="534"/>
      <c r="O503" s="530"/>
      <c r="P503" s="531"/>
      <c r="Q503" s="531"/>
      <c r="R503" s="531"/>
      <c r="S503" s="531"/>
      <c r="T503" s="531"/>
      <c r="U503" s="531"/>
      <c r="V503" s="531"/>
      <c r="W503" s="531"/>
      <c r="X503" s="531"/>
      <c r="Y503" s="531"/>
      <c r="Z503" s="531"/>
      <c r="AA503" s="531"/>
      <c r="AB503" s="531"/>
      <c r="AC503" s="531"/>
      <c r="AD503" s="531"/>
      <c r="AE503" s="531"/>
      <c r="AF503" s="531"/>
      <c r="AG503" s="531"/>
      <c r="AH503" s="532"/>
      <c r="AI503" s="532"/>
      <c r="AJ503" s="532"/>
      <c r="AK503" s="532"/>
      <c r="AL503" s="532"/>
      <c r="AM503" s="532"/>
      <c r="AN503" s="532"/>
      <c r="AO503" s="532"/>
      <c r="AP503" s="532"/>
      <c r="AQ503" s="532"/>
      <c r="AR503" s="532"/>
      <c r="AS503" s="532"/>
      <c r="AT503" s="532"/>
      <c r="AU503" s="532"/>
      <c r="AV503" s="532"/>
      <c r="AW503" s="532"/>
      <c r="AX503" s="532"/>
      <c r="AY503" s="532"/>
      <c r="AZ503" s="532"/>
      <c r="BA503" s="532"/>
      <c r="BB503" s="532"/>
      <c r="BC503" s="532"/>
      <c r="BD503" s="532"/>
      <c r="BE503" s="532"/>
      <c r="BF503" s="532"/>
      <c r="BG503" s="532"/>
      <c r="BH503" s="532"/>
      <c r="BI503" s="532"/>
      <c r="BJ503" s="532"/>
      <c r="BK503" s="532"/>
      <c r="BL503" s="532"/>
      <c r="BM503" s="532"/>
      <c r="BN503" s="532"/>
      <c r="BO503" s="532"/>
      <c r="BP503" s="532"/>
      <c r="BQ503" s="532"/>
      <c r="BR503" s="532"/>
      <c r="BS503" s="532"/>
      <c r="BT503" s="532"/>
      <c r="BU503" s="532"/>
      <c r="BV503" s="532"/>
      <c r="BW503" s="532"/>
      <c r="BX503" s="532"/>
      <c r="BY503" s="532"/>
      <c r="BZ503" s="532"/>
      <c r="CA503" s="532"/>
      <c r="CB503" s="532"/>
      <c r="CC503" s="532"/>
      <c r="CD503" s="532"/>
      <c r="CE503" s="532"/>
      <c r="CF503" s="532"/>
      <c r="CG503" s="532"/>
      <c r="CH503" s="532"/>
      <c r="CI503" s="532"/>
      <c r="CJ503" s="532"/>
      <c r="CK503" s="532"/>
      <c r="CL503" s="532"/>
      <c r="CM503" s="532"/>
      <c r="CN503" s="532"/>
      <c r="CO503" s="532"/>
      <c r="CP503" s="532"/>
      <c r="CQ503" s="532"/>
      <c r="CR503" s="532"/>
      <c r="CS503" s="532"/>
      <c r="CT503" s="532"/>
      <c r="CU503" s="532"/>
      <c r="CV503" s="532"/>
      <c r="CW503" s="532"/>
      <c r="CX503" s="532"/>
      <c r="CY503" s="532"/>
      <c r="CZ503" s="532"/>
      <c r="DA503" s="532"/>
      <c r="DB503" s="532"/>
      <c r="DC503" s="532"/>
      <c r="DD503" s="532"/>
      <c r="DE503" s="532"/>
      <c r="DF503" s="532"/>
      <c r="DG503" s="532"/>
      <c r="DH503" s="532"/>
      <c r="DI503" s="532"/>
      <c r="DJ503" s="532"/>
      <c r="DK503" s="532"/>
      <c r="DL503" s="532"/>
      <c r="DM503" s="532"/>
      <c r="DN503" s="532"/>
      <c r="DO503" s="532"/>
      <c r="DP503" s="532"/>
      <c r="DQ503" s="532"/>
      <c r="DR503" s="532"/>
      <c r="DS503" s="532"/>
      <c r="DT503" s="532"/>
      <c r="DU503" s="532"/>
      <c r="DV503" s="532"/>
      <c r="DW503" s="532"/>
      <c r="DX503" s="532"/>
      <c r="DY503" s="532"/>
      <c r="DZ503" s="532"/>
      <c r="EA503" s="532"/>
      <c r="EB503" s="532"/>
      <c r="EC503" s="532"/>
      <c r="ED503" s="532"/>
      <c r="EE503" s="532"/>
      <c r="EF503" s="532"/>
      <c r="EG503" s="532"/>
      <c r="EH503" s="532"/>
      <c r="EI503" s="532"/>
      <c r="EJ503" s="532"/>
      <c r="EK503" s="532"/>
      <c r="EL503" s="532"/>
      <c r="EM503" s="532"/>
      <c r="EN503" s="532"/>
      <c r="EO503" s="532"/>
      <c r="EP503" s="532"/>
      <c r="EQ503" s="532"/>
      <c r="ER503" s="532"/>
      <c r="ES503" s="532"/>
      <c r="ET503" s="532"/>
      <c r="EU503" s="532"/>
      <c r="EV503" s="532"/>
      <c r="EW503" s="532"/>
      <c r="EX503" s="532"/>
      <c r="EY503" s="532"/>
      <c r="EZ503" s="532"/>
      <c r="FA503" s="532"/>
      <c r="FB503" s="532"/>
      <c r="FC503" s="532"/>
      <c r="FD503" s="532"/>
      <c r="FE503" s="532"/>
      <c r="FF503" s="532"/>
      <c r="FG503" s="532"/>
      <c r="FH503" s="532"/>
      <c r="FI503" s="532"/>
      <c r="FJ503" s="532"/>
      <c r="FK503" s="532"/>
      <c r="FL503" s="532"/>
      <c r="FM503" s="532"/>
      <c r="FN503" s="532"/>
      <c r="FO503" s="532"/>
      <c r="FP503" s="532"/>
    </row>
    <row r="504" spans="1:172" ht="12" customHeight="1" x14ac:dyDescent="0.2">
      <c r="A504" s="531"/>
      <c r="B504" s="534"/>
      <c r="C504" s="534"/>
      <c r="D504" s="534"/>
      <c r="E504" s="534"/>
      <c r="F504" s="534"/>
      <c r="G504" s="534"/>
      <c r="H504" s="534"/>
      <c r="I504" s="534"/>
      <c r="J504" s="534"/>
      <c r="K504" s="535"/>
      <c r="L504" s="534"/>
      <c r="M504" s="534"/>
      <c r="N504" s="534"/>
      <c r="O504" s="530"/>
      <c r="P504" s="531"/>
      <c r="Q504" s="531"/>
      <c r="R504" s="531"/>
      <c r="S504" s="531"/>
      <c r="T504" s="531"/>
      <c r="U504" s="531"/>
      <c r="V504" s="531"/>
      <c r="W504" s="531"/>
      <c r="X504" s="531"/>
      <c r="Y504" s="531"/>
      <c r="Z504" s="531"/>
      <c r="AA504" s="531"/>
      <c r="AB504" s="531"/>
      <c r="AC504" s="531"/>
      <c r="AD504" s="531"/>
      <c r="AE504" s="531"/>
      <c r="AF504" s="531"/>
      <c r="AG504" s="531"/>
      <c r="AH504" s="532"/>
      <c r="AI504" s="532"/>
      <c r="AJ504" s="532"/>
      <c r="AK504" s="532"/>
      <c r="AL504" s="532"/>
      <c r="AM504" s="532"/>
      <c r="AN504" s="532"/>
      <c r="AO504" s="532"/>
      <c r="AP504" s="532"/>
      <c r="AQ504" s="532"/>
      <c r="AR504" s="532"/>
      <c r="AS504" s="532"/>
      <c r="AT504" s="532"/>
      <c r="AU504" s="532"/>
      <c r="AV504" s="532"/>
      <c r="AW504" s="532"/>
      <c r="AX504" s="532"/>
      <c r="AY504" s="532"/>
      <c r="AZ504" s="532"/>
      <c r="BA504" s="532"/>
      <c r="BB504" s="532"/>
      <c r="BC504" s="532"/>
      <c r="BD504" s="532"/>
      <c r="BE504" s="532"/>
      <c r="BF504" s="532"/>
      <c r="BG504" s="532"/>
      <c r="BH504" s="532"/>
      <c r="BI504" s="532"/>
      <c r="BJ504" s="532"/>
      <c r="BK504" s="532"/>
      <c r="BL504" s="532"/>
      <c r="BM504" s="532"/>
      <c r="BN504" s="532"/>
      <c r="BO504" s="532"/>
      <c r="BP504" s="532"/>
      <c r="BQ504" s="532"/>
      <c r="BR504" s="532"/>
      <c r="BS504" s="532"/>
      <c r="BT504" s="532"/>
      <c r="BU504" s="532"/>
      <c r="BV504" s="532"/>
      <c r="BW504" s="532"/>
      <c r="BX504" s="532"/>
      <c r="BY504" s="532"/>
      <c r="BZ504" s="532"/>
      <c r="CA504" s="532"/>
      <c r="CB504" s="532"/>
      <c r="CC504" s="532"/>
      <c r="CD504" s="532"/>
      <c r="CE504" s="532"/>
      <c r="CF504" s="532"/>
      <c r="CG504" s="532"/>
      <c r="CH504" s="532"/>
      <c r="CI504" s="532"/>
      <c r="CJ504" s="532"/>
      <c r="CK504" s="532"/>
      <c r="CL504" s="532"/>
      <c r="CM504" s="532"/>
      <c r="CN504" s="532"/>
      <c r="CO504" s="532"/>
      <c r="CP504" s="532"/>
      <c r="CQ504" s="532"/>
      <c r="CR504" s="532"/>
      <c r="CS504" s="532"/>
      <c r="CT504" s="532"/>
      <c r="CU504" s="532"/>
      <c r="CV504" s="532"/>
      <c r="CW504" s="532"/>
      <c r="CX504" s="532"/>
      <c r="CY504" s="532"/>
      <c r="CZ504" s="532"/>
      <c r="DA504" s="532"/>
      <c r="DB504" s="532"/>
      <c r="DC504" s="532"/>
      <c r="DD504" s="532"/>
      <c r="DE504" s="532"/>
      <c r="DF504" s="532"/>
      <c r="DG504" s="532"/>
      <c r="DH504" s="532"/>
      <c r="DI504" s="532"/>
      <c r="DJ504" s="532"/>
      <c r="DK504" s="532"/>
      <c r="DL504" s="532"/>
      <c r="DM504" s="532"/>
      <c r="DN504" s="532"/>
      <c r="DO504" s="532"/>
      <c r="DP504" s="532"/>
      <c r="DQ504" s="532"/>
      <c r="DR504" s="532"/>
      <c r="DS504" s="532"/>
      <c r="DT504" s="532"/>
      <c r="DU504" s="532"/>
      <c r="DV504" s="532"/>
      <c r="DW504" s="532"/>
      <c r="DX504" s="532"/>
      <c r="DY504" s="532"/>
      <c r="DZ504" s="532"/>
      <c r="EA504" s="532"/>
      <c r="EB504" s="532"/>
      <c r="EC504" s="532"/>
      <c r="ED504" s="532"/>
      <c r="EE504" s="532"/>
      <c r="EF504" s="532"/>
      <c r="EG504" s="532"/>
      <c r="EH504" s="532"/>
      <c r="EI504" s="532"/>
      <c r="EJ504" s="532"/>
      <c r="EK504" s="532"/>
      <c r="EL504" s="532"/>
      <c r="EM504" s="532"/>
      <c r="EN504" s="532"/>
      <c r="EO504" s="532"/>
      <c r="EP504" s="532"/>
      <c r="EQ504" s="532"/>
      <c r="ER504" s="532"/>
      <c r="ES504" s="532"/>
      <c r="ET504" s="532"/>
      <c r="EU504" s="532"/>
      <c r="EV504" s="532"/>
      <c r="EW504" s="532"/>
      <c r="EX504" s="532"/>
      <c r="EY504" s="532"/>
      <c r="EZ504" s="532"/>
      <c r="FA504" s="532"/>
      <c r="FB504" s="532"/>
      <c r="FC504" s="532"/>
      <c r="FD504" s="532"/>
      <c r="FE504" s="532"/>
      <c r="FF504" s="532"/>
      <c r="FG504" s="532"/>
      <c r="FH504" s="532"/>
      <c r="FI504" s="532"/>
      <c r="FJ504" s="532"/>
      <c r="FK504" s="532"/>
      <c r="FL504" s="532"/>
      <c r="FM504" s="532"/>
      <c r="FN504" s="532"/>
      <c r="FO504" s="532"/>
      <c r="FP504" s="532"/>
    </row>
    <row r="505" spans="1:172" ht="12" customHeight="1" x14ac:dyDescent="0.2">
      <c r="A505" s="531"/>
      <c r="B505" s="534"/>
      <c r="C505" s="534"/>
      <c r="D505" s="534"/>
      <c r="E505" s="534"/>
      <c r="F505" s="534"/>
      <c r="G505" s="534"/>
      <c r="H505" s="534"/>
      <c r="I505" s="534"/>
      <c r="J505" s="534"/>
      <c r="K505" s="535"/>
      <c r="L505" s="534"/>
      <c r="M505" s="534"/>
      <c r="N505" s="534"/>
      <c r="O505" s="530"/>
      <c r="P505" s="531"/>
      <c r="Q505" s="531"/>
      <c r="R505" s="531"/>
      <c r="S505" s="531"/>
      <c r="T505" s="531"/>
      <c r="U505" s="531"/>
      <c r="V505" s="531"/>
      <c r="W505" s="531"/>
      <c r="X505" s="531"/>
      <c r="Y505" s="531"/>
      <c r="Z505" s="531"/>
      <c r="AA505" s="531"/>
      <c r="AB505" s="531"/>
      <c r="AC505" s="531"/>
      <c r="AD505" s="531"/>
      <c r="AE505" s="531"/>
      <c r="AF505" s="531"/>
      <c r="AG505" s="531"/>
      <c r="AH505" s="532"/>
      <c r="AI505" s="532"/>
      <c r="AJ505" s="532"/>
      <c r="AK505" s="532"/>
      <c r="AL505" s="532"/>
      <c r="AM505" s="532"/>
      <c r="AN505" s="532"/>
      <c r="AO505" s="532"/>
      <c r="AP505" s="532"/>
      <c r="AQ505" s="532"/>
      <c r="AR505" s="532"/>
      <c r="AS505" s="532"/>
      <c r="AT505" s="532"/>
      <c r="AU505" s="532"/>
      <c r="AV505" s="532"/>
      <c r="AW505" s="532"/>
      <c r="AX505" s="532"/>
      <c r="AY505" s="532"/>
      <c r="AZ505" s="532"/>
      <c r="BA505" s="532"/>
      <c r="BB505" s="532"/>
      <c r="BC505" s="532"/>
      <c r="BD505" s="532"/>
      <c r="BE505" s="532"/>
      <c r="BF505" s="532"/>
      <c r="BG505" s="532"/>
      <c r="BH505" s="532"/>
      <c r="BI505" s="532"/>
      <c r="BJ505" s="532"/>
      <c r="BK505" s="532"/>
      <c r="BL505" s="532"/>
      <c r="BM505" s="532"/>
      <c r="BN505" s="532"/>
      <c r="BO505" s="532"/>
      <c r="BP505" s="532"/>
      <c r="BQ505" s="532"/>
      <c r="BR505" s="532"/>
      <c r="BS505" s="532"/>
      <c r="BT505" s="532"/>
      <c r="BU505" s="532"/>
      <c r="BV505" s="532"/>
      <c r="BW505" s="532"/>
      <c r="BX505" s="532"/>
      <c r="BY505" s="532"/>
      <c r="BZ505" s="532"/>
      <c r="CA505" s="532"/>
      <c r="CB505" s="532"/>
      <c r="CC505" s="532"/>
      <c r="CD505" s="532"/>
      <c r="CE505" s="532"/>
      <c r="CF505" s="532"/>
      <c r="CG505" s="532"/>
      <c r="CH505" s="532"/>
      <c r="CI505" s="532"/>
      <c r="CJ505" s="532"/>
      <c r="CK505" s="532"/>
      <c r="CL505" s="532"/>
      <c r="CM505" s="532"/>
      <c r="CN505" s="532"/>
      <c r="CO505" s="532"/>
      <c r="CP505" s="532"/>
      <c r="CQ505" s="532"/>
      <c r="CR505" s="532"/>
      <c r="CS505" s="532"/>
      <c r="CT505" s="532"/>
      <c r="CU505" s="532"/>
      <c r="CV505" s="532"/>
      <c r="CW505" s="532"/>
      <c r="CX505" s="532"/>
      <c r="CY505" s="532"/>
      <c r="CZ505" s="532"/>
      <c r="DA505" s="532"/>
      <c r="DB505" s="532"/>
      <c r="DC505" s="532"/>
      <c r="DD505" s="532"/>
      <c r="DE505" s="532"/>
      <c r="DF505" s="532"/>
      <c r="DG505" s="532"/>
      <c r="DH505" s="532"/>
      <c r="DI505" s="532"/>
      <c r="DJ505" s="532"/>
      <c r="DK505" s="532"/>
      <c r="DL505" s="532"/>
      <c r="DM505" s="532"/>
      <c r="DN505" s="532"/>
      <c r="DO505" s="532"/>
      <c r="DP505" s="532"/>
      <c r="DQ505" s="532"/>
      <c r="DR505" s="532"/>
      <c r="DS505" s="532"/>
      <c r="DT505" s="532"/>
      <c r="DU505" s="532"/>
      <c r="DV505" s="532"/>
      <c r="DW505" s="532"/>
      <c r="DX505" s="532"/>
      <c r="DY505" s="532"/>
      <c r="DZ505" s="532"/>
      <c r="EA505" s="532"/>
      <c r="EB505" s="532"/>
      <c r="EC505" s="532"/>
      <c r="ED505" s="532"/>
      <c r="EE505" s="532"/>
      <c r="EF505" s="532"/>
      <c r="EG505" s="532"/>
      <c r="EH505" s="532"/>
      <c r="EI505" s="532"/>
      <c r="EJ505" s="532"/>
      <c r="EK505" s="532"/>
      <c r="EL505" s="532"/>
      <c r="EM505" s="532"/>
      <c r="EN505" s="532"/>
      <c r="EO505" s="532"/>
      <c r="EP505" s="532"/>
      <c r="EQ505" s="532"/>
      <c r="ER505" s="532"/>
      <c r="ES505" s="532"/>
      <c r="ET505" s="532"/>
      <c r="EU505" s="532"/>
      <c r="EV505" s="532"/>
      <c r="EW505" s="532"/>
      <c r="EX505" s="532"/>
      <c r="EY505" s="532"/>
      <c r="EZ505" s="532"/>
      <c r="FA505" s="532"/>
      <c r="FB505" s="532"/>
      <c r="FC505" s="532"/>
      <c r="FD505" s="532"/>
      <c r="FE505" s="532"/>
      <c r="FF505" s="532"/>
      <c r="FG505" s="532"/>
      <c r="FH505" s="532"/>
      <c r="FI505" s="532"/>
      <c r="FJ505" s="532"/>
      <c r="FK505" s="532"/>
      <c r="FL505" s="532"/>
      <c r="FM505" s="532"/>
      <c r="FN505" s="532"/>
      <c r="FO505" s="532"/>
      <c r="FP505" s="532"/>
    </row>
    <row r="506" spans="1:172" ht="12" customHeight="1" x14ac:dyDescent="0.2">
      <c r="A506" s="531"/>
      <c r="B506" s="534"/>
      <c r="C506" s="534"/>
      <c r="D506" s="534"/>
      <c r="E506" s="534"/>
      <c r="F506" s="534"/>
      <c r="G506" s="534"/>
      <c r="H506" s="534"/>
      <c r="I506" s="534"/>
      <c r="J506" s="534"/>
      <c r="K506" s="535"/>
      <c r="L506" s="534"/>
      <c r="M506" s="534"/>
      <c r="N506" s="534"/>
      <c r="O506" s="530"/>
      <c r="P506" s="531"/>
      <c r="Q506" s="531"/>
      <c r="R506" s="531"/>
      <c r="S506" s="531"/>
      <c r="T506" s="531"/>
      <c r="U506" s="531"/>
      <c r="V506" s="531"/>
      <c r="W506" s="531"/>
      <c r="X506" s="531"/>
      <c r="Y506" s="531"/>
      <c r="Z506" s="531"/>
      <c r="AA506" s="531"/>
      <c r="AB506" s="531"/>
      <c r="AC506" s="531"/>
      <c r="AD506" s="531"/>
      <c r="AE506" s="531"/>
      <c r="AF506" s="531"/>
      <c r="AG506" s="531"/>
      <c r="AH506" s="532"/>
      <c r="AI506" s="532"/>
      <c r="AJ506" s="532"/>
      <c r="AK506" s="532"/>
      <c r="AL506" s="532"/>
      <c r="AM506" s="532"/>
      <c r="AN506" s="532"/>
      <c r="AO506" s="532"/>
      <c r="AP506" s="532"/>
      <c r="AQ506" s="532"/>
      <c r="AR506" s="532"/>
      <c r="AS506" s="532"/>
      <c r="AT506" s="532"/>
      <c r="AU506" s="532"/>
      <c r="AV506" s="532"/>
      <c r="AW506" s="532"/>
      <c r="AX506" s="532"/>
      <c r="AY506" s="532"/>
      <c r="AZ506" s="532"/>
      <c r="BA506" s="532"/>
      <c r="BB506" s="532"/>
      <c r="BC506" s="532"/>
      <c r="BD506" s="532"/>
      <c r="BE506" s="532"/>
      <c r="BF506" s="532"/>
      <c r="BG506" s="532"/>
      <c r="BH506" s="532"/>
      <c r="BI506" s="532"/>
      <c r="BJ506" s="532"/>
      <c r="BK506" s="532"/>
      <c r="BL506" s="532"/>
      <c r="BM506" s="532"/>
      <c r="BN506" s="532"/>
      <c r="BO506" s="532"/>
      <c r="BP506" s="532"/>
      <c r="BQ506" s="532"/>
      <c r="BR506" s="532"/>
      <c r="BS506" s="532"/>
      <c r="BT506" s="532"/>
      <c r="BU506" s="532"/>
      <c r="BV506" s="532"/>
      <c r="BW506" s="532"/>
      <c r="BX506" s="532"/>
      <c r="BY506" s="532"/>
      <c r="BZ506" s="532"/>
      <c r="CA506" s="532"/>
      <c r="CB506" s="532"/>
      <c r="CC506" s="532"/>
      <c r="CD506" s="532"/>
      <c r="CE506" s="532"/>
      <c r="CF506" s="532"/>
      <c r="CG506" s="532"/>
      <c r="CH506" s="532"/>
      <c r="CI506" s="532"/>
      <c r="CJ506" s="532"/>
      <c r="CK506" s="532"/>
      <c r="CL506" s="532"/>
      <c r="CM506" s="532"/>
      <c r="CN506" s="532"/>
      <c r="CO506" s="532"/>
      <c r="CP506" s="532"/>
      <c r="CQ506" s="532"/>
      <c r="CR506" s="532"/>
      <c r="CS506" s="532"/>
      <c r="CT506" s="532"/>
      <c r="CU506" s="532"/>
      <c r="CV506" s="532"/>
      <c r="CW506" s="532"/>
      <c r="CX506" s="532"/>
      <c r="CY506" s="532"/>
      <c r="CZ506" s="532"/>
      <c r="DA506" s="532"/>
      <c r="DB506" s="532"/>
      <c r="DC506" s="532"/>
      <c r="DD506" s="532"/>
      <c r="DE506" s="532"/>
      <c r="DF506" s="532"/>
      <c r="DG506" s="532"/>
      <c r="DH506" s="532"/>
      <c r="DI506" s="532"/>
      <c r="DJ506" s="532"/>
      <c r="DK506" s="532"/>
      <c r="DL506" s="532"/>
      <c r="DM506" s="532"/>
      <c r="DN506" s="532"/>
      <c r="DO506" s="532"/>
      <c r="DP506" s="532"/>
      <c r="DQ506" s="532"/>
      <c r="DR506" s="532"/>
      <c r="DS506" s="532"/>
      <c r="DT506" s="532"/>
      <c r="DU506" s="532"/>
      <c r="DV506" s="532"/>
      <c r="DW506" s="532"/>
      <c r="DX506" s="532"/>
      <c r="DY506" s="532"/>
      <c r="DZ506" s="532"/>
      <c r="EA506" s="532"/>
      <c r="EB506" s="532"/>
      <c r="EC506" s="532"/>
      <c r="ED506" s="532"/>
      <c r="EE506" s="532"/>
      <c r="EF506" s="532"/>
      <c r="EG506" s="532"/>
      <c r="EH506" s="532"/>
      <c r="EI506" s="532"/>
      <c r="EJ506" s="532"/>
      <c r="EK506" s="532"/>
      <c r="EL506" s="532"/>
      <c r="EM506" s="532"/>
      <c r="EN506" s="532"/>
      <c r="EO506" s="532"/>
      <c r="EP506" s="532"/>
      <c r="EQ506" s="532"/>
      <c r="ER506" s="532"/>
      <c r="ES506" s="532"/>
      <c r="ET506" s="532"/>
      <c r="EU506" s="532"/>
      <c r="EV506" s="532"/>
      <c r="EW506" s="532"/>
      <c r="EX506" s="532"/>
      <c r="EY506" s="532"/>
      <c r="EZ506" s="532"/>
      <c r="FA506" s="532"/>
      <c r="FB506" s="532"/>
      <c r="FC506" s="532"/>
      <c r="FD506" s="532"/>
      <c r="FE506" s="532"/>
      <c r="FF506" s="532"/>
      <c r="FG506" s="532"/>
      <c r="FH506" s="532"/>
      <c r="FI506" s="532"/>
      <c r="FJ506" s="532"/>
      <c r="FK506" s="532"/>
      <c r="FL506" s="532"/>
      <c r="FM506" s="532"/>
      <c r="FN506" s="532"/>
      <c r="FO506" s="532"/>
      <c r="FP506" s="532"/>
    </row>
    <row r="507" spans="1:172" ht="12" customHeight="1" x14ac:dyDescent="0.2">
      <c r="A507" s="531"/>
      <c r="B507" s="534"/>
      <c r="C507" s="534"/>
      <c r="D507" s="534"/>
      <c r="E507" s="534"/>
      <c r="F507" s="534"/>
      <c r="G507" s="534"/>
      <c r="H507" s="534"/>
      <c r="I507" s="534"/>
      <c r="J507" s="534"/>
      <c r="K507" s="535"/>
      <c r="L507" s="534"/>
      <c r="M507" s="534"/>
      <c r="N507" s="534"/>
      <c r="O507" s="535"/>
      <c r="P507" s="531"/>
      <c r="Q507" s="531"/>
      <c r="R507" s="531"/>
      <c r="S507" s="531"/>
      <c r="T507" s="531"/>
      <c r="U507" s="531"/>
      <c r="V507" s="531"/>
      <c r="W507" s="531"/>
      <c r="X507" s="531"/>
      <c r="Y507" s="531"/>
      <c r="Z507" s="531"/>
      <c r="AA507" s="531"/>
      <c r="AB507" s="531"/>
      <c r="AC507" s="531"/>
      <c r="AD507" s="531"/>
      <c r="AE507" s="531"/>
      <c r="AF507" s="531"/>
      <c r="AG507" s="531"/>
      <c r="AH507" s="532"/>
      <c r="AI507" s="532"/>
      <c r="AJ507" s="532"/>
      <c r="AK507" s="532"/>
      <c r="AL507" s="532"/>
      <c r="AM507" s="532"/>
      <c r="AN507" s="532"/>
      <c r="AO507" s="532"/>
      <c r="AP507" s="532"/>
      <c r="AQ507" s="532"/>
      <c r="AR507" s="532"/>
      <c r="AS507" s="532"/>
      <c r="AT507" s="532"/>
      <c r="AU507" s="532"/>
      <c r="AV507" s="532"/>
      <c r="AW507" s="532"/>
      <c r="AX507" s="532"/>
      <c r="AY507" s="532"/>
      <c r="AZ507" s="532"/>
      <c r="BA507" s="532"/>
      <c r="BB507" s="532"/>
      <c r="BC507" s="532"/>
      <c r="BD507" s="532"/>
      <c r="BE507" s="532"/>
      <c r="BF507" s="532"/>
      <c r="BG507" s="532"/>
      <c r="BH507" s="532"/>
      <c r="BI507" s="532"/>
      <c r="BJ507" s="532"/>
      <c r="BK507" s="532"/>
      <c r="BL507" s="532"/>
      <c r="BM507" s="532"/>
      <c r="BN507" s="532"/>
      <c r="BO507" s="532"/>
      <c r="BP507" s="532"/>
      <c r="BQ507" s="532"/>
      <c r="BR507" s="532"/>
      <c r="BS507" s="532"/>
      <c r="BT507" s="532"/>
      <c r="BU507" s="532"/>
      <c r="BV507" s="532"/>
      <c r="BW507" s="532"/>
      <c r="BX507" s="532"/>
      <c r="BY507" s="532"/>
      <c r="BZ507" s="532"/>
      <c r="CA507" s="532"/>
      <c r="CB507" s="532"/>
      <c r="CC507" s="532"/>
      <c r="CD507" s="532"/>
      <c r="CE507" s="532"/>
      <c r="CF507" s="532"/>
      <c r="CG507" s="532"/>
      <c r="CH507" s="532"/>
      <c r="CI507" s="532"/>
      <c r="CJ507" s="532"/>
      <c r="CK507" s="532"/>
      <c r="CL507" s="532"/>
      <c r="CM507" s="532"/>
      <c r="CN507" s="532"/>
      <c r="CO507" s="532"/>
      <c r="CP507" s="532"/>
      <c r="CQ507" s="532"/>
      <c r="CR507" s="532"/>
      <c r="CS507" s="532"/>
      <c r="CT507" s="532"/>
      <c r="CU507" s="532"/>
      <c r="CV507" s="532"/>
      <c r="CW507" s="532"/>
      <c r="CX507" s="532"/>
      <c r="CY507" s="532"/>
      <c r="CZ507" s="532"/>
      <c r="DA507" s="532"/>
      <c r="DB507" s="532"/>
      <c r="DC507" s="532"/>
      <c r="DD507" s="532"/>
      <c r="DE507" s="532"/>
      <c r="DF507" s="532"/>
      <c r="DG507" s="532"/>
      <c r="DH507" s="532"/>
      <c r="DI507" s="532"/>
      <c r="DJ507" s="532"/>
      <c r="DK507" s="532"/>
      <c r="DL507" s="532"/>
      <c r="DM507" s="532"/>
      <c r="DN507" s="532"/>
      <c r="DO507" s="532"/>
      <c r="DP507" s="532"/>
      <c r="DQ507" s="532"/>
      <c r="DR507" s="532"/>
      <c r="DS507" s="532"/>
      <c r="DT507" s="532"/>
      <c r="DU507" s="532"/>
      <c r="DV507" s="532"/>
      <c r="DW507" s="532"/>
      <c r="DX507" s="532"/>
      <c r="DY507" s="532"/>
      <c r="DZ507" s="532"/>
      <c r="EA507" s="532"/>
      <c r="EB507" s="532"/>
      <c r="EC507" s="532"/>
      <c r="ED507" s="532"/>
      <c r="EE507" s="532"/>
      <c r="EF507" s="532"/>
      <c r="EG507" s="532"/>
      <c r="EH507" s="532"/>
      <c r="EI507" s="532"/>
      <c r="EJ507" s="532"/>
      <c r="EK507" s="532"/>
      <c r="EL507" s="532"/>
      <c r="EM507" s="532"/>
      <c r="EN507" s="532"/>
      <c r="EO507" s="532"/>
      <c r="EP507" s="532"/>
      <c r="EQ507" s="532"/>
      <c r="ER507" s="532"/>
      <c r="ES507" s="532"/>
      <c r="ET507" s="532"/>
      <c r="EU507" s="532"/>
      <c r="EV507" s="532"/>
      <c r="EW507" s="532"/>
      <c r="EX507" s="532"/>
      <c r="EY507" s="532"/>
      <c r="EZ507" s="532"/>
      <c r="FA507" s="532"/>
      <c r="FB507" s="532"/>
      <c r="FC507" s="532"/>
      <c r="FD507" s="532"/>
      <c r="FE507" s="532"/>
      <c r="FF507" s="532"/>
      <c r="FG507" s="532"/>
      <c r="FH507" s="532"/>
      <c r="FI507" s="532"/>
      <c r="FJ507" s="532"/>
      <c r="FK507" s="532"/>
      <c r="FL507" s="532"/>
      <c r="FM507" s="532"/>
      <c r="FN507" s="532"/>
      <c r="FO507" s="532"/>
      <c r="FP507" s="532"/>
    </row>
    <row r="508" spans="1:172" ht="12" customHeight="1" x14ac:dyDescent="0.2">
      <c r="A508" s="531"/>
      <c r="B508" s="534"/>
      <c r="C508" s="534"/>
      <c r="D508" s="534"/>
      <c r="E508" s="534"/>
      <c r="F508" s="534"/>
      <c r="G508" s="534"/>
      <c r="H508" s="534"/>
      <c r="I508" s="534"/>
      <c r="J508" s="534"/>
      <c r="K508" s="535"/>
      <c r="L508" s="534"/>
      <c r="M508" s="534"/>
      <c r="N508" s="534"/>
      <c r="O508" s="535"/>
      <c r="P508" s="531"/>
      <c r="Q508" s="531"/>
      <c r="R508" s="531"/>
      <c r="S508" s="531"/>
      <c r="T508" s="531"/>
      <c r="U508" s="531"/>
      <c r="V508" s="531"/>
      <c r="W508" s="531"/>
      <c r="X508" s="531"/>
      <c r="Y508" s="531"/>
      <c r="Z508" s="531"/>
      <c r="AA508" s="531"/>
      <c r="AB508" s="531"/>
      <c r="AC508" s="531"/>
      <c r="AD508" s="531"/>
      <c r="AE508" s="531"/>
      <c r="AF508" s="531"/>
      <c r="AG508" s="531"/>
      <c r="AH508" s="532"/>
      <c r="AI508" s="532"/>
      <c r="AJ508" s="532"/>
      <c r="AK508" s="532"/>
      <c r="AL508" s="532"/>
      <c r="AM508" s="532"/>
      <c r="AN508" s="532"/>
      <c r="AO508" s="532"/>
      <c r="AP508" s="532"/>
      <c r="AQ508" s="532"/>
      <c r="AR508" s="532"/>
      <c r="AS508" s="532"/>
      <c r="AT508" s="532"/>
      <c r="AU508" s="532"/>
      <c r="AV508" s="532"/>
      <c r="AW508" s="532"/>
      <c r="AX508" s="532"/>
      <c r="AY508" s="532"/>
      <c r="AZ508" s="532"/>
      <c r="BA508" s="532"/>
      <c r="BB508" s="532"/>
      <c r="BC508" s="532"/>
      <c r="BD508" s="532"/>
      <c r="BE508" s="532"/>
      <c r="BF508" s="532"/>
      <c r="BG508" s="532"/>
      <c r="BH508" s="532"/>
      <c r="BI508" s="532"/>
      <c r="BJ508" s="532"/>
      <c r="BK508" s="532"/>
      <c r="BL508" s="532"/>
      <c r="BM508" s="532"/>
      <c r="BN508" s="532"/>
      <c r="BO508" s="532"/>
      <c r="BP508" s="532"/>
      <c r="BQ508" s="532"/>
      <c r="BR508" s="532"/>
      <c r="BS508" s="532"/>
      <c r="BT508" s="532"/>
      <c r="BU508" s="532"/>
      <c r="BV508" s="532"/>
      <c r="BW508" s="532"/>
      <c r="BX508" s="532"/>
      <c r="BY508" s="532"/>
      <c r="BZ508" s="532"/>
      <c r="CA508" s="532"/>
      <c r="CB508" s="532"/>
      <c r="CC508" s="532"/>
      <c r="CD508" s="532"/>
      <c r="CE508" s="532"/>
      <c r="CF508" s="532"/>
      <c r="CG508" s="532"/>
      <c r="CH508" s="532"/>
      <c r="CI508" s="532"/>
      <c r="CJ508" s="532"/>
      <c r="CK508" s="532"/>
      <c r="CL508" s="532"/>
      <c r="CM508" s="532"/>
      <c r="CN508" s="532"/>
      <c r="CO508" s="532"/>
      <c r="CP508" s="532"/>
      <c r="CQ508" s="532"/>
      <c r="CR508" s="532"/>
      <c r="CS508" s="532"/>
      <c r="CT508" s="532"/>
      <c r="CU508" s="532"/>
      <c r="CV508" s="532"/>
      <c r="CW508" s="532"/>
      <c r="CX508" s="532"/>
      <c r="CY508" s="532"/>
      <c r="CZ508" s="532"/>
      <c r="DA508" s="532"/>
      <c r="DB508" s="532"/>
      <c r="DC508" s="532"/>
      <c r="DD508" s="532"/>
      <c r="DE508" s="532"/>
      <c r="DF508" s="532"/>
      <c r="DG508" s="532"/>
      <c r="DH508" s="532"/>
      <c r="DI508" s="532"/>
      <c r="DJ508" s="532"/>
      <c r="DK508" s="532"/>
      <c r="DL508" s="532"/>
      <c r="DM508" s="532"/>
      <c r="DN508" s="532"/>
      <c r="DO508" s="532"/>
      <c r="DP508" s="532"/>
      <c r="DQ508" s="532"/>
      <c r="DR508" s="532"/>
      <c r="DS508" s="532"/>
      <c r="DT508" s="532"/>
      <c r="DU508" s="532"/>
      <c r="DV508" s="532"/>
      <c r="DW508" s="532"/>
      <c r="DX508" s="532"/>
      <c r="DY508" s="532"/>
      <c r="DZ508" s="532"/>
      <c r="EA508" s="532"/>
      <c r="EB508" s="532"/>
      <c r="EC508" s="532"/>
      <c r="ED508" s="532"/>
      <c r="EE508" s="532"/>
      <c r="EF508" s="532"/>
      <c r="EG508" s="532"/>
      <c r="EH508" s="532"/>
      <c r="EI508" s="532"/>
      <c r="EJ508" s="532"/>
      <c r="EK508" s="532"/>
      <c r="EL508" s="532"/>
      <c r="EM508" s="532"/>
      <c r="EN508" s="532"/>
      <c r="EO508" s="532"/>
      <c r="EP508" s="532"/>
      <c r="EQ508" s="532"/>
      <c r="ER508" s="532"/>
      <c r="ES508" s="532"/>
      <c r="ET508" s="532"/>
      <c r="EU508" s="532"/>
      <c r="EV508" s="532"/>
      <c r="EW508" s="532"/>
      <c r="EX508" s="532"/>
      <c r="EY508" s="532"/>
      <c r="EZ508" s="532"/>
      <c r="FA508" s="532"/>
      <c r="FB508" s="532"/>
      <c r="FC508" s="532"/>
      <c r="FD508" s="532"/>
      <c r="FE508" s="532"/>
      <c r="FF508" s="532"/>
      <c r="FG508" s="532"/>
      <c r="FH508" s="532"/>
      <c r="FI508" s="532"/>
      <c r="FJ508" s="532"/>
      <c r="FK508" s="532"/>
      <c r="FL508" s="532"/>
      <c r="FM508" s="532"/>
      <c r="FN508" s="532"/>
      <c r="FO508" s="532"/>
      <c r="FP508" s="532"/>
    </row>
    <row r="509" spans="1:172" ht="12" customHeight="1" x14ac:dyDescent="0.2">
      <c r="A509" s="531"/>
      <c r="B509" s="534"/>
      <c r="C509" s="534"/>
      <c r="D509" s="534"/>
      <c r="E509" s="534"/>
      <c r="F509" s="534"/>
      <c r="G509" s="534"/>
      <c r="H509" s="534"/>
      <c r="I509" s="534"/>
      <c r="J509" s="534"/>
      <c r="K509" s="535"/>
      <c r="L509" s="534"/>
      <c r="M509" s="534"/>
      <c r="N509" s="534"/>
      <c r="O509" s="535"/>
      <c r="P509" s="531"/>
      <c r="Q509" s="531"/>
      <c r="R509" s="531"/>
      <c r="S509" s="531"/>
      <c r="T509" s="531"/>
      <c r="U509" s="531"/>
      <c r="V509" s="531"/>
      <c r="W509" s="531"/>
      <c r="X509" s="531"/>
      <c r="Y509" s="531"/>
      <c r="Z509" s="531"/>
      <c r="AA509" s="531"/>
      <c r="AB509" s="531"/>
      <c r="AC509" s="531"/>
      <c r="AD509" s="531"/>
      <c r="AE509" s="531"/>
      <c r="AF509" s="531"/>
      <c r="AG509" s="531"/>
      <c r="AH509" s="532"/>
      <c r="AI509" s="532"/>
      <c r="AJ509" s="532"/>
      <c r="AK509" s="532"/>
      <c r="AL509" s="532"/>
      <c r="AM509" s="532"/>
      <c r="AN509" s="532"/>
      <c r="AO509" s="532"/>
      <c r="AP509" s="532"/>
      <c r="AQ509" s="532"/>
      <c r="AR509" s="532"/>
      <c r="AS509" s="532"/>
      <c r="AT509" s="532"/>
      <c r="AU509" s="532"/>
      <c r="AV509" s="532"/>
      <c r="AW509" s="532"/>
      <c r="AX509" s="532"/>
      <c r="AY509" s="532"/>
      <c r="AZ509" s="532"/>
      <c r="BA509" s="532"/>
      <c r="BB509" s="532"/>
      <c r="BC509" s="532"/>
      <c r="BD509" s="532"/>
      <c r="BE509" s="532"/>
      <c r="BF509" s="532"/>
      <c r="BG509" s="532"/>
      <c r="BH509" s="532"/>
      <c r="BI509" s="532"/>
      <c r="BJ509" s="532"/>
      <c r="BK509" s="532"/>
      <c r="BL509" s="532"/>
      <c r="BM509" s="532"/>
      <c r="BN509" s="532"/>
      <c r="BO509" s="532"/>
      <c r="BP509" s="532"/>
      <c r="BQ509" s="532"/>
      <c r="BR509" s="532"/>
      <c r="BS509" s="532"/>
      <c r="BT509" s="532"/>
      <c r="BU509" s="532"/>
      <c r="BV509" s="532"/>
      <c r="BW509" s="532"/>
      <c r="BX509" s="532"/>
      <c r="BY509" s="532"/>
      <c r="BZ509" s="532"/>
      <c r="CA509" s="532"/>
      <c r="CB509" s="532"/>
      <c r="CC509" s="532"/>
      <c r="CD509" s="532"/>
      <c r="CE509" s="532"/>
      <c r="CF509" s="532"/>
      <c r="CG509" s="532"/>
      <c r="CH509" s="532"/>
      <c r="CI509" s="532"/>
      <c r="CJ509" s="532"/>
      <c r="CK509" s="532"/>
      <c r="CL509" s="532"/>
      <c r="CM509" s="532"/>
      <c r="CN509" s="532"/>
      <c r="CO509" s="532"/>
      <c r="CP509" s="532"/>
      <c r="CQ509" s="532"/>
      <c r="CR509" s="532"/>
      <c r="CS509" s="532"/>
      <c r="CT509" s="532"/>
      <c r="CU509" s="532"/>
      <c r="CV509" s="532"/>
      <c r="CW509" s="532"/>
      <c r="CX509" s="532"/>
      <c r="CY509" s="532"/>
      <c r="CZ509" s="532"/>
      <c r="DA509" s="532"/>
      <c r="DB509" s="532"/>
      <c r="DC509" s="532"/>
      <c r="DD509" s="532"/>
      <c r="DE509" s="532"/>
      <c r="DF509" s="532"/>
      <c r="DG509" s="532"/>
      <c r="DH509" s="532"/>
      <c r="DI509" s="532"/>
      <c r="DJ509" s="532"/>
      <c r="DK509" s="532"/>
      <c r="DL509" s="532"/>
      <c r="DM509" s="532"/>
      <c r="DN509" s="532"/>
      <c r="DO509" s="532"/>
      <c r="DP509" s="532"/>
      <c r="DQ509" s="532"/>
      <c r="DR509" s="532"/>
      <c r="DS509" s="532"/>
      <c r="DT509" s="532"/>
      <c r="DU509" s="532"/>
      <c r="DV509" s="532"/>
      <c r="DW509" s="532"/>
      <c r="DX509" s="532"/>
      <c r="DY509" s="532"/>
      <c r="DZ509" s="532"/>
      <c r="EA509" s="532"/>
      <c r="EB509" s="532"/>
      <c r="EC509" s="532"/>
      <c r="ED509" s="532"/>
      <c r="EE509" s="532"/>
      <c r="EF509" s="532"/>
      <c r="EG509" s="532"/>
      <c r="EH509" s="532"/>
      <c r="EI509" s="532"/>
      <c r="EJ509" s="532"/>
      <c r="EK509" s="532"/>
      <c r="EL509" s="532"/>
      <c r="EM509" s="532"/>
      <c r="EN509" s="532"/>
      <c r="EO509" s="532"/>
      <c r="EP509" s="532"/>
      <c r="EQ509" s="532"/>
      <c r="ER509" s="532"/>
      <c r="ES509" s="532"/>
      <c r="ET509" s="532"/>
      <c r="EU509" s="532"/>
      <c r="EV509" s="532"/>
      <c r="EW509" s="532"/>
      <c r="EX509" s="532"/>
      <c r="EY509" s="532"/>
      <c r="EZ509" s="532"/>
      <c r="FA509" s="532"/>
      <c r="FB509" s="532"/>
      <c r="FC509" s="532"/>
      <c r="FD509" s="532"/>
      <c r="FE509" s="532"/>
      <c r="FF509" s="532"/>
      <c r="FG509" s="532"/>
      <c r="FH509" s="532"/>
      <c r="FI509" s="532"/>
      <c r="FJ509" s="532"/>
      <c r="FK509" s="532"/>
      <c r="FL509" s="532"/>
      <c r="FM509" s="532"/>
      <c r="FN509" s="532"/>
      <c r="FO509" s="532"/>
      <c r="FP509" s="532"/>
    </row>
    <row r="510" spans="1:172" ht="12" customHeight="1" x14ac:dyDescent="0.2">
      <c r="A510" s="531"/>
      <c r="B510" s="534"/>
      <c r="C510" s="534"/>
      <c r="D510" s="534"/>
      <c r="E510" s="534"/>
      <c r="F510" s="534"/>
      <c r="G510" s="534"/>
      <c r="H510" s="534"/>
      <c r="I510" s="534"/>
      <c r="J510" s="534"/>
      <c r="K510" s="535"/>
      <c r="L510" s="534"/>
      <c r="M510" s="534"/>
      <c r="N510" s="534"/>
      <c r="O510" s="535"/>
      <c r="P510" s="531"/>
      <c r="Q510" s="531"/>
      <c r="R510" s="531"/>
      <c r="S510" s="531"/>
      <c r="T510" s="531"/>
      <c r="U510" s="531"/>
      <c r="V510" s="531"/>
      <c r="W510" s="531"/>
      <c r="X510" s="531"/>
      <c r="Y510" s="531"/>
      <c r="Z510" s="531"/>
      <c r="AA510" s="531"/>
      <c r="AB510" s="531"/>
      <c r="AC510" s="531"/>
      <c r="AD510" s="531"/>
      <c r="AE510" s="531"/>
      <c r="AF510" s="531"/>
      <c r="AG510" s="531"/>
      <c r="AH510" s="532"/>
      <c r="AI510" s="532"/>
      <c r="AJ510" s="532"/>
      <c r="AK510" s="532"/>
      <c r="AL510" s="532"/>
      <c r="AM510" s="532"/>
      <c r="AN510" s="532"/>
      <c r="AO510" s="532"/>
      <c r="AP510" s="532"/>
      <c r="AQ510" s="532"/>
      <c r="AR510" s="532"/>
      <c r="AS510" s="532"/>
      <c r="AT510" s="532"/>
      <c r="AU510" s="532"/>
      <c r="AV510" s="532"/>
      <c r="AW510" s="532"/>
      <c r="AX510" s="532"/>
      <c r="AY510" s="532"/>
      <c r="AZ510" s="532"/>
      <c r="BA510" s="532"/>
      <c r="BB510" s="532"/>
      <c r="BC510" s="532"/>
      <c r="BD510" s="532"/>
      <c r="BE510" s="532"/>
      <c r="BF510" s="532"/>
      <c r="BG510" s="532"/>
      <c r="BH510" s="532"/>
      <c r="BI510" s="532"/>
      <c r="BJ510" s="532"/>
      <c r="BK510" s="532"/>
      <c r="BL510" s="532"/>
      <c r="BM510" s="532"/>
      <c r="BN510" s="532"/>
      <c r="BO510" s="532"/>
      <c r="BP510" s="532"/>
      <c r="BQ510" s="532"/>
      <c r="BR510" s="532"/>
      <c r="BS510" s="532"/>
      <c r="BT510" s="532"/>
      <c r="BU510" s="532"/>
      <c r="BV510" s="532"/>
      <c r="BW510" s="532"/>
      <c r="BX510" s="532"/>
      <c r="BY510" s="532"/>
      <c r="BZ510" s="532"/>
      <c r="CA510" s="532"/>
      <c r="CB510" s="532"/>
      <c r="CC510" s="532"/>
      <c r="CD510" s="532"/>
      <c r="CE510" s="532"/>
      <c r="CF510" s="532"/>
      <c r="CG510" s="532"/>
      <c r="CH510" s="532"/>
      <c r="CI510" s="532"/>
      <c r="CJ510" s="532"/>
      <c r="CK510" s="532"/>
      <c r="CL510" s="532"/>
      <c r="CM510" s="532"/>
      <c r="CN510" s="532"/>
      <c r="CO510" s="532"/>
      <c r="CP510" s="532"/>
      <c r="CQ510" s="532"/>
      <c r="CR510" s="532"/>
      <c r="CS510" s="532"/>
      <c r="CT510" s="532"/>
      <c r="CU510" s="532"/>
      <c r="CV510" s="532"/>
      <c r="CW510" s="532"/>
      <c r="CX510" s="532"/>
      <c r="CY510" s="532"/>
      <c r="CZ510" s="532"/>
      <c r="DA510" s="532"/>
      <c r="DB510" s="532"/>
      <c r="DC510" s="532"/>
      <c r="DD510" s="532"/>
      <c r="DE510" s="532"/>
      <c r="DF510" s="532"/>
      <c r="DG510" s="532"/>
      <c r="DH510" s="532"/>
      <c r="DI510" s="532"/>
      <c r="DJ510" s="532"/>
      <c r="DK510" s="532"/>
      <c r="DL510" s="532"/>
      <c r="DM510" s="532"/>
      <c r="DN510" s="532"/>
      <c r="DO510" s="532"/>
      <c r="DP510" s="532"/>
      <c r="DQ510" s="532"/>
      <c r="DR510" s="532"/>
      <c r="DS510" s="532"/>
      <c r="DT510" s="532"/>
      <c r="DU510" s="532"/>
      <c r="DV510" s="532"/>
      <c r="DW510" s="532"/>
      <c r="DX510" s="532"/>
      <c r="DY510" s="532"/>
      <c r="DZ510" s="532"/>
      <c r="EA510" s="532"/>
      <c r="EB510" s="532"/>
      <c r="EC510" s="532"/>
      <c r="ED510" s="532"/>
      <c r="EE510" s="532"/>
      <c r="EF510" s="532"/>
      <c r="EG510" s="532"/>
      <c r="EH510" s="532"/>
      <c r="EI510" s="532"/>
      <c r="EJ510" s="532"/>
      <c r="EK510" s="532"/>
      <c r="EL510" s="532"/>
      <c r="EM510" s="532"/>
      <c r="EN510" s="532"/>
      <c r="EO510" s="532"/>
      <c r="EP510" s="532"/>
      <c r="EQ510" s="532"/>
      <c r="ER510" s="532"/>
      <c r="ES510" s="532"/>
      <c r="ET510" s="532"/>
      <c r="EU510" s="532"/>
      <c r="EV510" s="532"/>
      <c r="EW510" s="532"/>
      <c r="EX510" s="532"/>
      <c r="EY510" s="532"/>
      <c r="EZ510" s="532"/>
      <c r="FA510" s="532"/>
      <c r="FB510" s="532"/>
      <c r="FC510" s="532"/>
      <c r="FD510" s="532"/>
      <c r="FE510" s="532"/>
      <c r="FF510" s="532"/>
      <c r="FG510" s="532"/>
      <c r="FH510" s="532"/>
      <c r="FI510" s="532"/>
      <c r="FJ510" s="532"/>
      <c r="FK510" s="532"/>
      <c r="FL510" s="532"/>
      <c r="FM510" s="532"/>
      <c r="FN510" s="532"/>
      <c r="FO510" s="532"/>
      <c r="FP510" s="532"/>
    </row>
    <row r="511" spans="1:172" ht="12" customHeight="1" x14ac:dyDescent="0.2">
      <c r="A511" s="531"/>
      <c r="B511" s="534"/>
      <c r="C511" s="534"/>
      <c r="D511" s="534"/>
      <c r="E511" s="534"/>
      <c r="F511" s="534"/>
      <c r="G511" s="534"/>
      <c r="H511" s="534"/>
      <c r="I511" s="534"/>
      <c r="J511" s="534"/>
      <c r="K511" s="535"/>
      <c r="L511" s="535"/>
      <c r="M511" s="535"/>
      <c r="N511" s="535"/>
      <c r="O511" s="535"/>
      <c r="P511" s="531"/>
      <c r="Q511" s="531"/>
      <c r="R511" s="531"/>
      <c r="S511" s="531"/>
      <c r="T511" s="531"/>
      <c r="U511" s="531"/>
      <c r="V511" s="531"/>
      <c r="W511" s="531"/>
      <c r="X511" s="531"/>
      <c r="Y511" s="531"/>
      <c r="Z511" s="531"/>
      <c r="AA511" s="531"/>
      <c r="AB511" s="531"/>
      <c r="AC511" s="531"/>
      <c r="AD511" s="531"/>
      <c r="AE511" s="531"/>
      <c r="AF511" s="531"/>
      <c r="AG511" s="531"/>
      <c r="AH511" s="532"/>
      <c r="AI511" s="532"/>
      <c r="AJ511" s="532"/>
      <c r="AK511" s="532"/>
      <c r="AL511" s="532"/>
      <c r="AM511" s="532"/>
      <c r="AN511" s="532"/>
      <c r="AO511" s="532"/>
      <c r="AP511" s="532"/>
      <c r="AQ511" s="532"/>
      <c r="AR511" s="532"/>
      <c r="AS511" s="532"/>
      <c r="AT511" s="532"/>
      <c r="AU511" s="532"/>
      <c r="AV511" s="532"/>
      <c r="AW511" s="532"/>
      <c r="AX511" s="532"/>
      <c r="AY511" s="532"/>
      <c r="AZ511" s="532"/>
      <c r="BA511" s="532"/>
      <c r="BB511" s="532"/>
      <c r="BC511" s="532"/>
      <c r="BD511" s="532"/>
      <c r="BE511" s="532"/>
      <c r="BF511" s="532"/>
      <c r="BG511" s="532"/>
      <c r="BH511" s="532"/>
      <c r="BI511" s="532"/>
      <c r="BJ511" s="532"/>
      <c r="BK511" s="532"/>
      <c r="BL511" s="532"/>
      <c r="BM511" s="532"/>
      <c r="BN511" s="532"/>
      <c r="BO511" s="532"/>
      <c r="BP511" s="532"/>
      <c r="BQ511" s="532"/>
      <c r="BR511" s="532"/>
      <c r="BS511" s="532"/>
      <c r="BT511" s="532"/>
      <c r="BU511" s="532"/>
      <c r="BV511" s="532"/>
      <c r="BW511" s="532"/>
      <c r="BX511" s="532"/>
      <c r="BY511" s="532"/>
      <c r="BZ511" s="532"/>
      <c r="CA511" s="532"/>
      <c r="CB511" s="532"/>
      <c r="CC511" s="532"/>
      <c r="CD511" s="532"/>
      <c r="CE511" s="532"/>
      <c r="CF511" s="532"/>
      <c r="CG511" s="532"/>
      <c r="CH511" s="532"/>
      <c r="CI511" s="532"/>
      <c r="CJ511" s="532"/>
      <c r="CK511" s="532"/>
      <c r="CL511" s="532"/>
      <c r="CM511" s="532"/>
      <c r="CN511" s="532"/>
      <c r="CO511" s="532"/>
      <c r="CP511" s="532"/>
      <c r="CQ511" s="532"/>
      <c r="CR511" s="532"/>
      <c r="CS511" s="532"/>
      <c r="CT511" s="532"/>
      <c r="CU511" s="532"/>
      <c r="CV511" s="532"/>
      <c r="CW511" s="532"/>
      <c r="CX511" s="532"/>
      <c r="CY511" s="532"/>
      <c r="CZ511" s="532"/>
      <c r="DA511" s="532"/>
      <c r="DB511" s="532"/>
      <c r="DC511" s="532"/>
      <c r="DD511" s="532"/>
      <c r="DE511" s="532"/>
      <c r="DF511" s="532"/>
      <c r="DG511" s="532"/>
      <c r="DH511" s="532"/>
      <c r="DI511" s="532"/>
      <c r="DJ511" s="532"/>
      <c r="DK511" s="532"/>
      <c r="DL511" s="532"/>
      <c r="DM511" s="532"/>
      <c r="DN511" s="532"/>
      <c r="DO511" s="532"/>
      <c r="DP511" s="532"/>
      <c r="DQ511" s="532"/>
      <c r="DR511" s="532"/>
      <c r="DS511" s="532"/>
      <c r="DT511" s="532"/>
      <c r="DU511" s="532"/>
      <c r="DV511" s="532"/>
      <c r="DW511" s="532"/>
      <c r="DX511" s="532"/>
      <c r="DY511" s="532"/>
      <c r="DZ511" s="532"/>
      <c r="EA511" s="532"/>
      <c r="EB511" s="532"/>
      <c r="EC511" s="532"/>
      <c r="ED511" s="532"/>
      <c r="EE511" s="532"/>
      <c r="EF511" s="532"/>
      <c r="EG511" s="532"/>
      <c r="EH511" s="532"/>
      <c r="EI511" s="532"/>
      <c r="EJ511" s="532"/>
      <c r="EK511" s="532"/>
      <c r="EL511" s="532"/>
      <c r="EM511" s="532"/>
      <c r="EN511" s="532"/>
      <c r="EO511" s="532"/>
      <c r="EP511" s="532"/>
      <c r="EQ511" s="532"/>
      <c r="ER511" s="532"/>
      <c r="ES511" s="532"/>
      <c r="ET511" s="532"/>
      <c r="EU511" s="532"/>
      <c r="EV511" s="532"/>
      <c r="EW511" s="532"/>
      <c r="EX511" s="532"/>
      <c r="EY511" s="532"/>
      <c r="EZ511" s="532"/>
      <c r="FA511" s="532"/>
      <c r="FB511" s="532"/>
      <c r="FC511" s="532"/>
      <c r="FD511" s="532"/>
      <c r="FE511" s="532"/>
      <c r="FF511" s="532"/>
      <c r="FG511" s="532"/>
      <c r="FH511" s="532"/>
      <c r="FI511" s="532"/>
      <c r="FJ511" s="532"/>
      <c r="FK511" s="532"/>
      <c r="FL511" s="532"/>
      <c r="FM511" s="532"/>
      <c r="FN511" s="532"/>
      <c r="FO511" s="532"/>
      <c r="FP511" s="532"/>
    </row>
    <row r="512" spans="1:172" ht="12" customHeight="1" x14ac:dyDescent="0.2">
      <c r="A512" s="531"/>
      <c r="B512" s="534"/>
      <c r="C512" s="534"/>
      <c r="D512" s="534"/>
      <c r="E512" s="534"/>
      <c r="F512" s="534"/>
      <c r="G512" s="534"/>
      <c r="H512" s="534"/>
      <c r="I512" s="534"/>
      <c r="J512" s="534"/>
      <c r="K512" s="535"/>
      <c r="L512" s="534"/>
      <c r="M512" s="534"/>
      <c r="N512" s="534"/>
      <c r="O512" s="535"/>
      <c r="P512" s="531"/>
      <c r="Q512" s="531"/>
      <c r="R512" s="531"/>
      <c r="S512" s="531"/>
      <c r="T512" s="531"/>
      <c r="U512" s="531"/>
      <c r="V512" s="531"/>
      <c r="W512" s="531"/>
      <c r="X512" s="531"/>
      <c r="Y512" s="531"/>
      <c r="Z512" s="531"/>
      <c r="AA512" s="531"/>
      <c r="AB512" s="531"/>
      <c r="AC512" s="531"/>
      <c r="AD512" s="531"/>
      <c r="AE512" s="531"/>
      <c r="AF512" s="531"/>
      <c r="AG512" s="531"/>
      <c r="AH512" s="532"/>
      <c r="AI512" s="532"/>
      <c r="AJ512" s="532"/>
      <c r="AK512" s="532"/>
      <c r="AL512" s="532"/>
      <c r="AM512" s="532"/>
      <c r="AN512" s="532"/>
      <c r="AO512" s="532"/>
      <c r="AP512" s="532"/>
      <c r="AQ512" s="532"/>
      <c r="AR512" s="532"/>
      <c r="AS512" s="532"/>
      <c r="AT512" s="532"/>
      <c r="AU512" s="532"/>
      <c r="AV512" s="532"/>
      <c r="AW512" s="532"/>
      <c r="AX512" s="532"/>
      <c r="AY512" s="532"/>
      <c r="AZ512" s="532"/>
      <c r="BA512" s="532"/>
      <c r="BB512" s="532"/>
      <c r="BC512" s="532"/>
      <c r="BD512" s="532"/>
      <c r="BE512" s="532"/>
      <c r="BF512" s="532"/>
      <c r="BG512" s="532"/>
      <c r="BH512" s="532"/>
      <c r="BI512" s="532"/>
      <c r="BJ512" s="532"/>
      <c r="BK512" s="532"/>
      <c r="BL512" s="532"/>
      <c r="BM512" s="532"/>
      <c r="BN512" s="532"/>
      <c r="BO512" s="532"/>
      <c r="BP512" s="532"/>
      <c r="BQ512" s="532"/>
      <c r="BR512" s="532"/>
      <c r="BS512" s="532"/>
      <c r="BT512" s="532"/>
      <c r="BU512" s="532"/>
      <c r="BV512" s="532"/>
      <c r="BW512" s="532"/>
      <c r="BX512" s="532"/>
      <c r="BY512" s="532"/>
      <c r="BZ512" s="532"/>
      <c r="CA512" s="532"/>
      <c r="CB512" s="532"/>
      <c r="CC512" s="532"/>
      <c r="CD512" s="532"/>
      <c r="CE512" s="532"/>
      <c r="CF512" s="532"/>
      <c r="CG512" s="532"/>
      <c r="CH512" s="532"/>
      <c r="CI512" s="532"/>
      <c r="CJ512" s="532"/>
      <c r="CK512" s="532"/>
      <c r="CL512" s="532"/>
      <c r="CM512" s="532"/>
      <c r="CN512" s="532"/>
      <c r="CO512" s="532"/>
      <c r="CP512" s="532"/>
      <c r="CQ512" s="532"/>
      <c r="CR512" s="532"/>
      <c r="CS512" s="532"/>
      <c r="CT512" s="532"/>
      <c r="CU512" s="532"/>
      <c r="CV512" s="532"/>
      <c r="CW512" s="532"/>
      <c r="CX512" s="532"/>
      <c r="CY512" s="532"/>
      <c r="CZ512" s="532"/>
      <c r="DA512" s="532"/>
      <c r="DB512" s="532"/>
      <c r="DC512" s="532"/>
      <c r="DD512" s="532"/>
      <c r="DE512" s="532"/>
      <c r="DF512" s="532"/>
      <c r="DG512" s="532"/>
      <c r="DH512" s="532"/>
      <c r="DI512" s="532"/>
      <c r="DJ512" s="532"/>
      <c r="DK512" s="532"/>
      <c r="DL512" s="532"/>
      <c r="DM512" s="532"/>
      <c r="DN512" s="532"/>
      <c r="DO512" s="532"/>
      <c r="DP512" s="532"/>
      <c r="DQ512" s="532"/>
      <c r="DR512" s="532"/>
      <c r="DS512" s="532"/>
      <c r="DT512" s="532"/>
      <c r="DU512" s="532"/>
      <c r="DV512" s="532"/>
      <c r="DW512" s="532"/>
      <c r="DX512" s="532"/>
      <c r="DY512" s="532"/>
      <c r="DZ512" s="532"/>
      <c r="EA512" s="532"/>
      <c r="EB512" s="532"/>
      <c r="EC512" s="532"/>
      <c r="ED512" s="532"/>
      <c r="EE512" s="532"/>
      <c r="EF512" s="532"/>
      <c r="EG512" s="532"/>
      <c r="EH512" s="532"/>
      <c r="EI512" s="532"/>
      <c r="EJ512" s="532"/>
      <c r="EK512" s="532"/>
      <c r="EL512" s="532"/>
      <c r="EM512" s="532"/>
      <c r="EN512" s="532"/>
      <c r="EO512" s="532"/>
      <c r="EP512" s="532"/>
      <c r="EQ512" s="532"/>
      <c r="ER512" s="532"/>
      <c r="ES512" s="532"/>
      <c r="ET512" s="532"/>
      <c r="EU512" s="532"/>
      <c r="EV512" s="532"/>
      <c r="EW512" s="532"/>
      <c r="EX512" s="532"/>
      <c r="EY512" s="532"/>
      <c r="EZ512" s="532"/>
      <c r="FA512" s="532"/>
      <c r="FB512" s="532"/>
      <c r="FC512" s="532"/>
      <c r="FD512" s="532"/>
      <c r="FE512" s="532"/>
      <c r="FF512" s="532"/>
      <c r="FG512" s="532"/>
      <c r="FH512" s="532"/>
      <c r="FI512" s="532"/>
      <c r="FJ512" s="532"/>
      <c r="FK512" s="532"/>
      <c r="FL512" s="532"/>
      <c r="FM512" s="532"/>
      <c r="FN512" s="532"/>
      <c r="FO512" s="532"/>
      <c r="FP512" s="532"/>
    </row>
    <row r="513" spans="1:172" ht="12" customHeight="1" x14ac:dyDescent="0.2">
      <c r="A513" s="531"/>
      <c r="B513" s="534"/>
      <c r="C513" s="534"/>
      <c r="D513" s="534"/>
      <c r="E513" s="534"/>
      <c r="F513" s="534"/>
      <c r="G513" s="534"/>
      <c r="H513" s="534"/>
      <c r="I513" s="534"/>
      <c r="J513" s="534"/>
      <c r="K513" s="535"/>
      <c r="L513" s="534"/>
      <c r="M513" s="534"/>
      <c r="N513" s="534"/>
      <c r="O513" s="535"/>
      <c r="P513" s="531"/>
      <c r="Q513" s="531"/>
      <c r="R513" s="531"/>
      <c r="S513" s="531"/>
      <c r="T513" s="531"/>
      <c r="U513" s="531"/>
      <c r="V513" s="531"/>
      <c r="W513" s="531"/>
      <c r="X513" s="531"/>
      <c r="Y513" s="531"/>
      <c r="Z513" s="531"/>
      <c r="AA513" s="531"/>
      <c r="AB513" s="531"/>
      <c r="AC513" s="531"/>
      <c r="AD513" s="531"/>
      <c r="AE513" s="531"/>
      <c r="AF513" s="531"/>
      <c r="AG513" s="531"/>
      <c r="AH513" s="532"/>
      <c r="AI513" s="532"/>
      <c r="AJ513" s="532"/>
      <c r="AK513" s="532"/>
      <c r="AL513" s="532"/>
      <c r="AM513" s="532"/>
      <c r="AN513" s="532"/>
      <c r="AO513" s="532"/>
      <c r="AP513" s="532"/>
      <c r="AQ513" s="532"/>
      <c r="AR513" s="532"/>
      <c r="AS513" s="532"/>
      <c r="AT513" s="532"/>
      <c r="AU513" s="532"/>
      <c r="AV513" s="532"/>
      <c r="AW513" s="532"/>
      <c r="AX513" s="532"/>
      <c r="AY513" s="532"/>
      <c r="AZ513" s="532"/>
      <c r="BA513" s="532"/>
      <c r="BB513" s="532"/>
      <c r="BC513" s="532"/>
      <c r="BD513" s="532"/>
      <c r="BE513" s="532"/>
      <c r="BF513" s="532"/>
      <c r="BG513" s="532"/>
      <c r="BH513" s="532"/>
      <c r="BI513" s="532"/>
      <c r="BJ513" s="532"/>
      <c r="BK513" s="532"/>
      <c r="BL513" s="532"/>
      <c r="BM513" s="532"/>
      <c r="BN513" s="532"/>
      <c r="BO513" s="532"/>
      <c r="BP513" s="532"/>
      <c r="BQ513" s="532"/>
      <c r="BR513" s="532"/>
      <c r="BS513" s="532"/>
      <c r="BT513" s="532"/>
      <c r="BU513" s="532"/>
      <c r="BV513" s="532"/>
      <c r="BW513" s="532"/>
      <c r="BX513" s="532"/>
      <c r="BY513" s="532"/>
      <c r="BZ513" s="532"/>
      <c r="CA513" s="532"/>
      <c r="CB513" s="532"/>
      <c r="CC513" s="532"/>
      <c r="CD513" s="532"/>
      <c r="CE513" s="532"/>
      <c r="CF513" s="532"/>
      <c r="CG513" s="532"/>
      <c r="CH513" s="532"/>
      <c r="CI513" s="532"/>
      <c r="CJ513" s="532"/>
      <c r="CK513" s="532"/>
      <c r="CL513" s="532"/>
      <c r="CM513" s="532"/>
      <c r="CN513" s="532"/>
      <c r="CO513" s="532"/>
      <c r="CP513" s="532"/>
      <c r="CQ513" s="532"/>
      <c r="CR513" s="532"/>
      <c r="CS513" s="532"/>
      <c r="CT513" s="532"/>
      <c r="CU513" s="532"/>
      <c r="CV513" s="532"/>
      <c r="CW513" s="532"/>
      <c r="CX513" s="532"/>
      <c r="CY513" s="532"/>
      <c r="CZ513" s="532"/>
      <c r="DA513" s="532"/>
      <c r="DB513" s="532"/>
      <c r="DC513" s="532"/>
      <c r="DD513" s="532"/>
      <c r="DE513" s="532"/>
      <c r="DF513" s="532"/>
      <c r="DG513" s="532"/>
      <c r="DH513" s="532"/>
      <c r="DI513" s="532"/>
      <c r="DJ513" s="532"/>
      <c r="DK513" s="532"/>
      <c r="DL513" s="532"/>
      <c r="DM513" s="532"/>
      <c r="DN513" s="532"/>
      <c r="DO513" s="532"/>
      <c r="DP513" s="532"/>
      <c r="DQ513" s="532"/>
      <c r="DR513" s="532"/>
      <c r="DS513" s="532"/>
      <c r="DT513" s="532"/>
      <c r="DU513" s="532"/>
      <c r="DV513" s="532"/>
      <c r="DW513" s="532"/>
      <c r="DX513" s="532"/>
      <c r="DY513" s="532"/>
      <c r="DZ513" s="532"/>
      <c r="EA513" s="532"/>
      <c r="EB513" s="532"/>
      <c r="EC513" s="532"/>
      <c r="ED513" s="532"/>
      <c r="EE513" s="532"/>
      <c r="EF513" s="532"/>
      <c r="EG513" s="532"/>
      <c r="EH513" s="532"/>
      <c r="EI513" s="532"/>
      <c r="EJ513" s="532"/>
      <c r="EK513" s="532"/>
      <c r="EL513" s="532"/>
      <c r="EM513" s="532"/>
      <c r="EN513" s="532"/>
      <c r="EO513" s="532"/>
      <c r="EP513" s="532"/>
      <c r="EQ513" s="532"/>
      <c r="ER513" s="532"/>
      <c r="ES513" s="532"/>
      <c r="ET513" s="532"/>
      <c r="EU513" s="532"/>
      <c r="EV513" s="532"/>
      <c r="EW513" s="532"/>
      <c r="EX513" s="532"/>
      <c r="EY513" s="532"/>
      <c r="EZ513" s="532"/>
      <c r="FA513" s="532"/>
      <c r="FB513" s="532"/>
      <c r="FC513" s="532"/>
      <c r="FD513" s="532"/>
      <c r="FE513" s="532"/>
      <c r="FF513" s="532"/>
      <c r="FG513" s="532"/>
      <c r="FH513" s="532"/>
      <c r="FI513" s="532"/>
      <c r="FJ513" s="532"/>
      <c r="FK513" s="532"/>
      <c r="FL513" s="532"/>
      <c r="FM513" s="532"/>
      <c r="FN513" s="532"/>
      <c r="FO513" s="532"/>
      <c r="FP513" s="532"/>
    </row>
    <row r="514" spans="1:172" ht="12" customHeight="1" x14ac:dyDescent="0.2">
      <c r="A514" s="531"/>
      <c r="B514" s="534"/>
      <c r="C514" s="534"/>
      <c r="D514" s="534"/>
      <c r="E514" s="534"/>
      <c r="F514" s="534"/>
      <c r="G514" s="534"/>
      <c r="H514" s="534"/>
      <c r="I514" s="534"/>
      <c r="J514" s="534"/>
      <c r="K514" s="535"/>
      <c r="L514" s="534"/>
      <c r="M514" s="534"/>
      <c r="N514" s="534"/>
      <c r="O514" s="535"/>
      <c r="P514" s="531"/>
      <c r="Q514" s="531"/>
      <c r="R514" s="531"/>
      <c r="S514" s="531"/>
      <c r="T514" s="531"/>
      <c r="U514" s="531"/>
      <c r="V514" s="531"/>
      <c r="W514" s="531"/>
      <c r="X514" s="531"/>
      <c r="Y514" s="531"/>
      <c r="Z514" s="531"/>
      <c r="AA514" s="531"/>
      <c r="AB514" s="531"/>
      <c r="AC514" s="531"/>
      <c r="AD514" s="531"/>
      <c r="AE514" s="531"/>
      <c r="AF514" s="531"/>
      <c r="AG514" s="531"/>
      <c r="AH514" s="532"/>
      <c r="AI514" s="532"/>
      <c r="AJ514" s="532"/>
      <c r="AK514" s="532"/>
      <c r="AL514" s="532"/>
      <c r="AM514" s="532"/>
      <c r="AN514" s="532"/>
      <c r="AO514" s="532"/>
      <c r="AP514" s="532"/>
      <c r="AQ514" s="532"/>
      <c r="AR514" s="532"/>
      <c r="AS514" s="532"/>
      <c r="AT514" s="532"/>
      <c r="AU514" s="532"/>
      <c r="AV514" s="532"/>
      <c r="AW514" s="532"/>
      <c r="AX514" s="532"/>
      <c r="AY514" s="532"/>
      <c r="AZ514" s="532"/>
      <c r="BA514" s="532"/>
      <c r="BB514" s="532"/>
      <c r="BC514" s="532"/>
      <c r="BD514" s="532"/>
      <c r="BE514" s="532"/>
      <c r="BF514" s="532"/>
      <c r="BG514" s="532"/>
      <c r="BH514" s="532"/>
      <c r="BI514" s="532"/>
      <c r="BJ514" s="532"/>
      <c r="BK514" s="532"/>
      <c r="BL514" s="532"/>
      <c r="BM514" s="532"/>
      <c r="BN514" s="532"/>
      <c r="BO514" s="532"/>
      <c r="BP514" s="532"/>
      <c r="BQ514" s="532"/>
      <c r="BR514" s="532"/>
      <c r="BS514" s="532"/>
      <c r="BT514" s="532"/>
      <c r="BU514" s="532"/>
      <c r="BV514" s="532"/>
      <c r="BW514" s="532"/>
      <c r="BX514" s="532"/>
      <c r="BY514" s="532"/>
      <c r="BZ514" s="532"/>
      <c r="CA514" s="532"/>
      <c r="CB514" s="532"/>
      <c r="CC514" s="532"/>
      <c r="CD514" s="532"/>
      <c r="CE514" s="532"/>
      <c r="CF514" s="532"/>
      <c r="CG514" s="532"/>
      <c r="CH514" s="532"/>
      <c r="CI514" s="532"/>
      <c r="CJ514" s="532"/>
      <c r="CK514" s="532"/>
      <c r="CL514" s="532"/>
      <c r="CM514" s="532"/>
      <c r="CN514" s="532"/>
      <c r="CO514" s="532"/>
      <c r="CP514" s="532"/>
      <c r="CQ514" s="532"/>
      <c r="CR514" s="532"/>
      <c r="CS514" s="532"/>
      <c r="CT514" s="532"/>
      <c r="CU514" s="532"/>
      <c r="CV514" s="532"/>
      <c r="CW514" s="532"/>
      <c r="CX514" s="532"/>
      <c r="CY514" s="532"/>
      <c r="CZ514" s="532"/>
      <c r="DA514" s="532"/>
      <c r="DB514" s="532"/>
      <c r="DC514" s="532"/>
      <c r="DD514" s="532"/>
      <c r="DE514" s="532"/>
      <c r="DF514" s="532"/>
      <c r="DG514" s="532"/>
      <c r="DH514" s="532"/>
      <c r="DI514" s="532"/>
      <c r="DJ514" s="532"/>
      <c r="DK514" s="532"/>
      <c r="DL514" s="532"/>
      <c r="DM514" s="532"/>
      <c r="DN514" s="532"/>
      <c r="DO514" s="532"/>
      <c r="DP514" s="532"/>
      <c r="DQ514" s="532"/>
      <c r="DR514" s="532"/>
      <c r="DS514" s="532"/>
      <c r="DT514" s="532"/>
      <c r="DU514" s="532"/>
      <c r="DV514" s="532"/>
      <c r="DW514" s="532"/>
      <c r="DX514" s="532"/>
      <c r="DY514" s="532"/>
      <c r="DZ514" s="532"/>
      <c r="EA514" s="532"/>
      <c r="EB514" s="532"/>
      <c r="EC514" s="532"/>
      <c r="ED514" s="532"/>
      <c r="EE514" s="532"/>
      <c r="EF514" s="532"/>
      <c r="EG514" s="532"/>
      <c r="EH514" s="532"/>
      <c r="EI514" s="532"/>
      <c r="EJ514" s="532"/>
      <c r="EK514" s="532"/>
      <c r="EL514" s="532"/>
      <c r="EM514" s="532"/>
      <c r="EN514" s="532"/>
      <c r="EO514" s="532"/>
      <c r="EP514" s="532"/>
      <c r="EQ514" s="532"/>
      <c r="ER514" s="532"/>
      <c r="ES514" s="532"/>
      <c r="ET514" s="532"/>
      <c r="EU514" s="532"/>
      <c r="EV514" s="532"/>
      <c r="EW514" s="532"/>
      <c r="EX514" s="532"/>
      <c r="EY514" s="532"/>
      <c r="EZ514" s="532"/>
      <c r="FA514" s="532"/>
      <c r="FB514" s="532"/>
      <c r="FC514" s="532"/>
      <c r="FD514" s="532"/>
      <c r="FE514" s="532"/>
      <c r="FF514" s="532"/>
      <c r="FG514" s="532"/>
      <c r="FH514" s="532"/>
      <c r="FI514" s="532"/>
      <c r="FJ514" s="532"/>
      <c r="FK514" s="532"/>
      <c r="FL514" s="532"/>
      <c r="FM514" s="532"/>
      <c r="FN514" s="532"/>
      <c r="FO514" s="532"/>
      <c r="FP514" s="532"/>
    </row>
    <row r="515" spans="1:172" ht="12" customHeight="1" x14ac:dyDescent="0.2">
      <c r="A515" s="531"/>
      <c r="B515" s="534"/>
      <c r="C515" s="534"/>
      <c r="D515" s="534"/>
      <c r="E515" s="534"/>
      <c r="F515" s="534"/>
      <c r="G515" s="534"/>
      <c r="H515" s="534"/>
      <c r="I515" s="534"/>
      <c r="J515" s="534"/>
      <c r="K515" s="535"/>
      <c r="L515" s="534"/>
      <c r="M515" s="534"/>
      <c r="N515" s="534"/>
      <c r="O515" s="530"/>
      <c r="P515" s="531"/>
      <c r="Q515" s="531"/>
      <c r="R515" s="531"/>
      <c r="S515" s="531"/>
      <c r="T515" s="531"/>
      <c r="U515" s="531"/>
      <c r="V515" s="531"/>
      <c r="W515" s="531"/>
      <c r="X515" s="531"/>
      <c r="Y515" s="531"/>
      <c r="Z515" s="531"/>
      <c r="AA515" s="531"/>
      <c r="AB515" s="531"/>
      <c r="AC515" s="531"/>
      <c r="AD515" s="531"/>
      <c r="AE515" s="531"/>
      <c r="AF515" s="531"/>
      <c r="AG515" s="531"/>
      <c r="AH515" s="532"/>
      <c r="AI515" s="532"/>
      <c r="AJ515" s="532"/>
      <c r="AK515" s="532"/>
      <c r="AL515" s="532"/>
      <c r="AM515" s="532"/>
      <c r="AN515" s="532"/>
      <c r="AO515" s="532"/>
      <c r="AP515" s="532"/>
      <c r="AQ515" s="532"/>
      <c r="AR515" s="532"/>
      <c r="AS515" s="532"/>
      <c r="AT515" s="532"/>
      <c r="AU515" s="532"/>
      <c r="AV515" s="532"/>
      <c r="AW515" s="532"/>
      <c r="AX515" s="532"/>
      <c r="AY515" s="532"/>
      <c r="AZ515" s="532"/>
      <c r="BA515" s="532"/>
      <c r="BB515" s="532"/>
      <c r="BC515" s="532"/>
      <c r="BD515" s="532"/>
      <c r="BE515" s="532"/>
      <c r="BF515" s="532"/>
      <c r="BG515" s="532"/>
      <c r="BH515" s="532"/>
      <c r="BI515" s="532"/>
      <c r="BJ515" s="532"/>
      <c r="BK515" s="532"/>
      <c r="BL515" s="532"/>
      <c r="BM515" s="532"/>
      <c r="BN515" s="532"/>
      <c r="BO515" s="532"/>
      <c r="BP515" s="532"/>
      <c r="BQ515" s="532"/>
      <c r="BR515" s="532"/>
      <c r="BS515" s="532"/>
      <c r="BT515" s="532"/>
      <c r="BU515" s="532"/>
      <c r="BV515" s="532"/>
      <c r="BW515" s="532"/>
      <c r="BX515" s="532"/>
      <c r="BY515" s="532"/>
      <c r="BZ515" s="532"/>
      <c r="CA515" s="532"/>
      <c r="CB515" s="532"/>
      <c r="CC515" s="532"/>
      <c r="CD515" s="532"/>
      <c r="CE515" s="532"/>
      <c r="CF515" s="532"/>
      <c r="CG515" s="532"/>
      <c r="CH515" s="532"/>
      <c r="CI515" s="532"/>
      <c r="CJ515" s="532"/>
      <c r="CK515" s="532"/>
      <c r="CL515" s="532"/>
      <c r="CM515" s="532"/>
      <c r="CN515" s="532"/>
      <c r="CO515" s="532"/>
      <c r="CP515" s="532"/>
      <c r="CQ515" s="532"/>
      <c r="CR515" s="532"/>
      <c r="CS515" s="532"/>
      <c r="CT515" s="532"/>
      <c r="CU515" s="532"/>
      <c r="CV515" s="532"/>
      <c r="CW515" s="532"/>
      <c r="CX515" s="532"/>
      <c r="CY515" s="532"/>
      <c r="CZ515" s="532"/>
      <c r="DA515" s="532"/>
      <c r="DB515" s="532"/>
      <c r="DC515" s="532"/>
      <c r="DD515" s="532"/>
      <c r="DE515" s="532"/>
      <c r="DF515" s="532"/>
      <c r="DG515" s="532"/>
      <c r="DH515" s="532"/>
      <c r="DI515" s="532"/>
      <c r="DJ515" s="532"/>
      <c r="DK515" s="532"/>
      <c r="DL515" s="532"/>
      <c r="DM515" s="532"/>
      <c r="DN515" s="532"/>
      <c r="DO515" s="532"/>
      <c r="DP515" s="532"/>
      <c r="DQ515" s="532"/>
      <c r="DR515" s="532"/>
      <c r="DS515" s="532"/>
      <c r="DT515" s="532"/>
      <c r="DU515" s="532"/>
      <c r="DV515" s="532"/>
      <c r="DW515" s="532"/>
      <c r="DX515" s="532"/>
      <c r="DY515" s="532"/>
      <c r="DZ515" s="532"/>
      <c r="EA515" s="532"/>
      <c r="EB515" s="532"/>
      <c r="EC515" s="532"/>
      <c r="ED515" s="532"/>
      <c r="EE515" s="532"/>
      <c r="EF515" s="532"/>
      <c r="EG515" s="532"/>
      <c r="EH515" s="532"/>
      <c r="EI515" s="532"/>
      <c r="EJ515" s="532"/>
      <c r="EK515" s="532"/>
      <c r="EL515" s="532"/>
      <c r="EM515" s="532"/>
      <c r="EN515" s="532"/>
      <c r="EO515" s="532"/>
      <c r="EP515" s="532"/>
      <c r="EQ515" s="532"/>
      <c r="ER515" s="532"/>
      <c r="ES515" s="532"/>
      <c r="ET515" s="532"/>
      <c r="EU515" s="532"/>
      <c r="EV515" s="532"/>
      <c r="EW515" s="532"/>
      <c r="EX515" s="532"/>
      <c r="EY515" s="532"/>
      <c r="EZ515" s="532"/>
      <c r="FA515" s="532"/>
      <c r="FB515" s="532"/>
      <c r="FC515" s="532"/>
      <c r="FD515" s="532"/>
      <c r="FE515" s="532"/>
      <c r="FF515" s="532"/>
      <c r="FG515" s="532"/>
      <c r="FH515" s="532"/>
      <c r="FI515" s="532"/>
      <c r="FJ515" s="532"/>
      <c r="FK515" s="532"/>
      <c r="FL515" s="532"/>
      <c r="FM515" s="532"/>
      <c r="FN515" s="532"/>
      <c r="FO515" s="532"/>
      <c r="FP515" s="532"/>
    </row>
    <row r="516" spans="1:172" ht="12" customHeight="1" x14ac:dyDescent="0.2">
      <c r="A516" s="533"/>
      <c r="B516" s="534"/>
      <c r="C516" s="535"/>
      <c r="D516" s="535"/>
      <c r="E516" s="535"/>
      <c r="F516" s="535"/>
      <c r="G516" s="535"/>
      <c r="H516" s="535"/>
      <c r="I516" s="535"/>
      <c r="J516" s="535"/>
      <c r="K516" s="535"/>
      <c r="L516" s="534"/>
      <c r="M516" s="534"/>
      <c r="N516" s="534"/>
      <c r="O516" s="535"/>
      <c r="P516" s="531"/>
      <c r="Q516" s="531"/>
      <c r="R516" s="531"/>
      <c r="S516" s="531"/>
      <c r="T516" s="531"/>
      <c r="U516" s="531"/>
      <c r="V516" s="531"/>
      <c r="W516" s="531"/>
      <c r="X516" s="531"/>
      <c r="Y516" s="531"/>
      <c r="Z516" s="531"/>
      <c r="AA516" s="531"/>
      <c r="AB516" s="531"/>
      <c r="AC516" s="531"/>
      <c r="AD516" s="531"/>
      <c r="AE516" s="531"/>
      <c r="AF516" s="531"/>
      <c r="AG516" s="531"/>
      <c r="AH516" s="532"/>
      <c r="AI516" s="532"/>
      <c r="AJ516" s="532"/>
      <c r="AK516" s="532"/>
      <c r="AL516" s="532"/>
      <c r="AM516" s="532"/>
      <c r="AN516" s="532"/>
      <c r="AO516" s="532"/>
      <c r="AP516" s="532"/>
      <c r="AQ516" s="532"/>
      <c r="AR516" s="532"/>
      <c r="AS516" s="532"/>
      <c r="AT516" s="532"/>
      <c r="AU516" s="532"/>
      <c r="AV516" s="532"/>
      <c r="AW516" s="532"/>
      <c r="AX516" s="532"/>
      <c r="AY516" s="532"/>
      <c r="AZ516" s="532"/>
      <c r="BA516" s="532"/>
      <c r="BB516" s="532"/>
      <c r="BC516" s="532"/>
      <c r="BD516" s="532"/>
      <c r="BE516" s="532"/>
      <c r="BF516" s="532"/>
      <c r="BG516" s="532"/>
      <c r="BH516" s="532"/>
      <c r="BI516" s="532"/>
      <c r="BJ516" s="532"/>
      <c r="BK516" s="532"/>
      <c r="BL516" s="532"/>
      <c r="BM516" s="532"/>
      <c r="BN516" s="532"/>
      <c r="BO516" s="532"/>
      <c r="BP516" s="532"/>
      <c r="BQ516" s="532"/>
      <c r="BR516" s="532"/>
      <c r="BS516" s="532"/>
      <c r="BT516" s="532"/>
      <c r="BU516" s="532"/>
      <c r="BV516" s="532"/>
      <c r="BW516" s="532"/>
      <c r="BX516" s="532"/>
      <c r="BY516" s="532"/>
      <c r="BZ516" s="532"/>
      <c r="CA516" s="532"/>
      <c r="CB516" s="532"/>
      <c r="CC516" s="532"/>
      <c r="CD516" s="532"/>
      <c r="CE516" s="532"/>
      <c r="CF516" s="532"/>
      <c r="CG516" s="532"/>
      <c r="CH516" s="532"/>
      <c r="CI516" s="532"/>
      <c r="CJ516" s="532"/>
      <c r="CK516" s="532"/>
      <c r="CL516" s="532"/>
      <c r="CM516" s="532"/>
      <c r="CN516" s="532"/>
      <c r="CO516" s="532"/>
      <c r="CP516" s="532"/>
      <c r="CQ516" s="532"/>
      <c r="CR516" s="532"/>
      <c r="CS516" s="532"/>
      <c r="CT516" s="532"/>
      <c r="CU516" s="532"/>
      <c r="CV516" s="532"/>
      <c r="CW516" s="532"/>
      <c r="CX516" s="532"/>
      <c r="CY516" s="532"/>
      <c r="CZ516" s="532"/>
      <c r="DA516" s="532"/>
      <c r="DB516" s="532"/>
      <c r="DC516" s="532"/>
      <c r="DD516" s="532"/>
      <c r="DE516" s="532"/>
      <c r="DF516" s="532"/>
      <c r="DG516" s="532"/>
      <c r="DH516" s="532"/>
      <c r="DI516" s="532"/>
      <c r="DJ516" s="532"/>
      <c r="DK516" s="532"/>
      <c r="DL516" s="532"/>
      <c r="DM516" s="532"/>
      <c r="DN516" s="532"/>
      <c r="DO516" s="532"/>
      <c r="DP516" s="532"/>
      <c r="DQ516" s="532"/>
      <c r="DR516" s="532"/>
      <c r="DS516" s="532"/>
      <c r="DT516" s="532"/>
      <c r="DU516" s="532"/>
      <c r="DV516" s="532"/>
      <c r="DW516" s="532"/>
      <c r="DX516" s="532"/>
      <c r="DY516" s="532"/>
      <c r="DZ516" s="532"/>
      <c r="EA516" s="532"/>
      <c r="EB516" s="532"/>
      <c r="EC516" s="532"/>
      <c r="ED516" s="532"/>
      <c r="EE516" s="532"/>
      <c r="EF516" s="532"/>
      <c r="EG516" s="532"/>
      <c r="EH516" s="532"/>
      <c r="EI516" s="532"/>
      <c r="EJ516" s="532"/>
      <c r="EK516" s="532"/>
      <c r="EL516" s="532"/>
      <c r="EM516" s="532"/>
      <c r="EN516" s="532"/>
      <c r="EO516" s="532"/>
      <c r="EP516" s="532"/>
      <c r="EQ516" s="532"/>
      <c r="ER516" s="532"/>
      <c r="ES516" s="532"/>
      <c r="ET516" s="532"/>
      <c r="EU516" s="532"/>
      <c r="EV516" s="532"/>
      <c r="EW516" s="532"/>
      <c r="EX516" s="532"/>
      <c r="EY516" s="532"/>
      <c r="EZ516" s="532"/>
      <c r="FA516" s="532"/>
      <c r="FB516" s="532"/>
      <c r="FC516" s="532"/>
      <c r="FD516" s="532"/>
      <c r="FE516" s="532"/>
      <c r="FF516" s="532"/>
      <c r="FG516" s="532"/>
      <c r="FH516" s="532"/>
      <c r="FI516" s="532"/>
      <c r="FJ516" s="532"/>
      <c r="FK516" s="532"/>
      <c r="FL516" s="532"/>
      <c r="FM516" s="532"/>
      <c r="FN516" s="532"/>
      <c r="FO516" s="532"/>
      <c r="FP516" s="532"/>
    </row>
    <row r="517" spans="1:172" ht="12" customHeight="1" x14ac:dyDescent="0.2">
      <c r="A517" s="533"/>
      <c r="B517" s="534"/>
      <c r="C517" s="534"/>
      <c r="D517" s="534"/>
      <c r="E517" s="534"/>
      <c r="F517" s="534"/>
      <c r="G517" s="534"/>
      <c r="H517" s="534"/>
      <c r="I517" s="534"/>
      <c r="J517" s="534"/>
      <c r="K517" s="535"/>
      <c r="L517" s="534"/>
      <c r="M517" s="534"/>
      <c r="N517" s="534"/>
      <c r="O517" s="530"/>
      <c r="P517" s="531"/>
      <c r="Q517" s="531"/>
      <c r="R517" s="531"/>
      <c r="S517" s="531"/>
      <c r="T517" s="531"/>
      <c r="U517" s="531"/>
      <c r="V517" s="531"/>
      <c r="W517" s="531"/>
      <c r="X517" s="531"/>
      <c r="Y517" s="531"/>
      <c r="Z517" s="531"/>
      <c r="AA517" s="531"/>
      <c r="AB517" s="531"/>
      <c r="AC517" s="531"/>
      <c r="AD517" s="531"/>
      <c r="AE517" s="531"/>
      <c r="AF517" s="531"/>
      <c r="AG517" s="531"/>
      <c r="AH517" s="532"/>
      <c r="AI517" s="532"/>
      <c r="AJ517" s="532"/>
      <c r="AK517" s="532"/>
      <c r="AL517" s="532"/>
      <c r="AM517" s="532"/>
      <c r="AN517" s="532"/>
      <c r="AO517" s="532"/>
      <c r="AP517" s="532"/>
      <c r="AQ517" s="532"/>
      <c r="AR517" s="532"/>
      <c r="AS517" s="532"/>
      <c r="AT517" s="532"/>
      <c r="AU517" s="532"/>
      <c r="AV517" s="532"/>
      <c r="AW517" s="532"/>
      <c r="AX517" s="532"/>
      <c r="AY517" s="532"/>
      <c r="AZ517" s="532"/>
      <c r="BA517" s="532"/>
      <c r="BB517" s="532"/>
      <c r="BC517" s="532"/>
      <c r="BD517" s="532"/>
      <c r="BE517" s="532"/>
      <c r="BF517" s="532"/>
      <c r="BG517" s="532"/>
      <c r="BH517" s="532"/>
      <c r="BI517" s="532"/>
      <c r="BJ517" s="532"/>
      <c r="BK517" s="532"/>
      <c r="BL517" s="532"/>
      <c r="BM517" s="532"/>
      <c r="BN517" s="532"/>
      <c r="BO517" s="532"/>
      <c r="BP517" s="532"/>
      <c r="BQ517" s="532"/>
      <c r="BR517" s="532"/>
      <c r="BS517" s="532"/>
      <c r="BT517" s="532"/>
      <c r="BU517" s="532"/>
      <c r="BV517" s="532"/>
      <c r="BW517" s="532"/>
      <c r="BX517" s="532"/>
      <c r="BY517" s="532"/>
      <c r="BZ517" s="532"/>
      <c r="CA517" s="532"/>
      <c r="CB517" s="532"/>
      <c r="CC517" s="532"/>
      <c r="CD517" s="532"/>
      <c r="CE517" s="532"/>
      <c r="CF517" s="532"/>
      <c r="CG517" s="532"/>
      <c r="CH517" s="532"/>
      <c r="CI517" s="532"/>
      <c r="CJ517" s="532"/>
      <c r="CK517" s="532"/>
      <c r="CL517" s="532"/>
      <c r="CM517" s="532"/>
      <c r="CN517" s="532"/>
      <c r="CO517" s="532"/>
      <c r="CP517" s="532"/>
      <c r="CQ517" s="532"/>
      <c r="CR517" s="532"/>
      <c r="CS517" s="532"/>
      <c r="CT517" s="532"/>
      <c r="CU517" s="532"/>
      <c r="CV517" s="532"/>
      <c r="CW517" s="532"/>
      <c r="CX517" s="532"/>
      <c r="CY517" s="532"/>
      <c r="CZ517" s="532"/>
      <c r="DA517" s="532"/>
      <c r="DB517" s="532"/>
      <c r="DC517" s="532"/>
      <c r="DD517" s="532"/>
      <c r="DE517" s="532"/>
      <c r="DF517" s="532"/>
      <c r="DG517" s="532"/>
      <c r="DH517" s="532"/>
      <c r="DI517" s="532"/>
      <c r="DJ517" s="532"/>
      <c r="DK517" s="532"/>
      <c r="DL517" s="532"/>
      <c r="DM517" s="532"/>
      <c r="DN517" s="532"/>
      <c r="DO517" s="532"/>
      <c r="DP517" s="532"/>
      <c r="DQ517" s="532"/>
      <c r="DR517" s="532"/>
      <c r="DS517" s="532"/>
      <c r="DT517" s="532"/>
      <c r="DU517" s="532"/>
      <c r="DV517" s="532"/>
      <c r="DW517" s="532"/>
      <c r="DX517" s="532"/>
      <c r="DY517" s="532"/>
      <c r="DZ517" s="532"/>
      <c r="EA517" s="532"/>
      <c r="EB517" s="532"/>
      <c r="EC517" s="532"/>
      <c r="ED517" s="532"/>
      <c r="EE517" s="532"/>
      <c r="EF517" s="532"/>
      <c r="EG517" s="532"/>
      <c r="EH517" s="532"/>
      <c r="EI517" s="532"/>
      <c r="EJ517" s="532"/>
      <c r="EK517" s="532"/>
      <c r="EL517" s="532"/>
      <c r="EM517" s="532"/>
      <c r="EN517" s="532"/>
      <c r="EO517" s="532"/>
      <c r="EP517" s="532"/>
      <c r="EQ517" s="532"/>
      <c r="ER517" s="532"/>
      <c r="ES517" s="532"/>
      <c r="ET517" s="532"/>
      <c r="EU517" s="532"/>
      <c r="EV517" s="532"/>
      <c r="EW517" s="532"/>
      <c r="EX517" s="532"/>
      <c r="EY517" s="532"/>
      <c r="EZ517" s="532"/>
      <c r="FA517" s="532"/>
      <c r="FB517" s="532"/>
      <c r="FC517" s="532"/>
      <c r="FD517" s="532"/>
      <c r="FE517" s="532"/>
      <c r="FF517" s="532"/>
      <c r="FG517" s="532"/>
      <c r="FH517" s="532"/>
      <c r="FI517" s="532"/>
      <c r="FJ517" s="532"/>
      <c r="FK517" s="532"/>
      <c r="FL517" s="532"/>
      <c r="FM517" s="532"/>
      <c r="FN517" s="532"/>
      <c r="FO517" s="532"/>
      <c r="FP517" s="532"/>
    </row>
    <row r="518" spans="1:172" ht="12" customHeight="1" x14ac:dyDescent="0.2">
      <c r="A518" s="557"/>
      <c r="B518" s="534"/>
      <c r="C518" s="534"/>
      <c r="D518" s="534"/>
      <c r="E518" s="534"/>
      <c r="F518" s="534"/>
      <c r="G518" s="534"/>
      <c r="H518" s="534"/>
      <c r="I518" s="534"/>
      <c r="J518" s="534"/>
      <c r="K518" s="535"/>
      <c r="L518" s="534"/>
      <c r="M518" s="534"/>
      <c r="N518" s="534"/>
      <c r="O518" s="530"/>
      <c r="P518" s="531"/>
      <c r="Q518" s="531"/>
      <c r="R518" s="531"/>
      <c r="S518" s="531"/>
      <c r="T518" s="531"/>
      <c r="U518" s="531"/>
      <c r="V518" s="531"/>
      <c r="W518" s="531"/>
      <c r="X518" s="531"/>
      <c r="Y518" s="531"/>
      <c r="Z518" s="531"/>
      <c r="AA518" s="531"/>
      <c r="AB518" s="531"/>
      <c r="AC518" s="531"/>
      <c r="AD518" s="531"/>
      <c r="AE518" s="531"/>
      <c r="AF518" s="531"/>
      <c r="AG518" s="531"/>
      <c r="AH518" s="532"/>
      <c r="AI518" s="532"/>
      <c r="AJ518" s="532"/>
      <c r="AK518" s="532"/>
      <c r="AL518" s="532"/>
      <c r="AM518" s="532"/>
      <c r="AN518" s="532"/>
      <c r="AO518" s="532"/>
      <c r="AP518" s="532"/>
      <c r="AQ518" s="532"/>
      <c r="AR518" s="532"/>
      <c r="AS518" s="532"/>
      <c r="AT518" s="532"/>
      <c r="AU518" s="532"/>
      <c r="AV518" s="532"/>
      <c r="AW518" s="532"/>
      <c r="AX518" s="532"/>
      <c r="AY518" s="532"/>
      <c r="AZ518" s="532"/>
      <c r="BA518" s="532"/>
      <c r="BB518" s="532"/>
      <c r="BC518" s="532"/>
      <c r="BD518" s="532"/>
      <c r="BE518" s="532"/>
      <c r="BF518" s="532"/>
      <c r="BG518" s="532"/>
      <c r="BH518" s="532"/>
      <c r="BI518" s="532"/>
      <c r="BJ518" s="532"/>
      <c r="BK518" s="532"/>
      <c r="BL518" s="532"/>
      <c r="BM518" s="532"/>
      <c r="BN518" s="532"/>
      <c r="BO518" s="532"/>
      <c r="BP518" s="532"/>
      <c r="BQ518" s="532"/>
      <c r="BR518" s="532"/>
      <c r="BS518" s="532"/>
      <c r="BT518" s="532"/>
      <c r="BU518" s="532"/>
      <c r="BV518" s="532"/>
      <c r="BW518" s="532"/>
      <c r="BX518" s="532"/>
      <c r="BY518" s="532"/>
      <c r="BZ518" s="532"/>
      <c r="CA518" s="532"/>
      <c r="CB518" s="532"/>
      <c r="CC518" s="532"/>
      <c r="CD518" s="532"/>
      <c r="CE518" s="532"/>
      <c r="CF518" s="532"/>
      <c r="CG518" s="532"/>
      <c r="CH518" s="532"/>
      <c r="CI518" s="532"/>
      <c r="CJ518" s="532"/>
      <c r="CK518" s="532"/>
      <c r="CL518" s="532"/>
      <c r="CM518" s="532"/>
      <c r="CN518" s="532"/>
      <c r="CO518" s="532"/>
      <c r="CP518" s="532"/>
      <c r="CQ518" s="532"/>
      <c r="CR518" s="532"/>
      <c r="CS518" s="532"/>
      <c r="CT518" s="532"/>
      <c r="CU518" s="532"/>
      <c r="CV518" s="532"/>
      <c r="CW518" s="532"/>
      <c r="CX518" s="532"/>
      <c r="CY518" s="532"/>
      <c r="CZ518" s="532"/>
      <c r="DA518" s="532"/>
      <c r="DB518" s="532"/>
      <c r="DC518" s="532"/>
      <c r="DD518" s="532"/>
      <c r="DE518" s="532"/>
      <c r="DF518" s="532"/>
      <c r="DG518" s="532"/>
      <c r="DH518" s="532"/>
      <c r="DI518" s="532"/>
      <c r="DJ518" s="532"/>
      <c r="DK518" s="532"/>
      <c r="DL518" s="532"/>
      <c r="DM518" s="532"/>
      <c r="DN518" s="532"/>
      <c r="DO518" s="532"/>
      <c r="DP518" s="532"/>
      <c r="DQ518" s="532"/>
      <c r="DR518" s="532"/>
      <c r="DS518" s="532"/>
      <c r="DT518" s="532"/>
      <c r="DU518" s="532"/>
      <c r="DV518" s="532"/>
      <c r="DW518" s="532"/>
      <c r="DX518" s="532"/>
      <c r="DY518" s="532"/>
      <c r="DZ518" s="532"/>
      <c r="EA518" s="532"/>
      <c r="EB518" s="532"/>
      <c r="EC518" s="532"/>
      <c r="ED518" s="532"/>
      <c r="EE518" s="532"/>
      <c r="EF518" s="532"/>
      <c r="EG518" s="532"/>
      <c r="EH518" s="532"/>
      <c r="EI518" s="532"/>
      <c r="EJ518" s="532"/>
      <c r="EK518" s="532"/>
      <c r="EL518" s="532"/>
      <c r="EM518" s="532"/>
      <c r="EN518" s="532"/>
      <c r="EO518" s="532"/>
      <c r="EP518" s="532"/>
      <c r="EQ518" s="532"/>
      <c r="ER518" s="532"/>
      <c r="ES518" s="532"/>
      <c r="ET518" s="532"/>
      <c r="EU518" s="532"/>
      <c r="EV518" s="532"/>
      <c r="EW518" s="532"/>
      <c r="EX518" s="532"/>
      <c r="EY518" s="532"/>
      <c r="EZ518" s="532"/>
      <c r="FA518" s="532"/>
      <c r="FB518" s="532"/>
      <c r="FC518" s="532"/>
      <c r="FD518" s="532"/>
      <c r="FE518" s="532"/>
      <c r="FF518" s="532"/>
      <c r="FG518" s="532"/>
      <c r="FH518" s="532"/>
      <c r="FI518" s="532"/>
      <c r="FJ518" s="532"/>
      <c r="FK518" s="532"/>
      <c r="FL518" s="532"/>
      <c r="FM518" s="532"/>
      <c r="FN518" s="532"/>
      <c r="FO518" s="532"/>
      <c r="FP518" s="532"/>
    </row>
    <row r="519" spans="1:172" ht="12" customHeight="1" x14ac:dyDescent="0.2">
      <c r="A519" s="531"/>
      <c r="B519" s="534"/>
      <c r="C519" s="534"/>
      <c r="D519" s="534"/>
      <c r="E519" s="534"/>
      <c r="F519" s="534"/>
      <c r="G519" s="534"/>
      <c r="H519" s="534"/>
      <c r="I519" s="534"/>
      <c r="J519" s="534"/>
      <c r="K519" s="535"/>
      <c r="L519" s="534"/>
      <c r="M519" s="534"/>
      <c r="N519" s="534"/>
      <c r="O519" s="530"/>
      <c r="P519" s="531"/>
      <c r="Q519" s="531"/>
      <c r="R519" s="531"/>
      <c r="S519" s="531"/>
      <c r="T519" s="531"/>
      <c r="U519" s="531"/>
      <c r="V519" s="531"/>
      <c r="W519" s="531"/>
      <c r="X519" s="531"/>
      <c r="Y519" s="531"/>
      <c r="Z519" s="531"/>
      <c r="AA519" s="531"/>
      <c r="AB519" s="531"/>
      <c r="AC519" s="531"/>
      <c r="AD519" s="531"/>
      <c r="AE519" s="531"/>
      <c r="AF519" s="531"/>
      <c r="AG519" s="531"/>
      <c r="AH519" s="532"/>
      <c r="AI519" s="532"/>
      <c r="AJ519" s="532"/>
      <c r="AK519" s="532"/>
      <c r="AL519" s="532"/>
      <c r="AM519" s="532"/>
      <c r="AN519" s="532"/>
      <c r="AO519" s="532"/>
      <c r="AP519" s="532"/>
      <c r="AQ519" s="532"/>
      <c r="AR519" s="532"/>
      <c r="AS519" s="532"/>
      <c r="AT519" s="532"/>
      <c r="AU519" s="532"/>
      <c r="AV519" s="532"/>
      <c r="AW519" s="532"/>
      <c r="AX519" s="532"/>
      <c r="AY519" s="532"/>
      <c r="AZ519" s="532"/>
      <c r="BA519" s="532"/>
      <c r="BB519" s="532"/>
      <c r="BC519" s="532"/>
      <c r="BD519" s="532"/>
      <c r="BE519" s="532"/>
      <c r="BF519" s="532"/>
      <c r="BG519" s="532"/>
      <c r="BH519" s="532"/>
      <c r="BI519" s="532"/>
      <c r="BJ519" s="532"/>
      <c r="BK519" s="532"/>
      <c r="BL519" s="532"/>
      <c r="BM519" s="532"/>
      <c r="BN519" s="532"/>
      <c r="BO519" s="532"/>
      <c r="BP519" s="532"/>
      <c r="BQ519" s="532"/>
      <c r="BR519" s="532"/>
      <c r="BS519" s="532"/>
      <c r="BT519" s="532"/>
      <c r="BU519" s="532"/>
      <c r="BV519" s="532"/>
      <c r="BW519" s="532"/>
      <c r="BX519" s="532"/>
      <c r="BY519" s="532"/>
      <c r="BZ519" s="532"/>
      <c r="CA519" s="532"/>
      <c r="CB519" s="532"/>
      <c r="CC519" s="532"/>
      <c r="CD519" s="532"/>
      <c r="CE519" s="532"/>
      <c r="CF519" s="532"/>
      <c r="CG519" s="532"/>
      <c r="CH519" s="532"/>
      <c r="CI519" s="532"/>
      <c r="CJ519" s="532"/>
      <c r="CK519" s="532"/>
      <c r="CL519" s="532"/>
      <c r="CM519" s="532"/>
      <c r="CN519" s="532"/>
      <c r="CO519" s="532"/>
      <c r="CP519" s="532"/>
      <c r="CQ519" s="532"/>
      <c r="CR519" s="532"/>
      <c r="CS519" s="532"/>
      <c r="CT519" s="532"/>
      <c r="CU519" s="532"/>
      <c r="CV519" s="532"/>
      <c r="CW519" s="532"/>
      <c r="CX519" s="532"/>
      <c r="CY519" s="532"/>
      <c r="CZ519" s="532"/>
      <c r="DA519" s="532"/>
      <c r="DB519" s="532"/>
      <c r="DC519" s="532"/>
      <c r="DD519" s="532"/>
      <c r="DE519" s="532"/>
      <c r="DF519" s="532"/>
      <c r="DG519" s="532"/>
      <c r="DH519" s="532"/>
      <c r="DI519" s="532"/>
      <c r="DJ519" s="532"/>
      <c r="DK519" s="532"/>
      <c r="DL519" s="532"/>
      <c r="DM519" s="532"/>
      <c r="DN519" s="532"/>
      <c r="DO519" s="532"/>
      <c r="DP519" s="532"/>
      <c r="DQ519" s="532"/>
      <c r="DR519" s="532"/>
      <c r="DS519" s="532"/>
      <c r="DT519" s="532"/>
      <c r="DU519" s="532"/>
      <c r="DV519" s="532"/>
      <c r="DW519" s="532"/>
      <c r="DX519" s="532"/>
      <c r="DY519" s="532"/>
      <c r="DZ519" s="532"/>
      <c r="EA519" s="532"/>
      <c r="EB519" s="532"/>
      <c r="EC519" s="532"/>
      <c r="ED519" s="532"/>
      <c r="EE519" s="532"/>
      <c r="EF519" s="532"/>
      <c r="EG519" s="532"/>
      <c r="EH519" s="532"/>
      <c r="EI519" s="532"/>
      <c r="EJ519" s="532"/>
      <c r="EK519" s="532"/>
      <c r="EL519" s="532"/>
      <c r="EM519" s="532"/>
      <c r="EN519" s="532"/>
      <c r="EO519" s="532"/>
      <c r="EP519" s="532"/>
      <c r="EQ519" s="532"/>
      <c r="ER519" s="532"/>
      <c r="ES519" s="532"/>
      <c r="ET519" s="532"/>
      <c r="EU519" s="532"/>
      <c r="EV519" s="532"/>
      <c r="EW519" s="532"/>
      <c r="EX519" s="532"/>
      <c r="EY519" s="532"/>
      <c r="EZ519" s="532"/>
      <c r="FA519" s="532"/>
      <c r="FB519" s="532"/>
      <c r="FC519" s="532"/>
      <c r="FD519" s="532"/>
      <c r="FE519" s="532"/>
      <c r="FF519" s="532"/>
      <c r="FG519" s="532"/>
      <c r="FH519" s="532"/>
      <c r="FI519" s="532"/>
      <c r="FJ519" s="532"/>
      <c r="FK519" s="532"/>
      <c r="FL519" s="532"/>
      <c r="FM519" s="532"/>
      <c r="FN519" s="532"/>
      <c r="FO519" s="532"/>
      <c r="FP519" s="532"/>
    </row>
    <row r="520" spans="1:172" ht="12" customHeight="1" x14ac:dyDescent="0.2">
      <c r="A520" s="531"/>
      <c r="B520" s="534"/>
      <c r="C520" s="534"/>
      <c r="D520" s="534"/>
      <c r="E520" s="534"/>
      <c r="F520" s="534"/>
      <c r="G520" s="534"/>
      <c r="H520" s="534"/>
      <c r="I520" s="534"/>
      <c r="J520" s="534"/>
      <c r="K520" s="535"/>
      <c r="L520" s="534"/>
      <c r="M520" s="534"/>
      <c r="N520" s="534"/>
      <c r="O520" s="530"/>
      <c r="P520" s="531"/>
      <c r="Q520" s="531"/>
      <c r="R520" s="531"/>
      <c r="S520" s="531"/>
      <c r="T520" s="531"/>
      <c r="U520" s="531"/>
      <c r="V520" s="531"/>
      <c r="W520" s="531"/>
      <c r="X520" s="531"/>
      <c r="Y520" s="531"/>
      <c r="Z520" s="531"/>
      <c r="AA520" s="531"/>
      <c r="AB520" s="531"/>
      <c r="AC520" s="531"/>
      <c r="AD520" s="531"/>
      <c r="AE520" s="531"/>
      <c r="AF520" s="531"/>
      <c r="AG520" s="531"/>
      <c r="AH520" s="532"/>
      <c r="AI520" s="532"/>
      <c r="AJ520" s="532"/>
      <c r="AK520" s="532"/>
      <c r="AL520" s="532"/>
      <c r="AM520" s="532"/>
      <c r="AN520" s="532"/>
      <c r="AO520" s="532"/>
      <c r="AP520" s="532"/>
      <c r="AQ520" s="532"/>
      <c r="AR520" s="532"/>
      <c r="AS520" s="532"/>
      <c r="AT520" s="532"/>
      <c r="AU520" s="532"/>
      <c r="AV520" s="532"/>
      <c r="AW520" s="532"/>
      <c r="AX520" s="532"/>
      <c r="AY520" s="532"/>
      <c r="AZ520" s="532"/>
      <c r="BA520" s="532"/>
      <c r="BB520" s="532"/>
      <c r="BC520" s="532"/>
      <c r="BD520" s="532"/>
      <c r="BE520" s="532"/>
      <c r="BF520" s="532"/>
      <c r="BG520" s="532"/>
      <c r="BH520" s="532"/>
      <c r="BI520" s="532"/>
      <c r="BJ520" s="532"/>
      <c r="BK520" s="532"/>
      <c r="BL520" s="532"/>
      <c r="BM520" s="532"/>
      <c r="BN520" s="532"/>
      <c r="BO520" s="532"/>
      <c r="BP520" s="532"/>
      <c r="BQ520" s="532"/>
      <c r="BR520" s="532"/>
      <c r="BS520" s="532"/>
      <c r="BT520" s="532"/>
      <c r="BU520" s="532"/>
      <c r="BV520" s="532"/>
      <c r="BW520" s="532"/>
      <c r="BX520" s="532"/>
      <c r="BY520" s="532"/>
      <c r="BZ520" s="532"/>
      <c r="CA520" s="532"/>
      <c r="CB520" s="532"/>
      <c r="CC520" s="532"/>
      <c r="CD520" s="532"/>
      <c r="CE520" s="532"/>
      <c r="CF520" s="532"/>
      <c r="CG520" s="532"/>
      <c r="CH520" s="532"/>
      <c r="CI520" s="532"/>
      <c r="CJ520" s="532"/>
      <c r="CK520" s="532"/>
      <c r="CL520" s="532"/>
      <c r="CM520" s="532"/>
      <c r="CN520" s="532"/>
      <c r="CO520" s="532"/>
      <c r="CP520" s="532"/>
      <c r="CQ520" s="532"/>
      <c r="CR520" s="532"/>
      <c r="CS520" s="532"/>
      <c r="CT520" s="532"/>
      <c r="CU520" s="532"/>
      <c r="CV520" s="532"/>
      <c r="CW520" s="532"/>
      <c r="CX520" s="532"/>
      <c r="CY520" s="532"/>
      <c r="CZ520" s="532"/>
      <c r="DA520" s="532"/>
      <c r="DB520" s="532"/>
      <c r="DC520" s="532"/>
      <c r="DD520" s="532"/>
      <c r="DE520" s="532"/>
      <c r="DF520" s="532"/>
      <c r="DG520" s="532"/>
      <c r="DH520" s="532"/>
      <c r="DI520" s="532"/>
      <c r="DJ520" s="532"/>
      <c r="DK520" s="532"/>
      <c r="DL520" s="532"/>
      <c r="DM520" s="532"/>
      <c r="DN520" s="532"/>
      <c r="DO520" s="532"/>
      <c r="DP520" s="532"/>
      <c r="DQ520" s="532"/>
      <c r="DR520" s="532"/>
      <c r="DS520" s="532"/>
      <c r="DT520" s="532"/>
      <c r="DU520" s="532"/>
      <c r="DV520" s="532"/>
      <c r="DW520" s="532"/>
      <c r="DX520" s="532"/>
      <c r="DY520" s="532"/>
      <c r="DZ520" s="532"/>
      <c r="EA520" s="532"/>
      <c r="EB520" s="532"/>
      <c r="EC520" s="532"/>
      <c r="ED520" s="532"/>
      <c r="EE520" s="532"/>
      <c r="EF520" s="532"/>
      <c r="EG520" s="532"/>
      <c r="EH520" s="532"/>
      <c r="EI520" s="532"/>
      <c r="EJ520" s="532"/>
      <c r="EK520" s="532"/>
      <c r="EL520" s="532"/>
      <c r="EM520" s="532"/>
      <c r="EN520" s="532"/>
      <c r="EO520" s="532"/>
      <c r="EP520" s="532"/>
      <c r="EQ520" s="532"/>
      <c r="ER520" s="532"/>
      <c r="ES520" s="532"/>
      <c r="ET520" s="532"/>
      <c r="EU520" s="532"/>
      <c r="EV520" s="532"/>
      <c r="EW520" s="532"/>
      <c r="EX520" s="532"/>
      <c r="EY520" s="532"/>
      <c r="EZ520" s="532"/>
      <c r="FA520" s="532"/>
      <c r="FB520" s="532"/>
      <c r="FC520" s="532"/>
      <c r="FD520" s="532"/>
      <c r="FE520" s="532"/>
      <c r="FF520" s="532"/>
      <c r="FG520" s="532"/>
      <c r="FH520" s="532"/>
      <c r="FI520" s="532"/>
      <c r="FJ520" s="532"/>
      <c r="FK520" s="532"/>
      <c r="FL520" s="532"/>
      <c r="FM520" s="532"/>
      <c r="FN520" s="532"/>
      <c r="FO520" s="532"/>
      <c r="FP520" s="532"/>
    </row>
    <row r="521" spans="1:172" ht="12" customHeight="1" x14ac:dyDescent="0.2">
      <c r="A521" s="531"/>
      <c r="B521" s="534"/>
      <c r="C521" s="534"/>
      <c r="D521" s="534"/>
      <c r="E521" s="534"/>
      <c r="F521" s="534"/>
      <c r="G521" s="534"/>
      <c r="H521" s="534"/>
      <c r="I521" s="534"/>
      <c r="J521" s="534"/>
      <c r="K521" s="535"/>
      <c r="L521" s="534"/>
      <c r="M521" s="534"/>
      <c r="N521" s="534"/>
      <c r="O521" s="530"/>
      <c r="P521" s="531"/>
      <c r="Q521" s="531"/>
      <c r="R521" s="531"/>
      <c r="S521" s="531"/>
      <c r="T521" s="531"/>
      <c r="U521" s="531"/>
      <c r="V521" s="531"/>
      <c r="W521" s="531"/>
      <c r="X521" s="531"/>
      <c r="Y521" s="531"/>
      <c r="Z521" s="531"/>
      <c r="AA521" s="531"/>
      <c r="AB521" s="531"/>
      <c r="AC521" s="531"/>
      <c r="AD521" s="531"/>
      <c r="AE521" s="531"/>
      <c r="AF521" s="531"/>
      <c r="AG521" s="531"/>
      <c r="AH521" s="532"/>
      <c r="AI521" s="532"/>
      <c r="AJ521" s="532"/>
      <c r="AK521" s="532"/>
      <c r="AL521" s="532"/>
      <c r="AM521" s="532"/>
      <c r="AN521" s="532"/>
      <c r="AO521" s="532"/>
      <c r="AP521" s="532"/>
      <c r="AQ521" s="532"/>
      <c r="AR521" s="532"/>
      <c r="AS521" s="532"/>
      <c r="AT521" s="532"/>
      <c r="AU521" s="532"/>
      <c r="AV521" s="532"/>
      <c r="AW521" s="532"/>
      <c r="AX521" s="532"/>
      <c r="AY521" s="532"/>
      <c r="AZ521" s="532"/>
      <c r="BA521" s="532"/>
      <c r="BB521" s="532"/>
      <c r="BC521" s="532"/>
      <c r="BD521" s="532"/>
      <c r="BE521" s="532"/>
      <c r="BF521" s="532"/>
      <c r="BG521" s="532"/>
      <c r="BH521" s="532"/>
      <c r="BI521" s="532"/>
      <c r="BJ521" s="532"/>
      <c r="BK521" s="532"/>
      <c r="BL521" s="532"/>
      <c r="BM521" s="532"/>
      <c r="BN521" s="532"/>
      <c r="BO521" s="532"/>
      <c r="BP521" s="532"/>
      <c r="BQ521" s="532"/>
      <c r="BR521" s="532"/>
      <c r="BS521" s="532"/>
      <c r="BT521" s="532"/>
      <c r="BU521" s="532"/>
      <c r="BV521" s="532"/>
      <c r="BW521" s="532"/>
      <c r="BX521" s="532"/>
      <c r="BY521" s="532"/>
      <c r="BZ521" s="532"/>
      <c r="CA521" s="532"/>
      <c r="CB521" s="532"/>
      <c r="CC521" s="532"/>
      <c r="CD521" s="532"/>
      <c r="CE521" s="532"/>
      <c r="CF521" s="532"/>
      <c r="CG521" s="532"/>
      <c r="CH521" s="532"/>
      <c r="CI521" s="532"/>
      <c r="CJ521" s="532"/>
      <c r="CK521" s="532"/>
      <c r="CL521" s="532"/>
      <c r="CM521" s="532"/>
      <c r="CN521" s="532"/>
      <c r="CO521" s="532"/>
      <c r="CP521" s="532"/>
      <c r="CQ521" s="532"/>
      <c r="CR521" s="532"/>
      <c r="CS521" s="532"/>
      <c r="CT521" s="532"/>
      <c r="CU521" s="532"/>
      <c r="CV521" s="532"/>
      <c r="CW521" s="532"/>
      <c r="CX521" s="532"/>
      <c r="CY521" s="532"/>
      <c r="CZ521" s="532"/>
      <c r="DA521" s="532"/>
      <c r="DB521" s="532"/>
      <c r="DC521" s="532"/>
      <c r="DD521" s="532"/>
      <c r="DE521" s="532"/>
      <c r="DF521" s="532"/>
      <c r="DG521" s="532"/>
      <c r="DH521" s="532"/>
      <c r="DI521" s="532"/>
      <c r="DJ521" s="532"/>
      <c r="DK521" s="532"/>
      <c r="DL521" s="532"/>
      <c r="DM521" s="532"/>
      <c r="DN521" s="532"/>
      <c r="DO521" s="532"/>
      <c r="DP521" s="532"/>
      <c r="DQ521" s="532"/>
      <c r="DR521" s="532"/>
      <c r="DS521" s="532"/>
      <c r="DT521" s="532"/>
      <c r="DU521" s="532"/>
      <c r="DV521" s="532"/>
      <c r="DW521" s="532"/>
      <c r="DX521" s="532"/>
      <c r="DY521" s="532"/>
      <c r="DZ521" s="532"/>
      <c r="EA521" s="532"/>
      <c r="EB521" s="532"/>
      <c r="EC521" s="532"/>
      <c r="ED521" s="532"/>
      <c r="EE521" s="532"/>
      <c r="EF521" s="532"/>
      <c r="EG521" s="532"/>
      <c r="EH521" s="532"/>
      <c r="EI521" s="532"/>
      <c r="EJ521" s="532"/>
      <c r="EK521" s="532"/>
      <c r="EL521" s="532"/>
      <c r="EM521" s="532"/>
      <c r="EN521" s="532"/>
      <c r="EO521" s="532"/>
      <c r="EP521" s="532"/>
      <c r="EQ521" s="532"/>
      <c r="ER521" s="532"/>
      <c r="ES521" s="532"/>
      <c r="ET521" s="532"/>
      <c r="EU521" s="532"/>
      <c r="EV521" s="532"/>
      <c r="EW521" s="532"/>
      <c r="EX521" s="532"/>
      <c r="EY521" s="532"/>
      <c r="EZ521" s="532"/>
      <c r="FA521" s="532"/>
      <c r="FB521" s="532"/>
      <c r="FC521" s="532"/>
      <c r="FD521" s="532"/>
      <c r="FE521" s="532"/>
      <c r="FF521" s="532"/>
      <c r="FG521" s="532"/>
      <c r="FH521" s="532"/>
      <c r="FI521" s="532"/>
      <c r="FJ521" s="532"/>
      <c r="FK521" s="532"/>
      <c r="FL521" s="532"/>
      <c r="FM521" s="532"/>
      <c r="FN521" s="532"/>
      <c r="FO521" s="532"/>
      <c r="FP521" s="532"/>
    </row>
    <row r="522" spans="1:172" ht="12" customHeight="1" x14ac:dyDescent="0.2">
      <c r="A522" s="531"/>
      <c r="B522" s="534"/>
      <c r="C522" s="534"/>
      <c r="D522" s="534"/>
      <c r="E522" s="534"/>
      <c r="F522" s="534"/>
      <c r="G522" s="534"/>
      <c r="H522" s="534"/>
      <c r="I522" s="534"/>
      <c r="J522" s="534"/>
      <c r="K522" s="535"/>
      <c r="L522" s="534"/>
      <c r="M522" s="534"/>
      <c r="N522" s="534"/>
      <c r="O522" s="530"/>
      <c r="P522" s="531"/>
      <c r="Q522" s="531"/>
      <c r="R522" s="531"/>
      <c r="S522" s="531"/>
      <c r="T522" s="531"/>
      <c r="U522" s="531"/>
      <c r="V522" s="531"/>
      <c r="W522" s="531"/>
      <c r="X522" s="531"/>
      <c r="Y522" s="531"/>
      <c r="Z522" s="531"/>
      <c r="AA522" s="531"/>
      <c r="AB522" s="531"/>
      <c r="AC522" s="531"/>
      <c r="AD522" s="531"/>
      <c r="AE522" s="531"/>
      <c r="AF522" s="531"/>
      <c r="AG522" s="531"/>
      <c r="AH522" s="532"/>
      <c r="AI522" s="532"/>
      <c r="AJ522" s="532"/>
      <c r="AK522" s="532"/>
      <c r="AL522" s="532"/>
      <c r="AM522" s="532"/>
      <c r="AN522" s="532"/>
      <c r="AO522" s="532"/>
      <c r="AP522" s="532"/>
      <c r="AQ522" s="532"/>
      <c r="AR522" s="532"/>
      <c r="AS522" s="532"/>
      <c r="AT522" s="532"/>
      <c r="AU522" s="532"/>
      <c r="AV522" s="532"/>
      <c r="AW522" s="532"/>
      <c r="AX522" s="532"/>
      <c r="AY522" s="532"/>
      <c r="AZ522" s="532"/>
      <c r="BA522" s="532"/>
      <c r="BB522" s="532"/>
      <c r="BC522" s="532"/>
      <c r="BD522" s="532"/>
      <c r="BE522" s="532"/>
      <c r="BF522" s="532"/>
      <c r="BG522" s="532"/>
      <c r="BH522" s="532"/>
      <c r="BI522" s="532"/>
      <c r="BJ522" s="532"/>
      <c r="BK522" s="532"/>
      <c r="BL522" s="532"/>
      <c r="BM522" s="532"/>
      <c r="BN522" s="532"/>
      <c r="BO522" s="532"/>
      <c r="BP522" s="532"/>
      <c r="BQ522" s="532"/>
      <c r="BR522" s="532"/>
      <c r="BS522" s="532"/>
      <c r="BT522" s="532"/>
      <c r="BU522" s="532"/>
      <c r="BV522" s="532"/>
      <c r="BW522" s="532"/>
      <c r="BX522" s="532"/>
      <c r="BY522" s="532"/>
      <c r="BZ522" s="532"/>
      <c r="CA522" s="532"/>
      <c r="CB522" s="532"/>
      <c r="CC522" s="532"/>
      <c r="CD522" s="532"/>
      <c r="CE522" s="532"/>
      <c r="CF522" s="532"/>
      <c r="CG522" s="532"/>
      <c r="CH522" s="532"/>
      <c r="CI522" s="532"/>
      <c r="CJ522" s="532"/>
      <c r="CK522" s="532"/>
      <c r="CL522" s="532"/>
      <c r="CM522" s="532"/>
      <c r="CN522" s="532"/>
      <c r="CO522" s="532"/>
      <c r="CP522" s="532"/>
      <c r="CQ522" s="532"/>
      <c r="CR522" s="532"/>
      <c r="CS522" s="532"/>
      <c r="CT522" s="532"/>
      <c r="CU522" s="532"/>
      <c r="CV522" s="532"/>
      <c r="CW522" s="532"/>
      <c r="CX522" s="532"/>
      <c r="CY522" s="532"/>
      <c r="CZ522" s="532"/>
      <c r="DA522" s="532"/>
      <c r="DB522" s="532"/>
      <c r="DC522" s="532"/>
      <c r="DD522" s="532"/>
      <c r="DE522" s="532"/>
      <c r="DF522" s="532"/>
      <c r="DG522" s="532"/>
      <c r="DH522" s="532"/>
      <c r="DI522" s="532"/>
      <c r="DJ522" s="532"/>
      <c r="DK522" s="532"/>
      <c r="DL522" s="532"/>
      <c r="DM522" s="532"/>
      <c r="DN522" s="532"/>
      <c r="DO522" s="532"/>
      <c r="DP522" s="532"/>
      <c r="DQ522" s="532"/>
      <c r="DR522" s="532"/>
      <c r="DS522" s="532"/>
      <c r="DT522" s="532"/>
      <c r="DU522" s="532"/>
      <c r="DV522" s="532"/>
      <c r="DW522" s="532"/>
      <c r="DX522" s="532"/>
      <c r="DY522" s="532"/>
      <c r="DZ522" s="532"/>
      <c r="EA522" s="532"/>
      <c r="EB522" s="532"/>
      <c r="EC522" s="532"/>
      <c r="ED522" s="532"/>
      <c r="EE522" s="532"/>
      <c r="EF522" s="532"/>
      <c r="EG522" s="532"/>
      <c r="EH522" s="532"/>
      <c r="EI522" s="532"/>
      <c r="EJ522" s="532"/>
      <c r="EK522" s="532"/>
      <c r="EL522" s="532"/>
      <c r="EM522" s="532"/>
      <c r="EN522" s="532"/>
      <c r="EO522" s="532"/>
      <c r="EP522" s="532"/>
      <c r="EQ522" s="532"/>
      <c r="ER522" s="532"/>
      <c r="ES522" s="532"/>
      <c r="ET522" s="532"/>
      <c r="EU522" s="532"/>
      <c r="EV522" s="532"/>
      <c r="EW522" s="532"/>
      <c r="EX522" s="532"/>
      <c r="EY522" s="532"/>
      <c r="EZ522" s="532"/>
      <c r="FA522" s="532"/>
      <c r="FB522" s="532"/>
      <c r="FC522" s="532"/>
      <c r="FD522" s="532"/>
      <c r="FE522" s="532"/>
      <c r="FF522" s="532"/>
      <c r="FG522" s="532"/>
      <c r="FH522" s="532"/>
      <c r="FI522" s="532"/>
      <c r="FJ522" s="532"/>
      <c r="FK522" s="532"/>
      <c r="FL522" s="532"/>
      <c r="FM522" s="532"/>
      <c r="FN522" s="532"/>
      <c r="FO522" s="532"/>
      <c r="FP522" s="532"/>
    </row>
    <row r="523" spans="1:172" ht="12" customHeight="1" x14ac:dyDescent="0.2">
      <c r="A523" s="531"/>
      <c r="B523" s="534"/>
      <c r="C523" s="534"/>
      <c r="D523" s="534"/>
      <c r="E523" s="534"/>
      <c r="F523" s="534"/>
      <c r="G523" s="534"/>
      <c r="H523" s="534"/>
      <c r="I523" s="534"/>
      <c r="J523" s="534"/>
      <c r="K523" s="535"/>
      <c r="L523" s="534"/>
      <c r="M523" s="534"/>
      <c r="N523" s="534"/>
      <c r="O523" s="530"/>
      <c r="P523" s="531"/>
      <c r="Q523" s="531"/>
      <c r="R523" s="531"/>
      <c r="S523" s="531"/>
      <c r="T523" s="531"/>
      <c r="U523" s="531"/>
      <c r="V523" s="531"/>
      <c r="W523" s="531"/>
      <c r="X523" s="531"/>
      <c r="Y523" s="531"/>
      <c r="Z523" s="531"/>
      <c r="AA523" s="531"/>
      <c r="AB523" s="531"/>
      <c r="AC523" s="531"/>
      <c r="AD523" s="531"/>
      <c r="AE523" s="531"/>
      <c r="AF523" s="531"/>
      <c r="AG523" s="531"/>
      <c r="AH523" s="532"/>
      <c r="AI523" s="532"/>
      <c r="AJ523" s="532"/>
      <c r="AK523" s="532"/>
      <c r="AL523" s="532"/>
      <c r="AM523" s="532"/>
      <c r="AN523" s="532"/>
      <c r="AO523" s="532"/>
      <c r="AP523" s="532"/>
      <c r="AQ523" s="532"/>
      <c r="AR523" s="532"/>
      <c r="AS523" s="532"/>
      <c r="AT523" s="532"/>
      <c r="AU523" s="532"/>
      <c r="AV523" s="532"/>
      <c r="AW523" s="532"/>
      <c r="AX523" s="532"/>
      <c r="AY523" s="532"/>
      <c r="AZ523" s="532"/>
      <c r="BA523" s="532"/>
      <c r="BB523" s="532"/>
      <c r="BC523" s="532"/>
      <c r="BD523" s="532"/>
      <c r="BE523" s="532"/>
      <c r="BF523" s="532"/>
      <c r="BG523" s="532"/>
      <c r="BH523" s="532"/>
      <c r="BI523" s="532"/>
      <c r="BJ523" s="532"/>
      <c r="BK523" s="532"/>
      <c r="BL523" s="532"/>
      <c r="BM523" s="532"/>
      <c r="BN523" s="532"/>
      <c r="BO523" s="532"/>
      <c r="BP523" s="532"/>
      <c r="BQ523" s="532"/>
      <c r="BR523" s="532"/>
      <c r="BS523" s="532"/>
      <c r="BT523" s="532"/>
      <c r="BU523" s="532"/>
      <c r="BV523" s="532"/>
      <c r="BW523" s="532"/>
      <c r="BX523" s="532"/>
      <c r="BY523" s="532"/>
      <c r="BZ523" s="532"/>
      <c r="CA523" s="532"/>
      <c r="CB523" s="532"/>
      <c r="CC523" s="532"/>
      <c r="CD523" s="532"/>
      <c r="CE523" s="532"/>
      <c r="CF523" s="532"/>
      <c r="CG523" s="532"/>
      <c r="CH523" s="532"/>
      <c r="CI523" s="532"/>
      <c r="CJ523" s="532"/>
      <c r="CK523" s="532"/>
      <c r="CL523" s="532"/>
      <c r="CM523" s="532"/>
      <c r="CN523" s="532"/>
      <c r="CO523" s="532"/>
      <c r="CP523" s="532"/>
      <c r="CQ523" s="532"/>
      <c r="CR523" s="532"/>
      <c r="CS523" s="532"/>
      <c r="CT523" s="532"/>
      <c r="CU523" s="532"/>
      <c r="CV523" s="532"/>
      <c r="CW523" s="532"/>
      <c r="CX523" s="532"/>
      <c r="CY523" s="532"/>
      <c r="CZ523" s="532"/>
      <c r="DA523" s="532"/>
      <c r="DB523" s="532"/>
      <c r="DC523" s="532"/>
      <c r="DD523" s="532"/>
      <c r="DE523" s="532"/>
      <c r="DF523" s="532"/>
      <c r="DG523" s="532"/>
      <c r="DH523" s="532"/>
      <c r="DI523" s="532"/>
      <c r="DJ523" s="532"/>
      <c r="DK523" s="532"/>
      <c r="DL523" s="532"/>
      <c r="DM523" s="532"/>
      <c r="DN523" s="532"/>
      <c r="DO523" s="532"/>
      <c r="DP523" s="532"/>
      <c r="DQ523" s="532"/>
      <c r="DR523" s="532"/>
      <c r="DS523" s="532"/>
      <c r="DT523" s="532"/>
      <c r="DU523" s="532"/>
      <c r="DV523" s="532"/>
      <c r="DW523" s="532"/>
      <c r="DX523" s="532"/>
      <c r="DY523" s="532"/>
      <c r="DZ523" s="532"/>
      <c r="EA523" s="532"/>
      <c r="EB523" s="532"/>
      <c r="EC523" s="532"/>
      <c r="ED523" s="532"/>
      <c r="EE523" s="532"/>
      <c r="EF523" s="532"/>
      <c r="EG523" s="532"/>
      <c r="EH523" s="532"/>
      <c r="EI523" s="532"/>
      <c r="EJ523" s="532"/>
      <c r="EK523" s="532"/>
      <c r="EL523" s="532"/>
      <c r="EM523" s="532"/>
      <c r="EN523" s="532"/>
      <c r="EO523" s="532"/>
      <c r="EP523" s="532"/>
      <c r="EQ523" s="532"/>
      <c r="ER523" s="532"/>
      <c r="ES523" s="532"/>
      <c r="ET523" s="532"/>
      <c r="EU523" s="532"/>
      <c r="EV523" s="532"/>
      <c r="EW523" s="532"/>
      <c r="EX523" s="532"/>
      <c r="EY523" s="532"/>
      <c r="EZ523" s="532"/>
      <c r="FA523" s="532"/>
      <c r="FB523" s="532"/>
      <c r="FC523" s="532"/>
      <c r="FD523" s="532"/>
      <c r="FE523" s="532"/>
      <c r="FF523" s="532"/>
      <c r="FG523" s="532"/>
      <c r="FH523" s="532"/>
      <c r="FI523" s="532"/>
      <c r="FJ523" s="532"/>
      <c r="FK523" s="532"/>
      <c r="FL523" s="532"/>
      <c r="FM523" s="532"/>
      <c r="FN523" s="532"/>
      <c r="FO523" s="532"/>
      <c r="FP523" s="532"/>
    </row>
    <row r="524" spans="1:172" ht="12" customHeight="1" x14ac:dyDescent="0.2">
      <c r="A524" s="531"/>
      <c r="B524" s="534"/>
      <c r="C524" s="534"/>
      <c r="D524" s="534"/>
      <c r="E524" s="534"/>
      <c r="F524" s="534"/>
      <c r="G524" s="534"/>
      <c r="H524" s="534"/>
      <c r="I524" s="534"/>
      <c r="J524" s="534"/>
      <c r="K524" s="535"/>
      <c r="L524" s="534"/>
      <c r="M524" s="534"/>
      <c r="N524" s="534"/>
      <c r="O524" s="530"/>
      <c r="P524" s="531"/>
      <c r="Q524" s="531"/>
      <c r="R524" s="531"/>
      <c r="S524" s="531"/>
      <c r="T524" s="531"/>
      <c r="U524" s="531"/>
      <c r="V524" s="531"/>
      <c r="W524" s="531"/>
      <c r="X524" s="531"/>
      <c r="Y524" s="531"/>
      <c r="Z524" s="531"/>
      <c r="AA524" s="531"/>
      <c r="AB524" s="531"/>
      <c r="AC524" s="531"/>
      <c r="AD524" s="531"/>
      <c r="AE524" s="531"/>
      <c r="AF524" s="531"/>
      <c r="AG524" s="531"/>
      <c r="AH524" s="532"/>
      <c r="AI524" s="532"/>
      <c r="AJ524" s="532"/>
      <c r="AK524" s="532"/>
      <c r="AL524" s="532"/>
      <c r="AM524" s="532"/>
      <c r="AN524" s="532"/>
      <c r="AO524" s="532"/>
      <c r="AP524" s="532"/>
      <c r="AQ524" s="532"/>
      <c r="AR524" s="532"/>
      <c r="AS524" s="532"/>
      <c r="AT524" s="532"/>
      <c r="AU524" s="532"/>
      <c r="AV524" s="532"/>
      <c r="AW524" s="532"/>
      <c r="AX524" s="532"/>
      <c r="AY524" s="532"/>
      <c r="AZ524" s="532"/>
      <c r="BA524" s="532"/>
      <c r="BB524" s="532"/>
      <c r="BC524" s="532"/>
      <c r="BD524" s="532"/>
      <c r="BE524" s="532"/>
      <c r="BF524" s="532"/>
      <c r="BG524" s="532"/>
      <c r="BH524" s="532"/>
      <c r="BI524" s="532"/>
      <c r="BJ524" s="532"/>
      <c r="BK524" s="532"/>
      <c r="BL524" s="532"/>
      <c r="BM524" s="532"/>
      <c r="BN524" s="532"/>
      <c r="BO524" s="532"/>
      <c r="BP524" s="532"/>
      <c r="BQ524" s="532"/>
      <c r="BR524" s="532"/>
      <c r="BS524" s="532"/>
      <c r="BT524" s="532"/>
      <c r="BU524" s="532"/>
      <c r="BV524" s="532"/>
      <c r="BW524" s="532"/>
      <c r="BX524" s="532"/>
      <c r="BY524" s="532"/>
      <c r="BZ524" s="532"/>
      <c r="CA524" s="532"/>
      <c r="CB524" s="532"/>
      <c r="CC524" s="532"/>
      <c r="CD524" s="532"/>
      <c r="CE524" s="532"/>
      <c r="CF524" s="532"/>
      <c r="CG524" s="532"/>
      <c r="CH524" s="532"/>
      <c r="CI524" s="532"/>
      <c r="CJ524" s="532"/>
      <c r="CK524" s="532"/>
      <c r="CL524" s="532"/>
      <c r="CM524" s="532"/>
      <c r="CN524" s="532"/>
      <c r="CO524" s="532"/>
      <c r="CP524" s="532"/>
      <c r="CQ524" s="532"/>
      <c r="CR524" s="532"/>
      <c r="CS524" s="532"/>
      <c r="CT524" s="532"/>
      <c r="CU524" s="532"/>
      <c r="CV524" s="532"/>
      <c r="CW524" s="532"/>
      <c r="CX524" s="532"/>
      <c r="CY524" s="532"/>
      <c r="CZ524" s="532"/>
      <c r="DA524" s="532"/>
      <c r="DB524" s="532"/>
      <c r="DC524" s="532"/>
      <c r="DD524" s="532"/>
      <c r="DE524" s="532"/>
      <c r="DF524" s="532"/>
      <c r="DG524" s="532"/>
      <c r="DH524" s="532"/>
      <c r="DI524" s="532"/>
      <c r="DJ524" s="532"/>
      <c r="DK524" s="532"/>
      <c r="DL524" s="532"/>
      <c r="DM524" s="532"/>
      <c r="DN524" s="532"/>
      <c r="DO524" s="532"/>
      <c r="DP524" s="532"/>
      <c r="DQ524" s="532"/>
      <c r="DR524" s="532"/>
      <c r="DS524" s="532"/>
      <c r="DT524" s="532"/>
      <c r="DU524" s="532"/>
      <c r="DV524" s="532"/>
      <c r="DW524" s="532"/>
      <c r="DX524" s="532"/>
      <c r="DY524" s="532"/>
      <c r="DZ524" s="532"/>
      <c r="EA524" s="532"/>
      <c r="EB524" s="532"/>
      <c r="EC524" s="532"/>
      <c r="ED524" s="532"/>
      <c r="EE524" s="532"/>
      <c r="EF524" s="532"/>
      <c r="EG524" s="532"/>
      <c r="EH524" s="532"/>
      <c r="EI524" s="532"/>
      <c r="EJ524" s="532"/>
      <c r="EK524" s="532"/>
      <c r="EL524" s="532"/>
      <c r="EM524" s="532"/>
      <c r="EN524" s="532"/>
      <c r="EO524" s="532"/>
      <c r="EP524" s="532"/>
      <c r="EQ524" s="532"/>
      <c r="ER524" s="532"/>
      <c r="ES524" s="532"/>
      <c r="ET524" s="532"/>
      <c r="EU524" s="532"/>
      <c r="EV524" s="532"/>
      <c r="EW524" s="532"/>
      <c r="EX524" s="532"/>
      <c r="EY524" s="532"/>
      <c r="EZ524" s="532"/>
      <c r="FA524" s="532"/>
      <c r="FB524" s="532"/>
      <c r="FC524" s="532"/>
      <c r="FD524" s="532"/>
      <c r="FE524" s="532"/>
      <c r="FF524" s="532"/>
      <c r="FG524" s="532"/>
      <c r="FH524" s="532"/>
      <c r="FI524" s="532"/>
      <c r="FJ524" s="532"/>
      <c r="FK524" s="532"/>
      <c r="FL524" s="532"/>
      <c r="FM524" s="532"/>
      <c r="FN524" s="532"/>
      <c r="FO524" s="532"/>
      <c r="FP524" s="532"/>
    </row>
    <row r="525" spans="1:172" ht="12" customHeight="1" x14ac:dyDescent="0.2">
      <c r="A525" s="531"/>
      <c r="B525" s="534"/>
      <c r="C525" s="534"/>
      <c r="D525" s="534"/>
      <c r="E525" s="534"/>
      <c r="F525" s="534"/>
      <c r="G525" s="534"/>
      <c r="H525" s="534"/>
      <c r="I525" s="534"/>
      <c r="J525" s="534"/>
      <c r="K525" s="535"/>
      <c r="L525" s="534"/>
      <c r="M525" s="534"/>
      <c r="N525" s="534"/>
      <c r="O525" s="530"/>
      <c r="P525" s="531"/>
      <c r="Q525" s="531"/>
      <c r="R525" s="531"/>
      <c r="S525" s="531"/>
      <c r="T525" s="531"/>
      <c r="U525" s="531"/>
      <c r="V525" s="531"/>
      <c r="W525" s="531"/>
      <c r="X525" s="531"/>
      <c r="Y525" s="531"/>
      <c r="Z525" s="531"/>
      <c r="AA525" s="531"/>
      <c r="AB525" s="531"/>
      <c r="AC525" s="531"/>
      <c r="AD525" s="531"/>
      <c r="AE525" s="531"/>
      <c r="AF525" s="531"/>
      <c r="AG525" s="531"/>
      <c r="AH525" s="532"/>
      <c r="AI525" s="532"/>
      <c r="AJ525" s="532"/>
      <c r="AK525" s="532"/>
      <c r="AL525" s="532"/>
      <c r="AM525" s="532"/>
      <c r="AN525" s="532"/>
      <c r="AO525" s="532"/>
      <c r="AP525" s="532"/>
      <c r="AQ525" s="532"/>
      <c r="AR525" s="532"/>
      <c r="AS525" s="532"/>
      <c r="AT525" s="532"/>
      <c r="AU525" s="532"/>
      <c r="AV525" s="532"/>
      <c r="AW525" s="532"/>
      <c r="AX525" s="532"/>
      <c r="AY525" s="532"/>
      <c r="AZ525" s="532"/>
      <c r="BA525" s="532"/>
      <c r="BB525" s="532"/>
      <c r="BC525" s="532"/>
      <c r="BD525" s="532"/>
      <c r="BE525" s="532"/>
      <c r="BF525" s="532"/>
      <c r="BG525" s="532"/>
      <c r="BH525" s="532"/>
      <c r="BI525" s="532"/>
      <c r="BJ525" s="532"/>
      <c r="BK525" s="532"/>
      <c r="BL525" s="532"/>
      <c r="BM525" s="532"/>
      <c r="BN525" s="532"/>
      <c r="BO525" s="532"/>
      <c r="BP525" s="532"/>
      <c r="BQ525" s="532"/>
      <c r="BR525" s="532"/>
      <c r="BS525" s="532"/>
      <c r="BT525" s="532"/>
      <c r="BU525" s="532"/>
      <c r="BV525" s="532"/>
      <c r="BW525" s="532"/>
      <c r="BX525" s="532"/>
      <c r="BY525" s="532"/>
      <c r="BZ525" s="532"/>
      <c r="CA525" s="532"/>
      <c r="CB525" s="532"/>
      <c r="CC525" s="532"/>
      <c r="CD525" s="532"/>
      <c r="CE525" s="532"/>
      <c r="CF525" s="532"/>
      <c r="CG525" s="532"/>
      <c r="CH525" s="532"/>
      <c r="CI525" s="532"/>
      <c r="CJ525" s="532"/>
      <c r="CK525" s="532"/>
      <c r="CL525" s="532"/>
      <c r="CM525" s="532"/>
      <c r="CN525" s="532"/>
      <c r="CO525" s="532"/>
      <c r="CP525" s="532"/>
      <c r="CQ525" s="532"/>
      <c r="CR525" s="532"/>
      <c r="CS525" s="532"/>
      <c r="CT525" s="532"/>
      <c r="CU525" s="532"/>
      <c r="CV525" s="532"/>
      <c r="CW525" s="532"/>
      <c r="CX525" s="532"/>
      <c r="CY525" s="532"/>
      <c r="CZ525" s="532"/>
      <c r="DA525" s="532"/>
      <c r="DB525" s="532"/>
      <c r="DC525" s="532"/>
      <c r="DD525" s="532"/>
      <c r="DE525" s="532"/>
      <c r="DF525" s="532"/>
      <c r="DG525" s="532"/>
      <c r="DH525" s="532"/>
      <c r="DI525" s="532"/>
      <c r="DJ525" s="532"/>
      <c r="DK525" s="532"/>
      <c r="DL525" s="532"/>
      <c r="DM525" s="532"/>
      <c r="DN525" s="532"/>
      <c r="DO525" s="532"/>
      <c r="DP525" s="532"/>
      <c r="DQ525" s="532"/>
      <c r="DR525" s="532"/>
      <c r="DS525" s="532"/>
      <c r="DT525" s="532"/>
      <c r="DU525" s="532"/>
      <c r="DV525" s="532"/>
      <c r="DW525" s="532"/>
      <c r="DX525" s="532"/>
      <c r="DY525" s="532"/>
      <c r="DZ525" s="532"/>
      <c r="EA525" s="532"/>
      <c r="EB525" s="532"/>
      <c r="EC525" s="532"/>
      <c r="ED525" s="532"/>
      <c r="EE525" s="532"/>
      <c r="EF525" s="532"/>
      <c r="EG525" s="532"/>
      <c r="EH525" s="532"/>
      <c r="EI525" s="532"/>
      <c r="EJ525" s="532"/>
      <c r="EK525" s="532"/>
      <c r="EL525" s="532"/>
      <c r="EM525" s="532"/>
      <c r="EN525" s="532"/>
      <c r="EO525" s="532"/>
      <c r="EP525" s="532"/>
      <c r="EQ525" s="532"/>
      <c r="ER525" s="532"/>
      <c r="ES525" s="532"/>
      <c r="ET525" s="532"/>
      <c r="EU525" s="532"/>
      <c r="EV525" s="532"/>
      <c r="EW525" s="532"/>
      <c r="EX525" s="532"/>
      <c r="EY525" s="532"/>
      <c r="EZ525" s="532"/>
      <c r="FA525" s="532"/>
      <c r="FB525" s="532"/>
      <c r="FC525" s="532"/>
      <c r="FD525" s="532"/>
      <c r="FE525" s="532"/>
      <c r="FF525" s="532"/>
      <c r="FG525" s="532"/>
      <c r="FH525" s="532"/>
      <c r="FI525" s="532"/>
      <c r="FJ525" s="532"/>
      <c r="FK525" s="532"/>
      <c r="FL525" s="532"/>
      <c r="FM525" s="532"/>
      <c r="FN525" s="532"/>
      <c r="FO525" s="532"/>
      <c r="FP525" s="532"/>
    </row>
    <row r="526" spans="1:172" ht="12" customHeight="1" x14ac:dyDescent="0.2">
      <c r="A526" s="531"/>
      <c r="B526" s="534"/>
      <c r="C526" s="534"/>
      <c r="D526" s="534"/>
      <c r="E526" s="534"/>
      <c r="F526" s="534"/>
      <c r="G526" s="534"/>
      <c r="H526" s="534"/>
      <c r="I526" s="534"/>
      <c r="J526" s="534"/>
      <c r="K526" s="535"/>
      <c r="L526" s="534"/>
      <c r="M526" s="534"/>
      <c r="N526" s="534"/>
      <c r="O526" s="530"/>
      <c r="P526" s="531"/>
      <c r="Q526" s="531"/>
      <c r="R526" s="531"/>
      <c r="S526" s="531"/>
      <c r="T526" s="531"/>
      <c r="U526" s="531"/>
      <c r="V526" s="531"/>
      <c r="W526" s="531"/>
      <c r="X526" s="531"/>
      <c r="Y526" s="531"/>
      <c r="Z526" s="531"/>
      <c r="AA526" s="531"/>
      <c r="AB526" s="531"/>
      <c r="AC526" s="531"/>
      <c r="AD526" s="531"/>
      <c r="AE526" s="531"/>
      <c r="AF526" s="531"/>
      <c r="AG526" s="531"/>
      <c r="AH526" s="532"/>
      <c r="AI526" s="532"/>
      <c r="AJ526" s="532"/>
      <c r="AK526" s="532"/>
      <c r="AL526" s="532"/>
      <c r="AM526" s="532"/>
      <c r="AN526" s="532"/>
      <c r="AO526" s="532"/>
      <c r="AP526" s="532"/>
      <c r="AQ526" s="532"/>
      <c r="AR526" s="532"/>
      <c r="AS526" s="532"/>
      <c r="AT526" s="532"/>
      <c r="AU526" s="532"/>
      <c r="AV526" s="532"/>
      <c r="AW526" s="532"/>
      <c r="AX526" s="532"/>
      <c r="AY526" s="532"/>
      <c r="AZ526" s="532"/>
      <c r="BA526" s="532"/>
      <c r="BB526" s="532"/>
      <c r="BC526" s="532"/>
      <c r="BD526" s="532"/>
      <c r="BE526" s="532"/>
      <c r="BF526" s="532"/>
      <c r="BG526" s="532"/>
      <c r="BH526" s="532"/>
      <c r="BI526" s="532"/>
      <c r="BJ526" s="532"/>
      <c r="BK526" s="532"/>
      <c r="BL526" s="532"/>
      <c r="BM526" s="532"/>
      <c r="BN526" s="532"/>
      <c r="BO526" s="532"/>
      <c r="BP526" s="532"/>
      <c r="BQ526" s="532"/>
      <c r="BR526" s="532"/>
      <c r="BS526" s="532"/>
      <c r="BT526" s="532"/>
      <c r="BU526" s="532"/>
      <c r="BV526" s="532"/>
      <c r="BW526" s="532"/>
      <c r="BX526" s="532"/>
      <c r="BY526" s="532"/>
      <c r="BZ526" s="532"/>
      <c r="CA526" s="532"/>
      <c r="CB526" s="532"/>
      <c r="CC526" s="532"/>
      <c r="CD526" s="532"/>
      <c r="CE526" s="532"/>
      <c r="CF526" s="532"/>
      <c r="CG526" s="532"/>
      <c r="CH526" s="532"/>
      <c r="CI526" s="532"/>
      <c r="CJ526" s="532"/>
      <c r="CK526" s="532"/>
      <c r="CL526" s="532"/>
      <c r="CM526" s="532"/>
      <c r="CN526" s="532"/>
      <c r="CO526" s="532"/>
      <c r="CP526" s="532"/>
      <c r="CQ526" s="532"/>
      <c r="CR526" s="532"/>
      <c r="CS526" s="532"/>
      <c r="CT526" s="532"/>
      <c r="CU526" s="532"/>
      <c r="CV526" s="532"/>
      <c r="CW526" s="532"/>
      <c r="CX526" s="532"/>
      <c r="CY526" s="532"/>
      <c r="CZ526" s="532"/>
      <c r="DA526" s="532"/>
      <c r="DB526" s="532"/>
      <c r="DC526" s="532"/>
      <c r="DD526" s="532"/>
      <c r="DE526" s="532"/>
      <c r="DF526" s="532"/>
      <c r="DG526" s="532"/>
      <c r="DH526" s="532"/>
      <c r="DI526" s="532"/>
      <c r="DJ526" s="532"/>
      <c r="DK526" s="532"/>
      <c r="DL526" s="532"/>
      <c r="DM526" s="532"/>
      <c r="DN526" s="532"/>
      <c r="DO526" s="532"/>
      <c r="DP526" s="532"/>
      <c r="DQ526" s="532"/>
      <c r="DR526" s="532"/>
      <c r="DS526" s="532"/>
      <c r="DT526" s="532"/>
      <c r="DU526" s="532"/>
      <c r="DV526" s="532"/>
      <c r="DW526" s="532"/>
      <c r="DX526" s="532"/>
      <c r="DY526" s="532"/>
      <c r="DZ526" s="532"/>
      <c r="EA526" s="532"/>
      <c r="EB526" s="532"/>
      <c r="EC526" s="532"/>
      <c r="ED526" s="532"/>
      <c r="EE526" s="532"/>
      <c r="EF526" s="532"/>
      <c r="EG526" s="532"/>
      <c r="EH526" s="532"/>
      <c r="EI526" s="532"/>
      <c r="EJ526" s="532"/>
      <c r="EK526" s="532"/>
      <c r="EL526" s="532"/>
      <c r="EM526" s="532"/>
      <c r="EN526" s="532"/>
      <c r="EO526" s="532"/>
      <c r="EP526" s="532"/>
      <c r="EQ526" s="532"/>
      <c r="ER526" s="532"/>
      <c r="ES526" s="532"/>
      <c r="ET526" s="532"/>
      <c r="EU526" s="532"/>
      <c r="EV526" s="532"/>
      <c r="EW526" s="532"/>
      <c r="EX526" s="532"/>
      <c r="EY526" s="532"/>
      <c r="EZ526" s="532"/>
      <c r="FA526" s="532"/>
      <c r="FB526" s="532"/>
      <c r="FC526" s="532"/>
      <c r="FD526" s="532"/>
      <c r="FE526" s="532"/>
      <c r="FF526" s="532"/>
      <c r="FG526" s="532"/>
      <c r="FH526" s="532"/>
      <c r="FI526" s="532"/>
      <c r="FJ526" s="532"/>
      <c r="FK526" s="532"/>
      <c r="FL526" s="532"/>
      <c r="FM526" s="532"/>
      <c r="FN526" s="532"/>
      <c r="FO526" s="532"/>
      <c r="FP526" s="532"/>
    </row>
    <row r="527" spans="1:172" ht="12" customHeight="1" x14ac:dyDescent="0.2">
      <c r="A527" s="531"/>
      <c r="B527" s="534"/>
      <c r="C527" s="534"/>
      <c r="D527" s="534"/>
      <c r="E527" s="534"/>
      <c r="F527" s="534"/>
      <c r="G527" s="534"/>
      <c r="H527" s="534"/>
      <c r="I527" s="534"/>
      <c r="J527" s="534"/>
      <c r="K527" s="535"/>
      <c r="L527" s="534"/>
      <c r="M527" s="534"/>
      <c r="N527" s="534"/>
      <c r="O527" s="535"/>
      <c r="P527" s="531"/>
      <c r="Q527" s="531"/>
      <c r="R527" s="531"/>
      <c r="S527" s="531"/>
      <c r="T527" s="531"/>
      <c r="U527" s="531"/>
      <c r="V527" s="531"/>
      <c r="W527" s="531"/>
      <c r="X527" s="531"/>
      <c r="Y527" s="531"/>
      <c r="Z527" s="531"/>
      <c r="AA527" s="531"/>
      <c r="AB527" s="531"/>
      <c r="AC527" s="531"/>
      <c r="AD527" s="531"/>
      <c r="AE527" s="531"/>
      <c r="AF527" s="531"/>
      <c r="AG527" s="531"/>
      <c r="AH527" s="532"/>
      <c r="AI527" s="532"/>
      <c r="AJ527" s="532"/>
      <c r="AK527" s="532"/>
      <c r="AL527" s="532"/>
      <c r="AM527" s="532"/>
      <c r="AN527" s="532"/>
      <c r="AO527" s="532"/>
      <c r="AP527" s="532"/>
      <c r="AQ527" s="532"/>
      <c r="AR527" s="532"/>
      <c r="AS527" s="532"/>
      <c r="AT527" s="532"/>
      <c r="AU527" s="532"/>
      <c r="AV527" s="532"/>
      <c r="AW527" s="532"/>
      <c r="AX527" s="532"/>
      <c r="AY527" s="532"/>
      <c r="AZ527" s="532"/>
      <c r="BA527" s="532"/>
      <c r="BB527" s="532"/>
      <c r="BC527" s="532"/>
      <c r="BD527" s="532"/>
      <c r="BE527" s="532"/>
      <c r="BF527" s="532"/>
      <c r="BG527" s="532"/>
      <c r="BH527" s="532"/>
      <c r="BI527" s="532"/>
      <c r="BJ527" s="532"/>
      <c r="BK527" s="532"/>
      <c r="BL527" s="532"/>
      <c r="BM527" s="532"/>
      <c r="BN527" s="532"/>
      <c r="BO527" s="532"/>
      <c r="BP527" s="532"/>
      <c r="BQ527" s="532"/>
      <c r="BR527" s="532"/>
      <c r="BS527" s="532"/>
      <c r="BT527" s="532"/>
      <c r="BU527" s="532"/>
      <c r="BV527" s="532"/>
      <c r="BW527" s="532"/>
      <c r="BX527" s="532"/>
      <c r="BY527" s="532"/>
      <c r="BZ527" s="532"/>
      <c r="CA527" s="532"/>
      <c r="CB527" s="532"/>
      <c r="CC527" s="532"/>
      <c r="CD527" s="532"/>
      <c r="CE527" s="532"/>
      <c r="CF527" s="532"/>
      <c r="CG527" s="532"/>
      <c r="CH527" s="532"/>
      <c r="CI527" s="532"/>
      <c r="CJ527" s="532"/>
      <c r="CK527" s="532"/>
      <c r="CL527" s="532"/>
      <c r="CM527" s="532"/>
      <c r="CN527" s="532"/>
      <c r="CO527" s="532"/>
      <c r="CP527" s="532"/>
      <c r="CQ527" s="532"/>
      <c r="CR527" s="532"/>
      <c r="CS527" s="532"/>
      <c r="CT527" s="532"/>
      <c r="CU527" s="532"/>
      <c r="CV527" s="532"/>
      <c r="CW527" s="532"/>
      <c r="CX527" s="532"/>
      <c r="CY527" s="532"/>
      <c r="CZ527" s="532"/>
      <c r="DA527" s="532"/>
      <c r="DB527" s="532"/>
      <c r="DC527" s="532"/>
      <c r="DD527" s="532"/>
      <c r="DE527" s="532"/>
      <c r="DF527" s="532"/>
      <c r="DG527" s="532"/>
      <c r="DH527" s="532"/>
      <c r="DI527" s="532"/>
      <c r="DJ527" s="532"/>
      <c r="DK527" s="532"/>
      <c r="DL527" s="532"/>
      <c r="DM527" s="532"/>
      <c r="DN527" s="532"/>
      <c r="DO527" s="532"/>
      <c r="DP527" s="532"/>
      <c r="DQ527" s="532"/>
      <c r="DR527" s="532"/>
      <c r="DS527" s="532"/>
      <c r="DT527" s="532"/>
      <c r="DU527" s="532"/>
      <c r="DV527" s="532"/>
      <c r="DW527" s="532"/>
      <c r="DX527" s="532"/>
      <c r="DY527" s="532"/>
      <c r="DZ527" s="532"/>
      <c r="EA527" s="532"/>
      <c r="EB527" s="532"/>
      <c r="EC527" s="532"/>
      <c r="ED527" s="532"/>
      <c r="EE527" s="532"/>
      <c r="EF527" s="532"/>
      <c r="EG527" s="532"/>
      <c r="EH527" s="532"/>
      <c r="EI527" s="532"/>
      <c r="EJ527" s="532"/>
      <c r="EK527" s="532"/>
      <c r="EL527" s="532"/>
      <c r="EM527" s="532"/>
      <c r="EN527" s="532"/>
      <c r="EO527" s="532"/>
      <c r="EP527" s="532"/>
      <c r="EQ527" s="532"/>
      <c r="ER527" s="532"/>
      <c r="ES527" s="532"/>
      <c r="ET527" s="532"/>
      <c r="EU527" s="532"/>
      <c r="EV527" s="532"/>
      <c r="EW527" s="532"/>
      <c r="EX527" s="532"/>
      <c r="EY527" s="532"/>
      <c r="EZ527" s="532"/>
      <c r="FA527" s="532"/>
      <c r="FB527" s="532"/>
      <c r="FC527" s="532"/>
      <c r="FD527" s="532"/>
      <c r="FE527" s="532"/>
      <c r="FF527" s="532"/>
      <c r="FG527" s="532"/>
      <c r="FH527" s="532"/>
      <c r="FI527" s="532"/>
      <c r="FJ527" s="532"/>
      <c r="FK527" s="532"/>
      <c r="FL527" s="532"/>
      <c r="FM527" s="532"/>
      <c r="FN527" s="532"/>
      <c r="FO527" s="532"/>
      <c r="FP527" s="532"/>
    </row>
    <row r="528" spans="1:172" ht="12" customHeight="1" x14ac:dyDescent="0.2">
      <c r="A528" s="531"/>
      <c r="B528" s="534"/>
      <c r="C528" s="534"/>
      <c r="D528" s="534"/>
      <c r="E528" s="534"/>
      <c r="F528" s="534"/>
      <c r="G528" s="534"/>
      <c r="H528" s="534"/>
      <c r="I528" s="534"/>
      <c r="J528" s="534"/>
      <c r="K528" s="535"/>
      <c r="L528" s="534"/>
      <c r="M528" s="534"/>
      <c r="N528" s="534"/>
      <c r="O528" s="535"/>
      <c r="P528" s="531"/>
      <c r="Q528" s="531"/>
      <c r="R528" s="531"/>
      <c r="S528" s="531"/>
      <c r="T528" s="531"/>
      <c r="U528" s="531"/>
      <c r="V528" s="531"/>
      <c r="W528" s="531"/>
      <c r="X528" s="531"/>
      <c r="Y528" s="531"/>
      <c r="Z528" s="531"/>
      <c r="AA528" s="531"/>
      <c r="AB528" s="531"/>
      <c r="AC528" s="531"/>
      <c r="AD528" s="531"/>
      <c r="AE528" s="531"/>
      <c r="AF528" s="531"/>
      <c r="AG528" s="531"/>
      <c r="AH528" s="532"/>
      <c r="AI528" s="532"/>
      <c r="AJ528" s="532"/>
      <c r="AK528" s="532"/>
      <c r="AL528" s="532"/>
      <c r="AM528" s="532"/>
      <c r="AN528" s="532"/>
      <c r="AO528" s="532"/>
      <c r="AP528" s="532"/>
      <c r="AQ528" s="532"/>
      <c r="AR528" s="532"/>
      <c r="AS528" s="532"/>
      <c r="AT528" s="532"/>
      <c r="AU528" s="532"/>
      <c r="AV528" s="532"/>
      <c r="AW528" s="532"/>
      <c r="AX528" s="532"/>
      <c r="AY528" s="532"/>
      <c r="AZ528" s="532"/>
      <c r="BA528" s="532"/>
      <c r="BB528" s="532"/>
      <c r="BC528" s="532"/>
      <c r="BD528" s="532"/>
      <c r="BE528" s="532"/>
      <c r="BF528" s="532"/>
      <c r="BG528" s="532"/>
      <c r="BH528" s="532"/>
      <c r="BI528" s="532"/>
      <c r="BJ528" s="532"/>
      <c r="BK528" s="532"/>
      <c r="BL528" s="532"/>
      <c r="BM528" s="532"/>
      <c r="BN528" s="532"/>
      <c r="BO528" s="532"/>
      <c r="BP528" s="532"/>
      <c r="BQ528" s="532"/>
      <c r="BR528" s="532"/>
      <c r="BS528" s="532"/>
      <c r="BT528" s="532"/>
      <c r="BU528" s="532"/>
      <c r="BV528" s="532"/>
      <c r="BW528" s="532"/>
      <c r="BX528" s="532"/>
      <c r="BY528" s="532"/>
      <c r="BZ528" s="532"/>
      <c r="CA528" s="532"/>
      <c r="CB528" s="532"/>
      <c r="CC528" s="532"/>
      <c r="CD528" s="532"/>
      <c r="CE528" s="532"/>
      <c r="CF528" s="532"/>
      <c r="CG528" s="532"/>
      <c r="CH528" s="532"/>
      <c r="CI528" s="532"/>
      <c r="CJ528" s="532"/>
      <c r="CK528" s="532"/>
      <c r="CL528" s="532"/>
      <c r="CM528" s="532"/>
      <c r="CN528" s="532"/>
      <c r="CO528" s="532"/>
      <c r="CP528" s="532"/>
      <c r="CQ528" s="532"/>
      <c r="CR528" s="532"/>
      <c r="CS528" s="532"/>
      <c r="CT528" s="532"/>
      <c r="CU528" s="532"/>
      <c r="CV528" s="532"/>
      <c r="CW528" s="532"/>
      <c r="CX528" s="532"/>
      <c r="CY528" s="532"/>
      <c r="CZ528" s="532"/>
      <c r="DA528" s="532"/>
      <c r="DB528" s="532"/>
      <c r="DC528" s="532"/>
      <c r="DD528" s="532"/>
      <c r="DE528" s="532"/>
      <c r="DF528" s="532"/>
      <c r="DG528" s="532"/>
      <c r="DH528" s="532"/>
      <c r="DI528" s="532"/>
      <c r="DJ528" s="532"/>
      <c r="DK528" s="532"/>
      <c r="DL528" s="532"/>
      <c r="DM528" s="532"/>
      <c r="DN528" s="532"/>
      <c r="DO528" s="532"/>
      <c r="DP528" s="532"/>
      <c r="DQ528" s="532"/>
      <c r="DR528" s="532"/>
      <c r="DS528" s="532"/>
      <c r="DT528" s="532"/>
      <c r="DU528" s="532"/>
      <c r="DV528" s="532"/>
      <c r="DW528" s="532"/>
      <c r="DX528" s="532"/>
      <c r="DY528" s="532"/>
      <c r="DZ528" s="532"/>
      <c r="EA528" s="532"/>
      <c r="EB528" s="532"/>
      <c r="EC528" s="532"/>
      <c r="ED528" s="532"/>
      <c r="EE528" s="532"/>
      <c r="EF528" s="532"/>
      <c r="EG528" s="532"/>
      <c r="EH528" s="532"/>
      <c r="EI528" s="532"/>
      <c r="EJ528" s="532"/>
      <c r="EK528" s="532"/>
      <c r="EL528" s="532"/>
      <c r="EM528" s="532"/>
      <c r="EN528" s="532"/>
      <c r="EO528" s="532"/>
      <c r="EP528" s="532"/>
      <c r="EQ528" s="532"/>
      <c r="ER528" s="532"/>
      <c r="ES528" s="532"/>
      <c r="ET528" s="532"/>
      <c r="EU528" s="532"/>
      <c r="EV528" s="532"/>
      <c r="EW528" s="532"/>
      <c r="EX528" s="532"/>
      <c r="EY528" s="532"/>
      <c r="EZ528" s="532"/>
      <c r="FA528" s="532"/>
      <c r="FB528" s="532"/>
      <c r="FC528" s="532"/>
      <c r="FD528" s="532"/>
      <c r="FE528" s="532"/>
      <c r="FF528" s="532"/>
      <c r="FG528" s="532"/>
      <c r="FH528" s="532"/>
      <c r="FI528" s="532"/>
      <c r="FJ528" s="532"/>
      <c r="FK528" s="532"/>
      <c r="FL528" s="532"/>
      <c r="FM528" s="532"/>
      <c r="FN528" s="532"/>
      <c r="FO528" s="532"/>
      <c r="FP528" s="532"/>
    </row>
    <row r="529" spans="1:172" ht="12" customHeight="1" x14ac:dyDescent="0.2">
      <c r="A529" s="531"/>
      <c r="B529" s="534"/>
      <c r="C529" s="534"/>
      <c r="D529" s="534"/>
      <c r="E529" s="534"/>
      <c r="F529" s="534"/>
      <c r="G529" s="534"/>
      <c r="H529" s="534"/>
      <c r="I529" s="534"/>
      <c r="J529" s="534"/>
      <c r="K529" s="535"/>
      <c r="L529" s="534"/>
      <c r="M529" s="534"/>
      <c r="N529" s="534"/>
      <c r="O529" s="535"/>
      <c r="P529" s="531"/>
      <c r="Q529" s="531"/>
      <c r="R529" s="531"/>
      <c r="S529" s="531"/>
      <c r="T529" s="531"/>
      <c r="U529" s="531"/>
      <c r="V529" s="531"/>
      <c r="W529" s="531"/>
      <c r="X529" s="531"/>
      <c r="Y529" s="531"/>
      <c r="Z529" s="531"/>
      <c r="AA529" s="531"/>
      <c r="AB529" s="531"/>
      <c r="AC529" s="531"/>
      <c r="AD529" s="531"/>
      <c r="AE529" s="531"/>
      <c r="AF529" s="531"/>
      <c r="AG529" s="531"/>
      <c r="AH529" s="532"/>
      <c r="AI529" s="532"/>
      <c r="AJ529" s="532"/>
      <c r="AK529" s="532"/>
      <c r="AL529" s="532"/>
      <c r="AM529" s="532"/>
      <c r="AN529" s="532"/>
      <c r="AO529" s="532"/>
      <c r="AP529" s="532"/>
      <c r="AQ529" s="532"/>
      <c r="AR529" s="532"/>
      <c r="AS529" s="532"/>
      <c r="AT529" s="532"/>
      <c r="AU529" s="532"/>
      <c r="AV529" s="532"/>
      <c r="AW529" s="532"/>
      <c r="AX529" s="532"/>
      <c r="AY529" s="532"/>
      <c r="AZ529" s="532"/>
      <c r="BA529" s="532"/>
      <c r="BB529" s="532"/>
      <c r="BC529" s="532"/>
      <c r="BD529" s="532"/>
      <c r="BE529" s="532"/>
      <c r="BF529" s="532"/>
      <c r="BG529" s="532"/>
      <c r="BH529" s="532"/>
      <c r="BI529" s="532"/>
      <c r="BJ529" s="532"/>
      <c r="BK529" s="532"/>
      <c r="BL529" s="532"/>
      <c r="BM529" s="532"/>
      <c r="BN529" s="532"/>
      <c r="BO529" s="532"/>
      <c r="BP529" s="532"/>
      <c r="BQ529" s="532"/>
      <c r="BR529" s="532"/>
      <c r="BS529" s="532"/>
      <c r="BT529" s="532"/>
      <c r="BU529" s="532"/>
      <c r="BV529" s="532"/>
      <c r="BW529" s="532"/>
      <c r="BX529" s="532"/>
      <c r="BY529" s="532"/>
      <c r="BZ529" s="532"/>
      <c r="CA529" s="532"/>
      <c r="CB529" s="532"/>
      <c r="CC529" s="532"/>
      <c r="CD529" s="532"/>
      <c r="CE529" s="532"/>
      <c r="CF529" s="532"/>
      <c r="CG529" s="532"/>
      <c r="CH529" s="532"/>
      <c r="CI529" s="532"/>
      <c r="CJ529" s="532"/>
      <c r="CK529" s="532"/>
      <c r="CL529" s="532"/>
      <c r="CM529" s="532"/>
      <c r="CN529" s="532"/>
      <c r="CO529" s="532"/>
      <c r="CP529" s="532"/>
      <c r="CQ529" s="532"/>
      <c r="CR529" s="532"/>
      <c r="CS529" s="532"/>
      <c r="CT529" s="532"/>
      <c r="CU529" s="532"/>
      <c r="CV529" s="532"/>
      <c r="CW529" s="532"/>
      <c r="CX529" s="532"/>
      <c r="CY529" s="532"/>
      <c r="CZ529" s="532"/>
      <c r="DA529" s="532"/>
      <c r="DB529" s="532"/>
      <c r="DC529" s="532"/>
      <c r="DD529" s="532"/>
      <c r="DE529" s="532"/>
      <c r="DF529" s="532"/>
      <c r="DG529" s="532"/>
      <c r="DH529" s="532"/>
      <c r="DI529" s="532"/>
      <c r="DJ529" s="532"/>
      <c r="DK529" s="532"/>
      <c r="DL529" s="532"/>
      <c r="DM529" s="532"/>
      <c r="DN529" s="532"/>
      <c r="DO529" s="532"/>
      <c r="DP529" s="532"/>
      <c r="DQ529" s="532"/>
      <c r="DR529" s="532"/>
      <c r="DS529" s="532"/>
      <c r="DT529" s="532"/>
      <c r="DU529" s="532"/>
      <c r="DV529" s="532"/>
      <c r="DW529" s="532"/>
      <c r="DX529" s="532"/>
      <c r="DY529" s="532"/>
      <c r="DZ529" s="532"/>
      <c r="EA529" s="532"/>
      <c r="EB529" s="532"/>
      <c r="EC529" s="532"/>
      <c r="ED529" s="532"/>
      <c r="EE529" s="532"/>
      <c r="EF529" s="532"/>
      <c r="EG529" s="532"/>
      <c r="EH529" s="532"/>
      <c r="EI529" s="532"/>
      <c r="EJ529" s="532"/>
      <c r="EK529" s="532"/>
      <c r="EL529" s="532"/>
      <c r="EM529" s="532"/>
      <c r="EN529" s="532"/>
      <c r="EO529" s="532"/>
      <c r="EP529" s="532"/>
      <c r="EQ529" s="532"/>
      <c r="ER529" s="532"/>
      <c r="ES529" s="532"/>
      <c r="ET529" s="532"/>
      <c r="EU529" s="532"/>
      <c r="EV529" s="532"/>
      <c r="EW529" s="532"/>
      <c r="EX529" s="532"/>
      <c r="EY529" s="532"/>
      <c r="EZ529" s="532"/>
      <c r="FA529" s="532"/>
      <c r="FB529" s="532"/>
      <c r="FC529" s="532"/>
      <c r="FD529" s="532"/>
      <c r="FE529" s="532"/>
      <c r="FF529" s="532"/>
      <c r="FG529" s="532"/>
      <c r="FH529" s="532"/>
      <c r="FI529" s="532"/>
      <c r="FJ529" s="532"/>
      <c r="FK529" s="532"/>
      <c r="FL529" s="532"/>
      <c r="FM529" s="532"/>
      <c r="FN529" s="532"/>
      <c r="FO529" s="532"/>
      <c r="FP529" s="532"/>
    </row>
    <row r="530" spans="1:172" ht="12" customHeight="1" x14ac:dyDescent="0.2">
      <c r="A530" s="531"/>
      <c r="B530" s="534"/>
      <c r="C530" s="534"/>
      <c r="D530" s="534"/>
      <c r="E530" s="534"/>
      <c r="F530" s="534"/>
      <c r="G530" s="534"/>
      <c r="H530" s="534"/>
      <c r="I530" s="534"/>
      <c r="J530" s="534"/>
      <c r="K530" s="535"/>
      <c r="L530" s="534"/>
      <c r="M530" s="534"/>
      <c r="N530" s="534"/>
      <c r="O530" s="535"/>
      <c r="P530" s="531"/>
      <c r="Q530" s="531"/>
      <c r="R530" s="531"/>
      <c r="S530" s="531"/>
      <c r="T530" s="531"/>
      <c r="U530" s="531"/>
      <c r="V530" s="531"/>
      <c r="W530" s="531"/>
      <c r="X530" s="531"/>
      <c r="Y530" s="531"/>
      <c r="Z530" s="531"/>
      <c r="AA530" s="531"/>
      <c r="AB530" s="531"/>
      <c r="AC530" s="531"/>
      <c r="AD530" s="531"/>
      <c r="AE530" s="531"/>
      <c r="AF530" s="531"/>
      <c r="AG530" s="531"/>
      <c r="AH530" s="532"/>
      <c r="AI530" s="532"/>
      <c r="AJ530" s="532"/>
      <c r="AK530" s="532"/>
      <c r="AL530" s="532"/>
      <c r="AM530" s="532"/>
      <c r="AN530" s="532"/>
      <c r="AO530" s="532"/>
      <c r="AP530" s="532"/>
      <c r="AQ530" s="532"/>
      <c r="AR530" s="532"/>
      <c r="AS530" s="532"/>
      <c r="AT530" s="532"/>
      <c r="AU530" s="532"/>
      <c r="AV530" s="532"/>
      <c r="AW530" s="532"/>
      <c r="AX530" s="532"/>
      <c r="AY530" s="532"/>
      <c r="AZ530" s="532"/>
      <c r="BA530" s="532"/>
      <c r="BB530" s="532"/>
      <c r="BC530" s="532"/>
      <c r="BD530" s="532"/>
      <c r="BE530" s="532"/>
      <c r="BF530" s="532"/>
      <c r="BG530" s="532"/>
      <c r="BH530" s="532"/>
      <c r="BI530" s="532"/>
      <c r="BJ530" s="532"/>
      <c r="BK530" s="532"/>
      <c r="BL530" s="532"/>
      <c r="BM530" s="532"/>
      <c r="BN530" s="532"/>
      <c r="BO530" s="532"/>
      <c r="BP530" s="532"/>
      <c r="BQ530" s="532"/>
      <c r="BR530" s="532"/>
      <c r="BS530" s="532"/>
      <c r="BT530" s="532"/>
      <c r="BU530" s="532"/>
      <c r="BV530" s="532"/>
      <c r="BW530" s="532"/>
      <c r="BX530" s="532"/>
      <c r="BY530" s="532"/>
      <c r="BZ530" s="532"/>
      <c r="CA530" s="532"/>
      <c r="CB530" s="532"/>
      <c r="CC530" s="532"/>
      <c r="CD530" s="532"/>
      <c r="CE530" s="532"/>
      <c r="CF530" s="532"/>
      <c r="CG530" s="532"/>
      <c r="CH530" s="532"/>
      <c r="CI530" s="532"/>
      <c r="CJ530" s="532"/>
      <c r="CK530" s="532"/>
      <c r="CL530" s="532"/>
      <c r="CM530" s="532"/>
      <c r="CN530" s="532"/>
      <c r="CO530" s="532"/>
      <c r="CP530" s="532"/>
      <c r="CQ530" s="532"/>
      <c r="CR530" s="532"/>
      <c r="CS530" s="532"/>
      <c r="CT530" s="532"/>
      <c r="CU530" s="532"/>
      <c r="CV530" s="532"/>
      <c r="CW530" s="532"/>
      <c r="CX530" s="532"/>
      <c r="CY530" s="532"/>
      <c r="CZ530" s="532"/>
      <c r="DA530" s="532"/>
      <c r="DB530" s="532"/>
      <c r="DC530" s="532"/>
      <c r="DD530" s="532"/>
      <c r="DE530" s="532"/>
      <c r="DF530" s="532"/>
      <c r="DG530" s="532"/>
      <c r="DH530" s="532"/>
      <c r="DI530" s="532"/>
      <c r="DJ530" s="532"/>
      <c r="DK530" s="532"/>
      <c r="DL530" s="532"/>
      <c r="DM530" s="532"/>
      <c r="DN530" s="532"/>
      <c r="DO530" s="532"/>
      <c r="DP530" s="532"/>
      <c r="DQ530" s="532"/>
      <c r="DR530" s="532"/>
      <c r="DS530" s="532"/>
      <c r="DT530" s="532"/>
      <c r="DU530" s="532"/>
      <c r="DV530" s="532"/>
      <c r="DW530" s="532"/>
      <c r="DX530" s="532"/>
      <c r="DY530" s="532"/>
      <c r="DZ530" s="532"/>
      <c r="EA530" s="532"/>
      <c r="EB530" s="532"/>
      <c r="EC530" s="532"/>
      <c r="ED530" s="532"/>
      <c r="EE530" s="532"/>
      <c r="EF530" s="532"/>
      <c r="EG530" s="532"/>
      <c r="EH530" s="532"/>
      <c r="EI530" s="532"/>
      <c r="EJ530" s="532"/>
      <c r="EK530" s="532"/>
      <c r="EL530" s="532"/>
      <c r="EM530" s="532"/>
      <c r="EN530" s="532"/>
      <c r="EO530" s="532"/>
      <c r="EP530" s="532"/>
      <c r="EQ530" s="532"/>
      <c r="ER530" s="532"/>
      <c r="ES530" s="532"/>
      <c r="ET530" s="532"/>
      <c r="EU530" s="532"/>
      <c r="EV530" s="532"/>
      <c r="EW530" s="532"/>
      <c r="EX530" s="532"/>
      <c r="EY530" s="532"/>
      <c r="EZ530" s="532"/>
      <c r="FA530" s="532"/>
      <c r="FB530" s="532"/>
      <c r="FC530" s="532"/>
      <c r="FD530" s="532"/>
      <c r="FE530" s="532"/>
      <c r="FF530" s="532"/>
      <c r="FG530" s="532"/>
      <c r="FH530" s="532"/>
      <c r="FI530" s="532"/>
      <c r="FJ530" s="532"/>
      <c r="FK530" s="532"/>
      <c r="FL530" s="532"/>
      <c r="FM530" s="532"/>
      <c r="FN530" s="532"/>
      <c r="FO530" s="532"/>
      <c r="FP530" s="532"/>
    </row>
    <row r="531" spans="1:172" ht="12" customHeight="1" x14ac:dyDescent="0.2">
      <c r="A531" s="531"/>
      <c r="B531" s="534"/>
      <c r="C531" s="534"/>
      <c r="D531" s="534"/>
      <c r="E531" s="534"/>
      <c r="F531" s="534"/>
      <c r="G531" s="534"/>
      <c r="H531" s="534"/>
      <c r="I531" s="534"/>
      <c r="J531" s="534"/>
      <c r="K531" s="535"/>
      <c r="L531" s="535"/>
      <c r="M531" s="535"/>
      <c r="N531" s="535"/>
      <c r="O531" s="535"/>
      <c r="P531" s="531"/>
      <c r="Q531" s="531"/>
      <c r="R531" s="531"/>
      <c r="S531" s="531"/>
      <c r="T531" s="531"/>
      <c r="U531" s="531"/>
      <c r="V531" s="531"/>
      <c r="W531" s="531"/>
      <c r="X531" s="531"/>
      <c r="Y531" s="531"/>
      <c r="Z531" s="531"/>
      <c r="AA531" s="531"/>
      <c r="AB531" s="531"/>
      <c r="AC531" s="531"/>
      <c r="AD531" s="531"/>
      <c r="AE531" s="531"/>
      <c r="AF531" s="531"/>
      <c r="AG531" s="531"/>
      <c r="AH531" s="532"/>
      <c r="AI531" s="532"/>
      <c r="AJ531" s="532"/>
      <c r="AK531" s="532"/>
      <c r="AL531" s="532"/>
      <c r="AM531" s="532"/>
      <c r="AN531" s="532"/>
      <c r="AO531" s="532"/>
      <c r="AP531" s="532"/>
      <c r="AQ531" s="532"/>
      <c r="AR531" s="532"/>
      <c r="AS531" s="532"/>
      <c r="AT531" s="532"/>
      <c r="AU531" s="532"/>
      <c r="AV531" s="532"/>
      <c r="AW531" s="532"/>
      <c r="AX531" s="532"/>
      <c r="AY531" s="532"/>
      <c r="AZ531" s="532"/>
      <c r="BA531" s="532"/>
      <c r="BB531" s="532"/>
      <c r="BC531" s="532"/>
      <c r="BD531" s="532"/>
      <c r="BE531" s="532"/>
      <c r="BF531" s="532"/>
      <c r="BG531" s="532"/>
      <c r="BH531" s="532"/>
      <c r="BI531" s="532"/>
      <c r="BJ531" s="532"/>
      <c r="BK531" s="532"/>
      <c r="BL531" s="532"/>
      <c r="BM531" s="532"/>
      <c r="BN531" s="532"/>
      <c r="BO531" s="532"/>
      <c r="BP531" s="532"/>
      <c r="BQ531" s="532"/>
      <c r="BR531" s="532"/>
      <c r="BS531" s="532"/>
      <c r="BT531" s="532"/>
      <c r="BU531" s="532"/>
      <c r="BV531" s="532"/>
      <c r="BW531" s="532"/>
      <c r="BX531" s="532"/>
      <c r="BY531" s="532"/>
      <c r="BZ531" s="532"/>
      <c r="CA531" s="532"/>
      <c r="CB531" s="532"/>
      <c r="CC531" s="532"/>
      <c r="CD531" s="532"/>
      <c r="CE531" s="532"/>
      <c r="CF531" s="532"/>
      <c r="CG531" s="532"/>
      <c r="CH531" s="532"/>
      <c r="CI531" s="532"/>
      <c r="CJ531" s="532"/>
      <c r="CK531" s="532"/>
      <c r="CL531" s="532"/>
      <c r="CM531" s="532"/>
      <c r="CN531" s="532"/>
      <c r="CO531" s="532"/>
      <c r="CP531" s="532"/>
      <c r="CQ531" s="532"/>
      <c r="CR531" s="532"/>
      <c r="CS531" s="532"/>
      <c r="CT531" s="532"/>
      <c r="CU531" s="532"/>
      <c r="CV531" s="532"/>
      <c r="CW531" s="532"/>
      <c r="CX531" s="532"/>
      <c r="CY531" s="532"/>
      <c r="CZ531" s="532"/>
      <c r="DA531" s="532"/>
      <c r="DB531" s="532"/>
      <c r="DC531" s="532"/>
      <c r="DD531" s="532"/>
      <c r="DE531" s="532"/>
      <c r="DF531" s="532"/>
      <c r="DG531" s="532"/>
      <c r="DH531" s="532"/>
      <c r="DI531" s="532"/>
      <c r="DJ531" s="532"/>
      <c r="DK531" s="532"/>
      <c r="DL531" s="532"/>
      <c r="DM531" s="532"/>
      <c r="DN531" s="532"/>
      <c r="DO531" s="532"/>
      <c r="DP531" s="532"/>
      <c r="DQ531" s="532"/>
      <c r="DR531" s="532"/>
      <c r="DS531" s="532"/>
      <c r="DT531" s="532"/>
      <c r="DU531" s="532"/>
      <c r="DV531" s="532"/>
      <c r="DW531" s="532"/>
      <c r="DX531" s="532"/>
      <c r="DY531" s="532"/>
      <c r="DZ531" s="532"/>
      <c r="EA531" s="532"/>
      <c r="EB531" s="532"/>
      <c r="EC531" s="532"/>
      <c r="ED531" s="532"/>
      <c r="EE531" s="532"/>
      <c r="EF531" s="532"/>
      <c r="EG531" s="532"/>
      <c r="EH531" s="532"/>
      <c r="EI531" s="532"/>
      <c r="EJ531" s="532"/>
      <c r="EK531" s="532"/>
      <c r="EL531" s="532"/>
      <c r="EM531" s="532"/>
      <c r="EN531" s="532"/>
      <c r="EO531" s="532"/>
      <c r="EP531" s="532"/>
      <c r="EQ531" s="532"/>
      <c r="ER531" s="532"/>
      <c r="ES531" s="532"/>
      <c r="ET531" s="532"/>
      <c r="EU531" s="532"/>
      <c r="EV531" s="532"/>
      <c r="EW531" s="532"/>
      <c r="EX531" s="532"/>
      <c r="EY531" s="532"/>
      <c r="EZ531" s="532"/>
      <c r="FA531" s="532"/>
      <c r="FB531" s="532"/>
      <c r="FC531" s="532"/>
      <c r="FD531" s="532"/>
      <c r="FE531" s="532"/>
      <c r="FF531" s="532"/>
      <c r="FG531" s="532"/>
      <c r="FH531" s="532"/>
      <c r="FI531" s="532"/>
      <c r="FJ531" s="532"/>
      <c r="FK531" s="532"/>
      <c r="FL531" s="532"/>
      <c r="FM531" s="532"/>
      <c r="FN531" s="532"/>
      <c r="FO531" s="532"/>
      <c r="FP531" s="532"/>
    </row>
    <row r="532" spans="1:172" ht="12" customHeight="1" x14ac:dyDescent="0.2">
      <c r="A532" s="531"/>
      <c r="B532" s="534"/>
      <c r="C532" s="534"/>
      <c r="D532" s="534"/>
      <c r="E532" s="534"/>
      <c r="F532" s="534"/>
      <c r="G532" s="534"/>
      <c r="H532" s="534"/>
      <c r="I532" s="534"/>
      <c r="J532" s="534"/>
      <c r="K532" s="535"/>
      <c r="L532" s="534"/>
      <c r="M532" s="534"/>
      <c r="N532" s="534"/>
      <c r="O532" s="535"/>
      <c r="P532" s="531"/>
      <c r="Q532" s="531"/>
      <c r="R532" s="531"/>
      <c r="S532" s="531"/>
      <c r="T532" s="531"/>
      <c r="U532" s="531"/>
      <c r="V532" s="531"/>
      <c r="W532" s="531"/>
      <c r="X532" s="531"/>
      <c r="Y532" s="531"/>
      <c r="Z532" s="531"/>
      <c r="AA532" s="531"/>
      <c r="AB532" s="531"/>
      <c r="AC532" s="531"/>
      <c r="AD532" s="531"/>
      <c r="AE532" s="531"/>
      <c r="AF532" s="531"/>
      <c r="AG532" s="531"/>
      <c r="AH532" s="532"/>
      <c r="AI532" s="532"/>
      <c r="AJ532" s="532"/>
      <c r="AK532" s="532"/>
      <c r="AL532" s="532"/>
      <c r="AM532" s="532"/>
      <c r="AN532" s="532"/>
      <c r="AO532" s="532"/>
      <c r="AP532" s="532"/>
      <c r="AQ532" s="532"/>
      <c r="AR532" s="532"/>
      <c r="AS532" s="532"/>
      <c r="AT532" s="532"/>
      <c r="AU532" s="532"/>
      <c r="AV532" s="532"/>
      <c r="AW532" s="532"/>
      <c r="AX532" s="532"/>
      <c r="AY532" s="532"/>
      <c r="AZ532" s="532"/>
      <c r="BA532" s="532"/>
      <c r="BB532" s="532"/>
      <c r="BC532" s="532"/>
      <c r="BD532" s="532"/>
      <c r="BE532" s="532"/>
      <c r="BF532" s="532"/>
      <c r="BG532" s="532"/>
      <c r="BH532" s="532"/>
      <c r="BI532" s="532"/>
      <c r="BJ532" s="532"/>
      <c r="BK532" s="532"/>
      <c r="BL532" s="532"/>
      <c r="BM532" s="532"/>
      <c r="BN532" s="532"/>
      <c r="BO532" s="532"/>
      <c r="BP532" s="532"/>
      <c r="BQ532" s="532"/>
      <c r="BR532" s="532"/>
      <c r="BS532" s="532"/>
      <c r="BT532" s="532"/>
      <c r="BU532" s="532"/>
      <c r="BV532" s="532"/>
      <c r="BW532" s="532"/>
      <c r="BX532" s="532"/>
      <c r="BY532" s="532"/>
      <c r="BZ532" s="532"/>
      <c r="CA532" s="532"/>
      <c r="CB532" s="532"/>
      <c r="CC532" s="532"/>
      <c r="CD532" s="532"/>
      <c r="CE532" s="532"/>
      <c r="CF532" s="532"/>
      <c r="CG532" s="532"/>
      <c r="CH532" s="532"/>
      <c r="CI532" s="532"/>
      <c r="CJ532" s="532"/>
      <c r="CK532" s="532"/>
      <c r="CL532" s="532"/>
      <c r="CM532" s="532"/>
      <c r="CN532" s="532"/>
      <c r="CO532" s="532"/>
      <c r="CP532" s="532"/>
      <c r="CQ532" s="532"/>
      <c r="CR532" s="532"/>
      <c r="CS532" s="532"/>
      <c r="CT532" s="532"/>
      <c r="CU532" s="532"/>
      <c r="CV532" s="532"/>
      <c r="CW532" s="532"/>
      <c r="CX532" s="532"/>
      <c r="CY532" s="532"/>
      <c r="CZ532" s="532"/>
      <c r="DA532" s="532"/>
      <c r="DB532" s="532"/>
      <c r="DC532" s="532"/>
      <c r="DD532" s="532"/>
      <c r="DE532" s="532"/>
      <c r="DF532" s="532"/>
      <c r="DG532" s="532"/>
      <c r="DH532" s="532"/>
      <c r="DI532" s="532"/>
      <c r="DJ532" s="532"/>
      <c r="DK532" s="532"/>
      <c r="DL532" s="532"/>
      <c r="DM532" s="532"/>
      <c r="DN532" s="532"/>
      <c r="DO532" s="532"/>
      <c r="DP532" s="532"/>
      <c r="DQ532" s="532"/>
      <c r="DR532" s="532"/>
      <c r="DS532" s="532"/>
      <c r="DT532" s="532"/>
      <c r="DU532" s="532"/>
      <c r="DV532" s="532"/>
      <c r="DW532" s="532"/>
      <c r="DX532" s="532"/>
      <c r="DY532" s="532"/>
      <c r="DZ532" s="532"/>
      <c r="EA532" s="532"/>
      <c r="EB532" s="532"/>
      <c r="EC532" s="532"/>
      <c r="ED532" s="532"/>
      <c r="EE532" s="532"/>
      <c r="EF532" s="532"/>
      <c r="EG532" s="532"/>
      <c r="EH532" s="532"/>
      <c r="EI532" s="532"/>
      <c r="EJ532" s="532"/>
      <c r="EK532" s="532"/>
      <c r="EL532" s="532"/>
      <c r="EM532" s="532"/>
      <c r="EN532" s="532"/>
      <c r="EO532" s="532"/>
      <c r="EP532" s="532"/>
      <c r="EQ532" s="532"/>
      <c r="ER532" s="532"/>
      <c r="ES532" s="532"/>
      <c r="ET532" s="532"/>
      <c r="EU532" s="532"/>
      <c r="EV532" s="532"/>
      <c r="EW532" s="532"/>
      <c r="EX532" s="532"/>
      <c r="EY532" s="532"/>
      <c r="EZ532" s="532"/>
      <c r="FA532" s="532"/>
      <c r="FB532" s="532"/>
      <c r="FC532" s="532"/>
      <c r="FD532" s="532"/>
      <c r="FE532" s="532"/>
      <c r="FF532" s="532"/>
      <c r="FG532" s="532"/>
      <c r="FH532" s="532"/>
      <c r="FI532" s="532"/>
      <c r="FJ532" s="532"/>
      <c r="FK532" s="532"/>
      <c r="FL532" s="532"/>
      <c r="FM532" s="532"/>
      <c r="FN532" s="532"/>
      <c r="FO532" s="532"/>
      <c r="FP532" s="532"/>
    </row>
    <row r="533" spans="1:172" ht="12" customHeight="1" x14ac:dyDescent="0.2">
      <c r="A533" s="531"/>
      <c r="B533" s="534"/>
      <c r="C533" s="534"/>
      <c r="D533" s="534"/>
      <c r="E533" s="534"/>
      <c r="F533" s="534"/>
      <c r="G533" s="534"/>
      <c r="H533" s="534"/>
      <c r="I533" s="534"/>
      <c r="J533" s="534"/>
      <c r="K533" s="535"/>
      <c r="L533" s="534"/>
      <c r="M533" s="534"/>
      <c r="N533" s="534"/>
      <c r="O533" s="534"/>
      <c r="P533" s="531"/>
      <c r="Q533" s="531"/>
      <c r="R533" s="531"/>
      <c r="S533" s="531"/>
      <c r="T533" s="531"/>
      <c r="U533" s="531"/>
      <c r="V533" s="531"/>
      <c r="W533" s="531"/>
      <c r="X533" s="531"/>
      <c r="Y533" s="531"/>
      <c r="Z533" s="531"/>
      <c r="AA533" s="531"/>
      <c r="AB533" s="531"/>
      <c r="AC533" s="531"/>
      <c r="AD533" s="531"/>
      <c r="AE533" s="531"/>
      <c r="AF533" s="531"/>
      <c r="AG533" s="531"/>
      <c r="AH533" s="532"/>
      <c r="AI533" s="532"/>
      <c r="AJ533" s="532"/>
      <c r="AK533" s="532"/>
      <c r="AL533" s="532"/>
      <c r="AM533" s="532"/>
      <c r="AN533" s="532"/>
      <c r="AO533" s="532"/>
      <c r="AP533" s="532"/>
      <c r="AQ533" s="532"/>
      <c r="AR533" s="532"/>
      <c r="AS533" s="532"/>
      <c r="AT533" s="532"/>
      <c r="AU533" s="532"/>
      <c r="AV533" s="532"/>
      <c r="AW533" s="532"/>
      <c r="AX533" s="532"/>
      <c r="AY533" s="532"/>
      <c r="AZ533" s="532"/>
      <c r="BA533" s="532"/>
      <c r="BB533" s="532"/>
      <c r="BC533" s="532"/>
      <c r="BD533" s="532"/>
      <c r="BE533" s="532"/>
      <c r="BF533" s="532"/>
      <c r="BG533" s="532"/>
      <c r="BH533" s="532"/>
      <c r="BI533" s="532"/>
      <c r="BJ533" s="532"/>
      <c r="BK533" s="532"/>
      <c r="BL533" s="532"/>
      <c r="BM533" s="532"/>
      <c r="BN533" s="532"/>
      <c r="BO533" s="532"/>
      <c r="BP533" s="532"/>
      <c r="BQ533" s="532"/>
      <c r="BR533" s="532"/>
      <c r="BS533" s="532"/>
      <c r="BT533" s="532"/>
      <c r="BU533" s="532"/>
      <c r="BV533" s="532"/>
      <c r="BW533" s="532"/>
      <c r="BX533" s="532"/>
      <c r="BY533" s="532"/>
      <c r="BZ533" s="532"/>
      <c r="CA533" s="532"/>
      <c r="CB533" s="532"/>
      <c r="CC533" s="532"/>
      <c r="CD533" s="532"/>
      <c r="CE533" s="532"/>
      <c r="CF533" s="532"/>
      <c r="CG533" s="532"/>
      <c r="CH533" s="532"/>
      <c r="CI533" s="532"/>
      <c r="CJ533" s="532"/>
      <c r="CK533" s="532"/>
      <c r="CL533" s="532"/>
      <c r="CM533" s="532"/>
      <c r="CN533" s="532"/>
      <c r="CO533" s="532"/>
      <c r="CP533" s="532"/>
      <c r="CQ533" s="532"/>
      <c r="CR533" s="532"/>
      <c r="CS533" s="532"/>
      <c r="CT533" s="532"/>
      <c r="CU533" s="532"/>
      <c r="CV533" s="532"/>
      <c r="CW533" s="532"/>
      <c r="CX533" s="532"/>
      <c r="CY533" s="532"/>
      <c r="CZ533" s="532"/>
      <c r="DA533" s="532"/>
      <c r="DB533" s="532"/>
      <c r="DC533" s="532"/>
      <c r="DD533" s="532"/>
      <c r="DE533" s="532"/>
      <c r="DF533" s="532"/>
      <c r="DG533" s="532"/>
      <c r="DH533" s="532"/>
      <c r="DI533" s="532"/>
      <c r="DJ533" s="532"/>
      <c r="DK533" s="532"/>
      <c r="DL533" s="532"/>
      <c r="DM533" s="532"/>
      <c r="DN533" s="532"/>
      <c r="DO533" s="532"/>
      <c r="DP533" s="532"/>
      <c r="DQ533" s="532"/>
      <c r="DR533" s="532"/>
      <c r="DS533" s="532"/>
      <c r="DT533" s="532"/>
      <c r="DU533" s="532"/>
      <c r="DV533" s="532"/>
      <c r="DW533" s="532"/>
      <c r="DX533" s="532"/>
      <c r="DY533" s="532"/>
      <c r="DZ533" s="532"/>
      <c r="EA533" s="532"/>
      <c r="EB533" s="532"/>
      <c r="EC533" s="532"/>
      <c r="ED533" s="532"/>
      <c r="EE533" s="532"/>
      <c r="EF533" s="532"/>
      <c r="EG533" s="532"/>
      <c r="EH533" s="532"/>
      <c r="EI533" s="532"/>
      <c r="EJ533" s="532"/>
      <c r="EK533" s="532"/>
      <c r="EL533" s="532"/>
      <c r="EM533" s="532"/>
      <c r="EN533" s="532"/>
      <c r="EO533" s="532"/>
      <c r="EP533" s="532"/>
      <c r="EQ533" s="532"/>
      <c r="ER533" s="532"/>
      <c r="ES533" s="532"/>
      <c r="ET533" s="532"/>
      <c r="EU533" s="532"/>
      <c r="EV533" s="532"/>
      <c r="EW533" s="532"/>
      <c r="EX533" s="532"/>
      <c r="EY533" s="532"/>
      <c r="EZ533" s="532"/>
      <c r="FA533" s="532"/>
      <c r="FB533" s="532"/>
      <c r="FC533" s="532"/>
      <c r="FD533" s="532"/>
      <c r="FE533" s="532"/>
      <c r="FF533" s="532"/>
      <c r="FG533" s="532"/>
      <c r="FH533" s="532"/>
      <c r="FI533" s="532"/>
      <c r="FJ533" s="532"/>
      <c r="FK533" s="532"/>
      <c r="FL533" s="532"/>
      <c r="FM533" s="532"/>
      <c r="FN533" s="532"/>
      <c r="FO533" s="532"/>
      <c r="FP533" s="532"/>
    </row>
    <row r="534" spans="1:172" ht="12" customHeight="1" x14ac:dyDescent="0.2">
      <c r="A534" s="531"/>
      <c r="B534" s="534"/>
      <c r="C534" s="534"/>
      <c r="D534" s="534"/>
      <c r="E534" s="534"/>
      <c r="F534" s="534"/>
      <c r="G534" s="534"/>
      <c r="H534" s="534"/>
      <c r="I534" s="534"/>
      <c r="J534" s="534"/>
      <c r="K534" s="535"/>
      <c r="L534" s="534"/>
      <c r="M534" s="534"/>
      <c r="N534" s="534"/>
      <c r="O534" s="534"/>
      <c r="P534" s="531"/>
      <c r="Q534" s="531"/>
      <c r="R534" s="531"/>
      <c r="S534" s="531"/>
      <c r="T534" s="531"/>
      <c r="U534" s="531"/>
      <c r="V534" s="531"/>
      <c r="W534" s="531"/>
      <c r="X534" s="531"/>
      <c r="Y534" s="531"/>
      <c r="Z534" s="531"/>
      <c r="AA534" s="531"/>
      <c r="AB534" s="531"/>
      <c r="AC534" s="531"/>
      <c r="AD534" s="531"/>
      <c r="AE534" s="531"/>
      <c r="AF534" s="531"/>
      <c r="AG534" s="531"/>
      <c r="AH534" s="532"/>
      <c r="AI534" s="532"/>
      <c r="AJ534" s="532"/>
      <c r="AK534" s="532"/>
      <c r="AL534" s="532"/>
      <c r="AM534" s="532"/>
      <c r="AN534" s="532"/>
      <c r="AO534" s="532"/>
      <c r="AP534" s="532"/>
      <c r="AQ534" s="532"/>
      <c r="AR534" s="532"/>
      <c r="AS534" s="532"/>
      <c r="AT534" s="532"/>
      <c r="AU534" s="532"/>
      <c r="AV534" s="532"/>
      <c r="AW534" s="532"/>
      <c r="AX534" s="532"/>
      <c r="AY534" s="532"/>
      <c r="AZ534" s="532"/>
      <c r="BA534" s="532"/>
      <c r="BB534" s="532"/>
      <c r="BC534" s="532"/>
      <c r="BD534" s="532"/>
      <c r="BE534" s="532"/>
      <c r="BF534" s="532"/>
      <c r="BG534" s="532"/>
      <c r="BH534" s="532"/>
      <c r="BI534" s="532"/>
      <c r="BJ534" s="532"/>
      <c r="BK534" s="532"/>
      <c r="BL534" s="532"/>
      <c r="BM534" s="532"/>
      <c r="BN534" s="532"/>
      <c r="BO534" s="532"/>
      <c r="BP534" s="532"/>
      <c r="BQ534" s="532"/>
      <c r="BR534" s="532"/>
      <c r="BS534" s="532"/>
      <c r="BT534" s="532"/>
      <c r="BU534" s="532"/>
      <c r="BV534" s="532"/>
      <c r="BW534" s="532"/>
      <c r="BX534" s="532"/>
      <c r="BY534" s="532"/>
      <c r="BZ534" s="532"/>
      <c r="CA534" s="532"/>
      <c r="CB534" s="532"/>
      <c r="CC534" s="532"/>
      <c r="CD534" s="532"/>
      <c r="CE534" s="532"/>
      <c r="CF534" s="532"/>
      <c r="CG534" s="532"/>
      <c r="CH534" s="532"/>
      <c r="CI534" s="532"/>
      <c r="CJ534" s="532"/>
      <c r="CK534" s="532"/>
      <c r="CL534" s="532"/>
      <c r="CM534" s="532"/>
      <c r="CN534" s="532"/>
      <c r="CO534" s="532"/>
      <c r="CP534" s="532"/>
      <c r="CQ534" s="532"/>
      <c r="CR534" s="532"/>
      <c r="CS534" s="532"/>
      <c r="CT534" s="532"/>
      <c r="CU534" s="532"/>
      <c r="CV534" s="532"/>
      <c r="CW534" s="532"/>
      <c r="CX534" s="532"/>
      <c r="CY534" s="532"/>
      <c r="CZ534" s="532"/>
      <c r="DA534" s="532"/>
      <c r="DB534" s="532"/>
      <c r="DC534" s="532"/>
      <c r="DD534" s="532"/>
      <c r="DE534" s="532"/>
      <c r="DF534" s="532"/>
      <c r="DG534" s="532"/>
      <c r="DH534" s="532"/>
      <c r="DI534" s="532"/>
      <c r="DJ534" s="532"/>
      <c r="DK534" s="532"/>
      <c r="DL534" s="532"/>
      <c r="DM534" s="532"/>
      <c r="DN534" s="532"/>
      <c r="DO534" s="532"/>
      <c r="DP534" s="532"/>
      <c r="DQ534" s="532"/>
      <c r="DR534" s="532"/>
      <c r="DS534" s="532"/>
      <c r="DT534" s="532"/>
      <c r="DU534" s="532"/>
      <c r="DV534" s="532"/>
      <c r="DW534" s="532"/>
      <c r="DX534" s="532"/>
      <c r="DY534" s="532"/>
      <c r="DZ534" s="532"/>
      <c r="EA534" s="532"/>
      <c r="EB534" s="532"/>
      <c r="EC534" s="532"/>
      <c r="ED534" s="532"/>
      <c r="EE534" s="532"/>
      <c r="EF534" s="532"/>
      <c r="EG534" s="532"/>
      <c r="EH534" s="532"/>
      <c r="EI534" s="532"/>
      <c r="EJ534" s="532"/>
      <c r="EK534" s="532"/>
      <c r="EL534" s="532"/>
      <c r="EM534" s="532"/>
      <c r="EN534" s="532"/>
      <c r="EO534" s="532"/>
      <c r="EP534" s="532"/>
      <c r="EQ534" s="532"/>
      <c r="ER534" s="532"/>
      <c r="ES534" s="532"/>
      <c r="ET534" s="532"/>
      <c r="EU534" s="532"/>
      <c r="EV534" s="532"/>
      <c r="EW534" s="532"/>
      <c r="EX534" s="532"/>
      <c r="EY534" s="532"/>
      <c r="EZ534" s="532"/>
      <c r="FA534" s="532"/>
      <c r="FB534" s="532"/>
      <c r="FC534" s="532"/>
      <c r="FD534" s="532"/>
      <c r="FE534" s="532"/>
      <c r="FF534" s="532"/>
      <c r="FG534" s="532"/>
      <c r="FH534" s="532"/>
      <c r="FI534" s="532"/>
      <c r="FJ534" s="532"/>
      <c r="FK534" s="532"/>
      <c r="FL534" s="532"/>
      <c r="FM534" s="532"/>
      <c r="FN534" s="532"/>
      <c r="FO534" s="532"/>
      <c r="FP534" s="532"/>
    </row>
    <row r="535" spans="1:172" ht="12" customHeight="1" x14ac:dyDescent="0.2">
      <c r="A535" s="531"/>
      <c r="B535" s="534"/>
      <c r="C535" s="534"/>
      <c r="D535" s="534"/>
      <c r="E535" s="534"/>
      <c r="F535" s="534"/>
      <c r="G535" s="534"/>
      <c r="H535" s="534"/>
      <c r="I535" s="534"/>
      <c r="J535" s="534"/>
      <c r="K535" s="535"/>
      <c r="L535" s="534"/>
      <c r="M535" s="534"/>
      <c r="N535" s="534"/>
      <c r="O535" s="530"/>
      <c r="P535" s="531"/>
      <c r="Q535" s="531"/>
      <c r="R535" s="531"/>
      <c r="S535" s="531"/>
      <c r="T535" s="531"/>
      <c r="U535" s="531"/>
      <c r="V535" s="531"/>
      <c r="W535" s="531"/>
      <c r="X535" s="531"/>
      <c r="Y535" s="531"/>
      <c r="Z535" s="531"/>
      <c r="AA535" s="531"/>
      <c r="AB535" s="531"/>
      <c r="AC535" s="531"/>
      <c r="AD535" s="531"/>
      <c r="AE535" s="531"/>
      <c r="AF535" s="531"/>
      <c r="AG535" s="531"/>
      <c r="AH535" s="532"/>
      <c r="AI535" s="532"/>
      <c r="AJ535" s="532"/>
      <c r="AK535" s="532"/>
      <c r="AL535" s="532"/>
      <c r="AM535" s="532"/>
      <c r="AN535" s="532"/>
      <c r="AO535" s="532"/>
      <c r="AP535" s="532"/>
      <c r="AQ535" s="532"/>
      <c r="AR535" s="532"/>
      <c r="AS535" s="532"/>
      <c r="AT535" s="532"/>
      <c r="AU535" s="532"/>
      <c r="AV535" s="532"/>
      <c r="AW535" s="532"/>
      <c r="AX535" s="532"/>
      <c r="AY535" s="532"/>
      <c r="AZ535" s="532"/>
      <c r="BA535" s="532"/>
      <c r="BB535" s="532"/>
      <c r="BC535" s="532"/>
      <c r="BD535" s="532"/>
      <c r="BE535" s="532"/>
      <c r="BF535" s="532"/>
      <c r="BG535" s="532"/>
      <c r="BH535" s="532"/>
      <c r="BI535" s="532"/>
      <c r="BJ535" s="532"/>
      <c r="BK535" s="532"/>
      <c r="BL535" s="532"/>
      <c r="BM535" s="532"/>
      <c r="BN535" s="532"/>
      <c r="BO535" s="532"/>
      <c r="BP535" s="532"/>
      <c r="BQ535" s="532"/>
      <c r="BR535" s="532"/>
      <c r="BS535" s="532"/>
      <c r="BT535" s="532"/>
      <c r="BU535" s="532"/>
      <c r="BV535" s="532"/>
      <c r="BW535" s="532"/>
      <c r="BX535" s="532"/>
      <c r="BY535" s="532"/>
      <c r="BZ535" s="532"/>
      <c r="CA535" s="532"/>
      <c r="CB535" s="532"/>
      <c r="CC535" s="532"/>
      <c r="CD535" s="532"/>
      <c r="CE535" s="532"/>
      <c r="CF535" s="532"/>
      <c r="CG535" s="532"/>
      <c r="CH535" s="532"/>
      <c r="CI535" s="532"/>
      <c r="CJ535" s="532"/>
      <c r="CK535" s="532"/>
      <c r="CL535" s="532"/>
      <c r="CM535" s="532"/>
      <c r="CN535" s="532"/>
      <c r="CO535" s="532"/>
      <c r="CP535" s="532"/>
      <c r="CQ535" s="532"/>
      <c r="CR535" s="532"/>
      <c r="CS535" s="532"/>
      <c r="CT535" s="532"/>
      <c r="CU535" s="532"/>
      <c r="CV535" s="532"/>
      <c r="CW535" s="532"/>
      <c r="CX535" s="532"/>
      <c r="CY535" s="532"/>
      <c r="CZ535" s="532"/>
      <c r="DA535" s="532"/>
      <c r="DB535" s="532"/>
      <c r="DC535" s="532"/>
      <c r="DD535" s="532"/>
      <c r="DE535" s="532"/>
      <c r="DF535" s="532"/>
      <c r="DG535" s="532"/>
      <c r="DH535" s="532"/>
      <c r="DI535" s="532"/>
      <c r="DJ535" s="532"/>
      <c r="DK535" s="532"/>
      <c r="DL535" s="532"/>
      <c r="DM535" s="532"/>
      <c r="DN535" s="532"/>
      <c r="DO535" s="532"/>
      <c r="DP535" s="532"/>
      <c r="DQ535" s="532"/>
      <c r="DR535" s="532"/>
      <c r="DS535" s="532"/>
      <c r="DT535" s="532"/>
      <c r="DU535" s="532"/>
      <c r="DV535" s="532"/>
      <c r="DW535" s="532"/>
      <c r="DX535" s="532"/>
      <c r="DY535" s="532"/>
      <c r="DZ535" s="532"/>
      <c r="EA535" s="532"/>
      <c r="EB535" s="532"/>
      <c r="EC535" s="532"/>
      <c r="ED535" s="532"/>
      <c r="EE535" s="532"/>
      <c r="EF535" s="532"/>
      <c r="EG535" s="532"/>
      <c r="EH535" s="532"/>
      <c r="EI535" s="532"/>
      <c r="EJ535" s="532"/>
      <c r="EK535" s="532"/>
      <c r="EL535" s="532"/>
      <c r="EM535" s="532"/>
      <c r="EN535" s="532"/>
      <c r="EO535" s="532"/>
      <c r="EP535" s="532"/>
      <c r="EQ535" s="532"/>
      <c r="ER535" s="532"/>
      <c r="ES535" s="532"/>
      <c r="ET535" s="532"/>
      <c r="EU535" s="532"/>
      <c r="EV535" s="532"/>
      <c r="EW535" s="532"/>
      <c r="EX535" s="532"/>
      <c r="EY535" s="532"/>
      <c r="EZ535" s="532"/>
      <c r="FA535" s="532"/>
      <c r="FB535" s="532"/>
      <c r="FC535" s="532"/>
      <c r="FD535" s="532"/>
      <c r="FE535" s="532"/>
      <c r="FF535" s="532"/>
      <c r="FG535" s="532"/>
      <c r="FH535" s="532"/>
      <c r="FI535" s="532"/>
      <c r="FJ535" s="532"/>
      <c r="FK535" s="532"/>
      <c r="FL535" s="532"/>
      <c r="FM535" s="532"/>
      <c r="FN535" s="532"/>
      <c r="FO535" s="532"/>
      <c r="FP535" s="532"/>
    </row>
    <row r="536" spans="1:172" ht="12" customHeight="1" x14ac:dyDescent="0.2">
      <c r="A536" s="533"/>
      <c r="B536" s="534"/>
      <c r="C536" s="535"/>
      <c r="D536" s="535"/>
      <c r="E536" s="535"/>
      <c r="F536" s="535"/>
      <c r="G536" s="535"/>
      <c r="H536" s="535"/>
      <c r="I536" s="535"/>
      <c r="J536" s="535"/>
      <c r="K536" s="535"/>
      <c r="L536" s="534"/>
      <c r="M536" s="534"/>
      <c r="N536" s="534"/>
      <c r="O536" s="535"/>
      <c r="P536" s="531"/>
      <c r="Q536" s="531"/>
      <c r="R536" s="531"/>
      <c r="S536" s="531"/>
      <c r="T536" s="531"/>
      <c r="U536" s="531"/>
      <c r="V536" s="531"/>
      <c r="W536" s="531"/>
      <c r="X536" s="531"/>
      <c r="Y536" s="531"/>
      <c r="Z536" s="531"/>
      <c r="AA536" s="531"/>
      <c r="AB536" s="531"/>
      <c r="AC536" s="531"/>
      <c r="AD536" s="531"/>
      <c r="AE536" s="531"/>
      <c r="AF536" s="531"/>
      <c r="AG536" s="531"/>
      <c r="AH536" s="532"/>
      <c r="AI536" s="532"/>
      <c r="AJ536" s="532"/>
      <c r="AK536" s="532"/>
      <c r="AL536" s="532"/>
      <c r="AM536" s="532"/>
      <c r="AN536" s="532"/>
      <c r="AO536" s="532"/>
      <c r="AP536" s="532"/>
      <c r="AQ536" s="532"/>
      <c r="AR536" s="532"/>
      <c r="AS536" s="532"/>
      <c r="AT536" s="532"/>
      <c r="AU536" s="532"/>
      <c r="AV536" s="532"/>
      <c r="AW536" s="532"/>
      <c r="AX536" s="532"/>
      <c r="AY536" s="532"/>
      <c r="AZ536" s="532"/>
      <c r="BA536" s="532"/>
      <c r="BB536" s="532"/>
      <c r="BC536" s="532"/>
      <c r="BD536" s="532"/>
      <c r="BE536" s="532"/>
      <c r="BF536" s="532"/>
      <c r="BG536" s="532"/>
      <c r="BH536" s="532"/>
      <c r="BI536" s="532"/>
      <c r="BJ536" s="532"/>
      <c r="BK536" s="532"/>
      <c r="BL536" s="532"/>
      <c r="BM536" s="532"/>
      <c r="BN536" s="532"/>
      <c r="BO536" s="532"/>
      <c r="BP536" s="532"/>
      <c r="BQ536" s="532"/>
      <c r="BR536" s="532"/>
      <c r="BS536" s="532"/>
      <c r="BT536" s="532"/>
      <c r="BU536" s="532"/>
      <c r="BV536" s="532"/>
      <c r="BW536" s="532"/>
      <c r="BX536" s="532"/>
      <c r="BY536" s="532"/>
      <c r="BZ536" s="532"/>
      <c r="CA536" s="532"/>
      <c r="CB536" s="532"/>
      <c r="CC536" s="532"/>
      <c r="CD536" s="532"/>
      <c r="CE536" s="532"/>
      <c r="CF536" s="532"/>
      <c r="CG536" s="532"/>
      <c r="CH536" s="532"/>
      <c r="CI536" s="532"/>
      <c r="CJ536" s="532"/>
      <c r="CK536" s="532"/>
      <c r="CL536" s="532"/>
      <c r="CM536" s="532"/>
      <c r="CN536" s="532"/>
      <c r="CO536" s="532"/>
      <c r="CP536" s="532"/>
      <c r="CQ536" s="532"/>
      <c r="CR536" s="532"/>
      <c r="CS536" s="532"/>
      <c r="CT536" s="532"/>
      <c r="CU536" s="532"/>
      <c r="CV536" s="532"/>
      <c r="CW536" s="532"/>
      <c r="CX536" s="532"/>
      <c r="CY536" s="532"/>
      <c r="CZ536" s="532"/>
      <c r="DA536" s="532"/>
      <c r="DB536" s="532"/>
      <c r="DC536" s="532"/>
      <c r="DD536" s="532"/>
      <c r="DE536" s="532"/>
      <c r="DF536" s="532"/>
      <c r="DG536" s="532"/>
      <c r="DH536" s="532"/>
      <c r="DI536" s="532"/>
      <c r="DJ536" s="532"/>
      <c r="DK536" s="532"/>
      <c r="DL536" s="532"/>
      <c r="DM536" s="532"/>
      <c r="DN536" s="532"/>
      <c r="DO536" s="532"/>
      <c r="DP536" s="532"/>
      <c r="DQ536" s="532"/>
      <c r="DR536" s="532"/>
      <c r="DS536" s="532"/>
      <c r="DT536" s="532"/>
      <c r="DU536" s="532"/>
      <c r="DV536" s="532"/>
      <c r="DW536" s="532"/>
      <c r="DX536" s="532"/>
      <c r="DY536" s="532"/>
      <c r="DZ536" s="532"/>
      <c r="EA536" s="532"/>
      <c r="EB536" s="532"/>
      <c r="EC536" s="532"/>
      <c r="ED536" s="532"/>
      <c r="EE536" s="532"/>
      <c r="EF536" s="532"/>
      <c r="EG536" s="532"/>
      <c r="EH536" s="532"/>
      <c r="EI536" s="532"/>
      <c r="EJ536" s="532"/>
      <c r="EK536" s="532"/>
      <c r="EL536" s="532"/>
      <c r="EM536" s="532"/>
      <c r="EN536" s="532"/>
      <c r="EO536" s="532"/>
      <c r="EP536" s="532"/>
      <c r="EQ536" s="532"/>
      <c r="ER536" s="532"/>
      <c r="ES536" s="532"/>
      <c r="ET536" s="532"/>
      <c r="EU536" s="532"/>
      <c r="EV536" s="532"/>
      <c r="EW536" s="532"/>
      <c r="EX536" s="532"/>
      <c r="EY536" s="532"/>
      <c r="EZ536" s="532"/>
      <c r="FA536" s="532"/>
      <c r="FB536" s="532"/>
      <c r="FC536" s="532"/>
      <c r="FD536" s="532"/>
      <c r="FE536" s="532"/>
      <c r="FF536" s="532"/>
      <c r="FG536" s="532"/>
      <c r="FH536" s="532"/>
      <c r="FI536" s="532"/>
      <c r="FJ536" s="532"/>
      <c r="FK536" s="532"/>
      <c r="FL536" s="532"/>
      <c r="FM536" s="532"/>
      <c r="FN536" s="532"/>
      <c r="FO536" s="532"/>
      <c r="FP536" s="532"/>
    </row>
    <row r="537" spans="1:172" ht="12" customHeight="1" x14ac:dyDescent="0.2">
      <c r="A537" s="533"/>
      <c r="B537" s="534"/>
      <c r="C537" s="534"/>
      <c r="D537" s="534"/>
      <c r="E537" s="534"/>
      <c r="F537" s="534"/>
      <c r="G537" s="534"/>
      <c r="H537" s="534"/>
      <c r="I537" s="534"/>
      <c r="J537" s="534"/>
      <c r="K537" s="535"/>
      <c r="L537" s="534"/>
      <c r="M537" s="534"/>
      <c r="N537" s="534"/>
      <c r="O537" s="530"/>
      <c r="P537" s="531"/>
      <c r="Q537" s="531"/>
      <c r="R537" s="531"/>
      <c r="S537" s="531"/>
      <c r="T537" s="531"/>
      <c r="U537" s="531"/>
      <c r="V537" s="531"/>
      <c r="W537" s="531"/>
      <c r="X537" s="531"/>
      <c r="Y537" s="531"/>
      <c r="Z537" s="531"/>
      <c r="AA537" s="531"/>
      <c r="AB537" s="531"/>
      <c r="AC537" s="531"/>
      <c r="AD537" s="531"/>
      <c r="AE537" s="531"/>
      <c r="AF537" s="531"/>
      <c r="AG537" s="531"/>
      <c r="AH537" s="532"/>
      <c r="AI537" s="532"/>
      <c r="AJ537" s="532"/>
      <c r="AK537" s="532"/>
      <c r="AL537" s="532"/>
      <c r="AM537" s="532"/>
      <c r="AN537" s="532"/>
      <c r="AO537" s="532"/>
      <c r="AP537" s="532"/>
      <c r="AQ537" s="532"/>
      <c r="AR537" s="532"/>
      <c r="AS537" s="532"/>
      <c r="AT537" s="532"/>
      <c r="AU537" s="532"/>
      <c r="AV537" s="532"/>
      <c r="AW537" s="532"/>
      <c r="AX537" s="532"/>
      <c r="AY537" s="532"/>
      <c r="AZ537" s="532"/>
      <c r="BA537" s="532"/>
      <c r="BB537" s="532"/>
      <c r="BC537" s="532"/>
      <c r="BD537" s="532"/>
      <c r="BE537" s="532"/>
      <c r="BF537" s="532"/>
      <c r="BG537" s="532"/>
      <c r="BH537" s="532"/>
      <c r="BI537" s="532"/>
      <c r="BJ537" s="532"/>
      <c r="BK537" s="532"/>
      <c r="BL537" s="532"/>
      <c r="BM537" s="532"/>
      <c r="BN537" s="532"/>
      <c r="BO537" s="532"/>
      <c r="BP537" s="532"/>
      <c r="BQ537" s="532"/>
      <c r="BR537" s="532"/>
      <c r="BS537" s="532"/>
      <c r="BT537" s="532"/>
      <c r="BU537" s="532"/>
      <c r="BV537" s="532"/>
      <c r="BW537" s="532"/>
      <c r="BX537" s="532"/>
      <c r="BY537" s="532"/>
      <c r="BZ537" s="532"/>
      <c r="CA537" s="532"/>
      <c r="CB537" s="532"/>
      <c r="CC537" s="532"/>
      <c r="CD537" s="532"/>
      <c r="CE537" s="532"/>
      <c r="CF537" s="532"/>
      <c r="CG537" s="532"/>
      <c r="CH537" s="532"/>
      <c r="CI537" s="532"/>
      <c r="CJ537" s="532"/>
      <c r="CK537" s="532"/>
      <c r="CL537" s="532"/>
      <c r="CM537" s="532"/>
      <c r="CN537" s="532"/>
      <c r="CO537" s="532"/>
      <c r="CP537" s="532"/>
      <c r="CQ537" s="532"/>
      <c r="CR537" s="532"/>
      <c r="CS537" s="532"/>
      <c r="CT537" s="532"/>
      <c r="CU537" s="532"/>
      <c r="CV537" s="532"/>
      <c r="CW537" s="532"/>
      <c r="CX537" s="532"/>
      <c r="CY537" s="532"/>
      <c r="CZ537" s="532"/>
      <c r="DA537" s="532"/>
      <c r="DB537" s="532"/>
      <c r="DC537" s="532"/>
      <c r="DD537" s="532"/>
      <c r="DE537" s="532"/>
      <c r="DF537" s="532"/>
      <c r="DG537" s="532"/>
      <c r="DH537" s="532"/>
      <c r="DI537" s="532"/>
      <c r="DJ537" s="532"/>
      <c r="DK537" s="532"/>
      <c r="DL537" s="532"/>
      <c r="DM537" s="532"/>
      <c r="DN537" s="532"/>
      <c r="DO537" s="532"/>
      <c r="DP537" s="532"/>
      <c r="DQ537" s="532"/>
      <c r="DR537" s="532"/>
      <c r="DS537" s="532"/>
      <c r="DT537" s="532"/>
      <c r="DU537" s="532"/>
      <c r="DV537" s="532"/>
      <c r="DW537" s="532"/>
      <c r="DX537" s="532"/>
      <c r="DY537" s="532"/>
      <c r="DZ537" s="532"/>
      <c r="EA537" s="532"/>
      <c r="EB537" s="532"/>
      <c r="EC537" s="532"/>
      <c r="ED537" s="532"/>
      <c r="EE537" s="532"/>
      <c r="EF537" s="532"/>
      <c r="EG537" s="532"/>
      <c r="EH537" s="532"/>
      <c r="EI537" s="532"/>
      <c r="EJ537" s="532"/>
      <c r="EK537" s="532"/>
      <c r="EL537" s="532"/>
      <c r="EM537" s="532"/>
      <c r="EN537" s="532"/>
      <c r="EO537" s="532"/>
      <c r="EP537" s="532"/>
      <c r="EQ537" s="532"/>
      <c r="ER537" s="532"/>
      <c r="ES537" s="532"/>
      <c r="ET537" s="532"/>
      <c r="EU537" s="532"/>
      <c r="EV537" s="532"/>
      <c r="EW537" s="532"/>
      <c r="EX537" s="532"/>
      <c r="EY537" s="532"/>
      <c r="EZ537" s="532"/>
      <c r="FA537" s="532"/>
      <c r="FB537" s="532"/>
      <c r="FC537" s="532"/>
      <c r="FD537" s="532"/>
      <c r="FE537" s="532"/>
      <c r="FF537" s="532"/>
      <c r="FG537" s="532"/>
      <c r="FH537" s="532"/>
      <c r="FI537" s="532"/>
      <c r="FJ537" s="532"/>
      <c r="FK537" s="532"/>
      <c r="FL537" s="532"/>
      <c r="FM537" s="532"/>
      <c r="FN537" s="532"/>
      <c r="FO537" s="532"/>
      <c r="FP537" s="532"/>
    </row>
    <row r="538" spans="1:172" ht="12" customHeight="1" x14ac:dyDescent="0.2">
      <c r="A538" s="557"/>
      <c r="B538" s="534"/>
      <c r="C538" s="534"/>
      <c r="D538" s="534"/>
      <c r="E538" s="534"/>
      <c r="F538" s="534"/>
      <c r="G538" s="534"/>
      <c r="H538" s="534"/>
      <c r="I538" s="534"/>
      <c r="J538" s="534"/>
      <c r="K538" s="535"/>
      <c r="L538" s="534"/>
      <c r="M538" s="534"/>
      <c r="N538" s="534"/>
      <c r="O538" s="530"/>
      <c r="P538" s="531"/>
      <c r="Q538" s="531"/>
      <c r="R538" s="531"/>
      <c r="S538" s="531"/>
      <c r="T538" s="531"/>
      <c r="U538" s="531"/>
      <c r="V538" s="531"/>
      <c r="W538" s="531"/>
      <c r="X538" s="531"/>
      <c r="Y538" s="531"/>
      <c r="Z538" s="531"/>
      <c r="AA538" s="531"/>
      <c r="AB538" s="531"/>
      <c r="AC538" s="531"/>
      <c r="AD538" s="531"/>
      <c r="AE538" s="531"/>
      <c r="AF538" s="531"/>
      <c r="AG538" s="531"/>
      <c r="AH538" s="532"/>
      <c r="AI538" s="532"/>
      <c r="AJ538" s="532"/>
      <c r="AK538" s="532"/>
      <c r="AL538" s="532"/>
      <c r="AM538" s="532"/>
      <c r="AN538" s="532"/>
      <c r="AO538" s="532"/>
      <c r="AP538" s="532"/>
      <c r="AQ538" s="532"/>
      <c r="AR538" s="532"/>
      <c r="AS538" s="532"/>
      <c r="AT538" s="532"/>
      <c r="AU538" s="532"/>
      <c r="AV538" s="532"/>
      <c r="AW538" s="532"/>
      <c r="AX538" s="532"/>
      <c r="AY538" s="532"/>
      <c r="AZ538" s="532"/>
      <c r="BA538" s="532"/>
      <c r="BB538" s="532"/>
      <c r="BC538" s="532"/>
      <c r="BD538" s="532"/>
      <c r="BE538" s="532"/>
      <c r="BF538" s="532"/>
      <c r="BG538" s="532"/>
      <c r="BH538" s="532"/>
      <c r="BI538" s="532"/>
      <c r="BJ538" s="532"/>
      <c r="BK538" s="532"/>
      <c r="BL538" s="532"/>
      <c r="BM538" s="532"/>
      <c r="BN538" s="532"/>
      <c r="BO538" s="532"/>
      <c r="BP538" s="532"/>
      <c r="BQ538" s="532"/>
      <c r="BR538" s="532"/>
      <c r="BS538" s="532"/>
      <c r="BT538" s="532"/>
      <c r="BU538" s="532"/>
      <c r="BV538" s="532"/>
      <c r="BW538" s="532"/>
      <c r="BX538" s="532"/>
      <c r="BY538" s="532"/>
      <c r="BZ538" s="532"/>
      <c r="CA538" s="532"/>
      <c r="CB538" s="532"/>
      <c r="CC538" s="532"/>
      <c r="CD538" s="532"/>
      <c r="CE538" s="532"/>
      <c r="CF538" s="532"/>
      <c r="CG538" s="532"/>
      <c r="CH538" s="532"/>
      <c r="CI538" s="532"/>
      <c r="CJ538" s="532"/>
      <c r="CK538" s="532"/>
      <c r="CL538" s="532"/>
      <c r="CM538" s="532"/>
      <c r="CN538" s="532"/>
      <c r="CO538" s="532"/>
      <c r="CP538" s="532"/>
      <c r="CQ538" s="532"/>
      <c r="CR538" s="532"/>
      <c r="CS538" s="532"/>
      <c r="CT538" s="532"/>
      <c r="CU538" s="532"/>
      <c r="CV538" s="532"/>
      <c r="CW538" s="532"/>
      <c r="CX538" s="532"/>
      <c r="CY538" s="532"/>
      <c r="CZ538" s="532"/>
      <c r="DA538" s="532"/>
      <c r="DB538" s="532"/>
      <c r="DC538" s="532"/>
      <c r="DD538" s="532"/>
      <c r="DE538" s="532"/>
      <c r="DF538" s="532"/>
      <c r="DG538" s="532"/>
      <c r="DH538" s="532"/>
      <c r="DI538" s="532"/>
      <c r="DJ538" s="532"/>
      <c r="DK538" s="532"/>
      <c r="DL538" s="532"/>
      <c r="DM538" s="532"/>
      <c r="DN538" s="532"/>
      <c r="DO538" s="532"/>
      <c r="DP538" s="532"/>
      <c r="DQ538" s="532"/>
      <c r="DR538" s="532"/>
      <c r="DS538" s="532"/>
      <c r="DT538" s="532"/>
      <c r="DU538" s="532"/>
      <c r="DV538" s="532"/>
      <c r="DW538" s="532"/>
      <c r="DX538" s="532"/>
      <c r="DY538" s="532"/>
      <c r="DZ538" s="532"/>
      <c r="EA538" s="532"/>
      <c r="EB538" s="532"/>
      <c r="EC538" s="532"/>
      <c r="ED538" s="532"/>
      <c r="EE538" s="532"/>
      <c r="EF538" s="532"/>
      <c r="EG538" s="532"/>
      <c r="EH538" s="532"/>
      <c r="EI538" s="532"/>
      <c r="EJ538" s="532"/>
      <c r="EK538" s="532"/>
      <c r="EL538" s="532"/>
      <c r="EM538" s="532"/>
      <c r="EN538" s="532"/>
      <c r="EO538" s="532"/>
      <c r="EP538" s="532"/>
      <c r="EQ538" s="532"/>
      <c r="ER538" s="532"/>
      <c r="ES538" s="532"/>
      <c r="ET538" s="532"/>
      <c r="EU538" s="532"/>
      <c r="EV538" s="532"/>
      <c r="EW538" s="532"/>
      <c r="EX538" s="532"/>
      <c r="EY538" s="532"/>
      <c r="EZ538" s="532"/>
      <c r="FA538" s="532"/>
      <c r="FB538" s="532"/>
      <c r="FC538" s="532"/>
      <c r="FD538" s="532"/>
      <c r="FE538" s="532"/>
      <c r="FF538" s="532"/>
      <c r="FG538" s="532"/>
      <c r="FH538" s="532"/>
      <c r="FI538" s="532"/>
      <c r="FJ538" s="532"/>
      <c r="FK538" s="532"/>
      <c r="FL538" s="532"/>
      <c r="FM538" s="532"/>
      <c r="FN538" s="532"/>
      <c r="FO538" s="532"/>
      <c r="FP538" s="532"/>
    </row>
    <row r="539" spans="1:172" ht="12" customHeight="1" x14ac:dyDescent="0.2">
      <c r="A539" s="531"/>
      <c r="B539" s="534"/>
      <c r="C539" s="534"/>
      <c r="D539" s="534"/>
      <c r="E539" s="534"/>
      <c r="F539" s="534"/>
      <c r="G539" s="534"/>
      <c r="H539" s="534"/>
      <c r="I539" s="534"/>
      <c r="J539" s="534"/>
      <c r="K539" s="535"/>
      <c r="L539" s="534"/>
      <c r="M539" s="534"/>
      <c r="N539" s="534"/>
      <c r="O539" s="530"/>
      <c r="P539" s="531"/>
      <c r="Q539" s="531"/>
      <c r="R539" s="531"/>
      <c r="S539" s="531"/>
      <c r="T539" s="531"/>
      <c r="U539" s="531"/>
      <c r="V539" s="531"/>
      <c r="W539" s="531"/>
      <c r="X539" s="531"/>
      <c r="Y539" s="531"/>
      <c r="Z539" s="531"/>
      <c r="AA539" s="531"/>
      <c r="AB539" s="531"/>
      <c r="AC539" s="531"/>
      <c r="AD539" s="531"/>
      <c r="AE539" s="531"/>
      <c r="AF539" s="531"/>
      <c r="AG539" s="531"/>
      <c r="AH539" s="532"/>
      <c r="AI539" s="532"/>
      <c r="AJ539" s="532"/>
      <c r="AK539" s="532"/>
      <c r="AL539" s="532"/>
      <c r="AM539" s="532"/>
      <c r="AN539" s="532"/>
      <c r="AO539" s="532"/>
      <c r="AP539" s="532"/>
      <c r="AQ539" s="532"/>
      <c r="AR539" s="532"/>
      <c r="AS539" s="532"/>
      <c r="AT539" s="532"/>
      <c r="AU539" s="532"/>
      <c r="AV539" s="532"/>
      <c r="AW539" s="532"/>
      <c r="AX539" s="532"/>
      <c r="AY539" s="532"/>
      <c r="AZ539" s="532"/>
      <c r="BA539" s="532"/>
      <c r="BB539" s="532"/>
      <c r="BC539" s="532"/>
      <c r="BD539" s="532"/>
      <c r="BE539" s="532"/>
      <c r="BF539" s="532"/>
      <c r="BG539" s="532"/>
      <c r="BH539" s="532"/>
      <c r="BI539" s="532"/>
      <c r="BJ539" s="532"/>
      <c r="BK539" s="532"/>
      <c r="BL539" s="532"/>
      <c r="BM539" s="532"/>
      <c r="BN539" s="532"/>
      <c r="BO539" s="532"/>
      <c r="BP539" s="532"/>
      <c r="BQ539" s="532"/>
      <c r="BR539" s="532"/>
      <c r="BS539" s="532"/>
      <c r="BT539" s="532"/>
      <c r="BU539" s="532"/>
      <c r="BV539" s="532"/>
      <c r="BW539" s="532"/>
      <c r="BX539" s="532"/>
      <c r="BY539" s="532"/>
      <c r="BZ539" s="532"/>
      <c r="CA539" s="532"/>
      <c r="CB539" s="532"/>
      <c r="CC539" s="532"/>
      <c r="CD539" s="532"/>
      <c r="CE539" s="532"/>
      <c r="CF539" s="532"/>
      <c r="CG539" s="532"/>
      <c r="CH539" s="532"/>
      <c r="CI539" s="532"/>
      <c r="CJ539" s="532"/>
      <c r="CK539" s="532"/>
      <c r="CL539" s="532"/>
      <c r="CM539" s="532"/>
      <c r="CN539" s="532"/>
      <c r="CO539" s="532"/>
      <c r="CP539" s="532"/>
      <c r="CQ539" s="532"/>
      <c r="CR539" s="532"/>
      <c r="CS539" s="532"/>
      <c r="CT539" s="532"/>
      <c r="CU539" s="532"/>
      <c r="CV539" s="532"/>
      <c r="CW539" s="532"/>
      <c r="CX539" s="532"/>
      <c r="CY539" s="532"/>
      <c r="CZ539" s="532"/>
      <c r="DA539" s="532"/>
      <c r="DB539" s="532"/>
      <c r="DC539" s="532"/>
      <c r="DD539" s="532"/>
      <c r="DE539" s="532"/>
      <c r="DF539" s="532"/>
      <c r="DG539" s="532"/>
      <c r="DH539" s="532"/>
      <c r="DI539" s="532"/>
      <c r="DJ539" s="532"/>
      <c r="DK539" s="532"/>
      <c r="DL539" s="532"/>
      <c r="DM539" s="532"/>
      <c r="DN539" s="532"/>
      <c r="DO539" s="532"/>
      <c r="DP539" s="532"/>
      <c r="DQ539" s="532"/>
      <c r="DR539" s="532"/>
      <c r="DS539" s="532"/>
      <c r="DT539" s="532"/>
      <c r="DU539" s="532"/>
      <c r="DV539" s="532"/>
      <c r="DW539" s="532"/>
      <c r="DX539" s="532"/>
      <c r="DY539" s="532"/>
      <c r="DZ539" s="532"/>
      <c r="EA539" s="532"/>
      <c r="EB539" s="532"/>
      <c r="EC539" s="532"/>
      <c r="ED539" s="532"/>
      <c r="EE539" s="532"/>
      <c r="EF539" s="532"/>
      <c r="EG539" s="532"/>
      <c r="EH539" s="532"/>
      <c r="EI539" s="532"/>
      <c r="EJ539" s="532"/>
      <c r="EK539" s="532"/>
      <c r="EL539" s="532"/>
      <c r="EM539" s="532"/>
      <c r="EN539" s="532"/>
      <c r="EO539" s="532"/>
      <c r="EP539" s="532"/>
      <c r="EQ539" s="532"/>
      <c r="ER539" s="532"/>
      <c r="ES539" s="532"/>
      <c r="ET539" s="532"/>
      <c r="EU539" s="532"/>
      <c r="EV539" s="532"/>
      <c r="EW539" s="532"/>
      <c r="EX539" s="532"/>
      <c r="EY539" s="532"/>
      <c r="EZ539" s="532"/>
      <c r="FA539" s="532"/>
      <c r="FB539" s="532"/>
      <c r="FC539" s="532"/>
      <c r="FD539" s="532"/>
      <c r="FE539" s="532"/>
      <c r="FF539" s="532"/>
      <c r="FG539" s="532"/>
      <c r="FH539" s="532"/>
      <c r="FI539" s="532"/>
      <c r="FJ539" s="532"/>
      <c r="FK539" s="532"/>
      <c r="FL539" s="532"/>
      <c r="FM539" s="532"/>
      <c r="FN539" s="532"/>
      <c r="FO539" s="532"/>
      <c r="FP539" s="532"/>
    </row>
    <row r="540" spans="1:172" ht="12" customHeight="1" x14ac:dyDescent="0.2">
      <c r="A540" s="531"/>
      <c r="B540" s="534"/>
      <c r="C540" s="534"/>
      <c r="D540" s="534"/>
      <c r="E540" s="534"/>
      <c r="F540" s="534"/>
      <c r="G540" s="534"/>
      <c r="H540" s="534"/>
      <c r="I540" s="534"/>
      <c r="J540" s="534"/>
      <c r="K540" s="535"/>
      <c r="L540" s="534"/>
      <c r="M540" s="534"/>
      <c r="N540" s="534"/>
      <c r="O540" s="530"/>
      <c r="P540" s="531"/>
      <c r="Q540" s="531"/>
      <c r="R540" s="531"/>
      <c r="S540" s="531"/>
      <c r="T540" s="531"/>
      <c r="U540" s="531"/>
      <c r="V540" s="531"/>
      <c r="W540" s="531"/>
      <c r="X540" s="531"/>
      <c r="Y540" s="531"/>
      <c r="Z540" s="531"/>
      <c r="AA540" s="531"/>
      <c r="AB540" s="531"/>
      <c r="AC540" s="531"/>
      <c r="AD540" s="531"/>
      <c r="AE540" s="531"/>
      <c r="AF540" s="531"/>
      <c r="AG540" s="531"/>
      <c r="AH540" s="532"/>
      <c r="AI540" s="532"/>
      <c r="AJ540" s="532"/>
      <c r="AK540" s="532"/>
      <c r="AL540" s="532"/>
      <c r="AM540" s="532"/>
      <c r="AN540" s="532"/>
      <c r="AO540" s="532"/>
      <c r="AP540" s="532"/>
      <c r="AQ540" s="532"/>
      <c r="AR540" s="532"/>
      <c r="AS540" s="532"/>
      <c r="AT540" s="532"/>
      <c r="AU540" s="532"/>
      <c r="AV540" s="532"/>
      <c r="AW540" s="532"/>
      <c r="AX540" s="532"/>
      <c r="AY540" s="532"/>
      <c r="AZ540" s="532"/>
      <c r="BA540" s="532"/>
      <c r="BB540" s="532"/>
      <c r="BC540" s="532"/>
      <c r="BD540" s="532"/>
      <c r="BE540" s="532"/>
      <c r="BF540" s="532"/>
      <c r="BG540" s="532"/>
      <c r="BH540" s="532"/>
      <c r="BI540" s="532"/>
      <c r="BJ540" s="532"/>
      <c r="BK540" s="532"/>
      <c r="BL540" s="532"/>
      <c r="BM540" s="532"/>
      <c r="BN540" s="532"/>
      <c r="BO540" s="532"/>
      <c r="BP540" s="532"/>
      <c r="BQ540" s="532"/>
      <c r="BR540" s="532"/>
      <c r="BS540" s="532"/>
      <c r="BT540" s="532"/>
      <c r="BU540" s="532"/>
      <c r="BV540" s="532"/>
      <c r="BW540" s="532"/>
      <c r="BX540" s="532"/>
      <c r="BY540" s="532"/>
      <c r="BZ540" s="532"/>
      <c r="CA540" s="532"/>
      <c r="CB540" s="532"/>
      <c r="CC540" s="532"/>
      <c r="CD540" s="532"/>
      <c r="CE540" s="532"/>
      <c r="CF540" s="532"/>
      <c r="CG540" s="532"/>
      <c r="CH540" s="532"/>
      <c r="CI540" s="532"/>
      <c r="CJ540" s="532"/>
      <c r="CK540" s="532"/>
      <c r="CL540" s="532"/>
      <c r="CM540" s="532"/>
      <c r="CN540" s="532"/>
      <c r="CO540" s="532"/>
      <c r="CP540" s="532"/>
      <c r="CQ540" s="532"/>
      <c r="CR540" s="532"/>
      <c r="CS540" s="532"/>
      <c r="CT540" s="532"/>
      <c r="CU540" s="532"/>
      <c r="CV540" s="532"/>
      <c r="CW540" s="532"/>
      <c r="CX540" s="532"/>
      <c r="CY540" s="532"/>
      <c r="CZ540" s="532"/>
      <c r="DA540" s="532"/>
      <c r="DB540" s="532"/>
      <c r="DC540" s="532"/>
      <c r="DD540" s="532"/>
      <c r="DE540" s="532"/>
      <c r="DF540" s="532"/>
      <c r="DG540" s="532"/>
      <c r="DH540" s="532"/>
      <c r="DI540" s="532"/>
      <c r="DJ540" s="532"/>
      <c r="DK540" s="532"/>
      <c r="DL540" s="532"/>
      <c r="DM540" s="532"/>
      <c r="DN540" s="532"/>
      <c r="DO540" s="532"/>
      <c r="DP540" s="532"/>
      <c r="DQ540" s="532"/>
      <c r="DR540" s="532"/>
      <c r="DS540" s="532"/>
      <c r="DT540" s="532"/>
      <c r="DU540" s="532"/>
      <c r="DV540" s="532"/>
      <c r="DW540" s="532"/>
      <c r="DX540" s="532"/>
      <c r="DY540" s="532"/>
      <c r="DZ540" s="532"/>
      <c r="EA540" s="532"/>
      <c r="EB540" s="532"/>
      <c r="EC540" s="532"/>
      <c r="ED540" s="532"/>
      <c r="EE540" s="532"/>
      <c r="EF540" s="532"/>
      <c r="EG540" s="532"/>
      <c r="EH540" s="532"/>
      <c r="EI540" s="532"/>
      <c r="EJ540" s="532"/>
      <c r="EK540" s="532"/>
      <c r="EL540" s="532"/>
      <c r="EM540" s="532"/>
      <c r="EN540" s="532"/>
      <c r="EO540" s="532"/>
      <c r="EP540" s="532"/>
      <c r="EQ540" s="532"/>
      <c r="ER540" s="532"/>
      <c r="ES540" s="532"/>
      <c r="ET540" s="532"/>
      <c r="EU540" s="532"/>
      <c r="EV540" s="532"/>
      <c r="EW540" s="532"/>
      <c r="EX540" s="532"/>
      <c r="EY540" s="532"/>
      <c r="EZ540" s="532"/>
      <c r="FA540" s="532"/>
      <c r="FB540" s="532"/>
      <c r="FC540" s="532"/>
      <c r="FD540" s="532"/>
      <c r="FE540" s="532"/>
      <c r="FF540" s="532"/>
      <c r="FG540" s="532"/>
      <c r="FH540" s="532"/>
      <c r="FI540" s="532"/>
      <c r="FJ540" s="532"/>
      <c r="FK540" s="532"/>
      <c r="FL540" s="532"/>
      <c r="FM540" s="532"/>
      <c r="FN540" s="532"/>
      <c r="FO540" s="532"/>
      <c r="FP540" s="532"/>
    </row>
    <row r="541" spans="1:172" ht="12" customHeight="1" x14ac:dyDescent="0.2">
      <c r="A541" s="531"/>
      <c r="B541" s="534"/>
      <c r="C541" s="534"/>
      <c r="D541" s="534"/>
      <c r="E541" s="534"/>
      <c r="F541" s="534"/>
      <c r="G541" s="534"/>
      <c r="H541" s="534"/>
      <c r="I541" s="534"/>
      <c r="J541" s="534"/>
      <c r="K541" s="535"/>
      <c r="L541" s="534"/>
      <c r="M541" s="534"/>
      <c r="N541" s="534"/>
      <c r="O541" s="530"/>
      <c r="P541" s="531"/>
      <c r="Q541" s="531"/>
      <c r="R541" s="531"/>
      <c r="S541" s="531"/>
      <c r="T541" s="531"/>
      <c r="U541" s="531"/>
      <c r="V541" s="531"/>
      <c r="W541" s="531"/>
      <c r="X541" s="531"/>
      <c r="Y541" s="531"/>
      <c r="Z541" s="531"/>
      <c r="AA541" s="531"/>
      <c r="AB541" s="531"/>
      <c r="AC541" s="531"/>
      <c r="AD541" s="531"/>
      <c r="AE541" s="531"/>
      <c r="AF541" s="531"/>
      <c r="AG541" s="531"/>
      <c r="AH541" s="532"/>
      <c r="AI541" s="532"/>
      <c r="AJ541" s="532"/>
      <c r="AK541" s="532"/>
      <c r="AL541" s="532"/>
      <c r="AM541" s="532"/>
      <c r="AN541" s="532"/>
      <c r="AO541" s="532"/>
      <c r="AP541" s="532"/>
      <c r="AQ541" s="532"/>
      <c r="AR541" s="532"/>
      <c r="AS541" s="532"/>
      <c r="AT541" s="532"/>
      <c r="AU541" s="532"/>
      <c r="AV541" s="532"/>
      <c r="AW541" s="532"/>
      <c r="AX541" s="532"/>
      <c r="AY541" s="532"/>
      <c r="AZ541" s="532"/>
      <c r="BA541" s="532"/>
      <c r="BB541" s="532"/>
      <c r="BC541" s="532"/>
      <c r="BD541" s="532"/>
      <c r="BE541" s="532"/>
      <c r="BF541" s="532"/>
      <c r="BG541" s="532"/>
      <c r="BH541" s="532"/>
      <c r="BI541" s="532"/>
      <c r="BJ541" s="532"/>
      <c r="BK541" s="532"/>
      <c r="BL541" s="532"/>
      <c r="BM541" s="532"/>
      <c r="BN541" s="532"/>
      <c r="BO541" s="532"/>
      <c r="BP541" s="532"/>
      <c r="BQ541" s="532"/>
      <c r="BR541" s="532"/>
      <c r="BS541" s="532"/>
      <c r="BT541" s="532"/>
      <c r="BU541" s="532"/>
      <c r="BV541" s="532"/>
      <c r="BW541" s="532"/>
      <c r="BX541" s="532"/>
      <c r="BY541" s="532"/>
      <c r="BZ541" s="532"/>
      <c r="CA541" s="532"/>
      <c r="CB541" s="532"/>
      <c r="CC541" s="532"/>
      <c r="CD541" s="532"/>
      <c r="CE541" s="532"/>
      <c r="CF541" s="532"/>
      <c r="CG541" s="532"/>
      <c r="CH541" s="532"/>
      <c r="CI541" s="532"/>
      <c r="CJ541" s="532"/>
      <c r="CK541" s="532"/>
      <c r="CL541" s="532"/>
      <c r="CM541" s="532"/>
      <c r="CN541" s="532"/>
      <c r="CO541" s="532"/>
      <c r="CP541" s="532"/>
      <c r="CQ541" s="532"/>
      <c r="CR541" s="532"/>
      <c r="CS541" s="532"/>
      <c r="CT541" s="532"/>
      <c r="CU541" s="532"/>
      <c r="CV541" s="532"/>
      <c r="CW541" s="532"/>
      <c r="CX541" s="532"/>
      <c r="CY541" s="532"/>
      <c r="CZ541" s="532"/>
      <c r="DA541" s="532"/>
      <c r="DB541" s="532"/>
      <c r="DC541" s="532"/>
      <c r="DD541" s="532"/>
      <c r="DE541" s="532"/>
      <c r="DF541" s="532"/>
      <c r="DG541" s="532"/>
      <c r="DH541" s="532"/>
      <c r="DI541" s="532"/>
      <c r="DJ541" s="532"/>
      <c r="DK541" s="532"/>
      <c r="DL541" s="532"/>
      <c r="DM541" s="532"/>
      <c r="DN541" s="532"/>
      <c r="DO541" s="532"/>
      <c r="DP541" s="532"/>
      <c r="DQ541" s="532"/>
      <c r="DR541" s="532"/>
      <c r="DS541" s="532"/>
      <c r="DT541" s="532"/>
      <c r="DU541" s="532"/>
      <c r="DV541" s="532"/>
      <c r="DW541" s="532"/>
      <c r="DX541" s="532"/>
      <c r="DY541" s="532"/>
      <c r="DZ541" s="532"/>
      <c r="EA541" s="532"/>
      <c r="EB541" s="532"/>
      <c r="EC541" s="532"/>
      <c r="ED541" s="532"/>
      <c r="EE541" s="532"/>
      <c r="EF541" s="532"/>
      <c r="EG541" s="532"/>
      <c r="EH541" s="532"/>
      <c r="EI541" s="532"/>
      <c r="EJ541" s="532"/>
      <c r="EK541" s="532"/>
      <c r="EL541" s="532"/>
      <c r="EM541" s="532"/>
      <c r="EN541" s="532"/>
      <c r="EO541" s="532"/>
      <c r="EP541" s="532"/>
      <c r="EQ541" s="532"/>
      <c r="ER541" s="532"/>
      <c r="ES541" s="532"/>
      <c r="ET541" s="532"/>
      <c r="EU541" s="532"/>
      <c r="EV541" s="532"/>
      <c r="EW541" s="532"/>
      <c r="EX541" s="532"/>
      <c r="EY541" s="532"/>
      <c r="EZ541" s="532"/>
      <c r="FA541" s="532"/>
      <c r="FB541" s="532"/>
      <c r="FC541" s="532"/>
      <c r="FD541" s="532"/>
      <c r="FE541" s="532"/>
      <c r="FF541" s="532"/>
      <c r="FG541" s="532"/>
      <c r="FH541" s="532"/>
      <c r="FI541" s="532"/>
      <c r="FJ541" s="532"/>
      <c r="FK541" s="532"/>
      <c r="FL541" s="532"/>
      <c r="FM541" s="532"/>
      <c r="FN541" s="532"/>
      <c r="FO541" s="532"/>
      <c r="FP541" s="532"/>
    </row>
    <row r="542" spans="1:172" ht="12" customHeight="1" x14ac:dyDescent="0.2">
      <c r="A542" s="531"/>
      <c r="B542" s="534"/>
      <c r="C542" s="534"/>
      <c r="D542" s="534"/>
      <c r="E542" s="534"/>
      <c r="F542" s="534"/>
      <c r="G542" s="534"/>
      <c r="H542" s="534"/>
      <c r="I542" s="534"/>
      <c r="J542" s="534"/>
      <c r="K542" s="535"/>
      <c r="L542" s="534"/>
      <c r="M542" s="534"/>
      <c r="N542" s="534"/>
      <c r="O542" s="530"/>
      <c r="P542" s="531"/>
      <c r="Q542" s="531"/>
      <c r="R542" s="531"/>
      <c r="S542" s="531"/>
      <c r="T542" s="531"/>
      <c r="U542" s="531"/>
      <c r="V542" s="531"/>
      <c r="W542" s="531"/>
      <c r="X542" s="531"/>
      <c r="Y542" s="531"/>
      <c r="Z542" s="531"/>
      <c r="AA542" s="531"/>
      <c r="AB542" s="531"/>
      <c r="AC542" s="531"/>
      <c r="AD542" s="531"/>
      <c r="AE542" s="531"/>
      <c r="AF542" s="531"/>
      <c r="AG542" s="531"/>
      <c r="AH542" s="532"/>
      <c r="AI542" s="532"/>
      <c r="AJ542" s="532"/>
      <c r="AK542" s="532"/>
      <c r="AL542" s="532"/>
      <c r="AM542" s="532"/>
      <c r="AN542" s="532"/>
      <c r="AO542" s="532"/>
      <c r="AP542" s="532"/>
      <c r="AQ542" s="532"/>
      <c r="AR542" s="532"/>
      <c r="AS542" s="532"/>
      <c r="AT542" s="532"/>
      <c r="AU542" s="532"/>
      <c r="AV542" s="532"/>
      <c r="AW542" s="532"/>
      <c r="AX542" s="532"/>
      <c r="AY542" s="532"/>
      <c r="AZ542" s="532"/>
      <c r="BA542" s="532"/>
      <c r="BB542" s="532"/>
      <c r="BC542" s="532"/>
      <c r="BD542" s="532"/>
      <c r="BE542" s="532"/>
      <c r="BF542" s="532"/>
      <c r="BG542" s="532"/>
      <c r="BH542" s="532"/>
      <c r="BI542" s="532"/>
      <c r="BJ542" s="532"/>
      <c r="BK542" s="532"/>
      <c r="BL542" s="532"/>
      <c r="BM542" s="532"/>
      <c r="BN542" s="532"/>
      <c r="BO542" s="532"/>
      <c r="BP542" s="532"/>
      <c r="BQ542" s="532"/>
      <c r="BR542" s="532"/>
      <c r="BS542" s="532"/>
      <c r="BT542" s="532"/>
      <c r="BU542" s="532"/>
      <c r="BV542" s="532"/>
      <c r="BW542" s="532"/>
      <c r="BX542" s="532"/>
      <c r="BY542" s="532"/>
      <c r="BZ542" s="532"/>
      <c r="CA542" s="532"/>
      <c r="CB542" s="532"/>
      <c r="CC542" s="532"/>
      <c r="CD542" s="532"/>
      <c r="CE542" s="532"/>
      <c r="CF542" s="532"/>
      <c r="CG542" s="532"/>
      <c r="CH542" s="532"/>
      <c r="CI542" s="532"/>
      <c r="CJ542" s="532"/>
      <c r="CK542" s="532"/>
      <c r="CL542" s="532"/>
      <c r="CM542" s="532"/>
      <c r="CN542" s="532"/>
      <c r="CO542" s="532"/>
      <c r="CP542" s="532"/>
      <c r="CQ542" s="532"/>
      <c r="CR542" s="532"/>
      <c r="CS542" s="532"/>
      <c r="CT542" s="532"/>
      <c r="CU542" s="532"/>
      <c r="CV542" s="532"/>
      <c r="CW542" s="532"/>
      <c r="CX542" s="532"/>
      <c r="CY542" s="532"/>
      <c r="CZ542" s="532"/>
      <c r="DA542" s="532"/>
      <c r="DB542" s="532"/>
      <c r="DC542" s="532"/>
      <c r="DD542" s="532"/>
      <c r="DE542" s="532"/>
      <c r="DF542" s="532"/>
      <c r="DG542" s="532"/>
      <c r="DH542" s="532"/>
      <c r="DI542" s="532"/>
      <c r="DJ542" s="532"/>
      <c r="DK542" s="532"/>
      <c r="DL542" s="532"/>
      <c r="DM542" s="532"/>
      <c r="DN542" s="532"/>
      <c r="DO542" s="532"/>
      <c r="DP542" s="532"/>
      <c r="DQ542" s="532"/>
      <c r="DR542" s="532"/>
      <c r="DS542" s="532"/>
      <c r="DT542" s="532"/>
      <c r="DU542" s="532"/>
      <c r="DV542" s="532"/>
      <c r="DW542" s="532"/>
      <c r="DX542" s="532"/>
      <c r="DY542" s="532"/>
      <c r="DZ542" s="532"/>
      <c r="EA542" s="532"/>
      <c r="EB542" s="532"/>
      <c r="EC542" s="532"/>
      <c r="ED542" s="532"/>
      <c r="EE542" s="532"/>
      <c r="EF542" s="532"/>
      <c r="EG542" s="532"/>
      <c r="EH542" s="532"/>
      <c r="EI542" s="532"/>
      <c r="EJ542" s="532"/>
      <c r="EK542" s="532"/>
      <c r="EL542" s="532"/>
      <c r="EM542" s="532"/>
      <c r="EN542" s="532"/>
      <c r="EO542" s="532"/>
      <c r="EP542" s="532"/>
      <c r="EQ542" s="532"/>
      <c r="ER542" s="532"/>
      <c r="ES542" s="532"/>
      <c r="ET542" s="532"/>
      <c r="EU542" s="532"/>
      <c r="EV542" s="532"/>
      <c r="EW542" s="532"/>
      <c r="EX542" s="532"/>
      <c r="EY542" s="532"/>
      <c r="EZ542" s="532"/>
      <c r="FA542" s="532"/>
      <c r="FB542" s="532"/>
      <c r="FC542" s="532"/>
      <c r="FD542" s="532"/>
      <c r="FE542" s="532"/>
      <c r="FF542" s="532"/>
      <c r="FG542" s="532"/>
      <c r="FH542" s="532"/>
      <c r="FI542" s="532"/>
      <c r="FJ542" s="532"/>
      <c r="FK542" s="532"/>
      <c r="FL542" s="532"/>
      <c r="FM542" s="532"/>
      <c r="FN542" s="532"/>
      <c r="FO542" s="532"/>
      <c r="FP542" s="532"/>
    </row>
    <row r="543" spans="1:172" ht="12" customHeight="1" x14ac:dyDescent="0.2">
      <c r="A543" s="531"/>
      <c r="B543" s="534"/>
      <c r="C543" s="534"/>
      <c r="D543" s="534"/>
      <c r="E543" s="534"/>
      <c r="F543" s="534"/>
      <c r="G543" s="534"/>
      <c r="H543" s="534"/>
      <c r="I543" s="534"/>
      <c r="J543" s="534"/>
      <c r="K543" s="535"/>
      <c r="L543" s="534"/>
      <c r="M543" s="534"/>
      <c r="N543" s="534"/>
      <c r="O543" s="530"/>
      <c r="P543" s="531"/>
      <c r="Q543" s="531"/>
      <c r="R543" s="531"/>
      <c r="S543" s="531"/>
      <c r="T543" s="531"/>
      <c r="U543" s="531"/>
      <c r="V543" s="531"/>
      <c r="W543" s="531"/>
      <c r="X543" s="531"/>
      <c r="Y543" s="531"/>
      <c r="Z543" s="531"/>
      <c r="AA543" s="531"/>
      <c r="AB543" s="531"/>
      <c r="AC543" s="531"/>
      <c r="AD543" s="531"/>
      <c r="AE543" s="531"/>
      <c r="AF543" s="531"/>
      <c r="AG543" s="531"/>
      <c r="AH543" s="532"/>
      <c r="AI543" s="532"/>
      <c r="AJ543" s="532"/>
      <c r="AK543" s="532"/>
      <c r="AL543" s="532"/>
      <c r="AM543" s="532"/>
      <c r="AN543" s="532"/>
      <c r="AO543" s="532"/>
      <c r="AP543" s="532"/>
      <c r="AQ543" s="532"/>
      <c r="AR543" s="532"/>
      <c r="AS543" s="532"/>
      <c r="AT543" s="532"/>
      <c r="AU543" s="532"/>
      <c r="AV543" s="532"/>
      <c r="AW543" s="532"/>
      <c r="AX543" s="532"/>
      <c r="AY543" s="532"/>
      <c r="AZ543" s="532"/>
      <c r="BA543" s="532"/>
      <c r="BB543" s="532"/>
      <c r="BC543" s="532"/>
      <c r="BD543" s="532"/>
      <c r="BE543" s="532"/>
      <c r="BF543" s="532"/>
      <c r="BG543" s="532"/>
      <c r="BH543" s="532"/>
      <c r="BI543" s="532"/>
      <c r="BJ543" s="532"/>
      <c r="BK543" s="532"/>
      <c r="BL543" s="532"/>
      <c r="BM543" s="532"/>
      <c r="BN543" s="532"/>
      <c r="BO543" s="532"/>
      <c r="BP543" s="532"/>
      <c r="BQ543" s="532"/>
      <c r="BR543" s="532"/>
      <c r="BS543" s="532"/>
      <c r="BT543" s="532"/>
      <c r="BU543" s="532"/>
      <c r="BV543" s="532"/>
      <c r="BW543" s="532"/>
      <c r="BX543" s="532"/>
      <c r="BY543" s="532"/>
      <c r="BZ543" s="532"/>
      <c r="CA543" s="532"/>
      <c r="CB543" s="532"/>
      <c r="CC543" s="532"/>
      <c r="CD543" s="532"/>
      <c r="CE543" s="532"/>
      <c r="CF543" s="532"/>
      <c r="CG543" s="532"/>
      <c r="CH543" s="532"/>
      <c r="CI543" s="532"/>
      <c r="CJ543" s="532"/>
      <c r="CK543" s="532"/>
      <c r="CL543" s="532"/>
      <c r="CM543" s="532"/>
      <c r="CN543" s="532"/>
      <c r="CO543" s="532"/>
      <c r="CP543" s="532"/>
      <c r="CQ543" s="532"/>
      <c r="CR543" s="532"/>
      <c r="CS543" s="532"/>
      <c r="CT543" s="532"/>
      <c r="CU543" s="532"/>
      <c r="CV543" s="532"/>
      <c r="CW543" s="532"/>
      <c r="CX543" s="532"/>
      <c r="CY543" s="532"/>
      <c r="CZ543" s="532"/>
      <c r="DA543" s="532"/>
      <c r="DB543" s="532"/>
      <c r="DC543" s="532"/>
      <c r="DD543" s="532"/>
      <c r="DE543" s="532"/>
      <c r="DF543" s="532"/>
      <c r="DG543" s="532"/>
      <c r="DH543" s="532"/>
      <c r="DI543" s="532"/>
      <c r="DJ543" s="532"/>
      <c r="DK543" s="532"/>
      <c r="DL543" s="532"/>
      <c r="DM543" s="532"/>
      <c r="DN543" s="532"/>
      <c r="DO543" s="532"/>
      <c r="DP543" s="532"/>
      <c r="DQ543" s="532"/>
      <c r="DR543" s="532"/>
      <c r="DS543" s="532"/>
      <c r="DT543" s="532"/>
      <c r="DU543" s="532"/>
      <c r="DV543" s="532"/>
      <c r="DW543" s="532"/>
      <c r="DX543" s="532"/>
      <c r="DY543" s="532"/>
      <c r="DZ543" s="532"/>
      <c r="EA543" s="532"/>
      <c r="EB543" s="532"/>
      <c r="EC543" s="532"/>
      <c r="ED543" s="532"/>
      <c r="EE543" s="532"/>
      <c r="EF543" s="532"/>
      <c r="EG543" s="532"/>
      <c r="EH543" s="532"/>
      <c r="EI543" s="532"/>
      <c r="EJ543" s="532"/>
      <c r="EK543" s="532"/>
      <c r="EL543" s="532"/>
      <c r="EM543" s="532"/>
      <c r="EN543" s="532"/>
      <c r="EO543" s="532"/>
      <c r="EP543" s="532"/>
      <c r="EQ543" s="532"/>
      <c r="ER543" s="532"/>
      <c r="ES543" s="532"/>
      <c r="ET543" s="532"/>
      <c r="EU543" s="532"/>
      <c r="EV543" s="532"/>
      <c r="EW543" s="532"/>
      <c r="EX543" s="532"/>
      <c r="EY543" s="532"/>
      <c r="EZ543" s="532"/>
      <c r="FA543" s="532"/>
      <c r="FB543" s="532"/>
      <c r="FC543" s="532"/>
      <c r="FD543" s="532"/>
      <c r="FE543" s="532"/>
      <c r="FF543" s="532"/>
      <c r="FG543" s="532"/>
      <c r="FH543" s="532"/>
      <c r="FI543" s="532"/>
      <c r="FJ543" s="532"/>
      <c r="FK543" s="532"/>
      <c r="FL543" s="532"/>
      <c r="FM543" s="532"/>
      <c r="FN543" s="532"/>
      <c r="FO543" s="532"/>
      <c r="FP543" s="532"/>
    </row>
    <row r="544" spans="1:172" ht="12" customHeight="1" x14ac:dyDescent="0.2">
      <c r="A544" s="531"/>
      <c r="B544" s="534"/>
      <c r="C544" s="534"/>
      <c r="D544" s="534"/>
      <c r="E544" s="534"/>
      <c r="F544" s="534"/>
      <c r="G544" s="534"/>
      <c r="H544" s="534"/>
      <c r="I544" s="534"/>
      <c r="J544" s="534"/>
      <c r="K544" s="535"/>
      <c r="L544" s="534"/>
      <c r="M544" s="534"/>
      <c r="N544" s="534"/>
      <c r="O544" s="530"/>
      <c r="P544" s="531"/>
      <c r="Q544" s="531"/>
      <c r="R544" s="531"/>
      <c r="S544" s="531"/>
      <c r="T544" s="531"/>
      <c r="U544" s="531"/>
      <c r="V544" s="531"/>
      <c r="W544" s="531"/>
      <c r="X544" s="531"/>
      <c r="Y544" s="531"/>
      <c r="Z544" s="531"/>
      <c r="AA544" s="531"/>
      <c r="AB544" s="531"/>
      <c r="AC544" s="531"/>
      <c r="AD544" s="531"/>
      <c r="AE544" s="531"/>
      <c r="AF544" s="531"/>
      <c r="AG544" s="531"/>
      <c r="AH544" s="532"/>
      <c r="AI544" s="532"/>
      <c r="AJ544" s="532"/>
      <c r="AK544" s="532"/>
      <c r="AL544" s="532"/>
      <c r="AM544" s="532"/>
      <c r="AN544" s="532"/>
      <c r="AO544" s="532"/>
      <c r="AP544" s="532"/>
      <c r="AQ544" s="532"/>
      <c r="AR544" s="532"/>
      <c r="AS544" s="532"/>
      <c r="AT544" s="532"/>
      <c r="AU544" s="532"/>
      <c r="AV544" s="532"/>
      <c r="AW544" s="532"/>
      <c r="AX544" s="532"/>
      <c r="AY544" s="532"/>
      <c r="AZ544" s="532"/>
      <c r="BA544" s="532"/>
      <c r="BB544" s="532"/>
      <c r="BC544" s="532"/>
      <c r="BD544" s="532"/>
      <c r="BE544" s="532"/>
      <c r="BF544" s="532"/>
      <c r="BG544" s="532"/>
      <c r="BH544" s="532"/>
      <c r="BI544" s="532"/>
      <c r="BJ544" s="532"/>
      <c r="BK544" s="532"/>
      <c r="BL544" s="532"/>
      <c r="BM544" s="532"/>
      <c r="BN544" s="532"/>
      <c r="BO544" s="532"/>
      <c r="BP544" s="532"/>
      <c r="BQ544" s="532"/>
      <c r="BR544" s="532"/>
      <c r="BS544" s="532"/>
      <c r="BT544" s="532"/>
      <c r="BU544" s="532"/>
      <c r="BV544" s="532"/>
      <c r="BW544" s="532"/>
      <c r="BX544" s="532"/>
      <c r="BY544" s="532"/>
      <c r="BZ544" s="532"/>
      <c r="CA544" s="532"/>
      <c r="CB544" s="532"/>
      <c r="CC544" s="532"/>
      <c r="CD544" s="532"/>
      <c r="CE544" s="532"/>
      <c r="CF544" s="532"/>
      <c r="CG544" s="532"/>
      <c r="CH544" s="532"/>
      <c r="CI544" s="532"/>
      <c r="CJ544" s="532"/>
      <c r="CK544" s="532"/>
      <c r="CL544" s="532"/>
      <c r="CM544" s="532"/>
      <c r="CN544" s="532"/>
      <c r="CO544" s="532"/>
      <c r="CP544" s="532"/>
      <c r="CQ544" s="532"/>
      <c r="CR544" s="532"/>
      <c r="CS544" s="532"/>
      <c r="CT544" s="532"/>
      <c r="CU544" s="532"/>
      <c r="CV544" s="532"/>
      <c r="CW544" s="532"/>
      <c r="CX544" s="532"/>
      <c r="CY544" s="532"/>
      <c r="CZ544" s="532"/>
      <c r="DA544" s="532"/>
      <c r="DB544" s="532"/>
      <c r="DC544" s="532"/>
      <c r="DD544" s="532"/>
      <c r="DE544" s="532"/>
      <c r="DF544" s="532"/>
      <c r="DG544" s="532"/>
      <c r="DH544" s="532"/>
      <c r="DI544" s="532"/>
      <c r="DJ544" s="532"/>
      <c r="DK544" s="532"/>
      <c r="DL544" s="532"/>
      <c r="DM544" s="532"/>
      <c r="DN544" s="532"/>
      <c r="DO544" s="532"/>
      <c r="DP544" s="532"/>
      <c r="DQ544" s="532"/>
      <c r="DR544" s="532"/>
      <c r="DS544" s="532"/>
      <c r="DT544" s="532"/>
      <c r="DU544" s="532"/>
      <c r="DV544" s="532"/>
      <c r="DW544" s="532"/>
      <c r="DX544" s="532"/>
      <c r="DY544" s="532"/>
      <c r="DZ544" s="532"/>
      <c r="EA544" s="532"/>
      <c r="EB544" s="532"/>
      <c r="EC544" s="532"/>
      <c r="ED544" s="532"/>
      <c r="EE544" s="532"/>
      <c r="EF544" s="532"/>
      <c r="EG544" s="532"/>
      <c r="EH544" s="532"/>
      <c r="EI544" s="532"/>
      <c r="EJ544" s="532"/>
      <c r="EK544" s="532"/>
      <c r="EL544" s="532"/>
      <c r="EM544" s="532"/>
      <c r="EN544" s="532"/>
      <c r="EO544" s="532"/>
      <c r="EP544" s="532"/>
      <c r="EQ544" s="532"/>
      <c r="ER544" s="532"/>
      <c r="ES544" s="532"/>
      <c r="ET544" s="532"/>
      <c r="EU544" s="532"/>
      <c r="EV544" s="532"/>
      <c r="EW544" s="532"/>
      <c r="EX544" s="532"/>
      <c r="EY544" s="532"/>
      <c r="EZ544" s="532"/>
      <c r="FA544" s="532"/>
      <c r="FB544" s="532"/>
      <c r="FC544" s="532"/>
      <c r="FD544" s="532"/>
      <c r="FE544" s="532"/>
      <c r="FF544" s="532"/>
      <c r="FG544" s="532"/>
      <c r="FH544" s="532"/>
      <c r="FI544" s="532"/>
      <c r="FJ544" s="532"/>
      <c r="FK544" s="532"/>
      <c r="FL544" s="532"/>
      <c r="FM544" s="532"/>
      <c r="FN544" s="532"/>
      <c r="FO544" s="532"/>
      <c r="FP544" s="532"/>
    </row>
    <row r="545" spans="1:172" ht="12" customHeight="1" x14ac:dyDescent="0.2">
      <c r="A545" s="531"/>
      <c r="B545" s="534"/>
      <c r="C545" s="534"/>
      <c r="D545" s="534"/>
      <c r="E545" s="534"/>
      <c r="F545" s="534"/>
      <c r="G545" s="534"/>
      <c r="H545" s="534"/>
      <c r="I545" s="534"/>
      <c r="J545" s="534"/>
      <c r="K545" s="535"/>
      <c r="L545" s="534"/>
      <c r="M545" s="534"/>
      <c r="N545" s="534"/>
      <c r="O545" s="530"/>
      <c r="P545" s="531"/>
      <c r="Q545" s="531"/>
      <c r="R545" s="531"/>
      <c r="S545" s="531"/>
      <c r="T545" s="531"/>
      <c r="U545" s="531"/>
      <c r="V545" s="531"/>
      <c r="W545" s="531"/>
      <c r="X545" s="531"/>
      <c r="Y545" s="531"/>
      <c r="Z545" s="531"/>
      <c r="AA545" s="531"/>
      <c r="AB545" s="531"/>
      <c r="AC545" s="531"/>
      <c r="AD545" s="531"/>
      <c r="AE545" s="531"/>
      <c r="AF545" s="531"/>
      <c r="AG545" s="531"/>
      <c r="AH545" s="532"/>
      <c r="AI545" s="532"/>
      <c r="AJ545" s="532"/>
      <c r="AK545" s="532"/>
      <c r="AL545" s="532"/>
      <c r="AM545" s="532"/>
      <c r="AN545" s="532"/>
      <c r="AO545" s="532"/>
      <c r="AP545" s="532"/>
      <c r="AQ545" s="532"/>
      <c r="AR545" s="532"/>
      <c r="AS545" s="532"/>
      <c r="AT545" s="532"/>
      <c r="AU545" s="532"/>
      <c r="AV545" s="532"/>
      <c r="AW545" s="532"/>
      <c r="AX545" s="532"/>
      <c r="AY545" s="532"/>
      <c r="AZ545" s="532"/>
      <c r="BA545" s="532"/>
      <c r="BB545" s="532"/>
      <c r="BC545" s="532"/>
      <c r="BD545" s="532"/>
      <c r="BE545" s="532"/>
      <c r="BF545" s="532"/>
      <c r="BG545" s="532"/>
      <c r="BH545" s="532"/>
      <c r="BI545" s="532"/>
      <c r="BJ545" s="532"/>
      <c r="BK545" s="532"/>
      <c r="BL545" s="532"/>
      <c r="BM545" s="532"/>
      <c r="BN545" s="532"/>
      <c r="BO545" s="532"/>
      <c r="BP545" s="532"/>
      <c r="BQ545" s="532"/>
      <c r="BR545" s="532"/>
      <c r="BS545" s="532"/>
      <c r="BT545" s="532"/>
      <c r="BU545" s="532"/>
      <c r="BV545" s="532"/>
      <c r="BW545" s="532"/>
      <c r="BX545" s="532"/>
      <c r="BY545" s="532"/>
      <c r="BZ545" s="532"/>
      <c r="CA545" s="532"/>
      <c r="CB545" s="532"/>
      <c r="CC545" s="532"/>
      <c r="CD545" s="532"/>
      <c r="CE545" s="532"/>
      <c r="CF545" s="532"/>
      <c r="CG545" s="532"/>
      <c r="CH545" s="532"/>
      <c r="CI545" s="532"/>
      <c r="CJ545" s="532"/>
      <c r="CK545" s="532"/>
      <c r="CL545" s="532"/>
      <c r="CM545" s="532"/>
      <c r="CN545" s="532"/>
      <c r="CO545" s="532"/>
      <c r="CP545" s="532"/>
      <c r="CQ545" s="532"/>
      <c r="CR545" s="532"/>
      <c r="CS545" s="532"/>
      <c r="CT545" s="532"/>
      <c r="CU545" s="532"/>
      <c r="CV545" s="532"/>
      <c r="CW545" s="532"/>
      <c r="CX545" s="532"/>
      <c r="CY545" s="532"/>
      <c r="CZ545" s="532"/>
      <c r="DA545" s="532"/>
      <c r="DB545" s="532"/>
      <c r="DC545" s="532"/>
      <c r="DD545" s="532"/>
      <c r="DE545" s="532"/>
      <c r="DF545" s="532"/>
      <c r="DG545" s="532"/>
      <c r="DH545" s="532"/>
      <c r="DI545" s="532"/>
      <c r="DJ545" s="532"/>
      <c r="DK545" s="532"/>
      <c r="DL545" s="532"/>
      <c r="DM545" s="532"/>
      <c r="DN545" s="532"/>
      <c r="DO545" s="532"/>
      <c r="DP545" s="532"/>
      <c r="DQ545" s="532"/>
      <c r="DR545" s="532"/>
      <c r="DS545" s="532"/>
      <c r="DT545" s="532"/>
      <c r="DU545" s="532"/>
      <c r="DV545" s="532"/>
      <c r="DW545" s="532"/>
      <c r="DX545" s="532"/>
      <c r="DY545" s="532"/>
      <c r="DZ545" s="532"/>
      <c r="EA545" s="532"/>
      <c r="EB545" s="532"/>
      <c r="EC545" s="532"/>
      <c r="ED545" s="532"/>
      <c r="EE545" s="532"/>
      <c r="EF545" s="532"/>
      <c r="EG545" s="532"/>
      <c r="EH545" s="532"/>
      <c r="EI545" s="532"/>
      <c r="EJ545" s="532"/>
      <c r="EK545" s="532"/>
      <c r="EL545" s="532"/>
      <c r="EM545" s="532"/>
      <c r="EN545" s="532"/>
      <c r="EO545" s="532"/>
      <c r="EP545" s="532"/>
      <c r="EQ545" s="532"/>
      <c r="ER545" s="532"/>
      <c r="ES545" s="532"/>
      <c r="ET545" s="532"/>
      <c r="EU545" s="532"/>
      <c r="EV545" s="532"/>
      <c r="EW545" s="532"/>
      <c r="EX545" s="532"/>
      <c r="EY545" s="532"/>
      <c r="EZ545" s="532"/>
      <c r="FA545" s="532"/>
      <c r="FB545" s="532"/>
      <c r="FC545" s="532"/>
      <c r="FD545" s="532"/>
      <c r="FE545" s="532"/>
      <c r="FF545" s="532"/>
      <c r="FG545" s="532"/>
      <c r="FH545" s="532"/>
      <c r="FI545" s="532"/>
      <c r="FJ545" s="532"/>
      <c r="FK545" s="532"/>
      <c r="FL545" s="532"/>
      <c r="FM545" s="532"/>
      <c r="FN545" s="532"/>
      <c r="FO545" s="532"/>
      <c r="FP545" s="532"/>
    </row>
    <row r="546" spans="1:172" ht="12" customHeight="1" x14ac:dyDescent="0.2">
      <c r="A546" s="531"/>
      <c r="B546" s="534"/>
      <c r="C546" s="534"/>
      <c r="D546" s="534"/>
      <c r="E546" s="534"/>
      <c r="F546" s="534"/>
      <c r="G546" s="534"/>
      <c r="H546" s="534"/>
      <c r="I546" s="534"/>
      <c r="J546" s="534"/>
      <c r="K546" s="535"/>
      <c r="L546" s="534"/>
      <c r="M546" s="534"/>
      <c r="N546" s="534"/>
      <c r="O546" s="530"/>
      <c r="P546" s="531"/>
      <c r="Q546" s="531"/>
      <c r="R546" s="531"/>
      <c r="S546" s="531"/>
      <c r="T546" s="531"/>
      <c r="U546" s="531"/>
      <c r="V546" s="531"/>
      <c r="W546" s="531"/>
      <c r="X546" s="531"/>
      <c r="Y546" s="531"/>
      <c r="Z546" s="531"/>
      <c r="AA546" s="531"/>
      <c r="AB546" s="531"/>
      <c r="AC546" s="531"/>
      <c r="AD546" s="531"/>
      <c r="AE546" s="531"/>
      <c r="AF546" s="531"/>
      <c r="AG546" s="531"/>
      <c r="AH546" s="532"/>
      <c r="AI546" s="532"/>
      <c r="AJ546" s="532"/>
      <c r="AK546" s="532"/>
      <c r="AL546" s="532"/>
      <c r="AM546" s="532"/>
      <c r="AN546" s="532"/>
      <c r="AO546" s="532"/>
      <c r="AP546" s="532"/>
      <c r="AQ546" s="532"/>
      <c r="AR546" s="532"/>
      <c r="AS546" s="532"/>
      <c r="AT546" s="532"/>
      <c r="AU546" s="532"/>
      <c r="AV546" s="532"/>
      <c r="AW546" s="532"/>
      <c r="AX546" s="532"/>
      <c r="AY546" s="532"/>
      <c r="AZ546" s="532"/>
      <c r="BA546" s="532"/>
      <c r="BB546" s="532"/>
      <c r="BC546" s="532"/>
      <c r="BD546" s="532"/>
      <c r="BE546" s="532"/>
      <c r="BF546" s="532"/>
      <c r="BG546" s="532"/>
      <c r="BH546" s="532"/>
      <c r="BI546" s="532"/>
      <c r="BJ546" s="532"/>
      <c r="BK546" s="532"/>
      <c r="BL546" s="532"/>
      <c r="BM546" s="532"/>
      <c r="BN546" s="532"/>
      <c r="BO546" s="532"/>
      <c r="BP546" s="532"/>
      <c r="BQ546" s="532"/>
      <c r="BR546" s="532"/>
      <c r="BS546" s="532"/>
      <c r="BT546" s="532"/>
      <c r="BU546" s="532"/>
      <c r="BV546" s="532"/>
      <c r="BW546" s="532"/>
      <c r="BX546" s="532"/>
      <c r="BY546" s="532"/>
      <c r="BZ546" s="532"/>
      <c r="CA546" s="532"/>
      <c r="CB546" s="532"/>
      <c r="CC546" s="532"/>
      <c r="CD546" s="532"/>
      <c r="CE546" s="532"/>
      <c r="CF546" s="532"/>
      <c r="CG546" s="532"/>
      <c r="CH546" s="532"/>
      <c r="CI546" s="532"/>
      <c r="CJ546" s="532"/>
      <c r="CK546" s="532"/>
      <c r="CL546" s="532"/>
      <c r="CM546" s="532"/>
      <c r="CN546" s="532"/>
      <c r="CO546" s="532"/>
      <c r="CP546" s="532"/>
      <c r="CQ546" s="532"/>
      <c r="CR546" s="532"/>
      <c r="CS546" s="532"/>
      <c r="CT546" s="532"/>
      <c r="CU546" s="532"/>
      <c r="CV546" s="532"/>
      <c r="CW546" s="532"/>
      <c r="CX546" s="532"/>
      <c r="CY546" s="532"/>
      <c r="CZ546" s="532"/>
      <c r="DA546" s="532"/>
      <c r="DB546" s="532"/>
      <c r="DC546" s="532"/>
      <c r="DD546" s="532"/>
      <c r="DE546" s="532"/>
      <c r="DF546" s="532"/>
      <c r="DG546" s="532"/>
      <c r="DH546" s="532"/>
      <c r="DI546" s="532"/>
      <c r="DJ546" s="532"/>
      <c r="DK546" s="532"/>
      <c r="DL546" s="532"/>
      <c r="DM546" s="532"/>
      <c r="DN546" s="532"/>
      <c r="DO546" s="532"/>
      <c r="DP546" s="532"/>
      <c r="DQ546" s="532"/>
      <c r="DR546" s="532"/>
      <c r="DS546" s="532"/>
      <c r="DT546" s="532"/>
      <c r="DU546" s="532"/>
      <c r="DV546" s="532"/>
      <c r="DW546" s="532"/>
      <c r="DX546" s="532"/>
      <c r="DY546" s="532"/>
      <c r="DZ546" s="532"/>
      <c r="EA546" s="532"/>
      <c r="EB546" s="532"/>
      <c r="EC546" s="532"/>
      <c r="ED546" s="532"/>
      <c r="EE546" s="532"/>
      <c r="EF546" s="532"/>
      <c r="EG546" s="532"/>
      <c r="EH546" s="532"/>
      <c r="EI546" s="532"/>
      <c r="EJ546" s="532"/>
      <c r="EK546" s="532"/>
      <c r="EL546" s="532"/>
      <c r="EM546" s="532"/>
      <c r="EN546" s="532"/>
      <c r="EO546" s="532"/>
      <c r="EP546" s="532"/>
      <c r="EQ546" s="532"/>
      <c r="ER546" s="532"/>
      <c r="ES546" s="532"/>
      <c r="ET546" s="532"/>
      <c r="EU546" s="532"/>
      <c r="EV546" s="532"/>
      <c r="EW546" s="532"/>
      <c r="EX546" s="532"/>
      <c r="EY546" s="532"/>
      <c r="EZ546" s="532"/>
      <c r="FA546" s="532"/>
      <c r="FB546" s="532"/>
      <c r="FC546" s="532"/>
      <c r="FD546" s="532"/>
      <c r="FE546" s="532"/>
      <c r="FF546" s="532"/>
      <c r="FG546" s="532"/>
      <c r="FH546" s="532"/>
      <c r="FI546" s="532"/>
      <c r="FJ546" s="532"/>
      <c r="FK546" s="532"/>
      <c r="FL546" s="532"/>
      <c r="FM546" s="532"/>
      <c r="FN546" s="532"/>
      <c r="FO546" s="532"/>
      <c r="FP546" s="532"/>
    </row>
    <row r="547" spans="1:172" ht="12" customHeight="1" x14ac:dyDescent="0.2">
      <c r="A547" s="531"/>
      <c r="B547" s="534"/>
      <c r="C547" s="534"/>
      <c r="D547" s="534"/>
      <c r="E547" s="534"/>
      <c r="F547" s="534"/>
      <c r="G547" s="534"/>
      <c r="H547" s="534"/>
      <c r="I547" s="534"/>
      <c r="J547" s="534"/>
      <c r="K547" s="535"/>
      <c r="L547" s="534"/>
      <c r="M547" s="534"/>
      <c r="N547" s="534"/>
      <c r="O547" s="535"/>
      <c r="P547" s="531"/>
      <c r="Q547" s="531"/>
      <c r="R547" s="531"/>
      <c r="S547" s="531"/>
      <c r="T547" s="531"/>
      <c r="U547" s="531"/>
      <c r="V547" s="531"/>
      <c r="W547" s="531"/>
      <c r="X547" s="531"/>
      <c r="Y547" s="531"/>
      <c r="Z547" s="531"/>
      <c r="AA547" s="531"/>
      <c r="AB547" s="531"/>
      <c r="AC547" s="531"/>
      <c r="AD547" s="531"/>
      <c r="AE547" s="531"/>
      <c r="AF547" s="531"/>
      <c r="AG547" s="531"/>
      <c r="AH547" s="532"/>
      <c r="AI547" s="532"/>
      <c r="AJ547" s="532"/>
      <c r="AK547" s="532"/>
      <c r="AL547" s="532"/>
      <c r="AM547" s="532"/>
      <c r="AN547" s="532"/>
      <c r="AO547" s="532"/>
      <c r="AP547" s="532"/>
      <c r="AQ547" s="532"/>
      <c r="AR547" s="532"/>
      <c r="AS547" s="532"/>
      <c r="AT547" s="532"/>
      <c r="AU547" s="532"/>
      <c r="AV547" s="532"/>
      <c r="AW547" s="532"/>
      <c r="AX547" s="532"/>
      <c r="AY547" s="532"/>
      <c r="AZ547" s="532"/>
      <c r="BA547" s="532"/>
      <c r="BB547" s="532"/>
      <c r="BC547" s="532"/>
      <c r="BD547" s="532"/>
      <c r="BE547" s="532"/>
      <c r="BF547" s="532"/>
      <c r="BG547" s="532"/>
      <c r="BH547" s="532"/>
      <c r="BI547" s="532"/>
      <c r="BJ547" s="532"/>
      <c r="BK547" s="532"/>
      <c r="BL547" s="532"/>
      <c r="BM547" s="532"/>
      <c r="BN547" s="532"/>
      <c r="BO547" s="532"/>
      <c r="BP547" s="532"/>
      <c r="BQ547" s="532"/>
      <c r="BR547" s="532"/>
      <c r="BS547" s="532"/>
      <c r="BT547" s="532"/>
      <c r="BU547" s="532"/>
      <c r="BV547" s="532"/>
      <c r="BW547" s="532"/>
      <c r="BX547" s="532"/>
      <c r="BY547" s="532"/>
      <c r="BZ547" s="532"/>
      <c r="CA547" s="532"/>
      <c r="CB547" s="532"/>
      <c r="CC547" s="532"/>
      <c r="CD547" s="532"/>
      <c r="CE547" s="532"/>
      <c r="CF547" s="532"/>
      <c r="CG547" s="532"/>
      <c r="CH547" s="532"/>
      <c r="CI547" s="532"/>
      <c r="CJ547" s="532"/>
      <c r="CK547" s="532"/>
      <c r="CL547" s="532"/>
      <c r="CM547" s="532"/>
      <c r="CN547" s="532"/>
      <c r="CO547" s="532"/>
      <c r="CP547" s="532"/>
      <c r="CQ547" s="532"/>
      <c r="CR547" s="532"/>
      <c r="CS547" s="532"/>
      <c r="CT547" s="532"/>
      <c r="CU547" s="532"/>
      <c r="CV547" s="532"/>
      <c r="CW547" s="532"/>
      <c r="CX547" s="532"/>
      <c r="CY547" s="532"/>
      <c r="CZ547" s="532"/>
      <c r="DA547" s="532"/>
      <c r="DB547" s="532"/>
      <c r="DC547" s="532"/>
      <c r="DD547" s="532"/>
      <c r="DE547" s="532"/>
      <c r="DF547" s="532"/>
      <c r="DG547" s="532"/>
      <c r="DH547" s="532"/>
      <c r="DI547" s="532"/>
      <c r="DJ547" s="532"/>
      <c r="DK547" s="532"/>
      <c r="DL547" s="532"/>
      <c r="DM547" s="532"/>
      <c r="DN547" s="532"/>
      <c r="DO547" s="532"/>
      <c r="DP547" s="532"/>
      <c r="DQ547" s="532"/>
      <c r="DR547" s="532"/>
      <c r="DS547" s="532"/>
      <c r="DT547" s="532"/>
      <c r="DU547" s="532"/>
      <c r="DV547" s="532"/>
      <c r="DW547" s="532"/>
      <c r="DX547" s="532"/>
      <c r="DY547" s="532"/>
      <c r="DZ547" s="532"/>
      <c r="EA547" s="532"/>
      <c r="EB547" s="532"/>
      <c r="EC547" s="532"/>
      <c r="ED547" s="532"/>
      <c r="EE547" s="532"/>
      <c r="EF547" s="532"/>
      <c r="EG547" s="532"/>
      <c r="EH547" s="532"/>
      <c r="EI547" s="532"/>
      <c r="EJ547" s="532"/>
      <c r="EK547" s="532"/>
      <c r="EL547" s="532"/>
      <c r="EM547" s="532"/>
      <c r="EN547" s="532"/>
      <c r="EO547" s="532"/>
      <c r="EP547" s="532"/>
      <c r="EQ547" s="532"/>
      <c r="ER547" s="532"/>
      <c r="ES547" s="532"/>
      <c r="ET547" s="532"/>
      <c r="EU547" s="532"/>
      <c r="EV547" s="532"/>
      <c r="EW547" s="532"/>
      <c r="EX547" s="532"/>
      <c r="EY547" s="532"/>
      <c r="EZ547" s="532"/>
      <c r="FA547" s="532"/>
      <c r="FB547" s="532"/>
      <c r="FC547" s="532"/>
      <c r="FD547" s="532"/>
      <c r="FE547" s="532"/>
      <c r="FF547" s="532"/>
      <c r="FG547" s="532"/>
      <c r="FH547" s="532"/>
      <c r="FI547" s="532"/>
      <c r="FJ547" s="532"/>
      <c r="FK547" s="532"/>
      <c r="FL547" s="532"/>
      <c r="FM547" s="532"/>
      <c r="FN547" s="532"/>
      <c r="FO547" s="532"/>
      <c r="FP547" s="532"/>
    </row>
    <row r="548" spans="1:172" ht="12" customHeight="1" x14ac:dyDescent="0.2">
      <c r="A548" s="531"/>
      <c r="B548" s="534"/>
      <c r="C548" s="534"/>
      <c r="D548" s="534"/>
      <c r="E548" s="534"/>
      <c r="F548" s="534"/>
      <c r="G548" s="534"/>
      <c r="H548" s="534"/>
      <c r="I548" s="534"/>
      <c r="J548" s="534"/>
      <c r="K548" s="535"/>
      <c r="L548" s="534"/>
      <c r="M548" s="534"/>
      <c r="N548" s="534"/>
      <c r="O548" s="535"/>
      <c r="P548" s="531"/>
      <c r="Q548" s="531"/>
      <c r="R548" s="531"/>
      <c r="S548" s="531"/>
      <c r="T548" s="531"/>
      <c r="U548" s="531"/>
      <c r="V548" s="531"/>
      <c r="W548" s="531"/>
      <c r="X548" s="531"/>
      <c r="Y548" s="531"/>
      <c r="Z548" s="531"/>
      <c r="AA548" s="531"/>
      <c r="AB548" s="531"/>
      <c r="AC548" s="531"/>
      <c r="AD548" s="531"/>
      <c r="AE548" s="531"/>
      <c r="AF548" s="531"/>
      <c r="AG548" s="531"/>
      <c r="AH548" s="532"/>
      <c r="AI548" s="532"/>
      <c r="AJ548" s="532"/>
      <c r="AK548" s="532"/>
      <c r="AL548" s="532"/>
      <c r="AM548" s="532"/>
      <c r="AN548" s="532"/>
      <c r="AO548" s="532"/>
      <c r="AP548" s="532"/>
      <c r="AQ548" s="532"/>
      <c r="AR548" s="532"/>
      <c r="AS548" s="532"/>
      <c r="AT548" s="532"/>
      <c r="AU548" s="532"/>
      <c r="AV548" s="532"/>
      <c r="AW548" s="532"/>
      <c r="AX548" s="532"/>
      <c r="AY548" s="532"/>
      <c r="AZ548" s="532"/>
      <c r="BA548" s="532"/>
      <c r="BB548" s="532"/>
      <c r="BC548" s="532"/>
      <c r="BD548" s="532"/>
      <c r="BE548" s="532"/>
      <c r="BF548" s="532"/>
      <c r="BG548" s="532"/>
      <c r="BH548" s="532"/>
      <c r="BI548" s="532"/>
      <c r="BJ548" s="532"/>
      <c r="BK548" s="532"/>
      <c r="BL548" s="532"/>
      <c r="BM548" s="532"/>
      <c r="BN548" s="532"/>
      <c r="BO548" s="532"/>
      <c r="BP548" s="532"/>
      <c r="BQ548" s="532"/>
      <c r="BR548" s="532"/>
      <c r="BS548" s="532"/>
      <c r="BT548" s="532"/>
      <c r="BU548" s="532"/>
      <c r="BV548" s="532"/>
      <c r="BW548" s="532"/>
      <c r="BX548" s="532"/>
      <c r="BY548" s="532"/>
      <c r="BZ548" s="532"/>
      <c r="CA548" s="532"/>
      <c r="CB548" s="532"/>
      <c r="CC548" s="532"/>
      <c r="CD548" s="532"/>
      <c r="CE548" s="532"/>
      <c r="CF548" s="532"/>
      <c r="CG548" s="532"/>
      <c r="CH548" s="532"/>
      <c r="CI548" s="532"/>
      <c r="CJ548" s="532"/>
      <c r="CK548" s="532"/>
      <c r="CL548" s="532"/>
      <c r="CM548" s="532"/>
      <c r="CN548" s="532"/>
      <c r="CO548" s="532"/>
      <c r="CP548" s="532"/>
      <c r="CQ548" s="532"/>
      <c r="CR548" s="532"/>
      <c r="CS548" s="532"/>
      <c r="CT548" s="532"/>
      <c r="CU548" s="532"/>
      <c r="CV548" s="532"/>
      <c r="CW548" s="532"/>
      <c r="CX548" s="532"/>
      <c r="CY548" s="532"/>
      <c r="CZ548" s="532"/>
      <c r="DA548" s="532"/>
      <c r="DB548" s="532"/>
      <c r="DC548" s="532"/>
      <c r="DD548" s="532"/>
      <c r="DE548" s="532"/>
      <c r="DF548" s="532"/>
      <c r="DG548" s="532"/>
      <c r="DH548" s="532"/>
      <c r="DI548" s="532"/>
      <c r="DJ548" s="532"/>
      <c r="DK548" s="532"/>
      <c r="DL548" s="532"/>
      <c r="DM548" s="532"/>
      <c r="DN548" s="532"/>
      <c r="DO548" s="532"/>
      <c r="DP548" s="532"/>
      <c r="DQ548" s="532"/>
      <c r="DR548" s="532"/>
      <c r="DS548" s="532"/>
      <c r="DT548" s="532"/>
      <c r="DU548" s="532"/>
      <c r="DV548" s="532"/>
      <c r="DW548" s="532"/>
      <c r="DX548" s="532"/>
      <c r="DY548" s="532"/>
      <c r="DZ548" s="532"/>
      <c r="EA548" s="532"/>
      <c r="EB548" s="532"/>
      <c r="EC548" s="532"/>
      <c r="ED548" s="532"/>
      <c r="EE548" s="532"/>
      <c r="EF548" s="532"/>
      <c r="EG548" s="532"/>
      <c r="EH548" s="532"/>
      <c r="EI548" s="532"/>
      <c r="EJ548" s="532"/>
      <c r="EK548" s="532"/>
      <c r="EL548" s="532"/>
      <c r="EM548" s="532"/>
      <c r="EN548" s="532"/>
      <c r="EO548" s="532"/>
      <c r="EP548" s="532"/>
      <c r="EQ548" s="532"/>
      <c r="ER548" s="532"/>
      <c r="ES548" s="532"/>
      <c r="ET548" s="532"/>
      <c r="EU548" s="532"/>
      <c r="EV548" s="532"/>
      <c r="EW548" s="532"/>
      <c r="EX548" s="532"/>
      <c r="EY548" s="532"/>
      <c r="EZ548" s="532"/>
      <c r="FA548" s="532"/>
      <c r="FB548" s="532"/>
      <c r="FC548" s="532"/>
      <c r="FD548" s="532"/>
      <c r="FE548" s="532"/>
      <c r="FF548" s="532"/>
      <c r="FG548" s="532"/>
      <c r="FH548" s="532"/>
      <c r="FI548" s="532"/>
      <c r="FJ548" s="532"/>
      <c r="FK548" s="532"/>
      <c r="FL548" s="532"/>
      <c r="FM548" s="532"/>
      <c r="FN548" s="532"/>
      <c r="FO548" s="532"/>
      <c r="FP548" s="532"/>
    </row>
    <row r="549" spans="1:172" ht="12" customHeight="1" x14ac:dyDescent="0.2">
      <c r="A549" s="531"/>
      <c r="B549" s="534"/>
      <c r="C549" s="534"/>
      <c r="D549" s="534"/>
      <c r="E549" s="534"/>
      <c r="F549" s="534"/>
      <c r="G549" s="534"/>
      <c r="H549" s="534"/>
      <c r="I549" s="534"/>
      <c r="J549" s="534"/>
      <c r="K549" s="535"/>
      <c r="L549" s="534"/>
      <c r="M549" s="534"/>
      <c r="N549" s="534"/>
      <c r="O549" s="535"/>
      <c r="P549" s="531"/>
      <c r="Q549" s="531"/>
      <c r="R549" s="531"/>
      <c r="S549" s="531"/>
      <c r="T549" s="531"/>
      <c r="U549" s="531"/>
      <c r="V549" s="531"/>
      <c r="W549" s="531"/>
      <c r="X549" s="531"/>
      <c r="Y549" s="531"/>
      <c r="Z549" s="531"/>
      <c r="AA549" s="531"/>
      <c r="AB549" s="531"/>
      <c r="AC549" s="531"/>
      <c r="AD549" s="531"/>
      <c r="AE549" s="531"/>
      <c r="AF549" s="531"/>
      <c r="AG549" s="531"/>
      <c r="AH549" s="532"/>
      <c r="AI549" s="532"/>
      <c r="AJ549" s="532"/>
      <c r="AK549" s="532"/>
      <c r="AL549" s="532"/>
      <c r="AM549" s="532"/>
      <c r="AN549" s="532"/>
      <c r="AO549" s="532"/>
      <c r="AP549" s="532"/>
      <c r="AQ549" s="532"/>
      <c r="AR549" s="532"/>
      <c r="AS549" s="532"/>
      <c r="AT549" s="532"/>
      <c r="AU549" s="532"/>
      <c r="AV549" s="532"/>
      <c r="AW549" s="532"/>
      <c r="AX549" s="532"/>
      <c r="AY549" s="532"/>
      <c r="AZ549" s="532"/>
      <c r="BA549" s="532"/>
      <c r="BB549" s="532"/>
      <c r="BC549" s="532"/>
      <c r="BD549" s="532"/>
      <c r="BE549" s="532"/>
      <c r="BF549" s="532"/>
      <c r="BG549" s="532"/>
      <c r="BH549" s="532"/>
      <c r="BI549" s="532"/>
      <c r="BJ549" s="532"/>
      <c r="BK549" s="532"/>
      <c r="BL549" s="532"/>
      <c r="BM549" s="532"/>
      <c r="BN549" s="532"/>
      <c r="BO549" s="532"/>
      <c r="BP549" s="532"/>
      <c r="BQ549" s="532"/>
      <c r="BR549" s="532"/>
      <c r="BS549" s="532"/>
      <c r="BT549" s="532"/>
      <c r="BU549" s="532"/>
      <c r="BV549" s="532"/>
      <c r="BW549" s="532"/>
      <c r="BX549" s="532"/>
      <c r="BY549" s="532"/>
      <c r="BZ549" s="532"/>
      <c r="CA549" s="532"/>
      <c r="CB549" s="532"/>
      <c r="CC549" s="532"/>
      <c r="CD549" s="532"/>
      <c r="CE549" s="532"/>
      <c r="CF549" s="532"/>
      <c r="CG549" s="532"/>
      <c r="CH549" s="532"/>
      <c r="CI549" s="532"/>
      <c r="CJ549" s="532"/>
      <c r="CK549" s="532"/>
      <c r="CL549" s="532"/>
      <c r="CM549" s="532"/>
      <c r="CN549" s="532"/>
      <c r="CO549" s="532"/>
      <c r="CP549" s="532"/>
      <c r="CQ549" s="532"/>
      <c r="CR549" s="532"/>
      <c r="CS549" s="532"/>
      <c r="CT549" s="532"/>
      <c r="CU549" s="532"/>
      <c r="CV549" s="532"/>
      <c r="CW549" s="532"/>
      <c r="CX549" s="532"/>
      <c r="CY549" s="532"/>
      <c r="CZ549" s="532"/>
      <c r="DA549" s="532"/>
      <c r="DB549" s="532"/>
      <c r="DC549" s="532"/>
      <c r="DD549" s="532"/>
      <c r="DE549" s="532"/>
      <c r="DF549" s="532"/>
      <c r="DG549" s="532"/>
      <c r="DH549" s="532"/>
      <c r="DI549" s="532"/>
      <c r="DJ549" s="532"/>
      <c r="DK549" s="532"/>
      <c r="DL549" s="532"/>
      <c r="DM549" s="532"/>
      <c r="DN549" s="532"/>
      <c r="DO549" s="532"/>
      <c r="DP549" s="532"/>
      <c r="DQ549" s="532"/>
      <c r="DR549" s="532"/>
      <c r="DS549" s="532"/>
      <c r="DT549" s="532"/>
      <c r="DU549" s="532"/>
      <c r="DV549" s="532"/>
      <c r="DW549" s="532"/>
      <c r="DX549" s="532"/>
      <c r="DY549" s="532"/>
      <c r="DZ549" s="532"/>
      <c r="EA549" s="532"/>
      <c r="EB549" s="532"/>
      <c r="EC549" s="532"/>
      <c r="ED549" s="532"/>
      <c r="EE549" s="532"/>
      <c r="EF549" s="532"/>
      <c r="EG549" s="532"/>
      <c r="EH549" s="532"/>
      <c r="EI549" s="532"/>
      <c r="EJ549" s="532"/>
      <c r="EK549" s="532"/>
      <c r="EL549" s="532"/>
      <c r="EM549" s="532"/>
      <c r="EN549" s="532"/>
      <c r="EO549" s="532"/>
      <c r="EP549" s="532"/>
      <c r="EQ549" s="532"/>
      <c r="ER549" s="532"/>
      <c r="ES549" s="532"/>
      <c r="ET549" s="532"/>
      <c r="EU549" s="532"/>
      <c r="EV549" s="532"/>
      <c r="EW549" s="532"/>
      <c r="EX549" s="532"/>
      <c r="EY549" s="532"/>
      <c r="EZ549" s="532"/>
      <c r="FA549" s="532"/>
      <c r="FB549" s="532"/>
      <c r="FC549" s="532"/>
      <c r="FD549" s="532"/>
      <c r="FE549" s="532"/>
      <c r="FF549" s="532"/>
      <c r="FG549" s="532"/>
      <c r="FH549" s="532"/>
      <c r="FI549" s="532"/>
      <c r="FJ549" s="532"/>
      <c r="FK549" s="532"/>
      <c r="FL549" s="532"/>
      <c r="FM549" s="532"/>
      <c r="FN549" s="532"/>
      <c r="FO549" s="532"/>
      <c r="FP549" s="532"/>
    </row>
    <row r="550" spans="1:172" ht="12" customHeight="1" x14ac:dyDescent="0.2">
      <c r="A550" s="531"/>
      <c r="B550" s="534"/>
      <c r="C550" s="534"/>
      <c r="D550" s="534"/>
      <c r="E550" s="534"/>
      <c r="F550" s="534"/>
      <c r="G550" s="534"/>
      <c r="H550" s="534"/>
      <c r="I550" s="534"/>
      <c r="J550" s="534"/>
      <c r="K550" s="535"/>
      <c r="L550" s="534"/>
      <c r="M550" s="534"/>
      <c r="N550" s="534"/>
      <c r="O550" s="535"/>
      <c r="P550" s="531"/>
      <c r="Q550" s="531"/>
      <c r="R550" s="531"/>
      <c r="S550" s="531"/>
      <c r="T550" s="531"/>
      <c r="U550" s="531"/>
      <c r="V550" s="531"/>
      <c r="W550" s="531"/>
      <c r="X550" s="531"/>
      <c r="Y550" s="531"/>
      <c r="Z550" s="531"/>
      <c r="AA550" s="531"/>
      <c r="AB550" s="531"/>
      <c r="AC550" s="531"/>
      <c r="AD550" s="531"/>
      <c r="AE550" s="531"/>
      <c r="AF550" s="531"/>
      <c r="AG550" s="531"/>
      <c r="AH550" s="532"/>
      <c r="AI550" s="532"/>
      <c r="AJ550" s="532"/>
      <c r="AK550" s="532"/>
      <c r="AL550" s="532"/>
      <c r="AM550" s="532"/>
      <c r="AN550" s="532"/>
      <c r="AO550" s="532"/>
      <c r="AP550" s="532"/>
      <c r="AQ550" s="532"/>
      <c r="AR550" s="532"/>
      <c r="AS550" s="532"/>
      <c r="AT550" s="532"/>
      <c r="AU550" s="532"/>
      <c r="AV550" s="532"/>
      <c r="AW550" s="532"/>
      <c r="AX550" s="532"/>
      <c r="AY550" s="532"/>
      <c r="AZ550" s="532"/>
      <c r="BA550" s="532"/>
      <c r="BB550" s="532"/>
      <c r="BC550" s="532"/>
      <c r="BD550" s="532"/>
      <c r="BE550" s="532"/>
      <c r="BF550" s="532"/>
      <c r="BG550" s="532"/>
      <c r="BH550" s="532"/>
      <c r="BI550" s="532"/>
      <c r="BJ550" s="532"/>
      <c r="BK550" s="532"/>
      <c r="BL550" s="532"/>
      <c r="BM550" s="532"/>
      <c r="BN550" s="532"/>
      <c r="BO550" s="532"/>
      <c r="BP550" s="532"/>
      <c r="BQ550" s="532"/>
      <c r="BR550" s="532"/>
      <c r="BS550" s="532"/>
      <c r="BT550" s="532"/>
      <c r="BU550" s="532"/>
      <c r="BV550" s="532"/>
      <c r="BW550" s="532"/>
      <c r="BX550" s="532"/>
      <c r="BY550" s="532"/>
      <c r="BZ550" s="532"/>
      <c r="CA550" s="532"/>
      <c r="CB550" s="532"/>
      <c r="CC550" s="532"/>
      <c r="CD550" s="532"/>
      <c r="CE550" s="532"/>
      <c r="CF550" s="532"/>
      <c r="CG550" s="532"/>
      <c r="CH550" s="532"/>
      <c r="CI550" s="532"/>
      <c r="CJ550" s="532"/>
      <c r="CK550" s="532"/>
      <c r="CL550" s="532"/>
      <c r="CM550" s="532"/>
      <c r="CN550" s="532"/>
      <c r="CO550" s="532"/>
      <c r="CP550" s="532"/>
      <c r="CQ550" s="532"/>
      <c r="CR550" s="532"/>
      <c r="CS550" s="532"/>
      <c r="CT550" s="532"/>
      <c r="CU550" s="532"/>
      <c r="CV550" s="532"/>
      <c r="CW550" s="532"/>
      <c r="CX550" s="532"/>
      <c r="CY550" s="532"/>
      <c r="CZ550" s="532"/>
      <c r="DA550" s="532"/>
      <c r="DB550" s="532"/>
      <c r="DC550" s="532"/>
      <c r="DD550" s="532"/>
      <c r="DE550" s="532"/>
      <c r="DF550" s="532"/>
      <c r="DG550" s="532"/>
      <c r="DH550" s="532"/>
      <c r="DI550" s="532"/>
      <c r="DJ550" s="532"/>
      <c r="DK550" s="532"/>
      <c r="DL550" s="532"/>
      <c r="DM550" s="532"/>
      <c r="DN550" s="532"/>
      <c r="DO550" s="532"/>
      <c r="DP550" s="532"/>
      <c r="DQ550" s="532"/>
      <c r="DR550" s="532"/>
      <c r="DS550" s="532"/>
      <c r="DT550" s="532"/>
      <c r="DU550" s="532"/>
      <c r="DV550" s="532"/>
      <c r="DW550" s="532"/>
      <c r="DX550" s="532"/>
      <c r="DY550" s="532"/>
      <c r="DZ550" s="532"/>
      <c r="EA550" s="532"/>
      <c r="EB550" s="532"/>
      <c r="EC550" s="532"/>
      <c r="ED550" s="532"/>
      <c r="EE550" s="532"/>
      <c r="EF550" s="532"/>
      <c r="EG550" s="532"/>
      <c r="EH550" s="532"/>
      <c r="EI550" s="532"/>
      <c r="EJ550" s="532"/>
      <c r="EK550" s="532"/>
      <c r="EL550" s="532"/>
      <c r="EM550" s="532"/>
      <c r="EN550" s="532"/>
      <c r="EO550" s="532"/>
      <c r="EP550" s="532"/>
      <c r="EQ550" s="532"/>
      <c r="ER550" s="532"/>
      <c r="ES550" s="532"/>
      <c r="ET550" s="532"/>
      <c r="EU550" s="532"/>
      <c r="EV550" s="532"/>
      <c r="EW550" s="532"/>
      <c r="EX550" s="532"/>
      <c r="EY550" s="532"/>
      <c r="EZ550" s="532"/>
      <c r="FA550" s="532"/>
      <c r="FB550" s="532"/>
      <c r="FC550" s="532"/>
      <c r="FD550" s="532"/>
      <c r="FE550" s="532"/>
      <c r="FF550" s="532"/>
      <c r="FG550" s="532"/>
      <c r="FH550" s="532"/>
      <c r="FI550" s="532"/>
      <c r="FJ550" s="532"/>
      <c r="FK550" s="532"/>
      <c r="FL550" s="532"/>
      <c r="FM550" s="532"/>
      <c r="FN550" s="532"/>
      <c r="FO550" s="532"/>
      <c r="FP550" s="532"/>
    </row>
    <row r="551" spans="1:172" ht="12" customHeight="1" x14ac:dyDescent="0.2">
      <c r="A551" s="531"/>
      <c r="B551" s="534"/>
      <c r="C551" s="534"/>
      <c r="D551" s="534"/>
      <c r="E551" s="534"/>
      <c r="F551" s="534"/>
      <c r="G551" s="534"/>
      <c r="H551" s="534"/>
      <c r="I551" s="534"/>
      <c r="J551" s="534"/>
      <c r="K551" s="665"/>
      <c r="L551" s="558"/>
      <c r="M551" s="558"/>
      <c r="N551" s="558"/>
      <c r="O551" s="535"/>
      <c r="P551" s="531"/>
      <c r="Q551" s="531"/>
      <c r="R551" s="531"/>
      <c r="S551" s="531"/>
      <c r="T551" s="531"/>
      <c r="U551" s="531"/>
      <c r="V551" s="531"/>
      <c r="W551" s="531"/>
      <c r="X551" s="531"/>
      <c r="Y551" s="531"/>
      <c r="Z551" s="531"/>
      <c r="AA551" s="531"/>
      <c r="AB551" s="531"/>
      <c r="AC551" s="531"/>
      <c r="AD551" s="531"/>
      <c r="AE551" s="531"/>
      <c r="AF551" s="531"/>
      <c r="AG551" s="531"/>
      <c r="AH551" s="532"/>
      <c r="AI551" s="532"/>
      <c r="AJ551" s="532"/>
      <c r="AK551" s="532"/>
      <c r="AL551" s="532"/>
      <c r="AM551" s="532"/>
      <c r="AN551" s="532"/>
      <c r="AO551" s="532"/>
      <c r="AP551" s="532"/>
      <c r="AQ551" s="532"/>
      <c r="AR551" s="532"/>
      <c r="AS551" s="532"/>
      <c r="AT551" s="532"/>
      <c r="AU551" s="532"/>
      <c r="AV551" s="532"/>
      <c r="AW551" s="532"/>
      <c r="AX551" s="532"/>
      <c r="AY551" s="532"/>
      <c r="AZ551" s="532"/>
      <c r="BA551" s="532"/>
      <c r="BB551" s="532"/>
      <c r="BC551" s="532"/>
      <c r="BD551" s="532"/>
      <c r="BE551" s="532"/>
      <c r="BF551" s="532"/>
      <c r="BG551" s="532"/>
      <c r="BH551" s="532"/>
      <c r="BI551" s="532"/>
      <c r="BJ551" s="532"/>
      <c r="BK551" s="532"/>
      <c r="BL551" s="532"/>
      <c r="BM551" s="532"/>
      <c r="BN551" s="532"/>
      <c r="BO551" s="532"/>
      <c r="BP551" s="532"/>
      <c r="BQ551" s="532"/>
      <c r="BR551" s="532"/>
      <c r="BS551" s="532"/>
      <c r="BT551" s="532"/>
      <c r="BU551" s="532"/>
      <c r="BV551" s="532"/>
      <c r="BW551" s="532"/>
      <c r="BX551" s="532"/>
      <c r="BY551" s="532"/>
      <c r="BZ551" s="532"/>
      <c r="CA551" s="532"/>
      <c r="CB551" s="532"/>
      <c r="CC551" s="532"/>
      <c r="CD551" s="532"/>
      <c r="CE551" s="532"/>
      <c r="CF551" s="532"/>
      <c r="CG551" s="532"/>
      <c r="CH551" s="532"/>
      <c r="CI551" s="532"/>
      <c r="CJ551" s="532"/>
      <c r="CK551" s="532"/>
      <c r="CL551" s="532"/>
      <c r="CM551" s="532"/>
      <c r="CN551" s="532"/>
      <c r="CO551" s="532"/>
      <c r="CP551" s="532"/>
      <c r="CQ551" s="532"/>
      <c r="CR551" s="532"/>
      <c r="CS551" s="532"/>
      <c r="CT551" s="532"/>
      <c r="CU551" s="532"/>
      <c r="CV551" s="532"/>
      <c r="CW551" s="532"/>
      <c r="CX551" s="532"/>
      <c r="CY551" s="532"/>
      <c r="CZ551" s="532"/>
      <c r="DA551" s="532"/>
      <c r="DB551" s="532"/>
      <c r="DC551" s="532"/>
      <c r="DD551" s="532"/>
      <c r="DE551" s="532"/>
      <c r="DF551" s="532"/>
      <c r="DG551" s="532"/>
      <c r="DH551" s="532"/>
      <c r="DI551" s="532"/>
      <c r="DJ551" s="532"/>
      <c r="DK551" s="532"/>
      <c r="DL551" s="532"/>
      <c r="DM551" s="532"/>
      <c r="DN551" s="532"/>
      <c r="DO551" s="532"/>
      <c r="DP551" s="532"/>
      <c r="DQ551" s="532"/>
      <c r="DR551" s="532"/>
      <c r="DS551" s="532"/>
      <c r="DT551" s="532"/>
      <c r="DU551" s="532"/>
      <c r="DV551" s="532"/>
      <c r="DW551" s="532"/>
      <c r="DX551" s="532"/>
      <c r="DY551" s="532"/>
      <c r="DZ551" s="532"/>
      <c r="EA551" s="532"/>
      <c r="EB551" s="532"/>
      <c r="EC551" s="532"/>
      <c r="ED551" s="532"/>
      <c r="EE551" s="532"/>
      <c r="EF551" s="532"/>
      <c r="EG551" s="532"/>
      <c r="EH551" s="532"/>
      <c r="EI551" s="532"/>
      <c r="EJ551" s="532"/>
      <c r="EK551" s="532"/>
      <c r="EL551" s="532"/>
      <c r="EM551" s="532"/>
      <c r="EN551" s="532"/>
      <c r="EO551" s="532"/>
      <c r="EP551" s="532"/>
      <c r="EQ551" s="532"/>
      <c r="ER551" s="532"/>
      <c r="ES551" s="532"/>
      <c r="ET551" s="532"/>
      <c r="EU551" s="532"/>
      <c r="EV551" s="532"/>
      <c r="EW551" s="532"/>
      <c r="EX551" s="532"/>
      <c r="EY551" s="532"/>
      <c r="EZ551" s="532"/>
      <c r="FA551" s="532"/>
      <c r="FB551" s="532"/>
      <c r="FC551" s="532"/>
      <c r="FD551" s="532"/>
      <c r="FE551" s="532"/>
      <c r="FF551" s="532"/>
      <c r="FG551" s="532"/>
      <c r="FH551" s="532"/>
      <c r="FI551" s="532"/>
      <c r="FJ551" s="532"/>
      <c r="FK551" s="532"/>
      <c r="FL551" s="532"/>
      <c r="FM551" s="532"/>
      <c r="FN551" s="532"/>
      <c r="FO551" s="532"/>
      <c r="FP551" s="532"/>
    </row>
    <row r="552" spans="1:172" ht="12" customHeight="1" x14ac:dyDescent="0.2">
      <c r="A552" s="531"/>
      <c r="B552" s="534"/>
      <c r="C552" s="534"/>
      <c r="D552" s="534"/>
      <c r="E552" s="534"/>
      <c r="F552" s="534"/>
      <c r="G552" s="534"/>
      <c r="H552" s="534"/>
      <c r="I552" s="534"/>
      <c r="J552" s="534"/>
      <c r="K552" s="535"/>
      <c r="L552" s="534"/>
      <c r="M552" s="534"/>
      <c r="N552" s="534"/>
      <c r="O552" s="535"/>
      <c r="P552" s="531"/>
      <c r="Q552" s="531"/>
      <c r="R552" s="531"/>
      <c r="S552" s="531"/>
      <c r="T552" s="531"/>
      <c r="U552" s="531"/>
      <c r="V552" s="531"/>
      <c r="W552" s="531"/>
      <c r="X552" s="531"/>
      <c r="Y552" s="531"/>
      <c r="Z552" s="531"/>
      <c r="AA552" s="531"/>
      <c r="AB552" s="531"/>
      <c r="AC552" s="531"/>
      <c r="AD552" s="531"/>
      <c r="AE552" s="531"/>
      <c r="AF552" s="531"/>
      <c r="AG552" s="531"/>
      <c r="AH552" s="532"/>
      <c r="AI552" s="532"/>
      <c r="AJ552" s="532"/>
      <c r="AK552" s="532"/>
      <c r="AL552" s="532"/>
      <c r="AM552" s="532"/>
      <c r="AN552" s="532"/>
      <c r="AO552" s="532"/>
      <c r="AP552" s="532"/>
      <c r="AQ552" s="532"/>
      <c r="AR552" s="532"/>
      <c r="AS552" s="532"/>
      <c r="AT552" s="532"/>
      <c r="AU552" s="532"/>
      <c r="AV552" s="532"/>
      <c r="AW552" s="532"/>
      <c r="AX552" s="532"/>
      <c r="AY552" s="532"/>
      <c r="AZ552" s="532"/>
      <c r="BA552" s="532"/>
      <c r="BB552" s="532"/>
      <c r="BC552" s="532"/>
      <c r="BD552" s="532"/>
      <c r="BE552" s="532"/>
      <c r="BF552" s="532"/>
      <c r="BG552" s="532"/>
      <c r="BH552" s="532"/>
      <c r="BI552" s="532"/>
      <c r="BJ552" s="532"/>
      <c r="BK552" s="532"/>
      <c r="BL552" s="532"/>
      <c r="BM552" s="532"/>
      <c r="BN552" s="532"/>
      <c r="BO552" s="532"/>
      <c r="BP552" s="532"/>
      <c r="BQ552" s="532"/>
      <c r="BR552" s="532"/>
      <c r="BS552" s="532"/>
      <c r="BT552" s="532"/>
      <c r="BU552" s="532"/>
      <c r="BV552" s="532"/>
      <c r="BW552" s="532"/>
      <c r="BX552" s="532"/>
      <c r="BY552" s="532"/>
      <c r="BZ552" s="532"/>
      <c r="CA552" s="532"/>
      <c r="CB552" s="532"/>
      <c r="CC552" s="532"/>
      <c r="CD552" s="532"/>
      <c r="CE552" s="532"/>
      <c r="CF552" s="532"/>
      <c r="CG552" s="532"/>
      <c r="CH552" s="532"/>
      <c r="CI552" s="532"/>
      <c r="CJ552" s="532"/>
      <c r="CK552" s="532"/>
      <c r="CL552" s="532"/>
      <c r="CM552" s="532"/>
      <c r="CN552" s="532"/>
      <c r="CO552" s="532"/>
      <c r="CP552" s="532"/>
      <c r="CQ552" s="532"/>
      <c r="CR552" s="532"/>
      <c r="CS552" s="532"/>
      <c r="CT552" s="532"/>
      <c r="CU552" s="532"/>
      <c r="CV552" s="532"/>
      <c r="CW552" s="532"/>
      <c r="CX552" s="532"/>
      <c r="CY552" s="532"/>
      <c r="CZ552" s="532"/>
      <c r="DA552" s="532"/>
      <c r="DB552" s="532"/>
      <c r="DC552" s="532"/>
      <c r="DD552" s="532"/>
      <c r="DE552" s="532"/>
      <c r="DF552" s="532"/>
      <c r="DG552" s="532"/>
      <c r="DH552" s="532"/>
      <c r="DI552" s="532"/>
      <c r="DJ552" s="532"/>
      <c r="DK552" s="532"/>
      <c r="DL552" s="532"/>
      <c r="DM552" s="532"/>
      <c r="DN552" s="532"/>
      <c r="DO552" s="532"/>
      <c r="DP552" s="532"/>
      <c r="DQ552" s="532"/>
      <c r="DR552" s="532"/>
      <c r="DS552" s="532"/>
      <c r="DT552" s="532"/>
      <c r="DU552" s="532"/>
      <c r="DV552" s="532"/>
      <c r="DW552" s="532"/>
      <c r="DX552" s="532"/>
      <c r="DY552" s="532"/>
      <c r="DZ552" s="532"/>
      <c r="EA552" s="532"/>
      <c r="EB552" s="532"/>
      <c r="EC552" s="532"/>
      <c r="ED552" s="532"/>
      <c r="EE552" s="532"/>
      <c r="EF552" s="532"/>
      <c r="EG552" s="532"/>
      <c r="EH552" s="532"/>
      <c r="EI552" s="532"/>
      <c r="EJ552" s="532"/>
      <c r="EK552" s="532"/>
      <c r="EL552" s="532"/>
      <c r="EM552" s="532"/>
      <c r="EN552" s="532"/>
      <c r="EO552" s="532"/>
      <c r="EP552" s="532"/>
      <c r="EQ552" s="532"/>
      <c r="ER552" s="532"/>
      <c r="ES552" s="532"/>
      <c r="ET552" s="532"/>
      <c r="EU552" s="532"/>
      <c r="EV552" s="532"/>
      <c r="EW552" s="532"/>
      <c r="EX552" s="532"/>
      <c r="EY552" s="532"/>
      <c r="EZ552" s="532"/>
      <c r="FA552" s="532"/>
      <c r="FB552" s="532"/>
      <c r="FC552" s="532"/>
      <c r="FD552" s="532"/>
      <c r="FE552" s="532"/>
      <c r="FF552" s="532"/>
      <c r="FG552" s="532"/>
      <c r="FH552" s="532"/>
      <c r="FI552" s="532"/>
      <c r="FJ552" s="532"/>
      <c r="FK552" s="532"/>
      <c r="FL552" s="532"/>
      <c r="FM552" s="532"/>
      <c r="FN552" s="532"/>
      <c r="FO552" s="532"/>
      <c r="FP552" s="532"/>
    </row>
    <row r="553" spans="1:172" ht="12" customHeight="1" x14ac:dyDescent="0.2">
      <c r="A553" s="531"/>
      <c r="B553" s="534"/>
      <c r="C553" s="534"/>
      <c r="D553" s="534"/>
      <c r="E553" s="534"/>
      <c r="F553" s="534"/>
      <c r="G553" s="534"/>
      <c r="H553" s="534"/>
      <c r="I553" s="534"/>
      <c r="J553" s="534"/>
      <c r="K553" s="535"/>
      <c r="L553" s="534"/>
      <c r="M553" s="534"/>
      <c r="N553" s="534"/>
      <c r="O553" s="535"/>
      <c r="P553" s="531"/>
      <c r="Q553" s="531"/>
      <c r="R553" s="531"/>
      <c r="S553" s="531"/>
      <c r="T553" s="531"/>
      <c r="U553" s="531"/>
      <c r="V553" s="531"/>
      <c r="W553" s="531"/>
      <c r="X553" s="531"/>
      <c r="Y553" s="531"/>
      <c r="Z553" s="531"/>
      <c r="AA553" s="531"/>
      <c r="AB553" s="531"/>
      <c r="AC553" s="531"/>
      <c r="AD553" s="531"/>
      <c r="AE553" s="531"/>
      <c r="AF553" s="531"/>
      <c r="AG553" s="531"/>
      <c r="AH553" s="532"/>
      <c r="AI553" s="532"/>
      <c r="AJ553" s="532"/>
      <c r="AK553" s="532"/>
      <c r="AL553" s="532"/>
      <c r="AM553" s="532"/>
      <c r="AN553" s="532"/>
      <c r="AO553" s="532"/>
      <c r="AP553" s="532"/>
      <c r="AQ553" s="532"/>
      <c r="AR553" s="532"/>
      <c r="AS553" s="532"/>
      <c r="AT553" s="532"/>
      <c r="AU553" s="532"/>
      <c r="AV553" s="532"/>
      <c r="AW553" s="532"/>
      <c r="AX553" s="532"/>
      <c r="AY553" s="532"/>
      <c r="AZ553" s="532"/>
      <c r="BA553" s="532"/>
      <c r="BB553" s="532"/>
      <c r="BC553" s="532"/>
      <c r="BD553" s="532"/>
      <c r="BE553" s="532"/>
      <c r="BF553" s="532"/>
      <c r="BG553" s="532"/>
      <c r="BH553" s="532"/>
      <c r="BI553" s="532"/>
      <c r="BJ553" s="532"/>
      <c r="BK553" s="532"/>
      <c r="BL553" s="532"/>
      <c r="BM553" s="532"/>
      <c r="BN553" s="532"/>
      <c r="BO553" s="532"/>
      <c r="BP553" s="532"/>
      <c r="BQ553" s="532"/>
      <c r="BR553" s="532"/>
      <c r="BS553" s="532"/>
      <c r="BT553" s="532"/>
      <c r="BU553" s="532"/>
      <c r="BV553" s="532"/>
      <c r="BW553" s="532"/>
      <c r="BX553" s="532"/>
      <c r="BY553" s="532"/>
      <c r="BZ553" s="532"/>
      <c r="CA553" s="532"/>
      <c r="CB553" s="532"/>
      <c r="CC553" s="532"/>
      <c r="CD553" s="532"/>
      <c r="CE553" s="532"/>
      <c r="CF553" s="532"/>
      <c r="CG553" s="532"/>
      <c r="CH553" s="532"/>
      <c r="CI553" s="532"/>
      <c r="CJ553" s="532"/>
      <c r="CK553" s="532"/>
      <c r="CL553" s="532"/>
      <c r="CM553" s="532"/>
      <c r="CN553" s="532"/>
      <c r="CO553" s="532"/>
      <c r="CP553" s="532"/>
      <c r="CQ553" s="532"/>
      <c r="CR553" s="532"/>
      <c r="CS553" s="532"/>
      <c r="CT553" s="532"/>
      <c r="CU553" s="532"/>
      <c r="CV553" s="532"/>
      <c r="CW553" s="532"/>
      <c r="CX553" s="532"/>
      <c r="CY553" s="532"/>
      <c r="CZ553" s="532"/>
      <c r="DA553" s="532"/>
      <c r="DB553" s="532"/>
      <c r="DC553" s="532"/>
      <c r="DD553" s="532"/>
      <c r="DE553" s="532"/>
      <c r="DF553" s="532"/>
      <c r="DG553" s="532"/>
      <c r="DH553" s="532"/>
      <c r="DI553" s="532"/>
      <c r="DJ553" s="532"/>
      <c r="DK553" s="532"/>
      <c r="DL553" s="532"/>
      <c r="DM553" s="532"/>
      <c r="DN553" s="532"/>
      <c r="DO553" s="532"/>
      <c r="DP553" s="532"/>
      <c r="DQ553" s="532"/>
      <c r="DR553" s="532"/>
      <c r="DS553" s="532"/>
      <c r="DT553" s="532"/>
      <c r="DU553" s="532"/>
      <c r="DV553" s="532"/>
      <c r="DW553" s="532"/>
      <c r="DX553" s="532"/>
      <c r="DY553" s="532"/>
      <c r="DZ553" s="532"/>
      <c r="EA553" s="532"/>
      <c r="EB553" s="532"/>
      <c r="EC553" s="532"/>
      <c r="ED553" s="532"/>
      <c r="EE553" s="532"/>
      <c r="EF553" s="532"/>
      <c r="EG553" s="532"/>
      <c r="EH553" s="532"/>
      <c r="EI553" s="532"/>
      <c r="EJ553" s="532"/>
      <c r="EK553" s="532"/>
      <c r="EL553" s="532"/>
      <c r="EM553" s="532"/>
      <c r="EN553" s="532"/>
      <c r="EO553" s="532"/>
      <c r="EP553" s="532"/>
      <c r="EQ553" s="532"/>
      <c r="ER553" s="532"/>
      <c r="ES553" s="532"/>
      <c r="ET553" s="532"/>
      <c r="EU553" s="532"/>
      <c r="EV553" s="532"/>
      <c r="EW553" s="532"/>
      <c r="EX553" s="532"/>
      <c r="EY553" s="532"/>
      <c r="EZ553" s="532"/>
      <c r="FA553" s="532"/>
      <c r="FB553" s="532"/>
      <c r="FC553" s="532"/>
      <c r="FD553" s="532"/>
      <c r="FE553" s="532"/>
      <c r="FF553" s="532"/>
      <c r="FG553" s="532"/>
      <c r="FH553" s="532"/>
      <c r="FI553" s="532"/>
      <c r="FJ553" s="532"/>
      <c r="FK553" s="532"/>
      <c r="FL553" s="532"/>
      <c r="FM553" s="532"/>
      <c r="FN553" s="532"/>
      <c r="FO553" s="532"/>
      <c r="FP553" s="532"/>
    </row>
    <row r="554" spans="1:172" ht="12" customHeight="1" x14ac:dyDescent="0.2">
      <c r="A554" s="531"/>
      <c r="B554" s="534"/>
      <c r="C554" s="534"/>
      <c r="D554" s="534"/>
      <c r="E554" s="534"/>
      <c r="F554" s="534"/>
      <c r="G554" s="534"/>
      <c r="H554" s="534"/>
      <c r="I554" s="534"/>
      <c r="J554" s="534"/>
      <c r="K554" s="535"/>
      <c r="L554" s="534"/>
      <c r="M554" s="534"/>
      <c r="N554" s="534"/>
      <c r="O554" s="535"/>
      <c r="P554" s="531"/>
      <c r="Q554" s="531"/>
      <c r="R554" s="531"/>
      <c r="S554" s="531"/>
      <c r="T554" s="531"/>
      <c r="U554" s="531"/>
      <c r="V554" s="531"/>
      <c r="W554" s="531"/>
      <c r="X554" s="531"/>
      <c r="Y554" s="531"/>
      <c r="Z554" s="531"/>
      <c r="AA554" s="531"/>
      <c r="AB554" s="531"/>
      <c r="AC554" s="531"/>
      <c r="AD554" s="531"/>
      <c r="AE554" s="531"/>
      <c r="AF554" s="531"/>
      <c r="AG554" s="531"/>
      <c r="AH554" s="532"/>
      <c r="AI554" s="532"/>
      <c r="AJ554" s="532"/>
      <c r="AK554" s="532"/>
      <c r="AL554" s="532"/>
      <c r="AM554" s="532"/>
      <c r="AN554" s="532"/>
      <c r="AO554" s="532"/>
      <c r="AP554" s="532"/>
      <c r="AQ554" s="532"/>
      <c r="AR554" s="532"/>
      <c r="AS554" s="532"/>
      <c r="AT554" s="532"/>
      <c r="AU554" s="532"/>
      <c r="AV554" s="532"/>
      <c r="AW554" s="532"/>
      <c r="AX554" s="532"/>
      <c r="AY554" s="532"/>
      <c r="AZ554" s="532"/>
      <c r="BA554" s="532"/>
      <c r="BB554" s="532"/>
      <c r="BC554" s="532"/>
      <c r="BD554" s="532"/>
      <c r="BE554" s="532"/>
      <c r="BF554" s="532"/>
      <c r="BG554" s="532"/>
      <c r="BH554" s="532"/>
      <c r="BI554" s="532"/>
      <c r="BJ554" s="532"/>
      <c r="BK554" s="532"/>
      <c r="BL554" s="532"/>
      <c r="BM554" s="532"/>
      <c r="BN554" s="532"/>
      <c r="BO554" s="532"/>
      <c r="BP554" s="532"/>
      <c r="BQ554" s="532"/>
      <c r="BR554" s="532"/>
      <c r="BS554" s="532"/>
      <c r="BT554" s="532"/>
      <c r="BU554" s="532"/>
      <c r="BV554" s="532"/>
      <c r="BW554" s="532"/>
      <c r="BX554" s="532"/>
      <c r="BY554" s="532"/>
      <c r="BZ554" s="532"/>
      <c r="CA554" s="532"/>
      <c r="CB554" s="532"/>
      <c r="CC554" s="532"/>
      <c r="CD554" s="532"/>
      <c r="CE554" s="532"/>
      <c r="CF554" s="532"/>
      <c r="CG554" s="532"/>
      <c r="CH554" s="532"/>
      <c r="CI554" s="532"/>
      <c r="CJ554" s="532"/>
      <c r="CK554" s="532"/>
      <c r="CL554" s="532"/>
      <c r="CM554" s="532"/>
      <c r="CN554" s="532"/>
      <c r="CO554" s="532"/>
      <c r="CP554" s="532"/>
      <c r="CQ554" s="532"/>
      <c r="CR554" s="532"/>
      <c r="CS554" s="532"/>
      <c r="CT554" s="532"/>
      <c r="CU554" s="532"/>
      <c r="CV554" s="532"/>
      <c r="CW554" s="532"/>
      <c r="CX554" s="532"/>
      <c r="CY554" s="532"/>
      <c r="CZ554" s="532"/>
      <c r="DA554" s="532"/>
      <c r="DB554" s="532"/>
      <c r="DC554" s="532"/>
      <c r="DD554" s="532"/>
      <c r="DE554" s="532"/>
      <c r="DF554" s="532"/>
      <c r="DG554" s="532"/>
      <c r="DH554" s="532"/>
      <c r="DI554" s="532"/>
      <c r="DJ554" s="532"/>
      <c r="DK554" s="532"/>
      <c r="DL554" s="532"/>
      <c r="DM554" s="532"/>
      <c r="DN554" s="532"/>
      <c r="DO554" s="532"/>
      <c r="DP554" s="532"/>
      <c r="DQ554" s="532"/>
      <c r="DR554" s="532"/>
      <c r="DS554" s="532"/>
      <c r="DT554" s="532"/>
      <c r="DU554" s="532"/>
      <c r="DV554" s="532"/>
      <c r="DW554" s="532"/>
      <c r="DX554" s="532"/>
      <c r="DY554" s="532"/>
      <c r="DZ554" s="532"/>
      <c r="EA554" s="532"/>
      <c r="EB554" s="532"/>
      <c r="EC554" s="532"/>
      <c r="ED554" s="532"/>
      <c r="EE554" s="532"/>
      <c r="EF554" s="532"/>
      <c r="EG554" s="532"/>
      <c r="EH554" s="532"/>
      <c r="EI554" s="532"/>
      <c r="EJ554" s="532"/>
      <c r="EK554" s="532"/>
      <c r="EL554" s="532"/>
      <c r="EM554" s="532"/>
      <c r="EN554" s="532"/>
      <c r="EO554" s="532"/>
      <c r="EP554" s="532"/>
      <c r="EQ554" s="532"/>
      <c r="ER554" s="532"/>
      <c r="ES554" s="532"/>
      <c r="ET554" s="532"/>
      <c r="EU554" s="532"/>
      <c r="EV554" s="532"/>
      <c r="EW554" s="532"/>
      <c r="EX554" s="532"/>
      <c r="EY554" s="532"/>
      <c r="EZ554" s="532"/>
      <c r="FA554" s="532"/>
      <c r="FB554" s="532"/>
      <c r="FC554" s="532"/>
      <c r="FD554" s="532"/>
      <c r="FE554" s="532"/>
      <c r="FF554" s="532"/>
      <c r="FG554" s="532"/>
      <c r="FH554" s="532"/>
      <c r="FI554" s="532"/>
      <c r="FJ554" s="532"/>
      <c r="FK554" s="532"/>
      <c r="FL554" s="532"/>
      <c r="FM554" s="532"/>
      <c r="FN554" s="532"/>
      <c r="FO554" s="532"/>
      <c r="FP554" s="532"/>
    </row>
    <row r="555" spans="1:172" ht="12" customHeight="1" x14ac:dyDescent="0.2">
      <c r="A555" s="531"/>
      <c r="B555" s="534"/>
      <c r="C555" s="534"/>
      <c r="D555" s="534"/>
      <c r="E555" s="534"/>
      <c r="F555" s="534"/>
      <c r="G555" s="534"/>
      <c r="H555" s="534"/>
      <c r="I555" s="534"/>
      <c r="J555" s="534"/>
      <c r="K555" s="535"/>
      <c r="L555" s="534"/>
      <c r="M555" s="534"/>
      <c r="N555" s="534"/>
      <c r="O555" s="530"/>
      <c r="P555" s="531"/>
      <c r="Q555" s="531"/>
      <c r="R555" s="531"/>
      <c r="S555" s="531"/>
      <c r="T555" s="531"/>
      <c r="U555" s="531"/>
      <c r="V555" s="531"/>
      <c r="W555" s="531"/>
      <c r="X555" s="531"/>
      <c r="Y555" s="531"/>
      <c r="Z555" s="531"/>
      <c r="AA555" s="531"/>
      <c r="AB555" s="531"/>
      <c r="AC555" s="531"/>
      <c r="AD555" s="531"/>
      <c r="AE555" s="531"/>
      <c r="AF555" s="531"/>
      <c r="AG555" s="531"/>
      <c r="AH555" s="532"/>
      <c r="AI555" s="532"/>
      <c r="AJ555" s="532"/>
      <c r="AK555" s="532"/>
      <c r="AL555" s="532"/>
      <c r="AM555" s="532"/>
      <c r="AN555" s="532"/>
      <c r="AO555" s="532"/>
      <c r="AP555" s="532"/>
      <c r="AQ555" s="532"/>
      <c r="AR555" s="532"/>
      <c r="AS555" s="532"/>
      <c r="AT555" s="532"/>
      <c r="AU555" s="532"/>
      <c r="AV555" s="532"/>
      <c r="AW555" s="532"/>
      <c r="AX555" s="532"/>
      <c r="AY555" s="532"/>
      <c r="AZ555" s="532"/>
      <c r="BA555" s="532"/>
      <c r="BB555" s="532"/>
      <c r="BC555" s="532"/>
      <c r="BD555" s="532"/>
      <c r="BE555" s="532"/>
      <c r="BF555" s="532"/>
      <c r="BG555" s="532"/>
      <c r="BH555" s="532"/>
      <c r="BI555" s="532"/>
      <c r="BJ555" s="532"/>
      <c r="BK555" s="532"/>
      <c r="BL555" s="532"/>
      <c r="BM555" s="532"/>
      <c r="BN555" s="532"/>
      <c r="BO555" s="532"/>
      <c r="BP555" s="532"/>
      <c r="BQ555" s="532"/>
      <c r="BR555" s="532"/>
      <c r="BS555" s="532"/>
      <c r="BT555" s="532"/>
      <c r="BU555" s="532"/>
      <c r="BV555" s="532"/>
      <c r="BW555" s="532"/>
      <c r="BX555" s="532"/>
      <c r="BY555" s="532"/>
      <c r="BZ555" s="532"/>
      <c r="CA555" s="532"/>
      <c r="CB555" s="532"/>
      <c r="CC555" s="532"/>
      <c r="CD555" s="532"/>
      <c r="CE555" s="532"/>
      <c r="CF555" s="532"/>
      <c r="CG555" s="532"/>
      <c r="CH555" s="532"/>
      <c r="CI555" s="532"/>
      <c r="CJ555" s="532"/>
      <c r="CK555" s="532"/>
      <c r="CL555" s="532"/>
      <c r="CM555" s="532"/>
      <c r="CN555" s="532"/>
      <c r="CO555" s="532"/>
      <c r="CP555" s="532"/>
      <c r="CQ555" s="532"/>
      <c r="CR555" s="532"/>
      <c r="CS555" s="532"/>
      <c r="CT555" s="532"/>
      <c r="CU555" s="532"/>
      <c r="CV555" s="532"/>
      <c r="CW555" s="532"/>
      <c r="CX555" s="532"/>
      <c r="CY555" s="532"/>
      <c r="CZ555" s="532"/>
      <c r="DA555" s="532"/>
      <c r="DB555" s="532"/>
      <c r="DC555" s="532"/>
      <c r="DD555" s="532"/>
      <c r="DE555" s="532"/>
      <c r="DF555" s="532"/>
      <c r="DG555" s="532"/>
      <c r="DH555" s="532"/>
      <c r="DI555" s="532"/>
      <c r="DJ555" s="532"/>
      <c r="DK555" s="532"/>
      <c r="DL555" s="532"/>
      <c r="DM555" s="532"/>
      <c r="DN555" s="532"/>
      <c r="DO555" s="532"/>
      <c r="DP555" s="532"/>
      <c r="DQ555" s="532"/>
      <c r="DR555" s="532"/>
      <c r="DS555" s="532"/>
      <c r="DT555" s="532"/>
      <c r="DU555" s="532"/>
      <c r="DV555" s="532"/>
      <c r="DW555" s="532"/>
      <c r="DX555" s="532"/>
      <c r="DY555" s="532"/>
      <c r="DZ555" s="532"/>
      <c r="EA555" s="532"/>
      <c r="EB555" s="532"/>
      <c r="EC555" s="532"/>
      <c r="ED555" s="532"/>
      <c r="EE555" s="532"/>
      <c r="EF555" s="532"/>
      <c r="EG555" s="532"/>
      <c r="EH555" s="532"/>
      <c r="EI555" s="532"/>
      <c r="EJ555" s="532"/>
      <c r="EK555" s="532"/>
      <c r="EL555" s="532"/>
      <c r="EM555" s="532"/>
      <c r="EN555" s="532"/>
      <c r="EO555" s="532"/>
      <c r="EP555" s="532"/>
      <c r="EQ555" s="532"/>
      <c r="ER555" s="532"/>
      <c r="ES555" s="532"/>
      <c r="ET555" s="532"/>
      <c r="EU555" s="532"/>
      <c r="EV555" s="532"/>
      <c r="EW555" s="532"/>
      <c r="EX555" s="532"/>
      <c r="EY555" s="532"/>
      <c r="EZ555" s="532"/>
      <c r="FA555" s="532"/>
      <c r="FB555" s="532"/>
      <c r="FC555" s="532"/>
      <c r="FD555" s="532"/>
      <c r="FE555" s="532"/>
      <c r="FF555" s="532"/>
      <c r="FG555" s="532"/>
      <c r="FH555" s="532"/>
      <c r="FI555" s="532"/>
      <c r="FJ555" s="532"/>
      <c r="FK555" s="532"/>
      <c r="FL555" s="532"/>
      <c r="FM555" s="532"/>
      <c r="FN555" s="532"/>
      <c r="FO555" s="532"/>
      <c r="FP555" s="532"/>
    </row>
    <row r="556" spans="1:172" ht="12" customHeight="1" x14ac:dyDescent="0.2">
      <c r="A556" s="533"/>
      <c r="B556" s="534"/>
      <c r="C556" s="558"/>
      <c r="D556" s="558"/>
      <c r="E556" s="558"/>
      <c r="F556" s="558"/>
      <c r="G556" s="558"/>
      <c r="H556" s="558"/>
      <c r="I556" s="558"/>
      <c r="J556" s="558"/>
      <c r="K556" s="535"/>
      <c r="L556" s="534"/>
      <c r="M556" s="534"/>
      <c r="N556" s="534"/>
      <c r="O556" s="558"/>
      <c r="P556" s="531"/>
      <c r="Q556" s="531"/>
      <c r="R556" s="531"/>
      <c r="S556" s="531"/>
      <c r="T556" s="531"/>
      <c r="U556" s="531"/>
      <c r="V556" s="531"/>
      <c r="W556" s="531"/>
      <c r="X556" s="531"/>
      <c r="Y556" s="531"/>
      <c r="Z556" s="531"/>
      <c r="AA556" s="531"/>
      <c r="AB556" s="531"/>
      <c r="AC556" s="531"/>
      <c r="AD556" s="531"/>
      <c r="AE556" s="531"/>
      <c r="AF556" s="531"/>
      <c r="AG556" s="531"/>
      <c r="AH556" s="532"/>
      <c r="AI556" s="532"/>
      <c r="AJ556" s="532"/>
      <c r="AK556" s="532"/>
      <c r="AL556" s="532"/>
      <c r="AM556" s="532"/>
      <c r="AN556" s="532"/>
      <c r="AO556" s="532"/>
      <c r="AP556" s="532"/>
      <c r="AQ556" s="532"/>
      <c r="AR556" s="532"/>
      <c r="AS556" s="532"/>
      <c r="AT556" s="532"/>
      <c r="AU556" s="532"/>
      <c r="AV556" s="532"/>
      <c r="AW556" s="532"/>
      <c r="AX556" s="532"/>
      <c r="AY556" s="532"/>
      <c r="AZ556" s="532"/>
      <c r="BA556" s="532"/>
      <c r="BB556" s="532"/>
      <c r="BC556" s="532"/>
      <c r="BD556" s="532"/>
      <c r="BE556" s="532"/>
      <c r="BF556" s="532"/>
      <c r="BG556" s="532"/>
      <c r="BH556" s="532"/>
      <c r="BI556" s="532"/>
      <c r="BJ556" s="532"/>
      <c r="BK556" s="532"/>
      <c r="BL556" s="532"/>
      <c r="BM556" s="532"/>
      <c r="BN556" s="532"/>
      <c r="BO556" s="532"/>
      <c r="BP556" s="532"/>
      <c r="BQ556" s="532"/>
      <c r="BR556" s="532"/>
      <c r="BS556" s="532"/>
      <c r="BT556" s="532"/>
      <c r="BU556" s="532"/>
      <c r="BV556" s="532"/>
      <c r="BW556" s="532"/>
      <c r="BX556" s="532"/>
      <c r="BY556" s="532"/>
      <c r="BZ556" s="532"/>
      <c r="CA556" s="532"/>
      <c r="CB556" s="532"/>
      <c r="CC556" s="532"/>
      <c r="CD556" s="532"/>
      <c r="CE556" s="532"/>
      <c r="CF556" s="532"/>
      <c r="CG556" s="532"/>
      <c r="CH556" s="532"/>
      <c r="CI556" s="532"/>
      <c r="CJ556" s="532"/>
      <c r="CK556" s="532"/>
      <c r="CL556" s="532"/>
      <c r="CM556" s="532"/>
      <c r="CN556" s="532"/>
      <c r="CO556" s="532"/>
      <c r="CP556" s="532"/>
      <c r="CQ556" s="532"/>
      <c r="CR556" s="532"/>
      <c r="CS556" s="532"/>
      <c r="CT556" s="532"/>
      <c r="CU556" s="532"/>
      <c r="CV556" s="532"/>
      <c r="CW556" s="532"/>
      <c r="CX556" s="532"/>
      <c r="CY556" s="532"/>
      <c r="CZ556" s="532"/>
      <c r="DA556" s="532"/>
      <c r="DB556" s="532"/>
      <c r="DC556" s="532"/>
      <c r="DD556" s="532"/>
      <c r="DE556" s="532"/>
      <c r="DF556" s="532"/>
      <c r="DG556" s="532"/>
      <c r="DH556" s="532"/>
      <c r="DI556" s="532"/>
      <c r="DJ556" s="532"/>
      <c r="DK556" s="532"/>
      <c r="DL556" s="532"/>
      <c r="DM556" s="532"/>
      <c r="DN556" s="532"/>
      <c r="DO556" s="532"/>
      <c r="DP556" s="532"/>
      <c r="DQ556" s="532"/>
      <c r="DR556" s="532"/>
      <c r="DS556" s="532"/>
      <c r="DT556" s="532"/>
      <c r="DU556" s="532"/>
      <c r="DV556" s="532"/>
      <c r="DW556" s="532"/>
      <c r="DX556" s="532"/>
      <c r="DY556" s="532"/>
      <c r="DZ556" s="532"/>
      <c r="EA556" s="532"/>
      <c r="EB556" s="532"/>
      <c r="EC556" s="532"/>
      <c r="ED556" s="532"/>
      <c r="EE556" s="532"/>
      <c r="EF556" s="532"/>
      <c r="EG556" s="532"/>
      <c r="EH556" s="532"/>
      <c r="EI556" s="532"/>
      <c r="EJ556" s="532"/>
      <c r="EK556" s="532"/>
      <c r="EL556" s="532"/>
      <c r="EM556" s="532"/>
      <c r="EN556" s="532"/>
      <c r="EO556" s="532"/>
      <c r="EP556" s="532"/>
      <c r="EQ556" s="532"/>
      <c r="ER556" s="532"/>
      <c r="ES556" s="532"/>
      <c r="ET556" s="532"/>
      <c r="EU556" s="532"/>
      <c r="EV556" s="532"/>
      <c r="EW556" s="532"/>
      <c r="EX556" s="532"/>
      <c r="EY556" s="532"/>
      <c r="EZ556" s="532"/>
      <c r="FA556" s="532"/>
      <c r="FB556" s="532"/>
      <c r="FC556" s="532"/>
      <c r="FD556" s="532"/>
      <c r="FE556" s="532"/>
      <c r="FF556" s="532"/>
      <c r="FG556" s="532"/>
      <c r="FH556" s="532"/>
      <c r="FI556" s="532"/>
      <c r="FJ556" s="532"/>
      <c r="FK556" s="532"/>
      <c r="FL556" s="532"/>
      <c r="FM556" s="532"/>
      <c r="FN556" s="532"/>
      <c r="FO556" s="532"/>
      <c r="FP556" s="532"/>
    </row>
    <row r="557" spans="1:172" ht="12" customHeight="1" x14ac:dyDescent="0.2">
      <c r="A557" s="533"/>
      <c r="B557" s="534"/>
      <c r="C557" s="534"/>
      <c r="D557" s="534"/>
      <c r="E557" s="534"/>
      <c r="F557" s="534"/>
      <c r="G557" s="534"/>
      <c r="H557" s="534"/>
      <c r="I557" s="534"/>
      <c r="J557" s="534"/>
      <c r="K557" s="535"/>
      <c r="L557" s="534"/>
      <c r="M557" s="534"/>
      <c r="N557" s="534"/>
      <c r="O557" s="530"/>
      <c r="P557" s="531"/>
      <c r="Q557" s="531"/>
      <c r="R557" s="531"/>
      <c r="S557" s="531"/>
      <c r="T557" s="531"/>
      <c r="U557" s="531"/>
      <c r="V557" s="531"/>
      <c r="W557" s="531"/>
      <c r="X557" s="531"/>
      <c r="Y557" s="531"/>
      <c r="Z557" s="531"/>
      <c r="AA557" s="531"/>
      <c r="AB557" s="531"/>
      <c r="AC557" s="531"/>
      <c r="AD557" s="531"/>
      <c r="AE557" s="531"/>
      <c r="AF557" s="531"/>
      <c r="AG557" s="531"/>
      <c r="AH557" s="532"/>
      <c r="AI557" s="532"/>
      <c r="AJ557" s="532"/>
      <c r="AK557" s="532"/>
      <c r="AL557" s="532"/>
      <c r="AM557" s="532"/>
      <c r="AN557" s="532"/>
      <c r="AO557" s="532"/>
      <c r="AP557" s="532"/>
      <c r="AQ557" s="532"/>
      <c r="AR557" s="532"/>
      <c r="AS557" s="532"/>
      <c r="AT557" s="532"/>
      <c r="AU557" s="532"/>
      <c r="AV557" s="532"/>
      <c r="AW557" s="532"/>
      <c r="AX557" s="532"/>
      <c r="AY557" s="532"/>
      <c r="AZ557" s="532"/>
      <c r="BA557" s="532"/>
      <c r="BB557" s="532"/>
      <c r="BC557" s="532"/>
      <c r="BD557" s="532"/>
      <c r="BE557" s="532"/>
      <c r="BF557" s="532"/>
      <c r="BG557" s="532"/>
      <c r="BH557" s="532"/>
      <c r="BI557" s="532"/>
      <c r="BJ557" s="532"/>
      <c r="BK557" s="532"/>
      <c r="BL557" s="532"/>
      <c r="BM557" s="532"/>
      <c r="BN557" s="532"/>
      <c r="BO557" s="532"/>
      <c r="BP557" s="532"/>
      <c r="BQ557" s="532"/>
      <c r="BR557" s="532"/>
      <c r="BS557" s="532"/>
      <c r="BT557" s="532"/>
      <c r="BU557" s="532"/>
      <c r="BV557" s="532"/>
      <c r="BW557" s="532"/>
      <c r="BX557" s="532"/>
      <c r="BY557" s="532"/>
      <c r="BZ557" s="532"/>
      <c r="CA557" s="532"/>
      <c r="CB557" s="532"/>
      <c r="CC557" s="532"/>
      <c r="CD557" s="532"/>
      <c r="CE557" s="532"/>
      <c r="CF557" s="532"/>
      <c r="CG557" s="532"/>
      <c r="CH557" s="532"/>
      <c r="CI557" s="532"/>
      <c r="CJ557" s="532"/>
      <c r="CK557" s="532"/>
      <c r="CL557" s="532"/>
      <c r="CM557" s="532"/>
      <c r="CN557" s="532"/>
      <c r="CO557" s="532"/>
      <c r="CP557" s="532"/>
      <c r="CQ557" s="532"/>
      <c r="CR557" s="532"/>
      <c r="CS557" s="532"/>
      <c r="CT557" s="532"/>
      <c r="CU557" s="532"/>
      <c r="CV557" s="532"/>
      <c r="CW557" s="532"/>
      <c r="CX557" s="532"/>
      <c r="CY557" s="532"/>
      <c r="CZ557" s="532"/>
      <c r="DA557" s="532"/>
      <c r="DB557" s="532"/>
      <c r="DC557" s="532"/>
      <c r="DD557" s="532"/>
      <c r="DE557" s="532"/>
      <c r="DF557" s="532"/>
      <c r="DG557" s="532"/>
      <c r="DH557" s="532"/>
      <c r="DI557" s="532"/>
      <c r="DJ557" s="532"/>
      <c r="DK557" s="532"/>
      <c r="DL557" s="532"/>
      <c r="DM557" s="532"/>
      <c r="DN557" s="532"/>
      <c r="DO557" s="532"/>
      <c r="DP557" s="532"/>
      <c r="DQ557" s="532"/>
      <c r="DR557" s="532"/>
      <c r="DS557" s="532"/>
      <c r="DT557" s="532"/>
      <c r="DU557" s="532"/>
      <c r="DV557" s="532"/>
      <c r="DW557" s="532"/>
      <c r="DX557" s="532"/>
      <c r="DY557" s="532"/>
      <c r="DZ557" s="532"/>
      <c r="EA557" s="532"/>
      <c r="EB557" s="532"/>
      <c r="EC557" s="532"/>
      <c r="ED557" s="532"/>
      <c r="EE557" s="532"/>
      <c r="EF557" s="532"/>
      <c r="EG557" s="532"/>
      <c r="EH557" s="532"/>
      <c r="EI557" s="532"/>
      <c r="EJ557" s="532"/>
      <c r="EK557" s="532"/>
      <c r="EL557" s="532"/>
      <c r="EM557" s="532"/>
      <c r="EN557" s="532"/>
      <c r="EO557" s="532"/>
      <c r="EP557" s="532"/>
      <c r="EQ557" s="532"/>
      <c r="ER557" s="532"/>
      <c r="ES557" s="532"/>
      <c r="ET557" s="532"/>
      <c r="EU557" s="532"/>
      <c r="EV557" s="532"/>
      <c r="EW557" s="532"/>
      <c r="EX557" s="532"/>
      <c r="EY557" s="532"/>
      <c r="EZ557" s="532"/>
      <c r="FA557" s="532"/>
      <c r="FB557" s="532"/>
      <c r="FC557" s="532"/>
      <c r="FD557" s="532"/>
      <c r="FE557" s="532"/>
      <c r="FF557" s="532"/>
      <c r="FG557" s="532"/>
      <c r="FH557" s="532"/>
      <c r="FI557" s="532"/>
      <c r="FJ557" s="532"/>
      <c r="FK557" s="532"/>
      <c r="FL557" s="532"/>
      <c r="FM557" s="532"/>
      <c r="FN557" s="532"/>
      <c r="FO557" s="532"/>
      <c r="FP557" s="532"/>
    </row>
    <row r="558" spans="1:172" ht="12" customHeight="1" x14ac:dyDescent="0.2">
      <c r="A558" s="533"/>
      <c r="B558" s="534"/>
      <c r="C558" s="534"/>
      <c r="D558" s="534"/>
      <c r="E558" s="534"/>
      <c r="F558" s="534"/>
      <c r="G558" s="534"/>
      <c r="H558" s="534"/>
      <c r="I558" s="534"/>
      <c r="J558" s="534"/>
      <c r="K558" s="535"/>
      <c r="L558" s="534"/>
      <c r="M558" s="534"/>
      <c r="N558" s="534"/>
      <c r="O558" s="530"/>
      <c r="P558" s="531"/>
      <c r="Q558" s="531"/>
      <c r="R558" s="531"/>
      <c r="S558" s="531"/>
      <c r="T558" s="531"/>
      <c r="U558" s="531"/>
      <c r="V558" s="531"/>
      <c r="W558" s="531"/>
      <c r="X558" s="531"/>
      <c r="Y558" s="531"/>
      <c r="Z558" s="531"/>
      <c r="AA558" s="531"/>
      <c r="AB558" s="531"/>
      <c r="AC558" s="531"/>
      <c r="AD558" s="531"/>
      <c r="AE558" s="531"/>
      <c r="AF558" s="531"/>
      <c r="AG558" s="531"/>
      <c r="AH558" s="532"/>
      <c r="AI558" s="532"/>
      <c r="AJ558" s="532"/>
      <c r="AK558" s="532"/>
      <c r="AL558" s="532"/>
      <c r="AM558" s="532"/>
      <c r="AN558" s="532"/>
      <c r="AO558" s="532"/>
      <c r="AP558" s="532"/>
      <c r="AQ558" s="532"/>
      <c r="AR558" s="532"/>
      <c r="AS558" s="532"/>
      <c r="AT558" s="532"/>
      <c r="AU558" s="532"/>
      <c r="AV558" s="532"/>
      <c r="AW558" s="532"/>
      <c r="AX558" s="532"/>
      <c r="AY558" s="532"/>
      <c r="AZ558" s="532"/>
      <c r="BA558" s="532"/>
      <c r="BB558" s="532"/>
      <c r="BC558" s="532"/>
      <c r="BD558" s="532"/>
      <c r="BE558" s="532"/>
      <c r="BF558" s="532"/>
      <c r="BG558" s="532"/>
      <c r="BH558" s="532"/>
      <c r="BI558" s="532"/>
      <c r="BJ558" s="532"/>
      <c r="BK558" s="532"/>
      <c r="BL558" s="532"/>
      <c r="BM558" s="532"/>
      <c r="BN558" s="532"/>
      <c r="BO558" s="532"/>
      <c r="BP558" s="532"/>
      <c r="BQ558" s="532"/>
      <c r="BR558" s="532"/>
      <c r="BS558" s="532"/>
      <c r="BT558" s="532"/>
      <c r="BU558" s="532"/>
      <c r="BV558" s="532"/>
      <c r="BW558" s="532"/>
      <c r="BX558" s="532"/>
      <c r="BY558" s="532"/>
      <c r="BZ558" s="532"/>
      <c r="CA558" s="532"/>
      <c r="CB558" s="532"/>
      <c r="CC558" s="532"/>
      <c r="CD558" s="532"/>
      <c r="CE558" s="532"/>
      <c r="CF558" s="532"/>
      <c r="CG558" s="532"/>
      <c r="CH558" s="532"/>
      <c r="CI558" s="532"/>
      <c r="CJ558" s="532"/>
      <c r="CK558" s="532"/>
      <c r="CL558" s="532"/>
      <c r="CM558" s="532"/>
      <c r="CN558" s="532"/>
      <c r="CO558" s="532"/>
      <c r="CP558" s="532"/>
      <c r="CQ558" s="532"/>
      <c r="CR558" s="532"/>
      <c r="CS558" s="532"/>
      <c r="CT558" s="532"/>
      <c r="CU558" s="532"/>
      <c r="CV558" s="532"/>
      <c r="CW558" s="532"/>
      <c r="CX558" s="532"/>
      <c r="CY558" s="532"/>
      <c r="CZ558" s="532"/>
      <c r="DA558" s="532"/>
      <c r="DB558" s="532"/>
      <c r="DC558" s="532"/>
      <c r="DD558" s="532"/>
      <c r="DE558" s="532"/>
      <c r="DF558" s="532"/>
      <c r="DG558" s="532"/>
      <c r="DH558" s="532"/>
      <c r="DI558" s="532"/>
      <c r="DJ558" s="532"/>
      <c r="DK558" s="532"/>
      <c r="DL558" s="532"/>
      <c r="DM558" s="532"/>
      <c r="DN558" s="532"/>
      <c r="DO558" s="532"/>
      <c r="DP558" s="532"/>
      <c r="DQ558" s="532"/>
      <c r="DR558" s="532"/>
      <c r="DS558" s="532"/>
      <c r="DT558" s="532"/>
      <c r="DU558" s="532"/>
      <c r="DV558" s="532"/>
      <c r="DW558" s="532"/>
      <c r="DX558" s="532"/>
      <c r="DY558" s="532"/>
      <c r="DZ558" s="532"/>
      <c r="EA558" s="532"/>
      <c r="EB558" s="532"/>
      <c r="EC558" s="532"/>
      <c r="ED558" s="532"/>
      <c r="EE558" s="532"/>
      <c r="EF558" s="532"/>
      <c r="EG558" s="532"/>
      <c r="EH558" s="532"/>
      <c r="EI558" s="532"/>
      <c r="EJ558" s="532"/>
      <c r="EK558" s="532"/>
      <c r="EL558" s="532"/>
      <c r="EM558" s="532"/>
      <c r="EN558" s="532"/>
      <c r="EO558" s="532"/>
      <c r="EP558" s="532"/>
      <c r="EQ558" s="532"/>
      <c r="ER558" s="532"/>
      <c r="ES558" s="532"/>
      <c r="ET558" s="532"/>
      <c r="EU558" s="532"/>
      <c r="EV558" s="532"/>
      <c r="EW558" s="532"/>
      <c r="EX558" s="532"/>
      <c r="EY558" s="532"/>
      <c r="EZ558" s="532"/>
      <c r="FA558" s="532"/>
      <c r="FB558" s="532"/>
      <c r="FC558" s="532"/>
      <c r="FD558" s="532"/>
      <c r="FE558" s="532"/>
      <c r="FF558" s="532"/>
      <c r="FG558" s="532"/>
      <c r="FH558" s="532"/>
      <c r="FI558" s="532"/>
      <c r="FJ558" s="532"/>
      <c r="FK558" s="532"/>
      <c r="FL558" s="532"/>
      <c r="FM558" s="532"/>
      <c r="FN558" s="532"/>
      <c r="FO558" s="532"/>
      <c r="FP558" s="532"/>
    </row>
    <row r="559" spans="1:172" ht="12" customHeight="1" x14ac:dyDescent="0.2">
      <c r="A559" s="533"/>
      <c r="B559" s="534"/>
      <c r="C559" s="534"/>
      <c r="D559" s="534"/>
      <c r="E559" s="534"/>
      <c r="F559" s="534"/>
      <c r="G559" s="534"/>
      <c r="H559" s="534"/>
      <c r="I559" s="534"/>
      <c r="J559" s="534"/>
      <c r="K559" s="535"/>
      <c r="L559" s="534"/>
      <c r="M559" s="534"/>
      <c r="N559" s="534"/>
      <c r="O559" s="530"/>
      <c r="P559" s="531"/>
      <c r="Q559" s="531"/>
      <c r="R559" s="531"/>
      <c r="S559" s="531"/>
      <c r="T559" s="531"/>
      <c r="U559" s="531"/>
      <c r="V559" s="531"/>
      <c r="W559" s="531"/>
      <c r="X559" s="531"/>
      <c r="Y559" s="531"/>
      <c r="Z559" s="531"/>
      <c r="AA559" s="531"/>
      <c r="AB559" s="531"/>
      <c r="AC559" s="531"/>
      <c r="AD559" s="531"/>
      <c r="AE559" s="531"/>
      <c r="AF559" s="531"/>
      <c r="AG559" s="531"/>
      <c r="AH559" s="532"/>
      <c r="AI559" s="532"/>
      <c r="AJ559" s="532"/>
      <c r="AK559" s="532"/>
      <c r="AL559" s="532"/>
      <c r="AM559" s="532"/>
      <c r="AN559" s="532"/>
      <c r="AO559" s="532"/>
      <c r="AP559" s="532"/>
      <c r="AQ559" s="532"/>
      <c r="AR559" s="532"/>
      <c r="AS559" s="532"/>
      <c r="AT559" s="532"/>
      <c r="AU559" s="532"/>
      <c r="AV559" s="532"/>
      <c r="AW559" s="532"/>
      <c r="AX559" s="532"/>
      <c r="AY559" s="532"/>
      <c r="AZ559" s="532"/>
      <c r="BA559" s="532"/>
      <c r="BB559" s="532"/>
      <c r="BC559" s="532"/>
      <c r="BD559" s="532"/>
      <c r="BE559" s="532"/>
      <c r="BF559" s="532"/>
      <c r="BG559" s="532"/>
      <c r="BH559" s="532"/>
      <c r="BI559" s="532"/>
      <c r="BJ559" s="532"/>
      <c r="BK559" s="532"/>
      <c r="BL559" s="532"/>
      <c r="BM559" s="532"/>
      <c r="BN559" s="532"/>
      <c r="BO559" s="532"/>
      <c r="BP559" s="532"/>
      <c r="BQ559" s="532"/>
      <c r="BR559" s="532"/>
      <c r="BS559" s="532"/>
      <c r="BT559" s="532"/>
      <c r="BU559" s="532"/>
      <c r="BV559" s="532"/>
      <c r="BW559" s="532"/>
      <c r="BX559" s="532"/>
      <c r="BY559" s="532"/>
      <c r="BZ559" s="532"/>
      <c r="CA559" s="532"/>
      <c r="CB559" s="532"/>
      <c r="CC559" s="532"/>
      <c r="CD559" s="532"/>
      <c r="CE559" s="532"/>
      <c r="CF559" s="532"/>
      <c r="CG559" s="532"/>
      <c r="CH559" s="532"/>
      <c r="CI559" s="532"/>
      <c r="CJ559" s="532"/>
      <c r="CK559" s="532"/>
      <c r="CL559" s="532"/>
      <c r="CM559" s="532"/>
      <c r="CN559" s="532"/>
      <c r="CO559" s="532"/>
      <c r="CP559" s="532"/>
      <c r="CQ559" s="532"/>
      <c r="CR559" s="532"/>
      <c r="CS559" s="532"/>
      <c r="CT559" s="532"/>
      <c r="CU559" s="532"/>
      <c r="CV559" s="532"/>
      <c r="CW559" s="532"/>
      <c r="CX559" s="532"/>
      <c r="CY559" s="532"/>
      <c r="CZ559" s="532"/>
      <c r="DA559" s="532"/>
      <c r="DB559" s="532"/>
      <c r="DC559" s="532"/>
      <c r="DD559" s="532"/>
      <c r="DE559" s="532"/>
      <c r="DF559" s="532"/>
      <c r="DG559" s="532"/>
      <c r="DH559" s="532"/>
      <c r="DI559" s="532"/>
      <c r="DJ559" s="532"/>
      <c r="DK559" s="532"/>
      <c r="DL559" s="532"/>
      <c r="DM559" s="532"/>
      <c r="DN559" s="532"/>
      <c r="DO559" s="532"/>
      <c r="DP559" s="532"/>
      <c r="DQ559" s="532"/>
      <c r="DR559" s="532"/>
      <c r="DS559" s="532"/>
      <c r="DT559" s="532"/>
      <c r="DU559" s="532"/>
      <c r="DV559" s="532"/>
      <c r="DW559" s="532"/>
      <c r="DX559" s="532"/>
      <c r="DY559" s="532"/>
      <c r="DZ559" s="532"/>
      <c r="EA559" s="532"/>
      <c r="EB559" s="532"/>
      <c r="EC559" s="532"/>
      <c r="ED559" s="532"/>
      <c r="EE559" s="532"/>
      <c r="EF559" s="532"/>
      <c r="EG559" s="532"/>
      <c r="EH559" s="532"/>
      <c r="EI559" s="532"/>
      <c r="EJ559" s="532"/>
      <c r="EK559" s="532"/>
      <c r="EL559" s="532"/>
      <c r="EM559" s="532"/>
      <c r="EN559" s="532"/>
      <c r="EO559" s="532"/>
      <c r="EP559" s="532"/>
      <c r="EQ559" s="532"/>
      <c r="ER559" s="532"/>
      <c r="ES559" s="532"/>
      <c r="ET559" s="532"/>
      <c r="EU559" s="532"/>
      <c r="EV559" s="532"/>
      <c r="EW559" s="532"/>
      <c r="EX559" s="532"/>
      <c r="EY559" s="532"/>
      <c r="EZ559" s="532"/>
      <c r="FA559" s="532"/>
      <c r="FB559" s="532"/>
      <c r="FC559" s="532"/>
      <c r="FD559" s="532"/>
      <c r="FE559" s="532"/>
      <c r="FF559" s="532"/>
      <c r="FG559" s="532"/>
      <c r="FH559" s="532"/>
      <c r="FI559" s="532"/>
      <c r="FJ559" s="532"/>
      <c r="FK559" s="532"/>
      <c r="FL559" s="532"/>
      <c r="FM559" s="532"/>
      <c r="FN559" s="532"/>
      <c r="FO559" s="532"/>
      <c r="FP559" s="532"/>
    </row>
    <row r="560" spans="1:172" ht="12" customHeight="1" x14ac:dyDescent="0.2">
      <c r="A560" s="533"/>
      <c r="B560" s="534"/>
      <c r="C560" s="534"/>
      <c r="D560" s="534"/>
      <c r="E560" s="534"/>
      <c r="F560" s="534"/>
      <c r="G560" s="534"/>
      <c r="H560" s="534"/>
      <c r="I560" s="534"/>
      <c r="J560" s="534"/>
      <c r="K560" s="535"/>
      <c r="L560" s="534"/>
      <c r="M560" s="534"/>
      <c r="N560" s="534"/>
      <c r="O560" s="530"/>
      <c r="P560" s="531"/>
      <c r="Q560" s="531"/>
      <c r="R560" s="531"/>
      <c r="S560" s="531"/>
      <c r="T560" s="531"/>
      <c r="U560" s="531"/>
      <c r="V560" s="531"/>
      <c r="W560" s="531"/>
      <c r="X560" s="531"/>
      <c r="Y560" s="531"/>
      <c r="Z560" s="531"/>
      <c r="AA560" s="531"/>
      <c r="AB560" s="531"/>
      <c r="AC560" s="531"/>
      <c r="AD560" s="531"/>
      <c r="AE560" s="531"/>
      <c r="AF560" s="531"/>
      <c r="AG560" s="531"/>
      <c r="AH560" s="532"/>
      <c r="AI560" s="532"/>
      <c r="AJ560" s="532"/>
      <c r="AK560" s="532"/>
      <c r="AL560" s="532"/>
      <c r="AM560" s="532"/>
      <c r="AN560" s="532"/>
      <c r="AO560" s="532"/>
      <c r="AP560" s="532"/>
      <c r="AQ560" s="532"/>
      <c r="AR560" s="532"/>
      <c r="AS560" s="532"/>
      <c r="AT560" s="532"/>
      <c r="AU560" s="532"/>
      <c r="AV560" s="532"/>
      <c r="AW560" s="532"/>
      <c r="AX560" s="532"/>
      <c r="AY560" s="532"/>
      <c r="AZ560" s="532"/>
      <c r="BA560" s="532"/>
      <c r="BB560" s="532"/>
      <c r="BC560" s="532"/>
      <c r="BD560" s="532"/>
      <c r="BE560" s="532"/>
      <c r="BF560" s="532"/>
      <c r="BG560" s="532"/>
      <c r="BH560" s="532"/>
      <c r="BI560" s="532"/>
      <c r="BJ560" s="532"/>
      <c r="BK560" s="532"/>
      <c r="BL560" s="532"/>
      <c r="BM560" s="532"/>
      <c r="BN560" s="532"/>
      <c r="BO560" s="532"/>
      <c r="BP560" s="532"/>
      <c r="BQ560" s="532"/>
      <c r="BR560" s="532"/>
      <c r="BS560" s="532"/>
      <c r="BT560" s="532"/>
      <c r="BU560" s="532"/>
      <c r="BV560" s="532"/>
      <c r="BW560" s="532"/>
      <c r="BX560" s="532"/>
      <c r="BY560" s="532"/>
      <c r="BZ560" s="532"/>
      <c r="CA560" s="532"/>
      <c r="CB560" s="532"/>
      <c r="CC560" s="532"/>
      <c r="CD560" s="532"/>
      <c r="CE560" s="532"/>
      <c r="CF560" s="532"/>
      <c r="CG560" s="532"/>
      <c r="CH560" s="532"/>
      <c r="CI560" s="532"/>
      <c r="CJ560" s="532"/>
      <c r="CK560" s="532"/>
      <c r="CL560" s="532"/>
      <c r="CM560" s="532"/>
      <c r="CN560" s="532"/>
      <c r="CO560" s="532"/>
      <c r="CP560" s="532"/>
      <c r="CQ560" s="532"/>
      <c r="CR560" s="532"/>
      <c r="CS560" s="532"/>
      <c r="CT560" s="532"/>
      <c r="CU560" s="532"/>
      <c r="CV560" s="532"/>
      <c r="CW560" s="532"/>
      <c r="CX560" s="532"/>
      <c r="CY560" s="532"/>
      <c r="CZ560" s="532"/>
      <c r="DA560" s="532"/>
      <c r="DB560" s="532"/>
      <c r="DC560" s="532"/>
      <c r="DD560" s="532"/>
      <c r="DE560" s="532"/>
      <c r="DF560" s="532"/>
      <c r="DG560" s="532"/>
      <c r="DH560" s="532"/>
      <c r="DI560" s="532"/>
      <c r="DJ560" s="532"/>
      <c r="DK560" s="532"/>
      <c r="DL560" s="532"/>
      <c r="DM560" s="532"/>
      <c r="DN560" s="532"/>
      <c r="DO560" s="532"/>
      <c r="DP560" s="532"/>
      <c r="DQ560" s="532"/>
      <c r="DR560" s="532"/>
      <c r="DS560" s="532"/>
      <c r="DT560" s="532"/>
      <c r="DU560" s="532"/>
      <c r="DV560" s="532"/>
      <c r="DW560" s="532"/>
      <c r="DX560" s="532"/>
      <c r="DY560" s="532"/>
      <c r="DZ560" s="532"/>
      <c r="EA560" s="532"/>
      <c r="EB560" s="532"/>
      <c r="EC560" s="532"/>
      <c r="ED560" s="532"/>
      <c r="EE560" s="532"/>
      <c r="EF560" s="532"/>
      <c r="EG560" s="532"/>
      <c r="EH560" s="532"/>
      <c r="EI560" s="532"/>
      <c r="EJ560" s="532"/>
      <c r="EK560" s="532"/>
      <c r="EL560" s="532"/>
      <c r="EM560" s="532"/>
      <c r="EN560" s="532"/>
      <c r="EO560" s="532"/>
      <c r="EP560" s="532"/>
      <c r="EQ560" s="532"/>
      <c r="ER560" s="532"/>
      <c r="ES560" s="532"/>
      <c r="ET560" s="532"/>
      <c r="EU560" s="532"/>
      <c r="EV560" s="532"/>
      <c r="EW560" s="532"/>
      <c r="EX560" s="532"/>
      <c r="EY560" s="532"/>
      <c r="EZ560" s="532"/>
      <c r="FA560" s="532"/>
      <c r="FB560" s="532"/>
      <c r="FC560" s="532"/>
      <c r="FD560" s="532"/>
      <c r="FE560" s="532"/>
      <c r="FF560" s="532"/>
      <c r="FG560" s="532"/>
      <c r="FH560" s="532"/>
      <c r="FI560" s="532"/>
      <c r="FJ560" s="532"/>
      <c r="FK560" s="532"/>
      <c r="FL560" s="532"/>
      <c r="FM560" s="532"/>
      <c r="FN560" s="532"/>
      <c r="FO560" s="532"/>
      <c r="FP560" s="532"/>
    </row>
    <row r="561" spans="1:172" ht="12" customHeight="1" x14ac:dyDescent="0.2">
      <c r="A561" s="533"/>
      <c r="B561" s="534"/>
      <c r="C561" s="534"/>
      <c r="D561" s="534"/>
      <c r="E561" s="534"/>
      <c r="F561" s="534"/>
      <c r="G561" s="534"/>
      <c r="H561" s="534"/>
      <c r="I561" s="534"/>
      <c r="J561" s="534"/>
      <c r="K561" s="535"/>
      <c r="L561" s="534"/>
      <c r="M561" s="534"/>
      <c r="N561" s="534"/>
      <c r="O561" s="530"/>
      <c r="P561" s="531"/>
      <c r="Q561" s="531"/>
      <c r="R561" s="531"/>
      <c r="S561" s="531"/>
      <c r="T561" s="531"/>
      <c r="U561" s="531"/>
      <c r="V561" s="531"/>
      <c r="W561" s="531"/>
      <c r="X561" s="531"/>
      <c r="Y561" s="531"/>
      <c r="Z561" s="531"/>
      <c r="AA561" s="531"/>
      <c r="AB561" s="531"/>
      <c r="AC561" s="531"/>
      <c r="AD561" s="531"/>
      <c r="AE561" s="531"/>
      <c r="AF561" s="531"/>
      <c r="AG561" s="531"/>
      <c r="AH561" s="532"/>
      <c r="AI561" s="532"/>
      <c r="AJ561" s="532"/>
      <c r="AK561" s="532"/>
      <c r="AL561" s="532"/>
      <c r="AM561" s="532"/>
      <c r="AN561" s="532"/>
      <c r="AO561" s="532"/>
      <c r="AP561" s="532"/>
      <c r="AQ561" s="532"/>
      <c r="AR561" s="532"/>
      <c r="AS561" s="532"/>
      <c r="AT561" s="532"/>
      <c r="AU561" s="532"/>
      <c r="AV561" s="532"/>
      <c r="AW561" s="532"/>
      <c r="AX561" s="532"/>
      <c r="AY561" s="532"/>
      <c r="AZ561" s="532"/>
      <c r="BA561" s="532"/>
      <c r="BB561" s="532"/>
      <c r="BC561" s="532"/>
      <c r="BD561" s="532"/>
      <c r="BE561" s="532"/>
      <c r="BF561" s="532"/>
      <c r="BG561" s="532"/>
      <c r="BH561" s="532"/>
      <c r="BI561" s="532"/>
      <c r="BJ561" s="532"/>
      <c r="BK561" s="532"/>
      <c r="BL561" s="532"/>
      <c r="BM561" s="532"/>
      <c r="BN561" s="532"/>
      <c r="BO561" s="532"/>
      <c r="BP561" s="532"/>
      <c r="BQ561" s="532"/>
      <c r="BR561" s="532"/>
      <c r="BS561" s="532"/>
      <c r="BT561" s="532"/>
      <c r="BU561" s="532"/>
      <c r="BV561" s="532"/>
      <c r="BW561" s="532"/>
      <c r="BX561" s="532"/>
      <c r="BY561" s="532"/>
      <c r="BZ561" s="532"/>
      <c r="CA561" s="532"/>
      <c r="CB561" s="532"/>
      <c r="CC561" s="532"/>
      <c r="CD561" s="532"/>
      <c r="CE561" s="532"/>
      <c r="CF561" s="532"/>
      <c r="CG561" s="532"/>
      <c r="CH561" s="532"/>
      <c r="CI561" s="532"/>
      <c r="CJ561" s="532"/>
      <c r="CK561" s="532"/>
      <c r="CL561" s="532"/>
      <c r="CM561" s="532"/>
      <c r="CN561" s="532"/>
      <c r="CO561" s="532"/>
      <c r="CP561" s="532"/>
      <c r="CQ561" s="532"/>
      <c r="CR561" s="532"/>
      <c r="CS561" s="532"/>
      <c r="CT561" s="532"/>
      <c r="CU561" s="532"/>
      <c r="CV561" s="532"/>
      <c r="CW561" s="532"/>
      <c r="CX561" s="532"/>
      <c r="CY561" s="532"/>
      <c r="CZ561" s="532"/>
      <c r="DA561" s="532"/>
      <c r="DB561" s="532"/>
      <c r="DC561" s="532"/>
      <c r="DD561" s="532"/>
      <c r="DE561" s="532"/>
      <c r="DF561" s="532"/>
      <c r="DG561" s="532"/>
      <c r="DH561" s="532"/>
      <c r="DI561" s="532"/>
      <c r="DJ561" s="532"/>
      <c r="DK561" s="532"/>
      <c r="DL561" s="532"/>
      <c r="DM561" s="532"/>
      <c r="DN561" s="532"/>
      <c r="DO561" s="532"/>
      <c r="DP561" s="532"/>
      <c r="DQ561" s="532"/>
      <c r="DR561" s="532"/>
      <c r="DS561" s="532"/>
      <c r="DT561" s="532"/>
      <c r="DU561" s="532"/>
      <c r="DV561" s="532"/>
      <c r="DW561" s="532"/>
      <c r="DX561" s="532"/>
      <c r="DY561" s="532"/>
      <c r="DZ561" s="532"/>
      <c r="EA561" s="532"/>
      <c r="EB561" s="532"/>
      <c r="EC561" s="532"/>
      <c r="ED561" s="532"/>
      <c r="EE561" s="532"/>
      <c r="EF561" s="532"/>
      <c r="EG561" s="532"/>
      <c r="EH561" s="532"/>
      <c r="EI561" s="532"/>
      <c r="EJ561" s="532"/>
      <c r="EK561" s="532"/>
      <c r="EL561" s="532"/>
      <c r="EM561" s="532"/>
      <c r="EN561" s="532"/>
      <c r="EO561" s="532"/>
      <c r="EP561" s="532"/>
      <c r="EQ561" s="532"/>
      <c r="ER561" s="532"/>
      <c r="ES561" s="532"/>
      <c r="ET561" s="532"/>
      <c r="EU561" s="532"/>
      <c r="EV561" s="532"/>
      <c r="EW561" s="532"/>
      <c r="EX561" s="532"/>
      <c r="EY561" s="532"/>
      <c r="EZ561" s="532"/>
      <c r="FA561" s="532"/>
      <c r="FB561" s="532"/>
      <c r="FC561" s="532"/>
      <c r="FD561" s="532"/>
      <c r="FE561" s="532"/>
      <c r="FF561" s="532"/>
      <c r="FG561" s="532"/>
      <c r="FH561" s="532"/>
      <c r="FI561" s="532"/>
      <c r="FJ561" s="532"/>
      <c r="FK561" s="532"/>
      <c r="FL561" s="532"/>
      <c r="FM561" s="532"/>
      <c r="FN561" s="532"/>
      <c r="FO561" s="532"/>
      <c r="FP561" s="532"/>
    </row>
    <row r="562" spans="1:172" ht="12" customHeight="1" x14ac:dyDescent="0.2">
      <c r="A562" s="533"/>
      <c r="B562" s="534"/>
      <c r="C562" s="534"/>
      <c r="D562" s="534"/>
      <c r="E562" s="534"/>
      <c r="F562" s="534"/>
      <c r="G562" s="534"/>
      <c r="H562" s="534"/>
      <c r="I562" s="534"/>
      <c r="J562" s="534"/>
      <c r="K562" s="535"/>
      <c r="L562" s="534"/>
      <c r="M562" s="534"/>
      <c r="N562" s="534"/>
      <c r="O562" s="530"/>
      <c r="P562" s="531"/>
      <c r="Q562" s="531"/>
      <c r="R562" s="531"/>
      <c r="S562" s="531"/>
      <c r="T562" s="531"/>
      <c r="U562" s="531"/>
      <c r="V562" s="531"/>
      <c r="W562" s="531"/>
      <c r="X562" s="531"/>
      <c r="Y562" s="531"/>
      <c r="Z562" s="531"/>
      <c r="AA562" s="531"/>
      <c r="AB562" s="531"/>
      <c r="AC562" s="531"/>
      <c r="AD562" s="531"/>
      <c r="AE562" s="531"/>
      <c r="AF562" s="531"/>
      <c r="AG562" s="531"/>
      <c r="AH562" s="532"/>
      <c r="AI562" s="532"/>
      <c r="AJ562" s="532"/>
      <c r="AK562" s="532"/>
      <c r="AL562" s="532"/>
      <c r="AM562" s="532"/>
      <c r="AN562" s="532"/>
      <c r="AO562" s="532"/>
      <c r="AP562" s="532"/>
      <c r="AQ562" s="532"/>
      <c r="AR562" s="532"/>
      <c r="AS562" s="532"/>
      <c r="AT562" s="532"/>
      <c r="AU562" s="532"/>
      <c r="AV562" s="532"/>
      <c r="AW562" s="532"/>
      <c r="AX562" s="532"/>
      <c r="AY562" s="532"/>
      <c r="AZ562" s="532"/>
      <c r="BA562" s="532"/>
      <c r="BB562" s="532"/>
      <c r="BC562" s="532"/>
      <c r="BD562" s="532"/>
      <c r="BE562" s="532"/>
      <c r="BF562" s="532"/>
      <c r="BG562" s="532"/>
      <c r="BH562" s="532"/>
      <c r="BI562" s="532"/>
      <c r="BJ562" s="532"/>
      <c r="BK562" s="532"/>
      <c r="BL562" s="532"/>
      <c r="BM562" s="532"/>
      <c r="BN562" s="532"/>
      <c r="BO562" s="532"/>
      <c r="BP562" s="532"/>
      <c r="BQ562" s="532"/>
      <c r="BR562" s="532"/>
      <c r="BS562" s="532"/>
      <c r="BT562" s="532"/>
      <c r="BU562" s="532"/>
      <c r="BV562" s="532"/>
      <c r="BW562" s="532"/>
      <c r="BX562" s="532"/>
      <c r="BY562" s="532"/>
      <c r="BZ562" s="532"/>
      <c r="CA562" s="532"/>
      <c r="CB562" s="532"/>
      <c r="CC562" s="532"/>
      <c r="CD562" s="532"/>
      <c r="CE562" s="532"/>
      <c r="CF562" s="532"/>
      <c r="CG562" s="532"/>
      <c r="CH562" s="532"/>
      <c r="CI562" s="532"/>
      <c r="CJ562" s="532"/>
      <c r="CK562" s="532"/>
      <c r="CL562" s="532"/>
      <c r="CM562" s="532"/>
      <c r="CN562" s="532"/>
      <c r="CO562" s="532"/>
      <c r="CP562" s="532"/>
      <c r="CQ562" s="532"/>
      <c r="CR562" s="532"/>
      <c r="CS562" s="532"/>
      <c r="CT562" s="532"/>
      <c r="CU562" s="532"/>
      <c r="CV562" s="532"/>
      <c r="CW562" s="532"/>
      <c r="CX562" s="532"/>
      <c r="CY562" s="532"/>
      <c r="CZ562" s="532"/>
      <c r="DA562" s="532"/>
      <c r="DB562" s="532"/>
      <c r="DC562" s="532"/>
      <c r="DD562" s="532"/>
      <c r="DE562" s="532"/>
      <c r="DF562" s="532"/>
      <c r="DG562" s="532"/>
      <c r="DH562" s="532"/>
      <c r="DI562" s="532"/>
      <c r="DJ562" s="532"/>
      <c r="DK562" s="532"/>
      <c r="DL562" s="532"/>
      <c r="DM562" s="532"/>
      <c r="DN562" s="532"/>
      <c r="DO562" s="532"/>
      <c r="DP562" s="532"/>
      <c r="DQ562" s="532"/>
      <c r="DR562" s="532"/>
      <c r="DS562" s="532"/>
      <c r="DT562" s="532"/>
      <c r="DU562" s="532"/>
      <c r="DV562" s="532"/>
      <c r="DW562" s="532"/>
      <c r="DX562" s="532"/>
      <c r="DY562" s="532"/>
      <c r="DZ562" s="532"/>
      <c r="EA562" s="532"/>
      <c r="EB562" s="532"/>
      <c r="EC562" s="532"/>
      <c r="ED562" s="532"/>
      <c r="EE562" s="532"/>
      <c r="EF562" s="532"/>
      <c r="EG562" s="532"/>
      <c r="EH562" s="532"/>
      <c r="EI562" s="532"/>
      <c r="EJ562" s="532"/>
      <c r="EK562" s="532"/>
      <c r="EL562" s="532"/>
      <c r="EM562" s="532"/>
      <c r="EN562" s="532"/>
      <c r="EO562" s="532"/>
      <c r="EP562" s="532"/>
      <c r="EQ562" s="532"/>
      <c r="ER562" s="532"/>
      <c r="ES562" s="532"/>
      <c r="ET562" s="532"/>
      <c r="EU562" s="532"/>
      <c r="EV562" s="532"/>
      <c r="EW562" s="532"/>
      <c r="EX562" s="532"/>
      <c r="EY562" s="532"/>
      <c r="EZ562" s="532"/>
      <c r="FA562" s="532"/>
      <c r="FB562" s="532"/>
      <c r="FC562" s="532"/>
      <c r="FD562" s="532"/>
      <c r="FE562" s="532"/>
      <c r="FF562" s="532"/>
      <c r="FG562" s="532"/>
      <c r="FH562" s="532"/>
      <c r="FI562" s="532"/>
      <c r="FJ562" s="532"/>
      <c r="FK562" s="532"/>
      <c r="FL562" s="532"/>
      <c r="FM562" s="532"/>
      <c r="FN562" s="532"/>
      <c r="FO562" s="532"/>
      <c r="FP562" s="532"/>
    </row>
    <row r="563" spans="1:172" ht="12" customHeight="1" x14ac:dyDescent="0.2">
      <c r="A563" s="533"/>
      <c r="B563" s="534"/>
      <c r="C563" s="534"/>
      <c r="D563" s="534"/>
      <c r="E563" s="534"/>
      <c r="F563" s="534"/>
      <c r="G563" s="534"/>
      <c r="H563" s="534"/>
      <c r="I563" s="534"/>
      <c r="J563" s="534"/>
      <c r="K563" s="535"/>
      <c r="L563" s="534"/>
      <c r="M563" s="534"/>
      <c r="N563" s="534"/>
      <c r="O563" s="530"/>
      <c r="P563" s="531"/>
      <c r="Q563" s="531"/>
      <c r="R563" s="531"/>
      <c r="S563" s="531"/>
      <c r="T563" s="531"/>
      <c r="U563" s="531"/>
      <c r="V563" s="531"/>
      <c r="W563" s="531"/>
      <c r="X563" s="531"/>
      <c r="Y563" s="531"/>
      <c r="Z563" s="531"/>
      <c r="AA563" s="531"/>
      <c r="AB563" s="531"/>
      <c r="AC563" s="531"/>
      <c r="AD563" s="531"/>
      <c r="AE563" s="531"/>
      <c r="AF563" s="531"/>
      <c r="AG563" s="531"/>
      <c r="AH563" s="532"/>
      <c r="AI563" s="532"/>
      <c r="AJ563" s="532"/>
      <c r="AK563" s="532"/>
      <c r="AL563" s="532"/>
      <c r="AM563" s="532"/>
      <c r="AN563" s="532"/>
      <c r="AO563" s="532"/>
      <c r="AP563" s="532"/>
      <c r="AQ563" s="532"/>
      <c r="AR563" s="532"/>
      <c r="AS563" s="532"/>
      <c r="AT563" s="532"/>
      <c r="AU563" s="532"/>
      <c r="AV563" s="532"/>
      <c r="AW563" s="532"/>
      <c r="AX563" s="532"/>
      <c r="AY563" s="532"/>
      <c r="AZ563" s="532"/>
      <c r="BA563" s="532"/>
      <c r="BB563" s="532"/>
      <c r="BC563" s="532"/>
      <c r="BD563" s="532"/>
      <c r="BE563" s="532"/>
      <c r="BF563" s="532"/>
      <c r="BG563" s="532"/>
      <c r="BH563" s="532"/>
      <c r="BI563" s="532"/>
      <c r="BJ563" s="532"/>
      <c r="BK563" s="532"/>
      <c r="BL563" s="532"/>
      <c r="BM563" s="532"/>
      <c r="BN563" s="532"/>
      <c r="BO563" s="532"/>
      <c r="BP563" s="532"/>
      <c r="BQ563" s="532"/>
      <c r="BR563" s="532"/>
      <c r="BS563" s="532"/>
      <c r="BT563" s="532"/>
      <c r="BU563" s="532"/>
      <c r="BV563" s="532"/>
      <c r="BW563" s="532"/>
      <c r="BX563" s="532"/>
      <c r="BY563" s="532"/>
      <c r="BZ563" s="532"/>
      <c r="CA563" s="532"/>
      <c r="CB563" s="532"/>
      <c r="CC563" s="532"/>
      <c r="CD563" s="532"/>
      <c r="CE563" s="532"/>
      <c r="CF563" s="532"/>
      <c r="CG563" s="532"/>
      <c r="CH563" s="532"/>
      <c r="CI563" s="532"/>
      <c r="CJ563" s="532"/>
      <c r="CK563" s="532"/>
      <c r="CL563" s="532"/>
      <c r="CM563" s="532"/>
      <c r="CN563" s="532"/>
      <c r="CO563" s="532"/>
      <c r="CP563" s="532"/>
      <c r="CQ563" s="532"/>
      <c r="CR563" s="532"/>
      <c r="CS563" s="532"/>
      <c r="CT563" s="532"/>
      <c r="CU563" s="532"/>
      <c r="CV563" s="532"/>
      <c r="CW563" s="532"/>
      <c r="CX563" s="532"/>
      <c r="CY563" s="532"/>
      <c r="CZ563" s="532"/>
      <c r="DA563" s="532"/>
      <c r="DB563" s="532"/>
      <c r="DC563" s="532"/>
      <c r="DD563" s="532"/>
      <c r="DE563" s="532"/>
      <c r="DF563" s="532"/>
      <c r="DG563" s="532"/>
      <c r="DH563" s="532"/>
      <c r="DI563" s="532"/>
      <c r="DJ563" s="532"/>
      <c r="DK563" s="532"/>
      <c r="DL563" s="532"/>
      <c r="DM563" s="532"/>
      <c r="DN563" s="532"/>
      <c r="DO563" s="532"/>
      <c r="DP563" s="532"/>
      <c r="DQ563" s="532"/>
      <c r="DR563" s="532"/>
      <c r="DS563" s="532"/>
      <c r="DT563" s="532"/>
      <c r="DU563" s="532"/>
      <c r="DV563" s="532"/>
      <c r="DW563" s="532"/>
      <c r="DX563" s="532"/>
      <c r="DY563" s="532"/>
      <c r="DZ563" s="532"/>
      <c r="EA563" s="532"/>
      <c r="EB563" s="532"/>
      <c r="EC563" s="532"/>
      <c r="ED563" s="532"/>
      <c r="EE563" s="532"/>
      <c r="EF563" s="532"/>
      <c r="EG563" s="532"/>
      <c r="EH563" s="532"/>
      <c r="EI563" s="532"/>
      <c r="EJ563" s="532"/>
      <c r="EK563" s="532"/>
      <c r="EL563" s="532"/>
      <c r="EM563" s="532"/>
      <c r="EN563" s="532"/>
      <c r="EO563" s="532"/>
      <c r="EP563" s="532"/>
      <c r="EQ563" s="532"/>
      <c r="ER563" s="532"/>
      <c r="ES563" s="532"/>
      <c r="ET563" s="532"/>
      <c r="EU563" s="532"/>
      <c r="EV563" s="532"/>
      <c r="EW563" s="532"/>
      <c r="EX563" s="532"/>
      <c r="EY563" s="532"/>
      <c r="EZ563" s="532"/>
      <c r="FA563" s="532"/>
      <c r="FB563" s="532"/>
      <c r="FC563" s="532"/>
      <c r="FD563" s="532"/>
      <c r="FE563" s="532"/>
      <c r="FF563" s="532"/>
      <c r="FG563" s="532"/>
      <c r="FH563" s="532"/>
      <c r="FI563" s="532"/>
      <c r="FJ563" s="532"/>
      <c r="FK563" s="532"/>
      <c r="FL563" s="532"/>
      <c r="FM563" s="532"/>
      <c r="FN563" s="532"/>
      <c r="FO563" s="532"/>
      <c r="FP563" s="532"/>
    </row>
    <row r="564" spans="1:172" ht="12" customHeight="1" x14ac:dyDescent="0.2">
      <c r="A564" s="533"/>
      <c r="B564" s="534"/>
      <c r="C564" s="534"/>
      <c r="D564" s="534"/>
      <c r="E564" s="534"/>
      <c r="F564" s="534"/>
      <c r="G564" s="534"/>
      <c r="H564" s="534"/>
      <c r="I564" s="534"/>
      <c r="J564" s="534"/>
      <c r="K564" s="535"/>
      <c r="L564" s="534"/>
      <c r="M564" s="534"/>
      <c r="N564" s="534"/>
      <c r="O564" s="530"/>
      <c r="P564" s="531"/>
      <c r="Q564" s="531"/>
      <c r="R564" s="531"/>
      <c r="S564" s="531"/>
      <c r="T564" s="531"/>
      <c r="U564" s="531"/>
      <c r="V564" s="531"/>
      <c r="W564" s="531"/>
      <c r="X564" s="531"/>
      <c r="Y564" s="531"/>
      <c r="Z564" s="531"/>
      <c r="AA564" s="531"/>
      <c r="AB564" s="531"/>
      <c r="AC564" s="531"/>
      <c r="AD564" s="531"/>
      <c r="AE564" s="531"/>
      <c r="AF564" s="531"/>
      <c r="AG564" s="531"/>
      <c r="AH564" s="532"/>
      <c r="AI564" s="532"/>
      <c r="AJ564" s="532"/>
      <c r="AK564" s="532"/>
      <c r="AL564" s="532"/>
      <c r="AM564" s="532"/>
      <c r="AN564" s="532"/>
      <c r="AO564" s="532"/>
      <c r="AP564" s="532"/>
      <c r="AQ564" s="532"/>
      <c r="AR564" s="532"/>
      <c r="AS564" s="532"/>
      <c r="AT564" s="532"/>
      <c r="AU564" s="532"/>
      <c r="AV564" s="532"/>
      <c r="AW564" s="532"/>
      <c r="AX564" s="532"/>
      <c r="AY564" s="532"/>
      <c r="AZ564" s="532"/>
      <c r="BA564" s="532"/>
      <c r="BB564" s="532"/>
      <c r="BC564" s="532"/>
      <c r="BD564" s="532"/>
      <c r="BE564" s="532"/>
      <c r="BF564" s="532"/>
      <c r="BG564" s="532"/>
      <c r="BH564" s="532"/>
      <c r="BI564" s="532"/>
      <c r="BJ564" s="532"/>
      <c r="BK564" s="532"/>
      <c r="BL564" s="532"/>
      <c r="BM564" s="532"/>
      <c r="BN564" s="532"/>
      <c r="BO564" s="532"/>
      <c r="BP564" s="532"/>
      <c r="BQ564" s="532"/>
      <c r="BR564" s="532"/>
      <c r="BS564" s="532"/>
      <c r="BT564" s="532"/>
      <c r="BU564" s="532"/>
      <c r="BV564" s="532"/>
      <c r="BW564" s="532"/>
      <c r="BX564" s="532"/>
      <c r="BY564" s="532"/>
      <c r="BZ564" s="532"/>
      <c r="CA564" s="532"/>
      <c r="CB564" s="532"/>
      <c r="CC564" s="532"/>
      <c r="CD564" s="532"/>
      <c r="CE564" s="532"/>
      <c r="CF564" s="532"/>
      <c r="CG564" s="532"/>
      <c r="CH564" s="532"/>
      <c r="CI564" s="532"/>
      <c r="CJ564" s="532"/>
      <c r="CK564" s="532"/>
      <c r="CL564" s="532"/>
      <c r="CM564" s="532"/>
      <c r="CN564" s="532"/>
      <c r="CO564" s="532"/>
      <c r="CP564" s="532"/>
      <c r="CQ564" s="532"/>
      <c r="CR564" s="532"/>
      <c r="CS564" s="532"/>
      <c r="CT564" s="532"/>
      <c r="CU564" s="532"/>
      <c r="CV564" s="532"/>
      <c r="CW564" s="532"/>
      <c r="CX564" s="532"/>
      <c r="CY564" s="532"/>
      <c r="CZ564" s="532"/>
      <c r="DA564" s="532"/>
      <c r="DB564" s="532"/>
      <c r="DC564" s="532"/>
      <c r="DD564" s="532"/>
      <c r="DE564" s="532"/>
      <c r="DF564" s="532"/>
      <c r="DG564" s="532"/>
      <c r="DH564" s="532"/>
      <c r="DI564" s="532"/>
      <c r="DJ564" s="532"/>
      <c r="DK564" s="532"/>
      <c r="DL564" s="532"/>
      <c r="DM564" s="532"/>
      <c r="DN564" s="532"/>
      <c r="DO564" s="532"/>
      <c r="DP564" s="532"/>
      <c r="DQ564" s="532"/>
      <c r="DR564" s="532"/>
      <c r="DS564" s="532"/>
      <c r="DT564" s="532"/>
      <c r="DU564" s="532"/>
      <c r="DV564" s="532"/>
      <c r="DW564" s="532"/>
      <c r="DX564" s="532"/>
      <c r="DY564" s="532"/>
      <c r="DZ564" s="532"/>
      <c r="EA564" s="532"/>
      <c r="EB564" s="532"/>
      <c r="EC564" s="532"/>
      <c r="ED564" s="532"/>
      <c r="EE564" s="532"/>
      <c r="EF564" s="532"/>
      <c r="EG564" s="532"/>
      <c r="EH564" s="532"/>
      <c r="EI564" s="532"/>
      <c r="EJ564" s="532"/>
      <c r="EK564" s="532"/>
      <c r="EL564" s="532"/>
      <c r="EM564" s="532"/>
      <c r="EN564" s="532"/>
      <c r="EO564" s="532"/>
      <c r="EP564" s="532"/>
      <c r="EQ564" s="532"/>
      <c r="ER564" s="532"/>
      <c r="ES564" s="532"/>
      <c r="ET564" s="532"/>
      <c r="EU564" s="532"/>
      <c r="EV564" s="532"/>
      <c r="EW564" s="532"/>
      <c r="EX564" s="532"/>
      <c r="EY564" s="532"/>
      <c r="EZ564" s="532"/>
      <c r="FA564" s="532"/>
      <c r="FB564" s="532"/>
      <c r="FC564" s="532"/>
      <c r="FD564" s="532"/>
      <c r="FE564" s="532"/>
      <c r="FF564" s="532"/>
      <c r="FG564" s="532"/>
      <c r="FH564" s="532"/>
      <c r="FI564" s="532"/>
      <c r="FJ564" s="532"/>
      <c r="FK564" s="532"/>
      <c r="FL564" s="532"/>
      <c r="FM564" s="532"/>
      <c r="FN564" s="532"/>
      <c r="FO564" s="532"/>
      <c r="FP564" s="532"/>
    </row>
    <row r="565" spans="1:172" ht="12" customHeight="1" x14ac:dyDescent="0.2">
      <c r="A565" s="533"/>
      <c r="B565" s="534"/>
      <c r="C565" s="534"/>
      <c r="D565" s="534"/>
      <c r="E565" s="534"/>
      <c r="F565" s="534"/>
      <c r="G565" s="534"/>
      <c r="H565" s="534"/>
      <c r="I565" s="534"/>
      <c r="J565" s="534"/>
      <c r="K565" s="535"/>
      <c r="L565" s="534"/>
      <c r="M565" s="534"/>
      <c r="N565" s="534"/>
      <c r="O565" s="535"/>
      <c r="P565" s="531"/>
      <c r="Q565" s="531"/>
      <c r="R565" s="531"/>
      <c r="S565" s="531"/>
      <c r="T565" s="531"/>
      <c r="U565" s="531"/>
      <c r="V565" s="531"/>
      <c r="W565" s="531"/>
      <c r="X565" s="531"/>
      <c r="Y565" s="531"/>
      <c r="Z565" s="531"/>
      <c r="AA565" s="531"/>
      <c r="AB565" s="531"/>
      <c r="AC565" s="531"/>
      <c r="AD565" s="531"/>
      <c r="AE565" s="531"/>
      <c r="AF565" s="531"/>
      <c r="AG565" s="531"/>
      <c r="AH565" s="532"/>
      <c r="AI565" s="532"/>
      <c r="AJ565" s="532"/>
      <c r="AK565" s="532"/>
      <c r="AL565" s="532"/>
      <c r="AM565" s="532"/>
      <c r="AN565" s="532"/>
      <c r="AO565" s="532"/>
      <c r="AP565" s="532"/>
      <c r="AQ565" s="532"/>
      <c r="AR565" s="532"/>
      <c r="AS565" s="532"/>
      <c r="AT565" s="532"/>
      <c r="AU565" s="532"/>
      <c r="AV565" s="532"/>
      <c r="AW565" s="532"/>
      <c r="AX565" s="532"/>
      <c r="AY565" s="532"/>
      <c r="AZ565" s="532"/>
      <c r="BA565" s="532"/>
      <c r="BB565" s="532"/>
      <c r="BC565" s="532"/>
      <c r="BD565" s="532"/>
      <c r="BE565" s="532"/>
      <c r="BF565" s="532"/>
      <c r="BG565" s="532"/>
      <c r="BH565" s="532"/>
      <c r="BI565" s="532"/>
      <c r="BJ565" s="532"/>
      <c r="BK565" s="532"/>
      <c r="BL565" s="532"/>
      <c r="BM565" s="532"/>
      <c r="BN565" s="532"/>
      <c r="BO565" s="532"/>
      <c r="BP565" s="532"/>
      <c r="BQ565" s="532"/>
      <c r="BR565" s="532"/>
      <c r="BS565" s="532"/>
      <c r="BT565" s="532"/>
      <c r="BU565" s="532"/>
      <c r="BV565" s="532"/>
      <c r="BW565" s="532"/>
      <c r="BX565" s="532"/>
      <c r="BY565" s="532"/>
      <c r="BZ565" s="532"/>
      <c r="CA565" s="532"/>
      <c r="CB565" s="532"/>
      <c r="CC565" s="532"/>
      <c r="CD565" s="532"/>
      <c r="CE565" s="532"/>
      <c r="CF565" s="532"/>
      <c r="CG565" s="532"/>
      <c r="CH565" s="532"/>
      <c r="CI565" s="532"/>
      <c r="CJ565" s="532"/>
      <c r="CK565" s="532"/>
      <c r="CL565" s="532"/>
      <c r="CM565" s="532"/>
      <c r="CN565" s="532"/>
      <c r="CO565" s="532"/>
      <c r="CP565" s="532"/>
      <c r="CQ565" s="532"/>
      <c r="CR565" s="532"/>
      <c r="CS565" s="532"/>
      <c r="CT565" s="532"/>
      <c r="CU565" s="532"/>
      <c r="CV565" s="532"/>
      <c r="CW565" s="532"/>
      <c r="CX565" s="532"/>
      <c r="CY565" s="532"/>
      <c r="CZ565" s="532"/>
      <c r="DA565" s="532"/>
      <c r="DB565" s="532"/>
      <c r="DC565" s="532"/>
      <c r="DD565" s="532"/>
      <c r="DE565" s="532"/>
      <c r="DF565" s="532"/>
      <c r="DG565" s="532"/>
      <c r="DH565" s="532"/>
      <c r="DI565" s="532"/>
      <c r="DJ565" s="532"/>
      <c r="DK565" s="532"/>
      <c r="DL565" s="532"/>
      <c r="DM565" s="532"/>
      <c r="DN565" s="532"/>
      <c r="DO565" s="532"/>
      <c r="DP565" s="532"/>
      <c r="DQ565" s="532"/>
      <c r="DR565" s="532"/>
      <c r="DS565" s="532"/>
      <c r="DT565" s="532"/>
      <c r="DU565" s="532"/>
      <c r="DV565" s="532"/>
      <c r="DW565" s="532"/>
      <c r="DX565" s="532"/>
      <c r="DY565" s="532"/>
      <c r="DZ565" s="532"/>
      <c r="EA565" s="532"/>
      <c r="EB565" s="532"/>
      <c r="EC565" s="532"/>
      <c r="ED565" s="532"/>
      <c r="EE565" s="532"/>
      <c r="EF565" s="532"/>
      <c r="EG565" s="532"/>
      <c r="EH565" s="532"/>
      <c r="EI565" s="532"/>
      <c r="EJ565" s="532"/>
      <c r="EK565" s="532"/>
      <c r="EL565" s="532"/>
      <c r="EM565" s="532"/>
      <c r="EN565" s="532"/>
      <c r="EO565" s="532"/>
      <c r="EP565" s="532"/>
      <c r="EQ565" s="532"/>
      <c r="ER565" s="532"/>
      <c r="ES565" s="532"/>
      <c r="ET565" s="532"/>
      <c r="EU565" s="532"/>
      <c r="EV565" s="532"/>
      <c r="EW565" s="532"/>
      <c r="EX565" s="532"/>
      <c r="EY565" s="532"/>
      <c r="EZ565" s="532"/>
      <c r="FA565" s="532"/>
      <c r="FB565" s="532"/>
      <c r="FC565" s="532"/>
      <c r="FD565" s="532"/>
      <c r="FE565" s="532"/>
      <c r="FF565" s="532"/>
      <c r="FG565" s="532"/>
      <c r="FH565" s="532"/>
      <c r="FI565" s="532"/>
      <c r="FJ565" s="532"/>
      <c r="FK565" s="532"/>
      <c r="FL565" s="532"/>
      <c r="FM565" s="532"/>
      <c r="FN565" s="532"/>
      <c r="FO565" s="532"/>
      <c r="FP565" s="532"/>
    </row>
    <row r="566" spans="1:172" ht="12" customHeight="1" x14ac:dyDescent="0.2">
      <c r="A566" s="533"/>
      <c r="B566" s="534"/>
      <c r="C566" s="534"/>
      <c r="D566" s="534"/>
      <c r="E566" s="534"/>
      <c r="F566" s="534"/>
      <c r="G566" s="534"/>
      <c r="H566" s="534"/>
      <c r="I566" s="534"/>
      <c r="J566" s="534"/>
      <c r="K566" s="535"/>
      <c r="L566" s="534"/>
      <c r="M566" s="534"/>
      <c r="N566" s="534"/>
      <c r="O566" s="535"/>
      <c r="P566" s="531"/>
      <c r="Q566" s="531"/>
      <c r="R566" s="531"/>
      <c r="S566" s="531"/>
      <c r="T566" s="531"/>
      <c r="U566" s="531"/>
      <c r="V566" s="531"/>
      <c r="W566" s="531"/>
      <c r="X566" s="531"/>
      <c r="Y566" s="531"/>
      <c r="Z566" s="531"/>
      <c r="AA566" s="531"/>
      <c r="AB566" s="531"/>
      <c r="AC566" s="531"/>
      <c r="AD566" s="531"/>
      <c r="AE566" s="531"/>
      <c r="AF566" s="531"/>
      <c r="AG566" s="531"/>
      <c r="AH566" s="532"/>
      <c r="AI566" s="532"/>
      <c r="AJ566" s="532"/>
      <c r="AK566" s="532"/>
      <c r="AL566" s="532"/>
      <c r="AM566" s="532"/>
      <c r="AN566" s="532"/>
      <c r="AO566" s="532"/>
      <c r="AP566" s="532"/>
      <c r="AQ566" s="532"/>
      <c r="AR566" s="532"/>
      <c r="AS566" s="532"/>
      <c r="AT566" s="532"/>
      <c r="AU566" s="532"/>
      <c r="AV566" s="532"/>
      <c r="AW566" s="532"/>
      <c r="AX566" s="532"/>
      <c r="AY566" s="532"/>
      <c r="AZ566" s="532"/>
      <c r="BA566" s="532"/>
      <c r="BB566" s="532"/>
      <c r="BC566" s="532"/>
      <c r="BD566" s="532"/>
      <c r="BE566" s="532"/>
      <c r="BF566" s="532"/>
      <c r="BG566" s="532"/>
      <c r="BH566" s="532"/>
      <c r="BI566" s="532"/>
      <c r="BJ566" s="532"/>
      <c r="BK566" s="532"/>
      <c r="BL566" s="532"/>
      <c r="BM566" s="532"/>
      <c r="BN566" s="532"/>
      <c r="BO566" s="532"/>
      <c r="BP566" s="532"/>
      <c r="BQ566" s="532"/>
      <c r="BR566" s="532"/>
      <c r="BS566" s="532"/>
      <c r="BT566" s="532"/>
      <c r="BU566" s="532"/>
      <c r="BV566" s="532"/>
      <c r="BW566" s="532"/>
      <c r="BX566" s="532"/>
      <c r="BY566" s="532"/>
      <c r="BZ566" s="532"/>
      <c r="CA566" s="532"/>
      <c r="CB566" s="532"/>
      <c r="CC566" s="532"/>
      <c r="CD566" s="532"/>
      <c r="CE566" s="532"/>
      <c r="CF566" s="532"/>
      <c r="CG566" s="532"/>
      <c r="CH566" s="532"/>
      <c r="CI566" s="532"/>
      <c r="CJ566" s="532"/>
      <c r="CK566" s="532"/>
      <c r="CL566" s="532"/>
      <c r="CM566" s="532"/>
      <c r="CN566" s="532"/>
      <c r="CO566" s="532"/>
      <c r="CP566" s="532"/>
      <c r="CQ566" s="532"/>
      <c r="CR566" s="532"/>
      <c r="CS566" s="532"/>
      <c r="CT566" s="532"/>
      <c r="CU566" s="532"/>
      <c r="CV566" s="532"/>
      <c r="CW566" s="532"/>
      <c r="CX566" s="532"/>
      <c r="CY566" s="532"/>
      <c r="CZ566" s="532"/>
      <c r="DA566" s="532"/>
      <c r="DB566" s="532"/>
      <c r="DC566" s="532"/>
      <c r="DD566" s="532"/>
      <c r="DE566" s="532"/>
      <c r="DF566" s="532"/>
      <c r="DG566" s="532"/>
      <c r="DH566" s="532"/>
      <c r="DI566" s="532"/>
      <c r="DJ566" s="532"/>
      <c r="DK566" s="532"/>
      <c r="DL566" s="532"/>
      <c r="DM566" s="532"/>
      <c r="DN566" s="532"/>
      <c r="DO566" s="532"/>
      <c r="DP566" s="532"/>
      <c r="DQ566" s="532"/>
      <c r="DR566" s="532"/>
      <c r="DS566" s="532"/>
      <c r="DT566" s="532"/>
      <c r="DU566" s="532"/>
      <c r="DV566" s="532"/>
      <c r="DW566" s="532"/>
      <c r="DX566" s="532"/>
      <c r="DY566" s="532"/>
      <c r="DZ566" s="532"/>
      <c r="EA566" s="532"/>
      <c r="EB566" s="532"/>
      <c r="EC566" s="532"/>
      <c r="ED566" s="532"/>
      <c r="EE566" s="532"/>
      <c r="EF566" s="532"/>
      <c r="EG566" s="532"/>
      <c r="EH566" s="532"/>
      <c r="EI566" s="532"/>
      <c r="EJ566" s="532"/>
      <c r="EK566" s="532"/>
      <c r="EL566" s="532"/>
      <c r="EM566" s="532"/>
      <c r="EN566" s="532"/>
      <c r="EO566" s="532"/>
      <c r="EP566" s="532"/>
      <c r="EQ566" s="532"/>
      <c r="ER566" s="532"/>
      <c r="ES566" s="532"/>
      <c r="ET566" s="532"/>
      <c r="EU566" s="532"/>
      <c r="EV566" s="532"/>
      <c r="EW566" s="532"/>
      <c r="EX566" s="532"/>
      <c r="EY566" s="532"/>
      <c r="EZ566" s="532"/>
      <c r="FA566" s="532"/>
      <c r="FB566" s="532"/>
      <c r="FC566" s="532"/>
      <c r="FD566" s="532"/>
      <c r="FE566" s="532"/>
      <c r="FF566" s="532"/>
      <c r="FG566" s="532"/>
      <c r="FH566" s="532"/>
      <c r="FI566" s="532"/>
      <c r="FJ566" s="532"/>
      <c r="FK566" s="532"/>
      <c r="FL566" s="532"/>
      <c r="FM566" s="532"/>
      <c r="FN566" s="532"/>
      <c r="FO566" s="532"/>
      <c r="FP566" s="532"/>
    </row>
    <row r="567" spans="1:172" ht="12" customHeight="1" x14ac:dyDescent="0.2">
      <c r="A567" s="533"/>
      <c r="B567" s="534"/>
      <c r="C567" s="534"/>
      <c r="D567" s="534"/>
      <c r="E567" s="534"/>
      <c r="F567" s="534"/>
      <c r="G567" s="534"/>
      <c r="H567" s="534"/>
      <c r="I567" s="534"/>
      <c r="J567" s="534"/>
      <c r="K567" s="535"/>
      <c r="L567" s="534"/>
      <c r="M567" s="534"/>
      <c r="N567" s="534"/>
      <c r="O567" s="535"/>
      <c r="P567" s="531"/>
      <c r="Q567" s="531"/>
      <c r="R567" s="531"/>
      <c r="S567" s="531"/>
      <c r="T567" s="531"/>
      <c r="U567" s="531"/>
      <c r="V567" s="531"/>
      <c r="W567" s="531"/>
      <c r="X567" s="531"/>
      <c r="Y567" s="531"/>
      <c r="Z567" s="531"/>
      <c r="AA567" s="531"/>
      <c r="AB567" s="531"/>
      <c r="AC567" s="531"/>
      <c r="AD567" s="531"/>
      <c r="AE567" s="531"/>
      <c r="AF567" s="531"/>
      <c r="AG567" s="531"/>
      <c r="AH567" s="532"/>
      <c r="AI567" s="532"/>
      <c r="AJ567" s="532"/>
      <c r="AK567" s="532"/>
      <c r="AL567" s="532"/>
      <c r="AM567" s="532"/>
      <c r="AN567" s="532"/>
      <c r="AO567" s="532"/>
      <c r="AP567" s="532"/>
      <c r="AQ567" s="532"/>
      <c r="AR567" s="532"/>
      <c r="AS567" s="532"/>
      <c r="AT567" s="532"/>
      <c r="AU567" s="532"/>
      <c r="AV567" s="532"/>
      <c r="AW567" s="532"/>
      <c r="AX567" s="532"/>
      <c r="AY567" s="532"/>
      <c r="AZ567" s="532"/>
      <c r="BA567" s="532"/>
      <c r="BB567" s="532"/>
      <c r="BC567" s="532"/>
      <c r="BD567" s="532"/>
      <c r="BE567" s="532"/>
      <c r="BF567" s="532"/>
      <c r="BG567" s="532"/>
      <c r="BH567" s="532"/>
      <c r="BI567" s="532"/>
      <c r="BJ567" s="532"/>
      <c r="BK567" s="532"/>
      <c r="BL567" s="532"/>
      <c r="BM567" s="532"/>
      <c r="BN567" s="532"/>
      <c r="BO567" s="532"/>
      <c r="BP567" s="532"/>
      <c r="BQ567" s="532"/>
      <c r="BR567" s="532"/>
      <c r="BS567" s="532"/>
      <c r="BT567" s="532"/>
      <c r="BU567" s="532"/>
      <c r="BV567" s="532"/>
      <c r="BW567" s="532"/>
      <c r="BX567" s="532"/>
      <c r="BY567" s="532"/>
      <c r="BZ567" s="532"/>
      <c r="CA567" s="532"/>
      <c r="CB567" s="532"/>
      <c r="CC567" s="532"/>
      <c r="CD567" s="532"/>
      <c r="CE567" s="532"/>
      <c r="CF567" s="532"/>
      <c r="CG567" s="532"/>
      <c r="CH567" s="532"/>
      <c r="CI567" s="532"/>
      <c r="CJ567" s="532"/>
      <c r="CK567" s="532"/>
      <c r="CL567" s="532"/>
      <c r="CM567" s="532"/>
      <c r="CN567" s="532"/>
      <c r="CO567" s="532"/>
      <c r="CP567" s="532"/>
      <c r="CQ567" s="532"/>
      <c r="CR567" s="532"/>
      <c r="CS567" s="532"/>
      <c r="CT567" s="532"/>
      <c r="CU567" s="532"/>
      <c r="CV567" s="532"/>
      <c r="CW567" s="532"/>
      <c r="CX567" s="532"/>
      <c r="CY567" s="532"/>
      <c r="CZ567" s="532"/>
      <c r="DA567" s="532"/>
      <c r="DB567" s="532"/>
      <c r="DC567" s="532"/>
      <c r="DD567" s="532"/>
      <c r="DE567" s="532"/>
      <c r="DF567" s="532"/>
      <c r="DG567" s="532"/>
      <c r="DH567" s="532"/>
      <c r="DI567" s="532"/>
      <c r="DJ567" s="532"/>
      <c r="DK567" s="532"/>
      <c r="DL567" s="532"/>
      <c r="DM567" s="532"/>
      <c r="DN567" s="532"/>
      <c r="DO567" s="532"/>
      <c r="DP567" s="532"/>
      <c r="DQ567" s="532"/>
      <c r="DR567" s="532"/>
      <c r="DS567" s="532"/>
      <c r="DT567" s="532"/>
      <c r="DU567" s="532"/>
      <c r="DV567" s="532"/>
      <c r="DW567" s="532"/>
      <c r="DX567" s="532"/>
      <c r="DY567" s="532"/>
      <c r="DZ567" s="532"/>
      <c r="EA567" s="532"/>
      <c r="EB567" s="532"/>
      <c r="EC567" s="532"/>
      <c r="ED567" s="532"/>
      <c r="EE567" s="532"/>
      <c r="EF567" s="532"/>
      <c r="EG567" s="532"/>
      <c r="EH567" s="532"/>
      <c r="EI567" s="532"/>
      <c r="EJ567" s="532"/>
      <c r="EK567" s="532"/>
      <c r="EL567" s="532"/>
      <c r="EM567" s="532"/>
      <c r="EN567" s="532"/>
      <c r="EO567" s="532"/>
      <c r="EP567" s="532"/>
      <c r="EQ567" s="532"/>
      <c r="ER567" s="532"/>
      <c r="ES567" s="532"/>
      <c r="ET567" s="532"/>
      <c r="EU567" s="532"/>
      <c r="EV567" s="532"/>
      <c r="EW567" s="532"/>
      <c r="EX567" s="532"/>
      <c r="EY567" s="532"/>
      <c r="EZ567" s="532"/>
      <c r="FA567" s="532"/>
      <c r="FB567" s="532"/>
      <c r="FC567" s="532"/>
      <c r="FD567" s="532"/>
      <c r="FE567" s="532"/>
      <c r="FF567" s="532"/>
      <c r="FG567" s="532"/>
      <c r="FH567" s="532"/>
      <c r="FI567" s="532"/>
      <c r="FJ567" s="532"/>
      <c r="FK567" s="532"/>
      <c r="FL567" s="532"/>
      <c r="FM567" s="532"/>
      <c r="FN567" s="532"/>
      <c r="FO567" s="532"/>
      <c r="FP567" s="532"/>
    </row>
    <row r="568" spans="1:172" ht="12" customHeight="1" x14ac:dyDescent="0.2">
      <c r="A568" s="533"/>
      <c r="B568" s="534"/>
      <c r="C568" s="534"/>
      <c r="D568" s="534"/>
      <c r="E568" s="534"/>
      <c r="F568" s="534"/>
      <c r="G568" s="534"/>
      <c r="H568" s="534"/>
      <c r="I568" s="534"/>
      <c r="J568" s="534"/>
      <c r="K568" s="535"/>
      <c r="L568" s="534"/>
      <c r="M568" s="534"/>
      <c r="N568" s="534"/>
      <c r="O568" s="535"/>
      <c r="P568" s="531"/>
      <c r="Q568" s="531"/>
      <c r="R568" s="531"/>
      <c r="S568" s="531"/>
      <c r="T568" s="531"/>
      <c r="U568" s="531"/>
      <c r="V568" s="531"/>
      <c r="W568" s="531"/>
      <c r="X568" s="531"/>
      <c r="Y568" s="531"/>
      <c r="Z568" s="531"/>
      <c r="AA568" s="531"/>
      <c r="AB568" s="531"/>
      <c r="AC568" s="531"/>
      <c r="AD568" s="531"/>
      <c r="AE568" s="531"/>
      <c r="AF568" s="531"/>
      <c r="AG568" s="531"/>
      <c r="AH568" s="532"/>
      <c r="AI568" s="532"/>
      <c r="AJ568" s="532"/>
      <c r="AK568" s="532"/>
      <c r="AL568" s="532"/>
      <c r="AM568" s="532"/>
      <c r="AN568" s="532"/>
      <c r="AO568" s="532"/>
      <c r="AP568" s="532"/>
      <c r="AQ568" s="532"/>
      <c r="AR568" s="532"/>
      <c r="AS568" s="532"/>
      <c r="AT568" s="532"/>
      <c r="AU568" s="532"/>
      <c r="AV568" s="532"/>
      <c r="AW568" s="532"/>
      <c r="AX568" s="532"/>
      <c r="AY568" s="532"/>
      <c r="AZ568" s="532"/>
      <c r="BA568" s="532"/>
      <c r="BB568" s="532"/>
      <c r="BC568" s="532"/>
      <c r="BD568" s="532"/>
      <c r="BE568" s="532"/>
      <c r="BF568" s="532"/>
      <c r="BG568" s="532"/>
      <c r="BH568" s="532"/>
      <c r="BI568" s="532"/>
      <c r="BJ568" s="532"/>
      <c r="BK568" s="532"/>
      <c r="BL568" s="532"/>
      <c r="BM568" s="532"/>
      <c r="BN568" s="532"/>
      <c r="BO568" s="532"/>
      <c r="BP568" s="532"/>
      <c r="BQ568" s="532"/>
      <c r="BR568" s="532"/>
      <c r="BS568" s="532"/>
      <c r="BT568" s="532"/>
      <c r="BU568" s="532"/>
      <c r="BV568" s="532"/>
      <c r="BW568" s="532"/>
      <c r="BX568" s="532"/>
      <c r="BY568" s="532"/>
      <c r="BZ568" s="532"/>
      <c r="CA568" s="532"/>
      <c r="CB568" s="532"/>
      <c r="CC568" s="532"/>
      <c r="CD568" s="532"/>
      <c r="CE568" s="532"/>
      <c r="CF568" s="532"/>
      <c r="CG568" s="532"/>
      <c r="CH568" s="532"/>
      <c r="CI568" s="532"/>
      <c r="CJ568" s="532"/>
      <c r="CK568" s="532"/>
      <c r="CL568" s="532"/>
      <c r="CM568" s="532"/>
      <c r="CN568" s="532"/>
      <c r="CO568" s="532"/>
      <c r="CP568" s="532"/>
      <c r="CQ568" s="532"/>
      <c r="CR568" s="532"/>
      <c r="CS568" s="532"/>
      <c r="CT568" s="532"/>
      <c r="CU568" s="532"/>
      <c r="CV568" s="532"/>
      <c r="CW568" s="532"/>
      <c r="CX568" s="532"/>
      <c r="CY568" s="532"/>
      <c r="CZ568" s="532"/>
      <c r="DA568" s="532"/>
      <c r="DB568" s="532"/>
      <c r="DC568" s="532"/>
      <c r="DD568" s="532"/>
      <c r="DE568" s="532"/>
      <c r="DF568" s="532"/>
      <c r="DG568" s="532"/>
      <c r="DH568" s="532"/>
      <c r="DI568" s="532"/>
      <c r="DJ568" s="532"/>
      <c r="DK568" s="532"/>
      <c r="DL568" s="532"/>
      <c r="DM568" s="532"/>
      <c r="DN568" s="532"/>
      <c r="DO568" s="532"/>
      <c r="DP568" s="532"/>
      <c r="DQ568" s="532"/>
      <c r="DR568" s="532"/>
      <c r="DS568" s="532"/>
      <c r="DT568" s="532"/>
      <c r="DU568" s="532"/>
      <c r="DV568" s="532"/>
      <c r="DW568" s="532"/>
      <c r="DX568" s="532"/>
      <c r="DY568" s="532"/>
      <c r="DZ568" s="532"/>
      <c r="EA568" s="532"/>
      <c r="EB568" s="532"/>
      <c r="EC568" s="532"/>
      <c r="ED568" s="532"/>
      <c r="EE568" s="532"/>
      <c r="EF568" s="532"/>
      <c r="EG568" s="532"/>
      <c r="EH568" s="532"/>
      <c r="EI568" s="532"/>
      <c r="EJ568" s="532"/>
      <c r="EK568" s="532"/>
      <c r="EL568" s="532"/>
      <c r="EM568" s="532"/>
      <c r="EN568" s="532"/>
      <c r="EO568" s="532"/>
      <c r="EP568" s="532"/>
      <c r="EQ568" s="532"/>
      <c r="ER568" s="532"/>
      <c r="ES568" s="532"/>
      <c r="ET568" s="532"/>
      <c r="EU568" s="532"/>
      <c r="EV568" s="532"/>
      <c r="EW568" s="532"/>
      <c r="EX568" s="532"/>
      <c r="EY568" s="532"/>
      <c r="EZ568" s="532"/>
      <c r="FA568" s="532"/>
      <c r="FB568" s="532"/>
      <c r="FC568" s="532"/>
      <c r="FD568" s="532"/>
      <c r="FE568" s="532"/>
      <c r="FF568" s="532"/>
      <c r="FG568" s="532"/>
      <c r="FH568" s="532"/>
      <c r="FI568" s="532"/>
      <c r="FJ568" s="532"/>
      <c r="FK568" s="532"/>
      <c r="FL568" s="532"/>
      <c r="FM568" s="532"/>
      <c r="FN568" s="532"/>
      <c r="FO568" s="532"/>
      <c r="FP568" s="532"/>
    </row>
    <row r="569" spans="1:172" ht="12" customHeight="1" x14ac:dyDescent="0.2">
      <c r="A569" s="533"/>
      <c r="B569" s="534"/>
      <c r="C569" s="534"/>
      <c r="D569" s="534"/>
      <c r="E569" s="534"/>
      <c r="F569" s="534"/>
      <c r="G569" s="534"/>
      <c r="H569" s="534"/>
      <c r="I569" s="534"/>
      <c r="J569" s="534"/>
      <c r="K569" s="535"/>
      <c r="L569" s="534"/>
      <c r="M569" s="534"/>
      <c r="N569" s="534"/>
      <c r="O569" s="535"/>
      <c r="P569" s="531"/>
      <c r="Q569" s="531"/>
      <c r="R569" s="531"/>
      <c r="S569" s="531"/>
      <c r="T569" s="531"/>
      <c r="U569" s="531"/>
      <c r="V569" s="531"/>
      <c r="W569" s="531"/>
      <c r="X569" s="531"/>
      <c r="Y569" s="531"/>
      <c r="Z569" s="531"/>
      <c r="AA569" s="531"/>
      <c r="AB569" s="531"/>
      <c r="AC569" s="531"/>
      <c r="AD569" s="531"/>
      <c r="AE569" s="531"/>
      <c r="AF569" s="531"/>
      <c r="AG569" s="531"/>
      <c r="AH569" s="532"/>
      <c r="AI569" s="532"/>
      <c r="AJ569" s="532"/>
      <c r="AK569" s="532"/>
      <c r="AL569" s="532"/>
      <c r="AM569" s="532"/>
      <c r="AN569" s="532"/>
      <c r="AO569" s="532"/>
      <c r="AP569" s="532"/>
      <c r="AQ569" s="532"/>
      <c r="AR569" s="532"/>
      <c r="AS569" s="532"/>
      <c r="AT569" s="532"/>
      <c r="AU569" s="532"/>
      <c r="AV569" s="532"/>
      <c r="AW569" s="532"/>
      <c r="AX569" s="532"/>
      <c r="AY569" s="532"/>
      <c r="AZ569" s="532"/>
      <c r="BA569" s="532"/>
      <c r="BB569" s="532"/>
      <c r="BC569" s="532"/>
      <c r="BD569" s="532"/>
      <c r="BE569" s="532"/>
      <c r="BF569" s="532"/>
      <c r="BG569" s="532"/>
      <c r="BH569" s="532"/>
      <c r="BI569" s="532"/>
      <c r="BJ569" s="532"/>
      <c r="BK569" s="532"/>
      <c r="BL569" s="532"/>
      <c r="BM569" s="532"/>
      <c r="BN569" s="532"/>
      <c r="BO569" s="532"/>
      <c r="BP569" s="532"/>
      <c r="BQ569" s="532"/>
      <c r="BR569" s="532"/>
      <c r="BS569" s="532"/>
      <c r="BT569" s="532"/>
      <c r="BU569" s="532"/>
      <c r="BV569" s="532"/>
      <c r="BW569" s="532"/>
      <c r="BX569" s="532"/>
      <c r="BY569" s="532"/>
      <c r="BZ569" s="532"/>
      <c r="CA569" s="532"/>
      <c r="CB569" s="532"/>
      <c r="CC569" s="532"/>
      <c r="CD569" s="532"/>
      <c r="CE569" s="532"/>
      <c r="CF569" s="532"/>
      <c r="CG569" s="532"/>
      <c r="CH569" s="532"/>
      <c r="CI569" s="532"/>
      <c r="CJ569" s="532"/>
      <c r="CK569" s="532"/>
      <c r="CL569" s="532"/>
      <c r="CM569" s="532"/>
      <c r="CN569" s="532"/>
      <c r="CO569" s="532"/>
      <c r="CP569" s="532"/>
      <c r="CQ569" s="532"/>
      <c r="CR569" s="532"/>
      <c r="CS569" s="532"/>
      <c r="CT569" s="532"/>
      <c r="CU569" s="532"/>
      <c r="CV569" s="532"/>
      <c r="CW569" s="532"/>
      <c r="CX569" s="532"/>
      <c r="CY569" s="532"/>
      <c r="CZ569" s="532"/>
      <c r="DA569" s="532"/>
      <c r="DB569" s="532"/>
      <c r="DC569" s="532"/>
      <c r="DD569" s="532"/>
      <c r="DE569" s="532"/>
      <c r="DF569" s="532"/>
      <c r="DG569" s="532"/>
      <c r="DH569" s="532"/>
      <c r="DI569" s="532"/>
      <c r="DJ569" s="532"/>
      <c r="DK569" s="532"/>
      <c r="DL569" s="532"/>
      <c r="DM569" s="532"/>
      <c r="DN569" s="532"/>
      <c r="DO569" s="532"/>
      <c r="DP569" s="532"/>
      <c r="DQ569" s="532"/>
      <c r="DR569" s="532"/>
      <c r="DS569" s="532"/>
      <c r="DT569" s="532"/>
      <c r="DU569" s="532"/>
      <c r="DV569" s="532"/>
      <c r="DW569" s="532"/>
      <c r="DX569" s="532"/>
      <c r="DY569" s="532"/>
      <c r="DZ569" s="532"/>
      <c r="EA569" s="532"/>
      <c r="EB569" s="532"/>
      <c r="EC569" s="532"/>
      <c r="ED569" s="532"/>
      <c r="EE569" s="532"/>
      <c r="EF569" s="532"/>
      <c r="EG569" s="532"/>
      <c r="EH569" s="532"/>
      <c r="EI569" s="532"/>
      <c r="EJ569" s="532"/>
      <c r="EK569" s="532"/>
      <c r="EL569" s="532"/>
      <c r="EM569" s="532"/>
      <c r="EN569" s="532"/>
      <c r="EO569" s="532"/>
      <c r="EP569" s="532"/>
      <c r="EQ569" s="532"/>
      <c r="ER569" s="532"/>
      <c r="ES569" s="532"/>
      <c r="ET569" s="532"/>
      <c r="EU569" s="532"/>
      <c r="EV569" s="532"/>
      <c r="EW569" s="532"/>
      <c r="EX569" s="532"/>
      <c r="EY569" s="532"/>
      <c r="EZ569" s="532"/>
      <c r="FA569" s="532"/>
      <c r="FB569" s="532"/>
      <c r="FC569" s="532"/>
      <c r="FD569" s="532"/>
      <c r="FE569" s="532"/>
      <c r="FF569" s="532"/>
      <c r="FG569" s="532"/>
      <c r="FH569" s="532"/>
      <c r="FI569" s="532"/>
      <c r="FJ569" s="532"/>
      <c r="FK569" s="532"/>
      <c r="FL569" s="532"/>
      <c r="FM569" s="532"/>
      <c r="FN569" s="532"/>
      <c r="FO569" s="532"/>
      <c r="FP569" s="532"/>
    </row>
    <row r="570" spans="1:172" ht="12" customHeight="1" x14ac:dyDescent="0.2">
      <c r="A570" s="533"/>
      <c r="B570" s="534"/>
      <c r="C570" s="534"/>
      <c r="D570" s="534"/>
      <c r="E570" s="534"/>
      <c r="F570" s="534"/>
      <c r="G570" s="534"/>
      <c r="H570" s="534"/>
      <c r="I570" s="534"/>
      <c r="J570" s="534"/>
      <c r="K570" s="535"/>
      <c r="L570" s="534"/>
      <c r="M570" s="534"/>
      <c r="N570" s="534"/>
      <c r="O570" s="535"/>
      <c r="P570" s="531"/>
      <c r="Q570" s="531"/>
      <c r="R570" s="531"/>
      <c r="S570" s="531"/>
      <c r="T570" s="531"/>
      <c r="U570" s="531"/>
      <c r="V570" s="531"/>
      <c r="W570" s="531"/>
      <c r="X570" s="531"/>
      <c r="Y570" s="531"/>
      <c r="Z570" s="531"/>
      <c r="AA570" s="531"/>
      <c r="AB570" s="531"/>
      <c r="AC570" s="531"/>
      <c r="AD570" s="531"/>
      <c r="AE570" s="531"/>
      <c r="AF570" s="531"/>
      <c r="AG570" s="531"/>
      <c r="AH570" s="532"/>
      <c r="AI570" s="532"/>
      <c r="AJ570" s="532"/>
      <c r="AK570" s="532"/>
      <c r="AL570" s="532"/>
      <c r="AM570" s="532"/>
      <c r="AN570" s="532"/>
      <c r="AO570" s="532"/>
      <c r="AP570" s="532"/>
      <c r="AQ570" s="532"/>
      <c r="AR570" s="532"/>
      <c r="AS570" s="532"/>
      <c r="AT570" s="532"/>
      <c r="AU570" s="532"/>
      <c r="AV570" s="532"/>
      <c r="AW570" s="532"/>
      <c r="AX570" s="532"/>
      <c r="AY570" s="532"/>
      <c r="AZ570" s="532"/>
      <c r="BA570" s="532"/>
      <c r="BB570" s="532"/>
      <c r="BC570" s="532"/>
      <c r="BD570" s="532"/>
      <c r="BE570" s="532"/>
      <c r="BF570" s="532"/>
      <c r="BG570" s="532"/>
      <c r="BH570" s="532"/>
      <c r="BI570" s="532"/>
      <c r="BJ570" s="532"/>
      <c r="BK570" s="532"/>
      <c r="BL570" s="532"/>
      <c r="BM570" s="532"/>
      <c r="BN570" s="532"/>
      <c r="BO570" s="532"/>
      <c r="BP570" s="532"/>
      <c r="BQ570" s="532"/>
      <c r="BR570" s="532"/>
      <c r="BS570" s="532"/>
      <c r="BT570" s="532"/>
      <c r="BU570" s="532"/>
      <c r="BV570" s="532"/>
      <c r="BW570" s="532"/>
      <c r="BX570" s="532"/>
      <c r="BY570" s="532"/>
      <c r="BZ570" s="532"/>
      <c r="CA570" s="532"/>
      <c r="CB570" s="532"/>
      <c r="CC570" s="532"/>
      <c r="CD570" s="532"/>
      <c r="CE570" s="532"/>
      <c r="CF570" s="532"/>
      <c r="CG570" s="532"/>
      <c r="CH570" s="532"/>
      <c r="CI570" s="532"/>
      <c r="CJ570" s="532"/>
      <c r="CK570" s="532"/>
      <c r="CL570" s="532"/>
      <c r="CM570" s="532"/>
      <c r="CN570" s="532"/>
      <c r="CO570" s="532"/>
      <c r="CP570" s="532"/>
      <c r="CQ570" s="532"/>
      <c r="CR570" s="532"/>
      <c r="CS570" s="532"/>
      <c r="CT570" s="532"/>
      <c r="CU570" s="532"/>
      <c r="CV570" s="532"/>
      <c r="CW570" s="532"/>
      <c r="CX570" s="532"/>
      <c r="CY570" s="532"/>
      <c r="CZ570" s="532"/>
      <c r="DA570" s="532"/>
      <c r="DB570" s="532"/>
      <c r="DC570" s="532"/>
      <c r="DD570" s="532"/>
      <c r="DE570" s="532"/>
      <c r="DF570" s="532"/>
      <c r="DG570" s="532"/>
      <c r="DH570" s="532"/>
      <c r="DI570" s="532"/>
      <c r="DJ570" s="532"/>
      <c r="DK570" s="532"/>
      <c r="DL570" s="532"/>
      <c r="DM570" s="532"/>
      <c r="DN570" s="532"/>
      <c r="DO570" s="532"/>
      <c r="DP570" s="532"/>
      <c r="DQ570" s="532"/>
      <c r="DR570" s="532"/>
      <c r="DS570" s="532"/>
      <c r="DT570" s="532"/>
      <c r="DU570" s="532"/>
      <c r="DV570" s="532"/>
      <c r="DW570" s="532"/>
      <c r="DX570" s="532"/>
      <c r="DY570" s="532"/>
      <c r="DZ570" s="532"/>
      <c r="EA570" s="532"/>
      <c r="EB570" s="532"/>
      <c r="EC570" s="532"/>
      <c r="ED570" s="532"/>
      <c r="EE570" s="532"/>
      <c r="EF570" s="532"/>
      <c r="EG570" s="532"/>
      <c r="EH570" s="532"/>
      <c r="EI570" s="532"/>
      <c r="EJ570" s="532"/>
      <c r="EK570" s="532"/>
      <c r="EL570" s="532"/>
      <c r="EM570" s="532"/>
      <c r="EN570" s="532"/>
      <c r="EO570" s="532"/>
      <c r="EP570" s="532"/>
      <c r="EQ570" s="532"/>
      <c r="ER570" s="532"/>
      <c r="ES570" s="532"/>
      <c r="ET570" s="532"/>
      <c r="EU570" s="532"/>
      <c r="EV570" s="532"/>
      <c r="EW570" s="532"/>
      <c r="EX570" s="532"/>
      <c r="EY570" s="532"/>
      <c r="EZ570" s="532"/>
      <c r="FA570" s="532"/>
      <c r="FB570" s="532"/>
      <c r="FC570" s="532"/>
      <c r="FD570" s="532"/>
      <c r="FE570" s="532"/>
      <c r="FF570" s="532"/>
      <c r="FG570" s="532"/>
      <c r="FH570" s="532"/>
      <c r="FI570" s="532"/>
      <c r="FJ570" s="532"/>
      <c r="FK570" s="532"/>
      <c r="FL570" s="532"/>
      <c r="FM570" s="532"/>
      <c r="FN570" s="532"/>
      <c r="FO570" s="532"/>
      <c r="FP570" s="532"/>
    </row>
    <row r="571" spans="1:172" ht="12" customHeight="1" x14ac:dyDescent="0.2">
      <c r="A571" s="533"/>
      <c r="B571" s="534"/>
      <c r="C571" s="534"/>
      <c r="D571" s="534"/>
      <c r="E571" s="534"/>
      <c r="F571" s="534"/>
      <c r="G571" s="534"/>
      <c r="H571" s="534"/>
      <c r="I571" s="534"/>
      <c r="J571" s="534"/>
      <c r="K571" s="535"/>
      <c r="L571" s="534"/>
      <c r="M571" s="534"/>
      <c r="N571" s="534"/>
      <c r="O571" s="535"/>
      <c r="P571" s="531"/>
      <c r="Q571" s="531"/>
      <c r="R571" s="531"/>
      <c r="S571" s="531"/>
      <c r="T571" s="531"/>
      <c r="U571" s="531"/>
      <c r="V571" s="531"/>
      <c r="W571" s="531"/>
      <c r="X571" s="531"/>
      <c r="Y571" s="531"/>
      <c r="Z571" s="531"/>
      <c r="AA571" s="531"/>
      <c r="AB571" s="531"/>
      <c r="AC571" s="531"/>
      <c r="AD571" s="531"/>
      <c r="AE571" s="531"/>
      <c r="AF571" s="531"/>
      <c r="AG571" s="531"/>
      <c r="AH571" s="532"/>
      <c r="AI571" s="532"/>
      <c r="AJ571" s="532"/>
      <c r="AK571" s="532"/>
      <c r="AL571" s="532"/>
      <c r="AM571" s="532"/>
      <c r="AN571" s="532"/>
      <c r="AO571" s="532"/>
      <c r="AP571" s="532"/>
      <c r="AQ571" s="532"/>
      <c r="AR571" s="532"/>
      <c r="AS571" s="532"/>
      <c r="AT571" s="532"/>
      <c r="AU571" s="532"/>
      <c r="AV571" s="532"/>
      <c r="AW571" s="532"/>
      <c r="AX571" s="532"/>
      <c r="AY571" s="532"/>
      <c r="AZ571" s="532"/>
      <c r="BA571" s="532"/>
      <c r="BB571" s="532"/>
      <c r="BC571" s="532"/>
      <c r="BD571" s="532"/>
      <c r="BE571" s="532"/>
      <c r="BF571" s="532"/>
      <c r="BG571" s="532"/>
      <c r="BH571" s="532"/>
      <c r="BI571" s="532"/>
      <c r="BJ571" s="532"/>
      <c r="BK571" s="532"/>
      <c r="BL571" s="532"/>
      <c r="BM571" s="532"/>
      <c r="BN571" s="532"/>
      <c r="BO571" s="532"/>
      <c r="BP571" s="532"/>
      <c r="BQ571" s="532"/>
      <c r="BR571" s="532"/>
      <c r="BS571" s="532"/>
      <c r="BT571" s="532"/>
      <c r="BU571" s="532"/>
      <c r="BV571" s="532"/>
      <c r="BW571" s="532"/>
      <c r="BX571" s="532"/>
      <c r="BY571" s="532"/>
      <c r="BZ571" s="532"/>
      <c r="CA571" s="532"/>
      <c r="CB571" s="532"/>
      <c r="CC571" s="532"/>
      <c r="CD571" s="532"/>
      <c r="CE571" s="532"/>
      <c r="CF571" s="532"/>
      <c r="CG571" s="532"/>
      <c r="CH571" s="532"/>
      <c r="CI571" s="532"/>
      <c r="CJ571" s="532"/>
      <c r="CK571" s="532"/>
      <c r="CL571" s="532"/>
      <c r="CM571" s="532"/>
      <c r="CN571" s="532"/>
      <c r="CO571" s="532"/>
      <c r="CP571" s="532"/>
      <c r="CQ571" s="532"/>
      <c r="CR571" s="532"/>
      <c r="CS571" s="532"/>
      <c r="CT571" s="532"/>
      <c r="CU571" s="532"/>
      <c r="CV571" s="532"/>
      <c r="CW571" s="532"/>
      <c r="CX571" s="532"/>
      <c r="CY571" s="532"/>
      <c r="CZ571" s="532"/>
      <c r="DA571" s="532"/>
      <c r="DB571" s="532"/>
      <c r="DC571" s="532"/>
      <c r="DD571" s="532"/>
      <c r="DE571" s="532"/>
      <c r="DF571" s="532"/>
      <c r="DG571" s="532"/>
      <c r="DH571" s="532"/>
      <c r="DI571" s="532"/>
      <c r="DJ571" s="532"/>
      <c r="DK571" s="532"/>
      <c r="DL571" s="532"/>
      <c r="DM571" s="532"/>
      <c r="DN571" s="532"/>
      <c r="DO571" s="532"/>
      <c r="DP571" s="532"/>
      <c r="DQ571" s="532"/>
      <c r="DR571" s="532"/>
      <c r="DS571" s="532"/>
      <c r="DT571" s="532"/>
      <c r="DU571" s="532"/>
      <c r="DV571" s="532"/>
      <c r="DW571" s="532"/>
      <c r="DX571" s="532"/>
      <c r="DY571" s="532"/>
      <c r="DZ571" s="532"/>
      <c r="EA571" s="532"/>
      <c r="EB571" s="532"/>
      <c r="EC571" s="532"/>
      <c r="ED571" s="532"/>
      <c r="EE571" s="532"/>
      <c r="EF571" s="532"/>
      <c r="EG571" s="532"/>
      <c r="EH571" s="532"/>
      <c r="EI571" s="532"/>
      <c r="EJ571" s="532"/>
      <c r="EK571" s="532"/>
      <c r="EL571" s="532"/>
      <c r="EM571" s="532"/>
      <c r="EN571" s="532"/>
      <c r="EO571" s="532"/>
      <c r="EP571" s="532"/>
      <c r="EQ571" s="532"/>
      <c r="ER571" s="532"/>
      <c r="ES571" s="532"/>
      <c r="ET571" s="532"/>
      <c r="EU571" s="532"/>
      <c r="EV571" s="532"/>
      <c r="EW571" s="532"/>
      <c r="EX571" s="532"/>
      <c r="EY571" s="532"/>
      <c r="EZ571" s="532"/>
      <c r="FA571" s="532"/>
      <c r="FB571" s="532"/>
      <c r="FC571" s="532"/>
      <c r="FD571" s="532"/>
      <c r="FE571" s="532"/>
      <c r="FF571" s="532"/>
      <c r="FG571" s="532"/>
      <c r="FH571" s="532"/>
      <c r="FI571" s="532"/>
      <c r="FJ571" s="532"/>
      <c r="FK571" s="532"/>
      <c r="FL571" s="532"/>
      <c r="FM571" s="532"/>
      <c r="FN571" s="532"/>
      <c r="FO571" s="532"/>
      <c r="FP571" s="532"/>
    </row>
    <row r="572" spans="1:172" ht="12" customHeight="1" x14ac:dyDescent="0.2">
      <c r="A572" s="533"/>
      <c r="B572" s="534"/>
      <c r="C572" s="534"/>
      <c r="D572" s="534"/>
      <c r="E572" s="534"/>
      <c r="F572" s="534"/>
      <c r="G572" s="534"/>
      <c r="H572" s="534"/>
      <c r="I572" s="534"/>
      <c r="J572" s="534"/>
      <c r="K572" s="535"/>
      <c r="L572" s="534"/>
      <c r="M572" s="534"/>
      <c r="N572" s="534"/>
      <c r="O572" s="535"/>
      <c r="P572" s="531"/>
      <c r="Q572" s="531"/>
      <c r="R572" s="531"/>
      <c r="S572" s="531"/>
      <c r="T572" s="531"/>
      <c r="U572" s="531"/>
      <c r="V572" s="531"/>
      <c r="W572" s="531"/>
      <c r="X572" s="531"/>
      <c r="Y572" s="531"/>
      <c r="Z572" s="531"/>
      <c r="AA572" s="531"/>
      <c r="AB572" s="531"/>
      <c r="AC572" s="531"/>
      <c r="AD572" s="531"/>
      <c r="AE572" s="531"/>
      <c r="AF572" s="531"/>
      <c r="AG572" s="531"/>
      <c r="AH572" s="532"/>
      <c r="AI572" s="532"/>
      <c r="AJ572" s="532"/>
      <c r="AK572" s="532"/>
      <c r="AL572" s="532"/>
      <c r="AM572" s="532"/>
      <c r="AN572" s="532"/>
      <c r="AO572" s="532"/>
      <c r="AP572" s="532"/>
      <c r="AQ572" s="532"/>
      <c r="AR572" s="532"/>
      <c r="AS572" s="532"/>
      <c r="AT572" s="532"/>
      <c r="AU572" s="532"/>
      <c r="AV572" s="532"/>
      <c r="AW572" s="532"/>
      <c r="AX572" s="532"/>
      <c r="AY572" s="532"/>
      <c r="AZ572" s="532"/>
      <c r="BA572" s="532"/>
      <c r="BB572" s="532"/>
      <c r="BC572" s="532"/>
      <c r="BD572" s="532"/>
      <c r="BE572" s="532"/>
      <c r="BF572" s="532"/>
      <c r="BG572" s="532"/>
      <c r="BH572" s="532"/>
      <c r="BI572" s="532"/>
      <c r="BJ572" s="532"/>
      <c r="BK572" s="532"/>
      <c r="BL572" s="532"/>
      <c r="BM572" s="532"/>
      <c r="BN572" s="532"/>
      <c r="BO572" s="532"/>
      <c r="BP572" s="532"/>
      <c r="BQ572" s="532"/>
      <c r="BR572" s="532"/>
      <c r="BS572" s="532"/>
      <c r="BT572" s="532"/>
      <c r="BU572" s="532"/>
      <c r="BV572" s="532"/>
      <c r="BW572" s="532"/>
      <c r="BX572" s="532"/>
      <c r="BY572" s="532"/>
      <c r="BZ572" s="532"/>
      <c r="CA572" s="532"/>
      <c r="CB572" s="532"/>
      <c r="CC572" s="532"/>
      <c r="CD572" s="532"/>
      <c r="CE572" s="532"/>
      <c r="CF572" s="532"/>
      <c r="CG572" s="532"/>
      <c r="CH572" s="532"/>
      <c r="CI572" s="532"/>
      <c r="CJ572" s="532"/>
      <c r="CK572" s="532"/>
      <c r="CL572" s="532"/>
      <c r="CM572" s="532"/>
      <c r="CN572" s="532"/>
      <c r="CO572" s="532"/>
      <c r="CP572" s="532"/>
      <c r="CQ572" s="532"/>
      <c r="CR572" s="532"/>
      <c r="CS572" s="532"/>
      <c r="CT572" s="532"/>
      <c r="CU572" s="532"/>
      <c r="CV572" s="532"/>
      <c r="CW572" s="532"/>
      <c r="CX572" s="532"/>
      <c r="CY572" s="532"/>
      <c r="CZ572" s="532"/>
      <c r="DA572" s="532"/>
      <c r="DB572" s="532"/>
      <c r="DC572" s="532"/>
      <c r="DD572" s="532"/>
      <c r="DE572" s="532"/>
      <c r="DF572" s="532"/>
      <c r="DG572" s="532"/>
      <c r="DH572" s="532"/>
      <c r="DI572" s="532"/>
      <c r="DJ572" s="532"/>
      <c r="DK572" s="532"/>
      <c r="DL572" s="532"/>
      <c r="DM572" s="532"/>
      <c r="DN572" s="532"/>
      <c r="DO572" s="532"/>
      <c r="DP572" s="532"/>
      <c r="DQ572" s="532"/>
      <c r="DR572" s="532"/>
      <c r="DS572" s="532"/>
      <c r="DT572" s="532"/>
      <c r="DU572" s="532"/>
      <c r="DV572" s="532"/>
      <c r="DW572" s="532"/>
      <c r="DX572" s="532"/>
      <c r="DY572" s="532"/>
      <c r="DZ572" s="532"/>
      <c r="EA572" s="532"/>
      <c r="EB572" s="532"/>
      <c r="EC572" s="532"/>
      <c r="ED572" s="532"/>
      <c r="EE572" s="532"/>
      <c r="EF572" s="532"/>
      <c r="EG572" s="532"/>
      <c r="EH572" s="532"/>
      <c r="EI572" s="532"/>
      <c r="EJ572" s="532"/>
      <c r="EK572" s="532"/>
      <c r="EL572" s="532"/>
      <c r="EM572" s="532"/>
      <c r="EN572" s="532"/>
      <c r="EO572" s="532"/>
      <c r="EP572" s="532"/>
      <c r="EQ572" s="532"/>
      <c r="ER572" s="532"/>
      <c r="ES572" s="532"/>
      <c r="ET572" s="532"/>
      <c r="EU572" s="532"/>
      <c r="EV572" s="532"/>
      <c r="EW572" s="532"/>
      <c r="EX572" s="532"/>
      <c r="EY572" s="532"/>
      <c r="EZ572" s="532"/>
      <c r="FA572" s="532"/>
      <c r="FB572" s="532"/>
      <c r="FC572" s="532"/>
      <c r="FD572" s="532"/>
      <c r="FE572" s="532"/>
      <c r="FF572" s="532"/>
      <c r="FG572" s="532"/>
      <c r="FH572" s="532"/>
      <c r="FI572" s="532"/>
      <c r="FJ572" s="532"/>
      <c r="FK572" s="532"/>
      <c r="FL572" s="532"/>
      <c r="FM572" s="532"/>
      <c r="FN572" s="532"/>
      <c r="FO572" s="532"/>
      <c r="FP572" s="532"/>
    </row>
    <row r="573" spans="1:172" ht="12" customHeight="1" x14ac:dyDescent="0.2">
      <c r="A573" s="533"/>
      <c r="B573" s="534"/>
      <c r="C573" s="534"/>
      <c r="D573" s="534"/>
      <c r="E573" s="534"/>
      <c r="F573" s="534"/>
      <c r="G573" s="534"/>
      <c r="H573" s="534"/>
      <c r="I573" s="534"/>
      <c r="J573" s="534"/>
      <c r="K573" s="535"/>
      <c r="L573" s="534"/>
      <c r="M573" s="534"/>
      <c r="N573" s="534"/>
      <c r="O573" s="535"/>
      <c r="P573" s="531"/>
      <c r="Q573" s="531"/>
      <c r="R573" s="531"/>
      <c r="S573" s="531"/>
      <c r="T573" s="531"/>
      <c r="U573" s="531"/>
      <c r="V573" s="531"/>
      <c r="W573" s="531"/>
      <c r="X573" s="531"/>
      <c r="Y573" s="531"/>
      <c r="Z573" s="531"/>
      <c r="AA573" s="531"/>
      <c r="AB573" s="531"/>
      <c r="AC573" s="531"/>
      <c r="AD573" s="531"/>
      <c r="AE573" s="531"/>
      <c r="AF573" s="531"/>
      <c r="AG573" s="531"/>
      <c r="AH573" s="532"/>
      <c r="AI573" s="532"/>
      <c r="AJ573" s="532"/>
      <c r="AK573" s="532"/>
      <c r="AL573" s="532"/>
      <c r="AM573" s="532"/>
      <c r="AN573" s="532"/>
      <c r="AO573" s="532"/>
      <c r="AP573" s="532"/>
      <c r="AQ573" s="532"/>
      <c r="AR573" s="532"/>
      <c r="AS573" s="532"/>
      <c r="AT573" s="532"/>
      <c r="AU573" s="532"/>
      <c r="AV573" s="532"/>
      <c r="AW573" s="532"/>
      <c r="AX573" s="532"/>
      <c r="AY573" s="532"/>
      <c r="AZ573" s="532"/>
      <c r="BA573" s="532"/>
      <c r="BB573" s="532"/>
      <c r="BC573" s="532"/>
      <c r="BD573" s="532"/>
      <c r="BE573" s="532"/>
      <c r="BF573" s="532"/>
      <c r="BG573" s="532"/>
      <c r="BH573" s="532"/>
      <c r="BI573" s="532"/>
      <c r="BJ573" s="532"/>
      <c r="BK573" s="532"/>
      <c r="BL573" s="532"/>
      <c r="BM573" s="532"/>
      <c r="BN573" s="532"/>
      <c r="BO573" s="532"/>
      <c r="BP573" s="532"/>
      <c r="BQ573" s="532"/>
      <c r="BR573" s="532"/>
      <c r="BS573" s="532"/>
      <c r="BT573" s="532"/>
      <c r="BU573" s="532"/>
      <c r="BV573" s="532"/>
      <c r="BW573" s="532"/>
      <c r="BX573" s="532"/>
      <c r="BY573" s="532"/>
      <c r="BZ573" s="532"/>
      <c r="CA573" s="532"/>
      <c r="CB573" s="532"/>
      <c r="CC573" s="532"/>
      <c r="CD573" s="532"/>
      <c r="CE573" s="532"/>
      <c r="CF573" s="532"/>
      <c r="CG573" s="532"/>
      <c r="CH573" s="532"/>
      <c r="CI573" s="532"/>
      <c r="CJ573" s="532"/>
      <c r="CK573" s="532"/>
      <c r="CL573" s="532"/>
      <c r="CM573" s="532"/>
      <c r="CN573" s="532"/>
      <c r="CO573" s="532"/>
      <c r="CP573" s="532"/>
      <c r="CQ573" s="532"/>
      <c r="CR573" s="532"/>
      <c r="CS573" s="532"/>
      <c r="CT573" s="532"/>
      <c r="CU573" s="532"/>
      <c r="CV573" s="532"/>
      <c r="CW573" s="532"/>
      <c r="CX573" s="532"/>
      <c r="CY573" s="532"/>
      <c r="CZ573" s="532"/>
      <c r="DA573" s="532"/>
      <c r="DB573" s="532"/>
      <c r="DC573" s="532"/>
      <c r="DD573" s="532"/>
      <c r="DE573" s="532"/>
      <c r="DF573" s="532"/>
      <c r="DG573" s="532"/>
      <c r="DH573" s="532"/>
      <c r="DI573" s="532"/>
      <c r="DJ573" s="532"/>
      <c r="DK573" s="532"/>
      <c r="DL573" s="532"/>
      <c r="DM573" s="532"/>
      <c r="DN573" s="532"/>
      <c r="DO573" s="532"/>
      <c r="DP573" s="532"/>
      <c r="DQ573" s="532"/>
      <c r="DR573" s="532"/>
      <c r="DS573" s="532"/>
      <c r="DT573" s="532"/>
      <c r="DU573" s="532"/>
      <c r="DV573" s="532"/>
      <c r="DW573" s="532"/>
      <c r="DX573" s="532"/>
      <c r="DY573" s="532"/>
      <c r="DZ573" s="532"/>
      <c r="EA573" s="532"/>
      <c r="EB573" s="532"/>
      <c r="EC573" s="532"/>
      <c r="ED573" s="532"/>
      <c r="EE573" s="532"/>
      <c r="EF573" s="532"/>
      <c r="EG573" s="532"/>
      <c r="EH573" s="532"/>
      <c r="EI573" s="532"/>
      <c r="EJ573" s="532"/>
      <c r="EK573" s="532"/>
      <c r="EL573" s="532"/>
      <c r="EM573" s="532"/>
      <c r="EN573" s="532"/>
      <c r="EO573" s="532"/>
      <c r="EP573" s="532"/>
      <c r="EQ573" s="532"/>
      <c r="ER573" s="532"/>
      <c r="ES573" s="532"/>
      <c r="ET573" s="532"/>
      <c r="EU573" s="532"/>
      <c r="EV573" s="532"/>
      <c r="EW573" s="532"/>
      <c r="EX573" s="532"/>
      <c r="EY573" s="532"/>
      <c r="EZ573" s="532"/>
      <c r="FA573" s="532"/>
      <c r="FB573" s="532"/>
      <c r="FC573" s="532"/>
      <c r="FD573" s="532"/>
      <c r="FE573" s="532"/>
      <c r="FF573" s="532"/>
      <c r="FG573" s="532"/>
      <c r="FH573" s="532"/>
      <c r="FI573" s="532"/>
      <c r="FJ573" s="532"/>
      <c r="FK573" s="532"/>
      <c r="FL573" s="532"/>
      <c r="FM573" s="532"/>
      <c r="FN573" s="532"/>
      <c r="FO573" s="532"/>
      <c r="FP573" s="532"/>
    </row>
    <row r="574" spans="1:172" ht="12" customHeight="1" x14ac:dyDescent="0.2">
      <c r="A574" s="533"/>
      <c r="B574" s="534"/>
      <c r="C574" s="534"/>
      <c r="D574" s="534"/>
      <c r="E574" s="534"/>
      <c r="F574" s="534"/>
      <c r="G574" s="534"/>
      <c r="H574" s="534"/>
      <c r="I574" s="534"/>
      <c r="J574" s="534"/>
      <c r="K574" s="535"/>
      <c r="L574" s="534"/>
      <c r="M574" s="534"/>
      <c r="N574" s="534"/>
      <c r="O574" s="535"/>
      <c r="P574" s="531"/>
      <c r="Q574" s="531"/>
      <c r="R574" s="531"/>
      <c r="S574" s="531"/>
      <c r="T574" s="531"/>
      <c r="U574" s="531"/>
      <c r="V574" s="531"/>
      <c r="W574" s="531"/>
      <c r="X574" s="531"/>
      <c r="Y574" s="531"/>
      <c r="Z574" s="531"/>
      <c r="AA574" s="531"/>
      <c r="AB574" s="531"/>
      <c r="AC574" s="531"/>
      <c r="AD574" s="531"/>
      <c r="AE574" s="531"/>
      <c r="AF574" s="531"/>
      <c r="AG574" s="531"/>
      <c r="AH574" s="532"/>
      <c r="AI574" s="532"/>
      <c r="AJ574" s="532"/>
      <c r="AK574" s="532"/>
      <c r="AL574" s="532"/>
      <c r="AM574" s="532"/>
      <c r="AN574" s="532"/>
      <c r="AO574" s="532"/>
      <c r="AP574" s="532"/>
      <c r="AQ574" s="532"/>
      <c r="AR574" s="532"/>
      <c r="AS574" s="532"/>
      <c r="AT574" s="532"/>
      <c r="AU574" s="532"/>
      <c r="AV574" s="532"/>
      <c r="AW574" s="532"/>
      <c r="AX574" s="532"/>
      <c r="AY574" s="532"/>
      <c r="AZ574" s="532"/>
      <c r="BA574" s="532"/>
      <c r="BB574" s="532"/>
      <c r="BC574" s="532"/>
      <c r="BD574" s="532"/>
      <c r="BE574" s="532"/>
      <c r="BF574" s="532"/>
      <c r="BG574" s="532"/>
      <c r="BH574" s="532"/>
      <c r="BI574" s="532"/>
      <c r="BJ574" s="532"/>
      <c r="BK574" s="532"/>
      <c r="BL574" s="532"/>
      <c r="BM574" s="532"/>
      <c r="BN574" s="532"/>
      <c r="BO574" s="532"/>
      <c r="BP574" s="532"/>
      <c r="BQ574" s="532"/>
      <c r="BR574" s="532"/>
      <c r="BS574" s="532"/>
      <c r="BT574" s="532"/>
      <c r="BU574" s="532"/>
      <c r="BV574" s="532"/>
      <c r="BW574" s="532"/>
      <c r="BX574" s="532"/>
      <c r="BY574" s="532"/>
      <c r="BZ574" s="532"/>
      <c r="CA574" s="532"/>
      <c r="CB574" s="532"/>
      <c r="CC574" s="532"/>
      <c r="CD574" s="532"/>
      <c r="CE574" s="532"/>
      <c r="CF574" s="532"/>
      <c r="CG574" s="532"/>
      <c r="CH574" s="532"/>
      <c r="CI574" s="532"/>
      <c r="CJ574" s="532"/>
      <c r="CK574" s="532"/>
      <c r="CL574" s="532"/>
      <c r="CM574" s="532"/>
      <c r="CN574" s="532"/>
      <c r="CO574" s="532"/>
      <c r="CP574" s="532"/>
      <c r="CQ574" s="532"/>
      <c r="CR574" s="532"/>
      <c r="CS574" s="532"/>
      <c r="CT574" s="532"/>
      <c r="CU574" s="532"/>
      <c r="CV574" s="532"/>
      <c r="CW574" s="532"/>
      <c r="CX574" s="532"/>
      <c r="CY574" s="532"/>
      <c r="CZ574" s="532"/>
      <c r="DA574" s="532"/>
      <c r="DB574" s="532"/>
      <c r="DC574" s="532"/>
      <c r="DD574" s="532"/>
      <c r="DE574" s="532"/>
      <c r="DF574" s="532"/>
      <c r="DG574" s="532"/>
      <c r="DH574" s="532"/>
      <c r="DI574" s="532"/>
      <c r="DJ574" s="532"/>
      <c r="DK574" s="532"/>
      <c r="DL574" s="532"/>
      <c r="DM574" s="532"/>
      <c r="DN574" s="532"/>
      <c r="DO574" s="532"/>
      <c r="DP574" s="532"/>
      <c r="DQ574" s="532"/>
      <c r="DR574" s="532"/>
      <c r="DS574" s="532"/>
      <c r="DT574" s="532"/>
      <c r="DU574" s="532"/>
      <c r="DV574" s="532"/>
      <c r="DW574" s="532"/>
      <c r="DX574" s="532"/>
      <c r="DY574" s="532"/>
      <c r="DZ574" s="532"/>
      <c r="EA574" s="532"/>
      <c r="EB574" s="532"/>
      <c r="EC574" s="532"/>
      <c r="ED574" s="532"/>
      <c r="EE574" s="532"/>
      <c r="EF574" s="532"/>
      <c r="EG574" s="532"/>
      <c r="EH574" s="532"/>
      <c r="EI574" s="532"/>
      <c r="EJ574" s="532"/>
      <c r="EK574" s="532"/>
      <c r="EL574" s="532"/>
      <c r="EM574" s="532"/>
      <c r="EN574" s="532"/>
      <c r="EO574" s="532"/>
      <c r="EP574" s="532"/>
      <c r="EQ574" s="532"/>
      <c r="ER574" s="532"/>
      <c r="ES574" s="532"/>
      <c r="ET574" s="532"/>
      <c r="EU574" s="532"/>
      <c r="EV574" s="532"/>
      <c r="EW574" s="532"/>
      <c r="EX574" s="532"/>
      <c r="EY574" s="532"/>
      <c r="EZ574" s="532"/>
      <c r="FA574" s="532"/>
      <c r="FB574" s="532"/>
      <c r="FC574" s="532"/>
      <c r="FD574" s="532"/>
      <c r="FE574" s="532"/>
      <c r="FF574" s="532"/>
      <c r="FG574" s="532"/>
      <c r="FH574" s="532"/>
      <c r="FI574" s="532"/>
      <c r="FJ574" s="532"/>
      <c r="FK574" s="532"/>
      <c r="FL574" s="532"/>
      <c r="FM574" s="532"/>
      <c r="FN574" s="532"/>
      <c r="FO574" s="532"/>
      <c r="FP574" s="532"/>
    </row>
    <row r="575" spans="1:172" ht="12" customHeight="1" x14ac:dyDescent="0.2">
      <c r="A575" s="533"/>
      <c r="B575" s="534"/>
      <c r="C575" s="534"/>
      <c r="D575" s="534"/>
      <c r="E575" s="534"/>
      <c r="F575" s="534"/>
      <c r="G575" s="534"/>
      <c r="H575" s="534"/>
      <c r="I575" s="534"/>
      <c r="J575" s="534"/>
      <c r="K575" s="535"/>
      <c r="L575" s="534"/>
      <c r="M575" s="534"/>
      <c r="N575" s="534"/>
      <c r="O575" s="535"/>
      <c r="P575" s="531"/>
      <c r="Q575" s="531"/>
      <c r="R575" s="531"/>
      <c r="S575" s="531"/>
      <c r="T575" s="531"/>
      <c r="U575" s="531"/>
      <c r="V575" s="531"/>
      <c r="W575" s="531"/>
      <c r="X575" s="531"/>
      <c r="Y575" s="531"/>
      <c r="Z575" s="531"/>
      <c r="AA575" s="531"/>
      <c r="AB575" s="531"/>
      <c r="AC575" s="531"/>
      <c r="AD575" s="531"/>
      <c r="AE575" s="531"/>
      <c r="AF575" s="531"/>
      <c r="AG575" s="531"/>
      <c r="AH575" s="532"/>
      <c r="AI575" s="532"/>
      <c r="AJ575" s="532"/>
      <c r="AK575" s="532"/>
      <c r="AL575" s="532"/>
      <c r="AM575" s="532"/>
      <c r="AN575" s="532"/>
      <c r="AO575" s="532"/>
      <c r="AP575" s="532"/>
      <c r="AQ575" s="532"/>
      <c r="AR575" s="532"/>
      <c r="AS575" s="532"/>
      <c r="AT575" s="532"/>
      <c r="AU575" s="532"/>
      <c r="AV575" s="532"/>
      <c r="AW575" s="532"/>
      <c r="AX575" s="532"/>
      <c r="AY575" s="532"/>
      <c r="AZ575" s="532"/>
      <c r="BA575" s="532"/>
      <c r="BB575" s="532"/>
      <c r="BC575" s="532"/>
      <c r="BD575" s="532"/>
      <c r="BE575" s="532"/>
      <c r="BF575" s="532"/>
      <c r="BG575" s="532"/>
      <c r="BH575" s="532"/>
      <c r="BI575" s="532"/>
      <c r="BJ575" s="532"/>
      <c r="BK575" s="532"/>
      <c r="BL575" s="532"/>
      <c r="BM575" s="532"/>
      <c r="BN575" s="532"/>
      <c r="BO575" s="532"/>
      <c r="BP575" s="532"/>
      <c r="BQ575" s="532"/>
      <c r="BR575" s="532"/>
      <c r="BS575" s="532"/>
      <c r="BT575" s="532"/>
      <c r="BU575" s="532"/>
      <c r="BV575" s="532"/>
      <c r="BW575" s="532"/>
      <c r="BX575" s="532"/>
      <c r="BY575" s="532"/>
      <c r="BZ575" s="532"/>
      <c r="CA575" s="532"/>
      <c r="CB575" s="532"/>
      <c r="CC575" s="532"/>
      <c r="CD575" s="532"/>
      <c r="CE575" s="532"/>
      <c r="CF575" s="532"/>
      <c r="CG575" s="532"/>
      <c r="CH575" s="532"/>
      <c r="CI575" s="532"/>
      <c r="CJ575" s="532"/>
      <c r="CK575" s="532"/>
      <c r="CL575" s="532"/>
      <c r="CM575" s="532"/>
      <c r="CN575" s="532"/>
      <c r="CO575" s="532"/>
      <c r="CP575" s="532"/>
      <c r="CQ575" s="532"/>
      <c r="CR575" s="532"/>
      <c r="CS575" s="532"/>
      <c r="CT575" s="532"/>
      <c r="CU575" s="532"/>
      <c r="CV575" s="532"/>
      <c r="CW575" s="532"/>
      <c r="CX575" s="532"/>
      <c r="CY575" s="532"/>
      <c r="CZ575" s="532"/>
      <c r="DA575" s="532"/>
      <c r="DB575" s="532"/>
      <c r="DC575" s="532"/>
      <c r="DD575" s="532"/>
      <c r="DE575" s="532"/>
      <c r="DF575" s="532"/>
      <c r="DG575" s="532"/>
      <c r="DH575" s="532"/>
      <c r="DI575" s="532"/>
      <c r="DJ575" s="532"/>
      <c r="DK575" s="532"/>
      <c r="DL575" s="532"/>
      <c r="DM575" s="532"/>
      <c r="DN575" s="532"/>
      <c r="DO575" s="532"/>
      <c r="DP575" s="532"/>
      <c r="DQ575" s="532"/>
      <c r="DR575" s="532"/>
      <c r="DS575" s="532"/>
      <c r="DT575" s="532"/>
      <c r="DU575" s="532"/>
      <c r="DV575" s="532"/>
      <c r="DW575" s="532"/>
      <c r="DX575" s="532"/>
      <c r="DY575" s="532"/>
      <c r="DZ575" s="532"/>
      <c r="EA575" s="532"/>
      <c r="EB575" s="532"/>
      <c r="EC575" s="532"/>
      <c r="ED575" s="532"/>
      <c r="EE575" s="532"/>
      <c r="EF575" s="532"/>
      <c r="EG575" s="532"/>
      <c r="EH575" s="532"/>
      <c r="EI575" s="532"/>
      <c r="EJ575" s="532"/>
      <c r="EK575" s="532"/>
      <c r="EL575" s="532"/>
      <c r="EM575" s="532"/>
      <c r="EN575" s="532"/>
      <c r="EO575" s="532"/>
      <c r="EP575" s="532"/>
      <c r="EQ575" s="532"/>
      <c r="ER575" s="532"/>
      <c r="ES575" s="532"/>
      <c r="ET575" s="532"/>
      <c r="EU575" s="532"/>
      <c r="EV575" s="532"/>
      <c r="EW575" s="532"/>
      <c r="EX575" s="532"/>
      <c r="EY575" s="532"/>
      <c r="EZ575" s="532"/>
      <c r="FA575" s="532"/>
      <c r="FB575" s="532"/>
      <c r="FC575" s="532"/>
      <c r="FD575" s="532"/>
      <c r="FE575" s="532"/>
      <c r="FF575" s="532"/>
      <c r="FG575" s="532"/>
      <c r="FH575" s="532"/>
      <c r="FI575" s="532"/>
      <c r="FJ575" s="532"/>
      <c r="FK575" s="532"/>
      <c r="FL575" s="532"/>
      <c r="FM575" s="532"/>
      <c r="FN575" s="532"/>
      <c r="FO575" s="532"/>
      <c r="FP575" s="532"/>
    </row>
    <row r="576" spans="1:172" ht="12" customHeight="1" x14ac:dyDescent="0.2">
      <c r="A576" s="533"/>
      <c r="B576" s="534"/>
      <c r="C576" s="534"/>
      <c r="D576" s="534"/>
      <c r="E576" s="534"/>
      <c r="F576" s="534"/>
      <c r="G576" s="534"/>
      <c r="H576" s="534"/>
      <c r="I576" s="534"/>
      <c r="J576" s="534"/>
      <c r="K576" s="535"/>
      <c r="L576" s="534"/>
      <c r="M576" s="534"/>
      <c r="N576" s="534"/>
      <c r="O576" s="535"/>
      <c r="P576" s="531"/>
      <c r="Q576" s="531"/>
      <c r="R576" s="531"/>
      <c r="S576" s="531"/>
      <c r="T576" s="531"/>
      <c r="U576" s="531"/>
      <c r="V576" s="531"/>
      <c r="W576" s="531"/>
      <c r="X576" s="531"/>
      <c r="Y576" s="531"/>
      <c r="Z576" s="531"/>
      <c r="AA576" s="531"/>
      <c r="AB576" s="531"/>
      <c r="AC576" s="531"/>
      <c r="AD576" s="531"/>
      <c r="AE576" s="531"/>
      <c r="AF576" s="531"/>
      <c r="AG576" s="531"/>
      <c r="AH576" s="532"/>
      <c r="AI576" s="532"/>
      <c r="AJ576" s="532"/>
      <c r="AK576" s="532"/>
      <c r="AL576" s="532"/>
      <c r="AM576" s="532"/>
      <c r="AN576" s="532"/>
      <c r="AO576" s="532"/>
      <c r="AP576" s="532"/>
      <c r="AQ576" s="532"/>
      <c r="AR576" s="532"/>
      <c r="AS576" s="532"/>
      <c r="AT576" s="532"/>
      <c r="AU576" s="532"/>
      <c r="AV576" s="532"/>
      <c r="AW576" s="532"/>
      <c r="AX576" s="532"/>
      <c r="AY576" s="532"/>
      <c r="AZ576" s="532"/>
      <c r="BA576" s="532"/>
      <c r="BB576" s="532"/>
      <c r="BC576" s="532"/>
      <c r="BD576" s="532"/>
      <c r="BE576" s="532"/>
      <c r="BF576" s="532"/>
      <c r="BG576" s="532"/>
      <c r="BH576" s="532"/>
      <c r="BI576" s="532"/>
      <c r="BJ576" s="532"/>
      <c r="BK576" s="532"/>
      <c r="BL576" s="532"/>
      <c r="BM576" s="532"/>
      <c r="BN576" s="532"/>
      <c r="BO576" s="532"/>
      <c r="BP576" s="532"/>
      <c r="BQ576" s="532"/>
      <c r="BR576" s="532"/>
      <c r="BS576" s="532"/>
      <c r="BT576" s="532"/>
      <c r="BU576" s="532"/>
      <c r="BV576" s="532"/>
      <c r="BW576" s="532"/>
      <c r="BX576" s="532"/>
      <c r="BY576" s="532"/>
      <c r="BZ576" s="532"/>
      <c r="CA576" s="532"/>
      <c r="CB576" s="532"/>
      <c r="CC576" s="532"/>
      <c r="CD576" s="532"/>
      <c r="CE576" s="532"/>
      <c r="CF576" s="532"/>
      <c r="CG576" s="532"/>
      <c r="CH576" s="532"/>
      <c r="CI576" s="532"/>
      <c r="CJ576" s="532"/>
      <c r="CK576" s="532"/>
      <c r="CL576" s="532"/>
      <c r="CM576" s="532"/>
      <c r="CN576" s="532"/>
      <c r="CO576" s="532"/>
      <c r="CP576" s="532"/>
      <c r="CQ576" s="532"/>
      <c r="CR576" s="532"/>
      <c r="CS576" s="532"/>
      <c r="CT576" s="532"/>
      <c r="CU576" s="532"/>
      <c r="CV576" s="532"/>
      <c r="CW576" s="532"/>
      <c r="CX576" s="532"/>
      <c r="CY576" s="532"/>
      <c r="CZ576" s="532"/>
      <c r="DA576" s="532"/>
      <c r="DB576" s="532"/>
      <c r="DC576" s="532"/>
      <c r="DD576" s="532"/>
      <c r="DE576" s="532"/>
      <c r="DF576" s="532"/>
      <c r="DG576" s="532"/>
      <c r="DH576" s="532"/>
      <c r="DI576" s="532"/>
      <c r="DJ576" s="532"/>
      <c r="DK576" s="532"/>
      <c r="DL576" s="532"/>
      <c r="DM576" s="532"/>
      <c r="DN576" s="532"/>
      <c r="DO576" s="532"/>
      <c r="DP576" s="532"/>
      <c r="DQ576" s="532"/>
      <c r="DR576" s="532"/>
      <c r="DS576" s="532"/>
      <c r="DT576" s="532"/>
      <c r="DU576" s="532"/>
      <c r="DV576" s="532"/>
      <c r="DW576" s="532"/>
      <c r="DX576" s="532"/>
      <c r="DY576" s="532"/>
      <c r="DZ576" s="532"/>
      <c r="EA576" s="532"/>
      <c r="EB576" s="532"/>
      <c r="EC576" s="532"/>
      <c r="ED576" s="532"/>
      <c r="EE576" s="532"/>
      <c r="EF576" s="532"/>
      <c r="EG576" s="532"/>
      <c r="EH576" s="532"/>
      <c r="EI576" s="532"/>
      <c r="EJ576" s="532"/>
      <c r="EK576" s="532"/>
      <c r="EL576" s="532"/>
      <c r="EM576" s="532"/>
      <c r="EN576" s="532"/>
      <c r="EO576" s="532"/>
      <c r="EP576" s="532"/>
      <c r="EQ576" s="532"/>
      <c r="ER576" s="532"/>
      <c r="ES576" s="532"/>
      <c r="ET576" s="532"/>
      <c r="EU576" s="532"/>
      <c r="EV576" s="532"/>
      <c r="EW576" s="532"/>
      <c r="EX576" s="532"/>
      <c r="EY576" s="532"/>
      <c r="EZ576" s="532"/>
      <c r="FA576" s="532"/>
      <c r="FB576" s="532"/>
      <c r="FC576" s="532"/>
      <c r="FD576" s="532"/>
      <c r="FE576" s="532"/>
      <c r="FF576" s="532"/>
      <c r="FG576" s="532"/>
      <c r="FH576" s="532"/>
      <c r="FI576" s="532"/>
      <c r="FJ576" s="532"/>
      <c r="FK576" s="532"/>
      <c r="FL576" s="532"/>
      <c r="FM576" s="532"/>
      <c r="FN576" s="532"/>
      <c r="FO576" s="532"/>
      <c r="FP576" s="532"/>
    </row>
    <row r="577" spans="1:172" ht="12" customHeight="1" x14ac:dyDescent="0.2">
      <c r="A577" s="533"/>
      <c r="B577" s="534"/>
      <c r="C577" s="534"/>
      <c r="D577" s="534"/>
      <c r="E577" s="534"/>
      <c r="F577" s="534"/>
      <c r="G577" s="534"/>
      <c r="H577" s="534"/>
      <c r="I577" s="534"/>
      <c r="J577" s="534"/>
      <c r="K577" s="535"/>
      <c r="L577" s="534"/>
      <c r="M577" s="534"/>
      <c r="N577" s="534"/>
      <c r="O577" s="535"/>
      <c r="P577" s="531"/>
      <c r="Q577" s="531"/>
      <c r="R577" s="531"/>
      <c r="S577" s="531"/>
      <c r="T577" s="531"/>
      <c r="U577" s="531"/>
      <c r="V577" s="531"/>
      <c r="W577" s="531"/>
      <c r="X577" s="531"/>
      <c r="Y577" s="531"/>
      <c r="Z577" s="531"/>
      <c r="AA577" s="531"/>
      <c r="AB577" s="531"/>
      <c r="AC577" s="531"/>
      <c r="AD577" s="531"/>
      <c r="AE577" s="531"/>
      <c r="AF577" s="531"/>
      <c r="AG577" s="531"/>
      <c r="AH577" s="532"/>
      <c r="AI577" s="532"/>
      <c r="AJ577" s="532"/>
      <c r="AK577" s="532"/>
      <c r="AL577" s="532"/>
      <c r="AM577" s="532"/>
      <c r="AN577" s="532"/>
      <c r="AO577" s="532"/>
      <c r="AP577" s="532"/>
      <c r="AQ577" s="532"/>
      <c r="AR577" s="532"/>
      <c r="AS577" s="532"/>
      <c r="AT577" s="532"/>
      <c r="AU577" s="532"/>
      <c r="AV577" s="532"/>
      <c r="AW577" s="532"/>
      <c r="AX577" s="532"/>
      <c r="AY577" s="532"/>
      <c r="AZ577" s="532"/>
      <c r="BA577" s="532"/>
      <c r="BB577" s="532"/>
      <c r="BC577" s="532"/>
      <c r="BD577" s="532"/>
      <c r="BE577" s="532"/>
      <c r="BF577" s="532"/>
      <c r="BG577" s="532"/>
      <c r="BH577" s="532"/>
      <c r="BI577" s="532"/>
      <c r="BJ577" s="532"/>
      <c r="BK577" s="532"/>
      <c r="BL577" s="532"/>
      <c r="BM577" s="532"/>
      <c r="BN577" s="532"/>
      <c r="BO577" s="532"/>
      <c r="BP577" s="532"/>
      <c r="BQ577" s="532"/>
      <c r="BR577" s="532"/>
      <c r="BS577" s="532"/>
      <c r="BT577" s="532"/>
      <c r="BU577" s="532"/>
      <c r="BV577" s="532"/>
      <c r="BW577" s="532"/>
      <c r="BX577" s="532"/>
      <c r="BY577" s="532"/>
      <c r="BZ577" s="532"/>
      <c r="CA577" s="532"/>
      <c r="CB577" s="532"/>
      <c r="CC577" s="532"/>
      <c r="CD577" s="532"/>
      <c r="CE577" s="532"/>
      <c r="CF577" s="532"/>
      <c r="CG577" s="532"/>
      <c r="CH577" s="532"/>
      <c r="CI577" s="532"/>
      <c r="CJ577" s="532"/>
      <c r="CK577" s="532"/>
      <c r="CL577" s="532"/>
      <c r="CM577" s="532"/>
      <c r="CN577" s="532"/>
      <c r="CO577" s="532"/>
      <c r="CP577" s="532"/>
      <c r="CQ577" s="532"/>
      <c r="CR577" s="532"/>
      <c r="CS577" s="532"/>
      <c r="CT577" s="532"/>
      <c r="CU577" s="532"/>
      <c r="CV577" s="532"/>
      <c r="CW577" s="532"/>
      <c r="CX577" s="532"/>
      <c r="CY577" s="532"/>
      <c r="CZ577" s="532"/>
      <c r="DA577" s="532"/>
      <c r="DB577" s="532"/>
      <c r="DC577" s="532"/>
      <c r="DD577" s="532"/>
      <c r="DE577" s="532"/>
      <c r="DF577" s="532"/>
      <c r="DG577" s="532"/>
      <c r="DH577" s="532"/>
      <c r="DI577" s="532"/>
      <c r="DJ577" s="532"/>
      <c r="DK577" s="532"/>
      <c r="DL577" s="532"/>
      <c r="DM577" s="532"/>
      <c r="DN577" s="532"/>
      <c r="DO577" s="532"/>
      <c r="DP577" s="532"/>
      <c r="DQ577" s="532"/>
      <c r="DR577" s="532"/>
      <c r="DS577" s="532"/>
      <c r="DT577" s="532"/>
      <c r="DU577" s="532"/>
      <c r="DV577" s="532"/>
      <c r="DW577" s="532"/>
      <c r="DX577" s="532"/>
      <c r="DY577" s="532"/>
      <c r="DZ577" s="532"/>
      <c r="EA577" s="532"/>
      <c r="EB577" s="532"/>
      <c r="EC577" s="532"/>
      <c r="ED577" s="532"/>
      <c r="EE577" s="532"/>
      <c r="EF577" s="532"/>
      <c r="EG577" s="532"/>
      <c r="EH577" s="532"/>
      <c r="EI577" s="532"/>
      <c r="EJ577" s="532"/>
      <c r="EK577" s="532"/>
      <c r="EL577" s="532"/>
      <c r="EM577" s="532"/>
      <c r="EN577" s="532"/>
      <c r="EO577" s="532"/>
      <c r="EP577" s="532"/>
      <c r="EQ577" s="532"/>
      <c r="ER577" s="532"/>
      <c r="ES577" s="532"/>
      <c r="ET577" s="532"/>
      <c r="EU577" s="532"/>
      <c r="EV577" s="532"/>
      <c r="EW577" s="532"/>
      <c r="EX577" s="532"/>
      <c r="EY577" s="532"/>
      <c r="EZ577" s="532"/>
      <c r="FA577" s="532"/>
      <c r="FB577" s="532"/>
      <c r="FC577" s="532"/>
      <c r="FD577" s="532"/>
      <c r="FE577" s="532"/>
      <c r="FF577" s="532"/>
      <c r="FG577" s="532"/>
      <c r="FH577" s="532"/>
      <c r="FI577" s="532"/>
      <c r="FJ577" s="532"/>
      <c r="FK577" s="532"/>
      <c r="FL577" s="532"/>
      <c r="FM577" s="532"/>
      <c r="FN577" s="532"/>
      <c r="FO577" s="532"/>
      <c r="FP577" s="532"/>
    </row>
    <row r="578" spans="1:172" ht="12" customHeight="1" x14ac:dyDescent="0.2">
      <c r="A578" s="533"/>
      <c r="B578" s="534"/>
      <c r="C578" s="534"/>
      <c r="D578" s="534"/>
      <c r="E578" s="534"/>
      <c r="F578" s="534"/>
      <c r="G578" s="534"/>
      <c r="H578" s="534"/>
      <c r="I578" s="534"/>
      <c r="J578" s="534"/>
      <c r="O578" s="535"/>
      <c r="P578" s="531"/>
      <c r="Q578" s="531"/>
      <c r="R578" s="531"/>
      <c r="S578" s="531"/>
      <c r="T578" s="531"/>
      <c r="U578" s="531"/>
      <c r="V578" s="531"/>
      <c r="W578" s="531"/>
      <c r="X578" s="531"/>
      <c r="Y578" s="531"/>
      <c r="Z578" s="531"/>
      <c r="AA578" s="531"/>
      <c r="AB578" s="531"/>
      <c r="AC578" s="531"/>
      <c r="AD578" s="531"/>
      <c r="AE578" s="531"/>
      <c r="AF578" s="531"/>
      <c r="AG578" s="531"/>
      <c r="AH578" s="532"/>
      <c r="AI578" s="532"/>
      <c r="AJ578" s="532"/>
      <c r="AK578" s="532"/>
      <c r="AL578" s="532"/>
      <c r="AM578" s="532"/>
      <c r="AN578" s="532"/>
      <c r="AO578" s="532"/>
      <c r="AP578" s="532"/>
      <c r="AQ578" s="532"/>
      <c r="AR578" s="532"/>
      <c r="AS578" s="532"/>
      <c r="AT578" s="532"/>
      <c r="AU578" s="532"/>
      <c r="AV578" s="532"/>
      <c r="AW578" s="532"/>
      <c r="AX578" s="532"/>
      <c r="AY578" s="532"/>
      <c r="AZ578" s="532"/>
      <c r="BA578" s="532"/>
      <c r="BB578" s="532"/>
      <c r="BC578" s="532"/>
      <c r="BD578" s="532"/>
      <c r="BE578" s="532"/>
      <c r="BF578" s="532"/>
      <c r="BG578" s="532"/>
      <c r="BH578" s="532"/>
      <c r="BI578" s="532"/>
      <c r="BJ578" s="532"/>
      <c r="BK578" s="532"/>
      <c r="BL578" s="532"/>
      <c r="BM578" s="532"/>
      <c r="BN578" s="532"/>
      <c r="BO578" s="532"/>
      <c r="BP578" s="532"/>
      <c r="BQ578" s="532"/>
      <c r="BR578" s="532"/>
      <c r="BS578" s="532"/>
      <c r="BT578" s="532"/>
      <c r="BU578" s="532"/>
      <c r="BV578" s="532"/>
      <c r="BW578" s="532"/>
      <c r="BX578" s="532"/>
      <c r="BY578" s="532"/>
      <c r="BZ578" s="532"/>
      <c r="CA578" s="532"/>
      <c r="CB578" s="532"/>
      <c r="CC578" s="532"/>
      <c r="CD578" s="532"/>
      <c r="CE578" s="532"/>
      <c r="CF578" s="532"/>
      <c r="CG578" s="532"/>
      <c r="CH578" s="532"/>
      <c r="CI578" s="532"/>
      <c r="CJ578" s="532"/>
      <c r="CK578" s="532"/>
      <c r="CL578" s="532"/>
      <c r="CM578" s="532"/>
      <c r="CN578" s="532"/>
      <c r="CO578" s="532"/>
      <c r="CP578" s="532"/>
      <c r="CQ578" s="532"/>
      <c r="CR578" s="532"/>
      <c r="CS578" s="532"/>
      <c r="CT578" s="532"/>
      <c r="CU578" s="532"/>
      <c r="CV578" s="532"/>
      <c r="CW578" s="532"/>
      <c r="CX578" s="532"/>
      <c r="CY578" s="532"/>
      <c r="CZ578" s="532"/>
      <c r="DA578" s="532"/>
      <c r="DB578" s="532"/>
      <c r="DC578" s="532"/>
      <c r="DD578" s="532"/>
      <c r="DE578" s="532"/>
      <c r="DF578" s="532"/>
      <c r="DG578" s="532"/>
      <c r="DH578" s="532"/>
      <c r="DI578" s="532"/>
      <c r="DJ578" s="532"/>
      <c r="DK578" s="532"/>
      <c r="DL578" s="532"/>
      <c r="DM578" s="532"/>
      <c r="DN578" s="532"/>
      <c r="DO578" s="532"/>
      <c r="DP578" s="532"/>
      <c r="DQ578" s="532"/>
      <c r="DR578" s="532"/>
      <c r="DS578" s="532"/>
      <c r="DT578" s="532"/>
      <c r="DU578" s="532"/>
      <c r="DV578" s="532"/>
      <c r="DW578" s="532"/>
      <c r="DX578" s="532"/>
      <c r="DY578" s="532"/>
      <c r="DZ578" s="532"/>
      <c r="EA578" s="532"/>
      <c r="EB578" s="532"/>
      <c r="EC578" s="532"/>
      <c r="ED578" s="532"/>
      <c r="EE578" s="532"/>
      <c r="EF578" s="532"/>
      <c r="EG578" s="532"/>
      <c r="EH578" s="532"/>
      <c r="EI578" s="532"/>
      <c r="EJ578" s="532"/>
      <c r="EK578" s="532"/>
      <c r="EL578" s="532"/>
      <c r="EM578" s="532"/>
      <c r="EN578" s="532"/>
      <c r="EO578" s="532"/>
      <c r="EP578" s="532"/>
      <c r="EQ578" s="532"/>
      <c r="ER578" s="532"/>
      <c r="ES578" s="532"/>
      <c r="ET578" s="532"/>
      <c r="EU578" s="532"/>
      <c r="EV578" s="532"/>
      <c r="EW578" s="532"/>
      <c r="EX578" s="532"/>
      <c r="EY578" s="532"/>
      <c r="EZ578" s="532"/>
      <c r="FA578" s="532"/>
      <c r="FB578" s="532"/>
      <c r="FC578" s="532"/>
      <c r="FD578" s="532"/>
      <c r="FE578" s="532"/>
      <c r="FF578" s="532"/>
      <c r="FG578" s="532"/>
      <c r="FH578" s="532"/>
      <c r="FI578" s="532"/>
      <c r="FJ578" s="532"/>
      <c r="FK578" s="532"/>
      <c r="FL578" s="532"/>
      <c r="FM578" s="532"/>
      <c r="FN578" s="532"/>
      <c r="FO578" s="532"/>
      <c r="FP578" s="532"/>
    </row>
    <row r="579" spans="1:172" ht="12" customHeight="1" x14ac:dyDescent="0.2">
      <c r="A579" s="533"/>
      <c r="B579" s="534"/>
      <c r="C579" s="534"/>
      <c r="D579" s="534"/>
      <c r="E579" s="534"/>
      <c r="F579" s="534"/>
      <c r="G579" s="534"/>
      <c r="H579" s="534"/>
      <c r="I579" s="534"/>
      <c r="J579" s="534"/>
      <c r="O579" s="535"/>
      <c r="P579" s="531"/>
      <c r="Q579" s="531"/>
      <c r="R579" s="531"/>
      <c r="S579" s="531"/>
      <c r="T579" s="531"/>
      <c r="U579" s="531"/>
      <c r="V579" s="531"/>
      <c r="W579" s="531"/>
      <c r="X579" s="531"/>
      <c r="Y579" s="531"/>
      <c r="Z579" s="531"/>
      <c r="AA579" s="531"/>
      <c r="AB579" s="531"/>
      <c r="AC579" s="531"/>
      <c r="AD579" s="531"/>
      <c r="AE579" s="531"/>
      <c r="AF579" s="531"/>
      <c r="AG579" s="531"/>
      <c r="AH579" s="532"/>
      <c r="AI579" s="532"/>
      <c r="AJ579" s="532"/>
      <c r="AK579" s="532"/>
      <c r="AL579" s="532"/>
      <c r="AM579" s="532"/>
      <c r="AN579" s="532"/>
      <c r="AO579" s="532"/>
      <c r="AP579" s="532"/>
      <c r="AQ579" s="532"/>
      <c r="AR579" s="532"/>
      <c r="AS579" s="532"/>
      <c r="AT579" s="532"/>
      <c r="AU579" s="532"/>
      <c r="AV579" s="532"/>
      <c r="AW579" s="532"/>
      <c r="AX579" s="532"/>
      <c r="AY579" s="532"/>
      <c r="AZ579" s="532"/>
      <c r="BA579" s="532"/>
      <c r="BB579" s="532"/>
      <c r="BC579" s="532"/>
      <c r="BD579" s="532"/>
      <c r="BE579" s="532"/>
      <c r="BF579" s="532"/>
      <c r="BG579" s="532"/>
      <c r="BH579" s="532"/>
      <c r="BI579" s="532"/>
      <c r="BJ579" s="532"/>
      <c r="BK579" s="532"/>
      <c r="BL579" s="532"/>
      <c r="BM579" s="532"/>
      <c r="BN579" s="532"/>
      <c r="BO579" s="532"/>
      <c r="BP579" s="532"/>
      <c r="BQ579" s="532"/>
      <c r="BR579" s="532"/>
      <c r="BS579" s="532"/>
      <c r="BT579" s="532"/>
      <c r="BU579" s="532"/>
      <c r="BV579" s="532"/>
      <c r="BW579" s="532"/>
      <c r="BX579" s="532"/>
      <c r="BY579" s="532"/>
      <c r="BZ579" s="532"/>
      <c r="CA579" s="532"/>
      <c r="CB579" s="532"/>
      <c r="CC579" s="532"/>
      <c r="CD579" s="532"/>
      <c r="CE579" s="532"/>
      <c r="CF579" s="532"/>
      <c r="CG579" s="532"/>
      <c r="CH579" s="532"/>
      <c r="CI579" s="532"/>
      <c r="CJ579" s="532"/>
      <c r="CK579" s="532"/>
      <c r="CL579" s="532"/>
      <c r="CM579" s="532"/>
      <c r="CN579" s="532"/>
      <c r="CO579" s="532"/>
      <c r="CP579" s="532"/>
      <c r="CQ579" s="532"/>
      <c r="CR579" s="532"/>
      <c r="CS579" s="532"/>
      <c r="CT579" s="532"/>
      <c r="CU579" s="532"/>
      <c r="CV579" s="532"/>
      <c r="CW579" s="532"/>
      <c r="CX579" s="532"/>
      <c r="CY579" s="532"/>
      <c r="CZ579" s="532"/>
      <c r="DA579" s="532"/>
      <c r="DB579" s="532"/>
      <c r="DC579" s="532"/>
      <c r="DD579" s="532"/>
      <c r="DE579" s="532"/>
      <c r="DF579" s="532"/>
      <c r="DG579" s="532"/>
      <c r="DH579" s="532"/>
      <c r="DI579" s="532"/>
      <c r="DJ579" s="532"/>
      <c r="DK579" s="532"/>
      <c r="DL579" s="532"/>
      <c r="DM579" s="532"/>
      <c r="DN579" s="532"/>
      <c r="DO579" s="532"/>
      <c r="DP579" s="532"/>
      <c r="DQ579" s="532"/>
      <c r="DR579" s="532"/>
      <c r="DS579" s="532"/>
      <c r="DT579" s="532"/>
      <c r="DU579" s="532"/>
      <c r="DV579" s="532"/>
      <c r="DW579" s="532"/>
      <c r="DX579" s="532"/>
      <c r="DY579" s="532"/>
      <c r="DZ579" s="532"/>
      <c r="EA579" s="532"/>
      <c r="EB579" s="532"/>
      <c r="EC579" s="532"/>
      <c r="ED579" s="532"/>
      <c r="EE579" s="532"/>
      <c r="EF579" s="532"/>
      <c r="EG579" s="532"/>
      <c r="EH579" s="532"/>
      <c r="EI579" s="532"/>
      <c r="EJ579" s="532"/>
      <c r="EK579" s="532"/>
      <c r="EL579" s="532"/>
      <c r="EM579" s="532"/>
      <c r="EN579" s="532"/>
      <c r="EO579" s="532"/>
      <c r="EP579" s="532"/>
      <c r="EQ579" s="532"/>
      <c r="ER579" s="532"/>
      <c r="ES579" s="532"/>
      <c r="ET579" s="532"/>
      <c r="EU579" s="532"/>
      <c r="EV579" s="532"/>
      <c r="EW579" s="532"/>
      <c r="EX579" s="532"/>
      <c r="EY579" s="532"/>
      <c r="EZ579" s="532"/>
      <c r="FA579" s="532"/>
      <c r="FB579" s="532"/>
      <c r="FC579" s="532"/>
      <c r="FD579" s="532"/>
      <c r="FE579" s="532"/>
      <c r="FF579" s="532"/>
      <c r="FG579" s="532"/>
      <c r="FH579" s="532"/>
      <c r="FI579" s="532"/>
      <c r="FJ579" s="532"/>
      <c r="FK579" s="532"/>
      <c r="FL579" s="532"/>
      <c r="FM579" s="532"/>
      <c r="FN579" s="532"/>
      <c r="FO579" s="532"/>
      <c r="FP579" s="532"/>
    </row>
    <row r="580" spans="1:172" ht="12" customHeight="1" x14ac:dyDescent="0.2">
      <c r="A580" s="533"/>
      <c r="B580" s="534"/>
      <c r="C580" s="534"/>
      <c r="D580" s="534"/>
      <c r="E580" s="534"/>
      <c r="F580" s="534"/>
      <c r="G580" s="534"/>
      <c r="H580" s="534"/>
      <c r="I580" s="534"/>
      <c r="J580" s="534"/>
      <c r="O580" s="535"/>
      <c r="P580" s="531"/>
      <c r="Q580" s="531"/>
      <c r="R580" s="531"/>
      <c r="S580" s="531"/>
      <c r="T580" s="531"/>
      <c r="U580" s="531"/>
      <c r="V580" s="531"/>
      <c r="W580" s="531"/>
      <c r="X580" s="531"/>
      <c r="Y580" s="531"/>
      <c r="Z580" s="531"/>
      <c r="AA580" s="531"/>
      <c r="AB580" s="531"/>
      <c r="AC580" s="531"/>
      <c r="AD580" s="531"/>
      <c r="AE580" s="531"/>
      <c r="AF580" s="531"/>
      <c r="AG580" s="531"/>
      <c r="AH580" s="532"/>
      <c r="AI580" s="532"/>
      <c r="AJ580" s="532"/>
      <c r="AK580" s="532"/>
      <c r="AL580" s="532"/>
      <c r="AM580" s="532"/>
      <c r="AN580" s="532"/>
      <c r="AO580" s="532"/>
      <c r="AP580" s="532"/>
      <c r="AQ580" s="532"/>
      <c r="AR580" s="532"/>
      <c r="AS580" s="532"/>
      <c r="AT580" s="532"/>
      <c r="AU580" s="532"/>
      <c r="AV580" s="532"/>
      <c r="AW580" s="532"/>
      <c r="AX580" s="532"/>
      <c r="AY580" s="532"/>
      <c r="AZ580" s="532"/>
      <c r="BA580" s="532"/>
      <c r="BB580" s="532"/>
      <c r="BC580" s="532"/>
      <c r="BD580" s="532"/>
      <c r="BE580" s="532"/>
      <c r="BF580" s="532"/>
      <c r="BG580" s="532"/>
      <c r="BH580" s="532"/>
      <c r="BI580" s="532"/>
      <c r="BJ580" s="532"/>
      <c r="BK580" s="532"/>
      <c r="BL580" s="532"/>
      <c r="BM580" s="532"/>
      <c r="BN580" s="532"/>
      <c r="BO580" s="532"/>
      <c r="BP580" s="532"/>
      <c r="BQ580" s="532"/>
      <c r="BR580" s="532"/>
      <c r="BS580" s="532"/>
      <c r="BT580" s="532"/>
      <c r="BU580" s="532"/>
      <c r="BV580" s="532"/>
      <c r="BW580" s="532"/>
      <c r="BX580" s="532"/>
      <c r="BY580" s="532"/>
      <c r="BZ580" s="532"/>
      <c r="CA580" s="532"/>
      <c r="CB580" s="532"/>
      <c r="CC580" s="532"/>
      <c r="CD580" s="532"/>
      <c r="CE580" s="532"/>
      <c r="CF580" s="532"/>
      <c r="CG580" s="532"/>
      <c r="CH580" s="532"/>
      <c r="CI580" s="532"/>
      <c r="CJ580" s="532"/>
      <c r="CK580" s="532"/>
      <c r="CL580" s="532"/>
      <c r="CM580" s="532"/>
      <c r="CN580" s="532"/>
      <c r="CO580" s="532"/>
      <c r="CP580" s="532"/>
      <c r="CQ580" s="532"/>
      <c r="CR580" s="532"/>
      <c r="CS580" s="532"/>
      <c r="CT580" s="532"/>
      <c r="CU580" s="532"/>
      <c r="CV580" s="532"/>
      <c r="CW580" s="532"/>
      <c r="CX580" s="532"/>
      <c r="CY580" s="532"/>
      <c r="CZ580" s="532"/>
      <c r="DA580" s="532"/>
      <c r="DB580" s="532"/>
      <c r="DC580" s="532"/>
      <c r="DD580" s="532"/>
      <c r="DE580" s="532"/>
      <c r="DF580" s="532"/>
      <c r="DG580" s="532"/>
      <c r="DH580" s="532"/>
      <c r="DI580" s="532"/>
      <c r="DJ580" s="532"/>
      <c r="DK580" s="532"/>
      <c r="DL580" s="532"/>
      <c r="DM580" s="532"/>
      <c r="DN580" s="532"/>
      <c r="DO580" s="532"/>
      <c r="DP580" s="532"/>
      <c r="DQ580" s="532"/>
      <c r="DR580" s="532"/>
      <c r="DS580" s="532"/>
      <c r="DT580" s="532"/>
      <c r="DU580" s="532"/>
      <c r="DV580" s="532"/>
      <c r="DW580" s="532"/>
      <c r="DX580" s="532"/>
      <c r="DY580" s="532"/>
      <c r="DZ580" s="532"/>
      <c r="EA580" s="532"/>
      <c r="EB580" s="532"/>
      <c r="EC580" s="532"/>
      <c r="ED580" s="532"/>
      <c r="EE580" s="532"/>
      <c r="EF580" s="532"/>
      <c r="EG580" s="532"/>
      <c r="EH580" s="532"/>
      <c r="EI580" s="532"/>
      <c r="EJ580" s="532"/>
      <c r="EK580" s="532"/>
      <c r="EL580" s="532"/>
      <c r="EM580" s="532"/>
      <c r="EN580" s="532"/>
      <c r="EO580" s="532"/>
      <c r="EP580" s="532"/>
      <c r="EQ580" s="532"/>
      <c r="ER580" s="532"/>
      <c r="ES580" s="532"/>
      <c r="ET580" s="532"/>
      <c r="EU580" s="532"/>
      <c r="EV580" s="532"/>
      <c r="EW580" s="532"/>
      <c r="EX580" s="532"/>
      <c r="EY580" s="532"/>
      <c r="EZ580" s="532"/>
      <c r="FA580" s="532"/>
      <c r="FB580" s="532"/>
      <c r="FC580" s="532"/>
      <c r="FD580" s="532"/>
      <c r="FE580" s="532"/>
      <c r="FF580" s="532"/>
      <c r="FG580" s="532"/>
      <c r="FH580" s="532"/>
      <c r="FI580" s="532"/>
      <c r="FJ580" s="532"/>
      <c r="FK580" s="532"/>
      <c r="FL580" s="532"/>
      <c r="FM580" s="532"/>
      <c r="FN580" s="532"/>
      <c r="FO580" s="532"/>
      <c r="FP580" s="532"/>
    </row>
    <row r="581" spans="1:172" ht="12" customHeight="1" x14ac:dyDescent="0.2">
      <c r="A581" s="533"/>
      <c r="B581" s="534"/>
      <c r="C581" s="534"/>
      <c r="D581" s="534"/>
      <c r="E581" s="534"/>
      <c r="F581" s="534"/>
      <c r="G581" s="534"/>
      <c r="H581" s="534"/>
      <c r="I581" s="534"/>
      <c r="J581" s="534"/>
      <c r="O581" s="535"/>
      <c r="P581" s="531"/>
      <c r="Q581" s="531"/>
      <c r="R581" s="531"/>
      <c r="S581" s="531"/>
      <c r="T581" s="531"/>
      <c r="U581" s="531"/>
      <c r="V581" s="531"/>
      <c r="W581" s="531"/>
      <c r="X581" s="531"/>
      <c r="Y581" s="531"/>
      <c r="Z581" s="531"/>
      <c r="AA581" s="531"/>
      <c r="AB581" s="531"/>
      <c r="AC581" s="531"/>
      <c r="AD581" s="531"/>
      <c r="AE581" s="531"/>
      <c r="AF581" s="531"/>
      <c r="AG581" s="531"/>
      <c r="AH581" s="532"/>
      <c r="AI581" s="532"/>
      <c r="AJ581" s="532"/>
      <c r="AK581" s="532"/>
      <c r="AL581" s="532"/>
      <c r="AM581" s="532"/>
      <c r="AN581" s="532"/>
      <c r="AO581" s="532"/>
      <c r="AP581" s="532"/>
      <c r="AQ581" s="532"/>
      <c r="AR581" s="532"/>
      <c r="AS581" s="532"/>
      <c r="AT581" s="532"/>
      <c r="AU581" s="532"/>
      <c r="AV581" s="532"/>
      <c r="AW581" s="532"/>
      <c r="AX581" s="532"/>
      <c r="AY581" s="532"/>
      <c r="AZ581" s="532"/>
      <c r="BA581" s="532"/>
      <c r="BB581" s="532"/>
      <c r="BC581" s="532"/>
      <c r="BD581" s="532"/>
      <c r="BE581" s="532"/>
      <c r="BF581" s="532"/>
      <c r="BG581" s="532"/>
      <c r="BH581" s="532"/>
      <c r="BI581" s="532"/>
      <c r="BJ581" s="532"/>
      <c r="BK581" s="532"/>
      <c r="BL581" s="532"/>
      <c r="BM581" s="532"/>
      <c r="BN581" s="532"/>
      <c r="BO581" s="532"/>
      <c r="BP581" s="532"/>
      <c r="BQ581" s="532"/>
      <c r="BR581" s="532"/>
      <c r="BS581" s="532"/>
      <c r="BT581" s="532"/>
      <c r="BU581" s="532"/>
      <c r="BV581" s="532"/>
      <c r="BW581" s="532"/>
      <c r="BX581" s="532"/>
      <c r="BY581" s="532"/>
      <c r="BZ581" s="532"/>
      <c r="CA581" s="532"/>
      <c r="CB581" s="532"/>
      <c r="CC581" s="532"/>
      <c r="CD581" s="532"/>
      <c r="CE581" s="532"/>
      <c r="CF581" s="532"/>
      <c r="CG581" s="532"/>
      <c r="CH581" s="532"/>
      <c r="CI581" s="532"/>
      <c r="CJ581" s="532"/>
      <c r="CK581" s="532"/>
      <c r="CL581" s="532"/>
      <c r="CM581" s="532"/>
      <c r="CN581" s="532"/>
      <c r="CO581" s="532"/>
      <c r="CP581" s="532"/>
      <c r="CQ581" s="532"/>
      <c r="CR581" s="532"/>
      <c r="CS581" s="532"/>
      <c r="CT581" s="532"/>
      <c r="CU581" s="532"/>
      <c r="CV581" s="532"/>
      <c r="CW581" s="532"/>
      <c r="CX581" s="532"/>
      <c r="CY581" s="532"/>
      <c r="CZ581" s="532"/>
      <c r="DA581" s="532"/>
      <c r="DB581" s="532"/>
      <c r="DC581" s="532"/>
      <c r="DD581" s="532"/>
      <c r="DE581" s="532"/>
      <c r="DF581" s="532"/>
      <c r="DG581" s="532"/>
      <c r="DH581" s="532"/>
      <c r="DI581" s="532"/>
      <c r="DJ581" s="532"/>
      <c r="DK581" s="532"/>
      <c r="DL581" s="532"/>
      <c r="DM581" s="532"/>
      <c r="DN581" s="532"/>
      <c r="DO581" s="532"/>
      <c r="DP581" s="532"/>
      <c r="DQ581" s="532"/>
      <c r="DR581" s="532"/>
      <c r="DS581" s="532"/>
      <c r="DT581" s="532"/>
      <c r="DU581" s="532"/>
      <c r="DV581" s="532"/>
      <c r="DW581" s="532"/>
      <c r="DX581" s="532"/>
      <c r="DY581" s="532"/>
      <c r="DZ581" s="532"/>
      <c r="EA581" s="532"/>
      <c r="EB581" s="532"/>
      <c r="EC581" s="532"/>
      <c r="ED581" s="532"/>
      <c r="EE581" s="532"/>
      <c r="EF581" s="532"/>
      <c r="EG581" s="532"/>
      <c r="EH581" s="532"/>
      <c r="EI581" s="532"/>
      <c r="EJ581" s="532"/>
      <c r="EK581" s="532"/>
      <c r="EL581" s="532"/>
      <c r="EM581" s="532"/>
      <c r="EN581" s="532"/>
      <c r="EO581" s="532"/>
      <c r="EP581" s="532"/>
      <c r="EQ581" s="532"/>
      <c r="ER581" s="532"/>
      <c r="ES581" s="532"/>
      <c r="ET581" s="532"/>
      <c r="EU581" s="532"/>
      <c r="EV581" s="532"/>
      <c r="EW581" s="532"/>
      <c r="EX581" s="532"/>
      <c r="EY581" s="532"/>
      <c r="EZ581" s="532"/>
      <c r="FA581" s="532"/>
      <c r="FB581" s="532"/>
      <c r="FC581" s="532"/>
      <c r="FD581" s="532"/>
      <c r="FE581" s="532"/>
      <c r="FF581" s="532"/>
      <c r="FG581" s="532"/>
      <c r="FH581" s="532"/>
      <c r="FI581" s="532"/>
      <c r="FJ581" s="532"/>
      <c r="FK581" s="532"/>
      <c r="FL581" s="532"/>
      <c r="FM581" s="532"/>
      <c r="FN581" s="532"/>
      <c r="FO581" s="532"/>
      <c r="FP581" s="532"/>
    </row>
    <row r="582" spans="1:172" x14ac:dyDescent="0.2">
      <c r="A582" s="533"/>
      <c r="B582" s="534"/>
      <c r="C582" s="534"/>
      <c r="D582" s="534"/>
      <c r="E582" s="534"/>
      <c r="F582" s="534"/>
      <c r="G582" s="534"/>
      <c r="H582" s="534"/>
      <c r="I582" s="534"/>
      <c r="J582" s="534"/>
      <c r="O582" s="535"/>
      <c r="P582" s="531"/>
      <c r="Q582" s="531"/>
      <c r="R582" s="531"/>
      <c r="S582" s="531"/>
      <c r="T582" s="531"/>
      <c r="U582" s="531"/>
      <c r="V582" s="531"/>
      <c r="W582" s="531"/>
      <c r="X582" s="531"/>
      <c r="Y582" s="531"/>
      <c r="Z582" s="531"/>
      <c r="AA582" s="531"/>
      <c r="AB582" s="531"/>
      <c r="AC582" s="531"/>
      <c r="AD582" s="531"/>
      <c r="AE582" s="531"/>
      <c r="AF582" s="531"/>
      <c r="AG582" s="531"/>
      <c r="AH582" s="532"/>
      <c r="AI582" s="532"/>
      <c r="AJ582" s="532"/>
      <c r="AK582" s="532"/>
      <c r="AL582" s="532"/>
      <c r="AM582" s="532"/>
      <c r="AN582" s="532"/>
      <c r="AO582" s="532"/>
      <c r="AP582" s="532"/>
      <c r="AQ582" s="532"/>
      <c r="AR582" s="532"/>
      <c r="AS582" s="532"/>
      <c r="AT582" s="532"/>
      <c r="AU582" s="532"/>
      <c r="AV582" s="532"/>
      <c r="AW582" s="532"/>
      <c r="AX582" s="532"/>
      <c r="AY582" s="532"/>
      <c r="AZ582" s="532"/>
      <c r="BA582" s="532"/>
      <c r="BB582" s="532"/>
      <c r="BC582" s="532"/>
      <c r="BD582" s="532"/>
      <c r="BE582" s="532"/>
      <c r="BF582" s="532"/>
      <c r="BG582" s="532"/>
      <c r="BH582" s="532"/>
      <c r="BI582" s="532"/>
      <c r="BJ582" s="532"/>
      <c r="BK582" s="532"/>
      <c r="BL582" s="532"/>
      <c r="BM582" s="532"/>
      <c r="BN582" s="532"/>
      <c r="BO582" s="532"/>
      <c r="BP582" s="532"/>
      <c r="BQ582" s="532"/>
      <c r="BR582" s="532"/>
      <c r="BS582" s="532"/>
      <c r="BT582" s="532"/>
      <c r="BU582" s="532"/>
      <c r="BV582" s="532"/>
      <c r="BW582" s="532"/>
      <c r="BX582" s="532"/>
      <c r="BY582" s="532"/>
      <c r="BZ582" s="532"/>
      <c r="CA582" s="532"/>
      <c r="CB582" s="532"/>
      <c r="CC582" s="532"/>
      <c r="CD582" s="532"/>
      <c r="CE582" s="532"/>
      <c r="CF582" s="532"/>
      <c r="CG582" s="532"/>
      <c r="CH582" s="532"/>
      <c r="CI582" s="532"/>
      <c r="CJ582" s="532"/>
      <c r="CK582" s="532"/>
      <c r="CL582" s="532"/>
      <c r="CM582" s="532"/>
      <c r="CN582" s="532"/>
      <c r="CO582" s="532"/>
      <c r="CP582" s="532"/>
      <c r="CQ582" s="532"/>
      <c r="CR582" s="532"/>
      <c r="CS582" s="532"/>
      <c r="CT582" s="532"/>
      <c r="CU582" s="532"/>
      <c r="CV582" s="532"/>
      <c r="CW582" s="532"/>
      <c r="CX582" s="532"/>
      <c r="CY582" s="532"/>
      <c r="CZ582" s="532"/>
      <c r="DA582" s="532"/>
      <c r="DB582" s="532"/>
      <c r="DC582" s="532"/>
      <c r="DD582" s="532"/>
      <c r="DE582" s="532"/>
      <c r="DF582" s="532"/>
      <c r="DG582" s="532"/>
      <c r="DH582" s="532"/>
      <c r="DI582" s="532"/>
      <c r="DJ582" s="532"/>
      <c r="DK582" s="532"/>
      <c r="DL582" s="532"/>
      <c r="DM582" s="532"/>
      <c r="DN582" s="532"/>
      <c r="DO582" s="532"/>
      <c r="DP582" s="532"/>
      <c r="DQ582" s="532"/>
      <c r="DR582" s="532"/>
      <c r="DS582" s="532"/>
      <c r="DT582" s="532"/>
      <c r="DU582" s="532"/>
      <c r="DV582" s="532"/>
      <c r="DW582" s="532"/>
      <c r="DX582" s="532"/>
      <c r="DY582" s="532"/>
      <c r="DZ582" s="532"/>
      <c r="EA582" s="532"/>
      <c r="EB582" s="532"/>
      <c r="EC582" s="532"/>
      <c r="ED582" s="532"/>
      <c r="EE582" s="532"/>
      <c r="EF582" s="532"/>
      <c r="EG582" s="532"/>
      <c r="EH582" s="532"/>
      <c r="EI582" s="532"/>
      <c r="EJ582" s="532"/>
      <c r="EK582" s="532"/>
      <c r="EL582" s="532"/>
      <c r="EM582" s="532"/>
      <c r="EN582" s="532"/>
      <c r="EO582" s="532"/>
      <c r="EP582" s="532"/>
      <c r="EQ582" s="532"/>
      <c r="ER582" s="532"/>
      <c r="ES582" s="532"/>
      <c r="ET582" s="532"/>
      <c r="EU582" s="532"/>
      <c r="EV582" s="532"/>
      <c r="EW582" s="532"/>
      <c r="EX582" s="532"/>
      <c r="EY582" s="532"/>
      <c r="EZ582" s="532"/>
      <c r="FA582" s="532"/>
      <c r="FB582" s="532"/>
      <c r="FC582" s="532"/>
      <c r="FD582" s="532"/>
      <c r="FE582" s="532"/>
      <c r="FF582" s="532"/>
      <c r="FG582" s="532"/>
      <c r="FH582" s="532"/>
      <c r="FI582" s="532"/>
      <c r="FJ582" s="532"/>
      <c r="FK582" s="532"/>
      <c r="FL582" s="532"/>
      <c r="FM582" s="532"/>
      <c r="FN582" s="532"/>
      <c r="FO582" s="532"/>
      <c r="FP582" s="532"/>
    </row>
    <row r="583" spans="1:172" x14ac:dyDescent="0.2">
      <c r="A583" s="533"/>
      <c r="B583" s="533"/>
    </row>
    <row r="584" spans="1:172" x14ac:dyDescent="0.2">
      <c r="A584" s="533"/>
      <c r="B584" s="533"/>
    </row>
  </sheetData>
  <mergeCells count="3">
    <mergeCell ref="A1:O1"/>
    <mergeCell ref="A2:P2"/>
    <mergeCell ref="A3:P3"/>
  </mergeCells>
  <pageMargins left="0.45" right="0.161" top="0.2" bottom="0.25" header="0.5" footer="0.5"/>
  <pageSetup scale="68" orientation="landscape" r:id="rId1"/>
  <headerFooter alignWithMargins="0">
    <oddHeader>&amp;R&amp;P</oddHeader>
  </headerFooter>
  <rowBreaks count="6" manualBreakCount="6">
    <brk id="134" max="18" man="1"/>
    <brk id="194" max="18" man="1"/>
    <brk id="256" max="18" man="1"/>
    <brk id="314" max="18" man="1"/>
    <brk id="376" max="18" man="1"/>
    <brk id="434" max="18"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77"/>
  <sheetViews>
    <sheetView zoomScale="80" zoomScaleNormal="80" workbookViewId="0">
      <pane xSplit="2" ySplit="3" topLeftCell="E4" activePane="bottomRight" state="frozen"/>
      <selection pane="topRight" activeCell="C1" sqref="C1"/>
      <selection pane="bottomLeft" activeCell="A4" sqref="A4"/>
      <selection pane="bottomRight" activeCell="A48" sqref="A48"/>
    </sheetView>
  </sheetViews>
  <sheetFormatPr defaultRowHeight="12.75" x14ac:dyDescent="0.2"/>
  <cols>
    <col min="1" max="1" width="10.28515625" style="213" bestFit="1" customWidth="1"/>
    <col min="2" max="2" width="20.28515625" style="214" customWidth="1"/>
    <col min="3" max="3" width="15.140625" style="215" bestFit="1" customWidth="1"/>
    <col min="4" max="4" width="9" style="215" customWidth="1"/>
    <col min="5" max="5" width="12.85546875" style="237" bestFit="1" customWidth="1"/>
    <col min="6" max="6" width="13" style="218" customWidth="1"/>
    <col min="7" max="8" width="12.85546875" style="218" bestFit="1" customWidth="1"/>
    <col min="9" max="9" width="13.140625" style="218" customWidth="1"/>
    <col min="10" max="12" width="12.85546875" style="218" bestFit="1" customWidth="1"/>
    <col min="13" max="13" width="13.140625" style="218" customWidth="1"/>
    <col min="14" max="16" width="12.85546875" style="218" bestFit="1" customWidth="1"/>
    <col min="17" max="17" width="14" style="221" bestFit="1" customWidth="1"/>
    <col min="18" max="18" width="12.42578125" style="221" customWidth="1"/>
    <col min="19" max="19" width="4.140625" style="218" customWidth="1"/>
    <col min="20" max="127" width="9.140625" style="151"/>
    <col min="128" max="128" width="8.28515625" style="151" bestFit="1" customWidth="1"/>
    <col min="129" max="129" width="26" style="151" bestFit="1" customWidth="1"/>
    <col min="130" max="130" width="12" style="151" customWidth="1"/>
    <col min="131" max="131" width="8.140625" style="151" customWidth="1"/>
    <col min="132" max="132" width="11.140625" style="151" customWidth="1"/>
    <col min="133" max="133" width="8.28515625" style="151" customWidth="1"/>
    <col min="134" max="134" width="9.85546875" style="151" customWidth="1"/>
    <col min="135" max="135" width="8" style="151" customWidth="1"/>
    <col min="136" max="136" width="9.85546875" style="151" customWidth="1"/>
    <col min="137" max="137" width="6" style="151" customWidth="1"/>
    <col min="138" max="138" width="11.140625" style="151" customWidth="1"/>
    <col min="139" max="139" width="6.85546875" style="151" customWidth="1"/>
    <col min="140" max="140" width="11.7109375" style="151" customWidth="1"/>
    <col min="141" max="141" width="7.140625" style="151" customWidth="1"/>
    <col min="142" max="142" width="9" style="151" customWidth="1"/>
    <col min="143" max="143" width="7.140625" style="151" customWidth="1"/>
    <col min="144" max="144" width="12" style="151" customWidth="1"/>
    <col min="145" max="145" width="12.7109375" style="151" customWidth="1"/>
    <col min="146" max="157" width="11.140625" style="151" bestFit="1" customWidth="1"/>
    <col min="158" max="158" width="12" style="151" bestFit="1" customWidth="1"/>
    <col min="159" max="159" width="10" style="151" bestFit="1" customWidth="1"/>
    <col min="160" max="178" width="12.7109375" style="151" customWidth="1"/>
    <col min="179" max="189" width="9.85546875" style="151" bestFit="1" customWidth="1"/>
    <col min="190" max="190" width="11.140625" style="151" bestFit="1" customWidth="1"/>
    <col min="191" max="205" width="9.140625" style="151"/>
    <col min="206" max="206" width="9.85546875" style="151" bestFit="1" customWidth="1"/>
    <col min="207" max="221" width="9.140625" style="151"/>
    <col min="222" max="222" width="9.85546875" style="151" bestFit="1" customWidth="1"/>
    <col min="223" max="237" width="9.140625" style="151"/>
    <col min="238" max="238" width="9.85546875" style="151" bestFit="1" customWidth="1"/>
    <col min="239" max="253" width="9.140625" style="151"/>
    <col min="254" max="254" width="9.85546875" style="151" bestFit="1" customWidth="1"/>
    <col min="255" max="256" width="9.140625" style="151"/>
    <col min="257" max="257" width="11" style="151" bestFit="1" customWidth="1"/>
    <col min="258" max="262" width="11.140625" style="151" bestFit="1" customWidth="1"/>
    <col min="263" max="263" width="9.85546875" style="151" bestFit="1" customWidth="1"/>
    <col min="264" max="268" width="11.140625" style="151" bestFit="1" customWidth="1"/>
    <col min="269" max="269" width="12" style="151" bestFit="1" customWidth="1"/>
    <col min="270" max="270" width="11" style="151" bestFit="1" customWidth="1"/>
    <col min="271" max="383" width="9.140625" style="151"/>
    <col min="384" max="384" width="8.28515625" style="151" bestFit="1" customWidth="1"/>
    <col min="385" max="385" width="26" style="151" bestFit="1" customWidth="1"/>
    <col min="386" max="386" width="12" style="151" customWidth="1"/>
    <col min="387" max="387" width="8.140625" style="151" customWidth="1"/>
    <col min="388" max="388" width="11.140625" style="151" customWidth="1"/>
    <col min="389" max="389" width="8.28515625" style="151" customWidth="1"/>
    <col min="390" max="390" width="9.85546875" style="151" customWidth="1"/>
    <col min="391" max="391" width="8" style="151" customWidth="1"/>
    <col min="392" max="392" width="9.85546875" style="151" customWidth="1"/>
    <col min="393" max="393" width="6" style="151" customWidth="1"/>
    <col min="394" max="394" width="11.140625" style="151" customWidth="1"/>
    <col min="395" max="395" width="6.85546875" style="151" customWidth="1"/>
    <col min="396" max="396" width="11.7109375" style="151" customWidth="1"/>
    <col min="397" max="397" width="7.140625" style="151" customWidth="1"/>
    <col min="398" max="398" width="9" style="151" customWidth="1"/>
    <col min="399" max="399" width="7.140625" style="151" customWidth="1"/>
    <col min="400" max="400" width="12" style="151" customWidth="1"/>
    <col min="401" max="401" width="12.7109375" style="151" customWidth="1"/>
    <col min="402" max="413" width="11.140625" style="151" bestFit="1" customWidth="1"/>
    <col min="414" max="414" width="12" style="151" bestFit="1" customWidth="1"/>
    <col min="415" max="415" width="10" style="151" bestFit="1" customWidth="1"/>
    <col min="416" max="434" width="12.7109375" style="151" customWidth="1"/>
    <col min="435" max="445" width="9.85546875" style="151" bestFit="1" customWidth="1"/>
    <col min="446" max="446" width="11.140625" style="151" bestFit="1" customWidth="1"/>
    <col min="447" max="461" width="9.140625" style="151"/>
    <col min="462" max="462" width="9.85546875" style="151" bestFit="1" customWidth="1"/>
    <col min="463" max="477" width="9.140625" style="151"/>
    <col min="478" max="478" width="9.85546875" style="151" bestFit="1" customWidth="1"/>
    <col min="479" max="493" width="9.140625" style="151"/>
    <col min="494" max="494" width="9.85546875" style="151" bestFit="1" customWidth="1"/>
    <col min="495" max="509" width="9.140625" style="151"/>
    <col min="510" max="510" width="9.85546875" style="151" bestFit="1" customWidth="1"/>
    <col min="511" max="512" width="9.140625" style="151"/>
    <col min="513" max="513" width="11" style="151" bestFit="1" customWidth="1"/>
    <col min="514" max="518" width="11.140625" style="151" bestFit="1" customWidth="1"/>
    <col min="519" max="519" width="9.85546875" style="151" bestFit="1" customWidth="1"/>
    <col min="520" max="524" width="11.140625" style="151" bestFit="1" customWidth="1"/>
    <col min="525" max="525" width="12" style="151" bestFit="1" customWidth="1"/>
    <col min="526" max="526" width="11" style="151" bestFit="1" customWidth="1"/>
    <col min="527" max="639" width="9.140625" style="151"/>
    <col min="640" max="640" width="8.28515625" style="151" bestFit="1" customWidth="1"/>
    <col min="641" max="641" width="26" style="151" bestFit="1" customWidth="1"/>
    <col min="642" max="642" width="12" style="151" customWidth="1"/>
    <col min="643" max="643" width="8.140625" style="151" customWidth="1"/>
    <col min="644" max="644" width="11.140625" style="151" customWidth="1"/>
    <col min="645" max="645" width="8.28515625" style="151" customWidth="1"/>
    <col min="646" max="646" width="9.85546875" style="151" customWidth="1"/>
    <col min="647" max="647" width="8" style="151" customWidth="1"/>
    <col min="648" max="648" width="9.85546875" style="151" customWidth="1"/>
    <col min="649" max="649" width="6" style="151" customWidth="1"/>
    <col min="650" max="650" width="11.140625" style="151" customWidth="1"/>
    <col min="651" max="651" width="6.85546875" style="151" customWidth="1"/>
    <col min="652" max="652" width="11.7109375" style="151" customWidth="1"/>
    <col min="653" max="653" width="7.140625" style="151" customWidth="1"/>
    <col min="654" max="654" width="9" style="151" customWidth="1"/>
    <col min="655" max="655" width="7.140625" style="151" customWidth="1"/>
    <col min="656" max="656" width="12" style="151" customWidth="1"/>
    <col min="657" max="657" width="12.7109375" style="151" customWidth="1"/>
    <col min="658" max="669" width="11.140625" style="151" bestFit="1" customWidth="1"/>
    <col min="670" max="670" width="12" style="151" bestFit="1" customWidth="1"/>
    <col min="671" max="671" width="10" style="151" bestFit="1" customWidth="1"/>
    <col min="672" max="690" width="12.7109375" style="151" customWidth="1"/>
    <col min="691" max="701" width="9.85546875" style="151" bestFit="1" customWidth="1"/>
    <col min="702" max="702" width="11.140625" style="151" bestFit="1" customWidth="1"/>
    <col min="703" max="717" width="9.140625" style="151"/>
    <col min="718" max="718" width="9.85546875" style="151" bestFit="1" customWidth="1"/>
    <col min="719" max="733" width="9.140625" style="151"/>
    <col min="734" max="734" width="9.85546875" style="151" bestFit="1" customWidth="1"/>
    <col min="735" max="749" width="9.140625" style="151"/>
    <col min="750" max="750" width="9.85546875" style="151" bestFit="1" customWidth="1"/>
    <col min="751" max="765" width="9.140625" style="151"/>
    <col min="766" max="766" width="9.85546875" style="151" bestFit="1" customWidth="1"/>
    <col min="767" max="768" width="9.140625" style="151"/>
    <col min="769" max="769" width="11" style="151" bestFit="1" customWidth="1"/>
    <col min="770" max="774" width="11.140625" style="151" bestFit="1" customWidth="1"/>
    <col min="775" max="775" width="9.85546875" style="151" bestFit="1" customWidth="1"/>
    <col min="776" max="780" width="11.140625" style="151" bestFit="1" customWidth="1"/>
    <col min="781" max="781" width="12" style="151" bestFit="1" customWidth="1"/>
    <col min="782" max="782" width="11" style="151" bestFit="1" customWidth="1"/>
    <col min="783" max="895" width="9.140625" style="151"/>
    <col min="896" max="896" width="8.28515625" style="151" bestFit="1" customWidth="1"/>
    <col min="897" max="897" width="26" style="151" bestFit="1" customWidth="1"/>
    <col min="898" max="898" width="12" style="151" customWidth="1"/>
    <col min="899" max="899" width="8.140625" style="151" customWidth="1"/>
    <col min="900" max="900" width="11.140625" style="151" customWidth="1"/>
    <col min="901" max="901" width="8.28515625" style="151" customWidth="1"/>
    <col min="902" max="902" width="9.85546875" style="151" customWidth="1"/>
    <col min="903" max="903" width="8" style="151" customWidth="1"/>
    <col min="904" max="904" width="9.85546875" style="151" customWidth="1"/>
    <col min="905" max="905" width="6" style="151" customWidth="1"/>
    <col min="906" max="906" width="11.140625" style="151" customWidth="1"/>
    <col min="907" max="907" width="6.85546875" style="151" customWidth="1"/>
    <col min="908" max="908" width="11.7109375" style="151" customWidth="1"/>
    <col min="909" max="909" width="7.140625" style="151" customWidth="1"/>
    <col min="910" max="910" width="9" style="151" customWidth="1"/>
    <col min="911" max="911" width="7.140625" style="151" customWidth="1"/>
    <col min="912" max="912" width="12" style="151" customWidth="1"/>
    <col min="913" max="913" width="12.7109375" style="151" customWidth="1"/>
    <col min="914" max="925" width="11.140625" style="151" bestFit="1" customWidth="1"/>
    <col min="926" max="926" width="12" style="151" bestFit="1" customWidth="1"/>
    <col min="927" max="927" width="10" style="151" bestFit="1" customWidth="1"/>
    <col min="928" max="946" width="12.7109375" style="151" customWidth="1"/>
    <col min="947" max="957" width="9.85546875" style="151" bestFit="1" customWidth="1"/>
    <col min="958" max="958" width="11.140625" style="151" bestFit="1" customWidth="1"/>
    <col min="959" max="973" width="9.140625" style="151"/>
    <col min="974" max="974" width="9.85546875" style="151" bestFit="1" customWidth="1"/>
    <col min="975" max="989" width="9.140625" style="151"/>
    <col min="990" max="990" width="9.85546875" style="151" bestFit="1" customWidth="1"/>
    <col min="991" max="1005" width="9.140625" style="151"/>
    <col min="1006" max="1006" width="9.85546875" style="151" bestFit="1" customWidth="1"/>
    <col min="1007" max="1021" width="9.140625" style="151"/>
    <col min="1022" max="1022" width="9.85546875" style="151" bestFit="1" customWidth="1"/>
    <col min="1023" max="1024" width="9.140625" style="151"/>
    <col min="1025" max="1025" width="11" style="151" bestFit="1" customWidth="1"/>
    <col min="1026" max="1030" width="11.140625" style="151" bestFit="1" customWidth="1"/>
    <col min="1031" max="1031" width="9.85546875" style="151" bestFit="1" customWidth="1"/>
    <col min="1032" max="1036" width="11.140625" style="151" bestFit="1" customWidth="1"/>
    <col min="1037" max="1037" width="12" style="151" bestFit="1" customWidth="1"/>
    <col min="1038" max="1038" width="11" style="151" bestFit="1" customWidth="1"/>
    <col min="1039" max="1151" width="9.140625" style="151"/>
    <col min="1152" max="1152" width="8.28515625" style="151" bestFit="1" customWidth="1"/>
    <col min="1153" max="1153" width="26" style="151" bestFit="1" customWidth="1"/>
    <col min="1154" max="1154" width="12" style="151" customWidth="1"/>
    <col min="1155" max="1155" width="8.140625" style="151" customWidth="1"/>
    <col min="1156" max="1156" width="11.140625" style="151" customWidth="1"/>
    <col min="1157" max="1157" width="8.28515625" style="151" customWidth="1"/>
    <col min="1158" max="1158" width="9.85546875" style="151" customWidth="1"/>
    <col min="1159" max="1159" width="8" style="151" customWidth="1"/>
    <col min="1160" max="1160" width="9.85546875" style="151" customWidth="1"/>
    <col min="1161" max="1161" width="6" style="151" customWidth="1"/>
    <col min="1162" max="1162" width="11.140625" style="151" customWidth="1"/>
    <col min="1163" max="1163" width="6.85546875" style="151" customWidth="1"/>
    <col min="1164" max="1164" width="11.7109375" style="151" customWidth="1"/>
    <col min="1165" max="1165" width="7.140625" style="151" customWidth="1"/>
    <col min="1166" max="1166" width="9" style="151" customWidth="1"/>
    <col min="1167" max="1167" width="7.140625" style="151" customWidth="1"/>
    <col min="1168" max="1168" width="12" style="151" customWidth="1"/>
    <col min="1169" max="1169" width="12.7109375" style="151" customWidth="1"/>
    <col min="1170" max="1181" width="11.140625" style="151" bestFit="1" customWidth="1"/>
    <col min="1182" max="1182" width="12" style="151" bestFit="1" customWidth="1"/>
    <col min="1183" max="1183" width="10" style="151" bestFit="1" customWidth="1"/>
    <col min="1184" max="1202" width="12.7109375" style="151" customWidth="1"/>
    <col min="1203" max="1213" width="9.85546875" style="151" bestFit="1" customWidth="1"/>
    <col min="1214" max="1214" width="11.140625" style="151" bestFit="1" customWidth="1"/>
    <col min="1215" max="1229" width="9.140625" style="151"/>
    <col min="1230" max="1230" width="9.85546875" style="151" bestFit="1" customWidth="1"/>
    <col min="1231" max="1245" width="9.140625" style="151"/>
    <col min="1246" max="1246" width="9.85546875" style="151" bestFit="1" customWidth="1"/>
    <col min="1247" max="1261" width="9.140625" style="151"/>
    <col min="1262" max="1262" width="9.85546875" style="151" bestFit="1" customWidth="1"/>
    <col min="1263" max="1277" width="9.140625" style="151"/>
    <col min="1278" max="1278" width="9.85546875" style="151" bestFit="1" customWidth="1"/>
    <col min="1279" max="1280" width="9.140625" style="151"/>
    <col min="1281" max="1281" width="11" style="151" bestFit="1" customWidth="1"/>
    <col min="1282" max="1286" width="11.140625" style="151" bestFit="1" customWidth="1"/>
    <col min="1287" max="1287" width="9.85546875" style="151" bestFit="1" customWidth="1"/>
    <col min="1288" max="1292" width="11.140625" style="151" bestFit="1" customWidth="1"/>
    <col min="1293" max="1293" width="12" style="151" bestFit="1" customWidth="1"/>
    <col min="1294" max="1294" width="11" style="151" bestFit="1" customWidth="1"/>
    <col min="1295" max="1407" width="9.140625" style="151"/>
    <col min="1408" max="1408" width="8.28515625" style="151" bestFit="1" customWidth="1"/>
    <col min="1409" max="1409" width="26" style="151" bestFit="1" customWidth="1"/>
    <col min="1410" max="1410" width="12" style="151" customWidth="1"/>
    <col min="1411" max="1411" width="8.140625" style="151" customWidth="1"/>
    <col min="1412" max="1412" width="11.140625" style="151" customWidth="1"/>
    <col min="1413" max="1413" width="8.28515625" style="151" customWidth="1"/>
    <col min="1414" max="1414" width="9.85546875" style="151" customWidth="1"/>
    <col min="1415" max="1415" width="8" style="151" customWidth="1"/>
    <col min="1416" max="1416" width="9.85546875" style="151" customWidth="1"/>
    <col min="1417" max="1417" width="6" style="151" customWidth="1"/>
    <col min="1418" max="1418" width="11.140625" style="151" customWidth="1"/>
    <col min="1419" max="1419" width="6.85546875" style="151" customWidth="1"/>
    <col min="1420" max="1420" width="11.7109375" style="151" customWidth="1"/>
    <col min="1421" max="1421" width="7.140625" style="151" customWidth="1"/>
    <col min="1422" max="1422" width="9" style="151" customWidth="1"/>
    <col min="1423" max="1423" width="7.140625" style="151" customWidth="1"/>
    <col min="1424" max="1424" width="12" style="151" customWidth="1"/>
    <col min="1425" max="1425" width="12.7109375" style="151" customWidth="1"/>
    <col min="1426" max="1437" width="11.140625" style="151" bestFit="1" customWidth="1"/>
    <col min="1438" max="1438" width="12" style="151" bestFit="1" customWidth="1"/>
    <col min="1439" max="1439" width="10" style="151" bestFit="1" customWidth="1"/>
    <col min="1440" max="1458" width="12.7109375" style="151" customWidth="1"/>
    <col min="1459" max="1469" width="9.85546875" style="151" bestFit="1" customWidth="1"/>
    <col min="1470" max="1470" width="11.140625" style="151" bestFit="1" customWidth="1"/>
    <col min="1471" max="1485" width="9.140625" style="151"/>
    <col min="1486" max="1486" width="9.85546875" style="151" bestFit="1" customWidth="1"/>
    <col min="1487" max="1501" width="9.140625" style="151"/>
    <col min="1502" max="1502" width="9.85546875" style="151" bestFit="1" customWidth="1"/>
    <col min="1503" max="1517" width="9.140625" style="151"/>
    <col min="1518" max="1518" width="9.85546875" style="151" bestFit="1" customWidth="1"/>
    <col min="1519" max="1533" width="9.140625" style="151"/>
    <col min="1534" max="1534" width="9.85546875" style="151" bestFit="1" customWidth="1"/>
    <col min="1535" max="1536" width="9.140625" style="151"/>
    <col min="1537" max="1537" width="11" style="151" bestFit="1" customWidth="1"/>
    <col min="1538" max="1542" width="11.140625" style="151" bestFit="1" customWidth="1"/>
    <col min="1543" max="1543" width="9.85546875" style="151" bestFit="1" customWidth="1"/>
    <col min="1544" max="1548" width="11.140625" style="151" bestFit="1" customWidth="1"/>
    <col min="1549" max="1549" width="12" style="151" bestFit="1" customWidth="1"/>
    <col min="1550" max="1550" width="11" style="151" bestFit="1" customWidth="1"/>
    <col min="1551" max="1663" width="9.140625" style="151"/>
    <col min="1664" max="1664" width="8.28515625" style="151" bestFit="1" customWidth="1"/>
    <col min="1665" max="1665" width="26" style="151" bestFit="1" customWidth="1"/>
    <col min="1666" max="1666" width="12" style="151" customWidth="1"/>
    <col min="1667" max="1667" width="8.140625" style="151" customWidth="1"/>
    <col min="1668" max="1668" width="11.140625" style="151" customWidth="1"/>
    <col min="1669" max="1669" width="8.28515625" style="151" customWidth="1"/>
    <col min="1670" max="1670" width="9.85546875" style="151" customWidth="1"/>
    <col min="1671" max="1671" width="8" style="151" customWidth="1"/>
    <col min="1672" max="1672" width="9.85546875" style="151" customWidth="1"/>
    <col min="1673" max="1673" width="6" style="151" customWidth="1"/>
    <col min="1674" max="1674" width="11.140625" style="151" customWidth="1"/>
    <col min="1675" max="1675" width="6.85546875" style="151" customWidth="1"/>
    <col min="1676" max="1676" width="11.7109375" style="151" customWidth="1"/>
    <col min="1677" max="1677" width="7.140625" style="151" customWidth="1"/>
    <col min="1678" max="1678" width="9" style="151" customWidth="1"/>
    <col min="1679" max="1679" width="7.140625" style="151" customWidth="1"/>
    <col min="1680" max="1680" width="12" style="151" customWidth="1"/>
    <col min="1681" max="1681" width="12.7109375" style="151" customWidth="1"/>
    <col min="1682" max="1693" width="11.140625" style="151" bestFit="1" customWidth="1"/>
    <col min="1694" max="1694" width="12" style="151" bestFit="1" customWidth="1"/>
    <col min="1695" max="1695" width="10" style="151" bestFit="1" customWidth="1"/>
    <col min="1696" max="1714" width="12.7109375" style="151" customWidth="1"/>
    <col min="1715" max="1725" width="9.85546875" style="151" bestFit="1" customWidth="1"/>
    <col min="1726" max="1726" width="11.140625" style="151" bestFit="1" customWidth="1"/>
    <col min="1727" max="1741" width="9.140625" style="151"/>
    <col min="1742" max="1742" width="9.85546875" style="151" bestFit="1" customWidth="1"/>
    <col min="1743" max="1757" width="9.140625" style="151"/>
    <col min="1758" max="1758" width="9.85546875" style="151" bestFit="1" customWidth="1"/>
    <col min="1759" max="1773" width="9.140625" style="151"/>
    <col min="1774" max="1774" width="9.85546875" style="151" bestFit="1" customWidth="1"/>
    <col min="1775" max="1789" width="9.140625" style="151"/>
    <col min="1790" max="1790" width="9.85546875" style="151" bestFit="1" customWidth="1"/>
    <col min="1791" max="1792" width="9.140625" style="151"/>
    <col min="1793" max="1793" width="11" style="151" bestFit="1" customWidth="1"/>
    <col min="1794" max="1798" width="11.140625" style="151" bestFit="1" customWidth="1"/>
    <col min="1799" max="1799" width="9.85546875" style="151" bestFit="1" customWidth="1"/>
    <col min="1800" max="1804" width="11.140625" style="151" bestFit="1" customWidth="1"/>
    <col min="1805" max="1805" width="12" style="151" bestFit="1" customWidth="1"/>
    <col min="1806" max="1806" width="11" style="151" bestFit="1" customWidth="1"/>
    <col min="1807" max="1919" width="9.140625" style="151"/>
    <col min="1920" max="1920" width="8.28515625" style="151" bestFit="1" customWidth="1"/>
    <col min="1921" max="1921" width="26" style="151" bestFit="1" customWidth="1"/>
    <col min="1922" max="1922" width="12" style="151" customWidth="1"/>
    <col min="1923" max="1923" width="8.140625" style="151" customWidth="1"/>
    <col min="1924" max="1924" width="11.140625" style="151" customWidth="1"/>
    <col min="1925" max="1925" width="8.28515625" style="151" customWidth="1"/>
    <col min="1926" max="1926" width="9.85546875" style="151" customWidth="1"/>
    <col min="1927" max="1927" width="8" style="151" customWidth="1"/>
    <col min="1928" max="1928" width="9.85546875" style="151" customWidth="1"/>
    <col min="1929" max="1929" width="6" style="151" customWidth="1"/>
    <col min="1930" max="1930" width="11.140625" style="151" customWidth="1"/>
    <col min="1931" max="1931" width="6.85546875" style="151" customWidth="1"/>
    <col min="1932" max="1932" width="11.7109375" style="151" customWidth="1"/>
    <col min="1933" max="1933" width="7.140625" style="151" customWidth="1"/>
    <col min="1934" max="1934" width="9" style="151" customWidth="1"/>
    <col min="1935" max="1935" width="7.140625" style="151" customWidth="1"/>
    <col min="1936" max="1936" width="12" style="151" customWidth="1"/>
    <col min="1937" max="1937" width="12.7109375" style="151" customWidth="1"/>
    <col min="1938" max="1949" width="11.140625" style="151" bestFit="1" customWidth="1"/>
    <col min="1950" max="1950" width="12" style="151" bestFit="1" customWidth="1"/>
    <col min="1951" max="1951" width="10" style="151" bestFit="1" customWidth="1"/>
    <col min="1952" max="1970" width="12.7109375" style="151" customWidth="1"/>
    <col min="1971" max="1981" width="9.85546875" style="151" bestFit="1" customWidth="1"/>
    <col min="1982" max="1982" width="11.140625" style="151" bestFit="1" customWidth="1"/>
    <col min="1983" max="1997" width="9.140625" style="151"/>
    <col min="1998" max="1998" width="9.85546875" style="151" bestFit="1" customWidth="1"/>
    <col min="1999" max="2013" width="9.140625" style="151"/>
    <col min="2014" max="2014" width="9.85546875" style="151" bestFit="1" customWidth="1"/>
    <col min="2015" max="2029" width="9.140625" style="151"/>
    <col min="2030" max="2030" width="9.85546875" style="151" bestFit="1" customWidth="1"/>
    <col min="2031" max="2045" width="9.140625" style="151"/>
    <col min="2046" max="2046" width="9.85546875" style="151" bestFit="1" customWidth="1"/>
    <col min="2047" max="2048" width="9.140625" style="151"/>
    <col min="2049" max="2049" width="11" style="151" bestFit="1" customWidth="1"/>
    <col min="2050" max="2054" width="11.140625" style="151" bestFit="1" customWidth="1"/>
    <col min="2055" max="2055" width="9.85546875" style="151" bestFit="1" customWidth="1"/>
    <col min="2056" max="2060" width="11.140625" style="151" bestFit="1" customWidth="1"/>
    <col min="2061" max="2061" width="12" style="151" bestFit="1" customWidth="1"/>
    <col min="2062" max="2062" width="11" style="151" bestFit="1" customWidth="1"/>
    <col min="2063" max="2175" width="9.140625" style="151"/>
    <col min="2176" max="2176" width="8.28515625" style="151" bestFit="1" customWidth="1"/>
    <col min="2177" max="2177" width="26" style="151" bestFit="1" customWidth="1"/>
    <col min="2178" max="2178" width="12" style="151" customWidth="1"/>
    <col min="2179" max="2179" width="8.140625" style="151" customWidth="1"/>
    <col min="2180" max="2180" width="11.140625" style="151" customWidth="1"/>
    <col min="2181" max="2181" width="8.28515625" style="151" customWidth="1"/>
    <col min="2182" max="2182" width="9.85546875" style="151" customWidth="1"/>
    <col min="2183" max="2183" width="8" style="151" customWidth="1"/>
    <col min="2184" max="2184" width="9.85546875" style="151" customWidth="1"/>
    <col min="2185" max="2185" width="6" style="151" customWidth="1"/>
    <col min="2186" max="2186" width="11.140625" style="151" customWidth="1"/>
    <col min="2187" max="2187" width="6.85546875" style="151" customWidth="1"/>
    <col min="2188" max="2188" width="11.7109375" style="151" customWidth="1"/>
    <col min="2189" max="2189" width="7.140625" style="151" customWidth="1"/>
    <col min="2190" max="2190" width="9" style="151" customWidth="1"/>
    <col min="2191" max="2191" width="7.140625" style="151" customWidth="1"/>
    <col min="2192" max="2192" width="12" style="151" customWidth="1"/>
    <col min="2193" max="2193" width="12.7109375" style="151" customWidth="1"/>
    <col min="2194" max="2205" width="11.140625" style="151" bestFit="1" customWidth="1"/>
    <col min="2206" max="2206" width="12" style="151" bestFit="1" customWidth="1"/>
    <col min="2207" max="2207" width="10" style="151" bestFit="1" customWidth="1"/>
    <col min="2208" max="2226" width="12.7109375" style="151" customWidth="1"/>
    <col min="2227" max="2237" width="9.85546875" style="151" bestFit="1" customWidth="1"/>
    <col min="2238" max="2238" width="11.140625" style="151" bestFit="1" customWidth="1"/>
    <col min="2239" max="2253" width="9.140625" style="151"/>
    <col min="2254" max="2254" width="9.85546875" style="151" bestFit="1" customWidth="1"/>
    <col min="2255" max="2269" width="9.140625" style="151"/>
    <col min="2270" max="2270" width="9.85546875" style="151" bestFit="1" customWidth="1"/>
    <col min="2271" max="2285" width="9.140625" style="151"/>
    <col min="2286" max="2286" width="9.85546875" style="151" bestFit="1" customWidth="1"/>
    <col min="2287" max="2301" width="9.140625" style="151"/>
    <col min="2302" max="2302" width="9.85546875" style="151" bestFit="1" customWidth="1"/>
    <col min="2303" max="2304" width="9.140625" style="151"/>
    <col min="2305" max="2305" width="11" style="151" bestFit="1" customWidth="1"/>
    <col min="2306" max="2310" width="11.140625" style="151" bestFit="1" customWidth="1"/>
    <col min="2311" max="2311" width="9.85546875" style="151" bestFit="1" customWidth="1"/>
    <col min="2312" max="2316" width="11.140625" style="151" bestFit="1" customWidth="1"/>
    <col min="2317" max="2317" width="12" style="151" bestFit="1" customWidth="1"/>
    <col min="2318" max="2318" width="11" style="151" bestFit="1" customWidth="1"/>
    <col min="2319" max="2431" width="9.140625" style="151"/>
    <col min="2432" max="2432" width="8.28515625" style="151" bestFit="1" customWidth="1"/>
    <col min="2433" max="2433" width="26" style="151" bestFit="1" customWidth="1"/>
    <col min="2434" max="2434" width="12" style="151" customWidth="1"/>
    <col min="2435" max="2435" width="8.140625" style="151" customWidth="1"/>
    <col min="2436" max="2436" width="11.140625" style="151" customWidth="1"/>
    <col min="2437" max="2437" width="8.28515625" style="151" customWidth="1"/>
    <col min="2438" max="2438" width="9.85546875" style="151" customWidth="1"/>
    <col min="2439" max="2439" width="8" style="151" customWidth="1"/>
    <col min="2440" max="2440" width="9.85546875" style="151" customWidth="1"/>
    <col min="2441" max="2441" width="6" style="151" customWidth="1"/>
    <col min="2442" max="2442" width="11.140625" style="151" customWidth="1"/>
    <col min="2443" max="2443" width="6.85546875" style="151" customWidth="1"/>
    <col min="2444" max="2444" width="11.7109375" style="151" customWidth="1"/>
    <col min="2445" max="2445" width="7.140625" style="151" customWidth="1"/>
    <col min="2446" max="2446" width="9" style="151" customWidth="1"/>
    <col min="2447" max="2447" width="7.140625" style="151" customWidth="1"/>
    <col min="2448" max="2448" width="12" style="151" customWidth="1"/>
    <col min="2449" max="2449" width="12.7109375" style="151" customWidth="1"/>
    <col min="2450" max="2461" width="11.140625" style="151" bestFit="1" customWidth="1"/>
    <col min="2462" max="2462" width="12" style="151" bestFit="1" customWidth="1"/>
    <col min="2463" max="2463" width="10" style="151" bestFit="1" customWidth="1"/>
    <col min="2464" max="2482" width="12.7109375" style="151" customWidth="1"/>
    <col min="2483" max="2493" width="9.85546875" style="151" bestFit="1" customWidth="1"/>
    <col min="2494" max="2494" width="11.140625" style="151" bestFit="1" customWidth="1"/>
    <col min="2495" max="2509" width="9.140625" style="151"/>
    <col min="2510" max="2510" width="9.85546875" style="151" bestFit="1" customWidth="1"/>
    <col min="2511" max="2525" width="9.140625" style="151"/>
    <col min="2526" max="2526" width="9.85546875" style="151" bestFit="1" customWidth="1"/>
    <col min="2527" max="2541" width="9.140625" style="151"/>
    <col min="2542" max="2542" width="9.85546875" style="151" bestFit="1" customWidth="1"/>
    <col min="2543" max="2557" width="9.140625" style="151"/>
    <col min="2558" max="2558" width="9.85546875" style="151" bestFit="1" customWidth="1"/>
    <col min="2559" max="2560" width="9.140625" style="151"/>
    <col min="2561" max="2561" width="11" style="151" bestFit="1" customWidth="1"/>
    <col min="2562" max="2566" width="11.140625" style="151" bestFit="1" customWidth="1"/>
    <col min="2567" max="2567" width="9.85546875" style="151" bestFit="1" customWidth="1"/>
    <col min="2568" max="2572" width="11.140625" style="151" bestFit="1" customWidth="1"/>
    <col min="2573" max="2573" width="12" style="151" bestFit="1" customWidth="1"/>
    <col min="2574" max="2574" width="11" style="151" bestFit="1" customWidth="1"/>
    <col min="2575" max="2687" width="9.140625" style="151"/>
    <col min="2688" max="2688" width="8.28515625" style="151" bestFit="1" customWidth="1"/>
    <col min="2689" max="2689" width="26" style="151" bestFit="1" customWidth="1"/>
    <col min="2690" max="2690" width="12" style="151" customWidth="1"/>
    <col min="2691" max="2691" width="8.140625" style="151" customWidth="1"/>
    <col min="2692" max="2692" width="11.140625" style="151" customWidth="1"/>
    <col min="2693" max="2693" width="8.28515625" style="151" customWidth="1"/>
    <col min="2694" max="2694" width="9.85546875" style="151" customWidth="1"/>
    <col min="2695" max="2695" width="8" style="151" customWidth="1"/>
    <col min="2696" max="2696" width="9.85546875" style="151" customWidth="1"/>
    <col min="2697" max="2697" width="6" style="151" customWidth="1"/>
    <col min="2698" max="2698" width="11.140625" style="151" customWidth="1"/>
    <col min="2699" max="2699" width="6.85546875" style="151" customWidth="1"/>
    <col min="2700" max="2700" width="11.7109375" style="151" customWidth="1"/>
    <col min="2701" max="2701" width="7.140625" style="151" customWidth="1"/>
    <col min="2702" max="2702" width="9" style="151" customWidth="1"/>
    <col min="2703" max="2703" width="7.140625" style="151" customWidth="1"/>
    <col min="2704" max="2704" width="12" style="151" customWidth="1"/>
    <col min="2705" max="2705" width="12.7109375" style="151" customWidth="1"/>
    <col min="2706" max="2717" width="11.140625" style="151" bestFit="1" customWidth="1"/>
    <col min="2718" max="2718" width="12" style="151" bestFit="1" customWidth="1"/>
    <col min="2719" max="2719" width="10" style="151" bestFit="1" customWidth="1"/>
    <col min="2720" max="2738" width="12.7109375" style="151" customWidth="1"/>
    <col min="2739" max="2749" width="9.85546875" style="151" bestFit="1" customWidth="1"/>
    <col min="2750" max="2750" width="11.140625" style="151" bestFit="1" customWidth="1"/>
    <col min="2751" max="2765" width="9.140625" style="151"/>
    <col min="2766" max="2766" width="9.85546875" style="151" bestFit="1" customWidth="1"/>
    <col min="2767" max="2781" width="9.140625" style="151"/>
    <col min="2782" max="2782" width="9.85546875" style="151" bestFit="1" customWidth="1"/>
    <col min="2783" max="2797" width="9.140625" style="151"/>
    <col min="2798" max="2798" width="9.85546875" style="151" bestFit="1" customWidth="1"/>
    <col min="2799" max="2813" width="9.140625" style="151"/>
    <col min="2814" max="2814" width="9.85546875" style="151" bestFit="1" customWidth="1"/>
    <col min="2815" max="2816" width="9.140625" style="151"/>
    <col min="2817" max="2817" width="11" style="151" bestFit="1" customWidth="1"/>
    <col min="2818" max="2822" width="11.140625" style="151" bestFit="1" customWidth="1"/>
    <col min="2823" max="2823" width="9.85546875" style="151" bestFit="1" customWidth="1"/>
    <col min="2824" max="2828" width="11.140625" style="151" bestFit="1" customWidth="1"/>
    <col min="2829" max="2829" width="12" style="151" bestFit="1" customWidth="1"/>
    <col min="2830" max="2830" width="11" style="151" bestFit="1" customWidth="1"/>
    <col min="2831" max="2943" width="9.140625" style="151"/>
    <col min="2944" max="2944" width="8.28515625" style="151" bestFit="1" customWidth="1"/>
    <col min="2945" max="2945" width="26" style="151" bestFit="1" customWidth="1"/>
    <col min="2946" max="2946" width="12" style="151" customWidth="1"/>
    <col min="2947" max="2947" width="8.140625" style="151" customWidth="1"/>
    <col min="2948" max="2948" width="11.140625" style="151" customWidth="1"/>
    <col min="2949" max="2949" width="8.28515625" style="151" customWidth="1"/>
    <col min="2950" max="2950" width="9.85546875" style="151" customWidth="1"/>
    <col min="2951" max="2951" width="8" style="151" customWidth="1"/>
    <col min="2952" max="2952" width="9.85546875" style="151" customWidth="1"/>
    <col min="2953" max="2953" width="6" style="151" customWidth="1"/>
    <col min="2954" max="2954" width="11.140625" style="151" customWidth="1"/>
    <col min="2955" max="2955" width="6.85546875" style="151" customWidth="1"/>
    <col min="2956" max="2956" width="11.7109375" style="151" customWidth="1"/>
    <col min="2957" max="2957" width="7.140625" style="151" customWidth="1"/>
    <col min="2958" max="2958" width="9" style="151" customWidth="1"/>
    <col min="2959" max="2959" width="7.140625" style="151" customWidth="1"/>
    <col min="2960" max="2960" width="12" style="151" customWidth="1"/>
    <col min="2961" max="2961" width="12.7109375" style="151" customWidth="1"/>
    <col min="2962" max="2973" width="11.140625" style="151" bestFit="1" customWidth="1"/>
    <col min="2974" max="2974" width="12" style="151" bestFit="1" customWidth="1"/>
    <col min="2975" max="2975" width="10" style="151" bestFit="1" customWidth="1"/>
    <col min="2976" max="2994" width="12.7109375" style="151" customWidth="1"/>
    <col min="2995" max="3005" width="9.85546875" style="151" bestFit="1" customWidth="1"/>
    <col min="3006" max="3006" width="11.140625" style="151" bestFit="1" customWidth="1"/>
    <col min="3007" max="3021" width="9.140625" style="151"/>
    <col min="3022" max="3022" width="9.85546875" style="151" bestFit="1" customWidth="1"/>
    <col min="3023" max="3037" width="9.140625" style="151"/>
    <col min="3038" max="3038" width="9.85546875" style="151" bestFit="1" customWidth="1"/>
    <col min="3039" max="3053" width="9.140625" style="151"/>
    <col min="3054" max="3054" width="9.85546875" style="151" bestFit="1" customWidth="1"/>
    <col min="3055" max="3069" width="9.140625" style="151"/>
    <col min="3070" max="3070" width="9.85546875" style="151" bestFit="1" customWidth="1"/>
    <col min="3071" max="3072" width="9.140625" style="151"/>
    <col min="3073" max="3073" width="11" style="151" bestFit="1" customWidth="1"/>
    <col min="3074" max="3078" width="11.140625" style="151" bestFit="1" customWidth="1"/>
    <col min="3079" max="3079" width="9.85546875" style="151" bestFit="1" customWidth="1"/>
    <col min="3080" max="3084" width="11.140625" style="151" bestFit="1" customWidth="1"/>
    <col min="3085" max="3085" width="12" style="151" bestFit="1" customWidth="1"/>
    <col min="3086" max="3086" width="11" style="151" bestFit="1" customWidth="1"/>
    <col min="3087" max="3199" width="9.140625" style="151"/>
    <col min="3200" max="3200" width="8.28515625" style="151" bestFit="1" customWidth="1"/>
    <col min="3201" max="3201" width="26" style="151" bestFit="1" customWidth="1"/>
    <col min="3202" max="3202" width="12" style="151" customWidth="1"/>
    <col min="3203" max="3203" width="8.140625" style="151" customWidth="1"/>
    <col min="3204" max="3204" width="11.140625" style="151" customWidth="1"/>
    <col min="3205" max="3205" width="8.28515625" style="151" customWidth="1"/>
    <col min="3206" max="3206" width="9.85546875" style="151" customWidth="1"/>
    <col min="3207" max="3207" width="8" style="151" customWidth="1"/>
    <col min="3208" max="3208" width="9.85546875" style="151" customWidth="1"/>
    <col min="3209" max="3209" width="6" style="151" customWidth="1"/>
    <col min="3210" max="3210" width="11.140625" style="151" customWidth="1"/>
    <col min="3211" max="3211" width="6.85546875" style="151" customWidth="1"/>
    <col min="3212" max="3212" width="11.7109375" style="151" customWidth="1"/>
    <col min="3213" max="3213" width="7.140625" style="151" customWidth="1"/>
    <col min="3214" max="3214" width="9" style="151" customWidth="1"/>
    <col min="3215" max="3215" width="7.140625" style="151" customWidth="1"/>
    <col min="3216" max="3216" width="12" style="151" customWidth="1"/>
    <col min="3217" max="3217" width="12.7109375" style="151" customWidth="1"/>
    <col min="3218" max="3229" width="11.140625" style="151" bestFit="1" customWidth="1"/>
    <col min="3230" max="3230" width="12" style="151" bestFit="1" customWidth="1"/>
    <col min="3231" max="3231" width="10" style="151" bestFit="1" customWidth="1"/>
    <col min="3232" max="3250" width="12.7109375" style="151" customWidth="1"/>
    <col min="3251" max="3261" width="9.85546875" style="151" bestFit="1" customWidth="1"/>
    <col min="3262" max="3262" width="11.140625" style="151" bestFit="1" customWidth="1"/>
    <col min="3263" max="3277" width="9.140625" style="151"/>
    <col min="3278" max="3278" width="9.85546875" style="151" bestFit="1" customWidth="1"/>
    <col min="3279" max="3293" width="9.140625" style="151"/>
    <col min="3294" max="3294" width="9.85546875" style="151" bestFit="1" customWidth="1"/>
    <col min="3295" max="3309" width="9.140625" style="151"/>
    <col min="3310" max="3310" width="9.85546875" style="151" bestFit="1" customWidth="1"/>
    <col min="3311" max="3325" width="9.140625" style="151"/>
    <col min="3326" max="3326" width="9.85546875" style="151" bestFit="1" customWidth="1"/>
    <col min="3327" max="3328" width="9.140625" style="151"/>
    <col min="3329" max="3329" width="11" style="151" bestFit="1" customWidth="1"/>
    <col min="3330" max="3334" width="11.140625" style="151" bestFit="1" customWidth="1"/>
    <col min="3335" max="3335" width="9.85546875" style="151" bestFit="1" customWidth="1"/>
    <col min="3336" max="3340" width="11.140625" style="151" bestFit="1" customWidth="1"/>
    <col min="3341" max="3341" width="12" style="151" bestFit="1" customWidth="1"/>
    <col min="3342" max="3342" width="11" style="151" bestFit="1" customWidth="1"/>
    <col min="3343" max="3455" width="9.140625" style="151"/>
    <col min="3456" max="3456" width="8.28515625" style="151" bestFit="1" customWidth="1"/>
    <col min="3457" max="3457" width="26" style="151" bestFit="1" customWidth="1"/>
    <col min="3458" max="3458" width="12" style="151" customWidth="1"/>
    <col min="3459" max="3459" width="8.140625" style="151" customWidth="1"/>
    <col min="3460" max="3460" width="11.140625" style="151" customWidth="1"/>
    <col min="3461" max="3461" width="8.28515625" style="151" customWidth="1"/>
    <col min="3462" max="3462" width="9.85546875" style="151" customWidth="1"/>
    <col min="3463" max="3463" width="8" style="151" customWidth="1"/>
    <col min="3464" max="3464" width="9.85546875" style="151" customWidth="1"/>
    <col min="3465" max="3465" width="6" style="151" customWidth="1"/>
    <col min="3466" max="3466" width="11.140625" style="151" customWidth="1"/>
    <col min="3467" max="3467" width="6.85546875" style="151" customWidth="1"/>
    <col min="3468" max="3468" width="11.7109375" style="151" customWidth="1"/>
    <col min="3469" max="3469" width="7.140625" style="151" customWidth="1"/>
    <col min="3470" max="3470" width="9" style="151" customWidth="1"/>
    <col min="3471" max="3471" width="7.140625" style="151" customWidth="1"/>
    <col min="3472" max="3472" width="12" style="151" customWidth="1"/>
    <col min="3473" max="3473" width="12.7109375" style="151" customWidth="1"/>
    <col min="3474" max="3485" width="11.140625" style="151" bestFit="1" customWidth="1"/>
    <col min="3486" max="3486" width="12" style="151" bestFit="1" customWidth="1"/>
    <col min="3487" max="3487" width="10" style="151" bestFit="1" customWidth="1"/>
    <col min="3488" max="3506" width="12.7109375" style="151" customWidth="1"/>
    <col min="3507" max="3517" width="9.85546875" style="151" bestFit="1" customWidth="1"/>
    <col min="3518" max="3518" width="11.140625" style="151" bestFit="1" customWidth="1"/>
    <col min="3519" max="3533" width="9.140625" style="151"/>
    <col min="3534" max="3534" width="9.85546875" style="151" bestFit="1" customWidth="1"/>
    <col min="3535" max="3549" width="9.140625" style="151"/>
    <col min="3550" max="3550" width="9.85546875" style="151" bestFit="1" customWidth="1"/>
    <col min="3551" max="3565" width="9.140625" style="151"/>
    <col min="3566" max="3566" width="9.85546875" style="151" bestFit="1" customWidth="1"/>
    <col min="3567" max="3581" width="9.140625" style="151"/>
    <col min="3582" max="3582" width="9.85546875" style="151" bestFit="1" customWidth="1"/>
    <col min="3583" max="3584" width="9.140625" style="151"/>
    <col min="3585" max="3585" width="11" style="151" bestFit="1" customWidth="1"/>
    <col min="3586" max="3590" width="11.140625" style="151" bestFit="1" customWidth="1"/>
    <col min="3591" max="3591" width="9.85546875" style="151" bestFit="1" customWidth="1"/>
    <col min="3592" max="3596" width="11.140625" style="151" bestFit="1" customWidth="1"/>
    <col min="3597" max="3597" width="12" style="151" bestFit="1" customWidth="1"/>
    <col min="3598" max="3598" width="11" style="151" bestFit="1" customWidth="1"/>
    <col min="3599" max="3711" width="9.140625" style="151"/>
    <col min="3712" max="3712" width="8.28515625" style="151" bestFit="1" customWidth="1"/>
    <col min="3713" max="3713" width="26" style="151" bestFit="1" customWidth="1"/>
    <col min="3714" max="3714" width="12" style="151" customWidth="1"/>
    <col min="3715" max="3715" width="8.140625" style="151" customWidth="1"/>
    <col min="3716" max="3716" width="11.140625" style="151" customWidth="1"/>
    <col min="3717" max="3717" width="8.28515625" style="151" customWidth="1"/>
    <col min="3718" max="3718" width="9.85546875" style="151" customWidth="1"/>
    <col min="3719" max="3719" width="8" style="151" customWidth="1"/>
    <col min="3720" max="3720" width="9.85546875" style="151" customWidth="1"/>
    <col min="3721" max="3721" width="6" style="151" customWidth="1"/>
    <col min="3722" max="3722" width="11.140625" style="151" customWidth="1"/>
    <col min="3723" max="3723" width="6.85546875" style="151" customWidth="1"/>
    <col min="3724" max="3724" width="11.7109375" style="151" customWidth="1"/>
    <col min="3725" max="3725" width="7.140625" style="151" customWidth="1"/>
    <col min="3726" max="3726" width="9" style="151" customWidth="1"/>
    <col min="3727" max="3727" width="7.140625" style="151" customWidth="1"/>
    <col min="3728" max="3728" width="12" style="151" customWidth="1"/>
    <col min="3729" max="3729" width="12.7109375" style="151" customWidth="1"/>
    <col min="3730" max="3741" width="11.140625" style="151" bestFit="1" customWidth="1"/>
    <col min="3742" max="3742" width="12" style="151" bestFit="1" customWidth="1"/>
    <col min="3743" max="3743" width="10" style="151" bestFit="1" customWidth="1"/>
    <col min="3744" max="3762" width="12.7109375" style="151" customWidth="1"/>
    <col min="3763" max="3773" width="9.85546875" style="151" bestFit="1" customWidth="1"/>
    <col min="3774" max="3774" width="11.140625" style="151" bestFit="1" customWidth="1"/>
    <col min="3775" max="3789" width="9.140625" style="151"/>
    <col min="3790" max="3790" width="9.85546875" style="151" bestFit="1" customWidth="1"/>
    <col min="3791" max="3805" width="9.140625" style="151"/>
    <col min="3806" max="3806" width="9.85546875" style="151" bestFit="1" customWidth="1"/>
    <col min="3807" max="3821" width="9.140625" style="151"/>
    <col min="3822" max="3822" width="9.85546875" style="151" bestFit="1" customWidth="1"/>
    <col min="3823" max="3837" width="9.140625" style="151"/>
    <col min="3838" max="3838" width="9.85546875" style="151" bestFit="1" customWidth="1"/>
    <col min="3839" max="3840" width="9.140625" style="151"/>
    <col min="3841" max="3841" width="11" style="151" bestFit="1" customWidth="1"/>
    <col min="3842" max="3846" width="11.140625" style="151" bestFit="1" customWidth="1"/>
    <col min="3847" max="3847" width="9.85546875" style="151" bestFit="1" customWidth="1"/>
    <col min="3848" max="3852" width="11.140625" style="151" bestFit="1" customWidth="1"/>
    <col min="3853" max="3853" width="12" style="151" bestFit="1" customWidth="1"/>
    <col min="3854" max="3854" width="11" style="151" bestFit="1" customWidth="1"/>
    <col min="3855" max="3967" width="9.140625" style="151"/>
    <col min="3968" max="3968" width="8.28515625" style="151" bestFit="1" customWidth="1"/>
    <col min="3969" max="3969" width="26" style="151" bestFit="1" customWidth="1"/>
    <col min="3970" max="3970" width="12" style="151" customWidth="1"/>
    <col min="3971" max="3971" width="8.140625" style="151" customWidth="1"/>
    <col min="3972" max="3972" width="11.140625" style="151" customWidth="1"/>
    <col min="3973" max="3973" width="8.28515625" style="151" customWidth="1"/>
    <col min="3974" max="3974" width="9.85546875" style="151" customWidth="1"/>
    <col min="3975" max="3975" width="8" style="151" customWidth="1"/>
    <col min="3976" max="3976" width="9.85546875" style="151" customWidth="1"/>
    <col min="3977" max="3977" width="6" style="151" customWidth="1"/>
    <col min="3978" max="3978" width="11.140625" style="151" customWidth="1"/>
    <col min="3979" max="3979" width="6.85546875" style="151" customWidth="1"/>
    <col min="3980" max="3980" width="11.7109375" style="151" customWidth="1"/>
    <col min="3981" max="3981" width="7.140625" style="151" customWidth="1"/>
    <col min="3982" max="3982" width="9" style="151" customWidth="1"/>
    <col min="3983" max="3983" width="7.140625" style="151" customWidth="1"/>
    <col min="3984" max="3984" width="12" style="151" customWidth="1"/>
    <col min="3985" max="3985" width="12.7109375" style="151" customWidth="1"/>
    <col min="3986" max="3997" width="11.140625" style="151" bestFit="1" customWidth="1"/>
    <col min="3998" max="3998" width="12" style="151" bestFit="1" customWidth="1"/>
    <col min="3999" max="3999" width="10" style="151" bestFit="1" customWidth="1"/>
    <col min="4000" max="4018" width="12.7109375" style="151" customWidth="1"/>
    <col min="4019" max="4029" width="9.85546875" style="151" bestFit="1" customWidth="1"/>
    <col min="4030" max="4030" width="11.140625" style="151" bestFit="1" customWidth="1"/>
    <col min="4031" max="4045" width="9.140625" style="151"/>
    <col min="4046" max="4046" width="9.85546875" style="151" bestFit="1" customWidth="1"/>
    <col min="4047" max="4061" width="9.140625" style="151"/>
    <col min="4062" max="4062" width="9.85546875" style="151" bestFit="1" customWidth="1"/>
    <col min="4063" max="4077" width="9.140625" style="151"/>
    <col min="4078" max="4078" width="9.85546875" style="151" bestFit="1" customWidth="1"/>
    <col min="4079" max="4093" width="9.140625" style="151"/>
    <col min="4094" max="4094" width="9.85546875" style="151" bestFit="1" customWidth="1"/>
    <col min="4095" max="4096" width="9.140625" style="151"/>
    <col min="4097" max="4097" width="11" style="151" bestFit="1" customWidth="1"/>
    <col min="4098" max="4102" width="11.140625" style="151" bestFit="1" customWidth="1"/>
    <col min="4103" max="4103" width="9.85546875" style="151" bestFit="1" customWidth="1"/>
    <col min="4104" max="4108" width="11.140625" style="151" bestFit="1" customWidth="1"/>
    <col min="4109" max="4109" width="12" style="151" bestFit="1" customWidth="1"/>
    <col min="4110" max="4110" width="11" style="151" bestFit="1" customWidth="1"/>
    <col min="4111" max="4223" width="9.140625" style="151"/>
    <col min="4224" max="4224" width="8.28515625" style="151" bestFit="1" customWidth="1"/>
    <col min="4225" max="4225" width="26" style="151" bestFit="1" customWidth="1"/>
    <col min="4226" max="4226" width="12" style="151" customWidth="1"/>
    <col min="4227" max="4227" width="8.140625" style="151" customWidth="1"/>
    <col min="4228" max="4228" width="11.140625" style="151" customWidth="1"/>
    <col min="4229" max="4229" width="8.28515625" style="151" customWidth="1"/>
    <col min="4230" max="4230" width="9.85546875" style="151" customWidth="1"/>
    <col min="4231" max="4231" width="8" style="151" customWidth="1"/>
    <col min="4232" max="4232" width="9.85546875" style="151" customWidth="1"/>
    <col min="4233" max="4233" width="6" style="151" customWidth="1"/>
    <col min="4234" max="4234" width="11.140625" style="151" customWidth="1"/>
    <col min="4235" max="4235" width="6.85546875" style="151" customWidth="1"/>
    <col min="4236" max="4236" width="11.7109375" style="151" customWidth="1"/>
    <col min="4237" max="4237" width="7.140625" style="151" customWidth="1"/>
    <col min="4238" max="4238" width="9" style="151" customWidth="1"/>
    <col min="4239" max="4239" width="7.140625" style="151" customWidth="1"/>
    <col min="4240" max="4240" width="12" style="151" customWidth="1"/>
    <col min="4241" max="4241" width="12.7109375" style="151" customWidth="1"/>
    <col min="4242" max="4253" width="11.140625" style="151" bestFit="1" customWidth="1"/>
    <col min="4254" max="4254" width="12" style="151" bestFit="1" customWidth="1"/>
    <col min="4255" max="4255" width="10" style="151" bestFit="1" customWidth="1"/>
    <col min="4256" max="4274" width="12.7109375" style="151" customWidth="1"/>
    <col min="4275" max="4285" width="9.85546875" style="151" bestFit="1" customWidth="1"/>
    <col min="4286" max="4286" width="11.140625" style="151" bestFit="1" customWidth="1"/>
    <col min="4287" max="4301" width="9.140625" style="151"/>
    <col min="4302" max="4302" width="9.85546875" style="151" bestFit="1" customWidth="1"/>
    <col min="4303" max="4317" width="9.140625" style="151"/>
    <col min="4318" max="4318" width="9.85546875" style="151" bestFit="1" customWidth="1"/>
    <col min="4319" max="4333" width="9.140625" style="151"/>
    <col min="4334" max="4334" width="9.85546875" style="151" bestFit="1" customWidth="1"/>
    <col min="4335" max="4349" width="9.140625" style="151"/>
    <col min="4350" max="4350" width="9.85546875" style="151" bestFit="1" customWidth="1"/>
    <col min="4351" max="4352" width="9.140625" style="151"/>
    <col min="4353" max="4353" width="11" style="151" bestFit="1" customWidth="1"/>
    <col min="4354" max="4358" width="11.140625" style="151" bestFit="1" customWidth="1"/>
    <col min="4359" max="4359" width="9.85546875" style="151" bestFit="1" customWidth="1"/>
    <col min="4360" max="4364" width="11.140625" style="151" bestFit="1" customWidth="1"/>
    <col min="4365" max="4365" width="12" style="151" bestFit="1" customWidth="1"/>
    <col min="4366" max="4366" width="11" style="151" bestFit="1" customWidth="1"/>
    <col min="4367" max="4479" width="9.140625" style="151"/>
    <col min="4480" max="4480" width="8.28515625" style="151" bestFit="1" customWidth="1"/>
    <col min="4481" max="4481" width="26" style="151" bestFit="1" customWidth="1"/>
    <col min="4482" max="4482" width="12" style="151" customWidth="1"/>
    <col min="4483" max="4483" width="8.140625" style="151" customWidth="1"/>
    <col min="4484" max="4484" width="11.140625" style="151" customWidth="1"/>
    <col min="4485" max="4485" width="8.28515625" style="151" customWidth="1"/>
    <col min="4486" max="4486" width="9.85546875" style="151" customWidth="1"/>
    <col min="4487" max="4487" width="8" style="151" customWidth="1"/>
    <col min="4488" max="4488" width="9.85546875" style="151" customWidth="1"/>
    <col min="4489" max="4489" width="6" style="151" customWidth="1"/>
    <col min="4490" max="4490" width="11.140625" style="151" customWidth="1"/>
    <col min="4491" max="4491" width="6.85546875" style="151" customWidth="1"/>
    <col min="4492" max="4492" width="11.7109375" style="151" customWidth="1"/>
    <col min="4493" max="4493" width="7.140625" style="151" customWidth="1"/>
    <col min="4494" max="4494" width="9" style="151" customWidth="1"/>
    <col min="4495" max="4495" width="7.140625" style="151" customWidth="1"/>
    <col min="4496" max="4496" width="12" style="151" customWidth="1"/>
    <col min="4497" max="4497" width="12.7109375" style="151" customWidth="1"/>
    <col min="4498" max="4509" width="11.140625" style="151" bestFit="1" customWidth="1"/>
    <col min="4510" max="4510" width="12" style="151" bestFit="1" customWidth="1"/>
    <col min="4511" max="4511" width="10" style="151" bestFit="1" customWidth="1"/>
    <col min="4512" max="4530" width="12.7109375" style="151" customWidth="1"/>
    <col min="4531" max="4541" width="9.85546875" style="151" bestFit="1" customWidth="1"/>
    <col min="4542" max="4542" width="11.140625" style="151" bestFit="1" customWidth="1"/>
    <col min="4543" max="4557" width="9.140625" style="151"/>
    <col min="4558" max="4558" width="9.85546875" style="151" bestFit="1" customWidth="1"/>
    <col min="4559" max="4573" width="9.140625" style="151"/>
    <col min="4574" max="4574" width="9.85546875" style="151" bestFit="1" customWidth="1"/>
    <col min="4575" max="4589" width="9.140625" style="151"/>
    <col min="4590" max="4590" width="9.85546875" style="151" bestFit="1" customWidth="1"/>
    <col min="4591" max="4605" width="9.140625" style="151"/>
    <col min="4606" max="4606" width="9.85546875" style="151" bestFit="1" customWidth="1"/>
    <col min="4607" max="4608" width="9.140625" style="151"/>
    <col min="4609" max="4609" width="11" style="151" bestFit="1" customWidth="1"/>
    <col min="4610" max="4614" width="11.140625" style="151" bestFit="1" customWidth="1"/>
    <col min="4615" max="4615" width="9.85546875" style="151" bestFit="1" customWidth="1"/>
    <col min="4616" max="4620" width="11.140625" style="151" bestFit="1" customWidth="1"/>
    <col min="4621" max="4621" width="12" style="151" bestFit="1" customWidth="1"/>
    <col min="4622" max="4622" width="11" style="151" bestFit="1" customWidth="1"/>
    <col min="4623" max="4735" width="9.140625" style="151"/>
    <col min="4736" max="4736" width="8.28515625" style="151" bestFit="1" customWidth="1"/>
    <col min="4737" max="4737" width="26" style="151" bestFit="1" customWidth="1"/>
    <col min="4738" max="4738" width="12" style="151" customWidth="1"/>
    <col min="4739" max="4739" width="8.140625" style="151" customWidth="1"/>
    <col min="4740" max="4740" width="11.140625" style="151" customWidth="1"/>
    <col min="4741" max="4741" width="8.28515625" style="151" customWidth="1"/>
    <col min="4742" max="4742" width="9.85546875" style="151" customWidth="1"/>
    <col min="4743" max="4743" width="8" style="151" customWidth="1"/>
    <col min="4744" max="4744" width="9.85546875" style="151" customWidth="1"/>
    <col min="4745" max="4745" width="6" style="151" customWidth="1"/>
    <col min="4746" max="4746" width="11.140625" style="151" customWidth="1"/>
    <col min="4747" max="4747" width="6.85546875" style="151" customWidth="1"/>
    <col min="4748" max="4748" width="11.7109375" style="151" customWidth="1"/>
    <col min="4749" max="4749" width="7.140625" style="151" customWidth="1"/>
    <col min="4750" max="4750" width="9" style="151" customWidth="1"/>
    <col min="4751" max="4751" width="7.140625" style="151" customWidth="1"/>
    <col min="4752" max="4752" width="12" style="151" customWidth="1"/>
    <col min="4753" max="4753" width="12.7109375" style="151" customWidth="1"/>
    <col min="4754" max="4765" width="11.140625" style="151" bestFit="1" customWidth="1"/>
    <col min="4766" max="4766" width="12" style="151" bestFit="1" customWidth="1"/>
    <col min="4767" max="4767" width="10" style="151" bestFit="1" customWidth="1"/>
    <col min="4768" max="4786" width="12.7109375" style="151" customWidth="1"/>
    <col min="4787" max="4797" width="9.85546875" style="151" bestFit="1" customWidth="1"/>
    <col min="4798" max="4798" width="11.140625" style="151" bestFit="1" customWidth="1"/>
    <col min="4799" max="4813" width="9.140625" style="151"/>
    <col min="4814" max="4814" width="9.85546875" style="151" bestFit="1" customWidth="1"/>
    <col min="4815" max="4829" width="9.140625" style="151"/>
    <col min="4830" max="4830" width="9.85546875" style="151" bestFit="1" customWidth="1"/>
    <col min="4831" max="4845" width="9.140625" style="151"/>
    <col min="4846" max="4846" width="9.85546875" style="151" bestFit="1" customWidth="1"/>
    <col min="4847" max="4861" width="9.140625" style="151"/>
    <col min="4862" max="4862" width="9.85546875" style="151" bestFit="1" customWidth="1"/>
    <col min="4863" max="4864" width="9.140625" style="151"/>
    <col min="4865" max="4865" width="11" style="151" bestFit="1" customWidth="1"/>
    <col min="4866" max="4870" width="11.140625" style="151" bestFit="1" customWidth="1"/>
    <col min="4871" max="4871" width="9.85546875" style="151" bestFit="1" customWidth="1"/>
    <col min="4872" max="4876" width="11.140625" style="151" bestFit="1" customWidth="1"/>
    <col min="4877" max="4877" width="12" style="151" bestFit="1" customWidth="1"/>
    <col min="4878" max="4878" width="11" style="151" bestFit="1" customWidth="1"/>
    <col min="4879" max="4991" width="9.140625" style="151"/>
    <col min="4992" max="4992" width="8.28515625" style="151" bestFit="1" customWidth="1"/>
    <col min="4993" max="4993" width="26" style="151" bestFit="1" customWidth="1"/>
    <col min="4994" max="4994" width="12" style="151" customWidth="1"/>
    <col min="4995" max="4995" width="8.140625" style="151" customWidth="1"/>
    <col min="4996" max="4996" width="11.140625" style="151" customWidth="1"/>
    <col min="4997" max="4997" width="8.28515625" style="151" customWidth="1"/>
    <col min="4998" max="4998" width="9.85546875" style="151" customWidth="1"/>
    <col min="4999" max="4999" width="8" style="151" customWidth="1"/>
    <col min="5000" max="5000" width="9.85546875" style="151" customWidth="1"/>
    <col min="5001" max="5001" width="6" style="151" customWidth="1"/>
    <col min="5002" max="5002" width="11.140625" style="151" customWidth="1"/>
    <col min="5003" max="5003" width="6.85546875" style="151" customWidth="1"/>
    <col min="5004" max="5004" width="11.7109375" style="151" customWidth="1"/>
    <col min="5005" max="5005" width="7.140625" style="151" customWidth="1"/>
    <col min="5006" max="5006" width="9" style="151" customWidth="1"/>
    <col min="5007" max="5007" width="7.140625" style="151" customWidth="1"/>
    <col min="5008" max="5008" width="12" style="151" customWidth="1"/>
    <col min="5009" max="5009" width="12.7109375" style="151" customWidth="1"/>
    <col min="5010" max="5021" width="11.140625" style="151" bestFit="1" customWidth="1"/>
    <col min="5022" max="5022" width="12" style="151" bestFit="1" customWidth="1"/>
    <col min="5023" max="5023" width="10" style="151" bestFit="1" customWidth="1"/>
    <col min="5024" max="5042" width="12.7109375" style="151" customWidth="1"/>
    <col min="5043" max="5053" width="9.85546875" style="151" bestFit="1" customWidth="1"/>
    <col min="5054" max="5054" width="11.140625" style="151" bestFit="1" customWidth="1"/>
    <col min="5055" max="5069" width="9.140625" style="151"/>
    <col min="5070" max="5070" width="9.85546875" style="151" bestFit="1" customWidth="1"/>
    <col min="5071" max="5085" width="9.140625" style="151"/>
    <col min="5086" max="5086" width="9.85546875" style="151" bestFit="1" customWidth="1"/>
    <col min="5087" max="5101" width="9.140625" style="151"/>
    <col min="5102" max="5102" width="9.85546875" style="151" bestFit="1" customWidth="1"/>
    <col min="5103" max="5117" width="9.140625" style="151"/>
    <col min="5118" max="5118" width="9.85546875" style="151" bestFit="1" customWidth="1"/>
    <col min="5119" max="5120" width="9.140625" style="151"/>
    <col min="5121" max="5121" width="11" style="151" bestFit="1" customWidth="1"/>
    <col min="5122" max="5126" width="11.140625" style="151" bestFit="1" customWidth="1"/>
    <col min="5127" max="5127" width="9.85546875" style="151" bestFit="1" customWidth="1"/>
    <col min="5128" max="5132" width="11.140625" style="151" bestFit="1" customWidth="1"/>
    <col min="5133" max="5133" width="12" style="151" bestFit="1" customWidth="1"/>
    <col min="5134" max="5134" width="11" style="151" bestFit="1" customWidth="1"/>
    <col min="5135" max="5247" width="9.140625" style="151"/>
    <col min="5248" max="5248" width="8.28515625" style="151" bestFit="1" customWidth="1"/>
    <col min="5249" max="5249" width="26" style="151" bestFit="1" customWidth="1"/>
    <col min="5250" max="5250" width="12" style="151" customWidth="1"/>
    <col min="5251" max="5251" width="8.140625" style="151" customWidth="1"/>
    <col min="5252" max="5252" width="11.140625" style="151" customWidth="1"/>
    <col min="5253" max="5253" width="8.28515625" style="151" customWidth="1"/>
    <col min="5254" max="5254" width="9.85546875" style="151" customWidth="1"/>
    <col min="5255" max="5255" width="8" style="151" customWidth="1"/>
    <col min="5256" max="5256" width="9.85546875" style="151" customWidth="1"/>
    <col min="5257" max="5257" width="6" style="151" customWidth="1"/>
    <col min="5258" max="5258" width="11.140625" style="151" customWidth="1"/>
    <col min="5259" max="5259" width="6.85546875" style="151" customWidth="1"/>
    <col min="5260" max="5260" width="11.7109375" style="151" customWidth="1"/>
    <col min="5261" max="5261" width="7.140625" style="151" customWidth="1"/>
    <col min="5262" max="5262" width="9" style="151" customWidth="1"/>
    <col min="5263" max="5263" width="7.140625" style="151" customWidth="1"/>
    <col min="5264" max="5264" width="12" style="151" customWidth="1"/>
    <col min="5265" max="5265" width="12.7109375" style="151" customWidth="1"/>
    <col min="5266" max="5277" width="11.140625" style="151" bestFit="1" customWidth="1"/>
    <col min="5278" max="5278" width="12" style="151" bestFit="1" customWidth="1"/>
    <col min="5279" max="5279" width="10" style="151" bestFit="1" customWidth="1"/>
    <col min="5280" max="5298" width="12.7109375" style="151" customWidth="1"/>
    <col min="5299" max="5309" width="9.85546875" style="151" bestFit="1" customWidth="1"/>
    <col min="5310" max="5310" width="11.140625" style="151" bestFit="1" customWidth="1"/>
    <col min="5311" max="5325" width="9.140625" style="151"/>
    <col min="5326" max="5326" width="9.85546875" style="151" bestFit="1" customWidth="1"/>
    <col min="5327" max="5341" width="9.140625" style="151"/>
    <col min="5342" max="5342" width="9.85546875" style="151" bestFit="1" customWidth="1"/>
    <col min="5343" max="5357" width="9.140625" style="151"/>
    <col min="5358" max="5358" width="9.85546875" style="151" bestFit="1" customWidth="1"/>
    <col min="5359" max="5373" width="9.140625" style="151"/>
    <col min="5374" max="5374" width="9.85546875" style="151" bestFit="1" customWidth="1"/>
    <col min="5375" max="5376" width="9.140625" style="151"/>
    <col min="5377" max="5377" width="11" style="151" bestFit="1" customWidth="1"/>
    <col min="5378" max="5382" width="11.140625" style="151" bestFit="1" customWidth="1"/>
    <col min="5383" max="5383" width="9.85546875" style="151" bestFit="1" customWidth="1"/>
    <col min="5384" max="5388" width="11.140625" style="151" bestFit="1" customWidth="1"/>
    <col min="5389" max="5389" width="12" style="151" bestFit="1" customWidth="1"/>
    <col min="5390" max="5390" width="11" style="151" bestFit="1" customWidth="1"/>
    <col min="5391" max="5503" width="9.140625" style="151"/>
    <col min="5504" max="5504" width="8.28515625" style="151" bestFit="1" customWidth="1"/>
    <col min="5505" max="5505" width="26" style="151" bestFit="1" customWidth="1"/>
    <col min="5506" max="5506" width="12" style="151" customWidth="1"/>
    <col min="5507" max="5507" width="8.140625" style="151" customWidth="1"/>
    <col min="5508" max="5508" width="11.140625" style="151" customWidth="1"/>
    <col min="5509" max="5509" width="8.28515625" style="151" customWidth="1"/>
    <col min="5510" max="5510" width="9.85546875" style="151" customWidth="1"/>
    <col min="5511" max="5511" width="8" style="151" customWidth="1"/>
    <col min="5512" max="5512" width="9.85546875" style="151" customWidth="1"/>
    <col min="5513" max="5513" width="6" style="151" customWidth="1"/>
    <col min="5514" max="5514" width="11.140625" style="151" customWidth="1"/>
    <col min="5515" max="5515" width="6.85546875" style="151" customWidth="1"/>
    <col min="5516" max="5516" width="11.7109375" style="151" customWidth="1"/>
    <col min="5517" max="5517" width="7.140625" style="151" customWidth="1"/>
    <col min="5518" max="5518" width="9" style="151" customWidth="1"/>
    <col min="5519" max="5519" width="7.140625" style="151" customWidth="1"/>
    <col min="5520" max="5520" width="12" style="151" customWidth="1"/>
    <col min="5521" max="5521" width="12.7109375" style="151" customWidth="1"/>
    <col min="5522" max="5533" width="11.140625" style="151" bestFit="1" customWidth="1"/>
    <col min="5534" max="5534" width="12" style="151" bestFit="1" customWidth="1"/>
    <col min="5535" max="5535" width="10" style="151" bestFit="1" customWidth="1"/>
    <col min="5536" max="5554" width="12.7109375" style="151" customWidth="1"/>
    <col min="5555" max="5565" width="9.85546875" style="151" bestFit="1" customWidth="1"/>
    <col min="5566" max="5566" width="11.140625" style="151" bestFit="1" customWidth="1"/>
    <col min="5567" max="5581" width="9.140625" style="151"/>
    <col min="5582" max="5582" width="9.85546875" style="151" bestFit="1" customWidth="1"/>
    <col min="5583" max="5597" width="9.140625" style="151"/>
    <col min="5598" max="5598" width="9.85546875" style="151" bestFit="1" customWidth="1"/>
    <col min="5599" max="5613" width="9.140625" style="151"/>
    <col min="5614" max="5614" width="9.85546875" style="151" bestFit="1" customWidth="1"/>
    <col min="5615" max="5629" width="9.140625" style="151"/>
    <col min="5630" max="5630" width="9.85546875" style="151" bestFit="1" customWidth="1"/>
    <col min="5631" max="5632" width="9.140625" style="151"/>
    <col min="5633" max="5633" width="11" style="151" bestFit="1" customWidth="1"/>
    <col min="5634" max="5638" width="11.140625" style="151" bestFit="1" customWidth="1"/>
    <col min="5639" max="5639" width="9.85546875" style="151" bestFit="1" customWidth="1"/>
    <col min="5640" max="5644" width="11.140625" style="151" bestFit="1" customWidth="1"/>
    <col min="5645" max="5645" width="12" style="151" bestFit="1" customWidth="1"/>
    <col min="5646" max="5646" width="11" style="151" bestFit="1" customWidth="1"/>
    <col min="5647" max="5759" width="9.140625" style="151"/>
    <col min="5760" max="5760" width="8.28515625" style="151" bestFit="1" customWidth="1"/>
    <col min="5761" max="5761" width="26" style="151" bestFit="1" customWidth="1"/>
    <col min="5762" max="5762" width="12" style="151" customWidth="1"/>
    <col min="5763" max="5763" width="8.140625" style="151" customWidth="1"/>
    <col min="5764" max="5764" width="11.140625" style="151" customWidth="1"/>
    <col min="5765" max="5765" width="8.28515625" style="151" customWidth="1"/>
    <col min="5766" max="5766" width="9.85546875" style="151" customWidth="1"/>
    <col min="5767" max="5767" width="8" style="151" customWidth="1"/>
    <col min="5768" max="5768" width="9.85546875" style="151" customWidth="1"/>
    <col min="5769" max="5769" width="6" style="151" customWidth="1"/>
    <col min="5770" max="5770" width="11.140625" style="151" customWidth="1"/>
    <col min="5771" max="5771" width="6.85546875" style="151" customWidth="1"/>
    <col min="5772" max="5772" width="11.7109375" style="151" customWidth="1"/>
    <col min="5773" max="5773" width="7.140625" style="151" customWidth="1"/>
    <col min="5774" max="5774" width="9" style="151" customWidth="1"/>
    <col min="5775" max="5775" width="7.140625" style="151" customWidth="1"/>
    <col min="5776" max="5776" width="12" style="151" customWidth="1"/>
    <col min="5777" max="5777" width="12.7109375" style="151" customWidth="1"/>
    <col min="5778" max="5789" width="11.140625" style="151" bestFit="1" customWidth="1"/>
    <col min="5790" max="5790" width="12" style="151" bestFit="1" customWidth="1"/>
    <col min="5791" max="5791" width="10" style="151" bestFit="1" customWidth="1"/>
    <col min="5792" max="5810" width="12.7109375" style="151" customWidth="1"/>
    <col min="5811" max="5821" width="9.85546875" style="151" bestFit="1" customWidth="1"/>
    <col min="5822" max="5822" width="11.140625" style="151" bestFit="1" customWidth="1"/>
    <col min="5823" max="5837" width="9.140625" style="151"/>
    <col min="5838" max="5838" width="9.85546875" style="151" bestFit="1" customWidth="1"/>
    <col min="5839" max="5853" width="9.140625" style="151"/>
    <col min="5854" max="5854" width="9.85546875" style="151" bestFit="1" customWidth="1"/>
    <col min="5855" max="5869" width="9.140625" style="151"/>
    <col min="5870" max="5870" width="9.85546875" style="151" bestFit="1" customWidth="1"/>
    <col min="5871" max="5885" width="9.140625" style="151"/>
    <col min="5886" max="5886" width="9.85546875" style="151" bestFit="1" customWidth="1"/>
    <col min="5887" max="5888" width="9.140625" style="151"/>
    <col min="5889" max="5889" width="11" style="151" bestFit="1" customWidth="1"/>
    <col min="5890" max="5894" width="11.140625" style="151" bestFit="1" customWidth="1"/>
    <col min="5895" max="5895" width="9.85546875" style="151" bestFit="1" customWidth="1"/>
    <col min="5896" max="5900" width="11.140625" style="151" bestFit="1" customWidth="1"/>
    <col min="5901" max="5901" width="12" style="151" bestFit="1" customWidth="1"/>
    <col min="5902" max="5902" width="11" style="151" bestFit="1" customWidth="1"/>
    <col min="5903" max="6015" width="9.140625" style="151"/>
    <col min="6016" max="6016" width="8.28515625" style="151" bestFit="1" customWidth="1"/>
    <col min="6017" max="6017" width="26" style="151" bestFit="1" customWidth="1"/>
    <col min="6018" max="6018" width="12" style="151" customWidth="1"/>
    <col min="6019" max="6019" width="8.140625" style="151" customWidth="1"/>
    <col min="6020" max="6020" width="11.140625" style="151" customWidth="1"/>
    <col min="6021" max="6021" width="8.28515625" style="151" customWidth="1"/>
    <col min="6022" max="6022" width="9.85546875" style="151" customWidth="1"/>
    <col min="6023" max="6023" width="8" style="151" customWidth="1"/>
    <col min="6024" max="6024" width="9.85546875" style="151" customWidth="1"/>
    <col min="6025" max="6025" width="6" style="151" customWidth="1"/>
    <col min="6026" max="6026" width="11.140625" style="151" customWidth="1"/>
    <col min="6027" max="6027" width="6.85546875" style="151" customWidth="1"/>
    <col min="6028" max="6028" width="11.7109375" style="151" customWidth="1"/>
    <col min="6029" max="6029" width="7.140625" style="151" customWidth="1"/>
    <col min="6030" max="6030" width="9" style="151" customWidth="1"/>
    <col min="6031" max="6031" width="7.140625" style="151" customWidth="1"/>
    <col min="6032" max="6032" width="12" style="151" customWidth="1"/>
    <col min="6033" max="6033" width="12.7109375" style="151" customWidth="1"/>
    <col min="6034" max="6045" width="11.140625" style="151" bestFit="1" customWidth="1"/>
    <col min="6046" max="6046" width="12" style="151" bestFit="1" customWidth="1"/>
    <col min="6047" max="6047" width="10" style="151" bestFit="1" customWidth="1"/>
    <col min="6048" max="6066" width="12.7109375" style="151" customWidth="1"/>
    <col min="6067" max="6077" width="9.85546875" style="151" bestFit="1" customWidth="1"/>
    <col min="6078" max="6078" width="11.140625" style="151" bestFit="1" customWidth="1"/>
    <col min="6079" max="6093" width="9.140625" style="151"/>
    <col min="6094" max="6094" width="9.85546875" style="151" bestFit="1" customWidth="1"/>
    <col min="6095" max="6109" width="9.140625" style="151"/>
    <col min="6110" max="6110" width="9.85546875" style="151" bestFit="1" customWidth="1"/>
    <col min="6111" max="6125" width="9.140625" style="151"/>
    <col min="6126" max="6126" width="9.85546875" style="151" bestFit="1" customWidth="1"/>
    <col min="6127" max="6141" width="9.140625" style="151"/>
    <col min="6142" max="6142" width="9.85546875" style="151" bestFit="1" customWidth="1"/>
    <col min="6143" max="6144" width="9.140625" style="151"/>
    <col min="6145" max="6145" width="11" style="151" bestFit="1" customWidth="1"/>
    <col min="6146" max="6150" width="11.140625" style="151" bestFit="1" customWidth="1"/>
    <col min="6151" max="6151" width="9.85546875" style="151" bestFit="1" customWidth="1"/>
    <col min="6152" max="6156" width="11.140625" style="151" bestFit="1" customWidth="1"/>
    <col min="6157" max="6157" width="12" style="151" bestFit="1" customWidth="1"/>
    <col min="6158" max="6158" width="11" style="151" bestFit="1" customWidth="1"/>
    <col min="6159" max="6271" width="9.140625" style="151"/>
    <col min="6272" max="6272" width="8.28515625" style="151" bestFit="1" customWidth="1"/>
    <col min="6273" max="6273" width="26" style="151" bestFit="1" customWidth="1"/>
    <col min="6274" max="6274" width="12" style="151" customWidth="1"/>
    <col min="6275" max="6275" width="8.140625" style="151" customWidth="1"/>
    <col min="6276" max="6276" width="11.140625" style="151" customWidth="1"/>
    <col min="6277" max="6277" width="8.28515625" style="151" customWidth="1"/>
    <col min="6278" max="6278" width="9.85546875" style="151" customWidth="1"/>
    <col min="6279" max="6279" width="8" style="151" customWidth="1"/>
    <col min="6280" max="6280" width="9.85546875" style="151" customWidth="1"/>
    <col min="6281" max="6281" width="6" style="151" customWidth="1"/>
    <col min="6282" max="6282" width="11.140625" style="151" customWidth="1"/>
    <col min="6283" max="6283" width="6.85546875" style="151" customWidth="1"/>
    <col min="6284" max="6284" width="11.7109375" style="151" customWidth="1"/>
    <col min="6285" max="6285" width="7.140625" style="151" customWidth="1"/>
    <col min="6286" max="6286" width="9" style="151" customWidth="1"/>
    <col min="6287" max="6287" width="7.140625" style="151" customWidth="1"/>
    <col min="6288" max="6288" width="12" style="151" customWidth="1"/>
    <col min="6289" max="6289" width="12.7109375" style="151" customWidth="1"/>
    <col min="6290" max="6301" width="11.140625" style="151" bestFit="1" customWidth="1"/>
    <col min="6302" max="6302" width="12" style="151" bestFit="1" customWidth="1"/>
    <col min="6303" max="6303" width="10" style="151" bestFit="1" customWidth="1"/>
    <col min="6304" max="6322" width="12.7109375" style="151" customWidth="1"/>
    <col min="6323" max="6333" width="9.85546875" style="151" bestFit="1" customWidth="1"/>
    <col min="6334" max="6334" width="11.140625" style="151" bestFit="1" customWidth="1"/>
    <col min="6335" max="6349" width="9.140625" style="151"/>
    <col min="6350" max="6350" width="9.85546875" style="151" bestFit="1" customWidth="1"/>
    <col min="6351" max="6365" width="9.140625" style="151"/>
    <col min="6366" max="6366" width="9.85546875" style="151" bestFit="1" customWidth="1"/>
    <col min="6367" max="6381" width="9.140625" style="151"/>
    <col min="6382" max="6382" width="9.85546875" style="151" bestFit="1" customWidth="1"/>
    <col min="6383" max="6397" width="9.140625" style="151"/>
    <col min="6398" max="6398" width="9.85546875" style="151" bestFit="1" customWidth="1"/>
    <col min="6399" max="6400" width="9.140625" style="151"/>
    <col min="6401" max="6401" width="11" style="151" bestFit="1" customWidth="1"/>
    <col min="6402" max="6406" width="11.140625" style="151" bestFit="1" customWidth="1"/>
    <col min="6407" max="6407" width="9.85546875" style="151" bestFit="1" customWidth="1"/>
    <col min="6408" max="6412" width="11.140625" style="151" bestFit="1" customWidth="1"/>
    <col min="6413" max="6413" width="12" style="151" bestFit="1" customWidth="1"/>
    <col min="6414" max="6414" width="11" style="151" bestFit="1" customWidth="1"/>
    <col min="6415" max="6527" width="9.140625" style="151"/>
    <col min="6528" max="6528" width="8.28515625" style="151" bestFit="1" customWidth="1"/>
    <col min="6529" max="6529" width="26" style="151" bestFit="1" customWidth="1"/>
    <col min="6530" max="6530" width="12" style="151" customWidth="1"/>
    <col min="6531" max="6531" width="8.140625" style="151" customWidth="1"/>
    <col min="6532" max="6532" width="11.140625" style="151" customWidth="1"/>
    <col min="6533" max="6533" width="8.28515625" style="151" customWidth="1"/>
    <col min="6534" max="6534" width="9.85546875" style="151" customWidth="1"/>
    <col min="6535" max="6535" width="8" style="151" customWidth="1"/>
    <col min="6536" max="6536" width="9.85546875" style="151" customWidth="1"/>
    <col min="6537" max="6537" width="6" style="151" customWidth="1"/>
    <col min="6538" max="6538" width="11.140625" style="151" customWidth="1"/>
    <col min="6539" max="6539" width="6.85546875" style="151" customWidth="1"/>
    <col min="6540" max="6540" width="11.7109375" style="151" customWidth="1"/>
    <col min="6541" max="6541" width="7.140625" style="151" customWidth="1"/>
    <col min="6542" max="6542" width="9" style="151" customWidth="1"/>
    <col min="6543" max="6543" width="7.140625" style="151" customWidth="1"/>
    <col min="6544" max="6544" width="12" style="151" customWidth="1"/>
    <col min="6545" max="6545" width="12.7109375" style="151" customWidth="1"/>
    <col min="6546" max="6557" width="11.140625" style="151" bestFit="1" customWidth="1"/>
    <col min="6558" max="6558" width="12" style="151" bestFit="1" customWidth="1"/>
    <col min="6559" max="6559" width="10" style="151" bestFit="1" customWidth="1"/>
    <col min="6560" max="6578" width="12.7109375" style="151" customWidth="1"/>
    <col min="6579" max="6589" width="9.85546875" style="151" bestFit="1" customWidth="1"/>
    <col min="6590" max="6590" width="11.140625" style="151" bestFit="1" customWidth="1"/>
    <col min="6591" max="6605" width="9.140625" style="151"/>
    <col min="6606" max="6606" width="9.85546875" style="151" bestFit="1" customWidth="1"/>
    <col min="6607" max="6621" width="9.140625" style="151"/>
    <col min="6622" max="6622" width="9.85546875" style="151" bestFit="1" customWidth="1"/>
    <col min="6623" max="6637" width="9.140625" style="151"/>
    <col min="6638" max="6638" width="9.85546875" style="151" bestFit="1" customWidth="1"/>
    <col min="6639" max="6653" width="9.140625" style="151"/>
    <col min="6654" max="6654" width="9.85546875" style="151" bestFit="1" customWidth="1"/>
    <col min="6655" max="6656" width="9.140625" style="151"/>
    <col min="6657" max="6657" width="11" style="151" bestFit="1" customWidth="1"/>
    <col min="6658" max="6662" width="11.140625" style="151" bestFit="1" customWidth="1"/>
    <col min="6663" max="6663" width="9.85546875" style="151" bestFit="1" customWidth="1"/>
    <col min="6664" max="6668" width="11.140625" style="151" bestFit="1" customWidth="1"/>
    <col min="6669" max="6669" width="12" style="151" bestFit="1" customWidth="1"/>
    <col min="6670" max="6670" width="11" style="151" bestFit="1" customWidth="1"/>
    <col min="6671" max="6783" width="9.140625" style="151"/>
    <col min="6784" max="6784" width="8.28515625" style="151" bestFit="1" customWidth="1"/>
    <col min="6785" max="6785" width="26" style="151" bestFit="1" customWidth="1"/>
    <col min="6786" max="6786" width="12" style="151" customWidth="1"/>
    <col min="6787" max="6787" width="8.140625" style="151" customWidth="1"/>
    <col min="6788" max="6788" width="11.140625" style="151" customWidth="1"/>
    <col min="6789" max="6789" width="8.28515625" style="151" customWidth="1"/>
    <col min="6790" max="6790" width="9.85546875" style="151" customWidth="1"/>
    <col min="6791" max="6791" width="8" style="151" customWidth="1"/>
    <col min="6792" max="6792" width="9.85546875" style="151" customWidth="1"/>
    <col min="6793" max="6793" width="6" style="151" customWidth="1"/>
    <col min="6794" max="6794" width="11.140625" style="151" customWidth="1"/>
    <col min="6795" max="6795" width="6.85546875" style="151" customWidth="1"/>
    <col min="6796" max="6796" width="11.7109375" style="151" customWidth="1"/>
    <col min="6797" max="6797" width="7.140625" style="151" customWidth="1"/>
    <col min="6798" max="6798" width="9" style="151" customWidth="1"/>
    <col min="6799" max="6799" width="7.140625" style="151" customWidth="1"/>
    <col min="6800" max="6800" width="12" style="151" customWidth="1"/>
    <col min="6801" max="6801" width="12.7109375" style="151" customWidth="1"/>
    <col min="6802" max="6813" width="11.140625" style="151" bestFit="1" customWidth="1"/>
    <col min="6814" max="6814" width="12" style="151" bestFit="1" customWidth="1"/>
    <col min="6815" max="6815" width="10" style="151" bestFit="1" customWidth="1"/>
    <col min="6816" max="6834" width="12.7109375" style="151" customWidth="1"/>
    <col min="6835" max="6845" width="9.85546875" style="151" bestFit="1" customWidth="1"/>
    <col min="6846" max="6846" width="11.140625" style="151" bestFit="1" customWidth="1"/>
    <col min="6847" max="6861" width="9.140625" style="151"/>
    <col min="6862" max="6862" width="9.85546875" style="151" bestFit="1" customWidth="1"/>
    <col min="6863" max="6877" width="9.140625" style="151"/>
    <col min="6878" max="6878" width="9.85546875" style="151" bestFit="1" customWidth="1"/>
    <col min="6879" max="6893" width="9.140625" style="151"/>
    <col min="6894" max="6894" width="9.85546875" style="151" bestFit="1" customWidth="1"/>
    <col min="6895" max="6909" width="9.140625" style="151"/>
    <col min="6910" max="6910" width="9.85546875" style="151" bestFit="1" customWidth="1"/>
    <col min="6911" max="6912" width="9.140625" style="151"/>
    <col min="6913" max="6913" width="11" style="151" bestFit="1" customWidth="1"/>
    <col min="6914" max="6918" width="11.140625" style="151" bestFit="1" customWidth="1"/>
    <col min="6919" max="6919" width="9.85546875" style="151" bestFit="1" customWidth="1"/>
    <col min="6920" max="6924" width="11.140625" style="151" bestFit="1" customWidth="1"/>
    <col min="6925" max="6925" width="12" style="151" bestFit="1" customWidth="1"/>
    <col min="6926" max="6926" width="11" style="151" bestFit="1" customWidth="1"/>
    <col min="6927" max="7039" width="9.140625" style="151"/>
    <col min="7040" max="7040" width="8.28515625" style="151" bestFit="1" customWidth="1"/>
    <col min="7041" max="7041" width="26" style="151" bestFit="1" customWidth="1"/>
    <col min="7042" max="7042" width="12" style="151" customWidth="1"/>
    <col min="7043" max="7043" width="8.140625" style="151" customWidth="1"/>
    <col min="7044" max="7044" width="11.140625" style="151" customWidth="1"/>
    <col min="7045" max="7045" width="8.28515625" style="151" customWidth="1"/>
    <col min="7046" max="7046" width="9.85546875" style="151" customWidth="1"/>
    <col min="7047" max="7047" width="8" style="151" customWidth="1"/>
    <col min="7048" max="7048" width="9.85546875" style="151" customWidth="1"/>
    <col min="7049" max="7049" width="6" style="151" customWidth="1"/>
    <col min="7050" max="7050" width="11.140625" style="151" customWidth="1"/>
    <col min="7051" max="7051" width="6.85546875" style="151" customWidth="1"/>
    <col min="7052" max="7052" width="11.7109375" style="151" customWidth="1"/>
    <col min="7053" max="7053" width="7.140625" style="151" customWidth="1"/>
    <col min="7054" max="7054" width="9" style="151" customWidth="1"/>
    <col min="7055" max="7055" width="7.140625" style="151" customWidth="1"/>
    <col min="7056" max="7056" width="12" style="151" customWidth="1"/>
    <col min="7057" max="7057" width="12.7109375" style="151" customWidth="1"/>
    <col min="7058" max="7069" width="11.140625" style="151" bestFit="1" customWidth="1"/>
    <col min="7070" max="7070" width="12" style="151" bestFit="1" customWidth="1"/>
    <col min="7071" max="7071" width="10" style="151" bestFit="1" customWidth="1"/>
    <col min="7072" max="7090" width="12.7109375" style="151" customWidth="1"/>
    <col min="7091" max="7101" width="9.85546875" style="151" bestFit="1" customWidth="1"/>
    <col min="7102" max="7102" width="11.140625" style="151" bestFit="1" customWidth="1"/>
    <col min="7103" max="7117" width="9.140625" style="151"/>
    <col min="7118" max="7118" width="9.85546875" style="151" bestFit="1" customWidth="1"/>
    <col min="7119" max="7133" width="9.140625" style="151"/>
    <col min="7134" max="7134" width="9.85546875" style="151" bestFit="1" customWidth="1"/>
    <col min="7135" max="7149" width="9.140625" style="151"/>
    <col min="7150" max="7150" width="9.85546875" style="151" bestFit="1" customWidth="1"/>
    <col min="7151" max="7165" width="9.140625" style="151"/>
    <col min="7166" max="7166" width="9.85546875" style="151" bestFit="1" customWidth="1"/>
    <col min="7167" max="7168" width="9.140625" style="151"/>
    <col min="7169" max="7169" width="11" style="151" bestFit="1" customWidth="1"/>
    <col min="7170" max="7174" width="11.140625" style="151" bestFit="1" customWidth="1"/>
    <col min="7175" max="7175" width="9.85546875" style="151" bestFit="1" customWidth="1"/>
    <col min="7176" max="7180" width="11.140625" style="151" bestFit="1" customWidth="1"/>
    <col min="7181" max="7181" width="12" style="151" bestFit="1" customWidth="1"/>
    <col min="7182" max="7182" width="11" style="151" bestFit="1" customWidth="1"/>
    <col min="7183" max="7295" width="9.140625" style="151"/>
    <col min="7296" max="7296" width="8.28515625" style="151" bestFit="1" customWidth="1"/>
    <col min="7297" max="7297" width="26" style="151" bestFit="1" customWidth="1"/>
    <col min="7298" max="7298" width="12" style="151" customWidth="1"/>
    <col min="7299" max="7299" width="8.140625" style="151" customWidth="1"/>
    <col min="7300" max="7300" width="11.140625" style="151" customWidth="1"/>
    <col min="7301" max="7301" width="8.28515625" style="151" customWidth="1"/>
    <col min="7302" max="7302" width="9.85546875" style="151" customWidth="1"/>
    <col min="7303" max="7303" width="8" style="151" customWidth="1"/>
    <col min="7304" max="7304" width="9.85546875" style="151" customWidth="1"/>
    <col min="7305" max="7305" width="6" style="151" customWidth="1"/>
    <col min="7306" max="7306" width="11.140625" style="151" customWidth="1"/>
    <col min="7307" max="7307" width="6.85546875" style="151" customWidth="1"/>
    <col min="7308" max="7308" width="11.7109375" style="151" customWidth="1"/>
    <col min="7309" max="7309" width="7.140625" style="151" customWidth="1"/>
    <col min="7310" max="7310" width="9" style="151" customWidth="1"/>
    <col min="7311" max="7311" width="7.140625" style="151" customWidth="1"/>
    <col min="7312" max="7312" width="12" style="151" customWidth="1"/>
    <col min="7313" max="7313" width="12.7109375" style="151" customWidth="1"/>
    <col min="7314" max="7325" width="11.140625" style="151" bestFit="1" customWidth="1"/>
    <col min="7326" max="7326" width="12" style="151" bestFit="1" customWidth="1"/>
    <col min="7327" max="7327" width="10" style="151" bestFit="1" customWidth="1"/>
    <col min="7328" max="7346" width="12.7109375" style="151" customWidth="1"/>
    <col min="7347" max="7357" width="9.85546875" style="151" bestFit="1" customWidth="1"/>
    <col min="7358" max="7358" width="11.140625" style="151" bestFit="1" customWidth="1"/>
    <col min="7359" max="7373" width="9.140625" style="151"/>
    <col min="7374" max="7374" width="9.85546875" style="151" bestFit="1" customWidth="1"/>
    <col min="7375" max="7389" width="9.140625" style="151"/>
    <col min="7390" max="7390" width="9.85546875" style="151" bestFit="1" customWidth="1"/>
    <col min="7391" max="7405" width="9.140625" style="151"/>
    <col min="7406" max="7406" width="9.85546875" style="151" bestFit="1" customWidth="1"/>
    <col min="7407" max="7421" width="9.140625" style="151"/>
    <col min="7422" max="7422" width="9.85546875" style="151" bestFit="1" customWidth="1"/>
    <col min="7423" max="7424" width="9.140625" style="151"/>
    <col min="7425" max="7425" width="11" style="151" bestFit="1" customWidth="1"/>
    <col min="7426" max="7430" width="11.140625" style="151" bestFit="1" customWidth="1"/>
    <col min="7431" max="7431" width="9.85546875" style="151" bestFit="1" customWidth="1"/>
    <col min="7432" max="7436" width="11.140625" style="151" bestFit="1" customWidth="1"/>
    <col min="7437" max="7437" width="12" style="151" bestFit="1" customWidth="1"/>
    <col min="7438" max="7438" width="11" style="151" bestFit="1" customWidth="1"/>
    <col min="7439" max="7551" width="9.140625" style="151"/>
    <col min="7552" max="7552" width="8.28515625" style="151" bestFit="1" customWidth="1"/>
    <col min="7553" max="7553" width="26" style="151" bestFit="1" customWidth="1"/>
    <col min="7554" max="7554" width="12" style="151" customWidth="1"/>
    <col min="7555" max="7555" width="8.140625" style="151" customWidth="1"/>
    <col min="7556" max="7556" width="11.140625" style="151" customWidth="1"/>
    <col min="7557" max="7557" width="8.28515625" style="151" customWidth="1"/>
    <col min="7558" max="7558" width="9.85546875" style="151" customWidth="1"/>
    <col min="7559" max="7559" width="8" style="151" customWidth="1"/>
    <col min="7560" max="7560" width="9.85546875" style="151" customWidth="1"/>
    <col min="7561" max="7561" width="6" style="151" customWidth="1"/>
    <col min="7562" max="7562" width="11.140625" style="151" customWidth="1"/>
    <col min="7563" max="7563" width="6.85546875" style="151" customWidth="1"/>
    <col min="7564" max="7564" width="11.7109375" style="151" customWidth="1"/>
    <col min="7565" max="7565" width="7.140625" style="151" customWidth="1"/>
    <col min="7566" max="7566" width="9" style="151" customWidth="1"/>
    <col min="7567" max="7567" width="7.140625" style="151" customWidth="1"/>
    <col min="7568" max="7568" width="12" style="151" customWidth="1"/>
    <col min="7569" max="7569" width="12.7109375" style="151" customWidth="1"/>
    <col min="7570" max="7581" width="11.140625" style="151" bestFit="1" customWidth="1"/>
    <col min="7582" max="7582" width="12" style="151" bestFit="1" customWidth="1"/>
    <col min="7583" max="7583" width="10" style="151" bestFit="1" customWidth="1"/>
    <col min="7584" max="7602" width="12.7109375" style="151" customWidth="1"/>
    <col min="7603" max="7613" width="9.85546875" style="151" bestFit="1" customWidth="1"/>
    <col min="7614" max="7614" width="11.140625" style="151" bestFit="1" customWidth="1"/>
    <col min="7615" max="7629" width="9.140625" style="151"/>
    <col min="7630" max="7630" width="9.85546875" style="151" bestFit="1" customWidth="1"/>
    <col min="7631" max="7645" width="9.140625" style="151"/>
    <col min="7646" max="7646" width="9.85546875" style="151" bestFit="1" customWidth="1"/>
    <col min="7647" max="7661" width="9.140625" style="151"/>
    <col min="7662" max="7662" width="9.85546875" style="151" bestFit="1" customWidth="1"/>
    <col min="7663" max="7677" width="9.140625" style="151"/>
    <col min="7678" max="7678" width="9.85546875" style="151" bestFit="1" customWidth="1"/>
    <col min="7679" max="7680" width="9.140625" style="151"/>
    <col min="7681" max="7681" width="11" style="151" bestFit="1" customWidth="1"/>
    <col min="7682" max="7686" width="11.140625" style="151" bestFit="1" customWidth="1"/>
    <col min="7687" max="7687" width="9.85546875" style="151" bestFit="1" customWidth="1"/>
    <col min="7688" max="7692" width="11.140625" style="151" bestFit="1" customWidth="1"/>
    <col min="7693" max="7693" width="12" style="151" bestFit="1" customWidth="1"/>
    <col min="7694" max="7694" width="11" style="151" bestFit="1" customWidth="1"/>
    <col min="7695" max="7807" width="9.140625" style="151"/>
    <col min="7808" max="7808" width="8.28515625" style="151" bestFit="1" customWidth="1"/>
    <col min="7809" max="7809" width="26" style="151" bestFit="1" customWidth="1"/>
    <col min="7810" max="7810" width="12" style="151" customWidth="1"/>
    <col min="7811" max="7811" width="8.140625" style="151" customWidth="1"/>
    <col min="7812" max="7812" width="11.140625" style="151" customWidth="1"/>
    <col min="7813" max="7813" width="8.28515625" style="151" customWidth="1"/>
    <col min="7814" max="7814" width="9.85546875" style="151" customWidth="1"/>
    <col min="7815" max="7815" width="8" style="151" customWidth="1"/>
    <col min="7816" max="7816" width="9.85546875" style="151" customWidth="1"/>
    <col min="7817" max="7817" width="6" style="151" customWidth="1"/>
    <col min="7818" max="7818" width="11.140625" style="151" customWidth="1"/>
    <col min="7819" max="7819" width="6.85546875" style="151" customWidth="1"/>
    <col min="7820" max="7820" width="11.7109375" style="151" customWidth="1"/>
    <col min="7821" max="7821" width="7.140625" style="151" customWidth="1"/>
    <col min="7822" max="7822" width="9" style="151" customWidth="1"/>
    <col min="7823" max="7823" width="7.140625" style="151" customWidth="1"/>
    <col min="7824" max="7824" width="12" style="151" customWidth="1"/>
    <col min="7825" max="7825" width="12.7109375" style="151" customWidth="1"/>
    <col min="7826" max="7837" width="11.140625" style="151" bestFit="1" customWidth="1"/>
    <col min="7838" max="7838" width="12" style="151" bestFit="1" customWidth="1"/>
    <col min="7839" max="7839" width="10" style="151" bestFit="1" customWidth="1"/>
    <col min="7840" max="7858" width="12.7109375" style="151" customWidth="1"/>
    <col min="7859" max="7869" width="9.85546875" style="151" bestFit="1" customWidth="1"/>
    <col min="7870" max="7870" width="11.140625" style="151" bestFit="1" customWidth="1"/>
    <col min="7871" max="7885" width="9.140625" style="151"/>
    <col min="7886" max="7886" width="9.85546875" style="151" bestFit="1" customWidth="1"/>
    <col min="7887" max="7901" width="9.140625" style="151"/>
    <col min="7902" max="7902" width="9.85546875" style="151" bestFit="1" customWidth="1"/>
    <col min="7903" max="7917" width="9.140625" style="151"/>
    <col min="7918" max="7918" width="9.85546875" style="151" bestFit="1" customWidth="1"/>
    <col min="7919" max="7933" width="9.140625" style="151"/>
    <col min="7934" max="7934" width="9.85546875" style="151" bestFit="1" customWidth="1"/>
    <col min="7935" max="7936" width="9.140625" style="151"/>
    <col min="7937" max="7937" width="11" style="151" bestFit="1" customWidth="1"/>
    <col min="7938" max="7942" width="11.140625" style="151" bestFit="1" customWidth="1"/>
    <col min="7943" max="7943" width="9.85546875" style="151" bestFit="1" customWidth="1"/>
    <col min="7944" max="7948" width="11.140625" style="151" bestFit="1" customWidth="1"/>
    <col min="7949" max="7949" width="12" style="151" bestFit="1" customWidth="1"/>
    <col min="7950" max="7950" width="11" style="151" bestFit="1" customWidth="1"/>
    <col min="7951" max="8063" width="9.140625" style="151"/>
    <col min="8064" max="8064" width="8.28515625" style="151" bestFit="1" customWidth="1"/>
    <col min="8065" max="8065" width="26" style="151" bestFit="1" customWidth="1"/>
    <col min="8066" max="8066" width="12" style="151" customWidth="1"/>
    <col min="8067" max="8067" width="8.140625" style="151" customWidth="1"/>
    <col min="8068" max="8068" width="11.140625" style="151" customWidth="1"/>
    <col min="8069" max="8069" width="8.28515625" style="151" customWidth="1"/>
    <col min="8070" max="8070" width="9.85546875" style="151" customWidth="1"/>
    <col min="8071" max="8071" width="8" style="151" customWidth="1"/>
    <col min="8072" max="8072" width="9.85546875" style="151" customWidth="1"/>
    <col min="8073" max="8073" width="6" style="151" customWidth="1"/>
    <col min="8074" max="8074" width="11.140625" style="151" customWidth="1"/>
    <col min="8075" max="8075" width="6.85546875" style="151" customWidth="1"/>
    <col min="8076" max="8076" width="11.7109375" style="151" customWidth="1"/>
    <col min="8077" max="8077" width="7.140625" style="151" customWidth="1"/>
    <col min="8078" max="8078" width="9" style="151" customWidth="1"/>
    <col min="8079" max="8079" width="7.140625" style="151" customWidth="1"/>
    <col min="8080" max="8080" width="12" style="151" customWidth="1"/>
    <col min="8081" max="8081" width="12.7109375" style="151" customWidth="1"/>
    <col min="8082" max="8093" width="11.140625" style="151" bestFit="1" customWidth="1"/>
    <col min="8094" max="8094" width="12" style="151" bestFit="1" customWidth="1"/>
    <col min="8095" max="8095" width="10" style="151" bestFit="1" customWidth="1"/>
    <col min="8096" max="8114" width="12.7109375" style="151" customWidth="1"/>
    <col min="8115" max="8125" width="9.85546875" style="151" bestFit="1" customWidth="1"/>
    <col min="8126" max="8126" width="11.140625" style="151" bestFit="1" customWidth="1"/>
    <col min="8127" max="8141" width="9.140625" style="151"/>
    <col min="8142" max="8142" width="9.85546875" style="151" bestFit="1" customWidth="1"/>
    <col min="8143" max="8157" width="9.140625" style="151"/>
    <col min="8158" max="8158" width="9.85546875" style="151" bestFit="1" customWidth="1"/>
    <col min="8159" max="8173" width="9.140625" style="151"/>
    <col min="8174" max="8174" width="9.85546875" style="151" bestFit="1" customWidth="1"/>
    <col min="8175" max="8189" width="9.140625" style="151"/>
    <col min="8190" max="8190" width="9.85546875" style="151" bestFit="1" customWidth="1"/>
    <col min="8191" max="8192" width="9.140625" style="151"/>
    <col min="8193" max="8193" width="11" style="151" bestFit="1" customWidth="1"/>
    <col min="8194" max="8198" width="11.140625" style="151" bestFit="1" customWidth="1"/>
    <col min="8199" max="8199" width="9.85546875" style="151" bestFit="1" customWidth="1"/>
    <col min="8200" max="8204" width="11.140625" style="151" bestFit="1" customWidth="1"/>
    <col min="8205" max="8205" width="12" style="151" bestFit="1" customWidth="1"/>
    <col min="8206" max="8206" width="11" style="151" bestFit="1" customWidth="1"/>
    <col min="8207" max="8319" width="9.140625" style="151"/>
    <col min="8320" max="8320" width="8.28515625" style="151" bestFit="1" customWidth="1"/>
    <col min="8321" max="8321" width="26" style="151" bestFit="1" customWidth="1"/>
    <col min="8322" max="8322" width="12" style="151" customWidth="1"/>
    <col min="8323" max="8323" width="8.140625" style="151" customWidth="1"/>
    <col min="8324" max="8324" width="11.140625" style="151" customWidth="1"/>
    <col min="8325" max="8325" width="8.28515625" style="151" customWidth="1"/>
    <col min="8326" max="8326" width="9.85546875" style="151" customWidth="1"/>
    <col min="8327" max="8327" width="8" style="151" customWidth="1"/>
    <col min="8328" max="8328" width="9.85546875" style="151" customWidth="1"/>
    <col min="8329" max="8329" width="6" style="151" customWidth="1"/>
    <col min="8330" max="8330" width="11.140625" style="151" customWidth="1"/>
    <col min="8331" max="8331" width="6.85546875" style="151" customWidth="1"/>
    <col min="8332" max="8332" width="11.7109375" style="151" customWidth="1"/>
    <col min="8333" max="8333" width="7.140625" style="151" customWidth="1"/>
    <col min="8334" max="8334" width="9" style="151" customWidth="1"/>
    <col min="8335" max="8335" width="7.140625" style="151" customWidth="1"/>
    <col min="8336" max="8336" width="12" style="151" customWidth="1"/>
    <col min="8337" max="8337" width="12.7109375" style="151" customWidth="1"/>
    <col min="8338" max="8349" width="11.140625" style="151" bestFit="1" customWidth="1"/>
    <col min="8350" max="8350" width="12" style="151" bestFit="1" customWidth="1"/>
    <col min="8351" max="8351" width="10" style="151" bestFit="1" customWidth="1"/>
    <col min="8352" max="8370" width="12.7109375" style="151" customWidth="1"/>
    <col min="8371" max="8381" width="9.85546875" style="151" bestFit="1" customWidth="1"/>
    <col min="8382" max="8382" width="11.140625" style="151" bestFit="1" customWidth="1"/>
    <col min="8383" max="8397" width="9.140625" style="151"/>
    <col min="8398" max="8398" width="9.85546875" style="151" bestFit="1" customWidth="1"/>
    <col min="8399" max="8413" width="9.140625" style="151"/>
    <col min="8414" max="8414" width="9.85546875" style="151" bestFit="1" customWidth="1"/>
    <col min="8415" max="8429" width="9.140625" style="151"/>
    <col min="8430" max="8430" width="9.85546875" style="151" bestFit="1" customWidth="1"/>
    <col min="8431" max="8445" width="9.140625" style="151"/>
    <col min="8446" max="8446" width="9.85546875" style="151" bestFit="1" customWidth="1"/>
    <col min="8447" max="8448" width="9.140625" style="151"/>
    <col min="8449" max="8449" width="11" style="151" bestFit="1" customWidth="1"/>
    <col min="8450" max="8454" width="11.140625" style="151" bestFit="1" customWidth="1"/>
    <col min="8455" max="8455" width="9.85546875" style="151" bestFit="1" customWidth="1"/>
    <col min="8456" max="8460" width="11.140625" style="151" bestFit="1" customWidth="1"/>
    <col min="8461" max="8461" width="12" style="151" bestFit="1" customWidth="1"/>
    <col min="8462" max="8462" width="11" style="151" bestFit="1" customWidth="1"/>
    <col min="8463" max="8575" width="9.140625" style="151"/>
    <col min="8576" max="8576" width="8.28515625" style="151" bestFit="1" customWidth="1"/>
    <col min="8577" max="8577" width="26" style="151" bestFit="1" customWidth="1"/>
    <col min="8578" max="8578" width="12" style="151" customWidth="1"/>
    <col min="8579" max="8579" width="8.140625" style="151" customWidth="1"/>
    <col min="8580" max="8580" width="11.140625" style="151" customWidth="1"/>
    <col min="8581" max="8581" width="8.28515625" style="151" customWidth="1"/>
    <col min="8582" max="8582" width="9.85546875" style="151" customWidth="1"/>
    <col min="8583" max="8583" width="8" style="151" customWidth="1"/>
    <col min="8584" max="8584" width="9.85546875" style="151" customWidth="1"/>
    <col min="8585" max="8585" width="6" style="151" customWidth="1"/>
    <col min="8586" max="8586" width="11.140625" style="151" customWidth="1"/>
    <col min="8587" max="8587" width="6.85546875" style="151" customWidth="1"/>
    <col min="8588" max="8588" width="11.7109375" style="151" customWidth="1"/>
    <col min="8589" max="8589" width="7.140625" style="151" customWidth="1"/>
    <col min="8590" max="8590" width="9" style="151" customWidth="1"/>
    <col min="8591" max="8591" width="7.140625" style="151" customWidth="1"/>
    <col min="8592" max="8592" width="12" style="151" customWidth="1"/>
    <col min="8593" max="8593" width="12.7109375" style="151" customWidth="1"/>
    <col min="8594" max="8605" width="11.140625" style="151" bestFit="1" customWidth="1"/>
    <col min="8606" max="8606" width="12" style="151" bestFit="1" customWidth="1"/>
    <col min="8607" max="8607" width="10" style="151" bestFit="1" customWidth="1"/>
    <col min="8608" max="8626" width="12.7109375" style="151" customWidth="1"/>
    <col min="8627" max="8637" width="9.85546875" style="151" bestFit="1" customWidth="1"/>
    <col min="8638" max="8638" width="11.140625" style="151" bestFit="1" customWidth="1"/>
    <col min="8639" max="8653" width="9.140625" style="151"/>
    <col min="8654" max="8654" width="9.85546875" style="151" bestFit="1" customWidth="1"/>
    <col min="8655" max="8669" width="9.140625" style="151"/>
    <col min="8670" max="8670" width="9.85546875" style="151" bestFit="1" customWidth="1"/>
    <col min="8671" max="8685" width="9.140625" style="151"/>
    <col min="8686" max="8686" width="9.85546875" style="151" bestFit="1" customWidth="1"/>
    <col min="8687" max="8701" width="9.140625" style="151"/>
    <col min="8702" max="8702" width="9.85546875" style="151" bestFit="1" customWidth="1"/>
    <col min="8703" max="8704" width="9.140625" style="151"/>
    <col min="8705" max="8705" width="11" style="151" bestFit="1" customWidth="1"/>
    <col min="8706" max="8710" width="11.140625" style="151" bestFit="1" customWidth="1"/>
    <col min="8711" max="8711" width="9.85546875" style="151" bestFit="1" customWidth="1"/>
    <col min="8712" max="8716" width="11.140625" style="151" bestFit="1" customWidth="1"/>
    <col min="8717" max="8717" width="12" style="151" bestFit="1" customWidth="1"/>
    <col min="8718" max="8718" width="11" style="151" bestFit="1" customWidth="1"/>
    <col min="8719" max="8831" width="9.140625" style="151"/>
    <col min="8832" max="8832" width="8.28515625" style="151" bestFit="1" customWidth="1"/>
    <col min="8833" max="8833" width="26" style="151" bestFit="1" customWidth="1"/>
    <col min="8834" max="8834" width="12" style="151" customWidth="1"/>
    <col min="8835" max="8835" width="8.140625" style="151" customWidth="1"/>
    <col min="8836" max="8836" width="11.140625" style="151" customWidth="1"/>
    <col min="8837" max="8837" width="8.28515625" style="151" customWidth="1"/>
    <col min="8838" max="8838" width="9.85546875" style="151" customWidth="1"/>
    <col min="8839" max="8839" width="8" style="151" customWidth="1"/>
    <col min="8840" max="8840" width="9.85546875" style="151" customWidth="1"/>
    <col min="8841" max="8841" width="6" style="151" customWidth="1"/>
    <col min="8842" max="8842" width="11.140625" style="151" customWidth="1"/>
    <col min="8843" max="8843" width="6.85546875" style="151" customWidth="1"/>
    <col min="8844" max="8844" width="11.7109375" style="151" customWidth="1"/>
    <col min="8845" max="8845" width="7.140625" style="151" customWidth="1"/>
    <col min="8846" max="8846" width="9" style="151" customWidth="1"/>
    <col min="8847" max="8847" width="7.140625" style="151" customWidth="1"/>
    <col min="8848" max="8848" width="12" style="151" customWidth="1"/>
    <col min="8849" max="8849" width="12.7109375" style="151" customWidth="1"/>
    <col min="8850" max="8861" width="11.140625" style="151" bestFit="1" customWidth="1"/>
    <col min="8862" max="8862" width="12" style="151" bestFit="1" customWidth="1"/>
    <col min="8863" max="8863" width="10" style="151" bestFit="1" customWidth="1"/>
    <col min="8864" max="8882" width="12.7109375" style="151" customWidth="1"/>
    <col min="8883" max="8893" width="9.85546875" style="151" bestFit="1" customWidth="1"/>
    <col min="8894" max="8894" width="11.140625" style="151" bestFit="1" customWidth="1"/>
    <col min="8895" max="8909" width="9.140625" style="151"/>
    <col min="8910" max="8910" width="9.85546875" style="151" bestFit="1" customWidth="1"/>
    <col min="8911" max="8925" width="9.140625" style="151"/>
    <col min="8926" max="8926" width="9.85546875" style="151" bestFit="1" customWidth="1"/>
    <col min="8927" max="8941" width="9.140625" style="151"/>
    <col min="8942" max="8942" width="9.85546875" style="151" bestFit="1" customWidth="1"/>
    <col min="8943" max="8957" width="9.140625" style="151"/>
    <col min="8958" max="8958" width="9.85546875" style="151" bestFit="1" customWidth="1"/>
    <col min="8959" max="8960" width="9.140625" style="151"/>
    <col min="8961" max="8961" width="11" style="151" bestFit="1" customWidth="1"/>
    <col min="8962" max="8966" width="11.140625" style="151" bestFit="1" customWidth="1"/>
    <col min="8967" max="8967" width="9.85546875" style="151" bestFit="1" customWidth="1"/>
    <col min="8968" max="8972" width="11.140625" style="151" bestFit="1" customWidth="1"/>
    <col min="8973" max="8973" width="12" style="151" bestFit="1" customWidth="1"/>
    <col min="8974" max="8974" width="11" style="151" bestFit="1" customWidth="1"/>
    <col min="8975" max="9087" width="9.140625" style="151"/>
    <col min="9088" max="9088" width="8.28515625" style="151" bestFit="1" customWidth="1"/>
    <col min="9089" max="9089" width="26" style="151" bestFit="1" customWidth="1"/>
    <col min="9090" max="9090" width="12" style="151" customWidth="1"/>
    <col min="9091" max="9091" width="8.140625" style="151" customWidth="1"/>
    <col min="9092" max="9092" width="11.140625" style="151" customWidth="1"/>
    <col min="9093" max="9093" width="8.28515625" style="151" customWidth="1"/>
    <col min="9094" max="9094" width="9.85546875" style="151" customWidth="1"/>
    <col min="9095" max="9095" width="8" style="151" customWidth="1"/>
    <col min="9096" max="9096" width="9.85546875" style="151" customWidth="1"/>
    <col min="9097" max="9097" width="6" style="151" customWidth="1"/>
    <col min="9098" max="9098" width="11.140625" style="151" customWidth="1"/>
    <col min="9099" max="9099" width="6.85546875" style="151" customWidth="1"/>
    <col min="9100" max="9100" width="11.7109375" style="151" customWidth="1"/>
    <col min="9101" max="9101" width="7.140625" style="151" customWidth="1"/>
    <col min="9102" max="9102" width="9" style="151" customWidth="1"/>
    <col min="9103" max="9103" width="7.140625" style="151" customWidth="1"/>
    <col min="9104" max="9104" width="12" style="151" customWidth="1"/>
    <col min="9105" max="9105" width="12.7109375" style="151" customWidth="1"/>
    <col min="9106" max="9117" width="11.140625" style="151" bestFit="1" customWidth="1"/>
    <col min="9118" max="9118" width="12" style="151" bestFit="1" customWidth="1"/>
    <col min="9119" max="9119" width="10" style="151" bestFit="1" customWidth="1"/>
    <col min="9120" max="9138" width="12.7109375" style="151" customWidth="1"/>
    <col min="9139" max="9149" width="9.85546875" style="151" bestFit="1" customWidth="1"/>
    <col min="9150" max="9150" width="11.140625" style="151" bestFit="1" customWidth="1"/>
    <col min="9151" max="9165" width="9.140625" style="151"/>
    <col min="9166" max="9166" width="9.85546875" style="151" bestFit="1" customWidth="1"/>
    <col min="9167" max="9181" width="9.140625" style="151"/>
    <col min="9182" max="9182" width="9.85546875" style="151" bestFit="1" customWidth="1"/>
    <col min="9183" max="9197" width="9.140625" style="151"/>
    <col min="9198" max="9198" width="9.85546875" style="151" bestFit="1" customWidth="1"/>
    <col min="9199" max="9213" width="9.140625" style="151"/>
    <col min="9214" max="9214" width="9.85546875" style="151" bestFit="1" customWidth="1"/>
    <col min="9215" max="9216" width="9.140625" style="151"/>
    <col min="9217" max="9217" width="11" style="151" bestFit="1" customWidth="1"/>
    <col min="9218" max="9222" width="11.140625" style="151" bestFit="1" customWidth="1"/>
    <col min="9223" max="9223" width="9.85546875" style="151" bestFit="1" customWidth="1"/>
    <col min="9224" max="9228" width="11.140625" style="151" bestFit="1" customWidth="1"/>
    <col min="9229" max="9229" width="12" style="151" bestFit="1" customWidth="1"/>
    <col min="9230" max="9230" width="11" style="151" bestFit="1" customWidth="1"/>
    <col min="9231" max="9343" width="9.140625" style="151"/>
    <col min="9344" max="9344" width="8.28515625" style="151" bestFit="1" customWidth="1"/>
    <col min="9345" max="9345" width="26" style="151" bestFit="1" customWidth="1"/>
    <col min="9346" max="9346" width="12" style="151" customWidth="1"/>
    <col min="9347" max="9347" width="8.140625" style="151" customWidth="1"/>
    <col min="9348" max="9348" width="11.140625" style="151" customWidth="1"/>
    <col min="9349" max="9349" width="8.28515625" style="151" customWidth="1"/>
    <col min="9350" max="9350" width="9.85546875" style="151" customWidth="1"/>
    <col min="9351" max="9351" width="8" style="151" customWidth="1"/>
    <col min="9352" max="9352" width="9.85546875" style="151" customWidth="1"/>
    <col min="9353" max="9353" width="6" style="151" customWidth="1"/>
    <col min="9354" max="9354" width="11.140625" style="151" customWidth="1"/>
    <col min="9355" max="9355" width="6.85546875" style="151" customWidth="1"/>
    <col min="9356" max="9356" width="11.7109375" style="151" customWidth="1"/>
    <col min="9357" max="9357" width="7.140625" style="151" customWidth="1"/>
    <col min="9358" max="9358" width="9" style="151" customWidth="1"/>
    <col min="9359" max="9359" width="7.140625" style="151" customWidth="1"/>
    <col min="9360" max="9360" width="12" style="151" customWidth="1"/>
    <col min="9361" max="9361" width="12.7109375" style="151" customWidth="1"/>
    <col min="9362" max="9373" width="11.140625" style="151" bestFit="1" customWidth="1"/>
    <col min="9374" max="9374" width="12" style="151" bestFit="1" customWidth="1"/>
    <col min="9375" max="9375" width="10" style="151" bestFit="1" customWidth="1"/>
    <col min="9376" max="9394" width="12.7109375" style="151" customWidth="1"/>
    <col min="9395" max="9405" width="9.85546875" style="151" bestFit="1" customWidth="1"/>
    <col min="9406" max="9406" width="11.140625" style="151" bestFit="1" customWidth="1"/>
    <col min="9407" max="9421" width="9.140625" style="151"/>
    <col min="9422" max="9422" width="9.85546875" style="151" bestFit="1" customWidth="1"/>
    <col min="9423" max="9437" width="9.140625" style="151"/>
    <col min="9438" max="9438" width="9.85546875" style="151" bestFit="1" customWidth="1"/>
    <col min="9439" max="9453" width="9.140625" style="151"/>
    <col min="9454" max="9454" width="9.85546875" style="151" bestFit="1" customWidth="1"/>
    <col min="9455" max="9469" width="9.140625" style="151"/>
    <col min="9470" max="9470" width="9.85546875" style="151" bestFit="1" customWidth="1"/>
    <col min="9471" max="9472" width="9.140625" style="151"/>
    <col min="9473" max="9473" width="11" style="151" bestFit="1" customWidth="1"/>
    <col min="9474" max="9478" width="11.140625" style="151" bestFit="1" customWidth="1"/>
    <col min="9479" max="9479" width="9.85546875" style="151" bestFit="1" customWidth="1"/>
    <col min="9480" max="9484" width="11.140625" style="151" bestFit="1" customWidth="1"/>
    <col min="9485" max="9485" width="12" style="151" bestFit="1" customWidth="1"/>
    <col min="9486" max="9486" width="11" style="151" bestFit="1" customWidth="1"/>
    <col min="9487" max="9599" width="9.140625" style="151"/>
    <col min="9600" max="9600" width="8.28515625" style="151" bestFit="1" customWidth="1"/>
    <col min="9601" max="9601" width="26" style="151" bestFit="1" customWidth="1"/>
    <col min="9602" max="9602" width="12" style="151" customWidth="1"/>
    <col min="9603" max="9603" width="8.140625" style="151" customWidth="1"/>
    <col min="9604" max="9604" width="11.140625" style="151" customWidth="1"/>
    <col min="9605" max="9605" width="8.28515625" style="151" customWidth="1"/>
    <col min="9606" max="9606" width="9.85546875" style="151" customWidth="1"/>
    <col min="9607" max="9607" width="8" style="151" customWidth="1"/>
    <col min="9608" max="9608" width="9.85546875" style="151" customWidth="1"/>
    <col min="9609" max="9609" width="6" style="151" customWidth="1"/>
    <col min="9610" max="9610" width="11.140625" style="151" customWidth="1"/>
    <col min="9611" max="9611" width="6.85546875" style="151" customWidth="1"/>
    <col min="9612" max="9612" width="11.7109375" style="151" customWidth="1"/>
    <col min="9613" max="9613" width="7.140625" style="151" customWidth="1"/>
    <col min="9614" max="9614" width="9" style="151" customWidth="1"/>
    <col min="9615" max="9615" width="7.140625" style="151" customWidth="1"/>
    <col min="9616" max="9616" width="12" style="151" customWidth="1"/>
    <col min="9617" max="9617" width="12.7109375" style="151" customWidth="1"/>
    <col min="9618" max="9629" width="11.140625" style="151" bestFit="1" customWidth="1"/>
    <col min="9630" max="9630" width="12" style="151" bestFit="1" customWidth="1"/>
    <col min="9631" max="9631" width="10" style="151" bestFit="1" customWidth="1"/>
    <col min="9632" max="9650" width="12.7109375" style="151" customWidth="1"/>
    <col min="9651" max="9661" width="9.85546875" style="151" bestFit="1" customWidth="1"/>
    <col min="9662" max="9662" width="11.140625" style="151" bestFit="1" customWidth="1"/>
    <col min="9663" max="9677" width="9.140625" style="151"/>
    <col min="9678" max="9678" width="9.85546875" style="151" bestFit="1" customWidth="1"/>
    <col min="9679" max="9693" width="9.140625" style="151"/>
    <col min="9694" max="9694" width="9.85546875" style="151" bestFit="1" customWidth="1"/>
    <col min="9695" max="9709" width="9.140625" style="151"/>
    <col min="9710" max="9710" width="9.85546875" style="151" bestFit="1" customWidth="1"/>
    <col min="9711" max="9725" width="9.140625" style="151"/>
    <col min="9726" max="9726" width="9.85546875" style="151" bestFit="1" customWidth="1"/>
    <col min="9727" max="9728" width="9.140625" style="151"/>
    <col min="9729" max="9729" width="11" style="151" bestFit="1" customWidth="1"/>
    <col min="9730" max="9734" width="11.140625" style="151" bestFit="1" customWidth="1"/>
    <col min="9735" max="9735" width="9.85546875" style="151" bestFit="1" customWidth="1"/>
    <col min="9736" max="9740" width="11.140625" style="151" bestFit="1" customWidth="1"/>
    <col min="9741" max="9741" width="12" style="151" bestFit="1" customWidth="1"/>
    <col min="9742" max="9742" width="11" style="151" bestFit="1" customWidth="1"/>
    <col min="9743" max="9855" width="9.140625" style="151"/>
    <col min="9856" max="9856" width="8.28515625" style="151" bestFit="1" customWidth="1"/>
    <col min="9857" max="9857" width="26" style="151" bestFit="1" customWidth="1"/>
    <col min="9858" max="9858" width="12" style="151" customWidth="1"/>
    <col min="9859" max="9859" width="8.140625" style="151" customWidth="1"/>
    <col min="9860" max="9860" width="11.140625" style="151" customWidth="1"/>
    <col min="9861" max="9861" width="8.28515625" style="151" customWidth="1"/>
    <col min="9862" max="9862" width="9.85546875" style="151" customWidth="1"/>
    <col min="9863" max="9863" width="8" style="151" customWidth="1"/>
    <col min="9864" max="9864" width="9.85546875" style="151" customWidth="1"/>
    <col min="9865" max="9865" width="6" style="151" customWidth="1"/>
    <col min="9866" max="9866" width="11.140625" style="151" customWidth="1"/>
    <col min="9867" max="9867" width="6.85546875" style="151" customWidth="1"/>
    <col min="9868" max="9868" width="11.7109375" style="151" customWidth="1"/>
    <col min="9869" max="9869" width="7.140625" style="151" customWidth="1"/>
    <col min="9870" max="9870" width="9" style="151" customWidth="1"/>
    <col min="9871" max="9871" width="7.140625" style="151" customWidth="1"/>
    <col min="9872" max="9872" width="12" style="151" customWidth="1"/>
    <col min="9873" max="9873" width="12.7109375" style="151" customWidth="1"/>
    <col min="9874" max="9885" width="11.140625" style="151" bestFit="1" customWidth="1"/>
    <col min="9886" max="9886" width="12" style="151" bestFit="1" customWidth="1"/>
    <col min="9887" max="9887" width="10" style="151" bestFit="1" customWidth="1"/>
    <col min="9888" max="9906" width="12.7109375" style="151" customWidth="1"/>
    <col min="9907" max="9917" width="9.85546875" style="151" bestFit="1" customWidth="1"/>
    <col min="9918" max="9918" width="11.140625" style="151" bestFit="1" customWidth="1"/>
    <col min="9919" max="9933" width="9.140625" style="151"/>
    <col min="9934" max="9934" width="9.85546875" style="151" bestFit="1" customWidth="1"/>
    <col min="9935" max="9949" width="9.140625" style="151"/>
    <col min="9950" max="9950" width="9.85546875" style="151" bestFit="1" customWidth="1"/>
    <col min="9951" max="9965" width="9.140625" style="151"/>
    <col min="9966" max="9966" width="9.85546875" style="151" bestFit="1" customWidth="1"/>
    <col min="9967" max="9981" width="9.140625" style="151"/>
    <col min="9982" max="9982" width="9.85546875" style="151" bestFit="1" customWidth="1"/>
    <col min="9983" max="9984" width="9.140625" style="151"/>
    <col min="9985" max="9985" width="11" style="151" bestFit="1" customWidth="1"/>
    <col min="9986" max="9990" width="11.140625" style="151" bestFit="1" customWidth="1"/>
    <col min="9991" max="9991" width="9.85546875" style="151" bestFit="1" customWidth="1"/>
    <col min="9992" max="9996" width="11.140625" style="151" bestFit="1" customWidth="1"/>
    <col min="9997" max="9997" width="12" style="151" bestFit="1" customWidth="1"/>
    <col min="9998" max="9998" width="11" style="151" bestFit="1" customWidth="1"/>
    <col min="9999" max="10111" width="9.140625" style="151"/>
    <col min="10112" max="10112" width="8.28515625" style="151" bestFit="1" customWidth="1"/>
    <col min="10113" max="10113" width="26" style="151" bestFit="1" customWidth="1"/>
    <col min="10114" max="10114" width="12" style="151" customWidth="1"/>
    <col min="10115" max="10115" width="8.140625" style="151" customWidth="1"/>
    <col min="10116" max="10116" width="11.140625" style="151" customWidth="1"/>
    <col min="10117" max="10117" width="8.28515625" style="151" customWidth="1"/>
    <col min="10118" max="10118" width="9.85546875" style="151" customWidth="1"/>
    <col min="10119" max="10119" width="8" style="151" customWidth="1"/>
    <col min="10120" max="10120" width="9.85546875" style="151" customWidth="1"/>
    <col min="10121" max="10121" width="6" style="151" customWidth="1"/>
    <col min="10122" max="10122" width="11.140625" style="151" customWidth="1"/>
    <col min="10123" max="10123" width="6.85546875" style="151" customWidth="1"/>
    <col min="10124" max="10124" width="11.7109375" style="151" customWidth="1"/>
    <col min="10125" max="10125" width="7.140625" style="151" customWidth="1"/>
    <col min="10126" max="10126" width="9" style="151" customWidth="1"/>
    <col min="10127" max="10127" width="7.140625" style="151" customWidth="1"/>
    <col min="10128" max="10128" width="12" style="151" customWidth="1"/>
    <col min="10129" max="10129" width="12.7109375" style="151" customWidth="1"/>
    <col min="10130" max="10141" width="11.140625" style="151" bestFit="1" customWidth="1"/>
    <col min="10142" max="10142" width="12" style="151" bestFit="1" customWidth="1"/>
    <col min="10143" max="10143" width="10" style="151" bestFit="1" customWidth="1"/>
    <col min="10144" max="10162" width="12.7109375" style="151" customWidth="1"/>
    <col min="10163" max="10173" width="9.85546875" style="151" bestFit="1" customWidth="1"/>
    <col min="10174" max="10174" width="11.140625" style="151" bestFit="1" customWidth="1"/>
    <col min="10175" max="10189" width="9.140625" style="151"/>
    <col min="10190" max="10190" width="9.85546875" style="151" bestFit="1" customWidth="1"/>
    <col min="10191" max="10205" width="9.140625" style="151"/>
    <col min="10206" max="10206" width="9.85546875" style="151" bestFit="1" customWidth="1"/>
    <col min="10207" max="10221" width="9.140625" style="151"/>
    <col min="10222" max="10222" width="9.85546875" style="151" bestFit="1" customWidth="1"/>
    <col min="10223" max="10237" width="9.140625" style="151"/>
    <col min="10238" max="10238" width="9.85546875" style="151" bestFit="1" customWidth="1"/>
    <col min="10239" max="10240" width="9.140625" style="151"/>
    <col min="10241" max="10241" width="11" style="151" bestFit="1" customWidth="1"/>
    <col min="10242" max="10246" width="11.140625" style="151" bestFit="1" customWidth="1"/>
    <col min="10247" max="10247" width="9.85546875" style="151" bestFit="1" customWidth="1"/>
    <col min="10248" max="10252" width="11.140625" style="151" bestFit="1" customWidth="1"/>
    <col min="10253" max="10253" width="12" style="151" bestFit="1" customWidth="1"/>
    <col min="10254" max="10254" width="11" style="151" bestFit="1" customWidth="1"/>
    <col min="10255" max="10367" width="9.140625" style="151"/>
    <col min="10368" max="10368" width="8.28515625" style="151" bestFit="1" customWidth="1"/>
    <col min="10369" max="10369" width="26" style="151" bestFit="1" customWidth="1"/>
    <col min="10370" max="10370" width="12" style="151" customWidth="1"/>
    <col min="10371" max="10371" width="8.140625" style="151" customWidth="1"/>
    <col min="10372" max="10372" width="11.140625" style="151" customWidth="1"/>
    <col min="10373" max="10373" width="8.28515625" style="151" customWidth="1"/>
    <col min="10374" max="10374" width="9.85546875" style="151" customWidth="1"/>
    <col min="10375" max="10375" width="8" style="151" customWidth="1"/>
    <col min="10376" max="10376" width="9.85546875" style="151" customWidth="1"/>
    <col min="10377" max="10377" width="6" style="151" customWidth="1"/>
    <col min="10378" max="10378" width="11.140625" style="151" customWidth="1"/>
    <col min="10379" max="10379" width="6.85546875" style="151" customWidth="1"/>
    <col min="10380" max="10380" width="11.7109375" style="151" customWidth="1"/>
    <col min="10381" max="10381" width="7.140625" style="151" customWidth="1"/>
    <col min="10382" max="10382" width="9" style="151" customWidth="1"/>
    <col min="10383" max="10383" width="7.140625" style="151" customWidth="1"/>
    <col min="10384" max="10384" width="12" style="151" customWidth="1"/>
    <col min="10385" max="10385" width="12.7109375" style="151" customWidth="1"/>
    <col min="10386" max="10397" width="11.140625" style="151" bestFit="1" customWidth="1"/>
    <col min="10398" max="10398" width="12" style="151" bestFit="1" customWidth="1"/>
    <col min="10399" max="10399" width="10" style="151" bestFit="1" customWidth="1"/>
    <col min="10400" max="10418" width="12.7109375" style="151" customWidth="1"/>
    <col min="10419" max="10429" width="9.85546875" style="151" bestFit="1" customWidth="1"/>
    <col min="10430" max="10430" width="11.140625" style="151" bestFit="1" customWidth="1"/>
    <col min="10431" max="10445" width="9.140625" style="151"/>
    <col min="10446" max="10446" width="9.85546875" style="151" bestFit="1" customWidth="1"/>
    <col min="10447" max="10461" width="9.140625" style="151"/>
    <col min="10462" max="10462" width="9.85546875" style="151" bestFit="1" customWidth="1"/>
    <col min="10463" max="10477" width="9.140625" style="151"/>
    <col min="10478" max="10478" width="9.85546875" style="151" bestFit="1" customWidth="1"/>
    <col min="10479" max="10493" width="9.140625" style="151"/>
    <col min="10494" max="10494" width="9.85546875" style="151" bestFit="1" customWidth="1"/>
    <col min="10495" max="10496" width="9.140625" style="151"/>
    <col min="10497" max="10497" width="11" style="151" bestFit="1" customWidth="1"/>
    <col min="10498" max="10502" width="11.140625" style="151" bestFit="1" customWidth="1"/>
    <col min="10503" max="10503" width="9.85546875" style="151" bestFit="1" customWidth="1"/>
    <col min="10504" max="10508" width="11.140625" style="151" bestFit="1" customWidth="1"/>
    <col min="10509" max="10509" width="12" style="151" bestFit="1" customWidth="1"/>
    <col min="10510" max="10510" width="11" style="151" bestFit="1" customWidth="1"/>
    <col min="10511" max="10623" width="9.140625" style="151"/>
    <col min="10624" max="10624" width="8.28515625" style="151" bestFit="1" customWidth="1"/>
    <col min="10625" max="10625" width="26" style="151" bestFit="1" customWidth="1"/>
    <col min="10626" max="10626" width="12" style="151" customWidth="1"/>
    <col min="10627" max="10627" width="8.140625" style="151" customWidth="1"/>
    <col min="10628" max="10628" width="11.140625" style="151" customWidth="1"/>
    <col min="10629" max="10629" width="8.28515625" style="151" customWidth="1"/>
    <col min="10630" max="10630" width="9.85546875" style="151" customWidth="1"/>
    <col min="10631" max="10631" width="8" style="151" customWidth="1"/>
    <col min="10632" max="10632" width="9.85546875" style="151" customWidth="1"/>
    <col min="10633" max="10633" width="6" style="151" customWidth="1"/>
    <col min="10634" max="10634" width="11.140625" style="151" customWidth="1"/>
    <col min="10635" max="10635" width="6.85546875" style="151" customWidth="1"/>
    <col min="10636" max="10636" width="11.7109375" style="151" customWidth="1"/>
    <col min="10637" max="10637" width="7.140625" style="151" customWidth="1"/>
    <col min="10638" max="10638" width="9" style="151" customWidth="1"/>
    <col min="10639" max="10639" width="7.140625" style="151" customWidth="1"/>
    <col min="10640" max="10640" width="12" style="151" customWidth="1"/>
    <col min="10641" max="10641" width="12.7109375" style="151" customWidth="1"/>
    <col min="10642" max="10653" width="11.140625" style="151" bestFit="1" customWidth="1"/>
    <col min="10654" max="10654" width="12" style="151" bestFit="1" customWidth="1"/>
    <col min="10655" max="10655" width="10" style="151" bestFit="1" customWidth="1"/>
    <col min="10656" max="10674" width="12.7109375" style="151" customWidth="1"/>
    <col min="10675" max="10685" width="9.85546875" style="151" bestFit="1" customWidth="1"/>
    <col min="10686" max="10686" width="11.140625" style="151" bestFit="1" customWidth="1"/>
    <col min="10687" max="10701" width="9.140625" style="151"/>
    <col min="10702" max="10702" width="9.85546875" style="151" bestFit="1" customWidth="1"/>
    <col min="10703" max="10717" width="9.140625" style="151"/>
    <col min="10718" max="10718" width="9.85546875" style="151" bestFit="1" customWidth="1"/>
    <col min="10719" max="10733" width="9.140625" style="151"/>
    <col min="10734" max="10734" width="9.85546875" style="151" bestFit="1" customWidth="1"/>
    <col min="10735" max="10749" width="9.140625" style="151"/>
    <col min="10750" max="10750" width="9.85546875" style="151" bestFit="1" customWidth="1"/>
    <col min="10751" max="10752" width="9.140625" style="151"/>
    <col min="10753" max="10753" width="11" style="151" bestFit="1" customWidth="1"/>
    <col min="10754" max="10758" width="11.140625" style="151" bestFit="1" customWidth="1"/>
    <col min="10759" max="10759" width="9.85546875" style="151" bestFit="1" customWidth="1"/>
    <col min="10760" max="10764" width="11.140625" style="151" bestFit="1" customWidth="1"/>
    <col min="10765" max="10765" width="12" style="151" bestFit="1" customWidth="1"/>
    <col min="10766" max="10766" width="11" style="151" bestFit="1" customWidth="1"/>
    <col min="10767" max="10879" width="9.140625" style="151"/>
    <col min="10880" max="10880" width="8.28515625" style="151" bestFit="1" customWidth="1"/>
    <col min="10881" max="10881" width="26" style="151" bestFit="1" customWidth="1"/>
    <col min="10882" max="10882" width="12" style="151" customWidth="1"/>
    <col min="10883" max="10883" width="8.140625" style="151" customWidth="1"/>
    <col min="10884" max="10884" width="11.140625" style="151" customWidth="1"/>
    <col min="10885" max="10885" width="8.28515625" style="151" customWidth="1"/>
    <col min="10886" max="10886" width="9.85546875" style="151" customWidth="1"/>
    <col min="10887" max="10887" width="8" style="151" customWidth="1"/>
    <col min="10888" max="10888" width="9.85546875" style="151" customWidth="1"/>
    <col min="10889" max="10889" width="6" style="151" customWidth="1"/>
    <col min="10890" max="10890" width="11.140625" style="151" customWidth="1"/>
    <col min="10891" max="10891" width="6.85546875" style="151" customWidth="1"/>
    <col min="10892" max="10892" width="11.7109375" style="151" customWidth="1"/>
    <col min="10893" max="10893" width="7.140625" style="151" customWidth="1"/>
    <col min="10894" max="10894" width="9" style="151" customWidth="1"/>
    <col min="10895" max="10895" width="7.140625" style="151" customWidth="1"/>
    <col min="10896" max="10896" width="12" style="151" customWidth="1"/>
    <col min="10897" max="10897" width="12.7109375" style="151" customWidth="1"/>
    <col min="10898" max="10909" width="11.140625" style="151" bestFit="1" customWidth="1"/>
    <col min="10910" max="10910" width="12" style="151" bestFit="1" customWidth="1"/>
    <col min="10911" max="10911" width="10" style="151" bestFit="1" customWidth="1"/>
    <col min="10912" max="10930" width="12.7109375" style="151" customWidth="1"/>
    <col min="10931" max="10941" width="9.85546875" style="151" bestFit="1" customWidth="1"/>
    <col min="10942" max="10942" width="11.140625" style="151" bestFit="1" customWidth="1"/>
    <col min="10943" max="10957" width="9.140625" style="151"/>
    <col min="10958" max="10958" width="9.85546875" style="151" bestFit="1" customWidth="1"/>
    <col min="10959" max="10973" width="9.140625" style="151"/>
    <col min="10974" max="10974" width="9.85546875" style="151" bestFit="1" customWidth="1"/>
    <col min="10975" max="10989" width="9.140625" style="151"/>
    <col min="10990" max="10990" width="9.85546875" style="151" bestFit="1" customWidth="1"/>
    <col min="10991" max="11005" width="9.140625" style="151"/>
    <col min="11006" max="11006" width="9.85546875" style="151" bestFit="1" customWidth="1"/>
    <col min="11007" max="11008" width="9.140625" style="151"/>
    <col min="11009" max="11009" width="11" style="151" bestFit="1" customWidth="1"/>
    <col min="11010" max="11014" width="11.140625" style="151" bestFit="1" customWidth="1"/>
    <col min="11015" max="11015" width="9.85546875" style="151" bestFit="1" customWidth="1"/>
    <col min="11016" max="11020" width="11.140625" style="151" bestFit="1" customWidth="1"/>
    <col min="11021" max="11021" width="12" style="151" bestFit="1" customWidth="1"/>
    <col min="11022" max="11022" width="11" style="151" bestFit="1" customWidth="1"/>
    <col min="11023" max="11135" width="9.140625" style="151"/>
    <col min="11136" max="11136" width="8.28515625" style="151" bestFit="1" customWidth="1"/>
    <col min="11137" max="11137" width="26" style="151" bestFit="1" customWidth="1"/>
    <col min="11138" max="11138" width="12" style="151" customWidth="1"/>
    <col min="11139" max="11139" width="8.140625" style="151" customWidth="1"/>
    <col min="11140" max="11140" width="11.140625" style="151" customWidth="1"/>
    <col min="11141" max="11141" width="8.28515625" style="151" customWidth="1"/>
    <col min="11142" max="11142" width="9.85546875" style="151" customWidth="1"/>
    <col min="11143" max="11143" width="8" style="151" customWidth="1"/>
    <col min="11144" max="11144" width="9.85546875" style="151" customWidth="1"/>
    <col min="11145" max="11145" width="6" style="151" customWidth="1"/>
    <col min="11146" max="11146" width="11.140625" style="151" customWidth="1"/>
    <col min="11147" max="11147" width="6.85546875" style="151" customWidth="1"/>
    <col min="11148" max="11148" width="11.7109375" style="151" customWidth="1"/>
    <col min="11149" max="11149" width="7.140625" style="151" customWidth="1"/>
    <col min="11150" max="11150" width="9" style="151" customWidth="1"/>
    <col min="11151" max="11151" width="7.140625" style="151" customWidth="1"/>
    <col min="11152" max="11152" width="12" style="151" customWidth="1"/>
    <col min="11153" max="11153" width="12.7109375" style="151" customWidth="1"/>
    <col min="11154" max="11165" width="11.140625" style="151" bestFit="1" customWidth="1"/>
    <col min="11166" max="11166" width="12" style="151" bestFit="1" customWidth="1"/>
    <col min="11167" max="11167" width="10" style="151" bestFit="1" customWidth="1"/>
    <col min="11168" max="11186" width="12.7109375" style="151" customWidth="1"/>
    <col min="11187" max="11197" width="9.85546875" style="151" bestFit="1" customWidth="1"/>
    <col min="11198" max="11198" width="11.140625" style="151" bestFit="1" customWidth="1"/>
    <col min="11199" max="11213" width="9.140625" style="151"/>
    <col min="11214" max="11214" width="9.85546875" style="151" bestFit="1" customWidth="1"/>
    <col min="11215" max="11229" width="9.140625" style="151"/>
    <col min="11230" max="11230" width="9.85546875" style="151" bestFit="1" customWidth="1"/>
    <col min="11231" max="11245" width="9.140625" style="151"/>
    <col min="11246" max="11246" width="9.85546875" style="151" bestFit="1" customWidth="1"/>
    <col min="11247" max="11261" width="9.140625" style="151"/>
    <col min="11262" max="11262" width="9.85546875" style="151" bestFit="1" customWidth="1"/>
    <col min="11263" max="11264" width="9.140625" style="151"/>
    <col min="11265" max="11265" width="11" style="151" bestFit="1" customWidth="1"/>
    <col min="11266" max="11270" width="11.140625" style="151" bestFit="1" customWidth="1"/>
    <col min="11271" max="11271" width="9.85546875" style="151" bestFit="1" customWidth="1"/>
    <col min="11272" max="11276" width="11.140625" style="151" bestFit="1" customWidth="1"/>
    <col min="11277" max="11277" width="12" style="151" bestFit="1" customWidth="1"/>
    <col min="11278" max="11278" width="11" style="151" bestFit="1" customWidth="1"/>
    <col min="11279" max="11391" width="9.140625" style="151"/>
    <col min="11392" max="11392" width="8.28515625" style="151" bestFit="1" customWidth="1"/>
    <col min="11393" max="11393" width="26" style="151" bestFit="1" customWidth="1"/>
    <col min="11394" max="11394" width="12" style="151" customWidth="1"/>
    <col min="11395" max="11395" width="8.140625" style="151" customWidth="1"/>
    <col min="11396" max="11396" width="11.140625" style="151" customWidth="1"/>
    <col min="11397" max="11397" width="8.28515625" style="151" customWidth="1"/>
    <col min="11398" max="11398" width="9.85546875" style="151" customWidth="1"/>
    <col min="11399" max="11399" width="8" style="151" customWidth="1"/>
    <col min="11400" max="11400" width="9.85546875" style="151" customWidth="1"/>
    <col min="11401" max="11401" width="6" style="151" customWidth="1"/>
    <col min="11402" max="11402" width="11.140625" style="151" customWidth="1"/>
    <col min="11403" max="11403" width="6.85546875" style="151" customWidth="1"/>
    <col min="11404" max="11404" width="11.7109375" style="151" customWidth="1"/>
    <col min="11405" max="11405" width="7.140625" style="151" customWidth="1"/>
    <col min="11406" max="11406" width="9" style="151" customWidth="1"/>
    <col min="11407" max="11407" width="7.140625" style="151" customWidth="1"/>
    <col min="11408" max="11408" width="12" style="151" customWidth="1"/>
    <col min="11409" max="11409" width="12.7109375" style="151" customWidth="1"/>
    <col min="11410" max="11421" width="11.140625" style="151" bestFit="1" customWidth="1"/>
    <col min="11422" max="11422" width="12" style="151" bestFit="1" customWidth="1"/>
    <col min="11423" max="11423" width="10" style="151" bestFit="1" customWidth="1"/>
    <col min="11424" max="11442" width="12.7109375" style="151" customWidth="1"/>
    <col min="11443" max="11453" width="9.85546875" style="151" bestFit="1" customWidth="1"/>
    <col min="11454" max="11454" width="11.140625" style="151" bestFit="1" customWidth="1"/>
    <col min="11455" max="11469" width="9.140625" style="151"/>
    <col min="11470" max="11470" width="9.85546875" style="151" bestFit="1" customWidth="1"/>
    <col min="11471" max="11485" width="9.140625" style="151"/>
    <col min="11486" max="11486" width="9.85546875" style="151" bestFit="1" customWidth="1"/>
    <col min="11487" max="11501" width="9.140625" style="151"/>
    <col min="11502" max="11502" width="9.85546875" style="151" bestFit="1" customWidth="1"/>
    <col min="11503" max="11517" width="9.140625" style="151"/>
    <col min="11518" max="11518" width="9.85546875" style="151" bestFit="1" customWidth="1"/>
    <col min="11519" max="11520" width="9.140625" style="151"/>
    <col min="11521" max="11521" width="11" style="151" bestFit="1" customWidth="1"/>
    <col min="11522" max="11526" width="11.140625" style="151" bestFit="1" customWidth="1"/>
    <col min="11527" max="11527" width="9.85546875" style="151" bestFit="1" customWidth="1"/>
    <col min="11528" max="11532" width="11.140625" style="151" bestFit="1" customWidth="1"/>
    <col min="11533" max="11533" width="12" style="151" bestFit="1" customWidth="1"/>
    <col min="11534" max="11534" width="11" style="151" bestFit="1" customWidth="1"/>
    <col min="11535" max="11647" width="9.140625" style="151"/>
    <col min="11648" max="11648" width="8.28515625" style="151" bestFit="1" customWidth="1"/>
    <col min="11649" max="11649" width="26" style="151" bestFit="1" customWidth="1"/>
    <col min="11650" max="11650" width="12" style="151" customWidth="1"/>
    <col min="11651" max="11651" width="8.140625" style="151" customWidth="1"/>
    <col min="11652" max="11652" width="11.140625" style="151" customWidth="1"/>
    <col min="11653" max="11653" width="8.28515625" style="151" customWidth="1"/>
    <col min="11654" max="11654" width="9.85546875" style="151" customWidth="1"/>
    <col min="11655" max="11655" width="8" style="151" customWidth="1"/>
    <col min="11656" max="11656" width="9.85546875" style="151" customWidth="1"/>
    <col min="11657" max="11657" width="6" style="151" customWidth="1"/>
    <col min="11658" max="11658" width="11.140625" style="151" customWidth="1"/>
    <col min="11659" max="11659" width="6.85546875" style="151" customWidth="1"/>
    <col min="11660" max="11660" width="11.7109375" style="151" customWidth="1"/>
    <col min="11661" max="11661" width="7.140625" style="151" customWidth="1"/>
    <col min="11662" max="11662" width="9" style="151" customWidth="1"/>
    <col min="11663" max="11663" width="7.140625" style="151" customWidth="1"/>
    <col min="11664" max="11664" width="12" style="151" customWidth="1"/>
    <col min="11665" max="11665" width="12.7109375" style="151" customWidth="1"/>
    <col min="11666" max="11677" width="11.140625" style="151" bestFit="1" customWidth="1"/>
    <col min="11678" max="11678" width="12" style="151" bestFit="1" customWidth="1"/>
    <col min="11679" max="11679" width="10" style="151" bestFit="1" customWidth="1"/>
    <col min="11680" max="11698" width="12.7109375" style="151" customWidth="1"/>
    <col min="11699" max="11709" width="9.85546875" style="151" bestFit="1" customWidth="1"/>
    <col min="11710" max="11710" width="11.140625" style="151" bestFit="1" customWidth="1"/>
    <col min="11711" max="11725" width="9.140625" style="151"/>
    <col min="11726" max="11726" width="9.85546875" style="151" bestFit="1" customWidth="1"/>
    <col min="11727" max="11741" width="9.140625" style="151"/>
    <col min="11742" max="11742" width="9.85546875" style="151" bestFit="1" customWidth="1"/>
    <col min="11743" max="11757" width="9.140625" style="151"/>
    <col min="11758" max="11758" width="9.85546875" style="151" bestFit="1" customWidth="1"/>
    <col min="11759" max="11773" width="9.140625" style="151"/>
    <col min="11774" max="11774" width="9.85546875" style="151" bestFit="1" customWidth="1"/>
    <col min="11775" max="11776" width="9.140625" style="151"/>
    <col min="11777" max="11777" width="11" style="151" bestFit="1" customWidth="1"/>
    <col min="11778" max="11782" width="11.140625" style="151" bestFit="1" customWidth="1"/>
    <col min="11783" max="11783" width="9.85546875" style="151" bestFit="1" customWidth="1"/>
    <col min="11784" max="11788" width="11.140625" style="151" bestFit="1" customWidth="1"/>
    <col min="11789" max="11789" width="12" style="151" bestFit="1" customWidth="1"/>
    <col min="11790" max="11790" width="11" style="151" bestFit="1" customWidth="1"/>
    <col min="11791" max="11903" width="9.140625" style="151"/>
    <col min="11904" max="11904" width="8.28515625" style="151" bestFit="1" customWidth="1"/>
    <col min="11905" max="11905" width="26" style="151" bestFit="1" customWidth="1"/>
    <col min="11906" max="11906" width="12" style="151" customWidth="1"/>
    <col min="11907" max="11907" width="8.140625" style="151" customWidth="1"/>
    <col min="11908" max="11908" width="11.140625" style="151" customWidth="1"/>
    <col min="11909" max="11909" width="8.28515625" style="151" customWidth="1"/>
    <col min="11910" max="11910" width="9.85546875" style="151" customWidth="1"/>
    <col min="11911" max="11911" width="8" style="151" customWidth="1"/>
    <col min="11912" max="11912" width="9.85546875" style="151" customWidth="1"/>
    <col min="11913" max="11913" width="6" style="151" customWidth="1"/>
    <col min="11914" max="11914" width="11.140625" style="151" customWidth="1"/>
    <col min="11915" max="11915" width="6.85546875" style="151" customWidth="1"/>
    <col min="11916" max="11916" width="11.7109375" style="151" customWidth="1"/>
    <col min="11917" max="11917" width="7.140625" style="151" customWidth="1"/>
    <col min="11918" max="11918" width="9" style="151" customWidth="1"/>
    <col min="11919" max="11919" width="7.140625" style="151" customWidth="1"/>
    <col min="11920" max="11920" width="12" style="151" customWidth="1"/>
    <col min="11921" max="11921" width="12.7109375" style="151" customWidth="1"/>
    <col min="11922" max="11933" width="11.140625" style="151" bestFit="1" customWidth="1"/>
    <col min="11934" max="11934" width="12" style="151" bestFit="1" customWidth="1"/>
    <col min="11935" max="11935" width="10" style="151" bestFit="1" customWidth="1"/>
    <col min="11936" max="11954" width="12.7109375" style="151" customWidth="1"/>
    <col min="11955" max="11965" width="9.85546875" style="151" bestFit="1" customWidth="1"/>
    <col min="11966" max="11966" width="11.140625" style="151" bestFit="1" customWidth="1"/>
    <col min="11967" max="11981" width="9.140625" style="151"/>
    <col min="11982" max="11982" width="9.85546875" style="151" bestFit="1" customWidth="1"/>
    <col min="11983" max="11997" width="9.140625" style="151"/>
    <col min="11998" max="11998" width="9.85546875" style="151" bestFit="1" customWidth="1"/>
    <col min="11999" max="12013" width="9.140625" style="151"/>
    <col min="12014" max="12014" width="9.85546875" style="151" bestFit="1" customWidth="1"/>
    <col min="12015" max="12029" width="9.140625" style="151"/>
    <col min="12030" max="12030" width="9.85546875" style="151" bestFit="1" customWidth="1"/>
    <col min="12031" max="12032" width="9.140625" style="151"/>
    <col min="12033" max="12033" width="11" style="151" bestFit="1" customWidth="1"/>
    <col min="12034" max="12038" width="11.140625" style="151" bestFit="1" customWidth="1"/>
    <col min="12039" max="12039" width="9.85546875" style="151" bestFit="1" customWidth="1"/>
    <col min="12040" max="12044" width="11.140625" style="151" bestFit="1" customWidth="1"/>
    <col min="12045" max="12045" width="12" style="151" bestFit="1" customWidth="1"/>
    <col min="12046" max="12046" width="11" style="151" bestFit="1" customWidth="1"/>
    <col min="12047" max="12159" width="9.140625" style="151"/>
    <col min="12160" max="12160" width="8.28515625" style="151" bestFit="1" customWidth="1"/>
    <col min="12161" max="12161" width="26" style="151" bestFit="1" customWidth="1"/>
    <col min="12162" max="12162" width="12" style="151" customWidth="1"/>
    <col min="12163" max="12163" width="8.140625" style="151" customWidth="1"/>
    <col min="12164" max="12164" width="11.140625" style="151" customWidth="1"/>
    <col min="12165" max="12165" width="8.28515625" style="151" customWidth="1"/>
    <col min="12166" max="12166" width="9.85546875" style="151" customWidth="1"/>
    <col min="12167" max="12167" width="8" style="151" customWidth="1"/>
    <col min="12168" max="12168" width="9.85546875" style="151" customWidth="1"/>
    <col min="12169" max="12169" width="6" style="151" customWidth="1"/>
    <col min="12170" max="12170" width="11.140625" style="151" customWidth="1"/>
    <col min="12171" max="12171" width="6.85546875" style="151" customWidth="1"/>
    <col min="12172" max="12172" width="11.7109375" style="151" customWidth="1"/>
    <col min="12173" max="12173" width="7.140625" style="151" customWidth="1"/>
    <col min="12174" max="12174" width="9" style="151" customWidth="1"/>
    <col min="12175" max="12175" width="7.140625" style="151" customWidth="1"/>
    <col min="12176" max="12176" width="12" style="151" customWidth="1"/>
    <col min="12177" max="12177" width="12.7109375" style="151" customWidth="1"/>
    <col min="12178" max="12189" width="11.140625" style="151" bestFit="1" customWidth="1"/>
    <col min="12190" max="12190" width="12" style="151" bestFit="1" customWidth="1"/>
    <col min="12191" max="12191" width="10" style="151" bestFit="1" customWidth="1"/>
    <col min="12192" max="12210" width="12.7109375" style="151" customWidth="1"/>
    <col min="12211" max="12221" width="9.85546875" style="151" bestFit="1" customWidth="1"/>
    <col min="12222" max="12222" width="11.140625" style="151" bestFit="1" customWidth="1"/>
    <col min="12223" max="12237" width="9.140625" style="151"/>
    <col min="12238" max="12238" width="9.85546875" style="151" bestFit="1" customWidth="1"/>
    <col min="12239" max="12253" width="9.140625" style="151"/>
    <col min="12254" max="12254" width="9.85546875" style="151" bestFit="1" customWidth="1"/>
    <col min="12255" max="12269" width="9.140625" style="151"/>
    <col min="12270" max="12270" width="9.85546875" style="151" bestFit="1" customWidth="1"/>
    <col min="12271" max="12285" width="9.140625" style="151"/>
    <col min="12286" max="12286" width="9.85546875" style="151" bestFit="1" customWidth="1"/>
    <col min="12287" max="12288" width="9.140625" style="151"/>
    <col min="12289" max="12289" width="11" style="151" bestFit="1" customWidth="1"/>
    <col min="12290" max="12294" width="11.140625" style="151" bestFit="1" customWidth="1"/>
    <col min="12295" max="12295" width="9.85546875" style="151" bestFit="1" customWidth="1"/>
    <col min="12296" max="12300" width="11.140625" style="151" bestFit="1" customWidth="1"/>
    <col min="12301" max="12301" width="12" style="151" bestFit="1" customWidth="1"/>
    <col min="12302" max="12302" width="11" style="151" bestFit="1" customWidth="1"/>
    <col min="12303" max="12415" width="9.140625" style="151"/>
    <col min="12416" max="12416" width="8.28515625" style="151" bestFit="1" customWidth="1"/>
    <col min="12417" max="12417" width="26" style="151" bestFit="1" customWidth="1"/>
    <col min="12418" max="12418" width="12" style="151" customWidth="1"/>
    <col min="12419" max="12419" width="8.140625" style="151" customWidth="1"/>
    <col min="12420" max="12420" width="11.140625" style="151" customWidth="1"/>
    <col min="12421" max="12421" width="8.28515625" style="151" customWidth="1"/>
    <col min="12422" max="12422" width="9.85546875" style="151" customWidth="1"/>
    <col min="12423" max="12423" width="8" style="151" customWidth="1"/>
    <col min="12424" max="12424" width="9.85546875" style="151" customWidth="1"/>
    <col min="12425" max="12425" width="6" style="151" customWidth="1"/>
    <col min="12426" max="12426" width="11.140625" style="151" customWidth="1"/>
    <col min="12427" max="12427" width="6.85546875" style="151" customWidth="1"/>
    <col min="12428" max="12428" width="11.7109375" style="151" customWidth="1"/>
    <col min="12429" max="12429" width="7.140625" style="151" customWidth="1"/>
    <col min="12430" max="12430" width="9" style="151" customWidth="1"/>
    <col min="12431" max="12431" width="7.140625" style="151" customWidth="1"/>
    <col min="12432" max="12432" width="12" style="151" customWidth="1"/>
    <col min="12433" max="12433" width="12.7109375" style="151" customWidth="1"/>
    <col min="12434" max="12445" width="11.140625" style="151" bestFit="1" customWidth="1"/>
    <col min="12446" max="12446" width="12" style="151" bestFit="1" customWidth="1"/>
    <col min="12447" max="12447" width="10" style="151" bestFit="1" customWidth="1"/>
    <col min="12448" max="12466" width="12.7109375" style="151" customWidth="1"/>
    <col min="12467" max="12477" width="9.85546875" style="151" bestFit="1" customWidth="1"/>
    <col min="12478" max="12478" width="11.140625" style="151" bestFit="1" customWidth="1"/>
    <col min="12479" max="12493" width="9.140625" style="151"/>
    <col min="12494" max="12494" width="9.85546875" style="151" bestFit="1" customWidth="1"/>
    <col min="12495" max="12509" width="9.140625" style="151"/>
    <col min="12510" max="12510" width="9.85546875" style="151" bestFit="1" customWidth="1"/>
    <col min="12511" max="12525" width="9.140625" style="151"/>
    <col min="12526" max="12526" width="9.85546875" style="151" bestFit="1" customWidth="1"/>
    <col min="12527" max="12541" width="9.140625" style="151"/>
    <col min="12542" max="12542" width="9.85546875" style="151" bestFit="1" customWidth="1"/>
    <col min="12543" max="12544" width="9.140625" style="151"/>
    <col min="12545" max="12545" width="11" style="151" bestFit="1" customWidth="1"/>
    <col min="12546" max="12550" width="11.140625" style="151" bestFit="1" customWidth="1"/>
    <col min="12551" max="12551" width="9.85546875" style="151" bestFit="1" customWidth="1"/>
    <col min="12552" max="12556" width="11.140625" style="151" bestFit="1" customWidth="1"/>
    <col min="12557" max="12557" width="12" style="151" bestFit="1" customWidth="1"/>
    <col min="12558" max="12558" width="11" style="151" bestFit="1" customWidth="1"/>
    <col min="12559" max="12671" width="9.140625" style="151"/>
    <col min="12672" max="12672" width="8.28515625" style="151" bestFit="1" customWidth="1"/>
    <col min="12673" max="12673" width="26" style="151" bestFit="1" customWidth="1"/>
    <col min="12674" max="12674" width="12" style="151" customWidth="1"/>
    <col min="12675" max="12675" width="8.140625" style="151" customWidth="1"/>
    <col min="12676" max="12676" width="11.140625" style="151" customWidth="1"/>
    <col min="12677" max="12677" width="8.28515625" style="151" customWidth="1"/>
    <col min="12678" max="12678" width="9.85546875" style="151" customWidth="1"/>
    <col min="12679" max="12679" width="8" style="151" customWidth="1"/>
    <col min="12680" max="12680" width="9.85546875" style="151" customWidth="1"/>
    <col min="12681" max="12681" width="6" style="151" customWidth="1"/>
    <col min="12682" max="12682" width="11.140625" style="151" customWidth="1"/>
    <col min="12683" max="12683" width="6.85546875" style="151" customWidth="1"/>
    <col min="12684" max="12684" width="11.7109375" style="151" customWidth="1"/>
    <col min="12685" max="12685" width="7.140625" style="151" customWidth="1"/>
    <col min="12686" max="12686" width="9" style="151" customWidth="1"/>
    <col min="12687" max="12687" width="7.140625" style="151" customWidth="1"/>
    <col min="12688" max="12688" width="12" style="151" customWidth="1"/>
    <col min="12689" max="12689" width="12.7109375" style="151" customWidth="1"/>
    <col min="12690" max="12701" width="11.140625" style="151" bestFit="1" customWidth="1"/>
    <col min="12702" max="12702" width="12" style="151" bestFit="1" customWidth="1"/>
    <col min="12703" max="12703" width="10" style="151" bestFit="1" customWidth="1"/>
    <col min="12704" max="12722" width="12.7109375" style="151" customWidth="1"/>
    <col min="12723" max="12733" width="9.85546875" style="151" bestFit="1" customWidth="1"/>
    <col min="12734" max="12734" width="11.140625" style="151" bestFit="1" customWidth="1"/>
    <col min="12735" max="12749" width="9.140625" style="151"/>
    <col min="12750" max="12750" width="9.85546875" style="151" bestFit="1" customWidth="1"/>
    <col min="12751" max="12765" width="9.140625" style="151"/>
    <col min="12766" max="12766" width="9.85546875" style="151" bestFit="1" customWidth="1"/>
    <col min="12767" max="12781" width="9.140625" style="151"/>
    <col min="12782" max="12782" width="9.85546875" style="151" bestFit="1" customWidth="1"/>
    <col min="12783" max="12797" width="9.140625" style="151"/>
    <col min="12798" max="12798" width="9.85546875" style="151" bestFit="1" customWidth="1"/>
    <col min="12799" max="12800" width="9.140625" style="151"/>
    <col min="12801" max="12801" width="11" style="151" bestFit="1" customWidth="1"/>
    <col min="12802" max="12806" width="11.140625" style="151" bestFit="1" customWidth="1"/>
    <col min="12807" max="12807" width="9.85546875" style="151" bestFit="1" customWidth="1"/>
    <col min="12808" max="12812" width="11.140625" style="151" bestFit="1" customWidth="1"/>
    <col min="12813" max="12813" width="12" style="151" bestFit="1" customWidth="1"/>
    <col min="12814" max="12814" width="11" style="151" bestFit="1" customWidth="1"/>
    <col min="12815" max="12927" width="9.140625" style="151"/>
    <col min="12928" max="12928" width="8.28515625" style="151" bestFit="1" customWidth="1"/>
    <col min="12929" max="12929" width="26" style="151" bestFit="1" customWidth="1"/>
    <col min="12930" max="12930" width="12" style="151" customWidth="1"/>
    <col min="12931" max="12931" width="8.140625" style="151" customWidth="1"/>
    <col min="12932" max="12932" width="11.140625" style="151" customWidth="1"/>
    <col min="12933" max="12933" width="8.28515625" style="151" customWidth="1"/>
    <col min="12934" max="12934" width="9.85546875" style="151" customWidth="1"/>
    <col min="12935" max="12935" width="8" style="151" customWidth="1"/>
    <col min="12936" max="12936" width="9.85546875" style="151" customWidth="1"/>
    <col min="12937" max="12937" width="6" style="151" customWidth="1"/>
    <col min="12938" max="12938" width="11.140625" style="151" customWidth="1"/>
    <col min="12939" max="12939" width="6.85546875" style="151" customWidth="1"/>
    <col min="12940" max="12940" width="11.7109375" style="151" customWidth="1"/>
    <col min="12941" max="12941" width="7.140625" style="151" customWidth="1"/>
    <col min="12942" max="12942" width="9" style="151" customWidth="1"/>
    <col min="12943" max="12943" width="7.140625" style="151" customWidth="1"/>
    <col min="12944" max="12944" width="12" style="151" customWidth="1"/>
    <col min="12945" max="12945" width="12.7109375" style="151" customWidth="1"/>
    <col min="12946" max="12957" width="11.140625" style="151" bestFit="1" customWidth="1"/>
    <col min="12958" max="12958" width="12" style="151" bestFit="1" customWidth="1"/>
    <col min="12959" max="12959" width="10" style="151" bestFit="1" customWidth="1"/>
    <col min="12960" max="12978" width="12.7109375" style="151" customWidth="1"/>
    <col min="12979" max="12989" width="9.85546875" style="151" bestFit="1" customWidth="1"/>
    <col min="12990" max="12990" width="11.140625" style="151" bestFit="1" customWidth="1"/>
    <col min="12991" max="13005" width="9.140625" style="151"/>
    <col min="13006" max="13006" width="9.85546875" style="151" bestFit="1" customWidth="1"/>
    <col min="13007" max="13021" width="9.140625" style="151"/>
    <col min="13022" max="13022" width="9.85546875" style="151" bestFit="1" customWidth="1"/>
    <col min="13023" max="13037" width="9.140625" style="151"/>
    <col min="13038" max="13038" width="9.85546875" style="151" bestFit="1" customWidth="1"/>
    <col min="13039" max="13053" width="9.140625" style="151"/>
    <col min="13054" max="13054" width="9.85546875" style="151" bestFit="1" customWidth="1"/>
    <col min="13055" max="13056" width="9.140625" style="151"/>
    <col min="13057" max="13057" width="11" style="151" bestFit="1" customWidth="1"/>
    <col min="13058" max="13062" width="11.140625" style="151" bestFit="1" customWidth="1"/>
    <col min="13063" max="13063" width="9.85546875" style="151" bestFit="1" customWidth="1"/>
    <col min="13064" max="13068" width="11.140625" style="151" bestFit="1" customWidth="1"/>
    <col min="13069" max="13069" width="12" style="151" bestFit="1" customWidth="1"/>
    <col min="13070" max="13070" width="11" style="151" bestFit="1" customWidth="1"/>
    <col min="13071" max="13183" width="9.140625" style="151"/>
    <col min="13184" max="13184" width="8.28515625" style="151" bestFit="1" customWidth="1"/>
    <col min="13185" max="13185" width="26" style="151" bestFit="1" customWidth="1"/>
    <col min="13186" max="13186" width="12" style="151" customWidth="1"/>
    <col min="13187" max="13187" width="8.140625" style="151" customWidth="1"/>
    <col min="13188" max="13188" width="11.140625" style="151" customWidth="1"/>
    <col min="13189" max="13189" width="8.28515625" style="151" customWidth="1"/>
    <col min="13190" max="13190" width="9.85546875" style="151" customWidth="1"/>
    <col min="13191" max="13191" width="8" style="151" customWidth="1"/>
    <col min="13192" max="13192" width="9.85546875" style="151" customWidth="1"/>
    <col min="13193" max="13193" width="6" style="151" customWidth="1"/>
    <col min="13194" max="13194" width="11.140625" style="151" customWidth="1"/>
    <col min="13195" max="13195" width="6.85546875" style="151" customWidth="1"/>
    <col min="13196" max="13196" width="11.7109375" style="151" customWidth="1"/>
    <col min="13197" max="13197" width="7.140625" style="151" customWidth="1"/>
    <col min="13198" max="13198" width="9" style="151" customWidth="1"/>
    <col min="13199" max="13199" width="7.140625" style="151" customWidth="1"/>
    <col min="13200" max="13200" width="12" style="151" customWidth="1"/>
    <col min="13201" max="13201" width="12.7109375" style="151" customWidth="1"/>
    <col min="13202" max="13213" width="11.140625" style="151" bestFit="1" customWidth="1"/>
    <col min="13214" max="13214" width="12" style="151" bestFit="1" customWidth="1"/>
    <col min="13215" max="13215" width="10" style="151" bestFit="1" customWidth="1"/>
    <col min="13216" max="13234" width="12.7109375" style="151" customWidth="1"/>
    <col min="13235" max="13245" width="9.85546875" style="151" bestFit="1" customWidth="1"/>
    <col min="13246" max="13246" width="11.140625" style="151" bestFit="1" customWidth="1"/>
    <col min="13247" max="13261" width="9.140625" style="151"/>
    <col min="13262" max="13262" width="9.85546875" style="151" bestFit="1" customWidth="1"/>
    <col min="13263" max="13277" width="9.140625" style="151"/>
    <col min="13278" max="13278" width="9.85546875" style="151" bestFit="1" customWidth="1"/>
    <col min="13279" max="13293" width="9.140625" style="151"/>
    <col min="13294" max="13294" width="9.85546875" style="151" bestFit="1" customWidth="1"/>
    <col min="13295" max="13309" width="9.140625" style="151"/>
    <col min="13310" max="13310" width="9.85546875" style="151" bestFit="1" customWidth="1"/>
    <col min="13311" max="13312" width="9.140625" style="151"/>
    <col min="13313" max="13313" width="11" style="151" bestFit="1" customWidth="1"/>
    <col min="13314" max="13318" width="11.140625" style="151" bestFit="1" customWidth="1"/>
    <col min="13319" max="13319" width="9.85546875" style="151" bestFit="1" customWidth="1"/>
    <col min="13320" max="13324" width="11.140625" style="151" bestFit="1" customWidth="1"/>
    <col min="13325" max="13325" width="12" style="151" bestFit="1" customWidth="1"/>
    <col min="13326" max="13326" width="11" style="151" bestFit="1" customWidth="1"/>
    <col min="13327" max="13439" width="9.140625" style="151"/>
    <col min="13440" max="13440" width="8.28515625" style="151" bestFit="1" customWidth="1"/>
    <col min="13441" max="13441" width="26" style="151" bestFit="1" customWidth="1"/>
    <col min="13442" max="13442" width="12" style="151" customWidth="1"/>
    <col min="13443" max="13443" width="8.140625" style="151" customWidth="1"/>
    <col min="13444" max="13444" width="11.140625" style="151" customWidth="1"/>
    <col min="13445" max="13445" width="8.28515625" style="151" customWidth="1"/>
    <col min="13446" max="13446" width="9.85546875" style="151" customWidth="1"/>
    <col min="13447" max="13447" width="8" style="151" customWidth="1"/>
    <col min="13448" max="13448" width="9.85546875" style="151" customWidth="1"/>
    <col min="13449" max="13449" width="6" style="151" customWidth="1"/>
    <col min="13450" max="13450" width="11.140625" style="151" customWidth="1"/>
    <col min="13451" max="13451" width="6.85546875" style="151" customWidth="1"/>
    <col min="13452" max="13452" width="11.7109375" style="151" customWidth="1"/>
    <col min="13453" max="13453" width="7.140625" style="151" customWidth="1"/>
    <col min="13454" max="13454" width="9" style="151" customWidth="1"/>
    <col min="13455" max="13455" width="7.140625" style="151" customWidth="1"/>
    <col min="13456" max="13456" width="12" style="151" customWidth="1"/>
    <col min="13457" max="13457" width="12.7109375" style="151" customWidth="1"/>
    <col min="13458" max="13469" width="11.140625" style="151" bestFit="1" customWidth="1"/>
    <col min="13470" max="13470" width="12" style="151" bestFit="1" customWidth="1"/>
    <col min="13471" max="13471" width="10" style="151" bestFit="1" customWidth="1"/>
    <col min="13472" max="13490" width="12.7109375" style="151" customWidth="1"/>
    <col min="13491" max="13501" width="9.85546875" style="151" bestFit="1" customWidth="1"/>
    <col min="13502" max="13502" width="11.140625" style="151" bestFit="1" customWidth="1"/>
    <col min="13503" max="13517" width="9.140625" style="151"/>
    <col min="13518" max="13518" width="9.85546875" style="151" bestFit="1" customWidth="1"/>
    <col min="13519" max="13533" width="9.140625" style="151"/>
    <col min="13534" max="13534" width="9.85546875" style="151" bestFit="1" customWidth="1"/>
    <col min="13535" max="13549" width="9.140625" style="151"/>
    <col min="13550" max="13550" width="9.85546875" style="151" bestFit="1" customWidth="1"/>
    <col min="13551" max="13565" width="9.140625" style="151"/>
    <col min="13566" max="13566" width="9.85546875" style="151" bestFit="1" customWidth="1"/>
    <col min="13567" max="13568" width="9.140625" style="151"/>
    <col min="13569" max="13569" width="11" style="151" bestFit="1" customWidth="1"/>
    <col min="13570" max="13574" width="11.140625" style="151" bestFit="1" customWidth="1"/>
    <col min="13575" max="13575" width="9.85546875" style="151" bestFit="1" customWidth="1"/>
    <col min="13576" max="13580" width="11.140625" style="151" bestFit="1" customWidth="1"/>
    <col min="13581" max="13581" width="12" style="151" bestFit="1" customWidth="1"/>
    <col min="13582" max="13582" width="11" style="151" bestFit="1" customWidth="1"/>
    <col min="13583" max="13695" width="9.140625" style="151"/>
    <col min="13696" max="13696" width="8.28515625" style="151" bestFit="1" customWidth="1"/>
    <col min="13697" max="13697" width="26" style="151" bestFit="1" customWidth="1"/>
    <col min="13698" max="13698" width="12" style="151" customWidth="1"/>
    <col min="13699" max="13699" width="8.140625" style="151" customWidth="1"/>
    <col min="13700" max="13700" width="11.140625" style="151" customWidth="1"/>
    <col min="13701" max="13701" width="8.28515625" style="151" customWidth="1"/>
    <col min="13702" max="13702" width="9.85546875" style="151" customWidth="1"/>
    <col min="13703" max="13703" width="8" style="151" customWidth="1"/>
    <col min="13704" max="13704" width="9.85546875" style="151" customWidth="1"/>
    <col min="13705" max="13705" width="6" style="151" customWidth="1"/>
    <col min="13706" max="13706" width="11.140625" style="151" customWidth="1"/>
    <col min="13707" max="13707" width="6.85546875" style="151" customWidth="1"/>
    <col min="13708" max="13708" width="11.7109375" style="151" customWidth="1"/>
    <col min="13709" max="13709" width="7.140625" style="151" customWidth="1"/>
    <col min="13710" max="13710" width="9" style="151" customWidth="1"/>
    <col min="13711" max="13711" width="7.140625" style="151" customWidth="1"/>
    <col min="13712" max="13712" width="12" style="151" customWidth="1"/>
    <col min="13713" max="13713" width="12.7109375" style="151" customWidth="1"/>
    <col min="13714" max="13725" width="11.140625" style="151" bestFit="1" customWidth="1"/>
    <col min="13726" max="13726" width="12" style="151" bestFit="1" customWidth="1"/>
    <col min="13727" max="13727" width="10" style="151" bestFit="1" customWidth="1"/>
    <col min="13728" max="13746" width="12.7109375" style="151" customWidth="1"/>
    <col min="13747" max="13757" width="9.85546875" style="151" bestFit="1" customWidth="1"/>
    <col min="13758" max="13758" width="11.140625" style="151" bestFit="1" customWidth="1"/>
    <col min="13759" max="13773" width="9.140625" style="151"/>
    <col min="13774" max="13774" width="9.85546875" style="151" bestFit="1" customWidth="1"/>
    <col min="13775" max="13789" width="9.140625" style="151"/>
    <col min="13790" max="13790" width="9.85546875" style="151" bestFit="1" customWidth="1"/>
    <col min="13791" max="13805" width="9.140625" style="151"/>
    <col min="13806" max="13806" width="9.85546875" style="151" bestFit="1" customWidth="1"/>
    <col min="13807" max="13821" width="9.140625" style="151"/>
    <col min="13822" max="13822" width="9.85546875" style="151" bestFit="1" customWidth="1"/>
    <col min="13823" max="13824" width="9.140625" style="151"/>
    <col min="13825" max="13825" width="11" style="151" bestFit="1" customWidth="1"/>
    <col min="13826" max="13830" width="11.140625" style="151" bestFit="1" customWidth="1"/>
    <col min="13831" max="13831" width="9.85546875" style="151" bestFit="1" customWidth="1"/>
    <col min="13832" max="13836" width="11.140625" style="151" bestFit="1" customWidth="1"/>
    <col min="13837" max="13837" width="12" style="151" bestFit="1" customWidth="1"/>
    <col min="13838" max="13838" width="11" style="151" bestFit="1" customWidth="1"/>
    <col min="13839" max="13951" width="9.140625" style="151"/>
    <col min="13952" max="13952" width="8.28515625" style="151" bestFit="1" customWidth="1"/>
    <col min="13953" max="13953" width="26" style="151" bestFit="1" customWidth="1"/>
    <col min="13954" max="13954" width="12" style="151" customWidth="1"/>
    <col min="13955" max="13955" width="8.140625" style="151" customWidth="1"/>
    <col min="13956" max="13956" width="11.140625" style="151" customWidth="1"/>
    <col min="13957" max="13957" width="8.28515625" style="151" customWidth="1"/>
    <col min="13958" max="13958" width="9.85546875" style="151" customWidth="1"/>
    <col min="13959" max="13959" width="8" style="151" customWidth="1"/>
    <col min="13960" max="13960" width="9.85546875" style="151" customWidth="1"/>
    <col min="13961" max="13961" width="6" style="151" customWidth="1"/>
    <col min="13962" max="13962" width="11.140625" style="151" customWidth="1"/>
    <col min="13963" max="13963" width="6.85546875" style="151" customWidth="1"/>
    <col min="13964" max="13964" width="11.7109375" style="151" customWidth="1"/>
    <col min="13965" max="13965" width="7.140625" style="151" customWidth="1"/>
    <col min="13966" max="13966" width="9" style="151" customWidth="1"/>
    <col min="13967" max="13967" width="7.140625" style="151" customWidth="1"/>
    <col min="13968" max="13968" width="12" style="151" customWidth="1"/>
    <col min="13969" max="13969" width="12.7109375" style="151" customWidth="1"/>
    <col min="13970" max="13981" width="11.140625" style="151" bestFit="1" customWidth="1"/>
    <col min="13982" max="13982" width="12" style="151" bestFit="1" customWidth="1"/>
    <col min="13983" max="13983" width="10" style="151" bestFit="1" customWidth="1"/>
    <col min="13984" max="14002" width="12.7109375" style="151" customWidth="1"/>
    <col min="14003" max="14013" width="9.85546875" style="151" bestFit="1" customWidth="1"/>
    <col min="14014" max="14014" width="11.140625" style="151" bestFit="1" customWidth="1"/>
    <col min="14015" max="14029" width="9.140625" style="151"/>
    <col min="14030" max="14030" width="9.85546875" style="151" bestFit="1" customWidth="1"/>
    <col min="14031" max="14045" width="9.140625" style="151"/>
    <col min="14046" max="14046" width="9.85546875" style="151" bestFit="1" customWidth="1"/>
    <col min="14047" max="14061" width="9.140625" style="151"/>
    <col min="14062" max="14062" width="9.85546875" style="151" bestFit="1" customWidth="1"/>
    <col min="14063" max="14077" width="9.140625" style="151"/>
    <col min="14078" max="14078" width="9.85546875" style="151" bestFit="1" customWidth="1"/>
    <col min="14079" max="14080" width="9.140625" style="151"/>
    <col min="14081" max="14081" width="11" style="151" bestFit="1" customWidth="1"/>
    <col min="14082" max="14086" width="11.140625" style="151" bestFit="1" customWidth="1"/>
    <col min="14087" max="14087" width="9.85546875" style="151" bestFit="1" customWidth="1"/>
    <col min="14088" max="14092" width="11.140625" style="151" bestFit="1" customWidth="1"/>
    <col min="14093" max="14093" width="12" style="151" bestFit="1" customWidth="1"/>
    <col min="14094" max="14094" width="11" style="151" bestFit="1" customWidth="1"/>
    <col min="14095" max="14207" width="9.140625" style="151"/>
    <col min="14208" max="14208" width="8.28515625" style="151" bestFit="1" customWidth="1"/>
    <col min="14209" max="14209" width="26" style="151" bestFit="1" customWidth="1"/>
    <col min="14210" max="14210" width="12" style="151" customWidth="1"/>
    <col min="14211" max="14211" width="8.140625" style="151" customWidth="1"/>
    <col min="14212" max="14212" width="11.140625" style="151" customWidth="1"/>
    <col min="14213" max="14213" width="8.28515625" style="151" customWidth="1"/>
    <col min="14214" max="14214" width="9.85546875" style="151" customWidth="1"/>
    <col min="14215" max="14215" width="8" style="151" customWidth="1"/>
    <col min="14216" max="14216" width="9.85546875" style="151" customWidth="1"/>
    <col min="14217" max="14217" width="6" style="151" customWidth="1"/>
    <col min="14218" max="14218" width="11.140625" style="151" customWidth="1"/>
    <col min="14219" max="14219" width="6.85546875" style="151" customWidth="1"/>
    <col min="14220" max="14220" width="11.7109375" style="151" customWidth="1"/>
    <col min="14221" max="14221" width="7.140625" style="151" customWidth="1"/>
    <col min="14222" max="14222" width="9" style="151" customWidth="1"/>
    <col min="14223" max="14223" width="7.140625" style="151" customWidth="1"/>
    <col min="14224" max="14224" width="12" style="151" customWidth="1"/>
    <col min="14225" max="14225" width="12.7109375" style="151" customWidth="1"/>
    <col min="14226" max="14237" width="11.140625" style="151" bestFit="1" customWidth="1"/>
    <col min="14238" max="14238" width="12" style="151" bestFit="1" customWidth="1"/>
    <col min="14239" max="14239" width="10" style="151" bestFit="1" customWidth="1"/>
    <col min="14240" max="14258" width="12.7109375" style="151" customWidth="1"/>
    <col min="14259" max="14269" width="9.85546875" style="151" bestFit="1" customWidth="1"/>
    <col min="14270" max="14270" width="11.140625" style="151" bestFit="1" customWidth="1"/>
    <col min="14271" max="14285" width="9.140625" style="151"/>
    <col min="14286" max="14286" width="9.85546875" style="151" bestFit="1" customWidth="1"/>
    <col min="14287" max="14301" width="9.140625" style="151"/>
    <col min="14302" max="14302" width="9.85546875" style="151" bestFit="1" customWidth="1"/>
    <col min="14303" max="14317" width="9.140625" style="151"/>
    <col min="14318" max="14318" width="9.85546875" style="151" bestFit="1" customWidth="1"/>
    <col min="14319" max="14333" width="9.140625" style="151"/>
    <col min="14334" max="14334" width="9.85546875" style="151" bestFit="1" customWidth="1"/>
    <col min="14335" max="14336" width="9.140625" style="151"/>
    <col min="14337" max="14337" width="11" style="151" bestFit="1" customWidth="1"/>
    <col min="14338" max="14342" width="11.140625" style="151" bestFit="1" customWidth="1"/>
    <col min="14343" max="14343" width="9.85546875" style="151" bestFit="1" customWidth="1"/>
    <col min="14344" max="14348" width="11.140625" style="151" bestFit="1" customWidth="1"/>
    <col min="14349" max="14349" width="12" style="151" bestFit="1" customWidth="1"/>
    <col min="14350" max="14350" width="11" style="151" bestFit="1" customWidth="1"/>
    <col min="14351" max="14463" width="9.140625" style="151"/>
    <col min="14464" max="14464" width="8.28515625" style="151" bestFit="1" customWidth="1"/>
    <col min="14465" max="14465" width="26" style="151" bestFit="1" customWidth="1"/>
    <col min="14466" max="14466" width="12" style="151" customWidth="1"/>
    <col min="14467" max="14467" width="8.140625" style="151" customWidth="1"/>
    <col min="14468" max="14468" width="11.140625" style="151" customWidth="1"/>
    <col min="14469" max="14469" width="8.28515625" style="151" customWidth="1"/>
    <col min="14470" max="14470" width="9.85546875" style="151" customWidth="1"/>
    <col min="14471" max="14471" width="8" style="151" customWidth="1"/>
    <col min="14472" max="14472" width="9.85546875" style="151" customWidth="1"/>
    <col min="14473" max="14473" width="6" style="151" customWidth="1"/>
    <col min="14474" max="14474" width="11.140625" style="151" customWidth="1"/>
    <col min="14475" max="14475" width="6.85546875" style="151" customWidth="1"/>
    <col min="14476" max="14476" width="11.7109375" style="151" customWidth="1"/>
    <col min="14477" max="14477" width="7.140625" style="151" customWidth="1"/>
    <col min="14478" max="14478" width="9" style="151" customWidth="1"/>
    <col min="14479" max="14479" width="7.140625" style="151" customWidth="1"/>
    <col min="14480" max="14480" width="12" style="151" customWidth="1"/>
    <col min="14481" max="14481" width="12.7109375" style="151" customWidth="1"/>
    <col min="14482" max="14493" width="11.140625" style="151" bestFit="1" customWidth="1"/>
    <col min="14494" max="14494" width="12" style="151" bestFit="1" customWidth="1"/>
    <col min="14495" max="14495" width="10" style="151" bestFit="1" customWidth="1"/>
    <col min="14496" max="14514" width="12.7109375" style="151" customWidth="1"/>
    <col min="14515" max="14525" width="9.85546875" style="151" bestFit="1" customWidth="1"/>
    <col min="14526" max="14526" width="11.140625" style="151" bestFit="1" customWidth="1"/>
    <col min="14527" max="14541" width="9.140625" style="151"/>
    <col min="14542" max="14542" width="9.85546875" style="151" bestFit="1" customWidth="1"/>
    <col min="14543" max="14557" width="9.140625" style="151"/>
    <col min="14558" max="14558" width="9.85546875" style="151" bestFit="1" customWidth="1"/>
    <col min="14559" max="14573" width="9.140625" style="151"/>
    <col min="14574" max="14574" width="9.85546875" style="151" bestFit="1" customWidth="1"/>
    <col min="14575" max="14589" width="9.140625" style="151"/>
    <col min="14590" max="14590" width="9.85546875" style="151" bestFit="1" customWidth="1"/>
    <col min="14591" max="14592" width="9.140625" style="151"/>
    <col min="14593" max="14593" width="11" style="151" bestFit="1" customWidth="1"/>
    <col min="14594" max="14598" width="11.140625" style="151" bestFit="1" customWidth="1"/>
    <col min="14599" max="14599" width="9.85546875" style="151" bestFit="1" customWidth="1"/>
    <col min="14600" max="14604" width="11.140625" style="151" bestFit="1" customWidth="1"/>
    <col min="14605" max="14605" width="12" style="151" bestFit="1" customWidth="1"/>
    <col min="14606" max="14606" width="11" style="151" bestFit="1" customWidth="1"/>
    <col min="14607" max="14719" width="9.140625" style="151"/>
    <col min="14720" max="14720" width="8.28515625" style="151" bestFit="1" customWidth="1"/>
    <col min="14721" max="14721" width="26" style="151" bestFit="1" customWidth="1"/>
    <col min="14722" max="14722" width="12" style="151" customWidth="1"/>
    <col min="14723" max="14723" width="8.140625" style="151" customWidth="1"/>
    <col min="14724" max="14724" width="11.140625" style="151" customWidth="1"/>
    <col min="14725" max="14725" width="8.28515625" style="151" customWidth="1"/>
    <col min="14726" max="14726" width="9.85546875" style="151" customWidth="1"/>
    <col min="14727" max="14727" width="8" style="151" customWidth="1"/>
    <col min="14728" max="14728" width="9.85546875" style="151" customWidth="1"/>
    <col min="14729" max="14729" width="6" style="151" customWidth="1"/>
    <col min="14730" max="14730" width="11.140625" style="151" customWidth="1"/>
    <col min="14731" max="14731" width="6.85546875" style="151" customWidth="1"/>
    <col min="14732" max="14732" width="11.7109375" style="151" customWidth="1"/>
    <col min="14733" max="14733" width="7.140625" style="151" customWidth="1"/>
    <col min="14734" max="14734" width="9" style="151" customWidth="1"/>
    <col min="14735" max="14735" width="7.140625" style="151" customWidth="1"/>
    <col min="14736" max="14736" width="12" style="151" customWidth="1"/>
    <col min="14737" max="14737" width="12.7109375" style="151" customWidth="1"/>
    <col min="14738" max="14749" width="11.140625" style="151" bestFit="1" customWidth="1"/>
    <col min="14750" max="14750" width="12" style="151" bestFit="1" customWidth="1"/>
    <col min="14751" max="14751" width="10" style="151" bestFit="1" customWidth="1"/>
    <col min="14752" max="14770" width="12.7109375" style="151" customWidth="1"/>
    <col min="14771" max="14781" width="9.85546875" style="151" bestFit="1" customWidth="1"/>
    <col min="14782" max="14782" width="11.140625" style="151" bestFit="1" customWidth="1"/>
    <col min="14783" max="14797" width="9.140625" style="151"/>
    <col min="14798" max="14798" width="9.85546875" style="151" bestFit="1" customWidth="1"/>
    <col min="14799" max="14813" width="9.140625" style="151"/>
    <col min="14814" max="14814" width="9.85546875" style="151" bestFit="1" customWidth="1"/>
    <col min="14815" max="14829" width="9.140625" style="151"/>
    <col min="14830" max="14830" width="9.85546875" style="151" bestFit="1" customWidth="1"/>
    <col min="14831" max="14845" width="9.140625" style="151"/>
    <col min="14846" max="14846" width="9.85546875" style="151" bestFit="1" customWidth="1"/>
    <col min="14847" max="14848" width="9.140625" style="151"/>
    <col min="14849" max="14849" width="11" style="151" bestFit="1" customWidth="1"/>
    <col min="14850" max="14854" width="11.140625" style="151" bestFit="1" customWidth="1"/>
    <col min="14855" max="14855" width="9.85546875" style="151" bestFit="1" customWidth="1"/>
    <col min="14856" max="14860" width="11.140625" style="151" bestFit="1" customWidth="1"/>
    <col min="14861" max="14861" width="12" style="151" bestFit="1" customWidth="1"/>
    <col min="14862" max="14862" width="11" style="151" bestFit="1" customWidth="1"/>
    <col min="14863" max="14975" width="9.140625" style="151"/>
    <col min="14976" max="14976" width="8.28515625" style="151" bestFit="1" customWidth="1"/>
    <col min="14977" max="14977" width="26" style="151" bestFit="1" customWidth="1"/>
    <col min="14978" max="14978" width="12" style="151" customWidth="1"/>
    <col min="14979" max="14979" width="8.140625" style="151" customWidth="1"/>
    <col min="14980" max="14980" width="11.140625" style="151" customWidth="1"/>
    <col min="14981" max="14981" width="8.28515625" style="151" customWidth="1"/>
    <col min="14982" max="14982" width="9.85546875" style="151" customWidth="1"/>
    <col min="14983" max="14983" width="8" style="151" customWidth="1"/>
    <col min="14984" max="14984" width="9.85546875" style="151" customWidth="1"/>
    <col min="14985" max="14985" width="6" style="151" customWidth="1"/>
    <col min="14986" max="14986" width="11.140625" style="151" customWidth="1"/>
    <col min="14987" max="14987" width="6.85546875" style="151" customWidth="1"/>
    <col min="14988" max="14988" width="11.7109375" style="151" customWidth="1"/>
    <col min="14989" max="14989" width="7.140625" style="151" customWidth="1"/>
    <col min="14990" max="14990" width="9" style="151" customWidth="1"/>
    <col min="14991" max="14991" width="7.140625" style="151" customWidth="1"/>
    <col min="14992" max="14992" width="12" style="151" customWidth="1"/>
    <col min="14993" max="14993" width="12.7109375" style="151" customWidth="1"/>
    <col min="14994" max="15005" width="11.140625" style="151" bestFit="1" customWidth="1"/>
    <col min="15006" max="15006" width="12" style="151" bestFit="1" customWidth="1"/>
    <col min="15007" max="15007" width="10" style="151" bestFit="1" customWidth="1"/>
    <col min="15008" max="15026" width="12.7109375" style="151" customWidth="1"/>
    <col min="15027" max="15037" width="9.85546875" style="151" bestFit="1" customWidth="1"/>
    <col min="15038" max="15038" width="11.140625" style="151" bestFit="1" customWidth="1"/>
    <col min="15039" max="15053" width="9.140625" style="151"/>
    <col min="15054" max="15054" width="9.85546875" style="151" bestFit="1" customWidth="1"/>
    <col min="15055" max="15069" width="9.140625" style="151"/>
    <col min="15070" max="15070" width="9.85546875" style="151" bestFit="1" customWidth="1"/>
    <col min="15071" max="15085" width="9.140625" style="151"/>
    <col min="15086" max="15086" width="9.85546875" style="151" bestFit="1" customWidth="1"/>
    <col min="15087" max="15101" width="9.140625" style="151"/>
    <col min="15102" max="15102" width="9.85546875" style="151" bestFit="1" customWidth="1"/>
    <col min="15103" max="15104" width="9.140625" style="151"/>
    <col min="15105" max="15105" width="11" style="151" bestFit="1" customWidth="1"/>
    <col min="15106" max="15110" width="11.140625" style="151" bestFit="1" customWidth="1"/>
    <col min="15111" max="15111" width="9.85546875" style="151" bestFit="1" customWidth="1"/>
    <col min="15112" max="15116" width="11.140625" style="151" bestFit="1" customWidth="1"/>
    <col min="15117" max="15117" width="12" style="151" bestFit="1" customWidth="1"/>
    <col min="15118" max="15118" width="11" style="151" bestFit="1" customWidth="1"/>
    <col min="15119" max="15231" width="9.140625" style="151"/>
    <col min="15232" max="15232" width="8.28515625" style="151" bestFit="1" customWidth="1"/>
    <col min="15233" max="15233" width="26" style="151" bestFit="1" customWidth="1"/>
    <col min="15234" max="15234" width="12" style="151" customWidth="1"/>
    <col min="15235" max="15235" width="8.140625" style="151" customWidth="1"/>
    <col min="15236" max="15236" width="11.140625" style="151" customWidth="1"/>
    <col min="15237" max="15237" width="8.28515625" style="151" customWidth="1"/>
    <col min="15238" max="15238" width="9.85546875" style="151" customWidth="1"/>
    <col min="15239" max="15239" width="8" style="151" customWidth="1"/>
    <col min="15240" max="15240" width="9.85546875" style="151" customWidth="1"/>
    <col min="15241" max="15241" width="6" style="151" customWidth="1"/>
    <col min="15242" max="15242" width="11.140625" style="151" customWidth="1"/>
    <col min="15243" max="15243" width="6.85546875" style="151" customWidth="1"/>
    <col min="15244" max="15244" width="11.7109375" style="151" customWidth="1"/>
    <col min="15245" max="15245" width="7.140625" style="151" customWidth="1"/>
    <col min="15246" max="15246" width="9" style="151" customWidth="1"/>
    <col min="15247" max="15247" width="7.140625" style="151" customWidth="1"/>
    <col min="15248" max="15248" width="12" style="151" customWidth="1"/>
    <col min="15249" max="15249" width="12.7109375" style="151" customWidth="1"/>
    <col min="15250" max="15261" width="11.140625" style="151" bestFit="1" customWidth="1"/>
    <col min="15262" max="15262" width="12" style="151" bestFit="1" customWidth="1"/>
    <col min="15263" max="15263" width="10" style="151" bestFit="1" customWidth="1"/>
    <col min="15264" max="15282" width="12.7109375" style="151" customWidth="1"/>
    <col min="15283" max="15293" width="9.85546875" style="151" bestFit="1" customWidth="1"/>
    <col min="15294" max="15294" width="11.140625" style="151" bestFit="1" customWidth="1"/>
    <col min="15295" max="15309" width="9.140625" style="151"/>
    <col min="15310" max="15310" width="9.85546875" style="151" bestFit="1" customWidth="1"/>
    <col min="15311" max="15325" width="9.140625" style="151"/>
    <col min="15326" max="15326" width="9.85546875" style="151" bestFit="1" customWidth="1"/>
    <col min="15327" max="15341" width="9.140625" style="151"/>
    <col min="15342" max="15342" width="9.85546875" style="151" bestFit="1" customWidth="1"/>
    <col min="15343" max="15357" width="9.140625" style="151"/>
    <col min="15358" max="15358" width="9.85546875" style="151" bestFit="1" customWidth="1"/>
    <col min="15359" max="15360" width="9.140625" style="151"/>
    <col min="15361" max="15361" width="11" style="151" bestFit="1" customWidth="1"/>
    <col min="15362" max="15366" width="11.140625" style="151" bestFit="1" customWidth="1"/>
    <col min="15367" max="15367" width="9.85546875" style="151" bestFit="1" customWidth="1"/>
    <col min="15368" max="15372" width="11.140625" style="151" bestFit="1" customWidth="1"/>
    <col min="15373" max="15373" width="12" style="151" bestFit="1" customWidth="1"/>
    <col min="15374" max="15374" width="11" style="151" bestFit="1" customWidth="1"/>
    <col min="15375" max="15487" width="9.140625" style="151"/>
    <col min="15488" max="15488" width="8.28515625" style="151" bestFit="1" customWidth="1"/>
    <col min="15489" max="15489" width="26" style="151" bestFit="1" customWidth="1"/>
    <col min="15490" max="15490" width="12" style="151" customWidth="1"/>
    <col min="15491" max="15491" width="8.140625" style="151" customWidth="1"/>
    <col min="15492" max="15492" width="11.140625" style="151" customWidth="1"/>
    <col min="15493" max="15493" width="8.28515625" style="151" customWidth="1"/>
    <col min="15494" max="15494" width="9.85546875" style="151" customWidth="1"/>
    <col min="15495" max="15495" width="8" style="151" customWidth="1"/>
    <col min="15496" max="15496" width="9.85546875" style="151" customWidth="1"/>
    <col min="15497" max="15497" width="6" style="151" customWidth="1"/>
    <col min="15498" max="15498" width="11.140625" style="151" customWidth="1"/>
    <col min="15499" max="15499" width="6.85546875" style="151" customWidth="1"/>
    <col min="15500" max="15500" width="11.7109375" style="151" customWidth="1"/>
    <col min="15501" max="15501" width="7.140625" style="151" customWidth="1"/>
    <col min="15502" max="15502" width="9" style="151" customWidth="1"/>
    <col min="15503" max="15503" width="7.140625" style="151" customWidth="1"/>
    <col min="15504" max="15504" width="12" style="151" customWidth="1"/>
    <col min="15505" max="15505" width="12.7109375" style="151" customWidth="1"/>
    <col min="15506" max="15517" width="11.140625" style="151" bestFit="1" customWidth="1"/>
    <col min="15518" max="15518" width="12" style="151" bestFit="1" customWidth="1"/>
    <col min="15519" max="15519" width="10" style="151" bestFit="1" customWidth="1"/>
    <col min="15520" max="15538" width="12.7109375" style="151" customWidth="1"/>
    <col min="15539" max="15549" width="9.85546875" style="151" bestFit="1" customWidth="1"/>
    <col min="15550" max="15550" width="11.140625" style="151" bestFit="1" customWidth="1"/>
    <col min="15551" max="15565" width="9.140625" style="151"/>
    <col min="15566" max="15566" width="9.85546875" style="151" bestFit="1" customWidth="1"/>
    <col min="15567" max="15581" width="9.140625" style="151"/>
    <col min="15582" max="15582" width="9.85546875" style="151" bestFit="1" customWidth="1"/>
    <col min="15583" max="15597" width="9.140625" style="151"/>
    <col min="15598" max="15598" width="9.85546875" style="151" bestFit="1" customWidth="1"/>
    <col min="15599" max="15613" width="9.140625" style="151"/>
    <col min="15614" max="15614" width="9.85546875" style="151" bestFit="1" customWidth="1"/>
    <col min="15615" max="15616" width="9.140625" style="151"/>
    <col min="15617" max="15617" width="11" style="151" bestFit="1" customWidth="1"/>
    <col min="15618" max="15622" width="11.140625" style="151" bestFit="1" customWidth="1"/>
    <col min="15623" max="15623" width="9.85546875" style="151" bestFit="1" customWidth="1"/>
    <col min="15624" max="15628" width="11.140625" style="151" bestFit="1" customWidth="1"/>
    <col min="15629" max="15629" width="12" style="151" bestFit="1" customWidth="1"/>
    <col min="15630" max="15630" width="11" style="151" bestFit="1" customWidth="1"/>
    <col min="15631" max="15743" width="9.140625" style="151"/>
    <col min="15744" max="15744" width="8.28515625" style="151" bestFit="1" customWidth="1"/>
    <col min="15745" max="15745" width="26" style="151" bestFit="1" customWidth="1"/>
    <col min="15746" max="15746" width="12" style="151" customWidth="1"/>
    <col min="15747" max="15747" width="8.140625" style="151" customWidth="1"/>
    <col min="15748" max="15748" width="11.140625" style="151" customWidth="1"/>
    <col min="15749" max="15749" width="8.28515625" style="151" customWidth="1"/>
    <col min="15750" max="15750" width="9.85546875" style="151" customWidth="1"/>
    <col min="15751" max="15751" width="8" style="151" customWidth="1"/>
    <col min="15752" max="15752" width="9.85546875" style="151" customWidth="1"/>
    <col min="15753" max="15753" width="6" style="151" customWidth="1"/>
    <col min="15754" max="15754" width="11.140625" style="151" customWidth="1"/>
    <col min="15755" max="15755" width="6.85546875" style="151" customWidth="1"/>
    <col min="15756" max="15756" width="11.7109375" style="151" customWidth="1"/>
    <col min="15757" max="15757" width="7.140625" style="151" customWidth="1"/>
    <col min="15758" max="15758" width="9" style="151" customWidth="1"/>
    <col min="15759" max="15759" width="7.140625" style="151" customWidth="1"/>
    <col min="15760" max="15760" width="12" style="151" customWidth="1"/>
    <col min="15761" max="15761" width="12.7109375" style="151" customWidth="1"/>
    <col min="15762" max="15773" width="11.140625" style="151" bestFit="1" customWidth="1"/>
    <col min="15774" max="15774" width="12" style="151" bestFit="1" customWidth="1"/>
    <col min="15775" max="15775" width="10" style="151" bestFit="1" customWidth="1"/>
    <col min="15776" max="15794" width="12.7109375" style="151" customWidth="1"/>
    <col min="15795" max="15805" width="9.85546875" style="151" bestFit="1" customWidth="1"/>
    <col min="15806" max="15806" width="11.140625" style="151" bestFit="1" customWidth="1"/>
    <col min="15807" max="15821" width="9.140625" style="151"/>
    <col min="15822" max="15822" width="9.85546875" style="151" bestFit="1" customWidth="1"/>
    <col min="15823" max="15837" width="9.140625" style="151"/>
    <col min="15838" max="15838" width="9.85546875" style="151" bestFit="1" customWidth="1"/>
    <col min="15839" max="15853" width="9.140625" style="151"/>
    <col min="15854" max="15854" width="9.85546875" style="151" bestFit="1" customWidth="1"/>
    <col min="15855" max="15869" width="9.140625" style="151"/>
    <col min="15870" max="15870" width="9.85546875" style="151" bestFit="1" customWidth="1"/>
    <col min="15871" max="15872" width="9.140625" style="151"/>
    <col min="15873" max="15873" width="11" style="151" bestFit="1" customWidth="1"/>
    <col min="15874" max="15878" width="11.140625" style="151" bestFit="1" customWidth="1"/>
    <col min="15879" max="15879" width="9.85546875" style="151" bestFit="1" customWidth="1"/>
    <col min="15880" max="15884" width="11.140625" style="151" bestFit="1" customWidth="1"/>
    <col min="15885" max="15885" width="12" style="151" bestFit="1" customWidth="1"/>
    <col min="15886" max="15886" width="11" style="151" bestFit="1" customWidth="1"/>
    <col min="15887" max="15999" width="9.140625" style="151"/>
    <col min="16000" max="16000" width="8.28515625" style="151" bestFit="1" customWidth="1"/>
    <col min="16001" max="16001" width="26" style="151" bestFit="1" customWidth="1"/>
    <col min="16002" max="16002" width="12" style="151" customWidth="1"/>
    <col min="16003" max="16003" width="8.140625" style="151" customWidth="1"/>
    <col min="16004" max="16004" width="11.140625" style="151" customWidth="1"/>
    <col min="16005" max="16005" width="8.28515625" style="151" customWidth="1"/>
    <col min="16006" max="16006" width="9.85546875" style="151" customWidth="1"/>
    <col min="16007" max="16007" width="8" style="151" customWidth="1"/>
    <col min="16008" max="16008" width="9.85546875" style="151" customWidth="1"/>
    <col min="16009" max="16009" width="6" style="151" customWidth="1"/>
    <col min="16010" max="16010" width="11.140625" style="151" customWidth="1"/>
    <col min="16011" max="16011" width="6.85546875" style="151" customWidth="1"/>
    <col min="16012" max="16012" width="11.7109375" style="151" customWidth="1"/>
    <col min="16013" max="16013" width="7.140625" style="151" customWidth="1"/>
    <col min="16014" max="16014" width="9" style="151" customWidth="1"/>
    <col min="16015" max="16015" width="7.140625" style="151" customWidth="1"/>
    <col min="16016" max="16016" width="12" style="151" customWidth="1"/>
    <col min="16017" max="16017" width="12.7109375" style="151" customWidth="1"/>
    <col min="16018" max="16029" width="11.140625" style="151" bestFit="1" customWidth="1"/>
    <col min="16030" max="16030" width="12" style="151" bestFit="1" customWidth="1"/>
    <col min="16031" max="16031" width="10" style="151" bestFit="1" customWidth="1"/>
    <col min="16032" max="16050" width="12.7109375" style="151" customWidth="1"/>
    <col min="16051" max="16061" width="9.85546875" style="151" bestFit="1" customWidth="1"/>
    <col min="16062" max="16062" width="11.140625" style="151" bestFit="1" customWidth="1"/>
    <col min="16063" max="16077" width="9.140625" style="151"/>
    <col min="16078" max="16078" width="9.85546875" style="151" bestFit="1" customWidth="1"/>
    <col min="16079" max="16093" width="9.140625" style="151"/>
    <col min="16094" max="16094" width="9.85546875" style="151" bestFit="1" customWidth="1"/>
    <col min="16095" max="16109" width="9.140625" style="151"/>
    <col min="16110" max="16110" width="9.85546875" style="151" bestFit="1" customWidth="1"/>
    <col min="16111" max="16125" width="9.140625" style="151"/>
    <col min="16126" max="16126" width="9.85546875" style="151" bestFit="1" customWidth="1"/>
    <col min="16127" max="16128" width="9.140625" style="151"/>
    <col min="16129" max="16129" width="11" style="151" bestFit="1" customWidth="1"/>
    <col min="16130" max="16134" width="11.140625" style="151" bestFit="1" customWidth="1"/>
    <col min="16135" max="16135" width="9.85546875" style="151" bestFit="1" customWidth="1"/>
    <col min="16136" max="16140" width="11.140625" style="151" bestFit="1" customWidth="1"/>
    <col min="16141" max="16141" width="12" style="151" bestFit="1" customWidth="1"/>
    <col min="16142" max="16142" width="11" style="151" bestFit="1" customWidth="1"/>
    <col min="16143" max="16384" width="9.140625" style="151"/>
  </cols>
  <sheetData>
    <row r="1" spans="1:19" x14ac:dyDescent="0.2">
      <c r="E1" s="210" t="s">
        <v>49</v>
      </c>
      <c r="F1" s="210" t="s">
        <v>48</v>
      </c>
      <c r="G1" s="210" t="s">
        <v>47</v>
      </c>
      <c r="H1" s="210" t="s">
        <v>46</v>
      </c>
      <c r="I1" s="210" t="s">
        <v>45</v>
      </c>
      <c r="J1" s="210" t="s">
        <v>44</v>
      </c>
      <c r="K1" s="210" t="s">
        <v>43</v>
      </c>
      <c r="L1" s="210" t="s">
        <v>42</v>
      </c>
      <c r="M1" s="210" t="s">
        <v>41</v>
      </c>
      <c r="N1" s="210" t="s">
        <v>40</v>
      </c>
      <c r="O1" s="210" t="s">
        <v>39</v>
      </c>
      <c r="P1" s="210" t="s">
        <v>38</v>
      </c>
      <c r="Q1" s="210" t="s">
        <v>37</v>
      </c>
    </row>
    <row r="2" spans="1:19" s="92" customFormat="1" x14ac:dyDescent="0.2">
      <c r="A2" s="215"/>
      <c r="B2" s="139" t="s">
        <v>671</v>
      </c>
      <c r="C2" s="246">
        <f>STATS!D94</f>
        <v>4086</v>
      </c>
      <c r="D2" s="215"/>
      <c r="E2" s="187">
        <f>'MO STATS'!E90</f>
        <v>301</v>
      </c>
      <c r="F2" s="187">
        <f>'MO STATS'!F90</f>
        <v>277</v>
      </c>
      <c r="G2" s="187">
        <f>'MO STATS'!G90</f>
        <v>282</v>
      </c>
      <c r="H2" s="187">
        <f>'MO STATS'!H90</f>
        <v>285</v>
      </c>
      <c r="I2" s="187">
        <f>'MO STATS'!I90</f>
        <v>333</v>
      </c>
      <c r="J2" s="187">
        <f>'MO STATS'!J90</f>
        <v>421</v>
      </c>
      <c r="K2" s="187">
        <f>'MO STATS'!K90</f>
        <v>279</v>
      </c>
      <c r="L2" s="187">
        <f>'MO STATS'!L90</f>
        <v>287</v>
      </c>
      <c r="M2" s="187">
        <f>'MO STATS'!M90</f>
        <v>345</v>
      </c>
      <c r="N2" s="187">
        <f>'MO STATS'!N90</f>
        <v>447</v>
      </c>
      <c r="O2" s="187">
        <f>'MO STATS'!O90</f>
        <v>438</v>
      </c>
      <c r="P2" s="187">
        <f>'MO STATS'!P90-1</f>
        <v>391</v>
      </c>
      <c r="Q2" s="154">
        <f>SUM(E2:P2)</f>
        <v>4086</v>
      </c>
      <c r="R2" s="153">
        <f>C2-Q2</f>
        <v>0</v>
      </c>
      <c r="S2" s="237"/>
    </row>
    <row r="3" spans="1:19" s="92" customFormat="1" x14ac:dyDescent="0.2">
      <c r="A3" s="215"/>
      <c r="B3" s="139" t="s">
        <v>152</v>
      </c>
      <c r="C3" s="246">
        <f>STATS!D92</f>
        <v>20375</v>
      </c>
      <c r="D3" s="215"/>
      <c r="E3" s="187">
        <f>'MO STATS'!E88</f>
        <v>1663</v>
      </c>
      <c r="F3" s="187">
        <f>'MO STATS'!F88</f>
        <v>1576</v>
      </c>
      <c r="G3" s="187">
        <f>'MO STATS'!G88</f>
        <v>1511</v>
      </c>
      <c r="H3" s="187">
        <f>'MO STATS'!H88</f>
        <v>1687</v>
      </c>
      <c r="I3" s="187">
        <f>'MO STATS'!I88</f>
        <v>1721</v>
      </c>
      <c r="J3" s="187">
        <f>'MO STATS'!J88</f>
        <v>1875</v>
      </c>
      <c r="K3" s="187">
        <f>'MO STATS'!K88</f>
        <v>1737</v>
      </c>
      <c r="L3" s="187">
        <f>'MO STATS'!L88</f>
        <v>1855</v>
      </c>
      <c r="M3" s="187">
        <f>'MO STATS'!M88</f>
        <v>1678</v>
      </c>
      <c r="N3" s="187">
        <f>'MO STATS'!N88</f>
        <v>1510</v>
      </c>
      <c r="O3" s="187">
        <f>'MO STATS'!O88</f>
        <v>1754</v>
      </c>
      <c r="P3" s="187">
        <f>'MO STATS'!P88</f>
        <v>1808</v>
      </c>
      <c r="Q3" s="154">
        <f>SUM(E3:P3)</f>
        <v>20375</v>
      </c>
      <c r="R3" s="153">
        <f>C3-Q3</f>
        <v>0</v>
      </c>
      <c r="S3" s="237"/>
    </row>
    <row r="4" spans="1:19" x14ac:dyDescent="0.2">
      <c r="E4" s="154"/>
      <c r="F4" s="154"/>
      <c r="G4" s="154"/>
      <c r="H4" s="154"/>
      <c r="I4" s="154"/>
      <c r="J4" s="154"/>
      <c r="K4" s="154"/>
      <c r="L4" s="154"/>
      <c r="M4" s="154"/>
      <c r="N4" s="154"/>
      <c r="O4" s="154"/>
      <c r="P4" s="154"/>
      <c r="Q4" s="157"/>
      <c r="R4" s="153"/>
    </row>
    <row r="5" spans="1:19" x14ac:dyDescent="0.2">
      <c r="A5" s="707" t="s">
        <v>672</v>
      </c>
      <c r="B5" s="707"/>
      <c r="C5" s="707"/>
      <c r="D5" s="707"/>
    </row>
    <row r="6" spans="1:19" s="159" customFormat="1" x14ac:dyDescent="0.2">
      <c r="A6" s="231"/>
      <c r="B6" s="224" t="s">
        <v>673</v>
      </c>
      <c r="C6" s="240" t="s">
        <v>674</v>
      </c>
      <c r="D6" s="241" t="s">
        <v>675</v>
      </c>
      <c r="E6" s="238"/>
      <c r="F6" s="220"/>
      <c r="G6" s="220"/>
      <c r="H6" s="220"/>
      <c r="I6" s="220"/>
      <c r="J6" s="220"/>
      <c r="K6" s="220"/>
      <c r="L6" s="220"/>
      <c r="M6" s="220"/>
      <c r="N6" s="220"/>
      <c r="O6" s="220"/>
      <c r="P6" s="220"/>
      <c r="Q6" s="157"/>
      <c r="R6" s="157"/>
      <c r="S6" s="220"/>
    </row>
    <row r="7" spans="1:19" s="92" customFormat="1" x14ac:dyDescent="0.2">
      <c r="A7" s="351">
        <v>51000</v>
      </c>
      <c r="B7" s="352" t="s">
        <v>681</v>
      </c>
      <c r="C7" s="353">
        <f>'recap rev and deduct'!C823</f>
        <v>1343271.4735636874</v>
      </c>
      <c r="D7" s="353">
        <f>$C7/C$2</f>
        <v>328.74974879189608</v>
      </c>
      <c r="E7" s="383">
        <f>$D7*E$2</f>
        <v>98953.674386360726</v>
      </c>
      <c r="F7" s="383">
        <f t="shared" ref="F7:P10" si="0">$D7*F$2</f>
        <v>91063.680415355208</v>
      </c>
      <c r="G7" s="383">
        <f t="shared" si="0"/>
        <v>92707.429159314692</v>
      </c>
      <c r="H7" s="383">
        <f t="shared" si="0"/>
        <v>93693.678405690385</v>
      </c>
      <c r="I7" s="383">
        <f t="shared" si="0"/>
        <v>109473.66634770139</v>
      </c>
      <c r="J7" s="383">
        <f t="shared" si="0"/>
        <v>138403.64424138825</v>
      </c>
      <c r="K7" s="383">
        <f t="shared" si="0"/>
        <v>91721.179912939013</v>
      </c>
      <c r="L7" s="383">
        <f t="shared" si="0"/>
        <v>94351.177903274176</v>
      </c>
      <c r="M7" s="383">
        <f t="shared" si="0"/>
        <v>113418.66333320415</v>
      </c>
      <c r="N7" s="383">
        <f t="shared" si="0"/>
        <v>146951.13770997754</v>
      </c>
      <c r="O7" s="383">
        <f t="shared" si="0"/>
        <v>143992.38997085049</v>
      </c>
      <c r="P7" s="383">
        <f t="shared" si="0"/>
        <v>128541.15177763137</v>
      </c>
      <c r="Q7" s="384">
        <f>SUM(E7:P7)</f>
        <v>1343271.4735636872</v>
      </c>
      <c r="R7" s="354">
        <f>C7-Q7</f>
        <v>0</v>
      </c>
      <c r="S7" s="237"/>
    </row>
    <row r="8" spans="1:19" s="92" customFormat="1" x14ac:dyDescent="0.2">
      <c r="A8" s="351">
        <v>51002</v>
      </c>
      <c r="B8" s="352" t="s">
        <v>682</v>
      </c>
      <c r="C8" s="353">
        <v>0</v>
      </c>
      <c r="D8" s="353">
        <f>$C8/C$2</f>
        <v>0</v>
      </c>
      <c r="E8" s="383">
        <f>$D8*E$2</f>
        <v>0</v>
      </c>
      <c r="F8" s="383">
        <f t="shared" si="0"/>
        <v>0</v>
      </c>
      <c r="G8" s="383">
        <f t="shared" si="0"/>
        <v>0</v>
      </c>
      <c r="H8" s="383">
        <f t="shared" si="0"/>
        <v>0</v>
      </c>
      <c r="I8" s="383">
        <f t="shared" si="0"/>
        <v>0</v>
      </c>
      <c r="J8" s="383">
        <f t="shared" si="0"/>
        <v>0</v>
      </c>
      <c r="K8" s="383">
        <f t="shared" si="0"/>
        <v>0</v>
      </c>
      <c r="L8" s="383">
        <f t="shared" si="0"/>
        <v>0</v>
      </c>
      <c r="M8" s="383">
        <f t="shared" si="0"/>
        <v>0</v>
      </c>
      <c r="N8" s="383">
        <f t="shared" si="0"/>
        <v>0</v>
      </c>
      <c r="O8" s="383">
        <f t="shared" si="0"/>
        <v>0</v>
      </c>
      <c r="P8" s="383">
        <f t="shared" si="0"/>
        <v>0</v>
      </c>
      <c r="Q8" s="384">
        <f t="shared" ref="Q8" si="1">SUM(E8:P8)</f>
        <v>0</v>
      </c>
      <c r="R8" s="354">
        <f t="shared" ref="R8:R16" si="2">C8-Q8</f>
        <v>0</v>
      </c>
      <c r="S8" s="237"/>
    </row>
    <row r="9" spans="1:19" s="92" customFormat="1" x14ac:dyDescent="0.2">
      <c r="A9" s="351">
        <v>51026</v>
      </c>
      <c r="B9" s="352" t="s">
        <v>688</v>
      </c>
      <c r="C9" s="353">
        <f>'recap rev and deduct'!C832</f>
        <v>1073734.6633562623</v>
      </c>
      <c r="D9" s="353">
        <f>$C9/C$2</f>
        <v>262.78381384147389</v>
      </c>
      <c r="E9" s="383">
        <f>$D9*E$2</f>
        <v>79097.927966283634</v>
      </c>
      <c r="F9" s="383">
        <f t="shared" si="0"/>
        <v>72791.116434088268</v>
      </c>
      <c r="G9" s="383">
        <f t="shared" si="0"/>
        <v>74105.035503295643</v>
      </c>
      <c r="H9" s="383">
        <f t="shared" si="0"/>
        <v>74893.386944820057</v>
      </c>
      <c r="I9" s="383">
        <f t="shared" si="0"/>
        <v>87507.010009210804</v>
      </c>
      <c r="J9" s="383">
        <f t="shared" si="0"/>
        <v>110631.98562726051</v>
      </c>
      <c r="K9" s="383">
        <f t="shared" si="0"/>
        <v>73316.684061771215</v>
      </c>
      <c r="L9" s="383">
        <f t="shared" si="0"/>
        <v>75418.954572503004</v>
      </c>
      <c r="M9" s="383">
        <f t="shared" si="0"/>
        <v>90660.415775308487</v>
      </c>
      <c r="N9" s="383">
        <f t="shared" si="0"/>
        <v>117464.36478713882</v>
      </c>
      <c r="O9" s="383">
        <f t="shared" si="0"/>
        <v>115099.31046256557</v>
      </c>
      <c r="P9" s="383">
        <f t="shared" si="0"/>
        <v>102748.47121201629</v>
      </c>
      <c r="Q9" s="384">
        <f t="shared" ref="Q9:Q14" si="3">SUM(E9:P9)</f>
        <v>1073734.6633562623</v>
      </c>
      <c r="R9" s="354">
        <f t="shared" si="2"/>
        <v>0</v>
      </c>
      <c r="S9" s="237"/>
    </row>
    <row r="10" spans="1:19" s="364" customFormat="1" x14ac:dyDescent="0.2">
      <c r="A10" s="355">
        <v>51038</v>
      </c>
      <c r="B10" s="356" t="s">
        <v>708</v>
      </c>
      <c r="C10" s="357">
        <f>'recap rev and deduct'!J841</f>
        <v>323451.65235299018</v>
      </c>
      <c r="D10" s="357">
        <f t="shared" ref="D10:D11" si="4">$C10/C$2</f>
        <v>79.160952607192897</v>
      </c>
      <c r="E10" s="385">
        <f>$D10*E$2</f>
        <v>23827.446734765061</v>
      </c>
      <c r="F10" s="385">
        <f t="shared" si="0"/>
        <v>21927.583872192434</v>
      </c>
      <c r="G10" s="385">
        <f t="shared" si="0"/>
        <v>22323.388635228395</v>
      </c>
      <c r="H10" s="385">
        <f t="shared" si="0"/>
        <v>22560.871493049977</v>
      </c>
      <c r="I10" s="385">
        <f t="shared" si="0"/>
        <v>26360.597218195235</v>
      </c>
      <c r="J10" s="385">
        <f t="shared" si="0"/>
        <v>33326.761047628206</v>
      </c>
      <c r="K10" s="385">
        <f t="shared" si="0"/>
        <v>22085.905777406817</v>
      </c>
      <c r="L10" s="385">
        <f t="shared" si="0"/>
        <v>22719.19339826436</v>
      </c>
      <c r="M10" s="385">
        <f t="shared" si="0"/>
        <v>27310.528649481548</v>
      </c>
      <c r="N10" s="385">
        <f t="shared" si="0"/>
        <v>35384.945815415223</v>
      </c>
      <c r="O10" s="385">
        <f t="shared" si="0"/>
        <v>34672.497241950492</v>
      </c>
      <c r="P10" s="385">
        <f t="shared" si="0"/>
        <v>30951.932469412423</v>
      </c>
      <c r="Q10" s="386">
        <f t="shared" si="3"/>
        <v>323451.65235299012</v>
      </c>
      <c r="R10" s="358">
        <f t="shared" si="2"/>
        <v>0</v>
      </c>
      <c r="S10" s="363"/>
    </row>
    <row r="11" spans="1:19" s="92" customFormat="1" x14ac:dyDescent="0.2">
      <c r="A11" s="351">
        <v>51054</v>
      </c>
      <c r="B11" s="352" t="s">
        <v>709</v>
      </c>
      <c r="C11" s="353">
        <v>0</v>
      </c>
      <c r="D11" s="353">
        <f t="shared" si="4"/>
        <v>0</v>
      </c>
      <c r="E11" s="383">
        <f>$D11*E$2</f>
        <v>0</v>
      </c>
      <c r="F11" s="383">
        <f t="shared" ref="F11:P11" si="5">$D11*F$2</f>
        <v>0</v>
      </c>
      <c r="G11" s="383">
        <f t="shared" si="5"/>
        <v>0</v>
      </c>
      <c r="H11" s="383">
        <f t="shared" si="5"/>
        <v>0</v>
      </c>
      <c r="I11" s="383">
        <f t="shared" si="5"/>
        <v>0</v>
      </c>
      <c r="J11" s="383">
        <f t="shared" si="5"/>
        <v>0</v>
      </c>
      <c r="K11" s="383">
        <f t="shared" si="5"/>
        <v>0</v>
      </c>
      <c r="L11" s="383">
        <f t="shared" si="5"/>
        <v>0</v>
      </c>
      <c r="M11" s="383">
        <f t="shared" si="5"/>
        <v>0</v>
      </c>
      <c r="N11" s="383">
        <f t="shared" si="5"/>
        <v>0</v>
      </c>
      <c r="O11" s="383">
        <f t="shared" si="5"/>
        <v>0</v>
      </c>
      <c r="P11" s="383">
        <f t="shared" si="5"/>
        <v>0</v>
      </c>
      <c r="Q11" s="384">
        <f t="shared" si="3"/>
        <v>0</v>
      </c>
      <c r="R11" s="354">
        <f t="shared" si="2"/>
        <v>0</v>
      </c>
      <c r="S11" s="237"/>
    </row>
    <row r="12" spans="1:19" s="92" customFormat="1" x14ac:dyDescent="0.2">
      <c r="A12" s="355">
        <v>51012</v>
      </c>
      <c r="B12" s="356" t="s">
        <v>686</v>
      </c>
      <c r="C12" s="357">
        <f>'recap rev and deduct'!C841-C10</f>
        <v>6292889.8230887409</v>
      </c>
      <c r="D12" s="357">
        <f>$C12/C$3</f>
        <v>308.85348824975415</v>
      </c>
      <c r="E12" s="385">
        <f t="shared" ref="E12:E15" si="6">$D12*E$3</f>
        <v>513623.35095934116</v>
      </c>
      <c r="F12" s="385">
        <f t="shared" ref="F12:P15" si="7">$D12*F$3</f>
        <v>486753.09748161252</v>
      </c>
      <c r="G12" s="385">
        <f t="shared" si="7"/>
        <v>466677.62074537855</v>
      </c>
      <c r="H12" s="385">
        <f t="shared" si="7"/>
        <v>521035.83467733522</v>
      </c>
      <c r="I12" s="385">
        <f t="shared" si="7"/>
        <v>531536.85327782691</v>
      </c>
      <c r="J12" s="385">
        <f t="shared" si="7"/>
        <v>579100.29046828905</v>
      </c>
      <c r="K12" s="385">
        <f t="shared" si="7"/>
        <v>536478.509089823</v>
      </c>
      <c r="L12" s="385">
        <f t="shared" si="7"/>
        <v>572923.22070329392</v>
      </c>
      <c r="M12" s="385">
        <f t="shared" si="7"/>
        <v>518256.15328308748</v>
      </c>
      <c r="N12" s="385">
        <f t="shared" si="7"/>
        <v>466368.76725712878</v>
      </c>
      <c r="O12" s="385">
        <f t="shared" si="7"/>
        <v>541729.01839006878</v>
      </c>
      <c r="P12" s="385">
        <f t="shared" si="7"/>
        <v>558407.10675555549</v>
      </c>
      <c r="Q12" s="386">
        <f t="shared" si="3"/>
        <v>6292889.8230887409</v>
      </c>
      <c r="R12" s="358">
        <f t="shared" si="2"/>
        <v>0</v>
      </c>
      <c r="S12" s="237"/>
    </row>
    <row r="13" spans="1:19" s="92" customFormat="1" x14ac:dyDescent="0.2">
      <c r="A13" s="355">
        <v>51014</v>
      </c>
      <c r="B13" s="356" t="s">
        <v>687</v>
      </c>
      <c r="C13" s="357">
        <v>0</v>
      </c>
      <c r="D13" s="357">
        <f>$C13/C$3</f>
        <v>0</v>
      </c>
      <c r="E13" s="385">
        <f t="shared" si="6"/>
        <v>0</v>
      </c>
      <c r="F13" s="385">
        <f t="shared" si="7"/>
        <v>0</v>
      </c>
      <c r="G13" s="385">
        <f t="shared" si="7"/>
        <v>0</v>
      </c>
      <c r="H13" s="385">
        <f t="shared" si="7"/>
        <v>0</v>
      </c>
      <c r="I13" s="385">
        <f t="shared" si="7"/>
        <v>0</v>
      </c>
      <c r="J13" s="385">
        <f t="shared" si="7"/>
        <v>0</v>
      </c>
      <c r="K13" s="385">
        <f t="shared" si="7"/>
        <v>0</v>
      </c>
      <c r="L13" s="385">
        <f t="shared" si="7"/>
        <v>0</v>
      </c>
      <c r="M13" s="385">
        <f t="shared" si="7"/>
        <v>0</v>
      </c>
      <c r="N13" s="385">
        <f t="shared" si="7"/>
        <v>0</v>
      </c>
      <c r="O13" s="385">
        <f t="shared" si="7"/>
        <v>0</v>
      </c>
      <c r="P13" s="385">
        <f t="shared" si="7"/>
        <v>0</v>
      </c>
      <c r="Q13" s="386">
        <f t="shared" si="3"/>
        <v>0</v>
      </c>
      <c r="R13" s="358">
        <f t="shared" si="2"/>
        <v>0</v>
      </c>
      <c r="S13" s="237"/>
    </row>
    <row r="14" spans="1:19" s="92" customFormat="1" x14ac:dyDescent="0.2">
      <c r="A14" s="355">
        <v>51056</v>
      </c>
      <c r="B14" s="356" t="s">
        <v>710</v>
      </c>
      <c r="C14" s="357">
        <v>0</v>
      </c>
      <c r="D14" s="357">
        <f>$C14/C$3</f>
        <v>0</v>
      </c>
      <c r="E14" s="385">
        <f t="shared" si="6"/>
        <v>0</v>
      </c>
      <c r="F14" s="385">
        <f t="shared" si="7"/>
        <v>0</v>
      </c>
      <c r="G14" s="385">
        <f t="shared" si="7"/>
        <v>0</v>
      </c>
      <c r="H14" s="385">
        <f t="shared" si="7"/>
        <v>0</v>
      </c>
      <c r="I14" s="385">
        <f t="shared" si="7"/>
        <v>0</v>
      </c>
      <c r="J14" s="385">
        <f t="shared" si="7"/>
        <v>0</v>
      </c>
      <c r="K14" s="385">
        <f t="shared" si="7"/>
        <v>0</v>
      </c>
      <c r="L14" s="385">
        <f t="shared" si="7"/>
        <v>0</v>
      </c>
      <c r="M14" s="385">
        <f t="shared" si="7"/>
        <v>0</v>
      </c>
      <c r="N14" s="385">
        <f t="shared" si="7"/>
        <v>0</v>
      </c>
      <c r="O14" s="385">
        <f t="shared" si="7"/>
        <v>0</v>
      </c>
      <c r="P14" s="385">
        <f t="shared" si="7"/>
        <v>0</v>
      </c>
      <c r="Q14" s="386">
        <f t="shared" si="3"/>
        <v>0</v>
      </c>
      <c r="R14" s="358">
        <f t="shared" si="2"/>
        <v>0</v>
      </c>
      <c r="S14" s="237"/>
    </row>
    <row r="15" spans="1:19" s="92" customFormat="1" x14ac:dyDescent="0.2">
      <c r="A15" s="355">
        <v>51064</v>
      </c>
      <c r="B15" s="356" t="s">
        <v>689</v>
      </c>
      <c r="C15" s="357">
        <v>0</v>
      </c>
      <c r="D15" s="357">
        <f>$C15/C$3</f>
        <v>0</v>
      </c>
      <c r="E15" s="385">
        <f t="shared" si="6"/>
        <v>0</v>
      </c>
      <c r="F15" s="385">
        <f t="shared" si="7"/>
        <v>0</v>
      </c>
      <c r="G15" s="385">
        <f t="shared" si="7"/>
        <v>0</v>
      </c>
      <c r="H15" s="385">
        <f t="shared" si="7"/>
        <v>0</v>
      </c>
      <c r="I15" s="385">
        <f t="shared" si="7"/>
        <v>0</v>
      </c>
      <c r="J15" s="385">
        <f t="shared" si="7"/>
        <v>0</v>
      </c>
      <c r="K15" s="385">
        <f t="shared" si="7"/>
        <v>0</v>
      </c>
      <c r="L15" s="385">
        <f t="shared" si="7"/>
        <v>0</v>
      </c>
      <c r="M15" s="385">
        <f t="shared" si="7"/>
        <v>0</v>
      </c>
      <c r="N15" s="385">
        <f t="shared" si="7"/>
        <v>0</v>
      </c>
      <c r="O15" s="385">
        <f t="shared" si="7"/>
        <v>0</v>
      </c>
      <c r="P15" s="385">
        <f t="shared" si="7"/>
        <v>0</v>
      </c>
      <c r="Q15" s="386">
        <f t="shared" ref="Q15" si="8">SUM(E15:P15)</f>
        <v>0</v>
      </c>
      <c r="R15" s="358">
        <f t="shared" si="2"/>
        <v>0</v>
      </c>
      <c r="S15" s="237"/>
    </row>
    <row r="16" spans="1:19" s="159" customFormat="1" x14ac:dyDescent="0.2">
      <c r="A16" s="231"/>
      <c r="B16" s="224" t="s">
        <v>0</v>
      </c>
      <c r="C16" s="232">
        <f>SUM(C7:C15)</f>
        <v>9033347.6123616807</v>
      </c>
      <c r="D16" s="232">
        <f>SUM(D7:D15)</f>
        <v>979.548003490317</v>
      </c>
      <c r="E16" s="374">
        <f>SUM(E7:E15)</f>
        <v>715502.40004675055</v>
      </c>
      <c r="F16" s="374">
        <f t="shared" ref="F16:P16" si="9">SUM(F7:F15)</f>
        <v>672535.47820324847</v>
      </c>
      <c r="G16" s="374">
        <f t="shared" si="9"/>
        <v>655813.47404321725</v>
      </c>
      <c r="H16" s="374">
        <f t="shared" si="9"/>
        <v>712183.77152089565</v>
      </c>
      <c r="I16" s="374">
        <f t="shared" si="9"/>
        <v>754878.12685293437</v>
      </c>
      <c r="J16" s="374">
        <f t="shared" si="9"/>
        <v>861462.68138456601</v>
      </c>
      <c r="K16" s="374">
        <f t="shared" si="9"/>
        <v>723602.27884193999</v>
      </c>
      <c r="L16" s="374">
        <f t="shared" si="9"/>
        <v>765412.54657733545</v>
      </c>
      <c r="M16" s="374">
        <f t="shared" si="9"/>
        <v>749645.76104108163</v>
      </c>
      <c r="N16" s="374">
        <f t="shared" si="9"/>
        <v>766169.2155696603</v>
      </c>
      <c r="O16" s="374">
        <f t="shared" si="9"/>
        <v>835493.21606543532</v>
      </c>
      <c r="P16" s="374">
        <f t="shared" si="9"/>
        <v>820648.66221461562</v>
      </c>
      <c r="Q16" s="381">
        <f>SUM(E16:P16)</f>
        <v>9033347.6123616807</v>
      </c>
      <c r="R16" s="153">
        <f t="shared" si="2"/>
        <v>0</v>
      </c>
      <c r="S16" s="220"/>
    </row>
    <row r="17" spans="1:19" s="159" customFormat="1" x14ac:dyDescent="0.2">
      <c r="A17" s="231"/>
      <c r="B17" s="224"/>
      <c r="C17" s="232"/>
      <c r="D17" s="232"/>
      <c r="E17" s="387"/>
      <c r="F17" s="388"/>
      <c r="G17" s="388"/>
      <c r="H17" s="388"/>
      <c r="I17" s="388"/>
      <c r="J17" s="388"/>
      <c r="K17" s="388"/>
      <c r="L17" s="388"/>
      <c r="M17" s="388"/>
      <c r="N17" s="388"/>
      <c r="O17" s="388"/>
      <c r="P17" s="388"/>
      <c r="Q17" s="381"/>
      <c r="R17" s="157"/>
      <c r="S17" s="220"/>
    </row>
    <row r="18" spans="1:19" s="159" customFormat="1" x14ac:dyDescent="0.2">
      <c r="A18" s="231"/>
      <c r="B18" s="224" t="s">
        <v>673</v>
      </c>
      <c r="C18" s="240" t="s">
        <v>676</v>
      </c>
      <c r="D18" s="241" t="s">
        <v>715</v>
      </c>
      <c r="E18" s="387"/>
      <c r="F18" s="388"/>
      <c r="G18" s="388"/>
      <c r="H18" s="388"/>
      <c r="I18" s="388"/>
      <c r="J18" s="388"/>
      <c r="K18" s="388"/>
      <c r="L18" s="388"/>
      <c r="M18" s="388"/>
      <c r="N18" s="388"/>
      <c r="O18" s="388"/>
      <c r="P18" s="388"/>
      <c r="Q18" s="381"/>
      <c r="R18" s="157"/>
      <c r="S18" s="220"/>
    </row>
    <row r="19" spans="1:19" s="92" customFormat="1" x14ac:dyDescent="0.2">
      <c r="A19" s="351">
        <v>51100</v>
      </c>
      <c r="B19" s="352" t="s">
        <v>681</v>
      </c>
      <c r="C19" s="353">
        <f>'recap rev and deduct'!C824</f>
        <v>-21306.445260406446</v>
      </c>
      <c r="D19" s="353">
        <f>$C19/C$2</f>
        <v>-5.2144995742551261</v>
      </c>
      <c r="E19" s="383">
        <f>$D19*E$2</f>
        <v>-1569.5643718507929</v>
      </c>
      <c r="F19" s="383">
        <f t="shared" ref="F19:P26" si="10">$D19*F$2</f>
        <v>-1444.4163820686699</v>
      </c>
      <c r="G19" s="383">
        <f t="shared" si="10"/>
        <v>-1470.4888799399455</v>
      </c>
      <c r="H19" s="383">
        <f t="shared" si="10"/>
        <v>-1486.1323786627108</v>
      </c>
      <c r="I19" s="383">
        <f t="shared" si="10"/>
        <v>-1736.428358226957</v>
      </c>
      <c r="J19" s="383">
        <f t="shared" si="10"/>
        <v>-2195.3043207614082</v>
      </c>
      <c r="K19" s="383">
        <f t="shared" si="10"/>
        <v>-1454.8453812171801</v>
      </c>
      <c r="L19" s="383">
        <f t="shared" si="10"/>
        <v>-1496.5613778112213</v>
      </c>
      <c r="M19" s="383">
        <f t="shared" si="10"/>
        <v>-1799.0023531180186</v>
      </c>
      <c r="N19" s="383">
        <f t="shared" si="10"/>
        <v>-2330.8813096920412</v>
      </c>
      <c r="O19" s="383">
        <f t="shared" si="10"/>
        <v>-2283.9508135237452</v>
      </c>
      <c r="P19" s="383">
        <f t="shared" si="10"/>
        <v>-2038.8693335337543</v>
      </c>
      <c r="Q19" s="384">
        <f>SUM(E19:P19)</f>
        <v>-21306.445260406446</v>
      </c>
      <c r="R19" s="354">
        <f>C19-Q19</f>
        <v>0</v>
      </c>
      <c r="S19" s="237"/>
    </row>
    <row r="20" spans="1:19" s="92" customFormat="1" x14ac:dyDescent="0.2">
      <c r="A20" s="351">
        <v>51154</v>
      </c>
      <c r="B20" s="352" t="s">
        <v>682</v>
      </c>
      <c r="C20" s="353">
        <v>0</v>
      </c>
      <c r="D20" s="353">
        <f t="shared" ref="D20:D23" si="11">$C20/C$2</f>
        <v>0</v>
      </c>
      <c r="E20" s="383">
        <f t="shared" ref="E20:E23" si="12">$D20*E$2</f>
        <v>0</v>
      </c>
      <c r="F20" s="383">
        <f t="shared" si="10"/>
        <v>0</v>
      </c>
      <c r="G20" s="383">
        <f t="shared" si="10"/>
        <v>0</v>
      </c>
      <c r="H20" s="383">
        <f t="shared" si="10"/>
        <v>0</v>
      </c>
      <c r="I20" s="383">
        <f t="shared" si="10"/>
        <v>0</v>
      </c>
      <c r="J20" s="383">
        <f t="shared" si="10"/>
        <v>0</v>
      </c>
      <c r="K20" s="383">
        <f t="shared" si="10"/>
        <v>0</v>
      </c>
      <c r="L20" s="383">
        <f t="shared" si="10"/>
        <v>0</v>
      </c>
      <c r="M20" s="383">
        <f t="shared" si="10"/>
        <v>0</v>
      </c>
      <c r="N20" s="383">
        <f t="shared" si="10"/>
        <v>0</v>
      </c>
      <c r="O20" s="383">
        <f t="shared" si="10"/>
        <v>0</v>
      </c>
      <c r="P20" s="383">
        <f t="shared" si="10"/>
        <v>0</v>
      </c>
      <c r="Q20" s="384">
        <f t="shared" ref="Q20:Q23" si="13">SUM(E20:P20)</f>
        <v>0</v>
      </c>
      <c r="R20" s="354">
        <f t="shared" ref="R20:R23" si="14">C20-Q20</f>
        <v>0</v>
      </c>
      <c r="S20" s="237"/>
    </row>
    <row r="21" spans="1:19" s="92" customFormat="1" x14ac:dyDescent="0.2">
      <c r="A21" s="351">
        <v>51106</v>
      </c>
      <c r="B21" s="352" t="s">
        <v>683</v>
      </c>
      <c r="C21" s="619">
        <f>'recap rev and deduct'!C884</f>
        <v>-304101.56</v>
      </c>
      <c r="D21" s="353">
        <f t="shared" si="11"/>
        <v>-74.425247185511509</v>
      </c>
      <c r="E21" s="383">
        <f t="shared" si="12"/>
        <v>-22401.999402838963</v>
      </c>
      <c r="F21" s="383">
        <f t="shared" si="10"/>
        <v>-20615.793470386689</v>
      </c>
      <c r="G21" s="383">
        <f t="shared" si="10"/>
        <v>-20987.919706314246</v>
      </c>
      <c r="H21" s="383">
        <f t="shared" si="10"/>
        <v>-21211.195447870781</v>
      </c>
      <c r="I21" s="383">
        <f t="shared" si="10"/>
        <v>-24783.607312775333</v>
      </c>
      <c r="J21" s="383">
        <f t="shared" si="10"/>
        <v>-31333.029065100345</v>
      </c>
      <c r="K21" s="383">
        <f t="shared" si="10"/>
        <v>-20764.64396475771</v>
      </c>
      <c r="L21" s="383">
        <f t="shared" si="10"/>
        <v>-21360.045942241803</v>
      </c>
      <c r="M21" s="383">
        <f t="shared" si="10"/>
        <v>-25676.710279001472</v>
      </c>
      <c r="N21" s="383">
        <f t="shared" si="10"/>
        <v>-33268.085491923644</v>
      </c>
      <c r="O21" s="383">
        <f t="shared" si="10"/>
        <v>-32598.258267254041</v>
      </c>
      <c r="P21" s="383">
        <f t="shared" si="10"/>
        <v>-29100.271649535</v>
      </c>
      <c r="Q21" s="384">
        <f t="shared" si="13"/>
        <v>-304101.56</v>
      </c>
      <c r="R21" s="354">
        <f t="shared" si="14"/>
        <v>0</v>
      </c>
      <c r="S21" s="237" t="s">
        <v>1016</v>
      </c>
    </row>
    <row r="22" spans="1:19" s="92" customFormat="1" x14ac:dyDescent="0.2">
      <c r="A22" s="351">
        <v>51108</v>
      </c>
      <c r="B22" s="352" t="s">
        <v>684</v>
      </c>
      <c r="C22" s="619">
        <f>'recap rev and deduct'!C885</f>
        <v>-250654.41</v>
      </c>
      <c r="D22" s="353">
        <f t="shared" si="11"/>
        <v>-61.344691629955946</v>
      </c>
      <c r="E22" s="383">
        <f t="shared" si="12"/>
        <v>-18464.752180616739</v>
      </c>
      <c r="F22" s="383">
        <f t="shared" si="10"/>
        <v>-16992.479581497799</v>
      </c>
      <c r="G22" s="383">
        <f t="shared" si="10"/>
        <v>-17299.203039647578</v>
      </c>
      <c r="H22" s="383">
        <f t="shared" si="10"/>
        <v>-17483.237114537445</v>
      </c>
      <c r="I22" s="383">
        <f t="shared" si="10"/>
        <v>-20427.782312775329</v>
      </c>
      <c r="J22" s="383">
        <f t="shared" si="10"/>
        <v>-25826.115176211453</v>
      </c>
      <c r="K22" s="383">
        <f t="shared" si="10"/>
        <v>-17115.168964757708</v>
      </c>
      <c r="L22" s="383">
        <f t="shared" si="10"/>
        <v>-17605.926497797358</v>
      </c>
      <c r="M22" s="383">
        <f t="shared" si="10"/>
        <v>-21163.918612334801</v>
      </c>
      <c r="N22" s="383">
        <f t="shared" si="10"/>
        <v>-27421.077158590309</v>
      </c>
      <c r="O22" s="383">
        <f t="shared" si="10"/>
        <v>-26868.974933920705</v>
      </c>
      <c r="P22" s="383">
        <f t="shared" si="10"/>
        <v>-23985.774427312776</v>
      </c>
      <c r="Q22" s="384">
        <f t="shared" si="13"/>
        <v>-250654.40999999997</v>
      </c>
      <c r="R22" s="354">
        <f t="shared" si="14"/>
        <v>0</v>
      </c>
      <c r="S22" s="237" t="s">
        <v>951</v>
      </c>
    </row>
    <row r="23" spans="1:19" s="92" customFormat="1" x14ac:dyDescent="0.2">
      <c r="A23" s="351">
        <v>51110</v>
      </c>
      <c r="B23" s="352" t="s">
        <v>685</v>
      </c>
      <c r="C23" s="619">
        <f>'recap rev and deduct'!C886</f>
        <v>-41662.03</v>
      </c>
      <c r="D23" s="353">
        <f t="shared" si="11"/>
        <v>-10.196287322564855</v>
      </c>
      <c r="E23" s="383">
        <f t="shared" si="12"/>
        <v>-3069.0824840920213</v>
      </c>
      <c r="F23" s="383">
        <f t="shared" si="10"/>
        <v>-2824.3715883504647</v>
      </c>
      <c r="G23" s="383">
        <f t="shared" si="10"/>
        <v>-2875.353024963289</v>
      </c>
      <c r="H23" s="383">
        <f t="shared" si="10"/>
        <v>-2905.9418869309834</v>
      </c>
      <c r="I23" s="383">
        <f t="shared" si="10"/>
        <v>-3395.3636784140967</v>
      </c>
      <c r="J23" s="383">
        <f t="shared" si="10"/>
        <v>-4292.6369627998038</v>
      </c>
      <c r="K23" s="383">
        <f t="shared" si="10"/>
        <v>-2844.7641629955947</v>
      </c>
      <c r="L23" s="383">
        <f t="shared" si="10"/>
        <v>-2926.3344615761134</v>
      </c>
      <c r="M23" s="383">
        <f t="shared" si="10"/>
        <v>-3517.7191262848751</v>
      </c>
      <c r="N23" s="383">
        <f t="shared" si="10"/>
        <v>-4557.74043318649</v>
      </c>
      <c r="O23" s="383">
        <f t="shared" si="10"/>
        <v>-4465.973847283406</v>
      </c>
      <c r="P23" s="383">
        <f t="shared" si="10"/>
        <v>-3986.7483431228584</v>
      </c>
      <c r="Q23" s="384">
        <f t="shared" si="13"/>
        <v>-41662.03</v>
      </c>
      <c r="R23" s="354">
        <f t="shared" si="14"/>
        <v>0</v>
      </c>
      <c r="S23" s="237" t="s">
        <v>951</v>
      </c>
    </row>
    <row r="24" spans="1:19" s="92" customFormat="1" x14ac:dyDescent="0.2">
      <c r="A24" s="351">
        <v>51109</v>
      </c>
      <c r="B24" s="352" t="s">
        <v>958</v>
      </c>
      <c r="C24" s="353">
        <v>0</v>
      </c>
      <c r="D24" s="353">
        <f>$C24/C$2</f>
        <v>0</v>
      </c>
      <c r="E24" s="383">
        <v>0</v>
      </c>
      <c r="F24" s="383">
        <v>0</v>
      </c>
      <c r="G24" s="383">
        <v>0</v>
      </c>
      <c r="H24" s="383">
        <v>0</v>
      </c>
      <c r="I24" s="383">
        <v>0</v>
      </c>
      <c r="J24" s="383">
        <v>0</v>
      </c>
      <c r="K24" s="383">
        <v>0</v>
      </c>
      <c r="L24" s="383">
        <v>0</v>
      </c>
      <c r="M24" s="383">
        <v>0</v>
      </c>
      <c r="N24" s="383">
        <v>0</v>
      </c>
      <c r="O24" s="383">
        <v>0</v>
      </c>
      <c r="P24" s="383">
        <v>0</v>
      </c>
      <c r="Q24" s="384">
        <f>SUM(E24:P24)</f>
        <v>0</v>
      </c>
      <c r="R24" s="354">
        <f>C24-Q24</f>
        <v>0</v>
      </c>
      <c r="S24" s="237"/>
    </row>
    <row r="25" spans="1:19" s="364" customFormat="1" x14ac:dyDescent="0.2">
      <c r="A25" s="355">
        <v>51130</v>
      </c>
      <c r="B25" s="356" t="s">
        <v>708</v>
      </c>
      <c r="C25" s="357">
        <f>'recap rev and deduct'!J842</f>
        <v>50892.411795314001</v>
      </c>
      <c r="D25" s="357">
        <f>$C25/C$2</f>
        <v>12.455313704188448</v>
      </c>
      <c r="E25" s="385">
        <f>$D25*E$2</f>
        <v>3749.0494249607227</v>
      </c>
      <c r="F25" s="385">
        <f t="shared" si="10"/>
        <v>3450.1218960602</v>
      </c>
      <c r="G25" s="385">
        <f t="shared" si="10"/>
        <v>3512.3984645811424</v>
      </c>
      <c r="H25" s="385">
        <f t="shared" si="10"/>
        <v>3549.7644056937079</v>
      </c>
      <c r="I25" s="385">
        <f t="shared" si="10"/>
        <v>4147.6194634947533</v>
      </c>
      <c r="J25" s="385">
        <f t="shared" si="10"/>
        <v>5243.6870694633371</v>
      </c>
      <c r="K25" s="385">
        <f t="shared" si="10"/>
        <v>3475.032523468577</v>
      </c>
      <c r="L25" s="385">
        <f t="shared" si="10"/>
        <v>3574.6750331020849</v>
      </c>
      <c r="M25" s="385">
        <f t="shared" si="10"/>
        <v>4297.0832279450151</v>
      </c>
      <c r="N25" s="385">
        <f t="shared" si="10"/>
        <v>5567.5252257722368</v>
      </c>
      <c r="O25" s="385">
        <f t="shared" si="10"/>
        <v>5455.4274024345405</v>
      </c>
      <c r="P25" s="385">
        <f t="shared" si="10"/>
        <v>4870.0276583376835</v>
      </c>
      <c r="Q25" s="386">
        <f t="shared" ref="Q25:Q28" si="15">SUM(E25:P25)</f>
        <v>50892.411795314008</v>
      </c>
      <c r="R25" s="358">
        <f t="shared" ref="R25:R28" si="16">C25-Q25</f>
        <v>0</v>
      </c>
      <c r="S25" s="363"/>
    </row>
    <row r="26" spans="1:19" s="92" customFormat="1" x14ac:dyDescent="0.2">
      <c r="A26" s="351">
        <v>51154</v>
      </c>
      <c r="B26" s="352" t="s">
        <v>882</v>
      </c>
      <c r="C26" s="353">
        <v>0</v>
      </c>
      <c r="D26" s="353">
        <f>$C26/C$2</f>
        <v>0</v>
      </c>
      <c r="E26" s="383">
        <f>$D26*E$2</f>
        <v>0</v>
      </c>
      <c r="F26" s="383">
        <f t="shared" si="10"/>
        <v>0</v>
      </c>
      <c r="G26" s="383">
        <f t="shared" si="10"/>
        <v>0</v>
      </c>
      <c r="H26" s="383">
        <f t="shared" si="10"/>
        <v>0</v>
      </c>
      <c r="I26" s="383">
        <f t="shared" si="10"/>
        <v>0</v>
      </c>
      <c r="J26" s="383">
        <f t="shared" si="10"/>
        <v>0</v>
      </c>
      <c r="K26" s="383">
        <f t="shared" si="10"/>
        <v>0</v>
      </c>
      <c r="L26" s="383">
        <f t="shared" si="10"/>
        <v>0</v>
      </c>
      <c r="M26" s="383">
        <f t="shared" si="10"/>
        <v>0</v>
      </c>
      <c r="N26" s="383">
        <f t="shared" si="10"/>
        <v>0</v>
      </c>
      <c r="O26" s="383">
        <f t="shared" si="10"/>
        <v>0</v>
      </c>
      <c r="P26" s="383">
        <f t="shared" si="10"/>
        <v>0</v>
      </c>
      <c r="Q26" s="384">
        <f t="shared" ref="Q26" si="17">SUM(E26:P26)</f>
        <v>0</v>
      </c>
      <c r="R26" s="354">
        <f t="shared" ref="R26" si="18">C26-Q26</f>
        <v>0</v>
      </c>
      <c r="S26" s="237"/>
    </row>
    <row r="27" spans="1:19" s="92" customFormat="1" x14ac:dyDescent="0.2">
      <c r="A27" s="355">
        <v>51112</v>
      </c>
      <c r="B27" s="356" t="s">
        <v>686</v>
      </c>
      <c r="C27" s="357">
        <f>'recap rev and deduct'!C842-C25</f>
        <v>389087.42148652149</v>
      </c>
      <c r="D27" s="357">
        <f t="shared" ref="D27:D28" si="19">$C27/C$3</f>
        <v>19.096315164982649</v>
      </c>
      <c r="E27" s="385">
        <f t="shared" ref="E27:E28" si="20">$D27*E$3</f>
        <v>31757.172119366143</v>
      </c>
      <c r="F27" s="385">
        <f t="shared" ref="F27:P28" si="21">$D27*F$3</f>
        <v>30095.792700012655</v>
      </c>
      <c r="G27" s="385">
        <f t="shared" si="21"/>
        <v>28854.532214288782</v>
      </c>
      <c r="H27" s="385">
        <f t="shared" si="21"/>
        <v>32215.483683325729</v>
      </c>
      <c r="I27" s="385">
        <f t="shared" si="21"/>
        <v>32864.758398935141</v>
      </c>
      <c r="J27" s="385">
        <f t="shared" si="21"/>
        <v>35805.590934342465</v>
      </c>
      <c r="K27" s="385">
        <f t="shared" si="21"/>
        <v>33170.299441574862</v>
      </c>
      <c r="L27" s="385">
        <f t="shared" si="21"/>
        <v>35423.664631042811</v>
      </c>
      <c r="M27" s="385">
        <f t="shared" si="21"/>
        <v>32043.616846840883</v>
      </c>
      <c r="N27" s="385">
        <f t="shared" si="21"/>
        <v>28835.4358991238</v>
      </c>
      <c r="O27" s="385">
        <f t="shared" si="21"/>
        <v>33494.936799379568</v>
      </c>
      <c r="P27" s="385">
        <f t="shared" si="21"/>
        <v>34526.137818288626</v>
      </c>
      <c r="Q27" s="386">
        <f t="shared" si="15"/>
        <v>389087.42148652149</v>
      </c>
      <c r="R27" s="358">
        <f t="shared" si="16"/>
        <v>0</v>
      </c>
      <c r="S27" s="237"/>
    </row>
    <row r="28" spans="1:19" s="92" customFormat="1" x14ac:dyDescent="0.2">
      <c r="A28" s="355">
        <v>51156</v>
      </c>
      <c r="B28" s="356" t="s">
        <v>687</v>
      </c>
      <c r="C28" s="357">
        <v>0</v>
      </c>
      <c r="D28" s="357">
        <f t="shared" si="19"/>
        <v>0</v>
      </c>
      <c r="E28" s="385">
        <f t="shared" si="20"/>
        <v>0</v>
      </c>
      <c r="F28" s="385">
        <f t="shared" si="21"/>
        <v>0</v>
      </c>
      <c r="G28" s="385">
        <f t="shared" si="21"/>
        <v>0</v>
      </c>
      <c r="H28" s="385">
        <f t="shared" si="21"/>
        <v>0</v>
      </c>
      <c r="I28" s="385">
        <f t="shared" si="21"/>
        <v>0</v>
      </c>
      <c r="J28" s="385">
        <f t="shared" si="21"/>
        <v>0</v>
      </c>
      <c r="K28" s="385">
        <f t="shared" si="21"/>
        <v>0</v>
      </c>
      <c r="L28" s="385">
        <f t="shared" si="21"/>
        <v>0</v>
      </c>
      <c r="M28" s="385">
        <f t="shared" si="21"/>
        <v>0</v>
      </c>
      <c r="N28" s="385">
        <f t="shared" si="21"/>
        <v>0</v>
      </c>
      <c r="O28" s="385">
        <f t="shared" si="21"/>
        <v>0</v>
      </c>
      <c r="P28" s="385">
        <f t="shared" si="21"/>
        <v>0</v>
      </c>
      <c r="Q28" s="386">
        <f t="shared" si="15"/>
        <v>0</v>
      </c>
      <c r="R28" s="358">
        <f t="shared" si="16"/>
        <v>0</v>
      </c>
      <c r="S28" s="237"/>
    </row>
    <row r="29" spans="1:19" s="159" customFormat="1" x14ac:dyDescent="0.2">
      <c r="A29" s="231"/>
      <c r="B29" s="224" t="s">
        <v>0</v>
      </c>
      <c r="C29" s="232">
        <f t="shared" ref="C29:P29" si="22">SUM(C19:C28)</f>
        <v>-177744.61197857093</v>
      </c>
      <c r="D29" s="232">
        <f t="shared" si="22"/>
        <v>-119.62909684311632</v>
      </c>
      <c r="E29" s="374">
        <f t="shared" si="22"/>
        <v>-9999.1768950716505</v>
      </c>
      <c r="F29" s="374">
        <f t="shared" si="22"/>
        <v>-8331.1464262307672</v>
      </c>
      <c r="G29" s="374">
        <f t="shared" si="22"/>
        <v>-10266.033971995137</v>
      </c>
      <c r="H29" s="374">
        <f t="shared" si="22"/>
        <v>-7321.2587389824839</v>
      </c>
      <c r="I29" s="374">
        <f t="shared" si="22"/>
        <v>-13330.803799761823</v>
      </c>
      <c r="J29" s="374">
        <f t="shared" si="22"/>
        <v>-22597.80752106721</v>
      </c>
      <c r="K29" s="374">
        <f t="shared" si="22"/>
        <v>-5534.0905086847561</v>
      </c>
      <c r="L29" s="374">
        <f t="shared" si="22"/>
        <v>-4390.5286152816043</v>
      </c>
      <c r="M29" s="374">
        <f t="shared" si="22"/>
        <v>-15816.65029595327</v>
      </c>
      <c r="N29" s="374">
        <f t="shared" si="22"/>
        <v>-33174.823268496446</v>
      </c>
      <c r="O29" s="374">
        <f t="shared" si="22"/>
        <v>-27266.793660167779</v>
      </c>
      <c r="P29" s="374">
        <f t="shared" si="22"/>
        <v>-19715.498276878083</v>
      </c>
      <c r="Q29" s="381">
        <f>SUM(E29:P29)</f>
        <v>-177744.61197857099</v>
      </c>
      <c r="R29" s="157">
        <f>C29-Q29</f>
        <v>0</v>
      </c>
      <c r="S29" s="220"/>
    </row>
    <row r="30" spans="1:19" s="215" customFormat="1" x14ac:dyDescent="0.2">
      <c r="B30" s="216"/>
      <c r="E30" s="389"/>
      <c r="F30" s="390"/>
      <c r="G30" s="390"/>
      <c r="H30" s="390"/>
      <c r="I30" s="390"/>
      <c r="J30" s="390"/>
      <c r="K30" s="390"/>
      <c r="L30" s="390"/>
      <c r="M30" s="390"/>
      <c r="N30" s="390"/>
      <c r="O30" s="390"/>
      <c r="P30" s="390"/>
      <c r="Q30" s="391"/>
      <c r="R30" s="221"/>
      <c r="S30" s="218"/>
    </row>
    <row r="31" spans="1:19" s="159" customFormat="1" x14ac:dyDescent="0.2">
      <c r="A31" s="231"/>
      <c r="B31" s="224" t="s">
        <v>673</v>
      </c>
      <c r="C31" s="240" t="s">
        <v>677</v>
      </c>
      <c r="D31" s="241" t="s">
        <v>716</v>
      </c>
      <c r="E31" s="387"/>
      <c r="F31" s="388"/>
      <c r="G31" s="388"/>
      <c r="H31" s="388"/>
      <c r="I31" s="388"/>
      <c r="J31" s="388"/>
      <c r="K31" s="388"/>
      <c r="L31" s="388"/>
      <c r="M31" s="388"/>
      <c r="N31" s="388"/>
      <c r="O31" s="388"/>
      <c r="P31" s="388"/>
      <c r="Q31" s="381"/>
      <c r="R31" s="157"/>
      <c r="S31" s="220"/>
    </row>
    <row r="32" spans="1:19" s="92" customFormat="1" x14ac:dyDescent="0.2">
      <c r="A32" s="351">
        <v>51202</v>
      </c>
      <c r="B32" s="352" t="s">
        <v>681</v>
      </c>
      <c r="C32" s="353">
        <v>0</v>
      </c>
      <c r="D32" s="353">
        <f>$C32/C$2</f>
        <v>0</v>
      </c>
      <c r="E32" s="383">
        <f>$D32*E$2</f>
        <v>0</v>
      </c>
      <c r="F32" s="383">
        <f t="shared" ref="F32:P32" si="23">$D32*F$2</f>
        <v>0</v>
      </c>
      <c r="G32" s="383">
        <f t="shared" si="23"/>
        <v>0</v>
      </c>
      <c r="H32" s="383">
        <f t="shared" si="23"/>
        <v>0</v>
      </c>
      <c r="I32" s="383">
        <f t="shared" si="23"/>
        <v>0</v>
      </c>
      <c r="J32" s="383">
        <f t="shared" si="23"/>
        <v>0</v>
      </c>
      <c r="K32" s="383">
        <f t="shared" si="23"/>
        <v>0</v>
      </c>
      <c r="L32" s="383">
        <f t="shared" si="23"/>
        <v>0</v>
      </c>
      <c r="M32" s="383">
        <f t="shared" si="23"/>
        <v>0</v>
      </c>
      <c r="N32" s="383">
        <f t="shared" si="23"/>
        <v>0</v>
      </c>
      <c r="O32" s="383">
        <f t="shared" si="23"/>
        <v>0</v>
      </c>
      <c r="P32" s="383">
        <f t="shared" si="23"/>
        <v>0</v>
      </c>
      <c r="Q32" s="384">
        <f>SUM(E32:P32)</f>
        <v>0</v>
      </c>
      <c r="R32" s="354">
        <f>C32-Q32</f>
        <v>0</v>
      </c>
      <c r="S32" s="237"/>
    </row>
    <row r="33" spans="1:19" s="92" customFormat="1" x14ac:dyDescent="0.2">
      <c r="A33" s="355">
        <v>51208</v>
      </c>
      <c r="B33" s="356" t="s">
        <v>686</v>
      </c>
      <c r="C33" s="357">
        <v>0</v>
      </c>
      <c r="D33" s="357">
        <f>$C33/C$3</f>
        <v>0</v>
      </c>
      <c r="E33" s="385">
        <f>$D33*E$3</f>
        <v>0</v>
      </c>
      <c r="F33" s="385">
        <f t="shared" ref="F33:P33" si="24">$D33*F$3</f>
        <v>0</v>
      </c>
      <c r="G33" s="385">
        <f t="shared" si="24"/>
        <v>0</v>
      </c>
      <c r="H33" s="385">
        <f t="shared" si="24"/>
        <v>0</v>
      </c>
      <c r="I33" s="385">
        <f t="shared" si="24"/>
        <v>0</v>
      </c>
      <c r="J33" s="385">
        <f t="shared" si="24"/>
        <v>0</v>
      </c>
      <c r="K33" s="385">
        <f t="shared" si="24"/>
        <v>0</v>
      </c>
      <c r="L33" s="385">
        <f t="shared" si="24"/>
        <v>0</v>
      </c>
      <c r="M33" s="385">
        <f t="shared" si="24"/>
        <v>0</v>
      </c>
      <c r="N33" s="385">
        <f t="shared" si="24"/>
        <v>0</v>
      </c>
      <c r="O33" s="385">
        <f t="shared" si="24"/>
        <v>0</v>
      </c>
      <c r="P33" s="385">
        <f t="shared" si="24"/>
        <v>0</v>
      </c>
      <c r="Q33" s="386">
        <f t="shared" ref="Q33:Q34" si="25">SUM(E33:P33)</f>
        <v>0</v>
      </c>
      <c r="R33" s="358">
        <f>C33-Q33</f>
        <v>0</v>
      </c>
      <c r="S33" s="237"/>
    </row>
    <row r="34" spans="1:19" s="92" customFormat="1" x14ac:dyDescent="0.2">
      <c r="A34" s="351">
        <v>51222</v>
      </c>
      <c r="B34" s="352" t="s">
        <v>708</v>
      </c>
      <c r="C34" s="353">
        <v>0</v>
      </c>
      <c r="D34" s="353">
        <f>$C34/C$2</f>
        <v>0</v>
      </c>
      <c r="E34" s="383">
        <f>$D34*E$2</f>
        <v>0</v>
      </c>
      <c r="F34" s="383">
        <f t="shared" ref="F34:P34" si="26">$D34*F$2</f>
        <v>0</v>
      </c>
      <c r="G34" s="383">
        <f t="shared" si="26"/>
        <v>0</v>
      </c>
      <c r="H34" s="383">
        <f t="shared" si="26"/>
        <v>0</v>
      </c>
      <c r="I34" s="383">
        <f t="shared" si="26"/>
        <v>0</v>
      </c>
      <c r="J34" s="383">
        <f t="shared" si="26"/>
        <v>0</v>
      </c>
      <c r="K34" s="383">
        <f t="shared" si="26"/>
        <v>0</v>
      </c>
      <c r="L34" s="383">
        <f t="shared" si="26"/>
        <v>0</v>
      </c>
      <c r="M34" s="383">
        <f t="shared" si="26"/>
        <v>0</v>
      </c>
      <c r="N34" s="383">
        <f t="shared" si="26"/>
        <v>0</v>
      </c>
      <c r="O34" s="383">
        <f t="shared" si="26"/>
        <v>0</v>
      </c>
      <c r="P34" s="383">
        <f t="shared" si="26"/>
        <v>0</v>
      </c>
      <c r="Q34" s="384">
        <f t="shared" si="25"/>
        <v>0</v>
      </c>
      <c r="R34" s="354">
        <f>C34-Q34</f>
        <v>0</v>
      </c>
      <c r="S34" s="237"/>
    </row>
    <row r="35" spans="1:19" s="159" customFormat="1" x14ac:dyDescent="0.2">
      <c r="A35" s="231"/>
      <c r="B35" s="224" t="s">
        <v>0</v>
      </c>
      <c r="C35" s="232">
        <f t="shared" ref="C35:P35" si="27">SUM(C32:C34)</f>
        <v>0</v>
      </c>
      <c r="D35" s="232">
        <f t="shared" si="27"/>
        <v>0</v>
      </c>
      <c r="E35" s="374">
        <f t="shared" si="27"/>
        <v>0</v>
      </c>
      <c r="F35" s="374">
        <f t="shared" si="27"/>
        <v>0</v>
      </c>
      <c r="G35" s="374">
        <f t="shared" si="27"/>
        <v>0</v>
      </c>
      <c r="H35" s="374">
        <f t="shared" si="27"/>
        <v>0</v>
      </c>
      <c r="I35" s="374">
        <f t="shared" si="27"/>
        <v>0</v>
      </c>
      <c r="J35" s="374">
        <f t="shared" si="27"/>
        <v>0</v>
      </c>
      <c r="K35" s="374">
        <f t="shared" si="27"/>
        <v>0</v>
      </c>
      <c r="L35" s="374">
        <f t="shared" si="27"/>
        <v>0</v>
      </c>
      <c r="M35" s="374">
        <f t="shared" si="27"/>
        <v>0</v>
      </c>
      <c r="N35" s="374">
        <f t="shared" si="27"/>
        <v>0</v>
      </c>
      <c r="O35" s="374">
        <f t="shared" si="27"/>
        <v>0</v>
      </c>
      <c r="P35" s="374">
        <f t="shared" si="27"/>
        <v>0</v>
      </c>
      <c r="Q35" s="381">
        <f>SUM(E35:P35)</f>
        <v>0</v>
      </c>
      <c r="R35" s="157">
        <f>C35-Q35</f>
        <v>0</v>
      </c>
      <c r="S35" s="220"/>
    </row>
    <row r="36" spans="1:19" s="215" customFormat="1" x14ac:dyDescent="0.2">
      <c r="B36" s="216"/>
      <c r="E36" s="389"/>
      <c r="F36" s="390"/>
      <c r="G36" s="390"/>
      <c r="H36" s="390"/>
      <c r="I36" s="390"/>
      <c r="J36" s="390"/>
      <c r="K36" s="390"/>
      <c r="L36" s="390"/>
      <c r="M36" s="390"/>
      <c r="N36" s="390"/>
      <c r="O36" s="390"/>
      <c r="P36" s="390"/>
      <c r="Q36" s="391"/>
      <c r="R36" s="221"/>
      <c r="S36" s="218"/>
    </row>
    <row r="37" spans="1:19" s="159" customFormat="1" x14ac:dyDescent="0.2">
      <c r="A37" s="231"/>
      <c r="B37" s="224" t="s">
        <v>673</v>
      </c>
      <c r="C37" s="240" t="s">
        <v>678</v>
      </c>
      <c r="D37" s="241" t="s">
        <v>717</v>
      </c>
      <c r="E37" s="387"/>
      <c r="F37" s="388"/>
      <c r="G37" s="388"/>
      <c r="H37" s="388"/>
      <c r="I37" s="388"/>
      <c r="J37" s="388"/>
      <c r="K37" s="388"/>
      <c r="L37" s="388"/>
      <c r="M37" s="388"/>
      <c r="N37" s="388"/>
      <c r="O37" s="388"/>
      <c r="P37" s="388"/>
      <c r="Q37" s="381"/>
      <c r="R37" s="157"/>
      <c r="S37" s="220"/>
    </row>
    <row r="38" spans="1:19" s="92" customFormat="1" x14ac:dyDescent="0.2">
      <c r="A38" s="351">
        <v>51300</v>
      </c>
      <c r="B38" s="352" t="s">
        <v>681</v>
      </c>
      <c r="C38" s="353">
        <f>'recap rev and deduct'!C826</f>
        <v>0</v>
      </c>
      <c r="D38" s="353">
        <f>$C38/C$2</f>
        <v>0</v>
      </c>
      <c r="E38" s="383">
        <f>$D38*E$2</f>
        <v>0</v>
      </c>
      <c r="F38" s="383">
        <f t="shared" ref="F38:P38" si="28">$D38*F$2</f>
        <v>0</v>
      </c>
      <c r="G38" s="383">
        <f t="shared" si="28"/>
        <v>0</v>
      </c>
      <c r="H38" s="383">
        <f t="shared" si="28"/>
        <v>0</v>
      </c>
      <c r="I38" s="383">
        <f t="shared" si="28"/>
        <v>0</v>
      </c>
      <c r="J38" s="383">
        <f t="shared" si="28"/>
        <v>0</v>
      </c>
      <c r="K38" s="383">
        <f t="shared" si="28"/>
        <v>0</v>
      </c>
      <c r="L38" s="383">
        <f t="shared" si="28"/>
        <v>0</v>
      </c>
      <c r="M38" s="383">
        <f t="shared" si="28"/>
        <v>0</v>
      </c>
      <c r="N38" s="383">
        <f t="shared" si="28"/>
        <v>0</v>
      </c>
      <c r="O38" s="383">
        <f t="shared" si="28"/>
        <v>0</v>
      </c>
      <c r="P38" s="383">
        <f t="shared" si="28"/>
        <v>0</v>
      </c>
      <c r="Q38" s="384">
        <f>SUM(E38:P38)</f>
        <v>0</v>
      </c>
      <c r="R38" s="354">
        <f>C38-Q38</f>
        <v>0</v>
      </c>
      <c r="S38" s="237"/>
    </row>
    <row r="39" spans="1:19" s="92" customFormat="1" x14ac:dyDescent="0.2">
      <c r="A39" s="355">
        <v>51312</v>
      </c>
      <c r="B39" s="356" t="s">
        <v>686</v>
      </c>
      <c r="C39" s="357">
        <f>'recap rev and deduct'!I844</f>
        <v>0</v>
      </c>
      <c r="D39" s="357">
        <f>$C39/C$3</f>
        <v>0</v>
      </c>
      <c r="E39" s="385">
        <f>$D39*E$3</f>
        <v>0</v>
      </c>
      <c r="F39" s="385">
        <f t="shared" ref="F39:P39" si="29">$D39*F$3</f>
        <v>0</v>
      </c>
      <c r="G39" s="385">
        <f t="shared" si="29"/>
        <v>0</v>
      </c>
      <c r="H39" s="385">
        <f t="shared" si="29"/>
        <v>0</v>
      </c>
      <c r="I39" s="385">
        <f t="shared" si="29"/>
        <v>0</v>
      </c>
      <c r="J39" s="385">
        <f t="shared" si="29"/>
        <v>0</v>
      </c>
      <c r="K39" s="385">
        <f t="shared" si="29"/>
        <v>0</v>
      </c>
      <c r="L39" s="385">
        <f t="shared" si="29"/>
        <v>0</v>
      </c>
      <c r="M39" s="385">
        <f t="shared" si="29"/>
        <v>0</v>
      </c>
      <c r="N39" s="385">
        <f t="shared" si="29"/>
        <v>0</v>
      </c>
      <c r="O39" s="385">
        <f t="shared" si="29"/>
        <v>0</v>
      </c>
      <c r="P39" s="385">
        <f t="shared" si="29"/>
        <v>0</v>
      </c>
      <c r="Q39" s="386">
        <f t="shared" ref="Q39:Q40" si="30">SUM(E39:P39)</f>
        <v>0</v>
      </c>
      <c r="R39" s="358">
        <f>C39-Q39</f>
        <v>0</v>
      </c>
      <c r="S39" s="237"/>
    </row>
    <row r="40" spans="1:19" s="92" customFormat="1" x14ac:dyDescent="0.2">
      <c r="A40" s="351">
        <v>51324</v>
      </c>
      <c r="B40" s="352" t="s">
        <v>708</v>
      </c>
      <c r="C40" s="353">
        <f>'recap rev and deduct'!J844</f>
        <v>0</v>
      </c>
      <c r="D40" s="353">
        <f>$C40/C$2</f>
        <v>0</v>
      </c>
      <c r="E40" s="383">
        <f>$D40*E$2</f>
        <v>0</v>
      </c>
      <c r="F40" s="383">
        <f t="shared" ref="F40:P40" si="31">$D40*F$2</f>
        <v>0</v>
      </c>
      <c r="G40" s="383">
        <f t="shared" si="31"/>
        <v>0</v>
      </c>
      <c r="H40" s="383">
        <f t="shared" si="31"/>
        <v>0</v>
      </c>
      <c r="I40" s="383">
        <f t="shared" si="31"/>
        <v>0</v>
      </c>
      <c r="J40" s="383">
        <f t="shared" si="31"/>
        <v>0</v>
      </c>
      <c r="K40" s="383">
        <f t="shared" si="31"/>
        <v>0</v>
      </c>
      <c r="L40" s="383">
        <f t="shared" si="31"/>
        <v>0</v>
      </c>
      <c r="M40" s="383">
        <f t="shared" si="31"/>
        <v>0</v>
      </c>
      <c r="N40" s="383">
        <f t="shared" si="31"/>
        <v>0</v>
      </c>
      <c r="O40" s="383">
        <f t="shared" si="31"/>
        <v>0</v>
      </c>
      <c r="P40" s="383">
        <f t="shared" si="31"/>
        <v>0</v>
      </c>
      <c r="Q40" s="384">
        <f t="shared" si="30"/>
        <v>0</v>
      </c>
      <c r="R40" s="354">
        <f>C40-Q40</f>
        <v>0</v>
      </c>
      <c r="S40" s="237"/>
    </row>
    <row r="41" spans="1:19" s="159" customFormat="1" x14ac:dyDescent="0.2">
      <c r="A41" s="231"/>
      <c r="B41" s="224" t="s">
        <v>0</v>
      </c>
      <c r="C41" s="232">
        <f t="shared" ref="C41:P41" si="32">SUM(C38:C40)</f>
        <v>0</v>
      </c>
      <c r="D41" s="232">
        <f t="shared" si="32"/>
        <v>0</v>
      </c>
      <c r="E41" s="374">
        <f t="shared" si="32"/>
        <v>0</v>
      </c>
      <c r="F41" s="374">
        <f t="shared" si="32"/>
        <v>0</v>
      </c>
      <c r="G41" s="374">
        <f t="shared" si="32"/>
        <v>0</v>
      </c>
      <c r="H41" s="374">
        <f t="shared" si="32"/>
        <v>0</v>
      </c>
      <c r="I41" s="374">
        <f t="shared" si="32"/>
        <v>0</v>
      </c>
      <c r="J41" s="374">
        <f t="shared" si="32"/>
        <v>0</v>
      </c>
      <c r="K41" s="374">
        <f t="shared" si="32"/>
        <v>0</v>
      </c>
      <c r="L41" s="374">
        <f t="shared" si="32"/>
        <v>0</v>
      </c>
      <c r="M41" s="374">
        <f t="shared" si="32"/>
        <v>0</v>
      </c>
      <c r="N41" s="374">
        <f t="shared" si="32"/>
        <v>0</v>
      </c>
      <c r="O41" s="374">
        <f t="shared" si="32"/>
        <v>0</v>
      </c>
      <c r="P41" s="374">
        <f t="shared" si="32"/>
        <v>0</v>
      </c>
      <c r="Q41" s="381">
        <f>SUM(E41:P41)</f>
        <v>0</v>
      </c>
      <c r="R41" s="157">
        <f>C41-Q41</f>
        <v>0</v>
      </c>
      <c r="S41" s="220"/>
    </row>
    <row r="42" spans="1:19" s="215" customFormat="1" x14ac:dyDescent="0.2">
      <c r="B42" s="216"/>
      <c r="E42" s="389"/>
      <c r="F42" s="390"/>
      <c r="G42" s="390"/>
      <c r="H42" s="390"/>
      <c r="I42" s="390"/>
      <c r="J42" s="390"/>
      <c r="K42" s="390"/>
      <c r="L42" s="390"/>
      <c r="M42" s="390"/>
      <c r="N42" s="390"/>
      <c r="O42" s="390"/>
      <c r="P42" s="390"/>
      <c r="Q42" s="391"/>
      <c r="R42" s="221"/>
      <c r="S42" s="218"/>
    </row>
    <row r="43" spans="1:19" s="159" customFormat="1" x14ac:dyDescent="0.2">
      <c r="A43" s="231"/>
      <c r="B43" s="224" t="s">
        <v>673</v>
      </c>
      <c r="C43" s="240" t="s">
        <v>679</v>
      </c>
      <c r="D43" s="241" t="s">
        <v>718</v>
      </c>
      <c r="E43" s="387"/>
      <c r="F43" s="388"/>
      <c r="G43" s="388"/>
      <c r="H43" s="388"/>
      <c r="I43" s="388"/>
      <c r="J43" s="388"/>
      <c r="K43" s="388"/>
      <c r="L43" s="388"/>
      <c r="M43" s="388"/>
      <c r="N43" s="388"/>
      <c r="O43" s="388"/>
      <c r="P43" s="388"/>
      <c r="Q43" s="381"/>
      <c r="R43" s="157"/>
      <c r="S43" s="220"/>
    </row>
    <row r="44" spans="1:19" s="92" customFormat="1" x14ac:dyDescent="0.2">
      <c r="A44" s="351">
        <v>51400</v>
      </c>
      <c r="B44" s="352" t="s">
        <v>681</v>
      </c>
      <c r="C44" s="353">
        <f>'recap rev and deduct'!C825</f>
        <v>126128.90870693327</v>
      </c>
      <c r="D44" s="353">
        <f>$C44/C$2</f>
        <v>30.868553281187783</v>
      </c>
      <c r="E44" s="383">
        <f>$D44*E$2</f>
        <v>9291.4345376375222</v>
      </c>
      <c r="F44" s="383">
        <f t="shared" ref="F44:P45" si="33">$D44*F$2</f>
        <v>8550.5892588890165</v>
      </c>
      <c r="G44" s="383">
        <f t="shared" si="33"/>
        <v>8704.9320252949547</v>
      </c>
      <c r="H44" s="383">
        <f t="shared" si="33"/>
        <v>8797.5376851385172</v>
      </c>
      <c r="I44" s="383">
        <f t="shared" si="33"/>
        <v>10279.228242635532</v>
      </c>
      <c r="J44" s="383">
        <f t="shared" si="33"/>
        <v>12995.660931380056</v>
      </c>
      <c r="K44" s="383">
        <f t="shared" si="33"/>
        <v>8612.3263654513921</v>
      </c>
      <c r="L44" s="383">
        <f t="shared" si="33"/>
        <v>8859.2747917008928</v>
      </c>
      <c r="M44" s="383">
        <f t="shared" si="33"/>
        <v>10649.650882009784</v>
      </c>
      <c r="N44" s="383">
        <f t="shared" si="33"/>
        <v>13798.24331669094</v>
      </c>
      <c r="O44" s="383">
        <f t="shared" si="33"/>
        <v>13520.426337160248</v>
      </c>
      <c r="P44" s="383">
        <f t="shared" si="33"/>
        <v>12069.604332944424</v>
      </c>
      <c r="Q44" s="384">
        <f>SUM(E44:P44)</f>
        <v>126128.90870693326</v>
      </c>
      <c r="R44" s="354">
        <f>C44-Q44</f>
        <v>0</v>
      </c>
      <c r="S44" s="237"/>
    </row>
    <row r="45" spans="1:19" s="92" customFormat="1" x14ac:dyDescent="0.2">
      <c r="A45" s="351">
        <v>51408</v>
      </c>
      <c r="B45" s="352" t="s">
        <v>711</v>
      </c>
      <c r="C45" s="353">
        <v>0</v>
      </c>
      <c r="D45" s="353">
        <f>$C45/C$2</f>
        <v>0</v>
      </c>
      <c r="E45" s="383">
        <f>$D45*E$2</f>
        <v>0</v>
      </c>
      <c r="F45" s="383">
        <f t="shared" si="33"/>
        <v>0</v>
      </c>
      <c r="G45" s="383">
        <f t="shared" si="33"/>
        <v>0</v>
      </c>
      <c r="H45" s="383">
        <f t="shared" si="33"/>
        <v>0</v>
      </c>
      <c r="I45" s="383">
        <f t="shared" si="33"/>
        <v>0</v>
      </c>
      <c r="J45" s="383">
        <f t="shared" si="33"/>
        <v>0</v>
      </c>
      <c r="K45" s="383">
        <f t="shared" si="33"/>
        <v>0</v>
      </c>
      <c r="L45" s="383">
        <f t="shared" si="33"/>
        <v>0</v>
      </c>
      <c r="M45" s="383">
        <f t="shared" si="33"/>
        <v>0</v>
      </c>
      <c r="N45" s="383">
        <f t="shared" si="33"/>
        <v>0</v>
      </c>
      <c r="O45" s="383">
        <f t="shared" si="33"/>
        <v>0</v>
      </c>
      <c r="P45" s="383">
        <f t="shared" si="33"/>
        <v>0</v>
      </c>
      <c r="Q45" s="384">
        <f>SUM(E45:P45)</f>
        <v>0</v>
      </c>
      <c r="R45" s="354">
        <f>C45-Q45</f>
        <v>0</v>
      </c>
      <c r="S45" s="237"/>
    </row>
    <row r="46" spans="1:19" s="92" customFormat="1" x14ac:dyDescent="0.2">
      <c r="A46" s="355">
        <v>51410</v>
      </c>
      <c r="B46" s="356" t="s">
        <v>686</v>
      </c>
      <c r="C46" s="357">
        <f>'recap rev and deduct'!C843-C47</f>
        <v>1307129.1979963826</v>
      </c>
      <c r="D46" s="357">
        <f>$C46/C$3</f>
        <v>64.153580269761108</v>
      </c>
      <c r="E46" s="385">
        <f>$D46*E$3</f>
        <v>106687.40398861273</v>
      </c>
      <c r="F46" s="385">
        <f t="shared" ref="F46:P46" si="34">$D46*F$3</f>
        <v>101106.0425051435</v>
      </c>
      <c r="G46" s="385">
        <f t="shared" si="34"/>
        <v>96936.059787609032</v>
      </c>
      <c r="H46" s="385">
        <f t="shared" si="34"/>
        <v>108227.089915087</v>
      </c>
      <c r="I46" s="385">
        <f t="shared" si="34"/>
        <v>110408.31164425887</v>
      </c>
      <c r="J46" s="385">
        <f t="shared" si="34"/>
        <v>120287.96300580207</v>
      </c>
      <c r="K46" s="385">
        <f t="shared" si="34"/>
        <v>111434.76892857504</v>
      </c>
      <c r="L46" s="385">
        <f t="shared" si="34"/>
        <v>119004.89140040685</v>
      </c>
      <c r="M46" s="385">
        <f t="shared" si="34"/>
        <v>107649.70769265914</v>
      </c>
      <c r="N46" s="385">
        <f t="shared" si="34"/>
        <v>96871.906207339271</v>
      </c>
      <c r="O46" s="385">
        <f t="shared" si="34"/>
        <v>112525.37979316099</v>
      </c>
      <c r="P46" s="385">
        <f t="shared" si="34"/>
        <v>115989.67312772808</v>
      </c>
      <c r="Q46" s="386">
        <f t="shared" ref="Q46:Q47" si="35">SUM(E46:P46)</f>
        <v>1307129.1979963826</v>
      </c>
      <c r="R46" s="358">
        <f>C46-Q46</f>
        <v>0</v>
      </c>
      <c r="S46" s="237"/>
    </row>
    <row r="47" spans="1:19" s="92" customFormat="1" x14ac:dyDescent="0.2">
      <c r="A47" s="351">
        <v>51420</v>
      </c>
      <c r="B47" s="352" t="s">
        <v>708</v>
      </c>
      <c r="C47" s="353">
        <f>'recap rev and deduct'!J843</f>
        <v>109511.64346881122</v>
      </c>
      <c r="D47" s="353">
        <f>$C47/C$2</f>
        <v>26.801674857760943</v>
      </c>
      <c r="E47" s="383">
        <f>$D47*E$2</f>
        <v>8067.3041321860437</v>
      </c>
      <c r="F47" s="383">
        <f t="shared" ref="F47:P47" si="36">$D47*F$2</f>
        <v>7424.063935599781</v>
      </c>
      <c r="G47" s="383">
        <f t="shared" si="36"/>
        <v>7558.0723098885865</v>
      </c>
      <c r="H47" s="383">
        <f t="shared" si="36"/>
        <v>7638.4773344618688</v>
      </c>
      <c r="I47" s="383">
        <f t="shared" si="36"/>
        <v>8924.9577276343934</v>
      </c>
      <c r="J47" s="383">
        <f t="shared" si="36"/>
        <v>11283.505115117357</v>
      </c>
      <c r="K47" s="383">
        <f t="shared" si="36"/>
        <v>7477.6672853153032</v>
      </c>
      <c r="L47" s="383">
        <f t="shared" si="36"/>
        <v>7692.080684177391</v>
      </c>
      <c r="M47" s="383">
        <f t="shared" si="36"/>
        <v>9246.5778259275248</v>
      </c>
      <c r="N47" s="383">
        <f t="shared" si="36"/>
        <v>11980.348661419142</v>
      </c>
      <c r="O47" s="383">
        <f t="shared" si="36"/>
        <v>11739.133587699293</v>
      </c>
      <c r="P47" s="383">
        <f t="shared" si="36"/>
        <v>10479.454869384528</v>
      </c>
      <c r="Q47" s="384">
        <f t="shared" si="35"/>
        <v>109511.64346881121</v>
      </c>
      <c r="R47" s="354">
        <f>C47-Q47</f>
        <v>0</v>
      </c>
      <c r="S47" s="237"/>
    </row>
    <row r="48" spans="1:19" s="159" customFormat="1" x14ac:dyDescent="0.2">
      <c r="A48" s="231"/>
      <c r="B48" s="224" t="s">
        <v>0</v>
      </c>
      <c r="C48" s="232">
        <f t="shared" ref="C48:P48" si="37">SUM(C44:C47)</f>
        <v>1542769.750172127</v>
      </c>
      <c r="D48" s="232">
        <f t="shared" si="37"/>
        <v>121.82380840870984</v>
      </c>
      <c r="E48" s="374">
        <f t="shared" si="37"/>
        <v>124046.14265843629</v>
      </c>
      <c r="F48" s="374">
        <f t="shared" si="37"/>
        <v>117080.6956996323</v>
      </c>
      <c r="G48" s="374">
        <f t="shared" si="37"/>
        <v>113199.06412279257</v>
      </c>
      <c r="H48" s="374">
        <f t="shared" si="37"/>
        <v>124663.10493468739</v>
      </c>
      <c r="I48" s="374">
        <f t="shared" si="37"/>
        <v>129612.49761452879</v>
      </c>
      <c r="J48" s="374">
        <f t="shared" si="37"/>
        <v>144567.12905229948</v>
      </c>
      <c r="K48" s="374">
        <f t="shared" si="37"/>
        <v>127524.76257934172</v>
      </c>
      <c r="L48" s="374">
        <f t="shared" si="37"/>
        <v>135556.24687628515</v>
      </c>
      <c r="M48" s="374">
        <f t="shared" si="37"/>
        <v>127545.93640059645</v>
      </c>
      <c r="N48" s="374">
        <f t="shared" si="37"/>
        <v>122650.49818544937</v>
      </c>
      <c r="O48" s="374">
        <f t="shared" si="37"/>
        <v>137784.93971802053</v>
      </c>
      <c r="P48" s="374">
        <f t="shared" si="37"/>
        <v>138538.73233005701</v>
      </c>
      <c r="Q48" s="381">
        <f>SUM(E48:P48)</f>
        <v>1542769.750172127</v>
      </c>
      <c r="R48" s="157">
        <f>C48-Q48</f>
        <v>0</v>
      </c>
      <c r="S48" s="220"/>
    </row>
    <row r="49" spans="1:19" s="215" customFormat="1" x14ac:dyDescent="0.2">
      <c r="B49" s="216"/>
      <c r="E49" s="389"/>
      <c r="F49" s="390"/>
      <c r="G49" s="390"/>
      <c r="H49" s="390"/>
      <c r="I49" s="390"/>
      <c r="J49" s="390"/>
      <c r="K49" s="390"/>
      <c r="L49" s="390"/>
      <c r="M49" s="390"/>
      <c r="N49" s="390"/>
      <c r="O49" s="390"/>
      <c r="P49" s="390"/>
      <c r="Q49" s="391"/>
      <c r="R49" s="221"/>
      <c r="S49" s="218"/>
    </row>
    <row r="50" spans="1:19" s="159" customFormat="1" x14ac:dyDescent="0.2">
      <c r="A50" s="231"/>
      <c r="B50" s="224" t="s">
        <v>673</v>
      </c>
      <c r="C50" s="240" t="s">
        <v>680</v>
      </c>
      <c r="D50" s="241" t="s">
        <v>719</v>
      </c>
      <c r="E50" s="387"/>
      <c r="F50" s="388"/>
      <c r="G50" s="388"/>
      <c r="H50" s="388"/>
      <c r="I50" s="388"/>
      <c r="J50" s="388"/>
      <c r="K50" s="388"/>
      <c r="L50" s="388"/>
      <c r="M50" s="388"/>
      <c r="N50" s="388"/>
      <c r="O50" s="388"/>
      <c r="P50" s="388"/>
      <c r="Q50" s="381"/>
      <c r="R50" s="157"/>
      <c r="S50" s="220"/>
    </row>
    <row r="51" spans="1:19" s="92" customFormat="1" x14ac:dyDescent="0.2">
      <c r="A51" s="351">
        <v>51500</v>
      </c>
      <c r="B51" s="352" t="s">
        <v>681</v>
      </c>
      <c r="C51" s="353">
        <f>'recap rev and deduct'!C827</f>
        <v>312600.1978968443</v>
      </c>
      <c r="D51" s="353">
        <f>$C51/C$2</f>
        <v>76.505187933637856</v>
      </c>
      <c r="E51" s="383">
        <f>$D51*E$2</f>
        <v>23028.061568024994</v>
      </c>
      <c r="F51" s="383">
        <f t="shared" ref="F51:P51" si="38">$D51*F$2</f>
        <v>21191.937057617688</v>
      </c>
      <c r="G51" s="383">
        <f t="shared" si="38"/>
        <v>21574.462997285875</v>
      </c>
      <c r="H51" s="383">
        <f t="shared" si="38"/>
        <v>21803.978561086788</v>
      </c>
      <c r="I51" s="383">
        <f t="shared" si="38"/>
        <v>25476.227581901407</v>
      </c>
      <c r="J51" s="383">
        <f t="shared" si="38"/>
        <v>32208.684120061538</v>
      </c>
      <c r="K51" s="383">
        <f t="shared" si="38"/>
        <v>21344.947433484962</v>
      </c>
      <c r="L51" s="383">
        <f t="shared" si="38"/>
        <v>21956.988936954065</v>
      </c>
      <c r="M51" s="383">
        <f t="shared" si="38"/>
        <v>26394.289837105061</v>
      </c>
      <c r="N51" s="383">
        <f t="shared" si="38"/>
        <v>34197.819006336125</v>
      </c>
      <c r="O51" s="383">
        <f t="shared" si="38"/>
        <v>33509.272314933383</v>
      </c>
      <c r="P51" s="383">
        <f t="shared" si="38"/>
        <v>29913.528482052403</v>
      </c>
      <c r="Q51" s="384">
        <f>SUM(E51:P51)</f>
        <v>312600.19789684424</v>
      </c>
      <c r="R51" s="354">
        <f>C51-Q51</f>
        <v>0</v>
      </c>
      <c r="S51" s="237"/>
    </row>
    <row r="52" spans="1:19" s="92" customFormat="1" x14ac:dyDescent="0.2">
      <c r="A52" s="355">
        <v>51510</v>
      </c>
      <c r="B52" s="356" t="s">
        <v>686</v>
      </c>
      <c r="C52" s="357">
        <f>'recap rev and deduct'!C845-C53</f>
        <v>1386124.0287981611</v>
      </c>
      <c r="D52" s="357">
        <f>$C52/C$3</f>
        <v>68.030627180277847</v>
      </c>
      <c r="E52" s="385">
        <f>$D52*E$3</f>
        <v>113134.93300080206</v>
      </c>
      <c r="F52" s="385">
        <f t="shared" ref="F52:P52" si="39">$D52*F$3</f>
        <v>107216.26843611788</v>
      </c>
      <c r="G52" s="385">
        <f t="shared" si="39"/>
        <v>102794.27766939983</v>
      </c>
      <c r="H52" s="385">
        <f t="shared" si="39"/>
        <v>114767.66805312873</v>
      </c>
      <c r="I52" s="385">
        <f t="shared" si="39"/>
        <v>117080.70937725817</v>
      </c>
      <c r="J52" s="385">
        <f t="shared" si="39"/>
        <v>127557.42596302096</v>
      </c>
      <c r="K52" s="385">
        <f t="shared" si="39"/>
        <v>118169.19941214263</v>
      </c>
      <c r="L52" s="385">
        <f t="shared" si="39"/>
        <v>126196.81341941541</v>
      </c>
      <c r="M52" s="385">
        <f t="shared" si="39"/>
        <v>114155.39240850623</v>
      </c>
      <c r="N52" s="385">
        <f t="shared" si="39"/>
        <v>102726.24704221955</v>
      </c>
      <c r="O52" s="385">
        <f t="shared" si="39"/>
        <v>119325.72007420735</v>
      </c>
      <c r="P52" s="385">
        <f t="shared" si="39"/>
        <v>122999.37394194235</v>
      </c>
      <c r="Q52" s="386">
        <f t="shared" ref="Q52:Q55" si="40">SUM(E52:P52)</f>
        <v>1386124.0287981611</v>
      </c>
      <c r="R52" s="358">
        <f>C52-Q52</f>
        <v>0</v>
      </c>
      <c r="S52" s="237"/>
    </row>
    <row r="53" spans="1:19" s="92" customFormat="1" x14ac:dyDescent="0.2">
      <c r="A53" s="351">
        <v>51520</v>
      </c>
      <c r="B53" s="352" t="s">
        <v>708</v>
      </c>
      <c r="C53" s="353">
        <f>'recap rev and deduct'!J845</f>
        <v>89181.171633564038</v>
      </c>
      <c r="D53" s="353">
        <f>$C53/C$2</f>
        <v>21.826033194704856</v>
      </c>
      <c r="E53" s="383">
        <f>$D53*E$2</f>
        <v>6569.635991606162</v>
      </c>
      <c r="F53" s="383">
        <f t="shared" ref="F53:P54" si="41">$D53*F$2</f>
        <v>6045.8111949332451</v>
      </c>
      <c r="G53" s="383">
        <f t="shared" si="41"/>
        <v>6154.9413609067697</v>
      </c>
      <c r="H53" s="383">
        <f t="shared" si="41"/>
        <v>6220.4194604908835</v>
      </c>
      <c r="I53" s="383">
        <f t="shared" si="41"/>
        <v>7268.0690538367171</v>
      </c>
      <c r="J53" s="383">
        <f t="shared" si="41"/>
        <v>9188.7599749707442</v>
      </c>
      <c r="K53" s="383">
        <f t="shared" si="41"/>
        <v>6089.4632613226549</v>
      </c>
      <c r="L53" s="383">
        <f t="shared" si="41"/>
        <v>6264.0715268802933</v>
      </c>
      <c r="M53" s="383">
        <f t="shared" si="41"/>
        <v>7529.9814521731751</v>
      </c>
      <c r="N53" s="383">
        <f t="shared" si="41"/>
        <v>9756.2368380330699</v>
      </c>
      <c r="O53" s="383">
        <f t="shared" si="41"/>
        <v>9559.8025392807267</v>
      </c>
      <c r="P53" s="383">
        <f t="shared" si="41"/>
        <v>8533.9789791295989</v>
      </c>
      <c r="Q53" s="384">
        <f t="shared" si="40"/>
        <v>89181.171633564052</v>
      </c>
      <c r="R53" s="354">
        <f t="shared" ref="R53:R55" si="42">C53-Q53</f>
        <v>0</v>
      </c>
      <c r="S53" s="237"/>
    </row>
    <row r="54" spans="1:19" s="92" customFormat="1" x14ac:dyDescent="0.2">
      <c r="A54" s="351">
        <v>51530</v>
      </c>
      <c r="B54" s="352" t="s">
        <v>883</v>
      </c>
      <c r="C54" s="353">
        <v>0</v>
      </c>
      <c r="D54" s="353">
        <f>$C54/C$2</f>
        <v>0</v>
      </c>
      <c r="E54" s="383">
        <f>$D54*E$2</f>
        <v>0</v>
      </c>
      <c r="F54" s="383">
        <f t="shared" si="41"/>
        <v>0</v>
      </c>
      <c r="G54" s="383">
        <f t="shared" si="41"/>
        <v>0</v>
      </c>
      <c r="H54" s="383">
        <f t="shared" si="41"/>
        <v>0</v>
      </c>
      <c r="I54" s="383">
        <f t="shared" si="41"/>
        <v>0</v>
      </c>
      <c r="J54" s="383">
        <f t="shared" si="41"/>
        <v>0</v>
      </c>
      <c r="K54" s="383">
        <f t="shared" si="41"/>
        <v>0</v>
      </c>
      <c r="L54" s="383">
        <f t="shared" si="41"/>
        <v>0</v>
      </c>
      <c r="M54" s="383">
        <f t="shared" si="41"/>
        <v>0</v>
      </c>
      <c r="N54" s="383">
        <f t="shared" si="41"/>
        <v>0</v>
      </c>
      <c r="O54" s="383">
        <f t="shared" si="41"/>
        <v>0</v>
      </c>
      <c r="P54" s="383">
        <f t="shared" si="41"/>
        <v>0</v>
      </c>
      <c r="Q54" s="384">
        <f t="shared" ref="Q54" si="43">SUM(E54:P54)</f>
        <v>0</v>
      </c>
      <c r="R54" s="354">
        <f t="shared" ref="R54" si="44">C54-Q54</f>
        <v>0</v>
      </c>
      <c r="S54" s="237"/>
    </row>
    <row r="55" spans="1:19" s="92" customFormat="1" x14ac:dyDescent="0.2">
      <c r="A55" s="355">
        <v>51532</v>
      </c>
      <c r="B55" s="356" t="s">
        <v>712</v>
      </c>
      <c r="C55" s="357">
        <v>0</v>
      </c>
      <c r="D55" s="357">
        <f t="shared" ref="D55" si="45">$C55/C$3</f>
        <v>0</v>
      </c>
      <c r="E55" s="385">
        <f t="shared" ref="E55:P55" si="46">$D55*E$3</f>
        <v>0</v>
      </c>
      <c r="F55" s="385">
        <f t="shared" si="46"/>
        <v>0</v>
      </c>
      <c r="G55" s="385">
        <f t="shared" si="46"/>
        <v>0</v>
      </c>
      <c r="H55" s="385">
        <f t="shared" si="46"/>
        <v>0</v>
      </c>
      <c r="I55" s="385">
        <f t="shared" si="46"/>
        <v>0</v>
      </c>
      <c r="J55" s="385">
        <f t="shared" si="46"/>
        <v>0</v>
      </c>
      <c r="K55" s="385">
        <f t="shared" si="46"/>
        <v>0</v>
      </c>
      <c r="L55" s="385">
        <f t="shared" si="46"/>
        <v>0</v>
      </c>
      <c r="M55" s="385">
        <f t="shared" si="46"/>
        <v>0</v>
      </c>
      <c r="N55" s="385">
        <f t="shared" si="46"/>
        <v>0</v>
      </c>
      <c r="O55" s="385">
        <f t="shared" si="46"/>
        <v>0</v>
      </c>
      <c r="P55" s="385">
        <f t="shared" si="46"/>
        <v>0</v>
      </c>
      <c r="Q55" s="386">
        <f t="shared" si="40"/>
        <v>0</v>
      </c>
      <c r="R55" s="358">
        <f t="shared" si="42"/>
        <v>0</v>
      </c>
      <c r="S55" s="237"/>
    </row>
    <row r="56" spans="1:19" s="159" customFormat="1" x14ac:dyDescent="0.2">
      <c r="A56" s="231"/>
      <c r="B56" s="224" t="s">
        <v>0</v>
      </c>
      <c r="C56" s="232">
        <f>SUM(C51:C55)</f>
        <v>1787905.3983285693</v>
      </c>
      <c r="D56" s="232">
        <f>SUM(D51:D55)</f>
        <v>166.36184830862055</v>
      </c>
      <c r="E56" s="374">
        <f>SUM(E51:E55)</f>
        <v>142732.63056043323</v>
      </c>
      <c r="F56" s="374">
        <f t="shared" ref="F56:P56" si="47">SUM(F51:F55)</f>
        <v>134454.01668866881</v>
      </c>
      <c r="G56" s="374">
        <f t="shared" si="47"/>
        <v>130523.68202759248</v>
      </c>
      <c r="H56" s="374">
        <f t="shared" si="47"/>
        <v>142792.06607470638</v>
      </c>
      <c r="I56" s="374">
        <f t="shared" si="47"/>
        <v>149825.00601299631</v>
      </c>
      <c r="J56" s="374">
        <f t="shared" si="47"/>
        <v>168954.87005805323</v>
      </c>
      <c r="K56" s="374">
        <f t="shared" si="47"/>
        <v>145603.61010695022</v>
      </c>
      <c r="L56" s="374">
        <f t="shared" si="47"/>
        <v>154417.87388324976</v>
      </c>
      <c r="M56" s="374">
        <f t="shared" si="47"/>
        <v>148079.66369778448</v>
      </c>
      <c r="N56" s="374">
        <f t="shared" si="47"/>
        <v>146680.30288658873</v>
      </c>
      <c r="O56" s="374">
        <f t="shared" si="47"/>
        <v>162394.79492842147</v>
      </c>
      <c r="P56" s="374">
        <f t="shared" si="47"/>
        <v>161446.88140312437</v>
      </c>
      <c r="Q56" s="381">
        <f>SUM(E56:P56)</f>
        <v>1787905.3983285695</v>
      </c>
      <c r="R56" s="157">
        <f>C56-Q56</f>
        <v>0</v>
      </c>
      <c r="S56" s="220"/>
    </row>
    <row r="57" spans="1:19" s="215" customFormat="1" x14ac:dyDescent="0.2">
      <c r="B57" s="216"/>
      <c r="E57" s="389"/>
      <c r="F57" s="390"/>
      <c r="G57" s="390"/>
      <c r="H57" s="390"/>
      <c r="I57" s="390"/>
      <c r="J57" s="390"/>
      <c r="K57" s="390"/>
      <c r="L57" s="390"/>
      <c r="M57" s="390"/>
      <c r="N57" s="390"/>
      <c r="O57" s="390"/>
      <c r="P57" s="390"/>
      <c r="Q57" s="391"/>
      <c r="R57" s="221"/>
      <c r="S57" s="218"/>
    </row>
    <row r="58" spans="1:19" s="159" customFormat="1" x14ac:dyDescent="0.2">
      <c r="A58" s="231"/>
      <c r="B58" s="224" t="s">
        <v>673</v>
      </c>
      <c r="C58" s="240" t="s">
        <v>713</v>
      </c>
      <c r="D58" s="241" t="s">
        <v>720</v>
      </c>
      <c r="E58" s="387"/>
      <c r="F58" s="388"/>
      <c r="G58" s="388"/>
      <c r="H58" s="388"/>
      <c r="I58" s="388"/>
      <c r="J58" s="388"/>
      <c r="K58" s="388"/>
      <c r="L58" s="388"/>
      <c r="M58" s="388"/>
      <c r="N58" s="388"/>
      <c r="O58" s="388"/>
      <c r="P58" s="388"/>
      <c r="Q58" s="381"/>
      <c r="R58" s="157"/>
      <c r="S58" s="220"/>
    </row>
    <row r="59" spans="1:19" s="92" customFormat="1" x14ac:dyDescent="0.2">
      <c r="A59" s="351">
        <v>51302</v>
      </c>
      <c r="B59" s="352" t="s">
        <v>681</v>
      </c>
      <c r="C59" s="353">
        <f>'recap rev and deduct'!C828</f>
        <v>858464.67940021108</v>
      </c>
      <c r="D59" s="353">
        <f>$C59/C$2</f>
        <v>210.09904047973839</v>
      </c>
      <c r="E59" s="383">
        <f>$D59*E$2</f>
        <v>63239.811184401253</v>
      </c>
      <c r="F59" s="383">
        <f t="shared" ref="F59:P59" si="48">$D59*F$2</f>
        <v>58197.434212887536</v>
      </c>
      <c r="G59" s="383">
        <f t="shared" si="48"/>
        <v>59247.929415286228</v>
      </c>
      <c r="H59" s="383">
        <f t="shared" si="48"/>
        <v>59878.226536725444</v>
      </c>
      <c r="I59" s="383">
        <f t="shared" si="48"/>
        <v>69962.980479752878</v>
      </c>
      <c r="J59" s="383">
        <f t="shared" si="48"/>
        <v>88451.696041969859</v>
      </c>
      <c r="K59" s="383">
        <f t="shared" si="48"/>
        <v>58617.632293847011</v>
      </c>
      <c r="L59" s="383">
        <f t="shared" si="48"/>
        <v>60298.424617684919</v>
      </c>
      <c r="M59" s="383">
        <f t="shared" si="48"/>
        <v>72484.168965509743</v>
      </c>
      <c r="N59" s="383">
        <f t="shared" si="48"/>
        <v>93914.271094443058</v>
      </c>
      <c r="O59" s="383">
        <f t="shared" si="48"/>
        <v>92023.379730125409</v>
      </c>
      <c r="P59" s="383">
        <f t="shared" si="48"/>
        <v>82148.724827577709</v>
      </c>
      <c r="Q59" s="384">
        <f>SUM(E59:P59)</f>
        <v>858464.67940021108</v>
      </c>
      <c r="R59" s="354">
        <f>C59-Q59</f>
        <v>0</v>
      </c>
      <c r="S59" s="237"/>
    </row>
    <row r="60" spans="1:19" s="92" customFormat="1" x14ac:dyDescent="0.2">
      <c r="A60" s="355">
        <v>51310</v>
      </c>
      <c r="B60" s="356" t="s">
        <v>686</v>
      </c>
      <c r="C60" s="357"/>
      <c r="D60" s="357">
        <f>$C60/C$3</f>
        <v>0</v>
      </c>
      <c r="E60" s="385">
        <f>$D60*E$3</f>
        <v>0</v>
      </c>
      <c r="F60" s="385">
        <f t="shared" ref="F60:P60" si="49">$D60*F$3</f>
        <v>0</v>
      </c>
      <c r="G60" s="385">
        <f t="shared" si="49"/>
        <v>0</v>
      </c>
      <c r="H60" s="385">
        <f t="shared" si="49"/>
        <v>0</v>
      </c>
      <c r="I60" s="385">
        <f t="shared" si="49"/>
        <v>0</v>
      </c>
      <c r="J60" s="385">
        <f t="shared" si="49"/>
        <v>0</v>
      </c>
      <c r="K60" s="385">
        <f t="shared" si="49"/>
        <v>0</v>
      </c>
      <c r="L60" s="385">
        <f t="shared" si="49"/>
        <v>0</v>
      </c>
      <c r="M60" s="385">
        <f t="shared" si="49"/>
        <v>0</v>
      </c>
      <c r="N60" s="385">
        <f t="shared" si="49"/>
        <v>0</v>
      </c>
      <c r="O60" s="385">
        <f t="shared" si="49"/>
        <v>0</v>
      </c>
      <c r="P60" s="385">
        <f t="shared" si="49"/>
        <v>0</v>
      </c>
      <c r="Q60" s="386">
        <f t="shared" ref="Q60:Q61" si="50">SUM(E60:P60)</f>
        <v>0</v>
      </c>
      <c r="R60" s="358">
        <f>C60-Q60</f>
        <v>0</v>
      </c>
      <c r="S60" s="237"/>
    </row>
    <row r="61" spans="1:19" s="92" customFormat="1" x14ac:dyDescent="0.2">
      <c r="A61" s="351">
        <v>51314</v>
      </c>
      <c r="B61" s="352" t="s">
        <v>708</v>
      </c>
      <c r="C61" s="353"/>
      <c r="D61" s="353">
        <f>$C61/C$2</f>
        <v>0</v>
      </c>
      <c r="E61" s="383">
        <f>$D61*E$2</f>
        <v>0</v>
      </c>
      <c r="F61" s="383">
        <f t="shared" ref="F61:P61" si="51">$D61*F$2</f>
        <v>0</v>
      </c>
      <c r="G61" s="383">
        <f t="shared" si="51"/>
        <v>0</v>
      </c>
      <c r="H61" s="383">
        <f t="shared" si="51"/>
        <v>0</v>
      </c>
      <c r="I61" s="383">
        <f t="shared" si="51"/>
        <v>0</v>
      </c>
      <c r="J61" s="383">
        <f t="shared" si="51"/>
        <v>0</v>
      </c>
      <c r="K61" s="383">
        <f t="shared" si="51"/>
        <v>0</v>
      </c>
      <c r="L61" s="383">
        <f t="shared" si="51"/>
        <v>0</v>
      </c>
      <c r="M61" s="383">
        <f t="shared" si="51"/>
        <v>0</v>
      </c>
      <c r="N61" s="383">
        <f t="shared" si="51"/>
        <v>0</v>
      </c>
      <c r="O61" s="383">
        <f t="shared" si="51"/>
        <v>0</v>
      </c>
      <c r="P61" s="383">
        <f t="shared" si="51"/>
        <v>0</v>
      </c>
      <c r="Q61" s="384">
        <f t="shared" si="50"/>
        <v>0</v>
      </c>
      <c r="R61" s="354">
        <f>C61-Q61</f>
        <v>0</v>
      </c>
      <c r="S61" s="237"/>
    </row>
    <row r="62" spans="1:19" s="159" customFormat="1" x14ac:dyDescent="0.2">
      <c r="A62" s="231"/>
      <c r="B62" s="224" t="s">
        <v>0</v>
      </c>
      <c r="C62" s="232">
        <f t="shared" ref="C62:P62" si="52">SUM(C59:C61)</f>
        <v>858464.67940021108</v>
      </c>
      <c r="D62" s="232">
        <f t="shared" si="52"/>
        <v>210.09904047973839</v>
      </c>
      <c r="E62" s="374">
        <f t="shared" si="52"/>
        <v>63239.811184401253</v>
      </c>
      <c r="F62" s="374">
        <f t="shared" si="52"/>
        <v>58197.434212887536</v>
      </c>
      <c r="G62" s="374">
        <f t="shared" si="52"/>
        <v>59247.929415286228</v>
      </c>
      <c r="H62" s="374">
        <f t="shared" si="52"/>
        <v>59878.226536725444</v>
      </c>
      <c r="I62" s="374">
        <f t="shared" si="52"/>
        <v>69962.980479752878</v>
      </c>
      <c r="J62" s="374">
        <f t="shared" si="52"/>
        <v>88451.696041969859</v>
      </c>
      <c r="K62" s="374">
        <f t="shared" si="52"/>
        <v>58617.632293847011</v>
      </c>
      <c r="L62" s="374">
        <f t="shared" si="52"/>
        <v>60298.424617684919</v>
      </c>
      <c r="M62" s="374">
        <f t="shared" si="52"/>
        <v>72484.168965509743</v>
      </c>
      <c r="N62" s="374">
        <f t="shared" si="52"/>
        <v>93914.271094443058</v>
      </c>
      <c r="O62" s="374">
        <f t="shared" si="52"/>
        <v>92023.379730125409</v>
      </c>
      <c r="P62" s="374">
        <f t="shared" si="52"/>
        <v>82148.724827577709</v>
      </c>
      <c r="Q62" s="381">
        <f>SUM(E62:P62)</f>
        <v>858464.67940021108</v>
      </c>
      <c r="R62" s="157">
        <f>C62-Q62</f>
        <v>0</v>
      </c>
      <c r="S62" s="220"/>
    </row>
    <row r="63" spans="1:19" x14ac:dyDescent="0.2">
      <c r="E63" s="389"/>
      <c r="F63" s="390"/>
      <c r="G63" s="390"/>
      <c r="H63" s="390"/>
      <c r="I63" s="390"/>
      <c r="J63" s="390"/>
      <c r="K63" s="390"/>
      <c r="L63" s="390"/>
      <c r="M63" s="390"/>
      <c r="N63" s="390"/>
      <c r="O63" s="390"/>
      <c r="P63" s="390"/>
      <c r="Q63" s="391"/>
    </row>
    <row r="64" spans="1:19" s="159" customFormat="1" x14ac:dyDescent="0.2">
      <c r="A64" s="231"/>
      <c r="B64" s="224" t="s">
        <v>673</v>
      </c>
      <c r="C64" s="240" t="s">
        <v>714</v>
      </c>
      <c r="D64" s="241" t="s">
        <v>721</v>
      </c>
      <c r="E64" s="387"/>
      <c r="F64" s="388"/>
      <c r="G64" s="388"/>
      <c r="H64" s="388"/>
      <c r="I64" s="388"/>
      <c r="J64" s="388"/>
      <c r="K64" s="388"/>
      <c r="L64" s="388"/>
      <c r="M64" s="388"/>
      <c r="N64" s="388"/>
      <c r="O64" s="388"/>
      <c r="P64" s="388"/>
      <c r="Q64" s="381"/>
      <c r="R64" s="157"/>
      <c r="S64" s="220"/>
    </row>
    <row r="65" spans="1:19" s="92" customFormat="1" x14ac:dyDescent="0.2">
      <c r="A65" s="351">
        <v>51340</v>
      </c>
      <c r="B65" s="352" t="s">
        <v>681</v>
      </c>
      <c r="C65" s="353">
        <v>0</v>
      </c>
      <c r="D65" s="353">
        <f>$C65/C$2</f>
        <v>0</v>
      </c>
      <c r="E65" s="383">
        <f>$D65*E$2</f>
        <v>0</v>
      </c>
      <c r="F65" s="383">
        <f t="shared" ref="F65:P65" si="53">$D65*F$2</f>
        <v>0</v>
      </c>
      <c r="G65" s="383">
        <f t="shared" si="53"/>
        <v>0</v>
      </c>
      <c r="H65" s="383">
        <f t="shared" si="53"/>
        <v>0</v>
      </c>
      <c r="I65" s="383">
        <f t="shared" si="53"/>
        <v>0</v>
      </c>
      <c r="J65" s="383">
        <f t="shared" si="53"/>
        <v>0</v>
      </c>
      <c r="K65" s="383">
        <f t="shared" si="53"/>
        <v>0</v>
      </c>
      <c r="L65" s="383">
        <f t="shared" si="53"/>
        <v>0</v>
      </c>
      <c r="M65" s="383">
        <f t="shared" si="53"/>
        <v>0</v>
      </c>
      <c r="N65" s="383">
        <f t="shared" si="53"/>
        <v>0</v>
      </c>
      <c r="O65" s="383">
        <f t="shared" si="53"/>
        <v>0</v>
      </c>
      <c r="P65" s="383">
        <f t="shared" si="53"/>
        <v>0</v>
      </c>
      <c r="Q65" s="384">
        <f>SUM(E65:P65)</f>
        <v>0</v>
      </c>
      <c r="R65" s="354">
        <f>C65-Q65</f>
        <v>0</v>
      </c>
      <c r="S65" s="237"/>
    </row>
    <row r="66" spans="1:19" s="92" customFormat="1" x14ac:dyDescent="0.2">
      <c r="A66" s="355">
        <v>51342</v>
      </c>
      <c r="B66" s="356" t="s">
        <v>686</v>
      </c>
      <c r="C66" s="357">
        <f>'recap rev and deduct'!C846-C67</f>
        <v>4041362.6248941948</v>
      </c>
      <c r="D66" s="357">
        <f>$C66/C$3</f>
        <v>198.34908588437764</v>
      </c>
      <c r="E66" s="385">
        <f>$D66*E$3</f>
        <v>329854.52982572</v>
      </c>
      <c r="F66" s="385">
        <f t="shared" ref="F66:P66" si="54">$D66*F$3</f>
        <v>312598.15935377916</v>
      </c>
      <c r="G66" s="385">
        <f t="shared" si="54"/>
        <v>299705.46877129463</v>
      </c>
      <c r="H66" s="385">
        <f t="shared" si="54"/>
        <v>334614.90788694506</v>
      </c>
      <c r="I66" s="385">
        <f t="shared" si="54"/>
        <v>341358.7768070139</v>
      </c>
      <c r="J66" s="385">
        <f t="shared" si="54"/>
        <v>371904.53603320807</v>
      </c>
      <c r="K66" s="385">
        <f t="shared" si="54"/>
        <v>344532.36218116398</v>
      </c>
      <c r="L66" s="385">
        <f t="shared" si="54"/>
        <v>367937.55431552051</v>
      </c>
      <c r="M66" s="385">
        <f t="shared" si="54"/>
        <v>332829.76611398568</v>
      </c>
      <c r="N66" s="385">
        <f t="shared" si="54"/>
        <v>299507.11968541023</v>
      </c>
      <c r="O66" s="385">
        <f t="shared" si="54"/>
        <v>347904.29664119839</v>
      </c>
      <c r="P66" s="385">
        <f t="shared" si="54"/>
        <v>358615.1472789548</v>
      </c>
      <c r="Q66" s="386">
        <f t="shared" ref="Q66:Q67" si="55">SUM(E66:P66)</f>
        <v>4041362.6248941943</v>
      </c>
      <c r="R66" s="358">
        <f>C66-Q66</f>
        <v>0</v>
      </c>
      <c r="S66" s="237"/>
    </row>
    <row r="67" spans="1:19" s="92" customFormat="1" x14ac:dyDescent="0.2">
      <c r="A67" s="351">
        <v>51344</v>
      </c>
      <c r="B67" s="352" t="s">
        <v>708</v>
      </c>
      <c r="C67" s="353">
        <f>'recap rev and deduct'!J846</f>
        <v>471476.83256450697</v>
      </c>
      <c r="D67" s="353">
        <f>$C67/C$2</f>
        <v>115.38835843477899</v>
      </c>
      <c r="E67" s="383">
        <f>$D67*E$2</f>
        <v>34731.895888868479</v>
      </c>
      <c r="F67" s="383">
        <f t="shared" ref="F67:P67" si="56">$D67*F$2</f>
        <v>31962.575286433781</v>
      </c>
      <c r="G67" s="383">
        <f t="shared" si="56"/>
        <v>32539.517078607678</v>
      </c>
      <c r="H67" s="383">
        <f t="shared" si="56"/>
        <v>32885.682153912014</v>
      </c>
      <c r="I67" s="383">
        <f t="shared" si="56"/>
        <v>38424.323358781403</v>
      </c>
      <c r="J67" s="383">
        <f t="shared" si="56"/>
        <v>48578.498901041959</v>
      </c>
      <c r="K67" s="383">
        <f t="shared" si="56"/>
        <v>32193.352003303338</v>
      </c>
      <c r="L67" s="383">
        <f t="shared" si="56"/>
        <v>33116.458870781571</v>
      </c>
      <c r="M67" s="383">
        <f t="shared" si="56"/>
        <v>39808.983659998754</v>
      </c>
      <c r="N67" s="383">
        <f t="shared" si="56"/>
        <v>51578.596220346211</v>
      </c>
      <c r="O67" s="383">
        <f t="shared" si="56"/>
        <v>50540.100994433196</v>
      </c>
      <c r="P67" s="383">
        <f t="shared" si="56"/>
        <v>45116.848147998586</v>
      </c>
      <c r="Q67" s="384">
        <f t="shared" si="55"/>
        <v>471476.83256450697</v>
      </c>
      <c r="R67" s="354">
        <f>C67-Q67</f>
        <v>0</v>
      </c>
      <c r="S67" s="237"/>
    </row>
    <row r="68" spans="1:19" s="159" customFormat="1" x14ac:dyDescent="0.2">
      <c r="A68" s="231"/>
      <c r="B68" s="224" t="s">
        <v>0</v>
      </c>
      <c r="C68" s="232">
        <f t="shared" ref="C68:P68" si="57">SUM(C65:C67)</f>
        <v>4512839.4574587019</v>
      </c>
      <c r="D68" s="232">
        <f t="shared" si="57"/>
        <v>313.73744431915662</v>
      </c>
      <c r="E68" s="374">
        <f t="shared" si="57"/>
        <v>364586.42571458849</v>
      </c>
      <c r="F68" s="374">
        <f t="shared" si="57"/>
        <v>344560.73464021296</v>
      </c>
      <c r="G68" s="374">
        <f t="shared" si="57"/>
        <v>332244.98584990232</v>
      </c>
      <c r="H68" s="374">
        <f t="shared" si="57"/>
        <v>367500.59004085709</v>
      </c>
      <c r="I68" s="374">
        <f t="shared" si="57"/>
        <v>379783.1001657953</v>
      </c>
      <c r="J68" s="374">
        <f t="shared" si="57"/>
        <v>420483.03493425006</v>
      </c>
      <c r="K68" s="374">
        <f t="shared" si="57"/>
        <v>376725.71418446733</v>
      </c>
      <c r="L68" s="374">
        <f t="shared" si="57"/>
        <v>401054.01318630209</v>
      </c>
      <c r="M68" s="374">
        <f t="shared" si="57"/>
        <v>372638.74977398443</v>
      </c>
      <c r="N68" s="374">
        <f t="shared" si="57"/>
        <v>351085.71590575646</v>
      </c>
      <c r="O68" s="374">
        <f t="shared" si="57"/>
        <v>398444.39763563161</v>
      </c>
      <c r="P68" s="374">
        <f t="shared" si="57"/>
        <v>403731.99542695336</v>
      </c>
      <c r="Q68" s="381">
        <f>SUM(E68:P68)</f>
        <v>4512839.457458701</v>
      </c>
      <c r="R68" s="157">
        <f>C68-Q68</f>
        <v>0</v>
      </c>
      <c r="S68" s="220"/>
    </row>
    <row r="69" spans="1:19" x14ac:dyDescent="0.2">
      <c r="E69" s="389"/>
      <c r="F69" s="390"/>
      <c r="G69" s="390"/>
      <c r="H69" s="390"/>
      <c r="I69" s="390"/>
      <c r="J69" s="390"/>
      <c r="K69" s="390"/>
      <c r="L69" s="390"/>
      <c r="M69" s="390"/>
      <c r="N69" s="390"/>
      <c r="O69" s="390"/>
      <c r="P69" s="390"/>
      <c r="Q69" s="391"/>
    </row>
    <row r="70" spans="1:19" x14ac:dyDescent="0.2">
      <c r="E70" s="389"/>
      <c r="F70" s="390"/>
      <c r="G70" s="390"/>
      <c r="H70" s="390"/>
      <c r="I70" s="390"/>
      <c r="J70" s="390"/>
      <c r="K70" s="390"/>
      <c r="L70" s="390"/>
      <c r="M70" s="390"/>
      <c r="N70" s="390"/>
      <c r="O70" s="390"/>
      <c r="P70" s="390"/>
      <c r="Q70" s="391"/>
    </row>
    <row r="71" spans="1:19" x14ac:dyDescent="0.2">
      <c r="B71" s="278" t="s">
        <v>924</v>
      </c>
      <c r="C71" s="225">
        <f>C7+C9+C19+C38+C44+C51+C59+C65</f>
        <v>3692893.4776635319</v>
      </c>
      <c r="D71" s="225">
        <f t="shared" ref="D71:P71" si="58">D7+D9+D19+D38+D44+D51+D59</f>
        <v>903.7918447536789</v>
      </c>
      <c r="E71" s="392">
        <f t="shared" si="58"/>
        <v>272041.34527085733</v>
      </c>
      <c r="F71" s="392">
        <f t="shared" si="58"/>
        <v>250350.34099676902</v>
      </c>
      <c r="G71" s="392">
        <f t="shared" si="58"/>
        <v>254869.30022053744</v>
      </c>
      <c r="H71" s="392">
        <f t="shared" si="58"/>
        <v>257580.67575479849</v>
      </c>
      <c r="I71" s="392">
        <f t="shared" si="58"/>
        <v>300962.68430297507</v>
      </c>
      <c r="J71" s="392">
        <f t="shared" si="58"/>
        <v>380496.36664129881</v>
      </c>
      <c r="K71" s="392">
        <f t="shared" si="58"/>
        <v>252157.92468627638</v>
      </c>
      <c r="L71" s="392">
        <f t="shared" si="58"/>
        <v>259388.25944430582</v>
      </c>
      <c r="M71" s="392">
        <f t="shared" si="58"/>
        <v>311808.18644001923</v>
      </c>
      <c r="N71" s="392">
        <f t="shared" si="58"/>
        <v>403994.95460489439</v>
      </c>
      <c r="O71" s="392">
        <f t="shared" si="58"/>
        <v>395860.82800211135</v>
      </c>
      <c r="P71" s="392">
        <f t="shared" si="58"/>
        <v>353382.61129868845</v>
      </c>
      <c r="Q71" s="392">
        <f>Q7+Q9+Q19+Q38+Q44+Q51+Q59</f>
        <v>3692893.4776635314</v>
      </c>
      <c r="R71" s="157">
        <f t="shared" ref="R71:R75" si="59">C71-Q71</f>
        <v>0</v>
      </c>
    </row>
    <row r="72" spans="1:19" x14ac:dyDescent="0.2">
      <c r="B72" s="278" t="s">
        <v>925</v>
      </c>
      <c r="C72" s="225">
        <f>C12+C27+C39+C46+C52+C60+C66</f>
        <v>13416593.096264001</v>
      </c>
      <c r="D72" s="225">
        <f t="shared" ref="D72" si="60">D12+D27+D39+D46+D52+D60</f>
        <v>460.13401086477575</v>
      </c>
      <c r="E72" s="225">
        <f t="shared" ref="E72:Q72" si="61">E12+E27+E39+E46+E52+E60+E66</f>
        <v>1095057.3898938419</v>
      </c>
      <c r="F72" s="225">
        <f t="shared" si="61"/>
        <v>1037769.3604766658</v>
      </c>
      <c r="G72" s="225">
        <f t="shared" si="61"/>
        <v>994967.95918797073</v>
      </c>
      <c r="H72" s="225">
        <f t="shared" si="61"/>
        <v>1110860.9842158216</v>
      </c>
      <c r="I72" s="225">
        <f t="shared" si="61"/>
        <v>1133249.4095052932</v>
      </c>
      <c r="J72" s="225">
        <f t="shared" si="61"/>
        <v>1234655.8064046628</v>
      </c>
      <c r="K72" s="225">
        <f t="shared" si="61"/>
        <v>1143785.1390532795</v>
      </c>
      <c r="L72" s="225">
        <f t="shared" si="61"/>
        <v>1221486.1444696796</v>
      </c>
      <c r="M72" s="225">
        <f t="shared" si="61"/>
        <v>1104934.6363450794</v>
      </c>
      <c r="N72" s="225">
        <f t="shared" si="61"/>
        <v>994309.47609122167</v>
      </c>
      <c r="O72" s="225">
        <f t="shared" si="61"/>
        <v>1154979.3516980151</v>
      </c>
      <c r="P72" s="225">
        <f t="shared" si="61"/>
        <v>1190537.4389224693</v>
      </c>
      <c r="Q72" s="225">
        <f t="shared" si="61"/>
        <v>13416593.096264001</v>
      </c>
      <c r="R72" s="157">
        <f t="shared" si="59"/>
        <v>0</v>
      </c>
    </row>
    <row r="73" spans="1:19" x14ac:dyDescent="0.2">
      <c r="B73" s="278" t="s">
        <v>926</v>
      </c>
      <c r="C73" s="225">
        <f>C10+C25+C40+C47+C53+C61+C67</f>
        <v>1044513.7118151863</v>
      </c>
      <c r="D73" s="225">
        <f t="shared" ref="D73:Q73" si="62">D10+D25+D40+D47+D53+D61+D67</f>
        <v>255.63233279862612</v>
      </c>
      <c r="E73" s="392">
        <f t="shared" si="62"/>
        <v>76945.332172386465</v>
      </c>
      <c r="F73" s="392">
        <f t="shared" si="62"/>
        <v>70810.156185219443</v>
      </c>
      <c r="G73" s="392">
        <f t="shared" si="62"/>
        <v>72088.317849212573</v>
      </c>
      <c r="H73" s="392">
        <f t="shared" si="62"/>
        <v>72855.21484760844</v>
      </c>
      <c r="I73" s="392">
        <f t="shared" si="62"/>
        <v>85125.566821942513</v>
      </c>
      <c r="J73" s="392">
        <f t="shared" si="62"/>
        <v>107621.2121082216</v>
      </c>
      <c r="K73" s="392">
        <f t="shared" si="62"/>
        <v>71321.420850816692</v>
      </c>
      <c r="L73" s="392">
        <f t="shared" si="62"/>
        <v>73366.479513205704</v>
      </c>
      <c r="M73" s="392">
        <f t="shared" si="62"/>
        <v>88193.15481552601</v>
      </c>
      <c r="N73" s="392">
        <f t="shared" si="62"/>
        <v>114267.65276098589</v>
      </c>
      <c r="O73" s="392">
        <f t="shared" si="62"/>
        <v>111966.96176579825</v>
      </c>
      <c r="P73" s="392">
        <f t="shared" si="62"/>
        <v>99952.242124262819</v>
      </c>
      <c r="Q73" s="392">
        <f t="shared" si="62"/>
        <v>1044513.7118151863</v>
      </c>
      <c r="R73" s="157">
        <f t="shared" si="59"/>
        <v>0</v>
      </c>
    </row>
    <row r="74" spans="1:19" x14ac:dyDescent="0.2">
      <c r="B74" s="278" t="s">
        <v>929</v>
      </c>
      <c r="C74" s="225">
        <f>C21+C22+C23</f>
        <v>-596418</v>
      </c>
      <c r="D74" s="225">
        <f t="shared" ref="D74:Q74" si="63">D21+D22+D23</f>
        <v>-145.96622613803231</v>
      </c>
      <c r="E74" s="392">
        <f t="shared" si="63"/>
        <v>-43935.834067547723</v>
      </c>
      <c r="F74" s="392">
        <f t="shared" si="63"/>
        <v>-40432.644640234954</v>
      </c>
      <c r="G74" s="392">
        <f t="shared" si="63"/>
        <v>-41162.475770925113</v>
      </c>
      <c r="H74" s="392">
        <f t="shared" si="63"/>
        <v>-41600.374449339208</v>
      </c>
      <c r="I74" s="392">
        <f t="shared" si="63"/>
        <v>-48606.753303964761</v>
      </c>
      <c r="J74" s="392">
        <f t="shared" si="63"/>
        <v>-61451.781204111605</v>
      </c>
      <c r="K74" s="392">
        <f t="shared" si="63"/>
        <v>-40724.577092511019</v>
      </c>
      <c r="L74" s="392">
        <f t="shared" si="63"/>
        <v>-41892.306901615273</v>
      </c>
      <c r="M74" s="392">
        <f t="shared" si="63"/>
        <v>-50358.348017621145</v>
      </c>
      <c r="N74" s="392">
        <f t="shared" si="63"/>
        <v>-65246.903083700447</v>
      </c>
      <c r="O74" s="392">
        <f t="shared" si="63"/>
        <v>-63933.207048458156</v>
      </c>
      <c r="P74" s="392">
        <f t="shared" si="63"/>
        <v>-57072.79441997064</v>
      </c>
      <c r="Q74" s="392">
        <f t="shared" si="63"/>
        <v>-596418</v>
      </c>
      <c r="R74" s="157">
        <f t="shared" si="59"/>
        <v>0</v>
      </c>
    </row>
    <row r="75" spans="1:19" x14ac:dyDescent="0.2">
      <c r="C75" s="240">
        <f>SUM(C71:C74)</f>
        <v>17557582.285742719</v>
      </c>
      <c r="D75" s="240">
        <f t="shared" ref="D75:Q75" si="64">SUM(D71:D74)</f>
        <v>1473.5919622790484</v>
      </c>
      <c r="E75" s="393">
        <f t="shared" si="64"/>
        <v>1400108.2332695378</v>
      </c>
      <c r="F75" s="393">
        <f t="shared" si="64"/>
        <v>1318497.2130184195</v>
      </c>
      <c r="G75" s="393">
        <f t="shared" si="64"/>
        <v>1280763.1014867956</v>
      </c>
      <c r="H75" s="393">
        <f t="shared" si="64"/>
        <v>1399696.5003688894</v>
      </c>
      <c r="I75" s="393">
        <f t="shared" si="64"/>
        <v>1470730.9073262459</v>
      </c>
      <c r="J75" s="393">
        <f t="shared" si="64"/>
        <v>1661321.6039500716</v>
      </c>
      <c r="K75" s="393">
        <f t="shared" si="64"/>
        <v>1426539.9074978614</v>
      </c>
      <c r="L75" s="393">
        <f t="shared" si="64"/>
        <v>1512348.5765255757</v>
      </c>
      <c r="M75" s="393">
        <f t="shared" si="64"/>
        <v>1454577.6295830035</v>
      </c>
      <c r="N75" s="393">
        <f t="shared" si="64"/>
        <v>1447325.1803734016</v>
      </c>
      <c r="O75" s="393">
        <f t="shared" si="64"/>
        <v>1598873.9344174666</v>
      </c>
      <c r="P75" s="393">
        <f t="shared" si="64"/>
        <v>1586799.4979254499</v>
      </c>
      <c r="Q75" s="393">
        <f t="shared" si="64"/>
        <v>17557582.285742719</v>
      </c>
      <c r="R75" s="157">
        <f t="shared" si="59"/>
        <v>0</v>
      </c>
    </row>
    <row r="77" spans="1:19" x14ac:dyDescent="0.2">
      <c r="C77" s="225">
        <f>C16+C29+C35+C41+C48+C56+C62+C68</f>
        <v>17557582.285742719</v>
      </c>
    </row>
  </sheetData>
  <mergeCells count="1">
    <mergeCell ref="A5:D5"/>
  </mergeCells>
  <printOptions gridLines="1"/>
  <pageMargins left="0.25" right="0.25" top="0.75" bottom="0.75" header="0.3" footer="0.3"/>
  <pageSetup scale="52" orientation="landscape" r:id="rId1"/>
  <headerFooter alignWithMargins="0">
    <oddHeader xml:space="preserve">&amp;C&amp;"Arial,Bold"&amp;14DOCTORS MEMORIAL HOSPITAL
FY 2017 BUDGET
</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Z68"/>
  <sheetViews>
    <sheetView zoomScale="80" zoomScaleNormal="80" workbookViewId="0">
      <pane xSplit="2" ySplit="3" topLeftCell="E4" activePane="bottomRight" state="frozen"/>
      <selection pane="topRight" activeCell="C1" sqref="C1"/>
      <selection pane="bottomLeft" activeCell="A4" sqref="A4"/>
      <selection pane="bottomRight" activeCell="R35" sqref="R35"/>
    </sheetView>
  </sheetViews>
  <sheetFormatPr defaultRowHeight="12.75" x14ac:dyDescent="0.2"/>
  <cols>
    <col min="1" max="1" width="10.28515625" style="213" bestFit="1" customWidth="1"/>
    <col min="2" max="2" width="20.5703125" style="214" customWidth="1"/>
    <col min="3" max="3" width="12" style="215" customWidth="1"/>
    <col min="4" max="4" width="8.140625" style="215" customWidth="1"/>
    <col min="5" max="5" width="3.5703125" style="216" customWidth="1"/>
    <col min="6" max="6" width="11.140625" style="237" bestFit="1" customWidth="1"/>
    <col min="7" max="17" width="11.140625" style="218" bestFit="1" customWidth="1"/>
    <col min="18" max="18" width="12.85546875" style="221" bestFit="1" customWidth="1"/>
    <col min="19" max="19" width="12" style="221" customWidth="1"/>
    <col min="20" max="27" width="12.7109375" style="218" customWidth="1"/>
    <col min="28" max="38" width="12.7109375" style="151" customWidth="1"/>
    <col min="39" max="49" width="9.85546875" style="151" bestFit="1" customWidth="1"/>
    <col min="50" max="50" width="11.140625" style="151" bestFit="1" customWidth="1"/>
    <col min="51" max="65" width="9.140625" style="151"/>
    <col min="66" max="66" width="9.85546875" style="151" bestFit="1" customWidth="1"/>
    <col min="67" max="68" width="9.140625" style="151"/>
    <col min="69" max="69" width="9.140625" style="218"/>
    <col min="70" max="81" width="9.140625" style="151"/>
    <col min="82" max="82" width="9.85546875" style="151" bestFit="1" customWidth="1"/>
    <col min="83" max="97" width="9.140625" style="151"/>
    <col min="98" max="98" width="9.85546875" style="151" bestFit="1" customWidth="1"/>
    <col min="99" max="113" width="9.140625" style="151"/>
    <col min="114" max="114" width="9.85546875" style="151" bestFit="1" customWidth="1"/>
    <col min="115" max="116" width="9.140625" style="151"/>
    <col min="117" max="117" width="11" style="151" bestFit="1" customWidth="1"/>
    <col min="118" max="122" width="11.140625" style="151" bestFit="1" customWidth="1"/>
    <col min="123" max="123" width="9.85546875" style="151" bestFit="1" customWidth="1"/>
    <col min="124" max="128" width="11.140625" style="151" bestFit="1" customWidth="1"/>
    <col min="129" max="129" width="12" style="151" bestFit="1" customWidth="1"/>
    <col min="130" max="130" width="11" style="151" bestFit="1" customWidth="1"/>
    <col min="131" max="243" width="9.140625" style="151"/>
    <col min="244" max="244" width="8.28515625" style="151" bestFit="1" customWidth="1"/>
    <col min="245" max="245" width="26" style="151" bestFit="1" customWidth="1"/>
    <col min="246" max="246" width="12" style="151" customWidth="1"/>
    <col min="247" max="247" width="8.140625" style="151" customWidth="1"/>
    <col min="248" max="248" width="11.140625" style="151" customWidth="1"/>
    <col min="249" max="249" width="8.28515625" style="151" customWidth="1"/>
    <col min="250" max="250" width="9.85546875" style="151" customWidth="1"/>
    <col min="251" max="251" width="8" style="151" customWidth="1"/>
    <col min="252" max="252" width="9.85546875" style="151" customWidth="1"/>
    <col min="253" max="253" width="6" style="151" customWidth="1"/>
    <col min="254" max="254" width="11.140625" style="151" customWidth="1"/>
    <col min="255" max="255" width="6.85546875" style="151" customWidth="1"/>
    <col min="256" max="256" width="11.7109375" style="151" customWidth="1"/>
    <col min="257" max="257" width="7.140625" style="151" customWidth="1"/>
    <col min="258" max="258" width="9" style="151" customWidth="1"/>
    <col min="259" max="259" width="7.140625" style="151" customWidth="1"/>
    <col min="260" max="260" width="12" style="151" customWidth="1"/>
    <col min="261" max="261" width="12.7109375" style="151" customWidth="1"/>
    <col min="262" max="273" width="11.140625" style="151" bestFit="1" customWidth="1"/>
    <col min="274" max="274" width="12" style="151" bestFit="1" customWidth="1"/>
    <col min="275" max="275" width="10" style="151" bestFit="1" customWidth="1"/>
    <col min="276" max="294" width="12.7109375" style="151" customWidth="1"/>
    <col min="295" max="305" width="9.85546875" style="151" bestFit="1" customWidth="1"/>
    <col min="306" max="306" width="11.140625" style="151" bestFit="1" customWidth="1"/>
    <col min="307" max="321" width="9.140625" style="151"/>
    <col min="322" max="322" width="9.85546875" style="151" bestFit="1" customWidth="1"/>
    <col min="323" max="337" width="9.140625" style="151"/>
    <col min="338" max="338" width="9.85546875" style="151" bestFit="1" customWidth="1"/>
    <col min="339" max="353" width="9.140625" style="151"/>
    <col min="354" max="354" width="9.85546875" style="151" bestFit="1" customWidth="1"/>
    <col min="355" max="369" width="9.140625" style="151"/>
    <col min="370" max="370" width="9.85546875" style="151" bestFit="1" customWidth="1"/>
    <col min="371" max="372" width="9.140625" style="151"/>
    <col min="373" max="373" width="11" style="151" bestFit="1" customWidth="1"/>
    <col min="374" max="378" width="11.140625" style="151" bestFit="1" customWidth="1"/>
    <col min="379" max="379" width="9.85546875" style="151" bestFit="1" customWidth="1"/>
    <col min="380" max="384" width="11.140625" style="151" bestFit="1" customWidth="1"/>
    <col min="385" max="385" width="12" style="151" bestFit="1" customWidth="1"/>
    <col min="386" max="386" width="11" style="151" bestFit="1" customWidth="1"/>
    <col min="387" max="499" width="9.140625" style="151"/>
    <col min="500" max="500" width="8.28515625" style="151" bestFit="1" customWidth="1"/>
    <col min="501" max="501" width="26" style="151" bestFit="1" customWidth="1"/>
    <col min="502" max="502" width="12" style="151" customWidth="1"/>
    <col min="503" max="503" width="8.140625" style="151" customWidth="1"/>
    <col min="504" max="504" width="11.140625" style="151" customWidth="1"/>
    <col min="505" max="505" width="8.28515625" style="151" customWidth="1"/>
    <col min="506" max="506" width="9.85546875" style="151" customWidth="1"/>
    <col min="507" max="507" width="8" style="151" customWidth="1"/>
    <col min="508" max="508" width="9.85546875" style="151" customWidth="1"/>
    <col min="509" max="509" width="6" style="151" customWidth="1"/>
    <col min="510" max="510" width="11.140625" style="151" customWidth="1"/>
    <col min="511" max="511" width="6.85546875" style="151" customWidth="1"/>
    <col min="512" max="512" width="11.7109375" style="151" customWidth="1"/>
    <col min="513" max="513" width="7.140625" style="151" customWidth="1"/>
    <col min="514" max="514" width="9" style="151" customWidth="1"/>
    <col min="515" max="515" width="7.140625" style="151" customWidth="1"/>
    <col min="516" max="516" width="12" style="151" customWidth="1"/>
    <col min="517" max="517" width="12.7109375" style="151" customWidth="1"/>
    <col min="518" max="529" width="11.140625" style="151" bestFit="1" customWidth="1"/>
    <col min="530" max="530" width="12" style="151" bestFit="1" customWidth="1"/>
    <col min="531" max="531" width="10" style="151" bestFit="1" customWidth="1"/>
    <col min="532" max="550" width="12.7109375" style="151" customWidth="1"/>
    <col min="551" max="561" width="9.85546875" style="151" bestFit="1" customWidth="1"/>
    <col min="562" max="562" width="11.140625" style="151" bestFit="1" customWidth="1"/>
    <col min="563" max="577" width="9.140625" style="151"/>
    <col min="578" max="578" width="9.85546875" style="151" bestFit="1" customWidth="1"/>
    <col min="579" max="593" width="9.140625" style="151"/>
    <col min="594" max="594" width="9.85546875" style="151" bestFit="1" customWidth="1"/>
    <col min="595" max="609" width="9.140625" style="151"/>
    <col min="610" max="610" width="9.85546875" style="151" bestFit="1" customWidth="1"/>
    <col min="611" max="625" width="9.140625" style="151"/>
    <col min="626" max="626" width="9.85546875" style="151" bestFit="1" customWidth="1"/>
    <col min="627" max="628" width="9.140625" style="151"/>
    <col min="629" max="629" width="11" style="151" bestFit="1" customWidth="1"/>
    <col min="630" max="634" width="11.140625" style="151" bestFit="1" customWidth="1"/>
    <col min="635" max="635" width="9.85546875" style="151" bestFit="1" customWidth="1"/>
    <col min="636" max="640" width="11.140625" style="151" bestFit="1" customWidth="1"/>
    <col min="641" max="641" width="12" style="151" bestFit="1" customWidth="1"/>
    <col min="642" max="642" width="11" style="151" bestFit="1" customWidth="1"/>
    <col min="643" max="755" width="9.140625" style="151"/>
    <col min="756" max="756" width="8.28515625" style="151" bestFit="1" customWidth="1"/>
    <col min="757" max="757" width="26" style="151" bestFit="1" customWidth="1"/>
    <col min="758" max="758" width="12" style="151" customWidth="1"/>
    <col min="759" max="759" width="8.140625" style="151" customWidth="1"/>
    <col min="760" max="760" width="11.140625" style="151" customWidth="1"/>
    <col min="761" max="761" width="8.28515625" style="151" customWidth="1"/>
    <col min="762" max="762" width="9.85546875" style="151" customWidth="1"/>
    <col min="763" max="763" width="8" style="151" customWidth="1"/>
    <col min="764" max="764" width="9.85546875" style="151" customWidth="1"/>
    <col min="765" max="765" width="6" style="151" customWidth="1"/>
    <col min="766" max="766" width="11.140625" style="151" customWidth="1"/>
    <col min="767" max="767" width="6.85546875" style="151" customWidth="1"/>
    <col min="768" max="768" width="11.7109375" style="151" customWidth="1"/>
    <col min="769" max="769" width="7.140625" style="151" customWidth="1"/>
    <col min="770" max="770" width="9" style="151" customWidth="1"/>
    <col min="771" max="771" width="7.140625" style="151" customWidth="1"/>
    <col min="772" max="772" width="12" style="151" customWidth="1"/>
    <col min="773" max="773" width="12.7109375" style="151" customWidth="1"/>
    <col min="774" max="785" width="11.140625" style="151" bestFit="1" customWidth="1"/>
    <col min="786" max="786" width="12" style="151" bestFit="1" customWidth="1"/>
    <col min="787" max="787" width="10" style="151" bestFit="1" customWidth="1"/>
    <col min="788" max="806" width="12.7109375" style="151" customWidth="1"/>
    <col min="807" max="817" width="9.85546875" style="151" bestFit="1" customWidth="1"/>
    <col min="818" max="818" width="11.140625" style="151" bestFit="1" customWidth="1"/>
    <col min="819" max="833" width="9.140625" style="151"/>
    <col min="834" max="834" width="9.85546875" style="151" bestFit="1" customWidth="1"/>
    <col min="835" max="849" width="9.140625" style="151"/>
    <col min="850" max="850" width="9.85546875" style="151" bestFit="1" customWidth="1"/>
    <col min="851" max="865" width="9.140625" style="151"/>
    <col min="866" max="866" width="9.85546875" style="151" bestFit="1" customWidth="1"/>
    <col min="867" max="881" width="9.140625" style="151"/>
    <col min="882" max="882" width="9.85546875" style="151" bestFit="1" customWidth="1"/>
    <col min="883" max="884" width="9.140625" style="151"/>
    <col min="885" max="885" width="11" style="151" bestFit="1" customWidth="1"/>
    <col min="886" max="890" width="11.140625" style="151" bestFit="1" customWidth="1"/>
    <col min="891" max="891" width="9.85546875" style="151" bestFit="1" customWidth="1"/>
    <col min="892" max="896" width="11.140625" style="151" bestFit="1" customWidth="1"/>
    <col min="897" max="897" width="12" style="151" bestFit="1" customWidth="1"/>
    <col min="898" max="898" width="11" style="151" bestFit="1" customWidth="1"/>
    <col min="899" max="1011" width="9.140625" style="151"/>
    <col min="1012" max="1012" width="8.28515625" style="151" bestFit="1" customWidth="1"/>
    <col min="1013" max="1013" width="26" style="151" bestFit="1" customWidth="1"/>
    <col min="1014" max="1014" width="12" style="151" customWidth="1"/>
    <col min="1015" max="1015" width="8.140625" style="151" customWidth="1"/>
    <col min="1016" max="1016" width="11.140625" style="151" customWidth="1"/>
    <col min="1017" max="1017" width="8.28515625" style="151" customWidth="1"/>
    <col min="1018" max="1018" width="9.85546875" style="151" customWidth="1"/>
    <col min="1019" max="1019" width="8" style="151" customWidth="1"/>
    <col min="1020" max="1020" width="9.85546875" style="151" customWidth="1"/>
    <col min="1021" max="1021" width="6" style="151" customWidth="1"/>
    <col min="1022" max="1022" width="11.140625" style="151" customWidth="1"/>
    <col min="1023" max="1023" width="6.85546875" style="151" customWidth="1"/>
    <col min="1024" max="1024" width="11.7109375" style="151" customWidth="1"/>
    <col min="1025" max="1025" width="7.140625" style="151" customWidth="1"/>
    <col min="1026" max="1026" width="9" style="151" customWidth="1"/>
    <col min="1027" max="1027" width="7.140625" style="151" customWidth="1"/>
    <col min="1028" max="1028" width="12" style="151" customWidth="1"/>
    <col min="1029" max="1029" width="12.7109375" style="151" customWidth="1"/>
    <col min="1030" max="1041" width="11.140625" style="151" bestFit="1" customWidth="1"/>
    <col min="1042" max="1042" width="12" style="151" bestFit="1" customWidth="1"/>
    <col min="1043" max="1043" width="10" style="151" bestFit="1" customWidth="1"/>
    <col min="1044" max="1062" width="12.7109375" style="151" customWidth="1"/>
    <col min="1063" max="1073" width="9.85546875" style="151" bestFit="1" customWidth="1"/>
    <col min="1074" max="1074" width="11.140625" style="151" bestFit="1" customWidth="1"/>
    <col min="1075" max="1089" width="9.140625" style="151"/>
    <col min="1090" max="1090" width="9.85546875" style="151" bestFit="1" customWidth="1"/>
    <col min="1091" max="1105" width="9.140625" style="151"/>
    <col min="1106" max="1106" width="9.85546875" style="151" bestFit="1" customWidth="1"/>
    <col min="1107" max="1121" width="9.140625" style="151"/>
    <col min="1122" max="1122" width="9.85546875" style="151" bestFit="1" customWidth="1"/>
    <col min="1123" max="1137" width="9.140625" style="151"/>
    <col min="1138" max="1138" width="9.85546875" style="151" bestFit="1" customWidth="1"/>
    <col min="1139" max="1140" width="9.140625" style="151"/>
    <col min="1141" max="1141" width="11" style="151" bestFit="1" customWidth="1"/>
    <col min="1142" max="1146" width="11.140625" style="151" bestFit="1" customWidth="1"/>
    <col min="1147" max="1147" width="9.85546875" style="151" bestFit="1" customWidth="1"/>
    <col min="1148" max="1152" width="11.140625" style="151" bestFit="1" customWidth="1"/>
    <col min="1153" max="1153" width="12" style="151" bestFit="1" customWidth="1"/>
    <col min="1154" max="1154" width="11" style="151" bestFit="1" customWidth="1"/>
    <col min="1155" max="1267" width="9.140625" style="151"/>
    <col min="1268" max="1268" width="8.28515625" style="151" bestFit="1" customWidth="1"/>
    <col min="1269" max="1269" width="26" style="151" bestFit="1" customWidth="1"/>
    <col min="1270" max="1270" width="12" style="151" customWidth="1"/>
    <col min="1271" max="1271" width="8.140625" style="151" customWidth="1"/>
    <col min="1272" max="1272" width="11.140625" style="151" customWidth="1"/>
    <col min="1273" max="1273" width="8.28515625" style="151" customWidth="1"/>
    <col min="1274" max="1274" width="9.85546875" style="151" customWidth="1"/>
    <col min="1275" max="1275" width="8" style="151" customWidth="1"/>
    <col min="1276" max="1276" width="9.85546875" style="151" customWidth="1"/>
    <col min="1277" max="1277" width="6" style="151" customWidth="1"/>
    <col min="1278" max="1278" width="11.140625" style="151" customWidth="1"/>
    <col min="1279" max="1279" width="6.85546875" style="151" customWidth="1"/>
    <col min="1280" max="1280" width="11.7109375" style="151" customWidth="1"/>
    <col min="1281" max="1281" width="7.140625" style="151" customWidth="1"/>
    <col min="1282" max="1282" width="9" style="151" customWidth="1"/>
    <col min="1283" max="1283" width="7.140625" style="151" customWidth="1"/>
    <col min="1284" max="1284" width="12" style="151" customWidth="1"/>
    <col min="1285" max="1285" width="12.7109375" style="151" customWidth="1"/>
    <col min="1286" max="1297" width="11.140625" style="151" bestFit="1" customWidth="1"/>
    <col min="1298" max="1298" width="12" style="151" bestFit="1" customWidth="1"/>
    <col min="1299" max="1299" width="10" style="151" bestFit="1" customWidth="1"/>
    <col min="1300" max="1318" width="12.7109375" style="151" customWidth="1"/>
    <col min="1319" max="1329" width="9.85546875" style="151" bestFit="1" customWidth="1"/>
    <col min="1330" max="1330" width="11.140625" style="151" bestFit="1" customWidth="1"/>
    <col min="1331" max="1345" width="9.140625" style="151"/>
    <col min="1346" max="1346" width="9.85546875" style="151" bestFit="1" customWidth="1"/>
    <col min="1347" max="1361" width="9.140625" style="151"/>
    <col min="1362" max="1362" width="9.85546875" style="151" bestFit="1" customWidth="1"/>
    <col min="1363" max="1377" width="9.140625" style="151"/>
    <col min="1378" max="1378" width="9.85546875" style="151" bestFit="1" customWidth="1"/>
    <col min="1379" max="1393" width="9.140625" style="151"/>
    <col min="1394" max="1394" width="9.85546875" style="151" bestFit="1" customWidth="1"/>
    <col min="1395" max="1396" width="9.140625" style="151"/>
    <col min="1397" max="1397" width="11" style="151" bestFit="1" customWidth="1"/>
    <col min="1398" max="1402" width="11.140625" style="151" bestFit="1" customWidth="1"/>
    <col min="1403" max="1403" width="9.85546875" style="151" bestFit="1" customWidth="1"/>
    <col min="1404" max="1408" width="11.140625" style="151" bestFit="1" customWidth="1"/>
    <col min="1409" max="1409" width="12" style="151" bestFit="1" customWidth="1"/>
    <col min="1410" max="1410" width="11" style="151" bestFit="1" customWidth="1"/>
    <col min="1411" max="1523" width="9.140625" style="151"/>
    <col min="1524" max="1524" width="8.28515625" style="151" bestFit="1" customWidth="1"/>
    <col min="1525" max="1525" width="26" style="151" bestFit="1" customWidth="1"/>
    <col min="1526" max="1526" width="12" style="151" customWidth="1"/>
    <col min="1527" max="1527" width="8.140625" style="151" customWidth="1"/>
    <col min="1528" max="1528" width="11.140625" style="151" customWidth="1"/>
    <col min="1529" max="1529" width="8.28515625" style="151" customWidth="1"/>
    <col min="1530" max="1530" width="9.85546875" style="151" customWidth="1"/>
    <col min="1531" max="1531" width="8" style="151" customWidth="1"/>
    <col min="1532" max="1532" width="9.85546875" style="151" customWidth="1"/>
    <col min="1533" max="1533" width="6" style="151" customWidth="1"/>
    <col min="1534" max="1534" width="11.140625" style="151" customWidth="1"/>
    <col min="1535" max="1535" width="6.85546875" style="151" customWidth="1"/>
    <col min="1536" max="1536" width="11.7109375" style="151" customWidth="1"/>
    <col min="1537" max="1537" width="7.140625" style="151" customWidth="1"/>
    <col min="1538" max="1538" width="9" style="151" customWidth="1"/>
    <col min="1539" max="1539" width="7.140625" style="151" customWidth="1"/>
    <col min="1540" max="1540" width="12" style="151" customWidth="1"/>
    <col min="1541" max="1541" width="12.7109375" style="151" customWidth="1"/>
    <col min="1542" max="1553" width="11.140625" style="151" bestFit="1" customWidth="1"/>
    <col min="1554" max="1554" width="12" style="151" bestFit="1" customWidth="1"/>
    <col min="1555" max="1555" width="10" style="151" bestFit="1" customWidth="1"/>
    <col min="1556" max="1574" width="12.7109375" style="151" customWidth="1"/>
    <col min="1575" max="1585" width="9.85546875" style="151" bestFit="1" customWidth="1"/>
    <col min="1586" max="1586" width="11.140625" style="151" bestFit="1" customWidth="1"/>
    <col min="1587" max="1601" width="9.140625" style="151"/>
    <col min="1602" max="1602" width="9.85546875" style="151" bestFit="1" customWidth="1"/>
    <col min="1603" max="1617" width="9.140625" style="151"/>
    <col min="1618" max="1618" width="9.85546875" style="151" bestFit="1" customWidth="1"/>
    <col min="1619" max="1633" width="9.140625" style="151"/>
    <col min="1634" max="1634" width="9.85546875" style="151" bestFit="1" customWidth="1"/>
    <col min="1635" max="1649" width="9.140625" style="151"/>
    <col min="1650" max="1650" width="9.85546875" style="151" bestFit="1" customWidth="1"/>
    <col min="1651" max="1652" width="9.140625" style="151"/>
    <col min="1653" max="1653" width="11" style="151" bestFit="1" customWidth="1"/>
    <col min="1654" max="1658" width="11.140625" style="151" bestFit="1" customWidth="1"/>
    <col min="1659" max="1659" width="9.85546875" style="151" bestFit="1" customWidth="1"/>
    <col min="1660" max="1664" width="11.140625" style="151" bestFit="1" customWidth="1"/>
    <col min="1665" max="1665" width="12" style="151" bestFit="1" customWidth="1"/>
    <col min="1666" max="1666" width="11" style="151" bestFit="1" customWidth="1"/>
    <col min="1667" max="1779" width="9.140625" style="151"/>
    <col min="1780" max="1780" width="8.28515625" style="151" bestFit="1" customWidth="1"/>
    <col min="1781" max="1781" width="26" style="151" bestFit="1" customWidth="1"/>
    <col min="1782" max="1782" width="12" style="151" customWidth="1"/>
    <col min="1783" max="1783" width="8.140625" style="151" customWidth="1"/>
    <col min="1784" max="1784" width="11.140625" style="151" customWidth="1"/>
    <col min="1785" max="1785" width="8.28515625" style="151" customWidth="1"/>
    <col min="1786" max="1786" width="9.85546875" style="151" customWidth="1"/>
    <col min="1787" max="1787" width="8" style="151" customWidth="1"/>
    <col min="1788" max="1788" width="9.85546875" style="151" customWidth="1"/>
    <col min="1789" max="1789" width="6" style="151" customWidth="1"/>
    <col min="1790" max="1790" width="11.140625" style="151" customWidth="1"/>
    <col min="1791" max="1791" width="6.85546875" style="151" customWidth="1"/>
    <col min="1792" max="1792" width="11.7109375" style="151" customWidth="1"/>
    <col min="1793" max="1793" width="7.140625" style="151" customWidth="1"/>
    <col min="1794" max="1794" width="9" style="151" customWidth="1"/>
    <col min="1795" max="1795" width="7.140625" style="151" customWidth="1"/>
    <col min="1796" max="1796" width="12" style="151" customWidth="1"/>
    <col min="1797" max="1797" width="12.7109375" style="151" customWidth="1"/>
    <col min="1798" max="1809" width="11.140625" style="151" bestFit="1" customWidth="1"/>
    <col min="1810" max="1810" width="12" style="151" bestFit="1" customWidth="1"/>
    <col min="1811" max="1811" width="10" style="151" bestFit="1" customWidth="1"/>
    <col min="1812" max="1830" width="12.7109375" style="151" customWidth="1"/>
    <col min="1831" max="1841" width="9.85546875" style="151" bestFit="1" customWidth="1"/>
    <col min="1842" max="1842" width="11.140625" style="151" bestFit="1" customWidth="1"/>
    <col min="1843" max="1857" width="9.140625" style="151"/>
    <col min="1858" max="1858" width="9.85546875" style="151" bestFit="1" customWidth="1"/>
    <col min="1859" max="1873" width="9.140625" style="151"/>
    <col min="1874" max="1874" width="9.85546875" style="151" bestFit="1" customWidth="1"/>
    <col min="1875" max="1889" width="9.140625" style="151"/>
    <col min="1890" max="1890" width="9.85546875" style="151" bestFit="1" customWidth="1"/>
    <col min="1891" max="1905" width="9.140625" style="151"/>
    <col min="1906" max="1906" width="9.85546875" style="151" bestFit="1" customWidth="1"/>
    <col min="1907" max="1908" width="9.140625" style="151"/>
    <col min="1909" max="1909" width="11" style="151" bestFit="1" customWidth="1"/>
    <col min="1910" max="1914" width="11.140625" style="151" bestFit="1" customWidth="1"/>
    <col min="1915" max="1915" width="9.85546875" style="151" bestFit="1" customWidth="1"/>
    <col min="1916" max="1920" width="11.140625" style="151" bestFit="1" customWidth="1"/>
    <col min="1921" max="1921" width="12" style="151" bestFit="1" customWidth="1"/>
    <col min="1922" max="1922" width="11" style="151" bestFit="1" customWidth="1"/>
    <col min="1923" max="2035" width="9.140625" style="151"/>
    <col min="2036" max="2036" width="8.28515625" style="151" bestFit="1" customWidth="1"/>
    <col min="2037" max="2037" width="26" style="151" bestFit="1" customWidth="1"/>
    <col min="2038" max="2038" width="12" style="151" customWidth="1"/>
    <col min="2039" max="2039" width="8.140625" style="151" customWidth="1"/>
    <col min="2040" max="2040" width="11.140625" style="151" customWidth="1"/>
    <col min="2041" max="2041" width="8.28515625" style="151" customWidth="1"/>
    <col min="2042" max="2042" width="9.85546875" style="151" customWidth="1"/>
    <col min="2043" max="2043" width="8" style="151" customWidth="1"/>
    <col min="2044" max="2044" width="9.85546875" style="151" customWidth="1"/>
    <col min="2045" max="2045" width="6" style="151" customWidth="1"/>
    <col min="2046" max="2046" width="11.140625" style="151" customWidth="1"/>
    <col min="2047" max="2047" width="6.85546875" style="151" customWidth="1"/>
    <col min="2048" max="2048" width="11.7109375" style="151" customWidth="1"/>
    <col min="2049" max="2049" width="7.140625" style="151" customWidth="1"/>
    <col min="2050" max="2050" width="9" style="151" customWidth="1"/>
    <col min="2051" max="2051" width="7.140625" style="151" customWidth="1"/>
    <col min="2052" max="2052" width="12" style="151" customWidth="1"/>
    <col min="2053" max="2053" width="12.7109375" style="151" customWidth="1"/>
    <col min="2054" max="2065" width="11.140625" style="151" bestFit="1" customWidth="1"/>
    <col min="2066" max="2066" width="12" style="151" bestFit="1" customWidth="1"/>
    <col min="2067" max="2067" width="10" style="151" bestFit="1" customWidth="1"/>
    <col min="2068" max="2086" width="12.7109375" style="151" customWidth="1"/>
    <col min="2087" max="2097" width="9.85546875" style="151" bestFit="1" customWidth="1"/>
    <col min="2098" max="2098" width="11.140625" style="151" bestFit="1" customWidth="1"/>
    <col min="2099" max="2113" width="9.140625" style="151"/>
    <col min="2114" max="2114" width="9.85546875" style="151" bestFit="1" customWidth="1"/>
    <col min="2115" max="2129" width="9.140625" style="151"/>
    <col min="2130" max="2130" width="9.85546875" style="151" bestFit="1" customWidth="1"/>
    <col min="2131" max="2145" width="9.140625" style="151"/>
    <col min="2146" max="2146" width="9.85546875" style="151" bestFit="1" customWidth="1"/>
    <col min="2147" max="2161" width="9.140625" style="151"/>
    <col min="2162" max="2162" width="9.85546875" style="151" bestFit="1" customWidth="1"/>
    <col min="2163" max="2164" width="9.140625" style="151"/>
    <col min="2165" max="2165" width="11" style="151" bestFit="1" customWidth="1"/>
    <col min="2166" max="2170" width="11.140625" style="151" bestFit="1" customWidth="1"/>
    <col min="2171" max="2171" width="9.85546875" style="151" bestFit="1" customWidth="1"/>
    <col min="2172" max="2176" width="11.140625" style="151" bestFit="1" customWidth="1"/>
    <col min="2177" max="2177" width="12" style="151" bestFit="1" customWidth="1"/>
    <col min="2178" max="2178" width="11" style="151" bestFit="1" customWidth="1"/>
    <col min="2179" max="2291" width="9.140625" style="151"/>
    <col min="2292" max="2292" width="8.28515625" style="151" bestFit="1" customWidth="1"/>
    <col min="2293" max="2293" width="26" style="151" bestFit="1" customWidth="1"/>
    <col min="2294" max="2294" width="12" style="151" customWidth="1"/>
    <col min="2295" max="2295" width="8.140625" style="151" customWidth="1"/>
    <col min="2296" max="2296" width="11.140625" style="151" customWidth="1"/>
    <col min="2297" max="2297" width="8.28515625" style="151" customWidth="1"/>
    <col min="2298" max="2298" width="9.85546875" style="151" customWidth="1"/>
    <col min="2299" max="2299" width="8" style="151" customWidth="1"/>
    <col min="2300" max="2300" width="9.85546875" style="151" customWidth="1"/>
    <col min="2301" max="2301" width="6" style="151" customWidth="1"/>
    <col min="2302" max="2302" width="11.140625" style="151" customWidth="1"/>
    <col min="2303" max="2303" width="6.85546875" style="151" customWidth="1"/>
    <col min="2304" max="2304" width="11.7109375" style="151" customWidth="1"/>
    <col min="2305" max="2305" width="7.140625" style="151" customWidth="1"/>
    <col min="2306" max="2306" width="9" style="151" customWidth="1"/>
    <col min="2307" max="2307" width="7.140625" style="151" customWidth="1"/>
    <col min="2308" max="2308" width="12" style="151" customWidth="1"/>
    <col min="2309" max="2309" width="12.7109375" style="151" customWidth="1"/>
    <col min="2310" max="2321" width="11.140625" style="151" bestFit="1" customWidth="1"/>
    <col min="2322" max="2322" width="12" style="151" bestFit="1" customWidth="1"/>
    <col min="2323" max="2323" width="10" style="151" bestFit="1" customWidth="1"/>
    <col min="2324" max="2342" width="12.7109375" style="151" customWidth="1"/>
    <col min="2343" max="2353" width="9.85546875" style="151" bestFit="1" customWidth="1"/>
    <col min="2354" max="2354" width="11.140625" style="151" bestFit="1" customWidth="1"/>
    <col min="2355" max="2369" width="9.140625" style="151"/>
    <col min="2370" max="2370" width="9.85546875" style="151" bestFit="1" customWidth="1"/>
    <col min="2371" max="2385" width="9.140625" style="151"/>
    <col min="2386" max="2386" width="9.85546875" style="151" bestFit="1" customWidth="1"/>
    <col min="2387" max="2401" width="9.140625" style="151"/>
    <col min="2402" max="2402" width="9.85546875" style="151" bestFit="1" customWidth="1"/>
    <col min="2403" max="2417" width="9.140625" style="151"/>
    <col min="2418" max="2418" width="9.85546875" style="151" bestFit="1" customWidth="1"/>
    <col min="2419" max="2420" width="9.140625" style="151"/>
    <col min="2421" max="2421" width="11" style="151" bestFit="1" customWidth="1"/>
    <col min="2422" max="2426" width="11.140625" style="151" bestFit="1" customWidth="1"/>
    <col min="2427" max="2427" width="9.85546875" style="151" bestFit="1" customWidth="1"/>
    <col min="2428" max="2432" width="11.140625" style="151" bestFit="1" customWidth="1"/>
    <col min="2433" max="2433" width="12" style="151" bestFit="1" customWidth="1"/>
    <col min="2434" max="2434" width="11" style="151" bestFit="1" customWidth="1"/>
    <col min="2435" max="2547" width="9.140625" style="151"/>
    <col min="2548" max="2548" width="8.28515625" style="151" bestFit="1" customWidth="1"/>
    <col min="2549" max="2549" width="26" style="151" bestFit="1" customWidth="1"/>
    <col min="2550" max="2550" width="12" style="151" customWidth="1"/>
    <col min="2551" max="2551" width="8.140625" style="151" customWidth="1"/>
    <col min="2552" max="2552" width="11.140625" style="151" customWidth="1"/>
    <col min="2553" max="2553" width="8.28515625" style="151" customWidth="1"/>
    <col min="2554" max="2554" width="9.85546875" style="151" customWidth="1"/>
    <col min="2555" max="2555" width="8" style="151" customWidth="1"/>
    <col min="2556" max="2556" width="9.85546875" style="151" customWidth="1"/>
    <col min="2557" max="2557" width="6" style="151" customWidth="1"/>
    <col min="2558" max="2558" width="11.140625" style="151" customWidth="1"/>
    <col min="2559" max="2559" width="6.85546875" style="151" customWidth="1"/>
    <col min="2560" max="2560" width="11.7109375" style="151" customWidth="1"/>
    <col min="2561" max="2561" width="7.140625" style="151" customWidth="1"/>
    <col min="2562" max="2562" width="9" style="151" customWidth="1"/>
    <col min="2563" max="2563" width="7.140625" style="151" customWidth="1"/>
    <col min="2564" max="2564" width="12" style="151" customWidth="1"/>
    <col min="2565" max="2565" width="12.7109375" style="151" customWidth="1"/>
    <col min="2566" max="2577" width="11.140625" style="151" bestFit="1" customWidth="1"/>
    <col min="2578" max="2578" width="12" style="151" bestFit="1" customWidth="1"/>
    <col min="2579" max="2579" width="10" style="151" bestFit="1" customWidth="1"/>
    <col min="2580" max="2598" width="12.7109375" style="151" customWidth="1"/>
    <col min="2599" max="2609" width="9.85546875" style="151" bestFit="1" customWidth="1"/>
    <col min="2610" max="2610" width="11.140625" style="151" bestFit="1" customWidth="1"/>
    <col min="2611" max="2625" width="9.140625" style="151"/>
    <col min="2626" max="2626" width="9.85546875" style="151" bestFit="1" customWidth="1"/>
    <col min="2627" max="2641" width="9.140625" style="151"/>
    <col min="2642" max="2642" width="9.85546875" style="151" bestFit="1" customWidth="1"/>
    <col min="2643" max="2657" width="9.140625" style="151"/>
    <col min="2658" max="2658" width="9.85546875" style="151" bestFit="1" customWidth="1"/>
    <col min="2659" max="2673" width="9.140625" style="151"/>
    <col min="2674" max="2674" width="9.85546875" style="151" bestFit="1" customWidth="1"/>
    <col min="2675" max="2676" width="9.140625" style="151"/>
    <col min="2677" max="2677" width="11" style="151" bestFit="1" customWidth="1"/>
    <col min="2678" max="2682" width="11.140625" style="151" bestFit="1" customWidth="1"/>
    <col min="2683" max="2683" width="9.85546875" style="151" bestFit="1" customWidth="1"/>
    <col min="2684" max="2688" width="11.140625" style="151" bestFit="1" customWidth="1"/>
    <col min="2689" max="2689" width="12" style="151" bestFit="1" customWidth="1"/>
    <col min="2690" max="2690" width="11" style="151" bestFit="1" customWidth="1"/>
    <col min="2691" max="2803" width="9.140625" style="151"/>
    <col min="2804" max="2804" width="8.28515625" style="151" bestFit="1" customWidth="1"/>
    <col min="2805" max="2805" width="26" style="151" bestFit="1" customWidth="1"/>
    <col min="2806" max="2806" width="12" style="151" customWidth="1"/>
    <col min="2807" max="2807" width="8.140625" style="151" customWidth="1"/>
    <col min="2808" max="2808" width="11.140625" style="151" customWidth="1"/>
    <col min="2809" max="2809" width="8.28515625" style="151" customWidth="1"/>
    <col min="2810" max="2810" width="9.85546875" style="151" customWidth="1"/>
    <col min="2811" max="2811" width="8" style="151" customWidth="1"/>
    <col min="2812" max="2812" width="9.85546875" style="151" customWidth="1"/>
    <col min="2813" max="2813" width="6" style="151" customWidth="1"/>
    <col min="2814" max="2814" width="11.140625" style="151" customWidth="1"/>
    <col min="2815" max="2815" width="6.85546875" style="151" customWidth="1"/>
    <col min="2816" max="2816" width="11.7109375" style="151" customWidth="1"/>
    <col min="2817" max="2817" width="7.140625" style="151" customWidth="1"/>
    <col min="2818" max="2818" width="9" style="151" customWidth="1"/>
    <col min="2819" max="2819" width="7.140625" style="151" customWidth="1"/>
    <col min="2820" max="2820" width="12" style="151" customWidth="1"/>
    <col min="2821" max="2821" width="12.7109375" style="151" customWidth="1"/>
    <col min="2822" max="2833" width="11.140625" style="151" bestFit="1" customWidth="1"/>
    <col min="2834" max="2834" width="12" style="151" bestFit="1" customWidth="1"/>
    <col min="2835" max="2835" width="10" style="151" bestFit="1" customWidth="1"/>
    <col min="2836" max="2854" width="12.7109375" style="151" customWidth="1"/>
    <col min="2855" max="2865" width="9.85546875" style="151" bestFit="1" customWidth="1"/>
    <col min="2866" max="2866" width="11.140625" style="151" bestFit="1" customWidth="1"/>
    <col min="2867" max="2881" width="9.140625" style="151"/>
    <col min="2882" max="2882" width="9.85546875" style="151" bestFit="1" customWidth="1"/>
    <col min="2883" max="2897" width="9.140625" style="151"/>
    <col min="2898" max="2898" width="9.85546875" style="151" bestFit="1" customWidth="1"/>
    <col min="2899" max="2913" width="9.140625" style="151"/>
    <col min="2914" max="2914" width="9.85546875" style="151" bestFit="1" customWidth="1"/>
    <col min="2915" max="2929" width="9.140625" style="151"/>
    <col min="2930" max="2930" width="9.85546875" style="151" bestFit="1" customWidth="1"/>
    <col min="2931" max="2932" width="9.140625" style="151"/>
    <col min="2933" max="2933" width="11" style="151" bestFit="1" customWidth="1"/>
    <col min="2934" max="2938" width="11.140625" style="151" bestFit="1" customWidth="1"/>
    <col min="2939" max="2939" width="9.85546875" style="151" bestFit="1" customWidth="1"/>
    <col min="2940" max="2944" width="11.140625" style="151" bestFit="1" customWidth="1"/>
    <col min="2945" max="2945" width="12" style="151" bestFit="1" customWidth="1"/>
    <col min="2946" max="2946" width="11" style="151" bestFit="1" customWidth="1"/>
    <col min="2947" max="3059" width="9.140625" style="151"/>
    <col min="3060" max="3060" width="8.28515625" style="151" bestFit="1" customWidth="1"/>
    <col min="3061" max="3061" width="26" style="151" bestFit="1" customWidth="1"/>
    <col min="3062" max="3062" width="12" style="151" customWidth="1"/>
    <col min="3063" max="3063" width="8.140625" style="151" customWidth="1"/>
    <col min="3064" max="3064" width="11.140625" style="151" customWidth="1"/>
    <col min="3065" max="3065" width="8.28515625" style="151" customWidth="1"/>
    <col min="3066" max="3066" width="9.85546875" style="151" customWidth="1"/>
    <col min="3067" max="3067" width="8" style="151" customWidth="1"/>
    <col min="3068" max="3068" width="9.85546875" style="151" customWidth="1"/>
    <col min="3069" max="3069" width="6" style="151" customWidth="1"/>
    <col min="3070" max="3070" width="11.140625" style="151" customWidth="1"/>
    <col min="3071" max="3071" width="6.85546875" style="151" customWidth="1"/>
    <col min="3072" max="3072" width="11.7109375" style="151" customWidth="1"/>
    <col min="3073" max="3073" width="7.140625" style="151" customWidth="1"/>
    <col min="3074" max="3074" width="9" style="151" customWidth="1"/>
    <col min="3075" max="3075" width="7.140625" style="151" customWidth="1"/>
    <col min="3076" max="3076" width="12" style="151" customWidth="1"/>
    <col min="3077" max="3077" width="12.7109375" style="151" customWidth="1"/>
    <col min="3078" max="3089" width="11.140625" style="151" bestFit="1" customWidth="1"/>
    <col min="3090" max="3090" width="12" style="151" bestFit="1" customWidth="1"/>
    <col min="3091" max="3091" width="10" style="151" bestFit="1" customWidth="1"/>
    <col min="3092" max="3110" width="12.7109375" style="151" customWidth="1"/>
    <col min="3111" max="3121" width="9.85546875" style="151" bestFit="1" customWidth="1"/>
    <col min="3122" max="3122" width="11.140625" style="151" bestFit="1" customWidth="1"/>
    <col min="3123" max="3137" width="9.140625" style="151"/>
    <col min="3138" max="3138" width="9.85546875" style="151" bestFit="1" customWidth="1"/>
    <col min="3139" max="3153" width="9.140625" style="151"/>
    <col min="3154" max="3154" width="9.85546875" style="151" bestFit="1" customWidth="1"/>
    <col min="3155" max="3169" width="9.140625" style="151"/>
    <col min="3170" max="3170" width="9.85546875" style="151" bestFit="1" customWidth="1"/>
    <col min="3171" max="3185" width="9.140625" style="151"/>
    <col min="3186" max="3186" width="9.85546875" style="151" bestFit="1" customWidth="1"/>
    <col min="3187" max="3188" width="9.140625" style="151"/>
    <col min="3189" max="3189" width="11" style="151" bestFit="1" customWidth="1"/>
    <col min="3190" max="3194" width="11.140625" style="151" bestFit="1" customWidth="1"/>
    <col min="3195" max="3195" width="9.85546875" style="151" bestFit="1" customWidth="1"/>
    <col min="3196" max="3200" width="11.140625" style="151" bestFit="1" customWidth="1"/>
    <col min="3201" max="3201" width="12" style="151" bestFit="1" customWidth="1"/>
    <col min="3202" max="3202" width="11" style="151" bestFit="1" customWidth="1"/>
    <col min="3203" max="3315" width="9.140625" style="151"/>
    <col min="3316" max="3316" width="8.28515625" style="151" bestFit="1" customWidth="1"/>
    <col min="3317" max="3317" width="26" style="151" bestFit="1" customWidth="1"/>
    <col min="3318" max="3318" width="12" style="151" customWidth="1"/>
    <col min="3319" max="3319" width="8.140625" style="151" customWidth="1"/>
    <col min="3320" max="3320" width="11.140625" style="151" customWidth="1"/>
    <col min="3321" max="3321" width="8.28515625" style="151" customWidth="1"/>
    <col min="3322" max="3322" width="9.85546875" style="151" customWidth="1"/>
    <col min="3323" max="3323" width="8" style="151" customWidth="1"/>
    <col min="3324" max="3324" width="9.85546875" style="151" customWidth="1"/>
    <col min="3325" max="3325" width="6" style="151" customWidth="1"/>
    <col min="3326" max="3326" width="11.140625" style="151" customWidth="1"/>
    <col min="3327" max="3327" width="6.85546875" style="151" customWidth="1"/>
    <col min="3328" max="3328" width="11.7109375" style="151" customWidth="1"/>
    <col min="3329" max="3329" width="7.140625" style="151" customWidth="1"/>
    <col min="3330" max="3330" width="9" style="151" customWidth="1"/>
    <col min="3331" max="3331" width="7.140625" style="151" customWidth="1"/>
    <col min="3332" max="3332" width="12" style="151" customWidth="1"/>
    <col min="3333" max="3333" width="12.7109375" style="151" customWidth="1"/>
    <col min="3334" max="3345" width="11.140625" style="151" bestFit="1" customWidth="1"/>
    <col min="3346" max="3346" width="12" style="151" bestFit="1" customWidth="1"/>
    <col min="3347" max="3347" width="10" style="151" bestFit="1" customWidth="1"/>
    <col min="3348" max="3366" width="12.7109375" style="151" customWidth="1"/>
    <col min="3367" max="3377" width="9.85546875" style="151" bestFit="1" customWidth="1"/>
    <col min="3378" max="3378" width="11.140625" style="151" bestFit="1" customWidth="1"/>
    <col min="3379" max="3393" width="9.140625" style="151"/>
    <col min="3394" max="3394" width="9.85546875" style="151" bestFit="1" customWidth="1"/>
    <col min="3395" max="3409" width="9.140625" style="151"/>
    <col min="3410" max="3410" width="9.85546875" style="151" bestFit="1" customWidth="1"/>
    <col min="3411" max="3425" width="9.140625" style="151"/>
    <col min="3426" max="3426" width="9.85546875" style="151" bestFit="1" customWidth="1"/>
    <col min="3427" max="3441" width="9.140625" style="151"/>
    <col min="3442" max="3442" width="9.85546875" style="151" bestFit="1" customWidth="1"/>
    <col min="3443" max="3444" width="9.140625" style="151"/>
    <col min="3445" max="3445" width="11" style="151" bestFit="1" customWidth="1"/>
    <col min="3446" max="3450" width="11.140625" style="151" bestFit="1" customWidth="1"/>
    <col min="3451" max="3451" width="9.85546875" style="151" bestFit="1" customWidth="1"/>
    <col min="3452" max="3456" width="11.140625" style="151" bestFit="1" customWidth="1"/>
    <col min="3457" max="3457" width="12" style="151" bestFit="1" customWidth="1"/>
    <col min="3458" max="3458" width="11" style="151" bestFit="1" customWidth="1"/>
    <col min="3459" max="3571" width="9.140625" style="151"/>
    <col min="3572" max="3572" width="8.28515625" style="151" bestFit="1" customWidth="1"/>
    <col min="3573" max="3573" width="26" style="151" bestFit="1" customWidth="1"/>
    <col min="3574" max="3574" width="12" style="151" customWidth="1"/>
    <col min="3575" max="3575" width="8.140625" style="151" customWidth="1"/>
    <col min="3576" max="3576" width="11.140625" style="151" customWidth="1"/>
    <col min="3577" max="3577" width="8.28515625" style="151" customWidth="1"/>
    <col min="3578" max="3578" width="9.85546875" style="151" customWidth="1"/>
    <col min="3579" max="3579" width="8" style="151" customWidth="1"/>
    <col min="3580" max="3580" width="9.85546875" style="151" customWidth="1"/>
    <col min="3581" max="3581" width="6" style="151" customWidth="1"/>
    <col min="3582" max="3582" width="11.140625" style="151" customWidth="1"/>
    <col min="3583" max="3583" width="6.85546875" style="151" customWidth="1"/>
    <col min="3584" max="3584" width="11.7109375" style="151" customWidth="1"/>
    <col min="3585" max="3585" width="7.140625" style="151" customWidth="1"/>
    <col min="3586" max="3586" width="9" style="151" customWidth="1"/>
    <col min="3587" max="3587" width="7.140625" style="151" customWidth="1"/>
    <col min="3588" max="3588" width="12" style="151" customWidth="1"/>
    <col min="3589" max="3589" width="12.7109375" style="151" customWidth="1"/>
    <col min="3590" max="3601" width="11.140625" style="151" bestFit="1" customWidth="1"/>
    <col min="3602" max="3602" width="12" style="151" bestFit="1" customWidth="1"/>
    <col min="3603" max="3603" width="10" style="151" bestFit="1" customWidth="1"/>
    <col min="3604" max="3622" width="12.7109375" style="151" customWidth="1"/>
    <col min="3623" max="3633" width="9.85546875" style="151" bestFit="1" customWidth="1"/>
    <col min="3634" max="3634" width="11.140625" style="151" bestFit="1" customWidth="1"/>
    <col min="3635" max="3649" width="9.140625" style="151"/>
    <col min="3650" max="3650" width="9.85546875" style="151" bestFit="1" customWidth="1"/>
    <col min="3651" max="3665" width="9.140625" style="151"/>
    <col min="3666" max="3666" width="9.85546875" style="151" bestFit="1" customWidth="1"/>
    <col min="3667" max="3681" width="9.140625" style="151"/>
    <col min="3682" max="3682" width="9.85546875" style="151" bestFit="1" customWidth="1"/>
    <col min="3683" max="3697" width="9.140625" style="151"/>
    <col min="3698" max="3698" width="9.85546875" style="151" bestFit="1" customWidth="1"/>
    <col min="3699" max="3700" width="9.140625" style="151"/>
    <col min="3701" max="3701" width="11" style="151" bestFit="1" customWidth="1"/>
    <col min="3702" max="3706" width="11.140625" style="151" bestFit="1" customWidth="1"/>
    <col min="3707" max="3707" width="9.85546875" style="151" bestFit="1" customWidth="1"/>
    <col min="3708" max="3712" width="11.140625" style="151" bestFit="1" customWidth="1"/>
    <col min="3713" max="3713" width="12" style="151" bestFit="1" customWidth="1"/>
    <col min="3714" max="3714" width="11" style="151" bestFit="1" customWidth="1"/>
    <col min="3715" max="3827" width="9.140625" style="151"/>
    <col min="3828" max="3828" width="8.28515625" style="151" bestFit="1" customWidth="1"/>
    <col min="3829" max="3829" width="26" style="151" bestFit="1" customWidth="1"/>
    <col min="3830" max="3830" width="12" style="151" customWidth="1"/>
    <col min="3831" max="3831" width="8.140625" style="151" customWidth="1"/>
    <col min="3832" max="3832" width="11.140625" style="151" customWidth="1"/>
    <col min="3833" max="3833" width="8.28515625" style="151" customWidth="1"/>
    <col min="3834" max="3834" width="9.85546875" style="151" customWidth="1"/>
    <col min="3835" max="3835" width="8" style="151" customWidth="1"/>
    <col min="3836" max="3836" width="9.85546875" style="151" customWidth="1"/>
    <col min="3837" max="3837" width="6" style="151" customWidth="1"/>
    <col min="3838" max="3838" width="11.140625" style="151" customWidth="1"/>
    <col min="3839" max="3839" width="6.85546875" style="151" customWidth="1"/>
    <col min="3840" max="3840" width="11.7109375" style="151" customWidth="1"/>
    <col min="3841" max="3841" width="7.140625" style="151" customWidth="1"/>
    <col min="3842" max="3842" width="9" style="151" customWidth="1"/>
    <col min="3843" max="3843" width="7.140625" style="151" customWidth="1"/>
    <col min="3844" max="3844" width="12" style="151" customWidth="1"/>
    <col min="3845" max="3845" width="12.7109375" style="151" customWidth="1"/>
    <col min="3846" max="3857" width="11.140625" style="151" bestFit="1" customWidth="1"/>
    <col min="3858" max="3858" width="12" style="151" bestFit="1" customWidth="1"/>
    <col min="3859" max="3859" width="10" style="151" bestFit="1" customWidth="1"/>
    <col min="3860" max="3878" width="12.7109375" style="151" customWidth="1"/>
    <col min="3879" max="3889" width="9.85546875" style="151" bestFit="1" customWidth="1"/>
    <col min="3890" max="3890" width="11.140625" style="151" bestFit="1" customWidth="1"/>
    <col min="3891" max="3905" width="9.140625" style="151"/>
    <col min="3906" max="3906" width="9.85546875" style="151" bestFit="1" customWidth="1"/>
    <col min="3907" max="3921" width="9.140625" style="151"/>
    <col min="3922" max="3922" width="9.85546875" style="151" bestFit="1" customWidth="1"/>
    <col min="3923" max="3937" width="9.140625" style="151"/>
    <col min="3938" max="3938" width="9.85546875" style="151" bestFit="1" customWidth="1"/>
    <col min="3939" max="3953" width="9.140625" style="151"/>
    <col min="3954" max="3954" width="9.85546875" style="151" bestFit="1" customWidth="1"/>
    <col min="3955" max="3956" width="9.140625" style="151"/>
    <col min="3957" max="3957" width="11" style="151" bestFit="1" customWidth="1"/>
    <col min="3958" max="3962" width="11.140625" style="151" bestFit="1" customWidth="1"/>
    <col min="3963" max="3963" width="9.85546875" style="151" bestFit="1" customWidth="1"/>
    <col min="3964" max="3968" width="11.140625" style="151" bestFit="1" customWidth="1"/>
    <col min="3969" max="3969" width="12" style="151" bestFit="1" customWidth="1"/>
    <col min="3970" max="3970" width="11" style="151" bestFit="1" customWidth="1"/>
    <col min="3971" max="4083" width="9.140625" style="151"/>
    <col min="4084" max="4084" width="8.28515625" style="151" bestFit="1" customWidth="1"/>
    <col min="4085" max="4085" width="26" style="151" bestFit="1" customWidth="1"/>
    <col min="4086" max="4086" width="12" style="151" customWidth="1"/>
    <col min="4087" max="4087" width="8.140625" style="151" customWidth="1"/>
    <col min="4088" max="4088" width="11.140625" style="151" customWidth="1"/>
    <col min="4089" max="4089" width="8.28515625" style="151" customWidth="1"/>
    <col min="4090" max="4090" width="9.85546875" style="151" customWidth="1"/>
    <col min="4091" max="4091" width="8" style="151" customWidth="1"/>
    <col min="4092" max="4092" width="9.85546875" style="151" customWidth="1"/>
    <col min="4093" max="4093" width="6" style="151" customWidth="1"/>
    <col min="4094" max="4094" width="11.140625" style="151" customWidth="1"/>
    <col min="4095" max="4095" width="6.85546875" style="151" customWidth="1"/>
    <col min="4096" max="4096" width="11.7109375" style="151" customWidth="1"/>
    <col min="4097" max="4097" width="7.140625" style="151" customWidth="1"/>
    <col min="4098" max="4098" width="9" style="151" customWidth="1"/>
    <col min="4099" max="4099" width="7.140625" style="151" customWidth="1"/>
    <col min="4100" max="4100" width="12" style="151" customWidth="1"/>
    <col min="4101" max="4101" width="12.7109375" style="151" customWidth="1"/>
    <col min="4102" max="4113" width="11.140625" style="151" bestFit="1" customWidth="1"/>
    <col min="4114" max="4114" width="12" style="151" bestFit="1" customWidth="1"/>
    <col min="4115" max="4115" width="10" style="151" bestFit="1" customWidth="1"/>
    <col min="4116" max="4134" width="12.7109375" style="151" customWidth="1"/>
    <col min="4135" max="4145" width="9.85546875" style="151" bestFit="1" customWidth="1"/>
    <col min="4146" max="4146" width="11.140625" style="151" bestFit="1" customWidth="1"/>
    <col min="4147" max="4161" width="9.140625" style="151"/>
    <col min="4162" max="4162" width="9.85546875" style="151" bestFit="1" customWidth="1"/>
    <col min="4163" max="4177" width="9.140625" style="151"/>
    <col min="4178" max="4178" width="9.85546875" style="151" bestFit="1" customWidth="1"/>
    <col min="4179" max="4193" width="9.140625" style="151"/>
    <col min="4194" max="4194" width="9.85546875" style="151" bestFit="1" customWidth="1"/>
    <col min="4195" max="4209" width="9.140625" style="151"/>
    <col min="4210" max="4210" width="9.85546875" style="151" bestFit="1" customWidth="1"/>
    <col min="4211" max="4212" width="9.140625" style="151"/>
    <col min="4213" max="4213" width="11" style="151" bestFit="1" customWidth="1"/>
    <col min="4214" max="4218" width="11.140625" style="151" bestFit="1" customWidth="1"/>
    <col min="4219" max="4219" width="9.85546875" style="151" bestFit="1" customWidth="1"/>
    <col min="4220" max="4224" width="11.140625" style="151" bestFit="1" customWidth="1"/>
    <col min="4225" max="4225" width="12" style="151" bestFit="1" customWidth="1"/>
    <col min="4226" max="4226" width="11" style="151" bestFit="1" customWidth="1"/>
    <col min="4227" max="4339" width="9.140625" style="151"/>
    <col min="4340" max="4340" width="8.28515625" style="151" bestFit="1" customWidth="1"/>
    <col min="4341" max="4341" width="26" style="151" bestFit="1" customWidth="1"/>
    <col min="4342" max="4342" width="12" style="151" customWidth="1"/>
    <col min="4343" max="4343" width="8.140625" style="151" customWidth="1"/>
    <col min="4344" max="4344" width="11.140625" style="151" customWidth="1"/>
    <col min="4345" max="4345" width="8.28515625" style="151" customWidth="1"/>
    <col min="4346" max="4346" width="9.85546875" style="151" customWidth="1"/>
    <col min="4347" max="4347" width="8" style="151" customWidth="1"/>
    <col min="4348" max="4348" width="9.85546875" style="151" customWidth="1"/>
    <col min="4349" max="4349" width="6" style="151" customWidth="1"/>
    <col min="4350" max="4350" width="11.140625" style="151" customWidth="1"/>
    <col min="4351" max="4351" width="6.85546875" style="151" customWidth="1"/>
    <col min="4352" max="4352" width="11.7109375" style="151" customWidth="1"/>
    <col min="4353" max="4353" width="7.140625" style="151" customWidth="1"/>
    <col min="4354" max="4354" width="9" style="151" customWidth="1"/>
    <col min="4355" max="4355" width="7.140625" style="151" customWidth="1"/>
    <col min="4356" max="4356" width="12" style="151" customWidth="1"/>
    <col min="4357" max="4357" width="12.7109375" style="151" customWidth="1"/>
    <col min="4358" max="4369" width="11.140625" style="151" bestFit="1" customWidth="1"/>
    <col min="4370" max="4370" width="12" style="151" bestFit="1" customWidth="1"/>
    <col min="4371" max="4371" width="10" style="151" bestFit="1" customWidth="1"/>
    <col min="4372" max="4390" width="12.7109375" style="151" customWidth="1"/>
    <col min="4391" max="4401" width="9.85546875" style="151" bestFit="1" customWidth="1"/>
    <col min="4402" max="4402" width="11.140625" style="151" bestFit="1" customWidth="1"/>
    <col min="4403" max="4417" width="9.140625" style="151"/>
    <col min="4418" max="4418" width="9.85546875" style="151" bestFit="1" customWidth="1"/>
    <col min="4419" max="4433" width="9.140625" style="151"/>
    <col min="4434" max="4434" width="9.85546875" style="151" bestFit="1" customWidth="1"/>
    <col min="4435" max="4449" width="9.140625" style="151"/>
    <col min="4450" max="4450" width="9.85546875" style="151" bestFit="1" customWidth="1"/>
    <col min="4451" max="4465" width="9.140625" style="151"/>
    <col min="4466" max="4466" width="9.85546875" style="151" bestFit="1" customWidth="1"/>
    <col min="4467" max="4468" width="9.140625" style="151"/>
    <col min="4469" max="4469" width="11" style="151" bestFit="1" customWidth="1"/>
    <col min="4470" max="4474" width="11.140625" style="151" bestFit="1" customWidth="1"/>
    <col min="4475" max="4475" width="9.85546875" style="151" bestFit="1" customWidth="1"/>
    <col min="4476" max="4480" width="11.140625" style="151" bestFit="1" customWidth="1"/>
    <col min="4481" max="4481" width="12" style="151" bestFit="1" customWidth="1"/>
    <col min="4482" max="4482" width="11" style="151" bestFit="1" customWidth="1"/>
    <col min="4483" max="4595" width="9.140625" style="151"/>
    <col min="4596" max="4596" width="8.28515625" style="151" bestFit="1" customWidth="1"/>
    <col min="4597" max="4597" width="26" style="151" bestFit="1" customWidth="1"/>
    <col min="4598" max="4598" width="12" style="151" customWidth="1"/>
    <col min="4599" max="4599" width="8.140625" style="151" customWidth="1"/>
    <col min="4600" max="4600" width="11.140625" style="151" customWidth="1"/>
    <col min="4601" max="4601" width="8.28515625" style="151" customWidth="1"/>
    <col min="4602" max="4602" width="9.85546875" style="151" customWidth="1"/>
    <col min="4603" max="4603" width="8" style="151" customWidth="1"/>
    <col min="4604" max="4604" width="9.85546875" style="151" customWidth="1"/>
    <col min="4605" max="4605" width="6" style="151" customWidth="1"/>
    <col min="4606" max="4606" width="11.140625" style="151" customWidth="1"/>
    <col min="4607" max="4607" width="6.85546875" style="151" customWidth="1"/>
    <col min="4608" max="4608" width="11.7109375" style="151" customWidth="1"/>
    <col min="4609" max="4609" width="7.140625" style="151" customWidth="1"/>
    <col min="4610" max="4610" width="9" style="151" customWidth="1"/>
    <col min="4611" max="4611" width="7.140625" style="151" customWidth="1"/>
    <col min="4612" max="4612" width="12" style="151" customWidth="1"/>
    <col min="4613" max="4613" width="12.7109375" style="151" customWidth="1"/>
    <col min="4614" max="4625" width="11.140625" style="151" bestFit="1" customWidth="1"/>
    <col min="4626" max="4626" width="12" style="151" bestFit="1" customWidth="1"/>
    <col min="4627" max="4627" width="10" style="151" bestFit="1" customWidth="1"/>
    <col min="4628" max="4646" width="12.7109375" style="151" customWidth="1"/>
    <col min="4647" max="4657" width="9.85546875" style="151" bestFit="1" customWidth="1"/>
    <col min="4658" max="4658" width="11.140625" style="151" bestFit="1" customWidth="1"/>
    <col min="4659" max="4673" width="9.140625" style="151"/>
    <col min="4674" max="4674" width="9.85546875" style="151" bestFit="1" customWidth="1"/>
    <col min="4675" max="4689" width="9.140625" style="151"/>
    <col min="4690" max="4690" width="9.85546875" style="151" bestFit="1" customWidth="1"/>
    <col min="4691" max="4705" width="9.140625" style="151"/>
    <col min="4706" max="4706" width="9.85546875" style="151" bestFit="1" customWidth="1"/>
    <col min="4707" max="4721" width="9.140625" style="151"/>
    <col min="4722" max="4722" width="9.85546875" style="151" bestFit="1" customWidth="1"/>
    <col min="4723" max="4724" width="9.140625" style="151"/>
    <col min="4725" max="4725" width="11" style="151" bestFit="1" customWidth="1"/>
    <col min="4726" max="4730" width="11.140625" style="151" bestFit="1" customWidth="1"/>
    <col min="4731" max="4731" width="9.85546875" style="151" bestFit="1" customWidth="1"/>
    <col min="4732" max="4736" width="11.140625" style="151" bestFit="1" customWidth="1"/>
    <col min="4737" max="4737" width="12" style="151" bestFit="1" customWidth="1"/>
    <col min="4738" max="4738" width="11" style="151" bestFit="1" customWidth="1"/>
    <col min="4739" max="4851" width="9.140625" style="151"/>
    <col min="4852" max="4852" width="8.28515625" style="151" bestFit="1" customWidth="1"/>
    <col min="4853" max="4853" width="26" style="151" bestFit="1" customWidth="1"/>
    <col min="4854" max="4854" width="12" style="151" customWidth="1"/>
    <col min="4855" max="4855" width="8.140625" style="151" customWidth="1"/>
    <col min="4856" max="4856" width="11.140625" style="151" customWidth="1"/>
    <col min="4857" max="4857" width="8.28515625" style="151" customWidth="1"/>
    <col min="4858" max="4858" width="9.85546875" style="151" customWidth="1"/>
    <col min="4859" max="4859" width="8" style="151" customWidth="1"/>
    <col min="4860" max="4860" width="9.85546875" style="151" customWidth="1"/>
    <col min="4861" max="4861" width="6" style="151" customWidth="1"/>
    <col min="4862" max="4862" width="11.140625" style="151" customWidth="1"/>
    <col min="4863" max="4863" width="6.85546875" style="151" customWidth="1"/>
    <col min="4864" max="4864" width="11.7109375" style="151" customWidth="1"/>
    <col min="4865" max="4865" width="7.140625" style="151" customWidth="1"/>
    <col min="4866" max="4866" width="9" style="151" customWidth="1"/>
    <col min="4867" max="4867" width="7.140625" style="151" customWidth="1"/>
    <col min="4868" max="4868" width="12" style="151" customWidth="1"/>
    <col min="4869" max="4869" width="12.7109375" style="151" customWidth="1"/>
    <col min="4870" max="4881" width="11.140625" style="151" bestFit="1" customWidth="1"/>
    <col min="4882" max="4882" width="12" style="151" bestFit="1" customWidth="1"/>
    <col min="4883" max="4883" width="10" style="151" bestFit="1" customWidth="1"/>
    <col min="4884" max="4902" width="12.7109375" style="151" customWidth="1"/>
    <col min="4903" max="4913" width="9.85546875" style="151" bestFit="1" customWidth="1"/>
    <col min="4914" max="4914" width="11.140625" style="151" bestFit="1" customWidth="1"/>
    <col min="4915" max="4929" width="9.140625" style="151"/>
    <col min="4930" max="4930" width="9.85546875" style="151" bestFit="1" customWidth="1"/>
    <col min="4931" max="4945" width="9.140625" style="151"/>
    <col min="4946" max="4946" width="9.85546875" style="151" bestFit="1" customWidth="1"/>
    <col min="4947" max="4961" width="9.140625" style="151"/>
    <col min="4962" max="4962" width="9.85546875" style="151" bestFit="1" customWidth="1"/>
    <col min="4963" max="4977" width="9.140625" style="151"/>
    <col min="4978" max="4978" width="9.85546875" style="151" bestFit="1" customWidth="1"/>
    <col min="4979" max="4980" width="9.140625" style="151"/>
    <col min="4981" max="4981" width="11" style="151" bestFit="1" customWidth="1"/>
    <col min="4982" max="4986" width="11.140625" style="151" bestFit="1" customWidth="1"/>
    <col min="4987" max="4987" width="9.85546875" style="151" bestFit="1" customWidth="1"/>
    <col min="4988" max="4992" width="11.140625" style="151" bestFit="1" customWidth="1"/>
    <col min="4993" max="4993" width="12" style="151" bestFit="1" customWidth="1"/>
    <col min="4994" max="4994" width="11" style="151" bestFit="1" customWidth="1"/>
    <col min="4995" max="5107" width="9.140625" style="151"/>
    <col min="5108" max="5108" width="8.28515625" style="151" bestFit="1" customWidth="1"/>
    <col min="5109" max="5109" width="26" style="151" bestFit="1" customWidth="1"/>
    <col min="5110" max="5110" width="12" style="151" customWidth="1"/>
    <col min="5111" max="5111" width="8.140625" style="151" customWidth="1"/>
    <col min="5112" max="5112" width="11.140625" style="151" customWidth="1"/>
    <col min="5113" max="5113" width="8.28515625" style="151" customWidth="1"/>
    <col min="5114" max="5114" width="9.85546875" style="151" customWidth="1"/>
    <col min="5115" max="5115" width="8" style="151" customWidth="1"/>
    <col min="5116" max="5116" width="9.85546875" style="151" customWidth="1"/>
    <col min="5117" max="5117" width="6" style="151" customWidth="1"/>
    <col min="5118" max="5118" width="11.140625" style="151" customWidth="1"/>
    <col min="5119" max="5119" width="6.85546875" style="151" customWidth="1"/>
    <col min="5120" max="5120" width="11.7109375" style="151" customWidth="1"/>
    <col min="5121" max="5121" width="7.140625" style="151" customWidth="1"/>
    <col min="5122" max="5122" width="9" style="151" customWidth="1"/>
    <col min="5123" max="5123" width="7.140625" style="151" customWidth="1"/>
    <col min="5124" max="5124" width="12" style="151" customWidth="1"/>
    <col min="5125" max="5125" width="12.7109375" style="151" customWidth="1"/>
    <col min="5126" max="5137" width="11.140625" style="151" bestFit="1" customWidth="1"/>
    <col min="5138" max="5138" width="12" style="151" bestFit="1" customWidth="1"/>
    <col min="5139" max="5139" width="10" style="151" bestFit="1" customWidth="1"/>
    <col min="5140" max="5158" width="12.7109375" style="151" customWidth="1"/>
    <col min="5159" max="5169" width="9.85546875" style="151" bestFit="1" customWidth="1"/>
    <col min="5170" max="5170" width="11.140625" style="151" bestFit="1" customWidth="1"/>
    <col min="5171" max="5185" width="9.140625" style="151"/>
    <col min="5186" max="5186" width="9.85546875" style="151" bestFit="1" customWidth="1"/>
    <col min="5187" max="5201" width="9.140625" style="151"/>
    <col min="5202" max="5202" width="9.85546875" style="151" bestFit="1" customWidth="1"/>
    <col min="5203" max="5217" width="9.140625" style="151"/>
    <col min="5218" max="5218" width="9.85546875" style="151" bestFit="1" customWidth="1"/>
    <col min="5219" max="5233" width="9.140625" style="151"/>
    <col min="5234" max="5234" width="9.85546875" style="151" bestFit="1" customWidth="1"/>
    <col min="5235" max="5236" width="9.140625" style="151"/>
    <col min="5237" max="5237" width="11" style="151" bestFit="1" customWidth="1"/>
    <col min="5238" max="5242" width="11.140625" style="151" bestFit="1" customWidth="1"/>
    <col min="5243" max="5243" width="9.85546875" style="151" bestFit="1" customWidth="1"/>
    <col min="5244" max="5248" width="11.140625" style="151" bestFit="1" customWidth="1"/>
    <col min="5249" max="5249" width="12" style="151" bestFit="1" customWidth="1"/>
    <col min="5250" max="5250" width="11" style="151" bestFit="1" customWidth="1"/>
    <col min="5251" max="5363" width="9.140625" style="151"/>
    <col min="5364" max="5364" width="8.28515625" style="151" bestFit="1" customWidth="1"/>
    <col min="5365" max="5365" width="26" style="151" bestFit="1" customWidth="1"/>
    <col min="5366" max="5366" width="12" style="151" customWidth="1"/>
    <col min="5367" max="5367" width="8.140625" style="151" customWidth="1"/>
    <col min="5368" max="5368" width="11.140625" style="151" customWidth="1"/>
    <col min="5369" max="5369" width="8.28515625" style="151" customWidth="1"/>
    <col min="5370" max="5370" width="9.85546875" style="151" customWidth="1"/>
    <col min="5371" max="5371" width="8" style="151" customWidth="1"/>
    <col min="5372" max="5372" width="9.85546875" style="151" customWidth="1"/>
    <col min="5373" max="5373" width="6" style="151" customWidth="1"/>
    <col min="5374" max="5374" width="11.140625" style="151" customWidth="1"/>
    <col min="5375" max="5375" width="6.85546875" style="151" customWidth="1"/>
    <col min="5376" max="5376" width="11.7109375" style="151" customWidth="1"/>
    <col min="5377" max="5377" width="7.140625" style="151" customWidth="1"/>
    <col min="5378" max="5378" width="9" style="151" customWidth="1"/>
    <col min="5379" max="5379" width="7.140625" style="151" customWidth="1"/>
    <col min="5380" max="5380" width="12" style="151" customWidth="1"/>
    <col min="5381" max="5381" width="12.7109375" style="151" customWidth="1"/>
    <col min="5382" max="5393" width="11.140625" style="151" bestFit="1" customWidth="1"/>
    <col min="5394" max="5394" width="12" style="151" bestFit="1" customWidth="1"/>
    <col min="5395" max="5395" width="10" style="151" bestFit="1" customWidth="1"/>
    <col min="5396" max="5414" width="12.7109375" style="151" customWidth="1"/>
    <col min="5415" max="5425" width="9.85546875" style="151" bestFit="1" customWidth="1"/>
    <col min="5426" max="5426" width="11.140625" style="151" bestFit="1" customWidth="1"/>
    <col min="5427" max="5441" width="9.140625" style="151"/>
    <col min="5442" max="5442" width="9.85546875" style="151" bestFit="1" customWidth="1"/>
    <col min="5443" max="5457" width="9.140625" style="151"/>
    <col min="5458" max="5458" width="9.85546875" style="151" bestFit="1" customWidth="1"/>
    <col min="5459" max="5473" width="9.140625" style="151"/>
    <col min="5474" max="5474" width="9.85546875" style="151" bestFit="1" customWidth="1"/>
    <col min="5475" max="5489" width="9.140625" style="151"/>
    <col min="5490" max="5490" width="9.85546875" style="151" bestFit="1" customWidth="1"/>
    <col min="5491" max="5492" width="9.140625" style="151"/>
    <col min="5493" max="5493" width="11" style="151" bestFit="1" customWidth="1"/>
    <col min="5494" max="5498" width="11.140625" style="151" bestFit="1" customWidth="1"/>
    <col min="5499" max="5499" width="9.85546875" style="151" bestFit="1" customWidth="1"/>
    <col min="5500" max="5504" width="11.140625" style="151" bestFit="1" customWidth="1"/>
    <col min="5505" max="5505" width="12" style="151" bestFit="1" customWidth="1"/>
    <col min="5506" max="5506" width="11" style="151" bestFit="1" customWidth="1"/>
    <col min="5507" max="5619" width="9.140625" style="151"/>
    <col min="5620" max="5620" width="8.28515625" style="151" bestFit="1" customWidth="1"/>
    <col min="5621" max="5621" width="26" style="151" bestFit="1" customWidth="1"/>
    <col min="5622" max="5622" width="12" style="151" customWidth="1"/>
    <col min="5623" max="5623" width="8.140625" style="151" customWidth="1"/>
    <col min="5624" max="5624" width="11.140625" style="151" customWidth="1"/>
    <col min="5625" max="5625" width="8.28515625" style="151" customWidth="1"/>
    <col min="5626" max="5626" width="9.85546875" style="151" customWidth="1"/>
    <col min="5627" max="5627" width="8" style="151" customWidth="1"/>
    <col min="5628" max="5628" width="9.85546875" style="151" customWidth="1"/>
    <col min="5629" max="5629" width="6" style="151" customWidth="1"/>
    <col min="5630" max="5630" width="11.140625" style="151" customWidth="1"/>
    <col min="5631" max="5631" width="6.85546875" style="151" customWidth="1"/>
    <col min="5632" max="5632" width="11.7109375" style="151" customWidth="1"/>
    <col min="5633" max="5633" width="7.140625" style="151" customWidth="1"/>
    <col min="5634" max="5634" width="9" style="151" customWidth="1"/>
    <col min="5635" max="5635" width="7.140625" style="151" customWidth="1"/>
    <col min="5636" max="5636" width="12" style="151" customWidth="1"/>
    <col min="5637" max="5637" width="12.7109375" style="151" customWidth="1"/>
    <col min="5638" max="5649" width="11.140625" style="151" bestFit="1" customWidth="1"/>
    <col min="5650" max="5650" width="12" style="151" bestFit="1" customWidth="1"/>
    <col min="5651" max="5651" width="10" style="151" bestFit="1" customWidth="1"/>
    <col min="5652" max="5670" width="12.7109375" style="151" customWidth="1"/>
    <col min="5671" max="5681" width="9.85546875" style="151" bestFit="1" customWidth="1"/>
    <col min="5682" max="5682" width="11.140625" style="151" bestFit="1" customWidth="1"/>
    <col min="5683" max="5697" width="9.140625" style="151"/>
    <col min="5698" max="5698" width="9.85546875" style="151" bestFit="1" customWidth="1"/>
    <col min="5699" max="5713" width="9.140625" style="151"/>
    <col min="5714" max="5714" width="9.85546875" style="151" bestFit="1" customWidth="1"/>
    <col min="5715" max="5729" width="9.140625" style="151"/>
    <col min="5730" max="5730" width="9.85546875" style="151" bestFit="1" customWidth="1"/>
    <col min="5731" max="5745" width="9.140625" style="151"/>
    <col min="5746" max="5746" width="9.85546875" style="151" bestFit="1" customWidth="1"/>
    <col min="5747" max="5748" width="9.140625" style="151"/>
    <col min="5749" max="5749" width="11" style="151" bestFit="1" customWidth="1"/>
    <col min="5750" max="5754" width="11.140625" style="151" bestFit="1" customWidth="1"/>
    <col min="5755" max="5755" width="9.85546875" style="151" bestFit="1" customWidth="1"/>
    <col min="5756" max="5760" width="11.140625" style="151" bestFit="1" customWidth="1"/>
    <col min="5761" max="5761" width="12" style="151" bestFit="1" customWidth="1"/>
    <col min="5762" max="5762" width="11" style="151" bestFit="1" customWidth="1"/>
    <col min="5763" max="5875" width="9.140625" style="151"/>
    <col min="5876" max="5876" width="8.28515625" style="151" bestFit="1" customWidth="1"/>
    <col min="5877" max="5877" width="26" style="151" bestFit="1" customWidth="1"/>
    <col min="5878" max="5878" width="12" style="151" customWidth="1"/>
    <col min="5879" max="5879" width="8.140625" style="151" customWidth="1"/>
    <col min="5880" max="5880" width="11.140625" style="151" customWidth="1"/>
    <col min="5881" max="5881" width="8.28515625" style="151" customWidth="1"/>
    <col min="5882" max="5882" width="9.85546875" style="151" customWidth="1"/>
    <col min="5883" max="5883" width="8" style="151" customWidth="1"/>
    <col min="5884" max="5884" width="9.85546875" style="151" customWidth="1"/>
    <col min="5885" max="5885" width="6" style="151" customWidth="1"/>
    <col min="5886" max="5886" width="11.140625" style="151" customWidth="1"/>
    <col min="5887" max="5887" width="6.85546875" style="151" customWidth="1"/>
    <col min="5888" max="5888" width="11.7109375" style="151" customWidth="1"/>
    <col min="5889" max="5889" width="7.140625" style="151" customWidth="1"/>
    <col min="5890" max="5890" width="9" style="151" customWidth="1"/>
    <col min="5891" max="5891" width="7.140625" style="151" customWidth="1"/>
    <col min="5892" max="5892" width="12" style="151" customWidth="1"/>
    <col min="5893" max="5893" width="12.7109375" style="151" customWidth="1"/>
    <col min="5894" max="5905" width="11.140625" style="151" bestFit="1" customWidth="1"/>
    <col min="5906" max="5906" width="12" style="151" bestFit="1" customWidth="1"/>
    <col min="5907" max="5907" width="10" style="151" bestFit="1" customWidth="1"/>
    <col min="5908" max="5926" width="12.7109375" style="151" customWidth="1"/>
    <col min="5927" max="5937" width="9.85546875" style="151" bestFit="1" customWidth="1"/>
    <col min="5938" max="5938" width="11.140625" style="151" bestFit="1" customWidth="1"/>
    <col min="5939" max="5953" width="9.140625" style="151"/>
    <col min="5954" max="5954" width="9.85546875" style="151" bestFit="1" customWidth="1"/>
    <col min="5955" max="5969" width="9.140625" style="151"/>
    <col min="5970" max="5970" width="9.85546875" style="151" bestFit="1" customWidth="1"/>
    <col min="5971" max="5985" width="9.140625" style="151"/>
    <col min="5986" max="5986" width="9.85546875" style="151" bestFit="1" customWidth="1"/>
    <col min="5987" max="6001" width="9.140625" style="151"/>
    <col min="6002" max="6002" width="9.85546875" style="151" bestFit="1" customWidth="1"/>
    <col min="6003" max="6004" width="9.140625" style="151"/>
    <col min="6005" max="6005" width="11" style="151" bestFit="1" customWidth="1"/>
    <col min="6006" max="6010" width="11.140625" style="151" bestFit="1" customWidth="1"/>
    <col min="6011" max="6011" width="9.85546875" style="151" bestFit="1" customWidth="1"/>
    <col min="6012" max="6016" width="11.140625" style="151" bestFit="1" customWidth="1"/>
    <col min="6017" max="6017" width="12" style="151" bestFit="1" customWidth="1"/>
    <col min="6018" max="6018" width="11" style="151" bestFit="1" customWidth="1"/>
    <col min="6019" max="6131" width="9.140625" style="151"/>
    <col min="6132" max="6132" width="8.28515625" style="151" bestFit="1" customWidth="1"/>
    <col min="6133" max="6133" width="26" style="151" bestFit="1" customWidth="1"/>
    <col min="6134" max="6134" width="12" style="151" customWidth="1"/>
    <col min="6135" max="6135" width="8.140625" style="151" customWidth="1"/>
    <col min="6136" max="6136" width="11.140625" style="151" customWidth="1"/>
    <col min="6137" max="6137" width="8.28515625" style="151" customWidth="1"/>
    <col min="6138" max="6138" width="9.85546875" style="151" customWidth="1"/>
    <col min="6139" max="6139" width="8" style="151" customWidth="1"/>
    <col min="6140" max="6140" width="9.85546875" style="151" customWidth="1"/>
    <col min="6141" max="6141" width="6" style="151" customWidth="1"/>
    <col min="6142" max="6142" width="11.140625" style="151" customWidth="1"/>
    <col min="6143" max="6143" width="6.85546875" style="151" customWidth="1"/>
    <col min="6144" max="6144" width="11.7109375" style="151" customWidth="1"/>
    <col min="6145" max="6145" width="7.140625" style="151" customWidth="1"/>
    <col min="6146" max="6146" width="9" style="151" customWidth="1"/>
    <col min="6147" max="6147" width="7.140625" style="151" customWidth="1"/>
    <col min="6148" max="6148" width="12" style="151" customWidth="1"/>
    <col min="6149" max="6149" width="12.7109375" style="151" customWidth="1"/>
    <col min="6150" max="6161" width="11.140625" style="151" bestFit="1" customWidth="1"/>
    <col min="6162" max="6162" width="12" style="151" bestFit="1" customWidth="1"/>
    <col min="6163" max="6163" width="10" style="151" bestFit="1" customWidth="1"/>
    <col min="6164" max="6182" width="12.7109375" style="151" customWidth="1"/>
    <col min="6183" max="6193" width="9.85546875" style="151" bestFit="1" customWidth="1"/>
    <col min="6194" max="6194" width="11.140625" style="151" bestFit="1" customWidth="1"/>
    <col min="6195" max="6209" width="9.140625" style="151"/>
    <col min="6210" max="6210" width="9.85546875" style="151" bestFit="1" customWidth="1"/>
    <col min="6211" max="6225" width="9.140625" style="151"/>
    <col min="6226" max="6226" width="9.85546875" style="151" bestFit="1" customWidth="1"/>
    <col min="6227" max="6241" width="9.140625" style="151"/>
    <col min="6242" max="6242" width="9.85546875" style="151" bestFit="1" customWidth="1"/>
    <col min="6243" max="6257" width="9.140625" style="151"/>
    <col min="6258" max="6258" width="9.85546875" style="151" bestFit="1" customWidth="1"/>
    <col min="6259" max="6260" width="9.140625" style="151"/>
    <col min="6261" max="6261" width="11" style="151" bestFit="1" customWidth="1"/>
    <col min="6262" max="6266" width="11.140625" style="151" bestFit="1" customWidth="1"/>
    <col min="6267" max="6267" width="9.85546875" style="151" bestFit="1" customWidth="1"/>
    <col min="6268" max="6272" width="11.140625" style="151" bestFit="1" customWidth="1"/>
    <col min="6273" max="6273" width="12" style="151" bestFit="1" customWidth="1"/>
    <col min="6274" max="6274" width="11" style="151" bestFit="1" customWidth="1"/>
    <col min="6275" max="6387" width="9.140625" style="151"/>
    <col min="6388" max="6388" width="8.28515625" style="151" bestFit="1" customWidth="1"/>
    <col min="6389" max="6389" width="26" style="151" bestFit="1" customWidth="1"/>
    <col min="6390" max="6390" width="12" style="151" customWidth="1"/>
    <col min="6391" max="6391" width="8.140625" style="151" customWidth="1"/>
    <col min="6392" max="6392" width="11.140625" style="151" customWidth="1"/>
    <col min="6393" max="6393" width="8.28515625" style="151" customWidth="1"/>
    <col min="6394" max="6394" width="9.85546875" style="151" customWidth="1"/>
    <col min="6395" max="6395" width="8" style="151" customWidth="1"/>
    <col min="6396" max="6396" width="9.85546875" style="151" customWidth="1"/>
    <col min="6397" max="6397" width="6" style="151" customWidth="1"/>
    <col min="6398" max="6398" width="11.140625" style="151" customWidth="1"/>
    <col min="6399" max="6399" width="6.85546875" style="151" customWidth="1"/>
    <col min="6400" max="6400" width="11.7109375" style="151" customWidth="1"/>
    <col min="6401" max="6401" width="7.140625" style="151" customWidth="1"/>
    <col min="6402" max="6402" width="9" style="151" customWidth="1"/>
    <col min="6403" max="6403" width="7.140625" style="151" customWidth="1"/>
    <col min="6404" max="6404" width="12" style="151" customWidth="1"/>
    <col min="6405" max="6405" width="12.7109375" style="151" customWidth="1"/>
    <col min="6406" max="6417" width="11.140625" style="151" bestFit="1" customWidth="1"/>
    <col min="6418" max="6418" width="12" style="151" bestFit="1" customWidth="1"/>
    <col min="6419" max="6419" width="10" style="151" bestFit="1" customWidth="1"/>
    <col min="6420" max="6438" width="12.7109375" style="151" customWidth="1"/>
    <col min="6439" max="6449" width="9.85546875" style="151" bestFit="1" customWidth="1"/>
    <col min="6450" max="6450" width="11.140625" style="151" bestFit="1" customWidth="1"/>
    <col min="6451" max="6465" width="9.140625" style="151"/>
    <col min="6466" max="6466" width="9.85546875" style="151" bestFit="1" customWidth="1"/>
    <col min="6467" max="6481" width="9.140625" style="151"/>
    <col min="6482" max="6482" width="9.85546875" style="151" bestFit="1" customWidth="1"/>
    <col min="6483" max="6497" width="9.140625" style="151"/>
    <col min="6498" max="6498" width="9.85546875" style="151" bestFit="1" customWidth="1"/>
    <col min="6499" max="6513" width="9.140625" style="151"/>
    <col min="6514" max="6514" width="9.85546875" style="151" bestFit="1" customWidth="1"/>
    <col min="6515" max="6516" width="9.140625" style="151"/>
    <col min="6517" max="6517" width="11" style="151" bestFit="1" customWidth="1"/>
    <col min="6518" max="6522" width="11.140625" style="151" bestFit="1" customWidth="1"/>
    <col min="6523" max="6523" width="9.85546875" style="151" bestFit="1" customWidth="1"/>
    <col min="6524" max="6528" width="11.140625" style="151" bestFit="1" customWidth="1"/>
    <col min="6529" max="6529" width="12" style="151" bestFit="1" customWidth="1"/>
    <col min="6530" max="6530" width="11" style="151" bestFit="1" customWidth="1"/>
    <col min="6531" max="6643" width="9.140625" style="151"/>
    <col min="6644" max="6644" width="8.28515625" style="151" bestFit="1" customWidth="1"/>
    <col min="6645" max="6645" width="26" style="151" bestFit="1" customWidth="1"/>
    <col min="6646" max="6646" width="12" style="151" customWidth="1"/>
    <col min="6647" max="6647" width="8.140625" style="151" customWidth="1"/>
    <col min="6648" max="6648" width="11.140625" style="151" customWidth="1"/>
    <col min="6649" max="6649" width="8.28515625" style="151" customWidth="1"/>
    <col min="6650" max="6650" width="9.85546875" style="151" customWidth="1"/>
    <col min="6651" max="6651" width="8" style="151" customWidth="1"/>
    <col min="6652" max="6652" width="9.85546875" style="151" customWidth="1"/>
    <col min="6653" max="6653" width="6" style="151" customWidth="1"/>
    <col min="6654" max="6654" width="11.140625" style="151" customWidth="1"/>
    <col min="6655" max="6655" width="6.85546875" style="151" customWidth="1"/>
    <col min="6656" max="6656" width="11.7109375" style="151" customWidth="1"/>
    <col min="6657" max="6657" width="7.140625" style="151" customWidth="1"/>
    <col min="6658" max="6658" width="9" style="151" customWidth="1"/>
    <col min="6659" max="6659" width="7.140625" style="151" customWidth="1"/>
    <col min="6660" max="6660" width="12" style="151" customWidth="1"/>
    <col min="6661" max="6661" width="12.7109375" style="151" customWidth="1"/>
    <col min="6662" max="6673" width="11.140625" style="151" bestFit="1" customWidth="1"/>
    <col min="6674" max="6674" width="12" style="151" bestFit="1" customWidth="1"/>
    <col min="6675" max="6675" width="10" style="151" bestFit="1" customWidth="1"/>
    <col min="6676" max="6694" width="12.7109375" style="151" customWidth="1"/>
    <col min="6695" max="6705" width="9.85546875" style="151" bestFit="1" customWidth="1"/>
    <col min="6706" max="6706" width="11.140625" style="151" bestFit="1" customWidth="1"/>
    <col min="6707" max="6721" width="9.140625" style="151"/>
    <col min="6722" max="6722" width="9.85546875" style="151" bestFit="1" customWidth="1"/>
    <col min="6723" max="6737" width="9.140625" style="151"/>
    <col min="6738" max="6738" width="9.85546875" style="151" bestFit="1" customWidth="1"/>
    <col min="6739" max="6753" width="9.140625" style="151"/>
    <col min="6754" max="6754" width="9.85546875" style="151" bestFit="1" customWidth="1"/>
    <col min="6755" max="6769" width="9.140625" style="151"/>
    <col min="6770" max="6770" width="9.85546875" style="151" bestFit="1" customWidth="1"/>
    <col min="6771" max="6772" width="9.140625" style="151"/>
    <col min="6773" max="6773" width="11" style="151" bestFit="1" customWidth="1"/>
    <col min="6774" max="6778" width="11.140625" style="151" bestFit="1" customWidth="1"/>
    <col min="6779" max="6779" width="9.85546875" style="151" bestFit="1" customWidth="1"/>
    <col min="6780" max="6784" width="11.140625" style="151" bestFit="1" customWidth="1"/>
    <col min="6785" max="6785" width="12" style="151" bestFit="1" customWidth="1"/>
    <col min="6786" max="6786" width="11" style="151" bestFit="1" customWidth="1"/>
    <col min="6787" max="6899" width="9.140625" style="151"/>
    <col min="6900" max="6900" width="8.28515625" style="151" bestFit="1" customWidth="1"/>
    <col min="6901" max="6901" width="26" style="151" bestFit="1" customWidth="1"/>
    <col min="6902" max="6902" width="12" style="151" customWidth="1"/>
    <col min="6903" max="6903" width="8.140625" style="151" customWidth="1"/>
    <col min="6904" max="6904" width="11.140625" style="151" customWidth="1"/>
    <col min="6905" max="6905" width="8.28515625" style="151" customWidth="1"/>
    <col min="6906" max="6906" width="9.85546875" style="151" customWidth="1"/>
    <col min="6907" max="6907" width="8" style="151" customWidth="1"/>
    <col min="6908" max="6908" width="9.85546875" style="151" customWidth="1"/>
    <col min="6909" max="6909" width="6" style="151" customWidth="1"/>
    <col min="6910" max="6910" width="11.140625" style="151" customWidth="1"/>
    <col min="6911" max="6911" width="6.85546875" style="151" customWidth="1"/>
    <col min="6912" max="6912" width="11.7109375" style="151" customWidth="1"/>
    <col min="6913" max="6913" width="7.140625" style="151" customWidth="1"/>
    <col min="6914" max="6914" width="9" style="151" customWidth="1"/>
    <col min="6915" max="6915" width="7.140625" style="151" customWidth="1"/>
    <col min="6916" max="6916" width="12" style="151" customWidth="1"/>
    <col min="6917" max="6917" width="12.7109375" style="151" customWidth="1"/>
    <col min="6918" max="6929" width="11.140625" style="151" bestFit="1" customWidth="1"/>
    <col min="6930" max="6930" width="12" style="151" bestFit="1" customWidth="1"/>
    <col min="6931" max="6931" width="10" style="151" bestFit="1" customWidth="1"/>
    <col min="6932" max="6950" width="12.7109375" style="151" customWidth="1"/>
    <col min="6951" max="6961" width="9.85546875" style="151" bestFit="1" customWidth="1"/>
    <col min="6962" max="6962" width="11.140625" style="151" bestFit="1" customWidth="1"/>
    <col min="6963" max="6977" width="9.140625" style="151"/>
    <col min="6978" max="6978" width="9.85546875" style="151" bestFit="1" customWidth="1"/>
    <col min="6979" max="6993" width="9.140625" style="151"/>
    <col min="6994" max="6994" width="9.85546875" style="151" bestFit="1" customWidth="1"/>
    <col min="6995" max="7009" width="9.140625" style="151"/>
    <col min="7010" max="7010" width="9.85546875" style="151" bestFit="1" customWidth="1"/>
    <col min="7011" max="7025" width="9.140625" style="151"/>
    <col min="7026" max="7026" width="9.85546875" style="151" bestFit="1" customWidth="1"/>
    <col min="7027" max="7028" width="9.140625" style="151"/>
    <col min="7029" max="7029" width="11" style="151" bestFit="1" customWidth="1"/>
    <col min="7030" max="7034" width="11.140625" style="151" bestFit="1" customWidth="1"/>
    <col min="7035" max="7035" width="9.85546875" style="151" bestFit="1" customWidth="1"/>
    <col min="7036" max="7040" width="11.140625" style="151" bestFit="1" customWidth="1"/>
    <col min="7041" max="7041" width="12" style="151" bestFit="1" customWidth="1"/>
    <col min="7042" max="7042" width="11" style="151" bestFit="1" customWidth="1"/>
    <col min="7043" max="7155" width="9.140625" style="151"/>
    <col min="7156" max="7156" width="8.28515625" style="151" bestFit="1" customWidth="1"/>
    <col min="7157" max="7157" width="26" style="151" bestFit="1" customWidth="1"/>
    <col min="7158" max="7158" width="12" style="151" customWidth="1"/>
    <col min="7159" max="7159" width="8.140625" style="151" customWidth="1"/>
    <col min="7160" max="7160" width="11.140625" style="151" customWidth="1"/>
    <col min="7161" max="7161" width="8.28515625" style="151" customWidth="1"/>
    <col min="7162" max="7162" width="9.85546875" style="151" customWidth="1"/>
    <col min="7163" max="7163" width="8" style="151" customWidth="1"/>
    <col min="7164" max="7164" width="9.85546875" style="151" customWidth="1"/>
    <col min="7165" max="7165" width="6" style="151" customWidth="1"/>
    <col min="7166" max="7166" width="11.140625" style="151" customWidth="1"/>
    <col min="7167" max="7167" width="6.85546875" style="151" customWidth="1"/>
    <col min="7168" max="7168" width="11.7109375" style="151" customWidth="1"/>
    <col min="7169" max="7169" width="7.140625" style="151" customWidth="1"/>
    <col min="7170" max="7170" width="9" style="151" customWidth="1"/>
    <col min="7171" max="7171" width="7.140625" style="151" customWidth="1"/>
    <col min="7172" max="7172" width="12" style="151" customWidth="1"/>
    <col min="7173" max="7173" width="12.7109375" style="151" customWidth="1"/>
    <col min="7174" max="7185" width="11.140625" style="151" bestFit="1" customWidth="1"/>
    <col min="7186" max="7186" width="12" style="151" bestFit="1" customWidth="1"/>
    <col min="7187" max="7187" width="10" style="151" bestFit="1" customWidth="1"/>
    <col min="7188" max="7206" width="12.7109375" style="151" customWidth="1"/>
    <col min="7207" max="7217" width="9.85546875" style="151" bestFit="1" customWidth="1"/>
    <col min="7218" max="7218" width="11.140625" style="151" bestFit="1" customWidth="1"/>
    <col min="7219" max="7233" width="9.140625" style="151"/>
    <col min="7234" max="7234" width="9.85546875" style="151" bestFit="1" customWidth="1"/>
    <col min="7235" max="7249" width="9.140625" style="151"/>
    <col min="7250" max="7250" width="9.85546875" style="151" bestFit="1" customWidth="1"/>
    <col min="7251" max="7265" width="9.140625" style="151"/>
    <col min="7266" max="7266" width="9.85546875" style="151" bestFit="1" customWidth="1"/>
    <col min="7267" max="7281" width="9.140625" style="151"/>
    <col min="7282" max="7282" width="9.85546875" style="151" bestFit="1" customWidth="1"/>
    <col min="7283" max="7284" width="9.140625" style="151"/>
    <col min="7285" max="7285" width="11" style="151" bestFit="1" customWidth="1"/>
    <col min="7286" max="7290" width="11.140625" style="151" bestFit="1" customWidth="1"/>
    <col min="7291" max="7291" width="9.85546875" style="151" bestFit="1" customWidth="1"/>
    <col min="7292" max="7296" width="11.140625" style="151" bestFit="1" customWidth="1"/>
    <col min="7297" max="7297" width="12" style="151" bestFit="1" customWidth="1"/>
    <col min="7298" max="7298" width="11" style="151" bestFit="1" customWidth="1"/>
    <col min="7299" max="7411" width="9.140625" style="151"/>
    <col min="7412" max="7412" width="8.28515625" style="151" bestFit="1" customWidth="1"/>
    <col min="7413" max="7413" width="26" style="151" bestFit="1" customWidth="1"/>
    <col min="7414" max="7414" width="12" style="151" customWidth="1"/>
    <col min="7415" max="7415" width="8.140625" style="151" customWidth="1"/>
    <col min="7416" max="7416" width="11.140625" style="151" customWidth="1"/>
    <col min="7417" max="7417" width="8.28515625" style="151" customWidth="1"/>
    <col min="7418" max="7418" width="9.85546875" style="151" customWidth="1"/>
    <col min="7419" max="7419" width="8" style="151" customWidth="1"/>
    <col min="7420" max="7420" width="9.85546875" style="151" customWidth="1"/>
    <col min="7421" max="7421" width="6" style="151" customWidth="1"/>
    <col min="7422" max="7422" width="11.140625" style="151" customWidth="1"/>
    <col min="7423" max="7423" width="6.85546875" style="151" customWidth="1"/>
    <col min="7424" max="7424" width="11.7109375" style="151" customWidth="1"/>
    <col min="7425" max="7425" width="7.140625" style="151" customWidth="1"/>
    <col min="7426" max="7426" width="9" style="151" customWidth="1"/>
    <col min="7427" max="7427" width="7.140625" style="151" customWidth="1"/>
    <col min="7428" max="7428" width="12" style="151" customWidth="1"/>
    <col min="7429" max="7429" width="12.7109375" style="151" customWidth="1"/>
    <col min="7430" max="7441" width="11.140625" style="151" bestFit="1" customWidth="1"/>
    <col min="7442" max="7442" width="12" style="151" bestFit="1" customWidth="1"/>
    <col min="7443" max="7443" width="10" style="151" bestFit="1" customWidth="1"/>
    <col min="7444" max="7462" width="12.7109375" style="151" customWidth="1"/>
    <col min="7463" max="7473" width="9.85546875" style="151" bestFit="1" customWidth="1"/>
    <col min="7474" max="7474" width="11.140625" style="151" bestFit="1" customWidth="1"/>
    <col min="7475" max="7489" width="9.140625" style="151"/>
    <col min="7490" max="7490" width="9.85546875" style="151" bestFit="1" customWidth="1"/>
    <col min="7491" max="7505" width="9.140625" style="151"/>
    <col min="7506" max="7506" width="9.85546875" style="151" bestFit="1" customWidth="1"/>
    <col min="7507" max="7521" width="9.140625" style="151"/>
    <col min="7522" max="7522" width="9.85546875" style="151" bestFit="1" customWidth="1"/>
    <col min="7523" max="7537" width="9.140625" style="151"/>
    <col min="7538" max="7538" width="9.85546875" style="151" bestFit="1" customWidth="1"/>
    <col min="7539" max="7540" width="9.140625" style="151"/>
    <col min="7541" max="7541" width="11" style="151" bestFit="1" customWidth="1"/>
    <col min="7542" max="7546" width="11.140625" style="151" bestFit="1" customWidth="1"/>
    <col min="7547" max="7547" width="9.85546875" style="151" bestFit="1" customWidth="1"/>
    <col min="7548" max="7552" width="11.140625" style="151" bestFit="1" customWidth="1"/>
    <col min="7553" max="7553" width="12" style="151" bestFit="1" customWidth="1"/>
    <col min="7554" max="7554" width="11" style="151" bestFit="1" customWidth="1"/>
    <col min="7555" max="7667" width="9.140625" style="151"/>
    <col min="7668" max="7668" width="8.28515625" style="151" bestFit="1" customWidth="1"/>
    <col min="7669" max="7669" width="26" style="151" bestFit="1" customWidth="1"/>
    <col min="7670" max="7670" width="12" style="151" customWidth="1"/>
    <col min="7671" max="7671" width="8.140625" style="151" customWidth="1"/>
    <col min="7672" max="7672" width="11.140625" style="151" customWidth="1"/>
    <col min="7673" max="7673" width="8.28515625" style="151" customWidth="1"/>
    <col min="7674" max="7674" width="9.85546875" style="151" customWidth="1"/>
    <col min="7675" max="7675" width="8" style="151" customWidth="1"/>
    <col min="7676" max="7676" width="9.85546875" style="151" customWidth="1"/>
    <col min="7677" max="7677" width="6" style="151" customWidth="1"/>
    <col min="7678" max="7678" width="11.140625" style="151" customWidth="1"/>
    <col min="7679" max="7679" width="6.85546875" style="151" customWidth="1"/>
    <col min="7680" max="7680" width="11.7109375" style="151" customWidth="1"/>
    <col min="7681" max="7681" width="7.140625" style="151" customWidth="1"/>
    <col min="7682" max="7682" width="9" style="151" customWidth="1"/>
    <col min="7683" max="7683" width="7.140625" style="151" customWidth="1"/>
    <col min="7684" max="7684" width="12" style="151" customWidth="1"/>
    <col min="7685" max="7685" width="12.7109375" style="151" customWidth="1"/>
    <col min="7686" max="7697" width="11.140625" style="151" bestFit="1" customWidth="1"/>
    <col min="7698" max="7698" width="12" style="151" bestFit="1" customWidth="1"/>
    <col min="7699" max="7699" width="10" style="151" bestFit="1" customWidth="1"/>
    <col min="7700" max="7718" width="12.7109375" style="151" customWidth="1"/>
    <col min="7719" max="7729" width="9.85546875" style="151" bestFit="1" customWidth="1"/>
    <col min="7730" max="7730" width="11.140625" style="151" bestFit="1" customWidth="1"/>
    <col min="7731" max="7745" width="9.140625" style="151"/>
    <col min="7746" max="7746" width="9.85546875" style="151" bestFit="1" customWidth="1"/>
    <col min="7747" max="7761" width="9.140625" style="151"/>
    <col min="7762" max="7762" width="9.85546875" style="151" bestFit="1" customWidth="1"/>
    <col min="7763" max="7777" width="9.140625" style="151"/>
    <col min="7778" max="7778" width="9.85546875" style="151" bestFit="1" customWidth="1"/>
    <col min="7779" max="7793" width="9.140625" style="151"/>
    <col min="7794" max="7794" width="9.85546875" style="151" bestFit="1" customWidth="1"/>
    <col min="7795" max="7796" width="9.140625" style="151"/>
    <col min="7797" max="7797" width="11" style="151" bestFit="1" customWidth="1"/>
    <col min="7798" max="7802" width="11.140625" style="151" bestFit="1" customWidth="1"/>
    <col min="7803" max="7803" width="9.85546875" style="151" bestFit="1" customWidth="1"/>
    <col min="7804" max="7808" width="11.140625" style="151" bestFit="1" customWidth="1"/>
    <col min="7809" max="7809" width="12" style="151" bestFit="1" customWidth="1"/>
    <col min="7810" max="7810" width="11" style="151" bestFit="1" customWidth="1"/>
    <col min="7811" max="7923" width="9.140625" style="151"/>
    <col min="7924" max="7924" width="8.28515625" style="151" bestFit="1" customWidth="1"/>
    <col min="7925" max="7925" width="26" style="151" bestFit="1" customWidth="1"/>
    <col min="7926" max="7926" width="12" style="151" customWidth="1"/>
    <col min="7927" max="7927" width="8.140625" style="151" customWidth="1"/>
    <col min="7928" max="7928" width="11.140625" style="151" customWidth="1"/>
    <col min="7929" max="7929" width="8.28515625" style="151" customWidth="1"/>
    <col min="7930" max="7930" width="9.85546875" style="151" customWidth="1"/>
    <col min="7931" max="7931" width="8" style="151" customWidth="1"/>
    <col min="7932" max="7932" width="9.85546875" style="151" customWidth="1"/>
    <col min="7933" max="7933" width="6" style="151" customWidth="1"/>
    <col min="7934" max="7934" width="11.140625" style="151" customWidth="1"/>
    <col min="7935" max="7935" width="6.85546875" style="151" customWidth="1"/>
    <col min="7936" max="7936" width="11.7109375" style="151" customWidth="1"/>
    <col min="7937" max="7937" width="7.140625" style="151" customWidth="1"/>
    <col min="7938" max="7938" width="9" style="151" customWidth="1"/>
    <col min="7939" max="7939" width="7.140625" style="151" customWidth="1"/>
    <col min="7940" max="7940" width="12" style="151" customWidth="1"/>
    <col min="7941" max="7941" width="12.7109375" style="151" customWidth="1"/>
    <col min="7942" max="7953" width="11.140625" style="151" bestFit="1" customWidth="1"/>
    <col min="7954" max="7954" width="12" style="151" bestFit="1" customWidth="1"/>
    <col min="7955" max="7955" width="10" style="151" bestFit="1" customWidth="1"/>
    <col min="7956" max="7974" width="12.7109375" style="151" customWidth="1"/>
    <col min="7975" max="7985" width="9.85546875" style="151" bestFit="1" customWidth="1"/>
    <col min="7986" max="7986" width="11.140625" style="151" bestFit="1" customWidth="1"/>
    <col min="7987" max="8001" width="9.140625" style="151"/>
    <col min="8002" max="8002" width="9.85546875" style="151" bestFit="1" customWidth="1"/>
    <col min="8003" max="8017" width="9.140625" style="151"/>
    <col min="8018" max="8018" width="9.85546875" style="151" bestFit="1" customWidth="1"/>
    <col min="8019" max="8033" width="9.140625" style="151"/>
    <col min="8034" max="8034" width="9.85546875" style="151" bestFit="1" customWidth="1"/>
    <col min="8035" max="8049" width="9.140625" style="151"/>
    <col min="8050" max="8050" width="9.85546875" style="151" bestFit="1" customWidth="1"/>
    <col min="8051" max="8052" width="9.140625" style="151"/>
    <col min="8053" max="8053" width="11" style="151" bestFit="1" customWidth="1"/>
    <col min="8054" max="8058" width="11.140625" style="151" bestFit="1" customWidth="1"/>
    <col min="8059" max="8059" width="9.85546875" style="151" bestFit="1" customWidth="1"/>
    <col min="8060" max="8064" width="11.140625" style="151" bestFit="1" customWidth="1"/>
    <col min="8065" max="8065" width="12" style="151" bestFit="1" customWidth="1"/>
    <col min="8066" max="8066" width="11" style="151" bestFit="1" customWidth="1"/>
    <col min="8067" max="8179" width="9.140625" style="151"/>
    <col min="8180" max="8180" width="8.28515625" style="151" bestFit="1" customWidth="1"/>
    <col min="8181" max="8181" width="26" style="151" bestFit="1" customWidth="1"/>
    <col min="8182" max="8182" width="12" style="151" customWidth="1"/>
    <col min="8183" max="8183" width="8.140625" style="151" customWidth="1"/>
    <col min="8184" max="8184" width="11.140625" style="151" customWidth="1"/>
    <col min="8185" max="8185" width="8.28515625" style="151" customWidth="1"/>
    <col min="8186" max="8186" width="9.85546875" style="151" customWidth="1"/>
    <col min="8187" max="8187" width="8" style="151" customWidth="1"/>
    <col min="8188" max="8188" width="9.85546875" style="151" customWidth="1"/>
    <col min="8189" max="8189" width="6" style="151" customWidth="1"/>
    <col min="8190" max="8190" width="11.140625" style="151" customWidth="1"/>
    <col min="8191" max="8191" width="6.85546875" style="151" customWidth="1"/>
    <col min="8192" max="8192" width="11.7109375" style="151" customWidth="1"/>
    <col min="8193" max="8193" width="7.140625" style="151" customWidth="1"/>
    <col min="8194" max="8194" width="9" style="151" customWidth="1"/>
    <col min="8195" max="8195" width="7.140625" style="151" customWidth="1"/>
    <col min="8196" max="8196" width="12" style="151" customWidth="1"/>
    <col min="8197" max="8197" width="12.7109375" style="151" customWidth="1"/>
    <col min="8198" max="8209" width="11.140625" style="151" bestFit="1" customWidth="1"/>
    <col min="8210" max="8210" width="12" style="151" bestFit="1" customWidth="1"/>
    <col min="8211" max="8211" width="10" style="151" bestFit="1" customWidth="1"/>
    <col min="8212" max="8230" width="12.7109375" style="151" customWidth="1"/>
    <col min="8231" max="8241" width="9.85546875" style="151" bestFit="1" customWidth="1"/>
    <col min="8242" max="8242" width="11.140625" style="151" bestFit="1" customWidth="1"/>
    <col min="8243" max="8257" width="9.140625" style="151"/>
    <col min="8258" max="8258" width="9.85546875" style="151" bestFit="1" customWidth="1"/>
    <col min="8259" max="8273" width="9.140625" style="151"/>
    <col min="8274" max="8274" width="9.85546875" style="151" bestFit="1" customWidth="1"/>
    <col min="8275" max="8289" width="9.140625" style="151"/>
    <col min="8290" max="8290" width="9.85546875" style="151" bestFit="1" customWidth="1"/>
    <col min="8291" max="8305" width="9.140625" style="151"/>
    <col min="8306" max="8306" width="9.85546875" style="151" bestFit="1" customWidth="1"/>
    <col min="8307" max="8308" width="9.140625" style="151"/>
    <col min="8309" max="8309" width="11" style="151" bestFit="1" customWidth="1"/>
    <col min="8310" max="8314" width="11.140625" style="151" bestFit="1" customWidth="1"/>
    <col min="8315" max="8315" width="9.85546875" style="151" bestFit="1" customWidth="1"/>
    <col min="8316" max="8320" width="11.140625" style="151" bestFit="1" customWidth="1"/>
    <col min="8321" max="8321" width="12" style="151" bestFit="1" customWidth="1"/>
    <col min="8322" max="8322" width="11" style="151" bestFit="1" customWidth="1"/>
    <col min="8323" max="8435" width="9.140625" style="151"/>
    <col min="8436" max="8436" width="8.28515625" style="151" bestFit="1" customWidth="1"/>
    <col min="8437" max="8437" width="26" style="151" bestFit="1" customWidth="1"/>
    <col min="8438" max="8438" width="12" style="151" customWidth="1"/>
    <col min="8439" max="8439" width="8.140625" style="151" customWidth="1"/>
    <col min="8440" max="8440" width="11.140625" style="151" customWidth="1"/>
    <col min="8441" max="8441" width="8.28515625" style="151" customWidth="1"/>
    <col min="8442" max="8442" width="9.85546875" style="151" customWidth="1"/>
    <col min="8443" max="8443" width="8" style="151" customWidth="1"/>
    <col min="8444" max="8444" width="9.85546875" style="151" customWidth="1"/>
    <col min="8445" max="8445" width="6" style="151" customWidth="1"/>
    <col min="8446" max="8446" width="11.140625" style="151" customWidth="1"/>
    <col min="8447" max="8447" width="6.85546875" style="151" customWidth="1"/>
    <col min="8448" max="8448" width="11.7109375" style="151" customWidth="1"/>
    <col min="8449" max="8449" width="7.140625" style="151" customWidth="1"/>
    <col min="8450" max="8450" width="9" style="151" customWidth="1"/>
    <col min="8451" max="8451" width="7.140625" style="151" customWidth="1"/>
    <col min="8452" max="8452" width="12" style="151" customWidth="1"/>
    <col min="8453" max="8453" width="12.7109375" style="151" customWidth="1"/>
    <col min="8454" max="8465" width="11.140625" style="151" bestFit="1" customWidth="1"/>
    <col min="8466" max="8466" width="12" style="151" bestFit="1" customWidth="1"/>
    <col min="8467" max="8467" width="10" style="151" bestFit="1" customWidth="1"/>
    <col min="8468" max="8486" width="12.7109375" style="151" customWidth="1"/>
    <col min="8487" max="8497" width="9.85546875" style="151" bestFit="1" customWidth="1"/>
    <col min="8498" max="8498" width="11.140625" style="151" bestFit="1" customWidth="1"/>
    <col min="8499" max="8513" width="9.140625" style="151"/>
    <col min="8514" max="8514" width="9.85546875" style="151" bestFit="1" customWidth="1"/>
    <col min="8515" max="8529" width="9.140625" style="151"/>
    <col min="8530" max="8530" width="9.85546875" style="151" bestFit="1" customWidth="1"/>
    <col min="8531" max="8545" width="9.140625" style="151"/>
    <col min="8546" max="8546" width="9.85546875" style="151" bestFit="1" customWidth="1"/>
    <col min="8547" max="8561" width="9.140625" style="151"/>
    <col min="8562" max="8562" width="9.85546875" style="151" bestFit="1" customWidth="1"/>
    <col min="8563" max="8564" width="9.140625" style="151"/>
    <col min="8565" max="8565" width="11" style="151" bestFit="1" customWidth="1"/>
    <col min="8566" max="8570" width="11.140625" style="151" bestFit="1" customWidth="1"/>
    <col min="8571" max="8571" width="9.85546875" style="151" bestFit="1" customWidth="1"/>
    <col min="8572" max="8576" width="11.140625" style="151" bestFit="1" customWidth="1"/>
    <col min="8577" max="8577" width="12" style="151" bestFit="1" customWidth="1"/>
    <col min="8578" max="8578" width="11" style="151" bestFit="1" customWidth="1"/>
    <col min="8579" max="8691" width="9.140625" style="151"/>
    <col min="8692" max="8692" width="8.28515625" style="151" bestFit="1" customWidth="1"/>
    <col min="8693" max="8693" width="26" style="151" bestFit="1" customWidth="1"/>
    <col min="8694" max="8694" width="12" style="151" customWidth="1"/>
    <col min="8695" max="8695" width="8.140625" style="151" customWidth="1"/>
    <col min="8696" max="8696" width="11.140625" style="151" customWidth="1"/>
    <col min="8697" max="8697" width="8.28515625" style="151" customWidth="1"/>
    <col min="8698" max="8698" width="9.85546875" style="151" customWidth="1"/>
    <col min="8699" max="8699" width="8" style="151" customWidth="1"/>
    <col min="8700" max="8700" width="9.85546875" style="151" customWidth="1"/>
    <col min="8701" max="8701" width="6" style="151" customWidth="1"/>
    <col min="8702" max="8702" width="11.140625" style="151" customWidth="1"/>
    <col min="8703" max="8703" width="6.85546875" style="151" customWidth="1"/>
    <col min="8704" max="8704" width="11.7109375" style="151" customWidth="1"/>
    <col min="8705" max="8705" width="7.140625" style="151" customWidth="1"/>
    <col min="8706" max="8706" width="9" style="151" customWidth="1"/>
    <col min="8707" max="8707" width="7.140625" style="151" customWidth="1"/>
    <col min="8708" max="8708" width="12" style="151" customWidth="1"/>
    <col min="8709" max="8709" width="12.7109375" style="151" customWidth="1"/>
    <col min="8710" max="8721" width="11.140625" style="151" bestFit="1" customWidth="1"/>
    <col min="8722" max="8722" width="12" style="151" bestFit="1" customWidth="1"/>
    <col min="8723" max="8723" width="10" style="151" bestFit="1" customWidth="1"/>
    <col min="8724" max="8742" width="12.7109375" style="151" customWidth="1"/>
    <col min="8743" max="8753" width="9.85546875" style="151" bestFit="1" customWidth="1"/>
    <col min="8754" max="8754" width="11.140625" style="151" bestFit="1" customWidth="1"/>
    <col min="8755" max="8769" width="9.140625" style="151"/>
    <col min="8770" max="8770" width="9.85546875" style="151" bestFit="1" customWidth="1"/>
    <col min="8771" max="8785" width="9.140625" style="151"/>
    <col min="8786" max="8786" width="9.85546875" style="151" bestFit="1" customWidth="1"/>
    <col min="8787" max="8801" width="9.140625" style="151"/>
    <col min="8802" max="8802" width="9.85546875" style="151" bestFit="1" customWidth="1"/>
    <col min="8803" max="8817" width="9.140625" style="151"/>
    <col min="8818" max="8818" width="9.85546875" style="151" bestFit="1" customWidth="1"/>
    <col min="8819" max="8820" width="9.140625" style="151"/>
    <col min="8821" max="8821" width="11" style="151" bestFit="1" customWidth="1"/>
    <col min="8822" max="8826" width="11.140625" style="151" bestFit="1" customWidth="1"/>
    <col min="8827" max="8827" width="9.85546875" style="151" bestFit="1" customWidth="1"/>
    <col min="8828" max="8832" width="11.140625" style="151" bestFit="1" customWidth="1"/>
    <col min="8833" max="8833" width="12" style="151" bestFit="1" customWidth="1"/>
    <col min="8834" max="8834" width="11" style="151" bestFit="1" customWidth="1"/>
    <col min="8835" max="8947" width="9.140625" style="151"/>
    <col min="8948" max="8948" width="8.28515625" style="151" bestFit="1" customWidth="1"/>
    <col min="8949" max="8949" width="26" style="151" bestFit="1" customWidth="1"/>
    <col min="8950" max="8950" width="12" style="151" customWidth="1"/>
    <col min="8951" max="8951" width="8.140625" style="151" customWidth="1"/>
    <col min="8952" max="8952" width="11.140625" style="151" customWidth="1"/>
    <col min="8953" max="8953" width="8.28515625" style="151" customWidth="1"/>
    <col min="8954" max="8954" width="9.85546875" style="151" customWidth="1"/>
    <col min="8955" max="8955" width="8" style="151" customWidth="1"/>
    <col min="8956" max="8956" width="9.85546875" style="151" customWidth="1"/>
    <col min="8957" max="8957" width="6" style="151" customWidth="1"/>
    <col min="8958" max="8958" width="11.140625" style="151" customWidth="1"/>
    <col min="8959" max="8959" width="6.85546875" style="151" customWidth="1"/>
    <col min="8960" max="8960" width="11.7109375" style="151" customWidth="1"/>
    <col min="8961" max="8961" width="7.140625" style="151" customWidth="1"/>
    <col min="8962" max="8962" width="9" style="151" customWidth="1"/>
    <col min="8963" max="8963" width="7.140625" style="151" customWidth="1"/>
    <col min="8964" max="8964" width="12" style="151" customWidth="1"/>
    <col min="8965" max="8965" width="12.7109375" style="151" customWidth="1"/>
    <col min="8966" max="8977" width="11.140625" style="151" bestFit="1" customWidth="1"/>
    <col min="8978" max="8978" width="12" style="151" bestFit="1" customWidth="1"/>
    <col min="8979" max="8979" width="10" style="151" bestFit="1" customWidth="1"/>
    <col min="8980" max="8998" width="12.7109375" style="151" customWidth="1"/>
    <col min="8999" max="9009" width="9.85546875" style="151" bestFit="1" customWidth="1"/>
    <col min="9010" max="9010" width="11.140625" style="151" bestFit="1" customWidth="1"/>
    <col min="9011" max="9025" width="9.140625" style="151"/>
    <col min="9026" max="9026" width="9.85546875" style="151" bestFit="1" customWidth="1"/>
    <col min="9027" max="9041" width="9.140625" style="151"/>
    <col min="9042" max="9042" width="9.85546875" style="151" bestFit="1" customWidth="1"/>
    <col min="9043" max="9057" width="9.140625" style="151"/>
    <col min="9058" max="9058" width="9.85546875" style="151" bestFit="1" customWidth="1"/>
    <col min="9059" max="9073" width="9.140625" style="151"/>
    <col min="9074" max="9074" width="9.85546875" style="151" bestFit="1" customWidth="1"/>
    <col min="9075" max="9076" width="9.140625" style="151"/>
    <col min="9077" max="9077" width="11" style="151" bestFit="1" customWidth="1"/>
    <col min="9078" max="9082" width="11.140625" style="151" bestFit="1" customWidth="1"/>
    <col min="9083" max="9083" width="9.85546875" style="151" bestFit="1" customWidth="1"/>
    <col min="9084" max="9088" width="11.140625" style="151" bestFit="1" customWidth="1"/>
    <col min="9089" max="9089" width="12" style="151" bestFit="1" customWidth="1"/>
    <col min="9090" max="9090" width="11" style="151" bestFit="1" customWidth="1"/>
    <col min="9091" max="9203" width="9.140625" style="151"/>
    <col min="9204" max="9204" width="8.28515625" style="151" bestFit="1" customWidth="1"/>
    <col min="9205" max="9205" width="26" style="151" bestFit="1" customWidth="1"/>
    <col min="9206" max="9206" width="12" style="151" customWidth="1"/>
    <col min="9207" max="9207" width="8.140625" style="151" customWidth="1"/>
    <col min="9208" max="9208" width="11.140625" style="151" customWidth="1"/>
    <col min="9209" max="9209" width="8.28515625" style="151" customWidth="1"/>
    <col min="9210" max="9210" width="9.85546875" style="151" customWidth="1"/>
    <col min="9211" max="9211" width="8" style="151" customWidth="1"/>
    <col min="9212" max="9212" width="9.85546875" style="151" customWidth="1"/>
    <col min="9213" max="9213" width="6" style="151" customWidth="1"/>
    <col min="9214" max="9214" width="11.140625" style="151" customWidth="1"/>
    <col min="9215" max="9215" width="6.85546875" style="151" customWidth="1"/>
    <col min="9216" max="9216" width="11.7109375" style="151" customWidth="1"/>
    <col min="9217" max="9217" width="7.140625" style="151" customWidth="1"/>
    <col min="9218" max="9218" width="9" style="151" customWidth="1"/>
    <col min="9219" max="9219" width="7.140625" style="151" customWidth="1"/>
    <col min="9220" max="9220" width="12" style="151" customWidth="1"/>
    <col min="9221" max="9221" width="12.7109375" style="151" customWidth="1"/>
    <col min="9222" max="9233" width="11.140625" style="151" bestFit="1" customWidth="1"/>
    <col min="9234" max="9234" width="12" style="151" bestFit="1" customWidth="1"/>
    <col min="9235" max="9235" width="10" style="151" bestFit="1" customWidth="1"/>
    <col min="9236" max="9254" width="12.7109375" style="151" customWidth="1"/>
    <col min="9255" max="9265" width="9.85546875" style="151" bestFit="1" customWidth="1"/>
    <col min="9266" max="9266" width="11.140625" style="151" bestFit="1" customWidth="1"/>
    <col min="9267" max="9281" width="9.140625" style="151"/>
    <col min="9282" max="9282" width="9.85546875" style="151" bestFit="1" customWidth="1"/>
    <col min="9283" max="9297" width="9.140625" style="151"/>
    <col min="9298" max="9298" width="9.85546875" style="151" bestFit="1" customWidth="1"/>
    <col min="9299" max="9313" width="9.140625" style="151"/>
    <col min="9314" max="9314" width="9.85546875" style="151" bestFit="1" customWidth="1"/>
    <col min="9315" max="9329" width="9.140625" style="151"/>
    <col min="9330" max="9330" width="9.85546875" style="151" bestFit="1" customWidth="1"/>
    <col min="9331" max="9332" width="9.140625" style="151"/>
    <col min="9333" max="9333" width="11" style="151" bestFit="1" customWidth="1"/>
    <col min="9334" max="9338" width="11.140625" style="151" bestFit="1" customWidth="1"/>
    <col min="9339" max="9339" width="9.85546875" style="151" bestFit="1" customWidth="1"/>
    <col min="9340" max="9344" width="11.140625" style="151" bestFit="1" customWidth="1"/>
    <col min="9345" max="9345" width="12" style="151" bestFit="1" customWidth="1"/>
    <col min="9346" max="9346" width="11" style="151" bestFit="1" customWidth="1"/>
    <col min="9347" max="9459" width="9.140625" style="151"/>
    <col min="9460" max="9460" width="8.28515625" style="151" bestFit="1" customWidth="1"/>
    <col min="9461" max="9461" width="26" style="151" bestFit="1" customWidth="1"/>
    <col min="9462" max="9462" width="12" style="151" customWidth="1"/>
    <col min="9463" max="9463" width="8.140625" style="151" customWidth="1"/>
    <col min="9464" max="9464" width="11.140625" style="151" customWidth="1"/>
    <col min="9465" max="9465" width="8.28515625" style="151" customWidth="1"/>
    <col min="9466" max="9466" width="9.85546875" style="151" customWidth="1"/>
    <col min="9467" max="9467" width="8" style="151" customWidth="1"/>
    <col min="9468" max="9468" width="9.85546875" style="151" customWidth="1"/>
    <col min="9469" max="9469" width="6" style="151" customWidth="1"/>
    <col min="9470" max="9470" width="11.140625" style="151" customWidth="1"/>
    <col min="9471" max="9471" width="6.85546875" style="151" customWidth="1"/>
    <col min="9472" max="9472" width="11.7109375" style="151" customWidth="1"/>
    <col min="9473" max="9473" width="7.140625" style="151" customWidth="1"/>
    <col min="9474" max="9474" width="9" style="151" customWidth="1"/>
    <col min="9475" max="9475" width="7.140625" style="151" customWidth="1"/>
    <col min="9476" max="9476" width="12" style="151" customWidth="1"/>
    <col min="9477" max="9477" width="12.7109375" style="151" customWidth="1"/>
    <col min="9478" max="9489" width="11.140625" style="151" bestFit="1" customWidth="1"/>
    <col min="9490" max="9490" width="12" style="151" bestFit="1" customWidth="1"/>
    <col min="9491" max="9491" width="10" style="151" bestFit="1" customWidth="1"/>
    <col min="9492" max="9510" width="12.7109375" style="151" customWidth="1"/>
    <col min="9511" max="9521" width="9.85546875" style="151" bestFit="1" customWidth="1"/>
    <col min="9522" max="9522" width="11.140625" style="151" bestFit="1" customWidth="1"/>
    <col min="9523" max="9537" width="9.140625" style="151"/>
    <col min="9538" max="9538" width="9.85546875" style="151" bestFit="1" customWidth="1"/>
    <col min="9539" max="9553" width="9.140625" style="151"/>
    <col min="9554" max="9554" width="9.85546875" style="151" bestFit="1" customWidth="1"/>
    <col min="9555" max="9569" width="9.140625" style="151"/>
    <col min="9570" max="9570" width="9.85546875" style="151" bestFit="1" customWidth="1"/>
    <col min="9571" max="9585" width="9.140625" style="151"/>
    <col min="9586" max="9586" width="9.85546875" style="151" bestFit="1" customWidth="1"/>
    <col min="9587" max="9588" width="9.140625" style="151"/>
    <col min="9589" max="9589" width="11" style="151" bestFit="1" customWidth="1"/>
    <col min="9590" max="9594" width="11.140625" style="151" bestFit="1" customWidth="1"/>
    <col min="9595" max="9595" width="9.85546875" style="151" bestFit="1" customWidth="1"/>
    <col min="9596" max="9600" width="11.140625" style="151" bestFit="1" customWidth="1"/>
    <col min="9601" max="9601" width="12" style="151" bestFit="1" customWidth="1"/>
    <col min="9602" max="9602" width="11" style="151" bestFit="1" customWidth="1"/>
    <col min="9603" max="9715" width="9.140625" style="151"/>
    <col min="9716" max="9716" width="8.28515625" style="151" bestFit="1" customWidth="1"/>
    <col min="9717" max="9717" width="26" style="151" bestFit="1" customWidth="1"/>
    <col min="9718" max="9718" width="12" style="151" customWidth="1"/>
    <col min="9719" max="9719" width="8.140625" style="151" customWidth="1"/>
    <col min="9720" max="9720" width="11.140625" style="151" customWidth="1"/>
    <col min="9721" max="9721" width="8.28515625" style="151" customWidth="1"/>
    <col min="9722" max="9722" width="9.85546875" style="151" customWidth="1"/>
    <col min="9723" max="9723" width="8" style="151" customWidth="1"/>
    <col min="9724" max="9724" width="9.85546875" style="151" customWidth="1"/>
    <col min="9725" max="9725" width="6" style="151" customWidth="1"/>
    <col min="9726" max="9726" width="11.140625" style="151" customWidth="1"/>
    <col min="9727" max="9727" width="6.85546875" style="151" customWidth="1"/>
    <col min="9728" max="9728" width="11.7109375" style="151" customWidth="1"/>
    <col min="9729" max="9729" width="7.140625" style="151" customWidth="1"/>
    <col min="9730" max="9730" width="9" style="151" customWidth="1"/>
    <col min="9731" max="9731" width="7.140625" style="151" customWidth="1"/>
    <col min="9732" max="9732" width="12" style="151" customWidth="1"/>
    <col min="9733" max="9733" width="12.7109375" style="151" customWidth="1"/>
    <col min="9734" max="9745" width="11.140625" style="151" bestFit="1" customWidth="1"/>
    <col min="9746" max="9746" width="12" style="151" bestFit="1" customWidth="1"/>
    <col min="9747" max="9747" width="10" style="151" bestFit="1" customWidth="1"/>
    <col min="9748" max="9766" width="12.7109375" style="151" customWidth="1"/>
    <col min="9767" max="9777" width="9.85546875" style="151" bestFit="1" customWidth="1"/>
    <col min="9778" max="9778" width="11.140625" style="151" bestFit="1" customWidth="1"/>
    <col min="9779" max="9793" width="9.140625" style="151"/>
    <col min="9794" max="9794" width="9.85546875" style="151" bestFit="1" customWidth="1"/>
    <col min="9795" max="9809" width="9.140625" style="151"/>
    <col min="9810" max="9810" width="9.85546875" style="151" bestFit="1" customWidth="1"/>
    <col min="9811" max="9825" width="9.140625" style="151"/>
    <col min="9826" max="9826" width="9.85546875" style="151" bestFit="1" customWidth="1"/>
    <col min="9827" max="9841" width="9.140625" style="151"/>
    <col min="9842" max="9842" width="9.85546875" style="151" bestFit="1" customWidth="1"/>
    <col min="9843" max="9844" width="9.140625" style="151"/>
    <col min="9845" max="9845" width="11" style="151" bestFit="1" customWidth="1"/>
    <col min="9846" max="9850" width="11.140625" style="151" bestFit="1" customWidth="1"/>
    <col min="9851" max="9851" width="9.85546875" style="151" bestFit="1" customWidth="1"/>
    <col min="9852" max="9856" width="11.140625" style="151" bestFit="1" customWidth="1"/>
    <col min="9857" max="9857" width="12" style="151" bestFit="1" customWidth="1"/>
    <col min="9858" max="9858" width="11" style="151" bestFit="1" customWidth="1"/>
    <col min="9859" max="9971" width="9.140625" style="151"/>
    <col min="9972" max="9972" width="8.28515625" style="151" bestFit="1" customWidth="1"/>
    <col min="9973" max="9973" width="26" style="151" bestFit="1" customWidth="1"/>
    <col min="9974" max="9974" width="12" style="151" customWidth="1"/>
    <col min="9975" max="9975" width="8.140625" style="151" customWidth="1"/>
    <col min="9976" max="9976" width="11.140625" style="151" customWidth="1"/>
    <col min="9977" max="9977" width="8.28515625" style="151" customWidth="1"/>
    <col min="9978" max="9978" width="9.85546875" style="151" customWidth="1"/>
    <col min="9979" max="9979" width="8" style="151" customWidth="1"/>
    <col min="9980" max="9980" width="9.85546875" style="151" customWidth="1"/>
    <col min="9981" max="9981" width="6" style="151" customWidth="1"/>
    <col min="9982" max="9982" width="11.140625" style="151" customWidth="1"/>
    <col min="9983" max="9983" width="6.85546875" style="151" customWidth="1"/>
    <col min="9984" max="9984" width="11.7109375" style="151" customWidth="1"/>
    <col min="9985" max="9985" width="7.140625" style="151" customWidth="1"/>
    <col min="9986" max="9986" width="9" style="151" customWidth="1"/>
    <col min="9987" max="9987" width="7.140625" style="151" customWidth="1"/>
    <col min="9988" max="9988" width="12" style="151" customWidth="1"/>
    <col min="9989" max="9989" width="12.7109375" style="151" customWidth="1"/>
    <col min="9990" max="10001" width="11.140625" style="151" bestFit="1" customWidth="1"/>
    <col min="10002" max="10002" width="12" style="151" bestFit="1" customWidth="1"/>
    <col min="10003" max="10003" width="10" style="151" bestFit="1" customWidth="1"/>
    <col min="10004" max="10022" width="12.7109375" style="151" customWidth="1"/>
    <col min="10023" max="10033" width="9.85546875" style="151" bestFit="1" customWidth="1"/>
    <col min="10034" max="10034" width="11.140625" style="151" bestFit="1" customWidth="1"/>
    <col min="10035" max="10049" width="9.140625" style="151"/>
    <col min="10050" max="10050" width="9.85546875" style="151" bestFit="1" customWidth="1"/>
    <col min="10051" max="10065" width="9.140625" style="151"/>
    <col min="10066" max="10066" width="9.85546875" style="151" bestFit="1" customWidth="1"/>
    <col min="10067" max="10081" width="9.140625" style="151"/>
    <col min="10082" max="10082" width="9.85546875" style="151" bestFit="1" customWidth="1"/>
    <col min="10083" max="10097" width="9.140625" style="151"/>
    <col min="10098" max="10098" width="9.85546875" style="151" bestFit="1" customWidth="1"/>
    <col min="10099" max="10100" width="9.140625" style="151"/>
    <col min="10101" max="10101" width="11" style="151" bestFit="1" customWidth="1"/>
    <col min="10102" max="10106" width="11.140625" style="151" bestFit="1" customWidth="1"/>
    <col min="10107" max="10107" width="9.85546875" style="151" bestFit="1" customWidth="1"/>
    <col min="10108" max="10112" width="11.140625" style="151" bestFit="1" customWidth="1"/>
    <col min="10113" max="10113" width="12" style="151" bestFit="1" customWidth="1"/>
    <col min="10114" max="10114" width="11" style="151" bestFit="1" customWidth="1"/>
    <col min="10115" max="10227" width="9.140625" style="151"/>
    <col min="10228" max="10228" width="8.28515625" style="151" bestFit="1" customWidth="1"/>
    <col min="10229" max="10229" width="26" style="151" bestFit="1" customWidth="1"/>
    <col min="10230" max="10230" width="12" style="151" customWidth="1"/>
    <col min="10231" max="10231" width="8.140625" style="151" customWidth="1"/>
    <col min="10232" max="10232" width="11.140625" style="151" customWidth="1"/>
    <col min="10233" max="10233" width="8.28515625" style="151" customWidth="1"/>
    <col min="10234" max="10234" width="9.85546875" style="151" customWidth="1"/>
    <col min="10235" max="10235" width="8" style="151" customWidth="1"/>
    <col min="10236" max="10236" width="9.85546875" style="151" customWidth="1"/>
    <col min="10237" max="10237" width="6" style="151" customWidth="1"/>
    <col min="10238" max="10238" width="11.140625" style="151" customWidth="1"/>
    <col min="10239" max="10239" width="6.85546875" style="151" customWidth="1"/>
    <col min="10240" max="10240" width="11.7109375" style="151" customWidth="1"/>
    <col min="10241" max="10241" width="7.140625" style="151" customWidth="1"/>
    <col min="10242" max="10242" width="9" style="151" customWidth="1"/>
    <col min="10243" max="10243" width="7.140625" style="151" customWidth="1"/>
    <col min="10244" max="10244" width="12" style="151" customWidth="1"/>
    <col min="10245" max="10245" width="12.7109375" style="151" customWidth="1"/>
    <col min="10246" max="10257" width="11.140625" style="151" bestFit="1" customWidth="1"/>
    <col min="10258" max="10258" width="12" style="151" bestFit="1" customWidth="1"/>
    <col min="10259" max="10259" width="10" style="151" bestFit="1" customWidth="1"/>
    <col min="10260" max="10278" width="12.7109375" style="151" customWidth="1"/>
    <col min="10279" max="10289" width="9.85546875" style="151" bestFit="1" customWidth="1"/>
    <col min="10290" max="10290" width="11.140625" style="151" bestFit="1" customWidth="1"/>
    <col min="10291" max="10305" width="9.140625" style="151"/>
    <col min="10306" max="10306" width="9.85546875" style="151" bestFit="1" customWidth="1"/>
    <col min="10307" max="10321" width="9.140625" style="151"/>
    <col min="10322" max="10322" width="9.85546875" style="151" bestFit="1" customWidth="1"/>
    <col min="10323" max="10337" width="9.140625" style="151"/>
    <col min="10338" max="10338" width="9.85546875" style="151" bestFit="1" customWidth="1"/>
    <col min="10339" max="10353" width="9.140625" style="151"/>
    <col min="10354" max="10354" width="9.85546875" style="151" bestFit="1" customWidth="1"/>
    <col min="10355" max="10356" width="9.140625" style="151"/>
    <col min="10357" max="10357" width="11" style="151" bestFit="1" customWidth="1"/>
    <col min="10358" max="10362" width="11.140625" style="151" bestFit="1" customWidth="1"/>
    <col min="10363" max="10363" width="9.85546875" style="151" bestFit="1" customWidth="1"/>
    <col min="10364" max="10368" width="11.140625" style="151" bestFit="1" customWidth="1"/>
    <col min="10369" max="10369" width="12" style="151" bestFit="1" customWidth="1"/>
    <col min="10370" max="10370" width="11" style="151" bestFit="1" customWidth="1"/>
    <col min="10371" max="10483" width="9.140625" style="151"/>
    <col min="10484" max="10484" width="8.28515625" style="151" bestFit="1" customWidth="1"/>
    <col min="10485" max="10485" width="26" style="151" bestFit="1" customWidth="1"/>
    <col min="10486" max="10486" width="12" style="151" customWidth="1"/>
    <col min="10487" max="10487" width="8.140625" style="151" customWidth="1"/>
    <col min="10488" max="10488" width="11.140625" style="151" customWidth="1"/>
    <col min="10489" max="10489" width="8.28515625" style="151" customWidth="1"/>
    <col min="10490" max="10490" width="9.85546875" style="151" customWidth="1"/>
    <col min="10491" max="10491" width="8" style="151" customWidth="1"/>
    <col min="10492" max="10492" width="9.85546875" style="151" customWidth="1"/>
    <col min="10493" max="10493" width="6" style="151" customWidth="1"/>
    <col min="10494" max="10494" width="11.140625" style="151" customWidth="1"/>
    <col min="10495" max="10495" width="6.85546875" style="151" customWidth="1"/>
    <col min="10496" max="10496" width="11.7109375" style="151" customWidth="1"/>
    <col min="10497" max="10497" width="7.140625" style="151" customWidth="1"/>
    <col min="10498" max="10498" width="9" style="151" customWidth="1"/>
    <col min="10499" max="10499" width="7.140625" style="151" customWidth="1"/>
    <col min="10500" max="10500" width="12" style="151" customWidth="1"/>
    <col min="10501" max="10501" width="12.7109375" style="151" customWidth="1"/>
    <col min="10502" max="10513" width="11.140625" style="151" bestFit="1" customWidth="1"/>
    <col min="10514" max="10514" width="12" style="151" bestFit="1" customWidth="1"/>
    <col min="10515" max="10515" width="10" style="151" bestFit="1" customWidth="1"/>
    <col min="10516" max="10534" width="12.7109375" style="151" customWidth="1"/>
    <col min="10535" max="10545" width="9.85546875" style="151" bestFit="1" customWidth="1"/>
    <col min="10546" max="10546" width="11.140625" style="151" bestFit="1" customWidth="1"/>
    <col min="10547" max="10561" width="9.140625" style="151"/>
    <col min="10562" max="10562" width="9.85546875" style="151" bestFit="1" customWidth="1"/>
    <col min="10563" max="10577" width="9.140625" style="151"/>
    <col min="10578" max="10578" width="9.85546875" style="151" bestFit="1" customWidth="1"/>
    <col min="10579" max="10593" width="9.140625" style="151"/>
    <col min="10594" max="10594" width="9.85546875" style="151" bestFit="1" customWidth="1"/>
    <col min="10595" max="10609" width="9.140625" style="151"/>
    <col min="10610" max="10610" width="9.85546875" style="151" bestFit="1" customWidth="1"/>
    <col min="10611" max="10612" width="9.140625" style="151"/>
    <col min="10613" max="10613" width="11" style="151" bestFit="1" customWidth="1"/>
    <col min="10614" max="10618" width="11.140625" style="151" bestFit="1" customWidth="1"/>
    <col min="10619" max="10619" width="9.85546875" style="151" bestFit="1" customWidth="1"/>
    <col min="10620" max="10624" width="11.140625" style="151" bestFit="1" customWidth="1"/>
    <col min="10625" max="10625" width="12" style="151" bestFit="1" customWidth="1"/>
    <col min="10626" max="10626" width="11" style="151" bestFit="1" customWidth="1"/>
    <col min="10627" max="10739" width="9.140625" style="151"/>
    <col min="10740" max="10740" width="8.28515625" style="151" bestFit="1" customWidth="1"/>
    <col min="10741" max="10741" width="26" style="151" bestFit="1" customWidth="1"/>
    <col min="10742" max="10742" width="12" style="151" customWidth="1"/>
    <col min="10743" max="10743" width="8.140625" style="151" customWidth="1"/>
    <col min="10744" max="10744" width="11.140625" style="151" customWidth="1"/>
    <col min="10745" max="10745" width="8.28515625" style="151" customWidth="1"/>
    <col min="10746" max="10746" width="9.85546875" style="151" customWidth="1"/>
    <col min="10747" max="10747" width="8" style="151" customWidth="1"/>
    <col min="10748" max="10748" width="9.85546875" style="151" customWidth="1"/>
    <col min="10749" max="10749" width="6" style="151" customWidth="1"/>
    <col min="10750" max="10750" width="11.140625" style="151" customWidth="1"/>
    <col min="10751" max="10751" width="6.85546875" style="151" customWidth="1"/>
    <col min="10752" max="10752" width="11.7109375" style="151" customWidth="1"/>
    <col min="10753" max="10753" width="7.140625" style="151" customWidth="1"/>
    <col min="10754" max="10754" width="9" style="151" customWidth="1"/>
    <col min="10755" max="10755" width="7.140625" style="151" customWidth="1"/>
    <col min="10756" max="10756" width="12" style="151" customWidth="1"/>
    <col min="10757" max="10757" width="12.7109375" style="151" customWidth="1"/>
    <col min="10758" max="10769" width="11.140625" style="151" bestFit="1" customWidth="1"/>
    <col min="10770" max="10770" width="12" style="151" bestFit="1" customWidth="1"/>
    <col min="10771" max="10771" width="10" style="151" bestFit="1" customWidth="1"/>
    <col min="10772" max="10790" width="12.7109375" style="151" customWidth="1"/>
    <col min="10791" max="10801" width="9.85546875" style="151" bestFit="1" customWidth="1"/>
    <col min="10802" max="10802" width="11.140625" style="151" bestFit="1" customWidth="1"/>
    <col min="10803" max="10817" width="9.140625" style="151"/>
    <col min="10818" max="10818" width="9.85546875" style="151" bestFit="1" customWidth="1"/>
    <col min="10819" max="10833" width="9.140625" style="151"/>
    <col min="10834" max="10834" width="9.85546875" style="151" bestFit="1" customWidth="1"/>
    <col min="10835" max="10849" width="9.140625" style="151"/>
    <col min="10850" max="10850" width="9.85546875" style="151" bestFit="1" customWidth="1"/>
    <col min="10851" max="10865" width="9.140625" style="151"/>
    <col min="10866" max="10866" width="9.85546875" style="151" bestFit="1" customWidth="1"/>
    <col min="10867" max="10868" width="9.140625" style="151"/>
    <col min="10869" max="10869" width="11" style="151" bestFit="1" customWidth="1"/>
    <col min="10870" max="10874" width="11.140625" style="151" bestFit="1" customWidth="1"/>
    <col min="10875" max="10875" width="9.85546875" style="151" bestFit="1" customWidth="1"/>
    <col min="10876" max="10880" width="11.140625" style="151" bestFit="1" customWidth="1"/>
    <col min="10881" max="10881" width="12" style="151" bestFit="1" customWidth="1"/>
    <col min="10882" max="10882" width="11" style="151" bestFit="1" customWidth="1"/>
    <col min="10883" max="10995" width="9.140625" style="151"/>
    <col min="10996" max="10996" width="8.28515625" style="151" bestFit="1" customWidth="1"/>
    <col min="10997" max="10997" width="26" style="151" bestFit="1" customWidth="1"/>
    <col min="10998" max="10998" width="12" style="151" customWidth="1"/>
    <col min="10999" max="10999" width="8.140625" style="151" customWidth="1"/>
    <col min="11000" max="11000" width="11.140625" style="151" customWidth="1"/>
    <col min="11001" max="11001" width="8.28515625" style="151" customWidth="1"/>
    <col min="11002" max="11002" width="9.85546875" style="151" customWidth="1"/>
    <col min="11003" max="11003" width="8" style="151" customWidth="1"/>
    <col min="11004" max="11004" width="9.85546875" style="151" customWidth="1"/>
    <col min="11005" max="11005" width="6" style="151" customWidth="1"/>
    <col min="11006" max="11006" width="11.140625" style="151" customWidth="1"/>
    <col min="11007" max="11007" width="6.85546875" style="151" customWidth="1"/>
    <col min="11008" max="11008" width="11.7109375" style="151" customWidth="1"/>
    <col min="11009" max="11009" width="7.140625" style="151" customWidth="1"/>
    <col min="11010" max="11010" width="9" style="151" customWidth="1"/>
    <col min="11011" max="11011" width="7.140625" style="151" customWidth="1"/>
    <col min="11012" max="11012" width="12" style="151" customWidth="1"/>
    <col min="11013" max="11013" width="12.7109375" style="151" customWidth="1"/>
    <col min="11014" max="11025" width="11.140625" style="151" bestFit="1" customWidth="1"/>
    <col min="11026" max="11026" width="12" style="151" bestFit="1" customWidth="1"/>
    <col min="11027" max="11027" width="10" style="151" bestFit="1" customWidth="1"/>
    <col min="11028" max="11046" width="12.7109375" style="151" customWidth="1"/>
    <col min="11047" max="11057" width="9.85546875" style="151" bestFit="1" customWidth="1"/>
    <col min="11058" max="11058" width="11.140625" style="151" bestFit="1" customWidth="1"/>
    <col min="11059" max="11073" width="9.140625" style="151"/>
    <col min="11074" max="11074" width="9.85546875" style="151" bestFit="1" customWidth="1"/>
    <col min="11075" max="11089" width="9.140625" style="151"/>
    <col min="11090" max="11090" width="9.85546875" style="151" bestFit="1" customWidth="1"/>
    <col min="11091" max="11105" width="9.140625" style="151"/>
    <col min="11106" max="11106" width="9.85546875" style="151" bestFit="1" customWidth="1"/>
    <col min="11107" max="11121" width="9.140625" style="151"/>
    <col min="11122" max="11122" width="9.85546875" style="151" bestFit="1" customWidth="1"/>
    <col min="11123" max="11124" width="9.140625" style="151"/>
    <col min="11125" max="11125" width="11" style="151" bestFit="1" customWidth="1"/>
    <col min="11126" max="11130" width="11.140625" style="151" bestFit="1" customWidth="1"/>
    <col min="11131" max="11131" width="9.85546875" style="151" bestFit="1" customWidth="1"/>
    <col min="11132" max="11136" width="11.140625" style="151" bestFit="1" customWidth="1"/>
    <col min="11137" max="11137" width="12" style="151" bestFit="1" customWidth="1"/>
    <col min="11138" max="11138" width="11" style="151" bestFit="1" customWidth="1"/>
    <col min="11139" max="11251" width="9.140625" style="151"/>
    <col min="11252" max="11252" width="8.28515625" style="151" bestFit="1" customWidth="1"/>
    <col min="11253" max="11253" width="26" style="151" bestFit="1" customWidth="1"/>
    <col min="11254" max="11254" width="12" style="151" customWidth="1"/>
    <col min="11255" max="11255" width="8.140625" style="151" customWidth="1"/>
    <col min="11256" max="11256" width="11.140625" style="151" customWidth="1"/>
    <col min="11257" max="11257" width="8.28515625" style="151" customWidth="1"/>
    <col min="11258" max="11258" width="9.85546875" style="151" customWidth="1"/>
    <col min="11259" max="11259" width="8" style="151" customWidth="1"/>
    <col min="11260" max="11260" width="9.85546875" style="151" customWidth="1"/>
    <col min="11261" max="11261" width="6" style="151" customWidth="1"/>
    <col min="11262" max="11262" width="11.140625" style="151" customWidth="1"/>
    <col min="11263" max="11263" width="6.85546875" style="151" customWidth="1"/>
    <col min="11264" max="11264" width="11.7109375" style="151" customWidth="1"/>
    <col min="11265" max="11265" width="7.140625" style="151" customWidth="1"/>
    <col min="11266" max="11266" width="9" style="151" customWidth="1"/>
    <col min="11267" max="11267" width="7.140625" style="151" customWidth="1"/>
    <col min="11268" max="11268" width="12" style="151" customWidth="1"/>
    <col min="11269" max="11269" width="12.7109375" style="151" customWidth="1"/>
    <col min="11270" max="11281" width="11.140625" style="151" bestFit="1" customWidth="1"/>
    <col min="11282" max="11282" width="12" style="151" bestFit="1" customWidth="1"/>
    <col min="11283" max="11283" width="10" style="151" bestFit="1" customWidth="1"/>
    <col min="11284" max="11302" width="12.7109375" style="151" customWidth="1"/>
    <col min="11303" max="11313" width="9.85546875" style="151" bestFit="1" customWidth="1"/>
    <col min="11314" max="11314" width="11.140625" style="151" bestFit="1" customWidth="1"/>
    <col min="11315" max="11329" width="9.140625" style="151"/>
    <col min="11330" max="11330" width="9.85546875" style="151" bestFit="1" customWidth="1"/>
    <col min="11331" max="11345" width="9.140625" style="151"/>
    <col min="11346" max="11346" width="9.85546875" style="151" bestFit="1" customWidth="1"/>
    <col min="11347" max="11361" width="9.140625" style="151"/>
    <col min="11362" max="11362" width="9.85546875" style="151" bestFit="1" customWidth="1"/>
    <col min="11363" max="11377" width="9.140625" style="151"/>
    <col min="11378" max="11378" width="9.85546875" style="151" bestFit="1" customWidth="1"/>
    <col min="11379" max="11380" width="9.140625" style="151"/>
    <col min="11381" max="11381" width="11" style="151" bestFit="1" customWidth="1"/>
    <col min="11382" max="11386" width="11.140625" style="151" bestFit="1" customWidth="1"/>
    <col min="11387" max="11387" width="9.85546875" style="151" bestFit="1" customWidth="1"/>
    <col min="11388" max="11392" width="11.140625" style="151" bestFit="1" customWidth="1"/>
    <col min="11393" max="11393" width="12" style="151" bestFit="1" customWidth="1"/>
    <col min="11394" max="11394" width="11" style="151" bestFit="1" customWidth="1"/>
    <col min="11395" max="11507" width="9.140625" style="151"/>
    <col min="11508" max="11508" width="8.28515625" style="151" bestFit="1" customWidth="1"/>
    <col min="11509" max="11509" width="26" style="151" bestFit="1" customWidth="1"/>
    <col min="11510" max="11510" width="12" style="151" customWidth="1"/>
    <col min="11511" max="11511" width="8.140625" style="151" customWidth="1"/>
    <col min="11512" max="11512" width="11.140625" style="151" customWidth="1"/>
    <col min="11513" max="11513" width="8.28515625" style="151" customWidth="1"/>
    <col min="11514" max="11514" width="9.85546875" style="151" customWidth="1"/>
    <col min="11515" max="11515" width="8" style="151" customWidth="1"/>
    <col min="11516" max="11516" width="9.85546875" style="151" customWidth="1"/>
    <col min="11517" max="11517" width="6" style="151" customWidth="1"/>
    <col min="11518" max="11518" width="11.140625" style="151" customWidth="1"/>
    <col min="11519" max="11519" width="6.85546875" style="151" customWidth="1"/>
    <col min="11520" max="11520" width="11.7109375" style="151" customWidth="1"/>
    <col min="11521" max="11521" width="7.140625" style="151" customWidth="1"/>
    <col min="11522" max="11522" width="9" style="151" customWidth="1"/>
    <col min="11523" max="11523" width="7.140625" style="151" customWidth="1"/>
    <col min="11524" max="11524" width="12" style="151" customWidth="1"/>
    <col min="11525" max="11525" width="12.7109375" style="151" customWidth="1"/>
    <col min="11526" max="11537" width="11.140625" style="151" bestFit="1" customWidth="1"/>
    <col min="11538" max="11538" width="12" style="151" bestFit="1" customWidth="1"/>
    <col min="11539" max="11539" width="10" style="151" bestFit="1" customWidth="1"/>
    <col min="11540" max="11558" width="12.7109375" style="151" customWidth="1"/>
    <col min="11559" max="11569" width="9.85546875" style="151" bestFit="1" customWidth="1"/>
    <col min="11570" max="11570" width="11.140625" style="151" bestFit="1" customWidth="1"/>
    <col min="11571" max="11585" width="9.140625" style="151"/>
    <col min="11586" max="11586" width="9.85546875" style="151" bestFit="1" customWidth="1"/>
    <col min="11587" max="11601" width="9.140625" style="151"/>
    <col min="11602" max="11602" width="9.85546875" style="151" bestFit="1" customWidth="1"/>
    <col min="11603" max="11617" width="9.140625" style="151"/>
    <col min="11618" max="11618" width="9.85546875" style="151" bestFit="1" customWidth="1"/>
    <col min="11619" max="11633" width="9.140625" style="151"/>
    <col min="11634" max="11634" width="9.85546875" style="151" bestFit="1" customWidth="1"/>
    <col min="11635" max="11636" width="9.140625" style="151"/>
    <col min="11637" max="11637" width="11" style="151" bestFit="1" customWidth="1"/>
    <col min="11638" max="11642" width="11.140625" style="151" bestFit="1" customWidth="1"/>
    <col min="11643" max="11643" width="9.85546875" style="151" bestFit="1" customWidth="1"/>
    <col min="11644" max="11648" width="11.140625" style="151" bestFit="1" customWidth="1"/>
    <col min="11649" max="11649" width="12" style="151" bestFit="1" customWidth="1"/>
    <col min="11650" max="11650" width="11" style="151" bestFit="1" customWidth="1"/>
    <col min="11651" max="11763" width="9.140625" style="151"/>
    <col min="11764" max="11764" width="8.28515625" style="151" bestFit="1" customWidth="1"/>
    <col min="11765" max="11765" width="26" style="151" bestFit="1" customWidth="1"/>
    <col min="11766" max="11766" width="12" style="151" customWidth="1"/>
    <col min="11767" max="11767" width="8.140625" style="151" customWidth="1"/>
    <col min="11768" max="11768" width="11.140625" style="151" customWidth="1"/>
    <col min="11769" max="11769" width="8.28515625" style="151" customWidth="1"/>
    <col min="11770" max="11770" width="9.85546875" style="151" customWidth="1"/>
    <col min="11771" max="11771" width="8" style="151" customWidth="1"/>
    <col min="11772" max="11772" width="9.85546875" style="151" customWidth="1"/>
    <col min="11773" max="11773" width="6" style="151" customWidth="1"/>
    <col min="11774" max="11774" width="11.140625" style="151" customWidth="1"/>
    <col min="11775" max="11775" width="6.85546875" style="151" customWidth="1"/>
    <col min="11776" max="11776" width="11.7109375" style="151" customWidth="1"/>
    <col min="11777" max="11777" width="7.140625" style="151" customWidth="1"/>
    <col min="11778" max="11778" width="9" style="151" customWidth="1"/>
    <col min="11779" max="11779" width="7.140625" style="151" customWidth="1"/>
    <col min="11780" max="11780" width="12" style="151" customWidth="1"/>
    <col min="11781" max="11781" width="12.7109375" style="151" customWidth="1"/>
    <col min="11782" max="11793" width="11.140625" style="151" bestFit="1" customWidth="1"/>
    <col min="11794" max="11794" width="12" style="151" bestFit="1" customWidth="1"/>
    <col min="11795" max="11795" width="10" style="151" bestFit="1" customWidth="1"/>
    <col min="11796" max="11814" width="12.7109375" style="151" customWidth="1"/>
    <col min="11815" max="11825" width="9.85546875" style="151" bestFit="1" customWidth="1"/>
    <col min="11826" max="11826" width="11.140625" style="151" bestFit="1" customWidth="1"/>
    <col min="11827" max="11841" width="9.140625" style="151"/>
    <col min="11842" max="11842" width="9.85546875" style="151" bestFit="1" customWidth="1"/>
    <col min="11843" max="11857" width="9.140625" style="151"/>
    <col min="11858" max="11858" width="9.85546875" style="151" bestFit="1" customWidth="1"/>
    <col min="11859" max="11873" width="9.140625" style="151"/>
    <col min="11874" max="11874" width="9.85546875" style="151" bestFit="1" customWidth="1"/>
    <col min="11875" max="11889" width="9.140625" style="151"/>
    <col min="11890" max="11890" width="9.85546875" style="151" bestFit="1" customWidth="1"/>
    <col min="11891" max="11892" width="9.140625" style="151"/>
    <col min="11893" max="11893" width="11" style="151" bestFit="1" customWidth="1"/>
    <col min="11894" max="11898" width="11.140625" style="151" bestFit="1" customWidth="1"/>
    <col min="11899" max="11899" width="9.85546875" style="151" bestFit="1" customWidth="1"/>
    <col min="11900" max="11904" width="11.140625" style="151" bestFit="1" customWidth="1"/>
    <col min="11905" max="11905" width="12" style="151" bestFit="1" customWidth="1"/>
    <col min="11906" max="11906" width="11" style="151" bestFit="1" customWidth="1"/>
    <col min="11907" max="12019" width="9.140625" style="151"/>
    <col min="12020" max="12020" width="8.28515625" style="151" bestFit="1" customWidth="1"/>
    <col min="12021" max="12021" width="26" style="151" bestFit="1" customWidth="1"/>
    <col min="12022" max="12022" width="12" style="151" customWidth="1"/>
    <col min="12023" max="12023" width="8.140625" style="151" customWidth="1"/>
    <col min="12024" max="12024" width="11.140625" style="151" customWidth="1"/>
    <col min="12025" max="12025" width="8.28515625" style="151" customWidth="1"/>
    <col min="12026" max="12026" width="9.85546875" style="151" customWidth="1"/>
    <col min="12027" max="12027" width="8" style="151" customWidth="1"/>
    <col min="12028" max="12028" width="9.85546875" style="151" customWidth="1"/>
    <col min="12029" max="12029" width="6" style="151" customWidth="1"/>
    <col min="12030" max="12030" width="11.140625" style="151" customWidth="1"/>
    <col min="12031" max="12031" width="6.85546875" style="151" customWidth="1"/>
    <col min="12032" max="12032" width="11.7109375" style="151" customWidth="1"/>
    <col min="12033" max="12033" width="7.140625" style="151" customWidth="1"/>
    <col min="12034" max="12034" width="9" style="151" customWidth="1"/>
    <col min="12035" max="12035" width="7.140625" style="151" customWidth="1"/>
    <col min="12036" max="12036" width="12" style="151" customWidth="1"/>
    <col min="12037" max="12037" width="12.7109375" style="151" customWidth="1"/>
    <col min="12038" max="12049" width="11.140625" style="151" bestFit="1" customWidth="1"/>
    <col min="12050" max="12050" width="12" style="151" bestFit="1" customWidth="1"/>
    <col min="12051" max="12051" width="10" style="151" bestFit="1" customWidth="1"/>
    <col min="12052" max="12070" width="12.7109375" style="151" customWidth="1"/>
    <col min="12071" max="12081" width="9.85546875" style="151" bestFit="1" customWidth="1"/>
    <col min="12082" max="12082" width="11.140625" style="151" bestFit="1" customWidth="1"/>
    <col min="12083" max="12097" width="9.140625" style="151"/>
    <col min="12098" max="12098" width="9.85546875" style="151" bestFit="1" customWidth="1"/>
    <col min="12099" max="12113" width="9.140625" style="151"/>
    <col min="12114" max="12114" width="9.85546875" style="151" bestFit="1" customWidth="1"/>
    <col min="12115" max="12129" width="9.140625" style="151"/>
    <col min="12130" max="12130" width="9.85546875" style="151" bestFit="1" customWidth="1"/>
    <col min="12131" max="12145" width="9.140625" style="151"/>
    <col min="12146" max="12146" width="9.85546875" style="151" bestFit="1" customWidth="1"/>
    <col min="12147" max="12148" width="9.140625" style="151"/>
    <col min="12149" max="12149" width="11" style="151" bestFit="1" customWidth="1"/>
    <col min="12150" max="12154" width="11.140625" style="151" bestFit="1" customWidth="1"/>
    <col min="12155" max="12155" width="9.85546875" style="151" bestFit="1" customWidth="1"/>
    <col min="12156" max="12160" width="11.140625" style="151" bestFit="1" customWidth="1"/>
    <col min="12161" max="12161" width="12" style="151" bestFit="1" customWidth="1"/>
    <col min="12162" max="12162" width="11" style="151" bestFit="1" customWidth="1"/>
    <col min="12163" max="12275" width="9.140625" style="151"/>
    <col min="12276" max="12276" width="8.28515625" style="151" bestFit="1" customWidth="1"/>
    <col min="12277" max="12277" width="26" style="151" bestFit="1" customWidth="1"/>
    <col min="12278" max="12278" width="12" style="151" customWidth="1"/>
    <col min="12279" max="12279" width="8.140625" style="151" customWidth="1"/>
    <col min="12280" max="12280" width="11.140625" style="151" customWidth="1"/>
    <col min="12281" max="12281" width="8.28515625" style="151" customWidth="1"/>
    <col min="12282" max="12282" width="9.85546875" style="151" customWidth="1"/>
    <col min="12283" max="12283" width="8" style="151" customWidth="1"/>
    <col min="12284" max="12284" width="9.85546875" style="151" customWidth="1"/>
    <col min="12285" max="12285" width="6" style="151" customWidth="1"/>
    <col min="12286" max="12286" width="11.140625" style="151" customWidth="1"/>
    <col min="12287" max="12287" width="6.85546875" style="151" customWidth="1"/>
    <col min="12288" max="12288" width="11.7109375" style="151" customWidth="1"/>
    <col min="12289" max="12289" width="7.140625" style="151" customWidth="1"/>
    <col min="12290" max="12290" width="9" style="151" customWidth="1"/>
    <col min="12291" max="12291" width="7.140625" style="151" customWidth="1"/>
    <col min="12292" max="12292" width="12" style="151" customWidth="1"/>
    <col min="12293" max="12293" width="12.7109375" style="151" customWidth="1"/>
    <col min="12294" max="12305" width="11.140625" style="151" bestFit="1" customWidth="1"/>
    <col min="12306" max="12306" width="12" style="151" bestFit="1" customWidth="1"/>
    <col min="12307" max="12307" width="10" style="151" bestFit="1" customWidth="1"/>
    <col min="12308" max="12326" width="12.7109375" style="151" customWidth="1"/>
    <col min="12327" max="12337" width="9.85546875" style="151" bestFit="1" customWidth="1"/>
    <col min="12338" max="12338" width="11.140625" style="151" bestFit="1" customWidth="1"/>
    <col min="12339" max="12353" width="9.140625" style="151"/>
    <col min="12354" max="12354" width="9.85546875" style="151" bestFit="1" customWidth="1"/>
    <col min="12355" max="12369" width="9.140625" style="151"/>
    <col min="12370" max="12370" width="9.85546875" style="151" bestFit="1" customWidth="1"/>
    <col min="12371" max="12385" width="9.140625" style="151"/>
    <col min="12386" max="12386" width="9.85546875" style="151" bestFit="1" customWidth="1"/>
    <col min="12387" max="12401" width="9.140625" style="151"/>
    <col min="12402" max="12402" width="9.85546875" style="151" bestFit="1" customWidth="1"/>
    <col min="12403" max="12404" width="9.140625" style="151"/>
    <col min="12405" max="12405" width="11" style="151" bestFit="1" customWidth="1"/>
    <col min="12406" max="12410" width="11.140625" style="151" bestFit="1" customWidth="1"/>
    <col min="12411" max="12411" width="9.85546875" style="151" bestFit="1" customWidth="1"/>
    <col min="12412" max="12416" width="11.140625" style="151" bestFit="1" customWidth="1"/>
    <col min="12417" max="12417" width="12" style="151" bestFit="1" customWidth="1"/>
    <col min="12418" max="12418" width="11" style="151" bestFit="1" customWidth="1"/>
    <col min="12419" max="12531" width="9.140625" style="151"/>
    <col min="12532" max="12532" width="8.28515625" style="151" bestFit="1" customWidth="1"/>
    <col min="12533" max="12533" width="26" style="151" bestFit="1" customWidth="1"/>
    <col min="12534" max="12534" width="12" style="151" customWidth="1"/>
    <col min="12535" max="12535" width="8.140625" style="151" customWidth="1"/>
    <col min="12536" max="12536" width="11.140625" style="151" customWidth="1"/>
    <col min="12537" max="12537" width="8.28515625" style="151" customWidth="1"/>
    <col min="12538" max="12538" width="9.85546875" style="151" customWidth="1"/>
    <col min="12539" max="12539" width="8" style="151" customWidth="1"/>
    <col min="12540" max="12540" width="9.85546875" style="151" customWidth="1"/>
    <col min="12541" max="12541" width="6" style="151" customWidth="1"/>
    <col min="12542" max="12542" width="11.140625" style="151" customWidth="1"/>
    <col min="12543" max="12543" width="6.85546875" style="151" customWidth="1"/>
    <col min="12544" max="12544" width="11.7109375" style="151" customWidth="1"/>
    <col min="12545" max="12545" width="7.140625" style="151" customWidth="1"/>
    <col min="12546" max="12546" width="9" style="151" customWidth="1"/>
    <col min="12547" max="12547" width="7.140625" style="151" customWidth="1"/>
    <col min="12548" max="12548" width="12" style="151" customWidth="1"/>
    <col min="12549" max="12549" width="12.7109375" style="151" customWidth="1"/>
    <col min="12550" max="12561" width="11.140625" style="151" bestFit="1" customWidth="1"/>
    <col min="12562" max="12562" width="12" style="151" bestFit="1" customWidth="1"/>
    <col min="12563" max="12563" width="10" style="151" bestFit="1" customWidth="1"/>
    <col min="12564" max="12582" width="12.7109375" style="151" customWidth="1"/>
    <col min="12583" max="12593" width="9.85546875" style="151" bestFit="1" customWidth="1"/>
    <col min="12594" max="12594" width="11.140625" style="151" bestFit="1" customWidth="1"/>
    <col min="12595" max="12609" width="9.140625" style="151"/>
    <col min="12610" max="12610" width="9.85546875" style="151" bestFit="1" customWidth="1"/>
    <col min="12611" max="12625" width="9.140625" style="151"/>
    <col min="12626" max="12626" width="9.85546875" style="151" bestFit="1" customWidth="1"/>
    <col min="12627" max="12641" width="9.140625" style="151"/>
    <col min="12642" max="12642" width="9.85546875" style="151" bestFit="1" customWidth="1"/>
    <col min="12643" max="12657" width="9.140625" style="151"/>
    <col min="12658" max="12658" width="9.85546875" style="151" bestFit="1" customWidth="1"/>
    <col min="12659" max="12660" width="9.140625" style="151"/>
    <col min="12661" max="12661" width="11" style="151" bestFit="1" customWidth="1"/>
    <col min="12662" max="12666" width="11.140625" style="151" bestFit="1" customWidth="1"/>
    <col min="12667" max="12667" width="9.85546875" style="151" bestFit="1" customWidth="1"/>
    <col min="12668" max="12672" width="11.140625" style="151" bestFit="1" customWidth="1"/>
    <col min="12673" max="12673" width="12" style="151" bestFit="1" customWidth="1"/>
    <col min="12674" max="12674" width="11" style="151" bestFit="1" customWidth="1"/>
    <col min="12675" max="12787" width="9.140625" style="151"/>
    <col min="12788" max="12788" width="8.28515625" style="151" bestFit="1" customWidth="1"/>
    <col min="12789" max="12789" width="26" style="151" bestFit="1" customWidth="1"/>
    <col min="12790" max="12790" width="12" style="151" customWidth="1"/>
    <col min="12791" max="12791" width="8.140625" style="151" customWidth="1"/>
    <col min="12792" max="12792" width="11.140625" style="151" customWidth="1"/>
    <col min="12793" max="12793" width="8.28515625" style="151" customWidth="1"/>
    <col min="12794" max="12794" width="9.85546875" style="151" customWidth="1"/>
    <col min="12795" max="12795" width="8" style="151" customWidth="1"/>
    <col min="12796" max="12796" width="9.85546875" style="151" customWidth="1"/>
    <col min="12797" max="12797" width="6" style="151" customWidth="1"/>
    <col min="12798" max="12798" width="11.140625" style="151" customWidth="1"/>
    <col min="12799" max="12799" width="6.85546875" style="151" customWidth="1"/>
    <col min="12800" max="12800" width="11.7109375" style="151" customWidth="1"/>
    <col min="12801" max="12801" width="7.140625" style="151" customWidth="1"/>
    <col min="12802" max="12802" width="9" style="151" customWidth="1"/>
    <col min="12803" max="12803" width="7.140625" style="151" customWidth="1"/>
    <col min="12804" max="12804" width="12" style="151" customWidth="1"/>
    <col min="12805" max="12805" width="12.7109375" style="151" customWidth="1"/>
    <col min="12806" max="12817" width="11.140625" style="151" bestFit="1" customWidth="1"/>
    <col min="12818" max="12818" width="12" style="151" bestFit="1" customWidth="1"/>
    <col min="12819" max="12819" width="10" style="151" bestFit="1" customWidth="1"/>
    <col min="12820" max="12838" width="12.7109375" style="151" customWidth="1"/>
    <col min="12839" max="12849" width="9.85546875" style="151" bestFit="1" customWidth="1"/>
    <col min="12850" max="12850" width="11.140625" style="151" bestFit="1" customWidth="1"/>
    <col min="12851" max="12865" width="9.140625" style="151"/>
    <col min="12866" max="12866" width="9.85546875" style="151" bestFit="1" customWidth="1"/>
    <col min="12867" max="12881" width="9.140625" style="151"/>
    <col min="12882" max="12882" width="9.85546875" style="151" bestFit="1" customWidth="1"/>
    <col min="12883" max="12897" width="9.140625" style="151"/>
    <col min="12898" max="12898" width="9.85546875" style="151" bestFit="1" customWidth="1"/>
    <col min="12899" max="12913" width="9.140625" style="151"/>
    <col min="12914" max="12914" width="9.85546875" style="151" bestFit="1" customWidth="1"/>
    <col min="12915" max="12916" width="9.140625" style="151"/>
    <col min="12917" max="12917" width="11" style="151" bestFit="1" customWidth="1"/>
    <col min="12918" max="12922" width="11.140625" style="151" bestFit="1" customWidth="1"/>
    <col min="12923" max="12923" width="9.85546875" style="151" bestFit="1" customWidth="1"/>
    <col min="12924" max="12928" width="11.140625" style="151" bestFit="1" customWidth="1"/>
    <col min="12929" max="12929" width="12" style="151" bestFit="1" customWidth="1"/>
    <col min="12930" max="12930" width="11" style="151" bestFit="1" customWidth="1"/>
    <col min="12931" max="13043" width="9.140625" style="151"/>
    <col min="13044" max="13044" width="8.28515625" style="151" bestFit="1" customWidth="1"/>
    <col min="13045" max="13045" width="26" style="151" bestFit="1" customWidth="1"/>
    <col min="13046" max="13046" width="12" style="151" customWidth="1"/>
    <col min="13047" max="13047" width="8.140625" style="151" customWidth="1"/>
    <col min="13048" max="13048" width="11.140625" style="151" customWidth="1"/>
    <col min="13049" max="13049" width="8.28515625" style="151" customWidth="1"/>
    <col min="13050" max="13050" width="9.85546875" style="151" customWidth="1"/>
    <col min="13051" max="13051" width="8" style="151" customWidth="1"/>
    <col min="13052" max="13052" width="9.85546875" style="151" customWidth="1"/>
    <col min="13053" max="13053" width="6" style="151" customWidth="1"/>
    <col min="13054" max="13054" width="11.140625" style="151" customWidth="1"/>
    <col min="13055" max="13055" width="6.85546875" style="151" customWidth="1"/>
    <col min="13056" max="13056" width="11.7109375" style="151" customWidth="1"/>
    <col min="13057" max="13057" width="7.140625" style="151" customWidth="1"/>
    <col min="13058" max="13058" width="9" style="151" customWidth="1"/>
    <col min="13059" max="13059" width="7.140625" style="151" customWidth="1"/>
    <col min="13060" max="13060" width="12" style="151" customWidth="1"/>
    <col min="13061" max="13061" width="12.7109375" style="151" customWidth="1"/>
    <col min="13062" max="13073" width="11.140625" style="151" bestFit="1" customWidth="1"/>
    <col min="13074" max="13074" width="12" style="151" bestFit="1" customWidth="1"/>
    <col min="13075" max="13075" width="10" style="151" bestFit="1" customWidth="1"/>
    <col min="13076" max="13094" width="12.7109375" style="151" customWidth="1"/>
    <col min="13095" max="13105" width="9.85546875" style="151" bestFit="1" customWidth="1"/>
    <col min="13106" max="13106" width="11.140625" style="151" bestFit="1" customWidth="1"/>
    <col min="13107" max="13121" width="9.140625" style="151"/>
    <col min="13122" max="13122" width="9.85546875" style="151" bestFit="1" customWidth="1"/>
    <col min="13123" max="13137" width="9.140625" style="151"/>
    <col min="13138" max="13138" width="9.85546875" style="151" bestFit="1" customWidth="1"/>
    <col min="13139" max="13153" width="9.140625" style="151"/>
    <col min="13154" max="13154" width="9.85546875" style="151" bestFit="1" customWidth="1"/>
    <col min="13155" max="13169" width="9.140625" style="151"/>
    <col min="13170" max="13170" width="9.85546875" style="151" bestFit="1" customWidth="1"/>
    <col min="13171" max="13172" width="9.140625" style="151"/>
    <col min="13173" max="13173" width="11" style="151" bestFit="1" customWidth="1"/>
    <col min="13174" max="13178" width="11.140625" style="151" bestFit="1" customWidth="1"/>
    <col min="13179" max="13179" width="9.85546875" style="151" bestFit="1" customWidth="1"/>
    <col min="13180" max="13184" width="11.140625" style="151" bestFit="1" customWidth="1"/>
    <col min="13185" max="13185" width="12" style="151" bestFit="1" customWidth="1"/>
    <col min="13186" max="13186" width="11" style="151" bestFit="1" customWidth="1"/>
    <col min="13187" max="13299" width="9.140625" style="151"/>
    <col min="13300" max="13300" width="8.28515625" style="151" bestFit="1" customWidth="1"/>
    <col min="13301" max="13301" width="26" style="151" bestFit="1" customWidth="1"/>
    <col min="13302" max="13302" width="12" style="151" customWidth="1"/>
    <col min="13303" max="13303" width="8.140625" style="151" customWidth="1"/>
    <col min="13304" max="13304" width="11.140625" style="151" customWidth="1"/>
    <col min="13305" max="13305" width="8.28515625" style="151" customWidth="1"/>
    <col min="13306" max="13306" width="9.85546875" style="151" customWidth="1"/>
    <col min="13307" max="13307" width="8" style="151" customWidth="1"/>
    <col min="13308" max="13308" width="9.85546875" style="151" customWidth="1"/>
    <col min="13309" max="13309" width="6" style="151" customWidth="1"/>
    <col min="13310" max="13310" width="11.140625" style="151" customWidth="1"/>
    <col min="13311" max="13311" width="6.85546875" style="151" customWidth="1"/>
    <col min="13312" max="13312" width="11.7109375" style="151" customWidth="1"/>
    <col min="13313" max="13313" width="7.140625" style="151" customWidth="1"/>
    <col min="13314" max="13314" width="9" style="151" customWidth="1"/>
    <col min="13315" max="13315" width="7.140625" style="151" customWidth="1"/>
    <col min="13316" max="13316" width="12" style="151" customWidth="1"/>
    <col min="13317" max="13317" width="12.7109375" style="151" customWidth="1"/>
    <col min="13318" max="13329" width="11.140625" style="151" bestFit="1" customWidth="1"/>
    <col min="13330" max="13330" width="12" style="151" bestFit="1" customWidth="1"/>
    <col min="13331" max="13331" width="10" style="151" bestFit="1" customWidth="1"/>
    <col min="13332" max="13350" width="12.7109375" style="151" customWidth="1"/>
    <col min="13351" max="13361" width="9.85546875" style="151" bestFit="1" customWidth="1"/>
    <col min="13362" max="13362" width="11.140625" style="151" bestFit="1" customWidth="1"/>
    <col min="13363" max="13377" width="9.140625" style="151"/>
    <col min="13378" max="13378" width="9.85546875" style="151" bestFit="1" customWidth="1"/>
    <col min="13379" max="13393" width="9.140625" style="151"/>
    <col min="13394" max="13394" width="9.85546875" style="151" bestFit="1" customWidth="1"/>
    <col min="13395" max="13409" width="9.140625" style="151"/>
    <col min="13410" max="13410" width="9.85546875" style="151" bestFit="1" customWidth="1"/>
    <col min="13411" max="13425" width="9.140625" style="151"/>
    <col min="13426" max="13426" width="9.85546875" style="151" bestFit="1" customWidth="1"/>
    <col min="13427" max="13428" width="9.140625" style="151"/>
    <col min="13429" max="13429" width="11" style="151" bestFit="1" customWidth="1"/>
    <col min="13430" max="13434" width="11.140625" style="151" bestFit="1" customWidth="1"/>
    <col min="13435" max="13435" width="9.85546875" style="151" bestFit="1" customWidth="1"/>
    <col min="13436" max="13440" width="11.140625" style="151" bestFit="1" customWidth="1"/>
    <col min="13441" max="13441" width="12" style="151" bestFit="1" customWidth="1"/>
    <col min="13442" max="13442" width="11" style="151" bestFit="1" customWidth="1"/>
    <col min="13443" max="13555" width="9.140625" style="151"/>
    <col min="13556" max="13556" width="8.28515625" style="151" bestFit="1" customWidth="1"/>
    <col min="13557" max="13557" width="26" style="151" bestFit="1" customWidth="1"/>
    <col min="13558" max="13558" width="12" style="151" customWidth="1"/>
    <col min="13559" max="13559" width="8.140625" style="151" customWidth="1"/>
    <col min="13560" max="13560" width="11.140625" style="151" customWidth="1"/>
    <col min="13561" max="13561" width="8.28515625" style="151" customWidth="1"/>
    <col min="13562" max="13562" width="9.85546875" style="151" customWidth="1"/>
    <col min="13563" max="13563" width="8" style="151" customWidth="1"/>
    <col min="13564" max="13564" width="9.85546875" style="151" customWidth="1"/>
    <col min="13565" max="13565" width="6" style="151" customWidth="1"/>
    <col min="13566" max="13566" width="11.140625" style="151" customWidth="1"/>
    <col min="13567" max="13567" width="6.85546875" style="151" customWidth="1"/>
    <col min="13568" max="13568" width="11.7109375" style="151" customWidth="1"/>
    <col min="13569" max="13569" width="7.140625" style="151" customWidth="1"/>
    <col min="13570" max="13570" width="9" style="151" customWidth="1"/>
    <col min="13571" max="13571" width="7.140625" style="151" customWidth="1"/>
    <col min="13572" max="13572" width="12" style="151" customWidth="1"/>
    <col min="13573" max="13573" width="12.7109375" style="151" customWidth="1"/>
    <col min="13574" max="13585" width="11.140625" style="151" bestFit="1" customWidth="1"/>
    <col min="13586" max="13586" width="12" style="151" bestFit="1" customWidth="1"/>
    <col min="13587" max="13587" width="10" style="151" bestFit="1" customWidth="1"/>
    <col min="13588" max="13606" width="12.7109375" style="151" customWidth="1"/>
    <col min="13607" max="13617" width="9.85546875" style="151" bestFit="1" customWidth="1"/>
    <col min="13618" max="13618" width="11.140625" style="151" bestFit="1" customWidth="1"/>
    <col min="13619" max="13633" width="9.140625" style="151"/>
    <col min="13634" max="13634" width="9.85546875" style="151" bestFit="1" customWidth="1"/>
    <col min="13635" max="13649" width="9.140625" style="151"/>
    <col min="13650" max="13650" width="9.85546875" style="151" bestFit="1" customWidth="1"/>
    <col min="13651" max="13665" width="9.140625" style="151"/>
    <col min="13666" max="13666" width="9.85546875" style="151" bestFit="1" customWidth="1"/>
    <col min="13667" max="13681" width="9.140625" style="151"/>
    <col min="13682" max="13682" width="9.85546875" style="151" bestFit="1" customWidth="1"/>
    <col min="13683" max="13684" width="9.140625" style="151"/>
    <col min="13685" max="13685" width="11" style="151" bestFit="1" customWidth="1"/>
    <col min="13686" max="13690" width="11.140625" style="151" bestFit="1" customWidth="1"/>
    <col min="13691" max="13691" width="9.85546875" style="151" bestFit="1" customWidth="1"/>
    <col min="13692" max="13696" width="11.140625" style="151" bestFit="1" customWidth="1"/>
    <col min="13697" max="13697" width="12" style="151" bestFit="1" customWidth="1"/>
    <col min="13698" max="13698" width="11" style="151" bestFit="1" customWidth="1"/>
    <col min="13699" max="13811" width="9.140625" style="151"/>
    <col min="13812" max="13812" width="8.28515625" style="151" bestFit="1" customWidth="1"/>
    <col min="13813" max="13813" width="26" style="151" bestFit="1" customWidth="1"/>
    <col min="13814" max="13814" width="12" style="151" customWidth="1"/>
    <col min="13815" max="13815" width="8.140625" style="151" customWidth="1"/>
    <col min="13816" max="13816" width="11.140625" style="151" customWidth="1"/>
    <col min="13817" max="13817" width="8.28515625" style="151" customWidth="1"/>
    <col min="13818" max="13818" width="9.85546875" style="151" customWidth="1"/>
    <col min="13819" max="13819" width="8" style="151" customWidth="1"/>
    <col min="13820" max="13820" width="9.85546875" style="151" customWidth="1"/>
    <col min="13821" max="13821" width="6" style="151" customWidth="1"/>
    <col min="13822" max="13822" width="11.140625" style="151" customWidth="1"/>
    <col min="13823" max="13823" width="6.85546875" style="151" customWidth="1"/>
    <col min="13824" max="13824" width="11.7109375" style="151" customWidth="1"/>
    <col min="13825" max="13825" width="7.140625" style="151" customWidth="1"/>
    <col min="13826" max="13826" width="9" style="151" customWidth="1"/>
    <col min="13827" max="13827" width="7.140625" style="151" customWidth="1"/>
    <col min="13828" max="13828" width="12" style="151" customWidth="1"/>
    <col min="13829" max="13829" width="12.7109375" style="151" customWidth="1"/>
    <col min="13830" max="13841" width="11.140625" style="151" bestFit="1" customWidth="1"/>
    <col min="13842" max="13842" width="12" style="151" bestFit="1" customWidth="1"/>
    <col min="13843" max="13843" width="10" style="151" bestFit="1" customWidth="1"/>
    <col min="13844" max="13862" width="12.7109375" style="151" customWidth="1"/>
    <col min="13863" max="13873" width="9.85546875" style="151" bestFit="1" customWidth="1"/>
    <col min="13874" max="13874" width="11.140625" style="151" bestFit="1" customWidth="1"/>
    <col min="13875" max="13889" width="9.140625" style="151"/>
    <col min="13890" max="13890" width="9.85546875" style="151" bestFit="1" customWidth="1"/>
    <col min="13891" max="13905" width="9.140625" style="151"/>
    <col min="13906" max="13906" width="9.85546875" style="151" bestFit="1" customWidth="1"/>
    <col min="13907" max="13921" width="9.140625" style="151"/>
    <col min="13922" max="13922" width="9.85546875" style="151" bestFit="1" customWidth="1"/>
    <col min="13923" max="13937" width="9.140625" style="151"/>
    <col min="13938" max="13938" width="9.85546875" style="151" bestFit="1" customWidth="1"/>
    <col min="13939" max="13940" width="9.140625" style="151"/>
    <col min="13941" max="13941" width="11" style="151" bestFit="1" customWidth="1"/>
    <col min="13942" max="13946" width="11.140625" style="151" bestFit="1" customWidth="1"/>
    <col min="13947" max="13947" width="9.85546875" style="151" bestFit="1" customWidth="1"/>
    <col min="13948" max="13952" width="11.140625" style="151" bestFit="1" customWidth="1"/>
    <col min="13953" max="13953" width="12" style="151" bestFit="1" customWidth="1"/>
    <col min="13954" max="13954" width="11" style="151" bestFit="1" customWidth="1"/>
    <col min="13955" max="14067" width="9.140625" style="151"/>
    <col min="14068" max="14068" width="8.28515625" style="151" bestFit="1" customWidth="1"/>
    <col min="14069" max="14069" width="26" style="151" bestFit="1" customWidth="1"/>
    <col min="14070" max="14070" width="12" style="151" customWidth="1"/>
    <col min="14071" max="14071" width="8.140625" style="151" customWidth="1"/>
    <col min="14072" max="14072" width="11.140625" style="151" customWidth="1"/>
    <col min="14073" max="14073" width="8.28515625" style="151" customWidth="1"/>
    <col min="14074" max="14074" width="9.85546875" style="151" customWidth="1"/>
    <col min="14075" max="14075" width="8" style="151" customWidth="1"/>
    <col min="14076" max="14076" width="9.85546875" style="151" customWidth="1"/>
    <col min="14077" max="14077" width="6" style="151" customWidth="1"/>
    <col min="14078" max="14078" width="11.140625" style="151" customWidth="1"/>
    <col min="14079" max="14079" width="6.85546875" style="151" customWidth="1"/>
    <col min="14080" max="14080" width="11.7109375" style="151" customWidth="1"/>
    <col min="14081" max="14081" width="7.140625" style="151" customWidth="1"/>
    <col min="14082" max="14082" width="9" style="151" customWidth="1"/>
    <col min="14083" max="14083" width="7.140625" style="151" customWidth="1"/>
    <col min="14084" max="14084" width="12" style="151" customWidth="1"/>
    <col min="14085" max="14085" width="12.7109375" style="151" customWidth="1"/>
    <col min="14086" max="14097" width="11.140625" style="151" bestFit="1" customWidth="1"/>
    <col min="14098" max="14098" width="12" style="151" bestFit="1" customWidth="1"/>
    <col min="14099" max="14099" width="10" style="151" bestFit="1" customWidth="1"/>
    <col min="14100" max="14118" width="12.7109375" style="151" customWidth="1"/>
    <col min="14119" max="14129" width="9.85546875" style="151" bestFit="1" customWidth="1"/>
    <col min="14130" max="14130" width="11.140625" style="151" bestFit="1" customWidth="1"/>
    <col min="14131" max="14145" width="9.140625" style="151"/>
    <col min="14146" max="14146" width="9.85546875" style="151" bestFit="1" customWidth="1"/>
    <col min="14147" max="14161" width="9.140625" style="151"/>
    <col min="14162" max="14162" width="9.85546875" style="151" bestFit="1" customWidth="1"/>
    <col min="14163" max="14177" width="9.140625" style="151"/>
    <col min="14178" max="14178" width="9.85546875" style="151" bestFit="1" customWidth="1"/>
    <col min="14179" max="14193" width="9.140625" style="151"/>
    <col min="14194" max="14194" width="9.85546875" style="151" bestFit="1" customWidth="1"/>
    <col min="14195" max="14196" width="9.140625" style="151"/>
    <col min="14197" max="14197" width="11" style="151" bestFit="1" customWidth="1"/>
    <col min="14198" max="14202" width="11.140625" style="151" bestFit="1" customWidth="1"/>
    <col min="14203" max="14203" width="9.85546875" style="151" bestFit="1" customWidth="1"/>
    <col min="14204" max="14208" width="11.140625" style="151" bestFit="1" customWidth="1"/>
    <col min="14209" max="14209" width="12" style="151" bestFit="1" customWidth="1"/>
    <col min="14210" max="14210" width="11" style="151" bestFit="1" customWidth="1"/>
    <col min="14211" max="14323" width="9.140625" style="151"/>
    <col min="14324" max="14324" width="8.28515625" style="151" bestFit="1" customWidth="1"/>
    <col min="14325" max="14325" width="26" style="151" bestFit="1" customWidth="1"/>
    <col min="14326" max="14326" width="12" style="151" customWidth="1"/>
    <col min="14327" max="14327" width="8.140625" style="151" customWidth="1"/>
    <col min="14328" max="14328" width="11.140625" style="151" customWidth="1"/>
    <col min="14329" max="14329" width="8.28515625" style="151" customWidth="1"/>
    <col min="14330" max="14330" width="9.85546875" style="151" customWidth="1"/>
    <col min="14331" max="14331" width="8" style="151" customWidth="1"/>
    <col min="14332" max="14332" width="9.85546875" style="151" customWidth="1"/>
    <col min="14333" max="14333" width="6" style="151" customWidth="1"/>
    <col min="14334" max="14334" width="11.140625" style="151" customWidth="1"/>
    <col min="14335" max="14335" width="6.85546875" style="151" customWidth="1"/>
    <col min="14336" max="14336" width="11.7109375" style="151" customWidth="1"/>
    <col min="14337" max="14337" width="7.140625" style="151" customWidth="1"/>
    <col min="14338" max="14338" width="9" style="151" customWidth="1"/>
    <col min="14339" max="14339" width="7.140625" style="151" customWidth="1"/>
    <col min="14340" max="14340" width="12" style="151" customWidth="1"/>
    <col min="14341" max="14341" width="12.7109375" style="151" customWidth="1"/>
    <col min="14342" max="14353" width="11.140625" style="151" bestFit="1" customWidth="1"/>
    <col min="14354" max="14354" width="12" style="151" bestFit="1" customWidth="1"/>
    <col min="14355" max="14355" width="10" style="151" bestFit="1" customWidth="1"/>
    <col min="14356" max="14374" width="12.7109375" style="151" customWidth="1"/>
    <col min="14375" max="14385" width="9.85546875" style="151" bestFit="1" customWidth="1"/>
    <col min="14386" max="14386" width="11.140625" style="151" bestFit="1" customWidth="1"/>
    <col min="14387" max="14401" width="9.140625" style="151"/>
    <col min="14402" max="14402" width="9.85546875" style="151" bestFit="1" customWidth="1"/>
    <col min="14403" max="14417" width="9.140625" style="151"/>
    <col min="14418" max="14418" width="9.85546875" style="151" bestFit="1" customWidth="1"/>
    <col min="14419" max="14433" width="9.140625" style="151"/>
    <col min="14434" max="14434" width="9.85546875" style="151" bestFit="1" customWidth="1"/>
    <col min="14435" max="14449" width="9.140625" style="151"/>
    <col min="14450" max="14450" width="9.85546875" style="151" bestFit="1" customWidth="1"/>
    <col min="14451" max="14452" width="9.140625" style="151"/>
    <col min="14453" max="14453" width="11" style="151" bestFit="1" customWidth="1"/>
    <col min="14454" max="14458" width="11.140625" style="151" bestFit="1" customWidth="1"/>
    <col min="14459" max="14459" width="9.85546875" style="151" bestFit="1" customWidth="1"/>
    <col min="14460" max="14464" width="11.140625" style="151" bestFit="1" customWidth="1"/>
    <col min="14465" max="14465" width="12" style="151" bestFit="1" customWidth="1"/>
    <col min="14466" max="14466" width="11" style="151" bestFit="1" customWidth="1"/>
    <col min="14467" max="14579" width="9.140625" style="151"/>
    <col min="14580" max="14580" width="8.28515625" style="151" bestFit="1" customWidth="1"/>
    <col min="14581" max="14581" width="26" style="151" bestFit="1" customWidth="1"/>
    <col min="14582" max="14582" width="12" style="151" customWidth="1"/>
    <col min="14583" max="14583" width="8.140625" style="151" customWidth="1"/>
    <col min="14584" max="14584" width="11.140625" style="151" customWidth="1"/>
    <col min="14585" max="14585" width="8.28515625" style="151" customWidth="1"/>
    <col min="14586" max="14586" width="9.85546875" style="151" customWidth="1"/>
    <col min="14587" max="14587" width="8" style="151" customWidth="1"/>
    <col min="14588" max="14588" width="9.85546875" style="151" customWidth="1"/>
    <col min="14589" max="14589" width="6" style="151" customWidth="1"/>
    <col min="14590" max="14590" width="11.140625" style="151" customWidth="1"/>
    <col min="14591" max="14591" width="6.85546875" style="151" customWidth="1"/>
    <col min="14592" max="14592" width="11.7109375" style="151" customWidth="1"/>
    <col min="14593" max="14593" width="7.140625" style="151" customWidth="1"/>
    <col min="14594" max="14594" width="9" style="151" customWidth="1"/>
    <col min="14595" max="14595" width="7.140625" style="151" customWidth="1"/>
    <col min="14596" max="14596" width="12" style="151" customWidth="1"/>
    <col min="14597" max="14597" width="12.7109375" style="151" customWidth="1"/>
    <col min="14598" max="14609" width="11.140625" style="151" bestFit="1" customWidth="1"/>
    <col min="14610" max="14610" width="12" style="151" bestFit="1" customWidth="1"/>
    <col min="14611" max="14611" width="10" style="151" bestFit="1" customWidth="1"/>
    <col min="14612" max="14630" width="12.7109375" style="151" customWidth="1"/>
    <col min="14631" max="14641" width="9.85546875" style="151" bestFit="1" customWidth="1"/>
    <col min="14642" max="14642" width="11.140625" style="151" bestFit="1" customWidth="1"/>
    <col min="14643" max="14657" width="9.140625" style="151"/>
    <col min="14658" max="14658" width="9.85546875" style="151" bestFit="1" customWidth="1"/>
    <col min="14659" max="14673" width="9.140625" style="151"/>
    <col min="14674" max="14674" width="9.85546875" style="151" bestFit="1" customWidth="1"/>
    <col min="14675" max="14689" width="9.140625" style="151"/>
    <col min="14690" max="14690" width="9.85546875" style="151" bestFit="1" customWidth="1"/>
    <col min="14691" max="14705" width="9.140625" style="151"/>
    <col min="14706" max="14706" width="9.85546875" style="151" bestFit="1" customWidth="1"/>
    <col min="14707" max="14708" width="9.140625" style="151"/>
    <col min="14709" max="14709" width="11" style="151" bestFit="1" customWidth="1"/>
    <col min="14710" max="14714" width="11.140625" style="151" bestFit="1" customWidth="1"/>
    <col min="14715" max="14715" width="9.85546875" style="151" bestFit="1" customWidth="1"/>
    <col min="14716" max="14720" width="11.140625" style="151" bestFit="1" customWidth="1"/>
    <col min="14721" max="14721" width="12" style="151" bestFit="1" customWidth="1"/>
    <col min="14722" max="14722" width="11" style="151" bestFit="1" customWidth="1"/>
    <col min="14723" max="14835" width="9.140625" style="151"/>
    <col min="14836" max="14836" width="8.28515625" style="151" bestFit="1" customWidth="1"/>
    <col min="14837" max="14837" width="26" style="151" bestFit="1" customWidth="1"/>
    <col min="14838" max="14838" width="12" style="151" customWidth="1"/>
    <col min="14839" max="14839" width="8.140625" style="151" customWidth="1"/>
    <col min="14840" max="14840" width="11.140625" style="151" customWidth="1"/>
    <col min="14841" max="14841" width="8.28515625" style="151" customWidth="1"/>
    <col min="14842" max="14842" width="9.85546875" style="151" customWidth="1"/>
    <col min="14843" max="14843" width="8" style="151" customWidth="1"/>
    <col min="14844" max="14844" width="9.85546875" style="151" customWidth="1"/>
    <col min="14845" max="14845" width="6" style="151" customWidth="1"/>
    <col min="14846" max="14846" width="11.140625" style="151" customWidth="1"/>
    <col min="14847" max="14847" width="6.85546875" style="151" customWidth="1"/>
    <col min="14848" max="14848" width="11.7109375" style="151" customWidth="1"/>
    <col min="14849" max="14849" width="7.140625" style="151" customWidth="1"/>
    <col min="14850" max="14850" width="9" style="151" customWidth="1"/>
    <col min="14851" max="14851" width="7.140625" style="151" customWidth="1"/>
    <col min="14852" max="14852" width="12" style="151" customWidth="1"/>
    <col min="14853" max="14853" width="12.7109375" style="151" customWidth="1"/>
    <col min="14854" max="14865" width="11.140625" style="151" bestFit="1" customWidth="1"/>
    <col min="14866" max="14866" width="12" style="151" bestFit="1" customWidth="1"/>
    <col min="14867" max="14867" width="10" style="151" bestFit="1" customWidth="1"/>
    <col min="14868" max="14886" width="12.7109375" style="151" customWidth="1"/>
    <col min="14887" max="14897" width="9.85546875" style="151" bestFit="1" customWidth="1"/>
    <col min="14898" max="14898" width="11.140625" style="151" bestFit="1" customWidth="1"/>
    <col min="14899" max="14913" width="9.140625" style="151"/>
    <col min="14914" max="14914" width="9.85546875" style="151" bestFit="1" customWidth="1"/>
    <col min="14915" max="14929" width="9.140625" style="151"/>
    <col min="14930" max="14930" width="9.85546875" style="151" bestFit="1" customWidth="1"/>
    <col min="14931" max="14945" width="9.140625" style="151"/>
    <col min="14946" max="14946" width="9.85546875" style="151" bestFit="1" customWidth="1"/>
    <col min="14947" max="14961" width="9.140625" style="151"/>
    <col min="14962" max="14962" width="9.85546875" style="151" bestFit="1" customWidth="1"/>
    <col min="14963" max="14964" width="9.140625" style="151"/>
    <col min="14965" max="14965" width="11" style="151" bestFit="1" customWidth="1"/>
    <col min="14966" max="14970" width="11.140625" style="151" bestFit="1" customWidth="1"/>
    <col min="14971" max="14971" width="9.85546875" style="151" bestFit="1" customWidth="1"/>
    <col min="14972" max="14976" width="11.140625" style="151" bestFit="1" customWidth="1"/>
    <col min="14977" max="14977" width="12" style="151" bestFit="1" customWidth="1"/>
    <col min="14978" max="14978" width="11" style="151" bestFit="1" customWidth="1"/>
    <col min="14979" max="15091" width="9.140625" style="151"/>
    <col min="15092" max="15092" width="8.28515625" style="151" bestFit="1" customWidth="1"/>
    <col min="15093" max="15093" width="26" style="151" bestFit="1" customWidth="1"/>
    <col min="15094" max="15094" width="12" style="151" customWidth="1"/>
    <col min="15095" max="15095" width="8.140625" style="151" customWidth="1"/>
    <col min="15096" max="15096" width="11.140625" style="151" customWidth="1"/>
    <col min="15097" max="15097" width="8.28515625" style="151" customWidth="1"/>
    <col min="15098" max="15098" width="9.85546875" style="151" customWidth="1"/>
    <col min="15099" max="15099" width="8" style="151" customWidth="1"/>
    <col min="15100" max="15100" width="9.85546875" style="151" customWidth="1"/>
    <col min="15101" max="15101" width="6" style="151" customWidth="1"/>
    <col min="15102" max="15102" width="11.140625" style="151" customWidth="1"/>
    <col min="15103" max="15103" width="6.85546875" style="151" customWidth="1"/>
    <col min="15104" max="15104" width="11.7109375" style="151" customWidth="1"/>
    <col min="15105" max="15105" width="7.140625" style="151" customWidth="1"/>
    <col min="15106" max="15106" width="9" style="151" customWidth="1"/>
    <col min="15107" max="15107" width="7.140625" style="151" customWidth="1"/>
    <col min="15108" max="15108" width="12" style="151" customWidth="1"/>
    <col min="15109" max="15109" width="12.7109375" style="151" customWidth="1"/>
    <col min="15110" max="15121" width="11.140625" style="151" bestFit="1" customWidth="1"/>
    <col min="15122" max="15122" width="12" style="151" bestFit="1" customWidth="1"/>
    <col min="15123" max="15123" width="10" style="151" bestFit="1" customWidth="1"/>
    <col min="15124" max="15142" width="12.7109375" style="151" customWidth="1"/>
    <col min="15143" max="15153" width="9.85546875" style="151" bestFit="1" customWidth="1"/>
    <col min="15154" max="15154" width="11.140625" style="151" bestFit="1" customWidth="1"/>
    <col min="15155" max="15169" width="9.140625" style="151"/>
    <col min="15170" max="15170" width="9.85546875" style="151" bestFit="1" customWidth="1"/>
    <col min="15171" max="15185" width="9.140625" style="151"/>
    <col min="15186" max="15186" width="9.85546875" style="151" bestFit="1" customWidth="1"/>
    <col min="15187" max="15201" width="9.140625" style="151"/>
    <col min="15202" max="15202" width="9.85546875" style="151" bestFit="1" customWidth="1"/>
    <col min="15203" max="15217" width="9.140625" style="151"/>
    <col min="15218" max="15218" width="9.85546875" style="151" bestFit="1" customWidth="1"/>
    <col min="15219" max="15220" width="9.140625" style="151"/>
    <col min="15221" max="15221" width="11" style="151" bestFit="1" customWidth="1"/>
    <col min="15222" max="15226" width="11.140625" style="151" bestFit="1" customWidth="1"/>
    <col min="15227" max="15227" width="9.85546875" style="151" bestFit="1" customWidth="1"/>
    <col min="15228" max="15232" width="11.140625" style="151" bestFit="1" customWidth="1"/>
    <col min="15233" max="15233" width="12" style="151" bestFit="1" customWidth="1"/>
    <col min="15234" max="15234" width="11" style="151" bestFit="1" customWidth="1"/>
    <col min="15235" max="15347" width="9.140625" style="151"/>
    <col min="15348" max="15348" width="8.28515625" style="151" bestFit="1" customWidth="1"/>
    <col min="15349" max="15349" width="26" style="151" bestFit="1" customWidth="1"/>
    <col min="15350" max="15350" width="12" style="151" customWidth="1"/>
    <col min="15351" max="15351" width="8.140625" style="151" customWidth="1"/>
    <col min="15352" max="15352" width="11.140625" style="151" customWidth="1"/>
    <col min="15353" max="15353" width="8.28515625" style="151" customWidth="1"/>
    <col min="15354" max="15354" width="9.85546875" style="151" customWidth="1"/>
    <col min="15355" max="15355" width="8" style="151" customWidth="1"/>
    <col min="15356" max="15356" width="9.85546875" style="151" customWidth="1"/>
    <col min="15357" max="15357" width="6" style="151" customWidth="1"/>
    <col min="15358" max="15358" width="11.140625" style="151" customWidth="1"/>
    <col min="15359" max="15359" width="6.85546875" style="151" customWidth="1"/>
    <col min="15360" max="15360" width="11.7109375" style="151" customWidth="1"/>
    <col min="15361" max="15361" width="7.140625" style="151" customWidth="1"/>
    <col min="15362" max="15362" width="9" style="151" customWidth="1"/>
    <col min="15363" max="15363" width="7.140625" style="151" customWidth="1"/>
    <col min="15364" max="15364" width="12" style="151" customWidth="1"/>
    <col min="15365" max="15365" width="12.7109375" style="151" customWidth="1"/>
    <col min="15366" max="15377" width="11.140625" style="151" bestFit="1" customWidth="1"/>
    <col min="15378" max="15378" width="12" style="151" bestFit="1" customWidth="1"/>
    <col min="15379" max="15379" width="10" style="151" bestFit="1" customWidth="1"/>
    <col min="15380" max="15398" width="12.7109375" style="151" customWidth="1"/>
    <col min="15399" max="15409" width="9.85546875" style="151" bestFit="1" customWidth="1"/>
    <col min="15410" max="15410" width="11.140625" style="151" bestFit="1" customWidth="1"/>
    <col min="15411" max="15425" width="9.140625" style="151"/>
    <col min="15426" max="15426" width="9.85546875" style="151" bestFit="1" customWidth="1"/>
    <col min="15427" max="15441" width="9.140625" style="151"/>
    <col min="15442" max="15442" width="9.85546875" style="151" bestFit="1" customWidth="1"/>
    <col min="15443" max="15457" width="9.140625" style="151"/>
    <col min="15458" max="15458" width="9.85546875" style="151" bestFit="1" customWidth="1"/>
    <col min="15459" max="15473" width="9.140625" style="151"/>
    <col min="15474" max="15474" width="9.85546875" style="151" bestFit="1" customWidth="1"/>
    <col min="15475" max="15476" width="9.140625" style="151"/>
    <col min="15477" max="15477" width="11" style="151" bestFit="1" customWidth="1"/>
    <col min="15478" max="15482" width="11.140625" style="151" bestFit="1" customWidth="1"/>
    <col min="15483" max="15483" width="9.85546875" style="151" bestFit="1" customWidth="1"/>
    <col min="15484" max="15488" width="11.140625" style="151" bestFit="1" customWidth="1"/>
    <col min="15489" max="15489" width="12" style="151" bestFit="1" customWidth="1"/>
    <col min="15490" max="15490" width="11" style="151" bestFit="1" customWidth="1"/>
    <col min="15491" max="15603" width="9.140625" style="151"/>
    <col min="15604" max="15604" width="8.28515625" style="151" bestFit="1" customWidth="1"/>
    <col min="15605" max="15605" width="26" style="151" bestFit="1" customWidth="1"/>
    <col min="15606" max="15606" width="12" style="151" customWidth="1"/>
    <col min="15607" max="15607" width="8.140625" style="151" customWidth="1"/>
    <col min="15608" max="15608" width="11.140625" style="151" customWidth="1"/>
    <col min="15609" max="15609" width="8.28515625" style="151" customWidth="1"/>
    <col min="15610" max="15610" width="9.85546875" style="151" customWidth="1"/>
    <col min="15611" max="15611" width="8" style="151" customWidth="1"/>
    <col min="15612" max="15612" width="9.85546875" style="151" customWidth="1"/>
    <col min="15613" max="15613" width="6" style="151" customWidth="1"/>
    <col min="15614" max="15614" width="11.140625" style="151" customWidth="1"/>
    <col min="15615" max="15615" width="6.85546875" style="151" customWidth="1"/>
    <col min="15616" max="15616" width="11.7109375" style="151" customWidth="1"/>
    <col min="15617" max="15617" width="7.140625" style="151" customWidth="1"/>
    <col min="15618" max="15618" width="9" style="151" customWidth="1"/>
    <col min="15619" max="15619" width="7.140625" style="151" customWidth="1"/>
    <col min="15620" max="15620" width="12" style="151" customWidth="1"/>
    <col min="15621" max="15621" width="12.7109375" style="151" customWidth="1"/>
    <col min="15622" max="15633" width="11.140625" style="151" bestFit="1" customWidth="1"/>
    <col min="15634" max="15634" width="12" style="151" bestFit="1" customWidth="1"/>
    <col min="15635" max="15635" width="10" style="151" bestFit="1" customWidth="1"/>
    <col min="15636" max="15654" width="12.7109375" style="151" customWidth="1"/>
    <col min="15655" max="15665" width="9.85546875" style="151" bestFit="1" customWidth="1"/>
    <col min="15666" max="15666" width="11.140625" style="151" bestFit="1" customWidth="1"/>
    <col min="15667" max="15681" width="9.140625" style="151"/>
    <col min="15682" max="15682" width="9.85546875" style="151" bestFit="1" customWidth="1"/>
    <col min="15683" max="15697" width="9.140625" style="151"/>
    <col min="15698" max="15698" width="9.85546875" style="151" bestFit="1" customWidth="1"/>
    <col min="15699" max="15713" width="9.140625" style="151"/>
    <col min="15714" max="15714" width="9.85546875" style="151" bestFit="1" customWidth="1"/>
    <col min="15715" max="15729" width="9.140625" style="151"/>
    <col min="15730" max="15730" width="9.85546875" style="151" bestFit="1" customWidth="1"/>
    <col min="15731" max="15732" width="9.140625" style="151"/>
    <col min="15733" max="15733" width="11" style="151" bestFit="1" customWidth="1"/>
    <col min="15734" max="15738" width="11.140625" style="151" bestFit="1" customWidth="1"/>
    <col min="15739" max="15739" width="9.85546875" style="151" bestFit="1" customWidth="1"/>
    <col min="15740" max="15744" width="11.140625" style="151" bestFit="1" customWidth="1"/>
    <col min="15745" max="15745" width="12" style="151" bestFit="1" customWidth="1"/>
    <col min="15746" max="15746" width="11" style="151" bestFit="1" customWidth="1"/>
    <col min="15747" max="15859" width="9.140625" style="151"/>
    <col min="15860" max="15860" width="8.28515625" style="151" bestFit="1" customWidth="1"/>
    <col min="15861" max="15861" width="26" style="151" bestFit="1" customWidth="1"/>
    <col min="15862" max="15862" width="12" style="151" customWidth="1"/>
    <col min="15863" max="15863" width="8.140625" style="151" customWidth="1"/>
    <col min="15864" max="15864" width="11.140625" style="151" customWidth="1"/>
    <col min="15865" max="15865" width="8.28515625" style="151" customWidth="1"/>
    <col min="15866" max="15866" width="9.85546875" style="151" customWidth="1"/>
    <col min="15867" max="15867" width="8" style="151" customWidth="1"/>
    <col min="15868" max="15868" width="9.85546875" style="151" customWidth="1"/>
    <col min="15869" max="15869" width="6" style="151" customWidth="1"/>
    <col min="15870" max="15870" width="11.140625" style="151" customWidth="1"/>
    <col min="15871" max="15871" width="6.85546875" style="151" customWidth="1"/>
    <col min="15872" max="15872" width="11.7109375" style="151" customWidth="1"/>
    <col min="15873" max="15873" width="7.140625" style="151" customWidth="1"/>
    <col min="15874" max="15874" width="9" style="151" customWidth="1"/>
    <col min="15875" max="15875" width="7.140625" style="151" customWidth="1"/>
    <col min="15876" max="15876" width="12" style="151" customWidth="1"/>
    <col min="15877" max="15877" width="12.7109375" style="151" customWidth="1"/>
    <col min="15878" max="15889" width="11.140625" style="151" bestFit="1" customWidth="1"/>
    <col min="15890" max="15890" width="12" style="151" bestFit="1" customWidth="1"/>
    <col min="15891" max="15891" width="10" style="151" bestFit="1" customWidth="1"/>
    <col min="15892" max="15910" width="12.7109375" style="151" customWidth="1"/>
    <col min="15911" max="15921" width="9.85546875" style="151" bestFit="1" customWidth="1"/>
    <col min="15922" max="15922" width="11.140625" style="151" bestFit="1" customWidth="1"/>
    <col min="15923" max="15937" width="9.140625" style="151"/>
    <col min="15938" max="15938" width="9.85546875" style="151" bestFit="1" customWidth="1"/>
    <col min="15939" max="15953" width="9.140625" style="151"/>
    <col min="15954" max="15954" width="9.85546875" style="151" bestFit="1" customWidth="1"/>
    <col min="15955" max="15969" width="9.140625" style="151"/>
    <col min="15970" max="15970" width="9.85546875" style="151" bestFit="1" customWidth="1"/>
    <col min="15971" max="15985" width="9.140625" style="151"/>
    <col min="15986" max="15986" width="9.85546875" style="151" bestFit="1" customWidth="1"/>
    <col min="15987" max="15988" width="9.140625" style="151"/>
    <col min="15989" max="15989" width="11" style="151" bestFit="1" customWidth="1"/>
    <col min="15990" max="15994" width="11.140625" style="151" bestFit="1" customWidth="1"/>
    <col min="15995" max="15995" width="9.85546875" style="151" bestFit="1" customWidth="1"/>
    <col min="15996" max="16000" width="11.140625" style="151" bestFit="1" customWidth="1"/>
    <col min="16001" max="16001" width="12" style="151" bestFit="1" customWidth="1"/>
    <col min="16002" max="16002" width="11" style="151" bestFit="1" customWidth="1"/>
    <col min="16003" max="16115" width="9.140625" style="151"/>
    <col min="16116" max="16116" width="8.28515625" style="151" bestFit="1" customWidth="1"/>
    <col min="16117" max="16117" width="26" style="151" bestFit="1" customWidth="1"/>
    <col min="16118" max="16118" width="12" style="151" customWidth="1"/>
    <col min="16119" max="16119" width="8.140625" style="151" customWidth="1"/>
    <col min="16120" max="16120" width="11.140625" style="151" customWidth="1"/>
    <col min="16121" max="16121" width="8.28515625" style="151" customWidth="1"/>
    <col min="16122" max="16122" width="9.85546875" style="151" customWidth="1"/>
    <col min="16123" max="16123" width="8" style="151" customWidth="1"/>
    <col min="16124" max="16124" width="9.85546875" style="151" customWidth="1"/>
    <col min="16125" max="16125" width="6" style="151" customWidth="1"/>
    <col min="16126" max="16126" width="11.140625" style="151" customWidth="1"/>
    <col min="16127" max="16127" width="6.85546875" style="151" customWidth="1"/>
    <col min="16128" max="16128" width="11.7109375" style="151" customWidth="1"/>
    <col min="16129" max="16129" width="7.140625" style="151" customWidth="1"/>
    <col min="16130" max="16130" width="9" style="151" customWidth="1"/>
    <col min="16131" max="16131" width="7.140625" style="151" customWidth="1"/>
    <col min="16132" max="16132" width="12" style="151" customWidth="1"/>
    <col min="16133" max="16133" width="12.7109375" style="151" customWidth="1"/>
    <col min="16134" max="16145" width="11.140625" style="151" bestFit="1" customWidth="1"/>
    <col min="16146" max="16146" width="12" style="151" bestFit="1" customWidth="1"/>
    <col min="16147" max="16147" width="10" style="151" bestFit="1" customWidth="1"/>
    <col min="16148" max="16166" width="12.7109375" style="151" customWidth="1"/>
    <col min="16167" max="16177" width="9.85546875" style="151" bestFit="1" customWidth="1"/>
    <col min="16178" max="16178" width="11.140625" style="151" bestFit="1" customWidth="1"/>
    <col min="16179" max="16193" width="9.140625" style="151"/>
    <col min="16194" max="16194" width="9.85546875" style="151" bestFit="1" customWidth="1"/>
    <col min="16195" max="16209" width="9.140625" style="151"/>
    <col min="16210" max="16210" width="9.85546875" style="151" bestFit="1" customWidth="1"/>
    <col min="16211" max="16225" width="9.140625" style="151"/>
    <col min="16226" max="16226" width="9.85546875" style="151" bestFit="1" customWidth="1"/>
    <col min="16227" max="16241" width="9.140625" style="151"/>
    <col min="16242" max="16242" width="9.85546875" style="151" bestFit="1" customWidth="1"/>
    <col min="16243" max="16244" width="9.140625" style="151"/>
    <col min="16245" max="16245" width="11" style="151" bestFit="1" customWidth="1"/>
    <col min="16246" max="16250" width="11.140625" style="151" bestFit="1" customWidth="1"/>
    <col min="16251" max="16251" width="9.85546875" style="151" bestFit="1" customWidth="1"/>
    <col min="16252" max="16256" width="11.140625" style="151" bestFit="1" customWidth="1"/>
    <col min="16257" max="16257" width="12" style="151" bestFit="1" customWidth="1"/>
    <col min="16258" max="16258" width="11" style="151" bestFit="1" customWidth="1"/>
    <col min="16259" max="16384" width="9.140625" style="151"/>
  </cols>
  <sheetData>
    <row r="1" spans="1:129" x14ac:dyDescent="0.2">
      <c r="F1" s="210" t="s">
        <v>49</v>
      </c>
      <c r="G1" s="210" t="s">
        <v>48</v>
      </c>
      <c r="H1" s="210" t="s">
        <v>47</v>
      </c>
      <c r="I1" s="210" t="s">
        <v>46</v>
      </c>
      <c r="J1" s="210" t="s">
        <v>45</v>
      </c>
      <c r="K1" s="210" t="s">
        <v>44</v>
      </c>
      <c r="L1" s="210" t="s">
        <v>43</v>
      </c>
      <c r="M1" s="210" t="s">
        <v>42</v>
      </c>
      <c r="N1" s="210" t="s">
        <v>41</v>
      </c>
      <c r="O1" s="210" t="s">
        <v>40</v>
      </c>
      <c r="P1" s="210" t="s">
        <v>39</v>
      </c>
      <c r="Q1" s="210" t="s">
        <v>38</v>
      </c>
      <c r="R1" s="210" t="s">
        <v>37</v>
      </c>
      <c r="V1" s="210" t="s">
        <v>49</v>
      </c>
      <c r="W1" s="210" t="s">
        <v>48</v>
      </c>
      <c r="X1" s="210" t="s">
        <v>47</v>
      </c>
      <c r="Y1" s="210" t="s">
        <v>46</v>
      </c>
      <c r="Z1" s="210" t="s">
        <v>45</v>
      </c>
      <c r="AA1" s="210" t="s">
        <v>44</v>
      </c>
      <c r="AB1" s="210" t="s">
        <v>43</v>
      </c>
      <c r="AC1" s="210" t="s">
        <v>42</v>
      </c>
      <c r="AD1" s="210" t="s">
        <v>41</v>
      </c>
      <c r="AE1" s="210" t="s">
        <v>40</v>
      </c>
      <c r="AF1" s="210" t="s">
        <v>39</v>
      </c>
      <c r="AG1" s="210" t="s">
        <v>38</v>
      </c>
      <c r="AH1" s="210" t="s">
        <v>37</v>
      </c>
      <c r="AL1" s="210" t="s">
        <v>49</v>
      </c>
      <c r="AM1" s="210" t="s">
        <v>48</v>
      </c>
      <c r="AN1" s="210" t="s">
        <v>47</v>
      </c>
      <c r="AO1" s="210" t="s">
        <v>46</v>
      </c>
      <c r="AP1" s="210" t="s">
        <v>45</v>
      </c>
      <c r="AQ1" s="210" t="s">
        <v>44</v>
      </c>
      <c r="AR1" s="210" t="s">
        <v>43</v>
      </c>
      <c r="AS1" s="210" t="s">
        <v>42</v>
      </c>
      <c r="AT1" s="210" t="s">
        <v>41</v>
      </c>
      <c r="AU1" s="210" t="s">
        <v>40</v>
      </c>
      <c r="AV1" s="210" t="s">
        <v>39</v>
      </c>
      <c r="AW1" s="210" t="s">
        <v>38</v>
      </c>
      <c r="AX1" s="210" t="s">
        <v>37</v>
      </c>
      <c r="BB1" s="210" t="s">
        <v>49</v>
      </c>
      <c r="BC1" s="210" t="s">
        <v>48</v>
      </c>
      <c r="BD1" s="210" t="s">
        <v>47</v>
      </c>
      <c r="BE1" s="210" t="s">
        <v>46</v>
      </c>
      <c r="BF1" s="210" t="s">
        <v>45</v>
      </c>
      <c r="BG1" s="210" t="s">
        <v>44</v>
      </c>
      <c r="BH1" s="210" t="s">
        <v>43</v>
      </c>
      <c r="BI1" s="210" t="s">
        <v>42</v>
      </c>
      <c r="BJ1" s="210" t="s">
        <v>41</v>
      </c>
      <c r="BK1" s="210" t="s">
        <v>40</v>
      </c>
      <c r="BL1" s="210" t="s">
        <v>39</v>
      </c>
      <c r="BM1" s="210" t="s">
        <v>38</v>
      </c>
      <c r="BN1" s="210" t="s">
        <v>37</v>
      </c>
      <c r="BR1" s="210" t="s">
        <v>49</v>
      </c>
      <c r="BS1" s="210" t="s">
        <v>48</v>
      </c>
      <c r="BT1" s="210" t="s">
        <v>47</v>
      </c>
      <c r="BU1" s="210" t="s">
        <v>46</v>
      </c>
      <c r="BV1" s="210" t="s">
        <v>45</v>
      </c>
      <c r="BW1" s="210" t="s">
        <v>44</v>
      </c>
      <c r="BX1" s="210" t="s">
        <v>43</v>
      </c>
      <c r="BY1" s="210" t="s">
        <v>42</v>
      </c>
      <c r="BZ1" s="210" t="s">
        <v>41</v>
      </c>
      <c r="CA1" s="210" t="s">
        <v>40</v>
      </c>
      <c r="CB1" s="210" t="s">
        <v>39</v>
      </c>
      <c r="CC1" s="210" t="s">
        <v>38</v>
      </c>
      <c r="CD1" s="210" t="s">
        <v>37</v>
      </c>
      <c r="CH1" s="210" t="s">
        <v>49</v>
      </c>
      <c r="CI1" s="210" t="s">
        <v>48</v>
      </c>
      <c r="CJ1" s="210" t="s">
        <v>47</v>
      </c>
      <c r="CK1" s="210" t="s">
        <v>46</v>
      </c>
      <c r="CL1" s="210" t="s">
        <v>45</v>
      </c>
      <c r="CM1" s="210" t="s">
        <v>44</v>
      </c>
      <c r="CN1" s="210" t="s">
        <v>43</v>
      </c>
      <c r="CO1" s="210" t="s">
        <v>42</v>
      </c>
      <c r="CP1" s="210" t="s">
        <v>41</v>
      </c>
      <c r="CQ1" s="210" t="s">
        <v>40</v>
      </c>
      <c r="CR1" s="210" t="s">
        <v>39</v>
      </c>
      <c r="CS1" s="210" t="s">
        <v>38</v>
      </c>
      <c r="CT1" s="210" t="s">
        <v>37</v>
      </c>
      <c r="CX1" s="210" t="s">
        <v>49</v>
      </c>
      <c r="CY1" s="210" t="s">
        <v>48</v>
      </c>
      <c r="CZ1" s="210" t="s">
        <v>47</v>
      </c>
      <c r="DA1" s="210" t="s">
        <v>46</v>
      </c>
      <c r="DB1" s="210" t="s">
        <v>45</v>
      </c>
      <c r="DC1" s="210" t="s">
        <v>44</v>
      </c>
      <c r="DD1" s="210" t="s">
        <v>43</v>
      </c>
      <c r="DE1" s="210" t="s">
        <v>42</v>
      </c>
      <c r="DF1" s="210" t="s">
        <v>41</v>
      </c>
      <c r="DG1" s="210" t="s">
        <v>40</v>
      </c>
      <c r="DH1" s="210" t="s">
        <v>39</v>
      </c>
      <c r="DI1" s="210" t="s">
        <v>38</v>
      </c>
      <c r="DJ1" s="210" t="s">
        <v>37</v>
      </c>
      <c r="DM1" s="210" t="s">
        <v>49</v>
      </c>
      <c r="DN1" s="210" t="s">
        <v>48</v>
      </c>
      <c r="DO1" s="210" t="s">
        <v>47</v>
      </c>
      <c r="DP1" s="210" t="s">
        <v>46</v>
      </c>
      <c r="DQ1" s="210" t="s">
        <v>45</v>
      </c>
      <c r="DR1" s="210" t="s">
        <v>44</v>
      </c>
      <c r="DS1" s="210" t="s">
        <v>43</v>
      </c>
      <c r="DT1" s="210" t="s">
        <v>42</v>
      </c>
      <c r="DU1" s="210" t="s">
        <v>41</v>
      </c>
      <c r="DV1" s="210" t="s">
        <v>40</v>
      </c>
      <c r="DW1" s="210" t="s">
        <v>39</v>
      </c>
      <c r="DX1" s="210" t="s">
        <v>38</v>
      </c>
      <c r="DY1" s="210" t="s">
        <v>37</v>
      </c>
    </row>
    <row r="2" spans="1:129" s="92" customFormat="1" x14ac:dyDescent="0.2">
      <c r="A2" s="215"/>
      <c r="B2" s="139" t="s">
        <v>671</v>
      </c>
      <c r="C2" s="246">
        <f>STATS!D94</f>
        <v>4086</v>
      </c>
      <c r="D2" s="215"/>
      <c r="E2" s="216"/>
      <c r="F2" s="187">
        <f>'MO STATS'!E90</f>
        <v>301</v>
      </c>
      <c r="G2" s="187">
        <f>'MO STATS'!F90</f>
        <v>277</v>
      </c>
      <c r="H2" s="187">
        <f>'MO STATS'!G90</f>
        <v>282</v>
      </c>
      <c r="I2" s="187">
        <f>'MO STATS'!H90</f>
        <v>285</v>
      </c>
      <c r="J2" s="187">
        <f>'MO STATS'!I90</f>
        <v>333</v>
      </c>
      <c r="K2" s="187">
        <f>'MO STATS'!J90</f>
        <v>421</v>
      </c>
      <c r="L2" s="187">
        <f>'MO STATS'!K90</f>
        <v>279</v>
      </c>
      <c r="M2" s="187">
        <f>'MO STATS'!L90</f>
        <v>287</v>
      </c>
      <c r="N2" s="187">
        <f>'MO STATS'!M90</f>
        <v>345</v>
      </c>
      <c r="O2" s="187">
        <f>'MO STATS'!N90</f>
        <v>447</v>
      </c>
      <c r="P2" s="187">
        <f>'MO STATS'!O90</f>
        <v>438</v>
      </c>
      <c r="Q2" s="187">
        <f>'MO STATS'!P90-1</f>
        <v>391</v>
      </c>
      <c r="R2" s="154">
        <f>SUM(F2:Q2)</f>
        <v>4086</v>
      </c>
      <c r="S2" s="153">
        <f>C2-R2</f>
        <v>0</v>
      </c>
      <c r="T2" s="237"/>
      <c r="U2" s="237"/>
      <c r="V2" s="237">
        <f>F2</f>
        <v>301</v>
      </c>
      <c r="W2" s="237">
        <f t="shared" ref="W2:AG3" si="0">G2</f>
        <v>277</v>
      </c>
      <c r="X2" s="237">
        <f t="shared" si="0"/>
        <v>282</v>
      </c>
      <c r="Y2" s="237">
        <f t="shared" si="0"/>
        <v>285</v>
      </c>
      <c r="Z2" s="237">
        <f t="shared" si="0"/>
        <v>333</v>
      </c>
      <c r="AA2" s="237">
        <f t="shared" si="0"/>
        <v>421</v>
      </c>
      <c r="AB2" s="237">
        <f t="shared" si="0"/>
        <v>279</v>
      </c>
      <c r="AC2" s="237">
        <f t="shared" si="0"/>
        <v>287</v>
      </c>
      <c r="AD2" s="237">
        <f t="shared" si="0"/>
        <v>345</v>
      </c>
      <c r="AE2" s="237">
        <f t="shared" si="0"/>
        <v>447</v>
      </c>
      <c r="AF2" s="237">
        <f t="shared" si="0"/>
        <v>438</v>
      </c>
      <c r="AG2" s="237">
        <f t="shared" si="0"/>
        <v>391</v>
      </c>
      <c r="AH2" s="247">
        <f>SUM(V2:AG2)</f>
        <v>4086</v>
      </c>
      <c r="AL2" s="237">
        <f>V2</f>
        <v>301</v>
      </c>
      <c r="AM2" s="237">
        <f t="shared" ref="AM2:AW3" si="1">W2</f>
        <v>277</v>
      </c>
      <c r="AN2" s="237">
        <f t="shared" si="1"/>
        <v>282</v>
      </c>
      <c r="AO2" s="237">
        <f t="shared" si="1"/>
        <v>285</v>
      </c>
      <c r="AP2" s="237">
        <f t="shared" si="1"/>
        <v>333</v>
      </c>
      <c r="AQ2" s="237">
        <f t="shared" si="1"/>
        <v>421</v>
      </c>
      <c r="AR2" s="237">
        <f t="shared" si="1"/>
        <v>279</v>
      </c>
      <c r="AS2" s="237">
        <f t="shared" si="1"/>
        <v>287</v>
      </c>
      <c r="AT2" s="237">
        <f t="shared" si="1"/>
        <v>345</v>
      </c>
      <c r="AU2" s="237">
        <f t="shared" si="1"/>
        <v>447</v>
      </c>
      <c r="AV2" s="237">
        <f t="shared" si="1"/>
        <v>438</v>
      </c>
      <c r="AW2" s="237">
        <f t="shared" si="1"/>
        <v>391</v>
      </c>
      <c r="AX2" s="247">
        <f>SUM(AL2:AW2)</f>
        <v>4086</v>
      </c>
      <c r="BB2" s="237">
        <f>AL2</f>
        <v>301</v>
      </c>
      <c r="BC2" s="237">
        <f t="shared" ref="BC2:BM3" si="2">AM2</f>
        <v>277</v>
      </c>
      <c r="BD2" s="237">
        <f t="shared" si="2"/>
        <v>282</v>
      </c>
      <c r="BE2" s="237">
        <f t="shared" si="2"/>
        <v>285</v>
      </c>
      <c r="BF2" s="237">
        <f t="shared" si="2"/>
        <v>333</v>
      </c>
      <c r="BG2" s="237">
        <f t="shared" si="2"/>
        <v>421</v>
      </c>
      <c r="BH2" s="237">
        <f t="shared" si="2"/>
        <v>279</v>
      </c>
      <c r="BI2" s="237">
        <f t="shared" si="2"/>
        <v>287</v>
      </c>
      <c r="BJ2" s="237">
        <f t="shared" si="2"/>
        <v>345</v>
      </c>
      <c r="BK2" s="237">
        <f t="shared" si="2"/>
        <v>447</v>
      </c>
      <c r="BL2" s="237">
        <f t="shared" si="2"/>
        <v>438</v>
      </c>
      <c r="BM2" s="237">
        <f t="shared" si="2"/>
        <v>391</v>
      </c>
      <c r="BN2" s="247">
        <f>SUM(BB2:BM2)</f>
        <v>4086</v>
      </c>
      <c r="BQ2" s="237"/>
      <c r="BR2" s="237">
        <f>BB2</f>
        <v>301</v>
      </c>
      <c r="BS2" s="237">
        <f t="shared" ref="BS2:CC3" si="3">BC2</f>
        <v>277</v>
      </c>
      <c r="BT2" s="237">
        <f t="shared" si="3"/>
        <v>282</v>
      </c>
      <c r="BU2" s="237">
        <f t="shared" si="3"/>
        <v>285</v>
      </c>
      <c r="BV2" s="237">
        <f t="shared" si="3"/>
        <v>333</v>
      </c>
      <c r="BW2" s="237">
        <f t="shared" si="3"/>
        <v>421</v>
      </c>
      <c r="BX2" s="237">
        <f t="shared" si="3"/>
        <v>279</v>
      </c>
      <c r="BY2" s="237">
        <f t="shared" si="3"/>
        <v>287</v>
      </c>
      <c r="BZ2" s="237">
        <f t="shared" si="3"/>
        <v>345</v>
      </c>
      <c r="CA2" s="237">
        <f t="shared" si="3"/>
        <v>447</v>
      </c>
      <c r="CB2" s="237">
        <f t="shared" si="3"/>
        <v>438</v>
      </c>
      <c r="CC2" s="237">
        <f t="shared" si="3"/>
        <v>391</v>
      </c>
      <c r="CD2" s="247">
        <f>SUM(BR2:CC2)</f>
        <v>4086</v>
      </c>
      <c r="CH2" s="237">
        <f t="shared" ref="CH2:CS3" si="4">BR2</f>
        <v>301</v>
      </c>
      <c r="CI2" s="237">
        <f t="shared" si="4"/>
        <v>277</v>
      </c>
      <c r="CJ2" s="237">
        <f t="shared" si="4"/>
        <v>282</v>
      </c>
      <c r="CK2" s="237">
        <f t="shared" si="4"/>
        <v>285</v>
      </c>
      <c r="CL2" s="237">
        <f t="shared" si="4"/>
        <v>333</v>
      </c>
      <c r="CM2" s="237">
        <f t="shared" si="4"/>
        <v>421</v>
      </c>
      <c r="CN2" s="237">
        <f t="shared" si="4"/>
        <v>279</v>
      </c>
      <c r="CO2" s="237">
        <f t="shared" si="4"/>
        <v>287</v>
      </c>
      <c r="CP2" s="237">
        <f t="shared" si="4"/>
        <v>345</v>
      </c>
      <c r="CQ2" s="237">
        <f t="shared" si="4"/>
        <v>447</v>
      </c>
      <c r="CR2" s="237">
        <f t="shared" si="4"/>
        <v>438</v>
      </c>
      <c r="CS2" s="237">
        <f t="shared" si="4"/>
        <v>391</v>
      </c>
      <c r="CT2" s="247">
        <f>SUM(CH2:CS2)</f>
        <v>4086</v>
      </c>
      <c r="CX2" s="237">
        <f t="shared" ref="CX2:DI3" si="5">CH2</f>
        <v>301</v>
      </c>
      <c r="CY2" s="237">
        <f t="shared" si="5"/>
        <v>277</v>
      </c>
      <c r="CZ2" s="237">
        <f t="shared" si="5"/>
        <v>282</v>
      </c>
      <c r="DA2" s="237">
        <f t="shared" si="5"/>
        <v>285</v>
      </c>
      <c r="DB2" s="237">
        <f t="shared" si="5"/>
        <v>333</v>
      </c>
      <c r="DC2" s="237">
        <f t="shared" si="5"/>
        <v>421</v>
      </c>
      <c r="DD2" s="237">
        <f t="shared" si="5"/>
        <v>279</v>
      </c>
      <c r="DE2" s="237">
        <f t="shared" si="5"/>
        <v>287</v>
      </c>
      <c r="DF2" s="237">
        <f t="shared" si="5"/>
        <v>345</v>
      </c>
      <c r="DG2" s="237">
        <f t="shared" si="5"/>
        <v>447</v>
      </c>
      <c r="DH2" s="237">
        <f t="shared" si="5"/>
        <v>438</v>
      </c>
      <c r="DI2" s="237">
        <f t="shared" si="5"/>
        <v>391</v>
      </c>
      <c r="DJ2" s="247">
        <f>SUM(CX2:DI2)</f>
        <v>4086</v>
      </c>
      <c r="DM2" s="237">
        <f>CH2</f>
        <v>301</v>
      </c>
      <c r="DN2" s="237">
        <f t="shared" ref="DN2:DX2" si="6">CI2</f>
        <v>277</v>
      </c>
      <c r="DO2" s="237">
        <f t="shared" si="6"/>
        <v>282</v>
      </c>
      <c r="DP2" s="237">
        <f t="shared" si="6"/>
        <v>285</v>
      </c>
      <c r="DQ2" s="237">
        <f t="shared" si="6"/>
        <v>333</v>
      </c>
      <c r="DR2" s="237">
        <f t="shared" si="6"/>
        <v>421</v>
      </c>
      <c r="DS2" s="237">
        <f t="shared" si="6"/>
        <v>279</v>
      </c>
      <c r="DT2" s="237">
        <f t="shared" si="6"/>
        <v>287</v>
      </c>
      <c r="DU2" s="237">
        <f t="shared" si="6"/>
        <v>345</v>
      </c>
      <c r="DV2" s="237">
        <f t="shared" si="6"/>
        <v>447</v>
      </c>
      <c r="DW2" s="237">
        <f t="shared" si="6"/>
        <v>438</v>
      </c>
      <c r="DX2" s="237">
        <f t="shared" si="6"/>
        <v>391</v>
      </c>
      <c r="DY2" s="247">
        <f>SUM(DM2:DX2)</f>
        <v>4086</v>
      </c>
    </row>
    <row r="3" spans="1:129" s="92" customFormat="1" x14ac:dyDescent="0.2">
      <c r="A3" s="215"/>
      <c r="B3" s="139" t="s">
        <v>152</v>
      </c>
      <c r="C3" s="246">
        <f>STATS!D92</f>
        <v>20375</v>
      </c>
      <c r="D3" s="215"/>
      <c r="E3" s="216"/>
      <c r="F3" s="187">
        <f>'MO STATS'!E88</f>
        <v>1663</v>
      </c>
      <c r="G3" s="187">
        <f>'MO STATS'!F88</f>
        <v>1576</v>
      </c>
      <c r="H3" s="187">
        <f>'MO STATS'!G88</f>
        <v>1511</v>
      </c>
      <c r="I3" s="187">
        <f>'MO STATS'!H88</f>
        <v>1687</v>
      </c>
      <c r="J3" s="187">
        <f>'MO STATS'!I88</f>
        <v>1721</v>
      </c>
      <c r="K3" s="187">
        <f>'MO STATS'!J88</f>
        <v>1875</v>
      </c>
      <c r="L3" s="187">
        <f>'MO STATS'!K88</f>
        <v>1737</v>
      </c>
      <c r="M3" s="187">
        <f>'MO STATS'!L88</f>
        <v>1855</v>
      </c>
      <c r="N3" s="187">
        <f>'MO STATS'!M88</f>
        <v>1678</v>
      </c>
      <c r="O3" s="187">
        <f>'MO STATS'!N88</f>
        <v>1510</v>
      </c>
      <c r="P3" s="187">
        <f>'MO STATS'!O88</f>
        <v>1754</v>
      </c>
      <c r="Q3" s="187">
        <f>'MO STATS'!P88</f>
        <v>1808</v>
      </c>
      <c r="R3" s="154">
        <f>SUM(F3:Q3)</f>
        <v>20375</v>
      </c>
      <c r="S3" s="153">
        <f>C3-R3</f>
        <v>0</v>
      </c>
      <c r="T3" s="237"/>
      <c r="U3" s="237"/>
      <c r="V3" s="237">
        <f>F3</f>
        <v>1663</v>
      </c>
      <c r="W3" s="237">
        <f t="shared" si="0"/>
        <v>1576</v>
      </c>
      <c r="X3" s="237">
        <f t="shared" si="0"/>
        <v>1511</v>
      </c>
      <c r="Y3" s="237">
        <f t="shared" si="0"/>
        <v>1687</v>
      </c>
      <c r="Z3" s="237">
        <f t="shared" si="0"/>
        <v>1721</v>
      </c>
      <c r="AA3" s="237">
        <f t="shared" si="0"/>
        <v>1875</v>
      </c>
      <c r="AB3" s="237">
        <f t="shared" si="0"/>
        <v>1737</v>
      </c>
      <c r="AC3" s="237">
        <f t="shared" si="0"/>
        <v>1855</v>
      </c>
      <c r="AD3" s="237">
        <f t="shared" si="0"/>
        <v>1678</v>
      </c>
      <c r="AE3" s="237">
        <f t="shared" si="0"/>
        <v>1510</v>
      </c>
      <c r="AF3" s="237">
        <f t="shared" si="0"/>
        <v>1754</v>
      </c>
      <c r="AG3" s="237">
        <f t="shared" si="0"/>
        <v>1808</v>
      </c>
      <c r="AH3" s="247">
        <f>SUM(V3:AG3)</f>
        <v>20375</v>
      </c>
      <c r="AL3" s="237">
        <f>V3</f>
        <v>1663</v>
      </c>
      <c r="AM3" s="237">
        <f t="shared" si="1"/>
        <v>1576</v>
      </c>
      <c r="AN3" s="237">
        <f t="shared" si="1"/>
        <v>1511</v>
      </c>
      <c r="AO3" s="237">
        <f t="shared" si="1"/>
        <v>1687</v>
      </c>
      <c r="AP3" s="237">
        <f t="shared" si="1"/>
        <v>1721</v>
      </c>
      <c r="AQ3" s="237">
        <f t="shared" si="1"/>
        <v>1875</v>
      </c>
      <c r="AR3" s="237">
        <f t="shared" si="1"/>
        <v>1737</v>
      </c>
      <c r="AS3" s="237">
        <f t="shared" si="1"/>
        <v>1855</v>
      </c>
      <c r="AT3" s="237">
        <f t="shared" si="1"/>
        <v>1678</v>
      </c>
      <c r="AU3" s="237">
        <f t="shared" si="1"/>
        <v>1510</v>
      </c>
      <c r="AV3" s="237">
        <f t="shared" si="1"/>
        <v>1754</v>
      </c>
      <c r="AW3" s="237">
        <f t="shared" si="1"/>
        <v>1808</v>
      </c>
      <c r="AX3" s="247">
        <f>SUM(AL3:AW3)</f>
        <v>20375</v>
      </c>
      <c r="BB3" s="237">
        <f>AL3</f>
        <v>1663</v>
      </c>
      <c r="BC3" s="237">
        <f t="shared" si="2"/>
        <v>1576</v>
      </c>
      <c r="BD3" s="237">
        <f t="shared" si="2"/>
        <v>1511</v>
      </c>
      <c r="BE3" s="237">
        <f t="shared" si="2"/>
        <v>1687</v>
      </c>
      <c r="BF3" s="237">
        <f t="shared" si="2"/>
        <v>1721</v>
      </c>
      <c r="BG3" s="237">
        <f t="shared" si="2"/>
        <v>1875</v>
      </c>
      <c r="BH3" s="237">
        <f t="shared" si="2"/>
        <v>1737</v>
      </c>
      <c r="BI3" s="237">
        <f t="shared" si="2"/>
        <v>1855</v>
      </c>
      <c r="BJ3" s="237">
        <f t="shared" si="2"/>
        <v>1678</v>
      </c>
      <c r="BK3" s="237">
        <f t="shared" si="2"/>
        <v>1510</v>
      </c>
      <c r="BL3" s="237">
        <f t="shared" si="2"/>
        <v>1754</v>
      </c>
      <c r="BM3" s="237">
        <f t="shared" si="2"/>
        <v>1808</v>
      </c>
      <c r="BN3" s="247">
        <f>SUM(BB3:BM3)</f>
        <v>20375</v>
      </c>
      <c r="BQ3" s="237"/>
      <c r="BR3" s="237">
        <f>BB3</f>
        <v>1663</v>
      </c>
      <c r="BS3" s="237">
        <f t="shared" si="3"/>
        <v>1576</v>
      </c>
      <c r="BT3" s="237">
        <f t="shared" si="3"/>
        <v>1511</v>
      </c>
      <c r="BU3" s="237">
        <f t="shared" si="3"/>
        <v>1687</v>
      </c>
      <c r="BV3" s="237">
        <f t="shared" si="3"/>
        <v>1721</v>
      </c>
      <c r="BW3" s="237">
        <f t="shared" si="3"/>
        <v>1875</v>
      </c>
      <c r="BX3" s="237">
        <f t="shared" si="3"/>
        <v>1737</v>
      </c>
      <c r="BY3" s="237">
        <f t="shared" si="3"/>
        <v>1855</v>
      </c>
      <c r="BZ3" s="237">
        <f t="shared" si="3"/>
        <v>1678</v>
      </c>
      <c r="CA3" s="237">
        <f t="shared" si="3"/>
        <v>1510</v>
      </c>
      <c r="CB3" s="237">
        <f t="shared" si="3"/>
        <v>1754</v>
      </c>
      <c r="CC3" s="237">
        <f t="shared" si="3"/>
        <v>1808</v>
      </c>
      <c r="CD3" s="247">
        <f>SUM(BR3:CC3)</f>
        <v>20375</v>
      </c>
      <c r="CH3" s="237">
        <f t="shared" si="4"/>
        <v>1663</v>
      </c>
      <c r="CI3" s="237">
        <f t="shared" si="4"/>
        <v>1576</v>
      </c>
      <c r="CJ3" s="237">
        <f t="shared" si="4"/>
        <v>1511</v>
      </c>
      <c r="CK3" s="237">
        <f t="shared" si="4"/>
        <v>1687</v>
      </c>
      <c r="CL3" s="237">
        <f t="shared" si="4"/>
        <v>1721</v>
      </c>
      <c r="CM3" s="237">
        <f t="shared" si="4"/>
        <v>1875</v>
      </c>
      <c r="CN3" s="237">
        <f t="shared" si="4"/>
        <v>1737</v>
      </c>
      <c r="CO3" s="237">
        <f t="shared" si="4"/>
        <v>1855</v>
      </c>
      <c r="CP3" s="237">
        <f t="shared" si="4"/>
        <v>1678</v>
      </c>
      <c r="CQ3" s="237">
        <f t="shared" si="4"/>
        <v>1510</v>
      </c>
      <c r="CR3" s="237">
        <f t="shared" si="4"/>
        <v>1754</v>
      </c>
      <c r="CS3" s="237">
        <f t="shared" si="4"/>
        <v>1808</v>
      </c>
      <c r="CT3" s="247">
        <f>SUM(CH3:CS3)</f>
        <v>20375</v>
      </c>
      <c r="CX3" s="237">
        <f t="shared" si="5"/>
        <v>1663</v>
      </c>
      <c r="CY3" s="237">
        <f t="shared" si="5"/>
        <v>1576</v>
      </c>
      <c r="CZ3" s="237">
        <f t="shared" si="5"/>
        <v>1511</v>
      </c>
      <c r="DA3" s="237">
        <f t="shared" si="5"/>
        <v>1687</v>
      </c>
      <c r="DB3" s="237">
        <f t="shared" si="5"/>
        <v>1721</v>
      </c>
      <c r="DC3" s="237">
        <f t="shared" si="5"/>
        <v>1875</v>
      </c>
      <c r="DD3" s="237">
        <f t="shared" si="5"/>
        <v>1737</v>
      </c>
      <c r="DE3" s="237">
        <f t="shared" si="5"/>
        <v>1855</v>
      </c>
      <c r="DF3" s="237">
        <f t="shared" si="5"/>
        <v>1678</v>
      </c>
      <c r="DG3" s="237">
        <f t="shared" si="5"/>
        <v>1510</v>
      </c>
      <c r="DH3" s="237">
        <f t="shared" si="5"/>
        <v>1754</v>
      </c>
      <c r="DI3" s="237">
        <f t="shared" si="5"/>
        <v>1808</v>
      </c>
      <c r="DJ3" s="247">
        <f>SUM(CX3:DI3)</f>
        <v>20375</v>
      </c>
      <c r="DM3" s="237">
        <f>CX3</f>
        <v>1663</v>
      </c>
      <c r="DN3" s="237">
        <f t="shared" ref="DN3:DX3" si="7">CY3</f>
        <v>1576</v>
      </c>
      <c r="DO3" s="237">
        <f t="shared" si="7"/>
        <v>1511</v>
      </c>
      <c r="DP3" s="237">
        <f t="shared" si="7"/>
        <v>1687</v>
      </c>
      <c r="DQ3" s="237">
        <f t="shared" si="7"/>
        <v>1721</v>
      </c>
      <c r="DR3" s="237">
        <f t="shared" si="7"/>
        <v>1875</v>
      </c>
      <c r="DS3" s="237">
        <f t="shared" si="7"/>
        <v>1737</v>
      </c>
      <c r="DT3" s="237">
        <f t="shared" si="7"/>
        <v>1855</v>
      </c>
      <c r="DU3" s="237">
        <f t="shared" si="7"/>
        <v>1678</v>
      </c>
      <c r="DV3" s="237">
        <f t="shared" si="7"/>
        <v>1510</v>
      </c>
      <c r="DW3" s="237">
        <f t="shared" si="7"/>
        <v>1754</v>
      </c>
      <c r="DX3" s="237">
        <f t="shared" si="7"/>
        <v>1808</v>
      </c>
      <c r="DY3" s="247">
        <f>SUM(DM3:DX3)</f>
        <v>20375</v>
      </c>
    </row>
    <row r="4" spans="1:129" x14ac:dyDescent="0.2">
      <c r="F4" s="238"/>
      <c r="G4" s="238"/>
      <c r="H4" s="238"/>
      <c r="I4" s="238"/>
      <c r="J4" s="238"/>
      <c r="K4" s="238"/>
      <c r="L4" s="238"/>
      <c r="M4" s="238"/>
      <c r="N4" s="238"/>
      <c r="O4" s="238"/>
      <c r="P4" s="238"/>
      <c r="Q4" s="238"/>
      <c r="R4" s="239"/>
      <c r="V4" s="238">
        <f>SUM(V2:V3)</f>
        <v>1964</v>
      </c>
      <c r="W4" s="238">
        <f t="shared" ref="W4:AG4" si="8">SUM(W2:W3)</f>
        <v>1853</v>
      </c>
      <c r="X4" s="238">
        <f t="shared" si="8"/>
        <v>1793</v>
      </c>
      <c r="Y4" s="238">
        <f t="shared" si="8"/>
        <v>1972</v>
      </c>
      <c r="Z4" s="238">
        <f t="shared" si="8"/>
        <v>2054</v>
      </c>
      <c r="AA4" s="238">
        <f t="shared" si="8"/>
        <v>2296</v>
      </c>
      <c r="AB4" s="238">
        <f t="shared" si="8"/>
        <v>2016</v>
      </c>
      <c r="AC4" s="238">
        <f t="shared" si="8"/>
        <v>2142</v>
      </c>
      <c r="AD4" s="238">
        <f t="shared" si="8"/>
        <v>2023</v>
      </c>
      <c r="AE4" s="238">
        <f t="shared" si="8"/>
        <v>1957</v>
      </c>
      <c r="AF4" s="238">
        <f t="shared" si="8"/>
        <v>2192</v>
      </c>
      <c r="AG4" s="238">
        <f t="shared" si="8"/>
        <v>2199</v>
      </c>
      <c r="AH4" s="239">
        <f>SUM(AH2:AH3)</f>
        <v>24461</v>
      </c>
      <c r="AL4" s="238">
        <f>SUM(AL2:AL3)</f>
        <v>1964</v>
      </c>
      <c r="AM4" s="238">
        <f t="shared" ref="AM4:AW4" si="9">SUM(AM2:AM3)</f>
        <v>1853</v>
      </c>
      <c r="AN4" s="238">
        <f t="shared" si="9"/>
        <v>1793</v>
      </c>
      <c r="AO4" s="238">
        <f t="shared" si="9"/>
        <v>1972</v>
      </c>
      <c r="AP4" s="238">
        <f t="shared" si="9"/>
        <v>2054</v>
      </c>
      <c r="AQ4" s="238">
        <f t="shared" si="9"/>
        <v>2296</v>
      </c>
      <c r="AR4" s="238">
        <f t="shared" si="9"/>
        <v>2016</v>
      </c>
      <c r="AS4" s="238">
        <f t="shared" si="9"/>
        <v>2142</v>
      </c>
      <c r="AT4" s="238">
        <f t="shared" si="9"/>
        <v>2023</v>
      </c>
      <c r="AU4" s="238">
        <f t="shared" si="9"/>
        <v>1957</v>
      </c>
      <c r="AV4" s="238">
        <f t="shared" si="9"/>
        <v>2192</v>
      </c>
      <c r="AW4" s="238">
        <f t="shared" si="9"/>
        <v>2199</v>
      </c>
      <c r="AX4" s="239">
        <f>SUM(AX2:AX3)</f>
        <v>24461</v>
      </c>
      <c r="BB4" s="238">
        <f>SUM(BB2:BB3)</f>
        <v>1964</v>
      </c>
      <c r="BC4" s="238">
        <f t="shared" ref="BC4:BM4" si="10">SUM(BC2:BC3)</f>
        <v>1853</v>
      </c>
      <c r="BD4" s="238">
        <f t="shared" si="10"/>
        <v>1793</v>
      </c>
      <c r="BE4" s="238">
        <f t="shared" si="10"/>
        <v>1972</v>
      </c>
      <c r="BF4" s="238">
        <f t="shared" si="10"/>
        <v>2054</v>
      </c>
      <c r="BG4" s="238">
        <f t="shared" si="10"/>
        <v>2296</v>
      </c>
      <c r="BH4" s="238">
        <f t="shared" si="10"/>
        <v>2016</v>
      </c>
      <c r="BI4" s="238">
        <f t="shared" si="10"/>
        <v>2142</v>
      </c>
      <c r="BJ4" s="238">
        <f t="shared" si="10"/>
        <v>2023</v>
      </c>
      <c r="BK4" s="238">
        <f t="shared" si="10"/>
        <v>1957</v>
      </c>
      <c r="BL4" s="238">
        <f t="shared" si="10"/>
        <v>2192</v>
      </c>
      <c r="BM4" s="238">
        <f t="shared" si="10"/>
        <v>2199</v>
      </c>
      <c r="BN4" s="239">
        <f>SUM(BN2:BN3)</f>
        <v>24461</v>
      </c>
      <c r="BR4" s="238">
        <f>SUM(BR2:BR3)</f>
        <v>1964</v>
      </c>
      <c r="BS4" s="238">
        <f t="shared" ref="BS4:CC4" si="11">SUM(BS2:BS3)</f>
        <v>1853</v>
      </c>
      <c r="BT4" s="238">
        <f t="shared" si="11"/>
        <v>1793</v>
      </c>
      <c r="BU4" s="238">
        <f t="shared" si="11"/>
        <v>1972</v>
      </c>
      <c r="BV4" s="238">
        <f t="shared" si="11"/>
        <v>2054</v>
      </c>
      <c r="BW4" s="238">
        <f t="shared" si="11"/>
        <v>2296</v>
      </c>
      <c r="BX4" s="238">
        <f t="shared" si="11"/>
        <v>2016</v>
      </c>
      <c r="BY4" s="238">
        <f t="shared" si="11"/>
        <v>2142</v>
      </c>
      <c r="BZ4" s="238">
        <f t="shared" si="11"/>
        <v>2023</v>
      </c>
      <c r="CA4" s="238">
        <f t="shared" si="11"/>
        <v>1957</v>
      </c>
      <c r="CB4" s="238">
        <f t="shared" si="11"/>
        <v>2192</v>
      </c>
      <c r="CC4" s="238">
        <f t="shared" si="11"/>
        <v>2199</v>
      </c>
      <c r="CD4" s="239">
        <f>SUM(CD2:CD3)</f>
        <v>24461</v>
      </c>
      <c r="CH4" s="238">
        <f>SUM(CH2:CH3)</f>
        <v>1964</v>
      </c>
      <c r="CI4" s="238">
        <f t="shared" ref="CI4:CS4" si="12">SUM(CI2:CI3)</f>
        <v>1853</v>
      </c>
      <c r="CJ4" s="238">
        <f t="shared" si="12"/>
        <v>1793</v>
      </c>
      <c r="CK4" s="238">
        <f t="shared" si="12"/>
        <v>1972</v>
      </c>
      <c r="CL4" s="238">
        <f t="shared" si="12"/>
        <v>2054</v>
      </c>
      <c r="CM4" s="238">
        <f t="shared" si="12"/>
        <v>2296</v>
      </c>
      <c r="CN4" s="238">
        <f t="shared" si="12"/>
        <v>2016</v>
      </c>
      <c r="CO4" s="238">
        <f t="shared" si="12"/>
        <v>2142</v>
      </c>
      <c r="CP4" s="238">
        <f t="shared" si="12"/>
        <v>2023</v>
      </c>
      <c r="CQ4" s="238">
        <f t="shared" si="12"/>
        <v>1957</v>
      </c>
      <c r="CR4" s="238">
        <f t="shared" si="12"/>
        <v>2192</v>
      </c>
      <c r="CS4" s="238">
        <f t="shared" si="12"/>
        <v>2199</v>
      </c>
      <c r="CT4" s="239">
        <f>SUM(CT2:CT3)</f>
        <v>24461</v>
      </c>
      <c r="CX4" s="238">
        <f>SUM(CX2:CX3)</f>
        <v>1964</v>
      </c>
      <c r="CY4" s="238">
        <f t="shared" ref="CY4:DI4" si="13">SUM(CY2:CY3)</f>
        <v>1853</v>
      </c>
      <c r="CZ4" s="238">
        <f t="shared" si="13"/>
        <v>1793</v>
      </c>
      <c r="DA4" s="238">
        <f t="shared" si="13"/>
        <v>1972</v>
      </c>
      <c r="DB4" s="238">
        <f t="shared" si="13"/>
        <v>2054</v>
      </c>
      <c r="DC4" s="238">
        <f t="shared" si="13"/>
        <v>2296</v>
      </c>
      <c r="DD4" s="238">
        <f t="shared" si="13"/>
        <v>2016</v>
      </c>
      <c r="DE4" s="238">
        <f t="shared" si="13"/>
        <v>2142</v>
      </c>
      <c r="DF4" s="238">
        <f t="shared" si="13"/>
        <v>2023</v>
      </c>
      <c r="DG4" s="238">
        <f t="shared" si="13"/>
        <v>1957</v>
      </c>
      <c r="DH4" s="238">
        <f t="shared" si="13"/>
        <v>2192</v>
      </c>
      <c r="DI4" s="238">
        <f t="shared" si="13"/>
        <v>2199</v>
      </c>
      <c r="DJ4" s="239">
        <f>SUM(DJ2:DJ3)</f>
        <v>24461</v>
      </c>
      <c r="DM4" s="238">
        <f>SUM(DM2:DM3)</f>
        <v>1964</v>
      </c>
      <c r="DN4" s="238">
        <f t="shared" ref="DN4:DX4" si="14">SUM(DN2:DN3)</f>
        <v>1853</v>
      </c>
      <c r="DO4" s="238">
        <f t="shared" si="14"/>
        <v>1793</v>
      </c>
      <c r="DP4" s="238">
        <f t="shared" si="14"/>
        <v>1972</v>
      </c>
      <c r="DQ4" s="238">
        <f t="shared" si="14"/>
        <v>2054</v>
      </c>
      <c r="DR4" s="238">
        <f t="shared" si="14"/>
        <v>2296</v>
      </c>
      <c r="DS4" s="238">
        <f t="shared" si="14"/>
        <v>2016</v>
      </c>
      <c r="DT4" s="238">
        <f t="shared" si="14"/>
        <v>2142</v>
      </c>
      <c r="DU4" s="238">
        <f t="shared" si="14"/>
        <v>2023</v>
      </c>
      <c r="DV4" s="238">
        <f t="shared" si="14"/>
        <v>1957</v>
      </c>
      <c r="DW4" s="238">
        <f t="shared" si="14"/>
        <v>2192</v>
      </c>
      <c r="DX4" s="238">
        <f t="shared" si="14"/>
        <v>2199</v>
      </c>
      <c r="DY4" s="239">
        <f>SUM(DY2:DY3)</f>
        <v>24461</v>
      </c>
    </row>
    <row r="5" spans="1:129" x14ac:dyDescent="0.2">
      <c r="A5" s="707" t="s">
        <v>672</v>
      </c>
      <c r="B5" s="707"/>
      <c r="C5" s="707"/>
      <c r="D5" s="707"/>
      <c r="E5" s="707"/>
    </row>
    <row r="6" spans="1:129" x14ac:dyDescent="0.2">
      <c r="A6" s="223"/>
      <c r="B6" s="242" t="s">
        <v>1120</v>
      </c>
      <c r="C6" s="225"/>
      <c r="D6" s="240" t="s">
        <v>691</v>
      </c>
      <c r="AB6" s="218"/>
      <c r="AC6" s="218"/>
      <c r="AD6" s="218"/>
      <c r="AE6" s="218"/>
      <c r="AF6" s="218"/>
      <c r="AG6" s="218"/>
      <c r="AH6" s="221"/>
      <c r="AI6" s="221"/>
    </row>
    <row r="7" spans="1:129" s="92" customFormat="1" x14ac:dyDescent="0.2">
      <c r="A7" s="204">
        <v>51600</v>
      </c>
      <c r="B7" s="201" t="s">
        <v>692</v>
      </c>
      <c r="C7" s="229">
        <f>'recap rev and deduct'!C853</f>
        <v>75000</v>
      </c>
      <c r="D7" s="333">
        <f>$C7/C$2</f>
        <v>18.355359765051396</v>
      </c>
      <c r="E7" s="216"/>
      <c r="F7" s="649">
        <f>$D7*F$2</f>
        <v>5524.9632892804702</v>
      </c>
      <c r="G7" s="649">
        <f t="shared" ref="G7:Q10" si="15">$D7*G$2</f>
        <v>5084.4346549192369</v>
      </c>
      <c r="H7" s="649">
        <f t="shared" si="15"/>
        <v>5176.2114537444941</v>
      </c>
      <c r="I7" s="649">
        <f t="shared" si="15"/>
        <v>5231.277533039648</v>
      </c>
      <c r="J7" s="649">
        <f t="shared" si="15"/>
        <v>6112.3348017621147</v>
      </c>
      <c r="K7" s="649">
        <f t="shared" si="15"/>
        <v>7727.6064610866379</v>
      </c>
      <c r="L7" s="649">
        <f t="shared" si="15"/>
        <v>5121.1453744493392</v>
      </c>
      <c r="M7" s="649">
        <f t="shared" si="15"/>
        <v>5267.9882525697503</v>
      </c>
      <c r="N7" s="649">
        <f t="shared" si="15"/>
        <v>6332.5991189427314</v>
      </c>
      <c r="O7" s="649">
        <f t="shared" si="15"/>
        <v>8204.8458149779744</v>
      </c>
      <c r="P7" s="649">
        <f t="shared" si="15"/>
        <v>8039.6475770925117</v>
      </c>
      <c r="Q7" s="649">
        <f t="shared" si="15"/>
        <v>7176.9456681350957</v>
      </c>
      <c r="R7" s="650">
        <f t="shared" ref="R7:R10" si="16">SUM(F7:Q7)</f>
        <v>75000.000000000015</v>
      </c>
      <c r="S7" s="153">
        <f t="shared" ref="S7:S23" si="17">C7-R7</f>
        <v>0</v>
      </c>
      <c r="T7" s="653" t="s">
        <v>1061</v>
      </c>
      <c r="U7" s="237"/>
      <c r="V7" s="237"/>
      <c r="W7" s="237"/>
      <c r="X7" s="237"/>
      <c r="Y7" s="237"/>
      <c r="Z7" s="237"/>
      <c r="AA7" s="237"/>
      <c r="AB7" s="237"/>
      <c r="AC7" s="237"/>
      <c r="AD7" s="237"/>
      <c r="AE7" s="237"/>
      <c r="AF7" s="237"/>
      <c r="AG7" s="237"/>
      <c r="AH7" s="237"/>
      <c r="AI7" s="153"/>
      <c r="BQ7" s="237"/>
    </row>
    <row r="8" spans="1:129" s="92" customFormat="1" x14ac:dyDescent="0.2">
      <c r="A8" s="204">
        <v>51610</v>
      </c>
      <c r="B8" s="201" t="s">
        <v>693</v>
      </c>
      <c r="C8" s="229">
        <f>'recap rev and deduct'!C855</f>
        <v>1800</v>
      </c>
      <c r="D8" s="333">
        <f t="shared" ref="D8:D10" si="18">$C8/C$2</f>
        <v>0.44052863436123346</v>
      </c>
      <c r="E8" s="216"/>
      <c r="F8" s="649">
        <f t="shared" ref="F8:F10" si="19">$D8*F$2</f>
        <v>132.59911894273128</v>
      </c>
      <c r="G8" s="649">
        <f t="shared" si="15"/>
        <v>122.02643171806167</v>
      </c>
      <c r="H8" s="649">
        <f t="shared" si="15"/>
        <v>124.22907488986783</v>
      </c>
      <c r="I8" s="649">
        <f t="shared" si="15"/>
        <v>125.55066079295153</v>
      </c>
      <c r="J8" s="649">
        <f t="shared" si="15"/>
        <v>146.69603524229075</v>
      </c>
      <c r="K8" s="649">
        <f t="shared" si="15"/>
        <v>185.46255506607929</v>
      </c>
      <c r="L8" s="649">
        <f t="shared" si="15"/>
        <v>122.90748898678413</v>
      </c>
      <c r="M8" s="649">
        <f t="shared" si="15"/>
        <v>126.431718061674</v>
      </c>
      <c r="N8" s="649">
        <f t="shared" si="15"/>
        <v>151.98237885462555</v>
      </c>
      <c r="O8" s="649">
        <f t="shared" si="15"/>
        <v>196.91629955947135</v>
      </c>
      <c r="P8" s="649">
        <f t="shared" si="15"/>
        <v>192.95154185022025</v>
      </c>
      <c r="Q8" s="649">
        <f t="shared" si="15"/>
        <v>172.24669603524228</v>
      </c>
      <c r="R8" s="650">
        <f t="shared" si="16"/>
        <v>1800</v>
      </c>
      <c r="S8" s="153">
        <f t="shared" si="17"/>
        <v>0</v>
      </c>
      <c r="T8" s="653" t="s">
        <v>1061</v>
      </c>
      <c r="U8" s="237"/>
      <c r="V8" s="237"/>
      <c r="W8" s="237"/>
      <c r="X8" s="237"/>
      <c r="Y8" s="237"/>
      <c r="Z8" s="237"/>
      <c r="AA8" s="237"/>
      <c r="AB8" s="237"/>
      <c r="AC8" s="237"/>
      <c r="AD8" s="237"/>
      <c r="AE8" s="237"/>
      <c r="AF8" s="237"/>
      <c r="AG8" s="237"/>
      <c r="AH8" s="237"/>
      <c r="AI8" s="153"/>
      <c r="BQ8" s="237"/>
    </row>
    <row r="9" spans="1:129" s="92" customFormat="1" x14ac:dyDescent="0.2">
      <c r="A9" s="204">
        <v>51611</v>
      </c>
      <c r="B9" s="201" t="s">
        <v>1010</v>
      </c>
      <c r="C9" s="229">
        <f>'recap rev and deduct'!C854</f>
        <v>45000</v>
      </c>
      <c r="D9" s="333">
        <f>C9/C3</f>
        <v>2.2085889570552149</v>
      </c>
      <c r="E9" s="216"/>
      <c r="F9" s="649">
        <f>$D9*F$3</f>
        <v>3672.8834355828221</v>
      </c>
      <c r="G9" s="649">
        <f t="shared" ref="G9:Q9" si="20">$D9*G$3</f>
        <v>3480.7361963190187</v>
      </c>
      <c r="H9" s="649">
        <f t="shared" si="20"/>
        <v>3337.1779141104298</v>
      </c>
      <c r="I9" s="649">
        <f t="shared" si="20"/>
        <v>3725.8895705521472</v>
      </c>
      <c r="J9" s="649">
        <f t="shared" si="20"/>
        <v>3800.9815950920247</v>
      </c>
      <c r="K9" s="649">
        <f t="shared" si="20"/>
        <v>4141.1042944785277</v>
      </c>
      <c r="L9" s="649">
        <f t="shared" si="20"/>
        <v>3836.3190184049081</v>
      </c>
      <c r="M9" s="649">
        <f t="shared" si="20"/>
        <v>4096.9325153374239</v>
      </c>
      <c r="N9" s="649">
        <f t="shared" si="20"/>
        <v>3706.0122699386507</v>
      </c>
      <c r="O9" s="649">
        <f t="shared" si="20"/>
        <v>3334.9693251533745</v>
      </c>
      <c r="P9" s="649">
        <f t="shared" si="20"/>
        <v>3873.8650306748468</v>
      </c>
      <c r="Q9" s="649">
        <f t="shared" si="20"/>
        <v>3993.1288343558285</v>
      </c>
      <c r="R9" s="650">
        <f t="shared" ref="R9" si="21">SUM(F9:Q9)</f>
        <v>45000</v>
      </c>
      <c r="S9" s="153">
        <f t="shared" ref="S9" si="22">C9-R9</f>
        <v>0</v>
      </c>
      <c r="T9" s="653" t="s">
        <v>1061</v>
      </c>
      <c r="U9" s="237"/>
      <c r="V9" s="237"/>
      <c r="W9" s="237"/>
      <c r="X9" s="237"/>
      <c r="Y9" s="237"/>
      <c r="Z9" s="237"/>
      <c r="AA9" s="237"/>
      <c r="AB9" s="237"/>
      <c r="AC9" s="237"/>
      <c r="AD9" s="237"/>
      <c r="AE9" s="237"/>
      <c r="AF9" s="237"/>
      <c r="AG9" s="237"/>
      <c r="AH9" s="237"/>
      <c r="AI9" s="153"/>
      <c r="BQ9" s="237"/>
    </row>
    <row r="10" spans="1:129" s="92" customFormat="1" x14ac:dyDescent="0.2">
      <c r="A10" s="204">
        <v>51614</v>
      </c>
      <c r="B10" s="201" t="s">
        <v>694</v>
      </c>
      <c r="C10" s="229">
        <f>'recap rev and deduct'!C856</f>
        <v>55000</v>
      </c>
      <c r="D10" s="333">
        <f t="shared" si="18"/>
        <v>13.46059716103769</v>
      </c>
      <c r="E10" s="216"/>
      <c r="F10" s="649">
        <f t="shared" si="19"/>
        <v>4051.6397454723447</v>
      </c>
      <c r="G10" s="649">
        <f t="shared" si="15"/>
        <v>3728.5854136074399</v>
      </c>
      <c r="H10" s="649">
        <f t="shared" si="15"/>
        <v>3795.8883994126286</v>
      </c>
      <c r="I10" s="649">
        <f t="shared" si="15"/>
        <v>3836.2701908957415</v>
      </c>
      <c r="J10" s="649">
        <f t="shared" si="15"/>
        <v>4482.378854625551</v>
      </c>
      <c r="K10" s="649">
        <f t="shared" si="15"/>
        <v>5666.9114047968678</v>
      </c>
      <c r="L10" s="649">
        <f t="shared" si="15"/>
        <v>3755.5066079295157</v>
      </c>
      <c r="M10" s="649">
        <f t="shared" si="15"/>
        <v>3863.1913852178168</v>
      </c>
      <c r="N10" s="649">
        <f t="shared" si="15"/>
        <v>4643.9060205580026</v>
      </c>
      <c r="O10" s="649">
        <f t="shared" si="15"/>
        <v>6016.8869309838474</v>
      </c>
      <c r="P10" s="649">
        <f t="shared" si="15"/>
        <v>5895.7415565345082</v>
      </c>
      <c r="Q10" s="649">
        <f t="shared" si="15"/>
        <v>5263.0934899657368</v>
      </c>
      <c r="R10" s="650">
        <f t="shared" si="16"/>
        <v>55000</v>
      </c>
      <c r="S10" s="153">
        <f t="shared" si="17"/>
        <v>0</v>
      </c>
      <c r="T10" s="653" t="s">
        <v>1061</v>
      </c>
      <c r="U10" s="237"/>
      <c r="V10" s="237"/>
      <c r="W10" s="237"/>
      <c r="X10" s="237"/>
      <c r="Y10" s="237"/>
      <c r="Z10" s="237"/>
      <c r="AA10" s="237"/>
      <c r="AB10" s="237"/>
      <c r="AC10" s="237"/>
      <c r="AD10" s="237"/>
      <c r="AE10" s="237"/>
      <c r="AF10" s="237"/>
      <c r="AG10" s="237"/>
      <c r="AH10" s="237"/>
      <c r="AI10" s="153"/>
      <c r="BQ10" s="237"/>
    </row>
    <row r="11" spans="1:129" s="92" customFormat="1" x14ac:dyDescent="0.2">
      <c r="A11" s="204"/>
      <c r="B11" s="201"/>
      <c r="C11" s="229"/>
      <c r="D11" s="333"/>
      <c r="E11" s="216"/>
      <c r="F11" s="651"/>
      <c r="G11" s="651"/>
      <c r="H11" s="651"/>
      <c r="I11" s="651"/>
      <c r="J11" s="651"/>
      <c r="K11" s="651"/>
      <c r="L11" s="651"/>
      <c r="M11" s="651"/>
      <c r="N11" s="651"/>
      <c r="O11" s="651"/>
      <c r="P11" s="651"/>
      <c r="Q11" s="651"/>
      <c r="R11" s="652"/>
      <c r="S11" s="153"/>
      <c r="T11" s="654"/>
      <c r="U11" s="237"/>
      <c r="V11" s="237"/>
      <c r="W11" s="237"/>
      <c r="X11" s="237"/>
      <c r="Y11" s="237"/>
      <c r="Z11" s="237"/>
      <c r="AA11" s="237"/>
      <c r="AB11" s="237"/>
      <c r="AC11" s="237"/>
      <c r="AD11" s="237"/>
      <c r="AE11" s="237"/>
      <c r="AF11" s="237"/>
      <c r="AG11" s="237"/>
      <c r="AH11" s="237"/>
      <c r="AI11" s="237"/>
      <c r="BQ11" s="237"/>
    </row>
    <row r="12" spans="1:129" s="92" customFormat="1" x14ac:dyDescent="0.2">
      <c r="A12" s="204"/>
      <c r="B12" s="201"/>
      <c r="C12" s="229"/>
      <c r="D12" s="333"/>
      <c r="E12" s="216"/>
      <c r="F12" s="651"/>
      <c r="G12" s="651"/>
      <c r="H12" s="651"/>
      <c r="I12" s="651"/>
      <c r="J12" s="651"/>
      <c r="K12" s="651"/>
      <c r="L12" s="651"/>
      <c r="M12" s="651"/>
      <c r="N12" s="651"/>
      <c r="O12" s="651"/>
      <c r="P12" s="651"/>
      <c r="Q12" s="651"/>
      <c r="R12" s="652"/>
      <c r="S12" s="153"/>
      <c r="T12" s="654"/>
      <c r="U12" s="237"/>
      <c r="V12" s="237"/>
      <c r="W12" s="237"/>
      <c r="X12" s="237"/>
      <c r="Y12" s="237"/>
      <c r="Z12" s="237"/>
      <c r="AA12" s="237"/>
      <c r="AB12" s="237"/>
      <c r="AC12" s="237"/>
      <c r="AD12" s="237"/>
      <c r="AE12" s="237"/>
      <c r="AF12" s="237"/>
      <c r="AG12" s="237"/>
      <c r="AH12" s="237"/>
      <c r="AI12" s="237"/>
      <c r="BQ12" s="237"/>
    </row>
    <row r="13" spans="1:129" s="248" customFormat="1" x14ac:dyDescent="0.2">
      <c r="A13" s="204"/>
      <c r="B13" s="201"/>
      <c r="C13" s="229"/>
      <c r="D13" s="333"/>
      <c r="E13" s="216"/>
      <c r="F13" s="651"/>
      <c r="G13" s="651"/>
      <c r="H13" s="651"/>
      <c r="I13" s="651"/>
      <c r="J13" s="651"/>
      <c r="K13" s="651"/>
      <c r="L13" s="651"/>
      <c r="M13" s="651"/>
      <c r="N13" s="651"/>
      <c r="O13" s="651"/>
      <c r="P13" s="651"/>
      <c r="Q13" s="651"/>
      <c r="R13" s="651"/>
      <c r="S13" s="153"/>
      <c r="T13" s="654"/>
      <c r="U13" s="237"/>
      <c r="V13" s="237"/>
      <c r="W13" s="237"/>
      <c r="X13" s="237"/>
      <c r="Y13" s="237"/>
      <c r="Z13" s="237"/>
      <c r="AA13" s="237"/>
      <c r="AB13" s="237"/>
      <c r="AC13" s="237"/>
      <c r="AD13" s="237"/>
      <c r="AE13" s="237"/>
      <c r="AF13" s="237"/>
      <c r="AG13" s="237"/>
      <c r="AH13" s="237"/>
      <c r="AI13" s="237"/>
      <c r="BQ13" s="237"/>
    </row>
    <row r="14" spans="1:129" s="170" customFormat="1" ht="12" customHeight="1" x14ac:dyDescent="0.2">
      <c r="A14" s="204"/>
      <c r="B14" s="203" t="s">
        <v>0</v>
      </c>
      <c r="C14" s="232">
        <f>SUM(C7:C13)</f>
        <v>176800</v>
      </c>
      <c r="D14" s="232">
        <f>SUM(D7:D13)</f>
        <v>34.465074517505535</v>
      </c>
      <c r="E14" s="222"/>
      <c r="F14" s="374">
        <f>SUM(F7:F13)</f>
        <v>13382.085589278369</v>
      </c>
      <c r="G14" s="374">
        <f t="shared" ref="G14:Q14" si="23">SUM(G7:G13)</f>
        <v>12415.782696563756</v>
      </c>
      <c r="H14" s="374">
        <f t="shared" si="23"/>
        <v>12433.50684215742</v>
      </c>
      <c r="I14" s="374">
        <f t="shared" si="23"/>
        <v>12918.987955280489</v>
      </c>
      <c r="J14" s="374">
        <f t="shared" si="23"/>
        <v>14542.391286721982</v>
      </c>
      <c r="K14" s="374">
        <f t="shared" si="23"/>
        <v>17721.084715428115</v>
      </c>
      <c r="L14" s="374">
        <f t="shared" si="23"/>
        <v>12835.878489770546</v>
      </c>
      <c r="M14" s="374">
        <f t="shared" si="23"/>
        <v>13354.543871186665</v>
      </c>
      <c r="N14" s="374">
        <f t="shared" si="23"/>
        <v>14834.49978829401</v>
      </c>
      <c r="O14" s="374">
        <f t="shared" si="23"/>
        <v>17753.618370674667</v>
      </c>
      <c r="P14" s="374">
        <f t="shared" si="23"/>
        <v>18002.205706152086</v>
      </c>
      <c r="Q14" s="374">
        <f t="shared" si="23"/>
        <v>16605.414688491903</v>
      </c>
      <c r="R14" s="374">
        <f>SUM(F14:Q14)</f>
        <v>176799.99999999997</v>
      </c>
      <c r="S14" s="153">
        <f t="shared" si="17"/>
        <v>0</v>
      </c>
      <c r="T14" s="653" t="s">
        <v>1061</v>
      </c>
      <c r="U14" s="238"/>
      <c r="V14" s="238"/>
      <c r="W14" s="238"/>
      <c r="X14" s="238"/>
      <c r="Y14" s="238"/>
      <c r="Z14" s="238"/>
      <c r="AA14" s="238"/>
      <c r="BQ14" s="238"/>
    </row>
    <row r="15" spans="1:129" x14ac:dyDescent="0.2">
      <c r="A15" s="243"/>
      <c r="B15" s="201"/>
      <c r="C15" s="229"/>
      <c r="D15" s="229"/>
      <c r="G15" s="237"/>
      <c r="H15" s="237"/>
      <c r="I15" s="237"/>
      <c r="J15" s="237"/>
      <c r="K15" s="237"/>
      <c r="L15" s="237"/>
      <c r="M15" s="237"/>
      <c r="N15" s="237"/>
      <c r="O15" s="237"/>
      <c r="P15" s="237"/>
      <c r="Q15" s="237"/>
    </row>
    <row r="16" spans="1:129" x14ac:dyDescent="0.2">
      <c r="A16" s="243"/>
      <c r="B16" s="201"/>
      <c r="C16" s="229"/>
      <c r="D16" s="229"/>
      <c r="G16" s="237"/>
      <c r="H16" s="237"/>
      <c r="I16" s="237"/>
      <c r="J16" s="237"/>
      <c r="K16" s="237"/>
      <c r="L16" s="237"/>
      <c r="M16" s="237"/>
      <c r="N16" s="237"/>
      <c r="O16" s="237"/>
      <c r="P16" s="237"/>
      <c r="Q16" s="237"/>
      <c r="R16" s="645"/>
      <c r="S16" s="645"/>
      <c r="T16" s="644"/>
      <c r="U16" s="644"/>
      <c r="V16" s="644"/>
      <c r="W16" s="644"/>
      <c r="X16" s="644"/>
      <c r="Y16" s="644"/>
      <c r="Z16" s="644"/>
      <c r="AA16" s="644"/>
      <c r="BQ16" s="644"/>
    </row>
    <row r="17" spans="1:69" x14ac:dyDescent="0.2">
      <c r="A17" s="243"/>
      <c r="B17" s="242" t="s">
        <v>690</v>
      </c>
      <c r="C17" s="229"/>
      <c r="D17" s="229"/>
      <c r="G17" s="237"/>
      <c r="H17" s="237"/>
      <c r="I17" s="237"/>
      <c r="J17" s="237"/>
      <c r="K17" s="237"/>
      <c r="L17" s="237"/>
      <c r="M17" s="237"/>
      <c r="N17" s="237"/>
      <c r="O17" s="237"/>
      <c r="P17" s="237"/>
      <c r="Q17" s="237"/>
      <c r="R17" s="645"/>
      <c r="S17" s="645"/>
      <c r="T17" s="644"/>
      <c r="U17" s="644"/>
      <c r="V17" s="644"/>
      <c r="W17" s="644"/>
      <c r="X17" s="644"/>
      <c r="Y17" s="644"/>
      <c r="Z17" s="644"/>
      <c r="AA17" s="644"/>
      <c r="BQ17" s="644"/>
    </row>
    <row r="18" spans="1:69" s="92" customFormat="1" x14ac:dyDescent="0.2">
      <c r="A18" s="204">
        <v>51660</v>
      </c>
      <c r="B18" s="201" t="s">
        <v>703</v>
      </c>
      <c r="C18" s="229">
        <f>'recap rev and deduct'!C860</f>
        <v>66500</v>
      </c>
      <c r="D18" s="333">
        <f>$C18/C$3</f>
        <v>3.2638036809815949</v>
      </c>
      <c r="E18" s="216"/>
      <c r="F18" s="651">
        <f>$D18*F$3</f>
        <v>5427.7055214723923</v>
      </c>
      <c r="G18" s="651">
        <f t="shared" ref="G18:Q18" si="24">$D18*G$3</f>
        <v>5143.7546012269931</v>
      </c>
      <c r="H18" s="651">
        <f t="shared" si="24"/>
        <v>4931.6073619631898</v>
      </c>
      <c r="I18" s="651">
        <f t="shared" si="24"/>
        <v>5506.0368098159506</v>
      </c>
      <c r="J18" s="651">
        <f t="shared" si="24"/>
        <v>5617.0061349693251</v>
      </c>
      <c r="K18" s="651">
        <f t="shared" si="24"/>
        <v>6119.6319018404902</v>
      </c>
      <c r="L18" s="651">
        <f t="shared" si="24"/>
        <v>5669.2269938650306</v>
      </c>
      <c r="M18" s="651">
        <f t="shared" si="24"/>
        <v>6054.3558282208587</v>
      </c>
      <c r="N18" s="651">
        <f t="shared" si="24"/>
        <v>5476.6625766871166</v>
      </c>
      <c r="O18" s="651">
        <f t="shared" si="24"/>
        <v>4928.3435582822085</v>
      </c>
      <c r="P18" s="651">
        <f t="shared" si="24"/>
        <v>5724.7116564417174</v>
      </c>
      <c r="Q18" s="651">
        <f t="shared" si="24"/>
        <v>5900.9570552147234</v>
      </c>
      <c r="R18" s="652">
        <f t="shared" ref="R18:R20" si="25">SUM(F18:Q18)</f>
        <v>66499.999999999985</v>
      </c>
      <c r="S18" s="641">
        <f t="shared" ref="S18:S19" si="26">C18-R18</f>
        <v>0</v>
      </c>
      <c r="T18" s="654" t="s">
        <v>1062</v>
      </c>
      <c r="U18" s="237"/>
      <c r="V18" s="237"/>
      <c r="W18" s="237"/>
      <c r="X18" s="237"/>
      <c r="Y18" s="237"/>
      <c r="Z18" s="237"/>
      <c r="AA18" s="237"/>
      <c r="AB18" s="237"/>
      <c r="AC18" s="237"/>
      <c r="AD18" s="237"/>
      <c r="AE18" s="237"/>
      <c r="AF18" s="237"/>
      <c r="AG18" s="237"/>
      <c r="AH18" s="237"/>
      <c r="AI18" s="237"/>
      <c r="BQ18" s="237"/>
    </row>
    <row r="19" spans="1:69" s="92" customFormat="1" x14ac:dyDescent="0.2">
      <c r="A19" s="204">
        <v>51666</v>
      </c>
      <c r="B19" s="201" t="s">
        <v>695</v>
      </c>
      <c r="C19" s="229">
        <f>'recap rev and deduct'!C862</f>
        <v>10000</v>
      </c>
      <c r="D19" s="333">
        <f>$C19/C$2</f>
        <v>2.4473813020068529</v>
      </c>
      <c r="E19" s="216"/>
      <c r="F19" s="651">
        <f>$D19*F$2</f>
        <v>736.66177190406268</v>
      </c>
      <c r="G19" s="651">
        <f t="shared" ref="G19:Q19" si="27">$D19*G$2</f>
        <v>677.92462065589825</v>
      </c>
      <c r="H19" s="651">
        <f t="shared" si="27"/>
        <v>690.16152716593251</v>
      </c>
      <c r="I19" s="651">
        <f t="shared" si="27"/>
        <v>697.50367107195302</v>
      </c>
      <c r="J19" s="651">
        <f t="shared" si="27"/>
        <v>814.97797356828198</v>
      </c>
      <c r="K19" s="651">
        <f t="shared" si="27"/>
        <v>1030.347528144885</v>
      </c>
      <c r="L19" s="651">
        <f t="shared" si="27"/>
        <v>682.819383259912</v>
      </c>
      <c r="M19" s="651">
        <f t="shared" si="27"/>
        <v>702.39843367596677</v>
      </c>
      <c r="N19" s="651">
        <f t="shared" si="27"/>
        <v>844.34654919236425</v>
      </c>
      <c r="O19" s="651">
        <f t="shared" si="27"/>
        <v>1093.9794419970633</v>
      </c>
      <c r="P19" s="651">
        <f t="shared" si="27"/>
        <v>1071.9530102790015</v>
      </c>
      <c r="Q19" s="651">
        <f t="shared" si="27"/>
        <v>956.92608908467946</v>
      </c>
      <c r="R19" s="652">
        <f t="shared" si="25"/>
        <v>10000.000000000002</v>
      </c>
      <c r="S19" s="641">
        <f t="shared" si="26"/>
        <v>0</v>
      </c>
      <c r="T19" s="654" t="s">
        <v>1062</v>
      </c>
      <c r="U19" s="237"/>
      <c r="V19" s="237"/>
      <c r="W19" s="237"/>
      <c r="X19" s="237"/>
      <c r="Y19" s="237"/>
      <c r="Z19" s="237"/>
      <c r="AA19" s="237"/>
      <c r="AB19" s="237"/>
      <c r="AC19" s="237"/>
      <c r="AD19" s="237"/>
      <c r="AE19" s="237"/>
      <c r="AF19" s="237"/>
      <c r="AG19" s="237"/>
      <c r="AH19" s="237"/>
      <c r="AI19" s="237"/>
      <c r="BQ19" s="237"/>
    </row>
    <row r="20" spans="1:69" s="92" customFormat="1" x14ac:dyDescent="0.2">
      <c r="A20" s="204">
        <v>51668</v>
      </c>
      <c r="B20" s="201" t="s">
        <v>696</v>
      </c>
      <c r="C20" s="229">
        <f>'recap rev and deduct'!C863</f>
        <v>165000</v>
      </c>
      <c r="D20" s="333">
        <f>$C20/C$3</f>
        <v>8.0981595092024534</v>
      </c>
      <c r="E20" s="216"/>
      <c r="F20" s="651">
        <f>$D20*F$3</f>
        <v>13467.23926380368</v>
      </c>
      <c r="G20" s="651">
        <f t="shared" ref="G20:Q20" si="28">$D20*G$3</f>
        <v>12762.699386503067</v>
      </c>
      <c r="H20" s="651">
        <f t="shared" si="28"/>
        <v>12236.319018404907</v>
      </c>
      <c r="I20" s="651">
        <f t="shared" si="28"/>
        <v>13661.59509202454</v>
      </c>
      <c r="J20" s="651">
        <f t="shared" si="28"/>
        <v>13936.932515337423</v>
      </c>
      <c r="K20" s="651">
        <f t="shared" si="28"/>
        <v>15184.049079754601</v>
      </c>
      <c r="L20" s="651">
        <f t="shared" si="28"/>
        <v>14066.503067484662</v>
      </c>
      <c r="M20" s="651">
        <f t="shared" si="28"/>
        <v>15022.085889570551</v>
      </c>
      <c r="N20" s="651">
        <f t="shared" si="28"/>
        <v>13588.711656441717</v>
      </c>
      <c r="O20" s="651">
        <f t="shared" si="28"/>
        <v>12228.220858895706</v>
      </c>
      <c r="P20" s="651">
        <f t="shared" si="28"/>
        <v>14204.171779141103</v>
      </c>
      <c r="Q20" s="651">
        <f t="shared" si="28"/>
        <v>14641.472392638036</v>
      </c>
      <c r="R20" s="652">
        <f t="shared" si="25"/>
        <v>164999.99999999997</v>
      </c>
      <c r="S20" s="641"/>
      <c r="T20" s="654"/>
      <c r="U20" s="237"/>
      <c r="V20" s="237"/>
      <c r="W20" s="237"/>
      <c r="X20" s="237"/>
      <c r="Y20" s="237"/>
      <c r="Z20" s="237"/>
      <c r="AA20" s="237"/>
      <c r="AB20" s="237"/>
      <c r="AC20" s="237"/>
      <c r="AD20" s="237"/>
      <c r="AE20" s="237"/>
      <c r="AF20" s="237"/>
      <c r="AG20" s="237"/>
      <c r="AH20" s="237"/>
      <c r="AI20" s="237"/>
      <c r="BQ20" s="237"/>
    </row>
    <row r="21" spans="1:69" x14ac:dyDescent="0.2">
      <c r="A21" s="328">
        <v>51662</v>
      </c>
      <c r="B21" s="344" t="s">
        <v>943</v>
      </c>
      <c r="C21" s="229">
        <f>'recap rev and deduct'!C872</f>
        <v>12000</v>
      </c>
      <c r="D21" s="333">
        <f>$C21/C$2</f>
        <v>2.9368575624082234</v>
      </c>
      <c r="F21" s="651">
        <f>$D21*F$2</f>
        <v>883.99412628487528</v>
      </c>
      <c r="G21" s="651">
        <f t="shared" ref="G21:Q21" si="29">$D21*G$2</f>
        <v>813.50954478707786</v>
      </c>
      <c r="H21" s="651">
        <f t="shared" si="29"/>
        <v>828.19383259911899</v>
      </c>
      <c r="I21" s="651">
        <f t="shared" si="29"/>
        <v>837.00440528634363</v>
      </c>
      <c r="J21" s="651">
        <f t="shared" si="29"/>
        <v>977.97356828193836</v>
      </c>
      <c r="K21" s="651">
        <f t="shared" si="29"/>
        <v>1236.4170337738619</v>
      </c>
      <c r="L21" s="651">
        <f t="shared" si="29"/>
        <v>819.38325991189436</v>
      </c>
      <c r="M21" s="651">
        <f t="shared" si="29"/>
        <v>842.87812041116013</v>
      </c>
      <c r="N21" s="651">
        <f t="shared" si="29"/>
        <v>1013.215859030837</v>
      </c>
      <c r="O21" s="651">
        <f t="shared" si="29"/>
        <v>1312.7753303964757</v>
      </c>
      <c r="P21" s="651">
        <f t="shared" si="29"/>
        <v>1286.3436123348019</v>
      </c>
      <c r="Q21" s="651">
        <f t="shared" si="29"/>
        <v>1148.3113069016154</v>
      </c>
      <c r="R21" s="652">
        <f>SUM(F21:Q21)</f>
        <v>12000</v>
      </c>
      <c r="S21" s="153">
        <f t="shared" si="17"/>
        <v>0</v>
      </c>
      <c r="T21" s="654" t="s">
        <v>1062</v>
      </c>
    </row>
    <row r="22" spans="1:69" x14ac:dyDescent="0.2">
      <c r="A22" s="328">
        <v>51664</v>
      </c>
      <c r="B22" s="344" t="s">
        <v>944</v>
      </c>
      <c r="C22" s="229">
        <f>'recap rev and deduct'!C873</f>
        <v>360000</v>
      </c>
      <c r="D22" s="333">
        <f t="shared" ref="D22" si="30">$C22/C$3</f>
        <v>17.668711656441719</v>
      </c>
      <c r="F22" s="651">
        <f>$D22*F$3</f>
        <v>29383.067484662577</v>
      </c>
      <c r="G22" s="651">
        <f t="shared" ref="G22:Q22" si="31">$D22*G$3</f>
        <v>27845.88957055215</v>
      </c>
      <c r="H22" s="651">
        <f t="shared" si="31"/>
        <v>26697.423312883438</v>
      </c>
      <c r="I22" s="651">
        <f t="shared" si="31"/>
        <v>29807.116564417178</v>
      </c>
      <c r="J22" s="651">
        <f t="shared" si="31"/>
        <v>30407.852760736198</v>
      </c>
      <c r="K22" s="651">
        <f t="shared" si="31"/>
        <v>33128.834355828221</v>
      </c>
      <c r="L22" s="651">
        <f t="shared" si="31"/>
        <v>30690.552147239265</v>
      </c>
      <c r="M22" s="651">
        <f t="shared" si="31"/>
        <v>32775.460122699391</v>
      </c>
      <c r="N22" s="651">
        <f t="shared" si="31"/>
        <v>29648.098159509205</v>
      </c>
      <c r="O22" s="651">
        <f t="shared" si="31"/>
        <v>26679.754601226996</v>
      </c>
      <c r="P22" s="651">
        <f t="shared" si="31"/>
        <v>30990.920245398775</v>
      </c>
      <c r="Q22" s="651">
        <f t="shared" si="31"/>
        <v>31945.030674846628</v>
      </c>
      <c r="R22" s="652">
        <f>SUM(F22:Q22)</f>
        <v>360000</v>
      </c>
      <c r="S22" s="153">
        <f t="shared" si="17"/>
        <v>0</v>
      </c>
      <c r="T22" s="654" t="s">
        <v>1062</v>
      </c>
    </row>
    <row r="23" spans="1:69" s="170" customFormat="1" x14ac:dyDescent="0.2">
      <c r="A23" s="202"/>
      <c r="B23" s="203"/>
      <c r="C23" s="232">
        <f>SUM(C18:C22)</f>
        <v>613500</v>
      </c>
      <c r="D23" s="232">
        <f>SUM(D21:D22)</f>
        <v>20.605569218849944</v>
      </c>
      <c r="E23" s="222"/>
      <c r="F23" s="154">
        <f>SUM(F18:F22)</f>
        <v>49898.668168127588</v>
      </c>
      <c r="G23" s="642">
        <f t="shared" ref="G23:Q23" si="32">SUM(G18:G22)</f>
        <v>47243.777723725187</v>
      </c>
      <c r="H23" s="642">
        <f t="shared" si="32"/>
        <v>45383.705053016587</v>
      </c>
      <c r="I23" s="642">
        <f t="shared" si="32"/>
        <v>50509.256542615971</v>
      </c>
      <c r="J23" s="642">
        <f t="shared" si="32"/>
        <v>51754.742952893168</v>
      </c>
      <c r="K23" s="642">
        <f t="shared" si="32"/>
        <v>56699.279899342058</v>
      </c>
      <c r="L23" s="642">
        <f t="shared" si="32"/>
        <v>51928.484851760761</v>
      </c>
      <c r="M23" s="642">
        <f t="shared" si="32"/>
        <v>55397.178394577924</v>
      </c>
      <c r="N23" s="642">
        <f t="shared" si="32"/>
        <v>50571.034800861235</v>
      </c>
      <c r="O23" s="642">
        <f t="shared" si="32"/>
        <v>46243.073790798444</v>
      </c>
      <c r="P23" s="642">
        <f t="shared" si="32"/>
        <v>53278.100303595398</v>
      </c>
      <c r="Q23" s="642">
        <f t="shared" si="32"/>
        <v>54592.69751868568</v>
      </c>
      <c r="R23" s="154">
        <f>SUM(R18:R22)</f>
        <v>613500</v>
      </c>
      <c r="S23" s="153">
        <f t="shared" si="17"/>
        <v>0</v>
      </c>
      <c r="T23" s="238"/>
      <c r="U23" s="238"/>
      <c r="V23" s="238"/>
      <c r="W23" s="238"/>
      <c r="X23" s="238"/>
      <c r="Y23" s="238"/>
      <c r="Z23" s="238"/>
      <c r="AA23" s="238"/>
      <c r="BQ23" s="238"/>
    </row>
    <row r="24" spans="1:69" s="170" customFormat="1" x14ac:dyDescent="0.2">
      <c r="A24" s="202"/>
      <c r="B24" s="203"/>
      <c r="C24" s="232"/>
      <c r="D24" s="232"/>
      <c r="E24" s="222"/>
      <c r="F24" s="238"/>
      <c r="G24" s="238"/>
      <c r="H24" s="238"/>
      <c r="I24" s="238"/>
      <c r="J24" s="238"/>
      <c r="K24" s="238"/>
      <c r="L24" s="238"/>
      <c r="M24" s="238"/>
      <c r="N24" s="238"/>
      <c r="O24" s="238"/>
      <c r="P24" s="238"/>
      <c r="Q24" s="238"/>
      <c r="R24" s="154"/>
      <c r="S24" s="154"/>
      <c r="T24" s="238"/>
      <c r="U24" s="238"/>
      <c r="V24" s="238"/>
      <c r="W24" s="238"/>
      <c r="X24" s="238"/>
      <c r="Y24" s="238"/>
      <c r="Z24" s="238"/>
      <c r="AA24" s="238"/>
      <c r="BQ24" s="238"/>
    </row>
    <row r="25" spans="1:69" x14ac:dyDescent="0.2">
      <c r="A25" s="215"/>
      <c r="B25" s="216"/>
      <c r="C25" s="225">
        <f>C14+C23</f>
        <v>790300</v>
      </c>
    </row>
    <row r="26" spans="1:69" x14ac:dyDescent="0.2">
      <c r="A26" s="215"/>
      <c r="B26" s="216"/>
    </row>
    <row r="27" spans="1:69" x14ac:dyDescent="0.2">
      <c r="A27" s="215"/>
      <c r="B27" s="216"/>
    </row>
    <row r="28" spans="1:69" x14ac:dyDescent="0.2">
      <c r="A28" s="215"/>
      <c r="B28" s="216"/>
      <c r="C28" s="225"/>
    </row>
    <row r="29" spans="1:69" x14ac:dyDescent="0.2">
      <c r="A29" s="215"/>
      <c r="B29" s="216"/>
    </row>
    <row r="30" spans="1:69" x14ac:dyDescent="0.2">
      <c r="A30" s="215"/>
      <c r="B30" s="216"/>
    </row>
    <row r="31" spans="1:69" x14ac:dyDescent="0.2">
      <c r="A31" s="215"/>
      <c r="B31" s="216"/>
    </row>
    <row r="32" spans="1:69" x14ac:dyDescent="0.2">
      <c r="A32" s="215"/>
      <c r="B32" s="216"/>
    </row>
    <row r="33" spans="1:130" x14ac:dyDescent="0.2">
      <c r="A33" s="215"/>
      <c r="B33" s="216"/>
    </row>
    <row r="34" spans="1:130" x14ac:dyDescent="0.2">
      <c r="A34" s="215"/>
      <c r="B34" s="216"/>
    </row>
    <row r="35" spans="1:130" s="215" customFormat="1" x14ac:dyDescent="0.2">
      <c r="B35" s="216"/>
      <c r="E35" s="216"/>
      <c r="F35" s="237"/>
      <c r="G35" s="218"/>
      <c r="H35" s="218"/>
      <c r="I35" s="218"/>
      <c r="J35" s="218"/>
      <c r="K35" s="218"/>
      <c r="L35" s="218"/>
      <c r="M35" s="218"/>
      <c r="N35" s="218"/>
      <c r="O35" s="218"/>
      <c r="P35" s="218"/>
      <c r="Q35" s="218"/>
      <c r="R35" s="221"/>
      <c r="S35" s="221"/>
      <c r="T35" s="218"/>
      <c r="U35" s="218"/>
      <c r="V35" s="218"/>
      <c r="W35" s="218"/>
      <c r="X35" s="218"/>
      <c r="Y35" s="218"/>
      <c r="Z35" s="218"/>
      <c r="AA35" s="218"/>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218"/>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row>
    <row r="36" spans="1:130" s="215" customFormat="1" x14ac:dyDescent="0.2">
      <c r="B36" s="216"/>
      <c r="E36" s="216"/>
      <c r="F36" s="237"/>
      <c r="G36" s="218"/>
      <c r="H36" s="218"/>
      <c r="I36" s="218"/>
      <c r="J36" s="218"/>
      <c r="K36" s="218"/>
      <c r="L36" s="218"/>
      <c r="M36" s="218"/>
      <c r="N36" s="218"/>
      <c r="O36" s="218"/>
      <c r="P36" s="218"/>
      <c r="Q36" s="218"/>
      <c r="R36" s="221"/>
      <c r="S36" s="221"/>
      <c r="T36" s="218"/>
      <c r="U36" s="218"/>
      <c r="V36" s="218"/>
      <c r="W36" s="218"/>
      <c r="X36" s="218"/>
      <c r="Y36" s="218"/>
      <c r="Z36" s="218"/>
      <c r="AA36" s="218"/>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218"/>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c r="DU36" s="151"/>
      <c r="DV36" s="151"/>
      <c r="DW36" s="151"/>
      <c r="DX36" s="151"/>
      <c r="DY36" s="151"/>
      <c r="DZ36" s="151"/>
    </row>
    <row r="37" spans="1:130" s="215" customFormat="1" x14ac:dyDescent="0.2">
      <c r="B37" s="216"/>
      <c r="E37" s="216"/>
      <c r="F37" s="237"/>
      <c r="G37" s="218"/>
      <c r="H37" s="218"/>
      <c r="I37" s="218"/>
      <c r="J37" s="218"/>
      <c r="K37" s="218"/>
      <c r="L37" s="218"/>
      <c r="M37" s="218"/>
      <c r="N37" s="218"/>
      <c r="O37" s="218"/>
      <c r="P37" s="218"/>
      <c r="Q37" s="218"/>
      <c r="R37" s="221"/>
      <c r="S37" s="221"/>
      <c r="T37" s="218"/>
      <c r="U37" s="218"/>
      <c r="V37" s="218"/>
      <c r="W37" s="218"/>
      <c r="X37" s="218"/>
      <c r="Y37" s="218"/>
      <c r="Z37" s="218"/>
      <c r="AA37" s="218"/>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218"/>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row>
    <row r="38" spans="1:130" s="215" customFormat="1" x14ac:dyDescent="0.2">
      <c r="B38" s="216"/>
      <c r="E38" s="216"/>
      <c r="F38" s="237"/>
      <c r="G38" s="218"/>
      <c r="H38" s="218"/>
      <c r="I38" s="218"/>
      <c r="J38" s="218"/>
      <c r="K38" s="218"/>
      <c r="L38" s="218"/>
      <c r="M38" s="218"/>
      <c r="N38" s="218"/>
      <c r="O38" s="218"/>
      <c r="P38" s="218"/>
      <c r="Q38" s="218"/>
      <c r="R38" s="221"/>
      <c r="S38" s="221"/>
      <c r="T38" s="218"/>
      <c r="U38" s="218"/>
      <c r="V38" s="218"/>
      <c r="W38" s="218"/>
      <c r="X38" s="218"/>
      <c r="Y38" s="218"/>
      <c r="Z38" s="218"/>
      <c r="AA38" s="218"/>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218"/>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row>
    <row r="39" spans="1:130" s="215" customFormat="1" x14ac:dyDescent="0.2">
      <c r="B39" s="216"/>
      <c r="E39" s="216"/>
      <c r="F39" s="237"/>
      <c r="G39" s="218"/>
      <c r="H39" s="218"/>
      <c r="I39" s="218"/>
      <c r="J39" s="218"/>
      <c r="K39" s="218"/>
      <c r="L39" s="218"/>
      <c r="M39" s="218"/>
      <c r="N39" s="218"/>
      <c r="O39" s="218"/>
      <c r="P39" s="218"/>
      <c r="Q39" s="218"/>
      <c r="R39" s="221"/>
      <c r="S39" s="221"/>
      <c r="T39" s="218"/>
      <c r="U39" s="218"/>
      <c r="V39" s="218"/>
      <c r="W39" s="218"/>
      <c r="X39" s="218"/>
      <c r="Y39" s="218"/>
      <c r="Z39" s="218"/>
      <c r="AA39" s="218"/>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218"/>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row>
    <row r="40" spans="1:130" s="215" customFormat="1" x14ac:dyDescent="0.2">
      <c r="B40" s="216"/>
      <c r="E40" s="216"/>
      <c r="F40" s="237"/>
      <c r="G40" s="218"/>
      <c r="H40" s="218"/>
      <c r="I40" s="218"/>
      <c r="J40" s="218"/>
      <c r="K40" s="218"/>
      <c r="L40" s="218"/>
      <c r="M40" s="218"/>
      <c r="N40" s="218"/>
      <c r="O40" s="218"/>
      <c r="P40" s="218"/>
      <c r="Q40" s="218"/>
      <c r="R40" s="221"/>
      <c r="S40" s="221"/>
      <c r="T40" s="218"/>
      <c r="U40" s="218"/>
      <c r="V40" s="218"/>
      <c r="W40" s="218"/>
      <c r="X40" s="218"/>
      <c r="Y40" s="218"/>
      <c r="Z40" s="218"/>
      <c r="AA40" s="218"/>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218"/>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row>
    <row r="41" spans="1:130" s="215" customFormat="1" x14ac:dyDescent="0.2">
      <c r="B41" s="216"/>
      <c r="E41" s="216"/>
      <c r="F41" s="237"/>
      <c r="G41" s="218"/>
      <c r="H41" s="218"/>
      <c r="I41" s="218"/>
      <c r="J41" s="218"/>
      <c r="K41" s="218"/>
      <c r="L41" s="218"/>
      <c r="M41" s="218"/>
      <c r="N41" s="218"/>
      <c r="O41" s="218"/>
      <c r="P41" s="218"/>
      <c r="Q41" s="218"/>
      <c r="R41" s="221"/>
      <c r="S41" s="221"/>
      <c r="T41" s="218"/>
      <c r="U41" s="218"/>
      <c r="V41" s="218"/>
      <c r="W41" s="218"/>
      <c r="X41" s="218"/>
      <c r="Y41" s="218"/>
      <c r="Z41" s="218"/>
      <c r="AA41" s="218"/>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218"/>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row>
    <row r="42" spans="1:130" s="215" customFormat="1" x14ac:dyDescent="0.2">
      <c r="B42" s="216"/>
      <c r="E42" s="216"/>
      <c r="F42" s="237"/>
      <c r="G42" s="218"/>
      <c r="H42" s="218"/>
      <c r="I42" s="218"/>
      <c r="J42" s="218"/>
      <c r="K42" s="218"/>
      <c r="L42" s="218"/>
      <c r="M42" s="218"/>
      <c r="N42" s="218"/>
      <c r="O42" s="218"/>
      <c r="P42" s="218"/>
      <c r="Q42" s="218"/>
      <c r="R42" s="221"/>
      <c r="S42" s="221"/>
      <c r="T42" s="218"/>
      <c r="U42" s="218"/>
      <c r="V42" s="218"/>
      <c r="W42" s="218"/>
      <c r="X42" s="218"/>
      <c r="Y42" s="218"/>
      <c r="Z42" s="218"/>
      <c r="AA42" s="218"/>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218"/>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row>
    <row r="43" spans="1:130" s="215" customFormat="1" x14ac:dyDescent="0.2">
      <c r="B43" s="216"/>
      <c r="E43" s="216"/>
      <c r="F43" s="237"/>
      <c r="G43" s="218"/>
      <c r="H43" s="218"/>
      <c r="I43" s="218"/>
      <c r="J43" s="218"/>
      <c r="K43" s="218"/>
      <c r="L43" s="218"/>
      <c r="M43" s="218"/>
      <c r="N43" s="218"/>
      <c r="O43" s="218"/>
      <c r="P43" s="218"/>
      <c r="Q43" s="218"/>
      <c r="R43" s="221"/>
      <c r="S43" s="221"/>
      <c r="T43" s="218"/>
      <c r="U43" s="218"/>
      <c r="V43" s="218"/>
      <c r="W43" s="218"/>
      <c r="X43" s="218"/>
      <c r="Y43" s="218"/>
      <c r="Z43" s="218"/>
      <c r="AA43" s="218"/>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218"/>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row>
    <row r="44" spans="1:130" s="215" customFormat="1" x14ac:dyDescent="0.2">
      <c r="B44" s="216"/>
      <c r="E44" s="216"/>
      <c r="F44" s="237"/>
      <c r="G44" s="218"/>
      <c r="H44" s="218"/>
      <c r="I44" s="218"/>
      <c r="J44" s="218"/>
      <c r="K44" s="218"/>
      <c r="L44" s="218"/>
      <c r="M44" s="218"/>
      <c r="N44" s="218"/>
      <c r="O44" s="218"/>
      <c r="P44" s="218"/>
      <c r="Q44" s="218"/>
      <c r="R44" s="221"/>
      <c r="S44" s="221"/>
      <c r="T44" s="218"/>
      <c r="U44" s="218"/>
      <c r="V44" s="218"/>
      <c r="W44" s="218"/>
      <c r="X44" s="218"/>
      <c r="Y44" s="218"/>
      <c r="Z44" s="218"/>
      <c r="AA44" s="218"/>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218"/>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c r="DV44" s="151"/>
      <c r="DW44" s="151"/>
      <c r="DX44" s="151"/>
      <c r="DY44" s="151"/>
      <c r="DZ44" s="151"/>
    </row>
    <row r="45" spans="1:130" s="215" customFormat="1" x14ac:dyDescent="0.2">
      <c r="B45" s="216"/>
      <c r="E45" s="216"/>
      <c r="F45" s="237"/>
      <c r="G45" s="218"/>
      <c r="H45" s="218"/>
      <c r="I45" s="218"/>
      <c r="J45" s="218"/>
      <c r="K45" s="218"/>
      <c r="L45" s="218"/>
      <c r="M45" s="218"/>
      <c r="N45" s="218"/>
      <c r="O45" s="218"/>
      <c r="P45" s="218"/>
      <c r="Q45" s="218"/>
      <c r="R45" s="221"/>
      <c r="S45" s="221"/>
      <c r="T45" s="218"/>
      <c r="U45" s="218"/>
      <c r="V45" s="218"/>
      <c r="W45" s="218"/>
      <c r="X45" s="218"/>
      <c r="Y45" s="218"/>
      <c r="Z45" s="218"/>
      <c r="AA45" s="218"/>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218"/>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row>
    <row r="46" spans="1:130" s="215" customFormat="1" x14ac:dyDescent="0.2">
      <c r="B46" s="216"/>
      <c r="E46" s="216"/>
      <c r="F46" s="237"/>
      <c r="G46" s="218"/>
      <c r="H46" s="218"/>
      <c r="I46" s="218"/>
      <c r="J46" s="218"/>
      <c r="K46" s="218"/>
      <c r="L46" s="218"/>
      <c r="M46" s="218"/>
      <c r="N46" s="218"/>
      <c r="O46" s="218"/>
      <c r="P46" s="218"/>
      <c r="Q46" s="218"/>
      <c r="R46" s="221"/>
      <c r="S46" s="221"/>
      <c r="T46" s="218"/>
      <c r="U46" s="218"/>
      <c r="V46" s="218"/>
      <c r="W46" s="218"/>
      <c r="X46" s="218"/>
      <c r="Y46" s="218"/>
      <c r="Z46" s="218"/>
      <c r="AA46" s="218"/>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218"/>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row>
    <row r="47" spans="1:130" s="215" customFormat="1" x14ac:dyDescent="0.2">
      <c r="B47" s="216"/>
      <c r="E47" s="216"/>
      <c r="F47" s="237"/>
      <c r="G47" s="218"/>
      <c r="H47" s="218"/>
      <c r="I47" s="218"/>
      <c r="J47" s="218"/>
      <c r="K47" s="218"/>
      <c r="L47" s="218"/>
      <c r="M47" s="218"/>
      <c r="N47" s="218"/>
      <c r="O47" s="218"/>
      <c r="P47" s="218"/>
      <c r="Q47" s="218"/>
      <c r="R47" s="221"/>
      <c r="S47" s="221"/>
      <c r="T47" s="218"/>
      <c r="U47" s="218"/>
      <c r="V47" s="218"/>
      <c r="W47" s="218"/>
      <c r="X47" s="218"/>
      <c r="Y47" s="218"/>
      <c r="Z47" s="218"/>
      <c r="AA47" s="218"/>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218"/>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row>
    <row r="48" spans="1:130" s="215" customFormat="1" x14ac:dyDescent="0.2">
      <c r="B48" s="216"/>
      <c r="E48" s="216"/>
      <c r="F48" s="237"/>
      <c r="G48" s="218"/>
      <c r="H48" s="218"/>
      <c r="I48" s="218"/>
      <c r="J48" s="218"/>
      <c r="K48" s="218"/>
      <c r="L48" s="218"/>
      <c r="M48" s="218"/>
      <c r="N48" s="218"/>
      <c r="O48" s="218"/>
      <c r="P48" s="218"/>
      <c r="Q48" s="218"/>
      <c r="R48" s="221"/>
      <c r="S48" s="221"/>
      <c r="T48" s="218"/>
      <c r="U48" s="218"/>
      <c r="V48" s="218"/>
      <c r="W48" s="218"/>
      <c r="X48" s="218"/>
      <c r="Y48" s="218"/>
      <c r="Z48" s="218"/>
      <c r="AA48" s="218"/>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218"/>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row>
    <row r="49" spans="2:130" s="215" customFormat="1" x14ac:dyDescent="0.2">
      <c r="B49" s="216"/>
      <c r="E49" s="216"/>
      <c r="F49" s="237"/>
      <c r="G49" s="218"/>
      <c r="H49" s="218"/>
      <c r="I49" s="218"/>
      <c r="J49" s="218"/>
      <c r="K49" s="218"/>
      <c r="L49" s="218"/>
      <c r="M49" s="218"/>
      <c r="N49" s="218"/>
      <c r="O49" s="218"/>
      <c r="P49" s="218"/>
      <c r="Q49" s="218"/>
      <c r="R49" s="221"/>
      <c r="S49" s="221"/>
      <c r="T49" s="218"/>
      <c r="U49" s="218"/>
      <c r="V49" s="218"/>
      <c r="W49" s="218"/>
      <c r="X49" s="218"/>
      <c r="Y49" s="218"/>
      <c r="Z49" s="218"/>
      <c r="AA49" s="218"/>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218"/>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row>
    <row r="50" spans="2:130" s="215" customFormat="1" x14ac:dyDescent="0.2">
      <c r="B50" s="216"/>
      <c r="E50" s="216"/>
      <c r="F50" s="237"/>
      <c r="G50" s="218"/>
      <c r="H50" s="218"/>
      <c r="I50" s="218"/>
      <c r="J50" s="218"/>
      <c r="K50" s="218"/>
      <c r="L50" s="218"/>
      <c r="M50" s="218"/>
      <c r="N50" s="218"/>
      <c r="O50" s="218"/>
      <c r="P50" s="218"/>
      <c r="Q50" s="218"/>
      <c r="R50" s="221"/>
      <c r="S50" s="221"/>
      <c r="T50" s="218"/>
      <c r="U50" s="218"/>
      <c r="V50" s="218"/>
      <c r="W50" s="218"/>
      <c r="X50" s="218"/>
      <c r="Y50" s="218"/>
      <c r="Z50" s="218"/>
      <c r="AA50" s="218"/>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218"/>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row>
    <row r="51" spans="2:130" s="215" customFormat="1" x14ac:dyDescent="0.2">
      <c r="B51" s="216"/>
      <c r="E51" s="216"/>
      <c r="F51" s="237"/>
      <c r="G51" s="218"/>
      <c r="H51" s="218"/>
      <c r="I51" s="218"/>
      <c r="J51" s="218"/>
      <c r="K51" s="218"/>
      <c r="L51" s="218"/>
      <c r="M51" s="218"/>
      <c r="N51" s="218"/>
      <c r="O51" s="218"/>
      <c r="P51" s="218"/>
      <c r="Q51" s="218"/>
      <c r="R51" s="221"/>
      <c r="S51" s="221"/>
      <c r="T51" s="218"/>
      <c r="U51" s="218"/>
      <c r="V51" s="218"/>
      <c r="W51" s="218"/>
      <c r="X51" s="218"/>
      <c r="Y51" s="218"/>
      <c r="Z51" s="218"/>
      <c r="AA51" s="218"/>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218"/>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row>
    <row r="52" spans="2:130" s="215" customFormat="1" x14ac:dyDescent="0.2">
      <c r="B52" s="216"/>
      <c r="E52" s="216"/>
      <c r="F52" s="237"/>
      <c r="G52" s="218"/>
      <c r="H52" s="218"/>
      <c r="I52" s="218"/>
      <c r="J52" s="218"/>
      <c r="K52" s="218"/>
      <c r="L52" s="218"/>
      <c r="M52" s="218"/>
      <c r="N52" s="218"/>
      <c r="O52" s="218"/>
      <c r="P52" s="218"/>
      <c r="Q52" s="218"/>
      <c r="R52" s="221"/>
      <c r="S52" s="221"/>
      <c r="T52" s="218"/>
      <c r="U52" s="218"/>
      <c r="V52" s="218"/>
      <c r="W52" s="218"/>
      <c r="X52" s="218"/>
      <c r="Y52" s="218"/>
      <c r="Z52" s="218"/>
      <c r="AA52" s="218"/>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218"/>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row>
    <row r="53" spans="2:130" s="215" customFormat="1" x14ac:dyDescent="0.2">
      <c r="B53" s="216"/>
      <c r="E53" s="216"/>
      <c r="F53" s="237"/>
      <c r="G53" s="218"/>
      <c r="H53" s="218"/>
      <c r="I53" s="218"/>
      <c r="J53" s="218"/>
      <c r="K53" s="218"/>
      <c r="L53" s="218"/>
      <c r="M53" s="218"/>
      <c r="N53" s="218"/>
      <c r="O53" s="218"/>
      <c r="P53" s="218"/>
      <c r="Q53" s="218"/>
      <c r="R53" s="221"/>
      <c r="S53" s="221"/>
      <c r="T53" s="218"/>
      <c r="U53" s="218"/>
      <c r="V53" s="218"/>
      <c r="W53" s="218"/>
      <c r="X53" s="218"/>
      <c r="Y53" s="218"/>
      <c r="Z53" s="218"/>
      <c r="AA53" s="218"/>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218"/>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row>
    <row r="54" spans="2:130" s="215" customFormat="1" x14ac:dyDescent="0.2">
      <c r="B54" s="216"/>
      <c r="E54" s="216"/>
      <c r="F54" s="237"/>
      <c r="G54" s="218"/>
      <c r="H54" s="218"/>
      <c r="I54" s="218"/>
      <c r="J54" s="218"/>
      <c r="K54" s="218"/>
      <c r="L54" s="218"/>
      <c r="M54" s="218"/>
      <c r="N54" s="218"/>
      <c r="O54" s="218"/>
      <c r="P54" s="218"/>
      <c r="Q54" s="218"/>
      <c r="R54" s="221"/>
      <c r="S54" s="221"/>
      <c r="T54" s="218"/>
      <c r="U54" s="218"/>
      <c r="V54" s="218"/>
      <c r="W54" s="218"/>
      <c r="X54" s="218"/>
      <c r="Y54" s="218"/>
      <c r="Z54" s="218"/>
      <c r="AA54" s="218"/>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218"/>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row>
    <row r="55" spans="2:130" s="215" customFormat="1" x14ac:dyDescent="0.2">
      <c r="B55" s="216"/>
      <c r="E55" s="216"/>
      <c r="F55" s="237"/>
      <c r="G55" s="218"/>
      <c r="H55" s="218"/>
      <c r="I55" s="218"/>
      <c r="J55" s="218"/>
      <c r="K55" s="218"/>
      <c r="L55" s="218"/>
      <c r="M55" s="218"/>
      <c r="N55" s="218"/>
      <c r="O55" s="218"/>
      <c r="P55" s="218"/>
      <c r="Q55" s="218"/>
      <c r="R55" s="221"/>
      <c r="S55" s="221"/>
      <c r="T55" s="218"/>
      <c r="U55" s="218"/>
      <c r="V55" s="218"/>
      <c r="W55" s="218"/>
      <c r="X55" s="218"/>
      <c r="Y55" s="218"/>
      <c r="Z55" s="218"/>
      <c r="AA55" s="218"/>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218"/>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row>
    <row r="56" spans="2:130" s="215" customFormat="1" x14ac:dyDescent="0.2">
      <c r="B56" s="216"/>
      <c r="E56" s="216"/>
      <c r="F56" s="237"/>
      <c r="G56" s="218"/>
      <c r="H56" s="218"/>
      <c r="I56" s="218"/>
      <c r="J56" s="218"/>
      <c r="K56" s="218"/>
      <c r="L56" s="218"/>
      <c r="M56" s="218"/>
      <c r="N56" s="218"/>
      <c r="O56" s="218"/>
      <c r="P56" s="218"/>
      <c r="Q56" s="218"/>
      <c r="R56" s="221"/>
      <c r="S56" s="221"/>
      <c r="T56" s="218"/>
      <c r="U56" s="218"/>
      <c r="V56" s="218"/>
      <c r="W56" s="218"/>
      <c r="X56" s="218"/>
      <c r="Y56" s="218"/>
      <c r="Z56" s="218"/>
      <c r="AA56" s="218"/>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218"/>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row>
    <row r="57" spans="2:130" s="215" customFormat="1" x14ac:dyDescent="0.2">
      <c r="B57" s="216"/>
      <c r="E57" s="216"/>
      <c r="F57" s="237"/>
      <c r="G57" s="218"/>
      <c r="H57" s="218"/>
      <c r="I57" s="218"/>
      <c r="J57" s="218"/>
      <c r="K57" s="218"/>
      <c r="L57" s="218"/>
      <c r="M57" s="218"/>
      <c r="N57" s="218"/>
      <c r="O57" s="218"/>
      <c r="P57" s="218"/>
      <c r="Q57" s="218"/>
      <c r="R57" s="221"/>
      <c r="S57" s="221"/>
      <c r="T57" s="218"/>
      <c r="U57" s="218"/>
      <c r="V57" s="218"/>
      <c r="W57" s="218"/>
      <c r="X57" s="218"/>
      <c r="Y57" s="218"/>
      <c r="Z57" s="218"/>
      <c r="AA57" s="218"/>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218"/>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row>
    <row r="58" spans="2:130" s="215" customFormat="1" x14ac:dyDescent="0.2">
      <c r="B58" s="216"/>
      <c r="E58" s="216"/>
      <c r="F58" s="237"/>
      <c r="G58" s="218"/>
      <c r="H58" s="218"/>
      <c r="I58" s="218"/>
      <c r="J58" s="218"/>
      <c r="K58" s="218"/>
      <c r="L58" s="218"/>
      <c r="M58" s="218"/>
      <c r="N58" s="218"/>
      <c r="O58" s="218"/>
      <c r="P58" s="218"/>
      <c r="Q58" s="218"/>
      <c r="R58" s="221"/>
      <c r="S58" s="221"/>
      <c r="T58" s="218"/>
      <c r="U58" s="218"/>
      <c r="V58" s="218"/>
      <c r="W58" s="218"/>
      <c r="X58" s="218"/>
      <c r="Y58" s="218"/>
      <c r="Z58" s="218"/>
      <c r="AA58" s="218"/>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218"/>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row>
    <row r="59" spans="2:130" s="215" customFormat="1" x14ac:dyDescent="0.2">
      <c r="B59" s="216"/>
      <c r="E59" s="216"/>
      <c r="F59" s="237"/>
      <c r="G59" s="218"/>
      <c r="H59" s="218"/>
      <c r="I59" s="218"/>
      <c r="J59" s="218"/>
      <c r="K59" s="218"/>
      <c r="L59" s="218"/>
      <c r="M59" s="218"/>
      <c r="N59" s="218"/>
      <c r="O59" s="218"/>
      <c r="P59" s="218"/>
      <c r="Q59" s="218"/>
      <c r="R59" s="221"/>
      <c r="S59" s="221"/>
      <c r="T59" s="218"/>
      <c r="U59" s="218"/>
      <c r="V59" s="218"/>
      <c r="W59" s="218"/>
      <c r="X59" s="218"/>
      <c r="Y59" s="218"/>
      <c r="Z59" s="218"/>
      <c r="AA59" s="218"/>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218"/>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row>
    <row r="60" spans="2:130" s="215" customFormat="1" x14ac:dyDescent="0.2">
      <c r="B60" s="216"/>
      <c r="E60" s="216"/>
      <c r="F60" s="237"/>
      <c r="G60" s="218"/>
      <c r="H60" s="218"/>
      <c r="I60" s="218"/>
      <c r="J60" s="218"/>
      <c r="K60" s="218"/>
      <c r="L60" s="218"/>
      <c r="M60" s="218"/>
      <c r="N60" s="218"/>
      <c r="O60" s="218"/>
      <c r="P60" s="218"/>
      <c r="Q60" s="218"/>
      <c r="R60" s="221"/>
      <c r="S60" s="221"/>
      <c r="T60" s="218"/>
      <c r="U60" s="218"/>
      <c r="V60" s="218"/>
      <c r="W60" s="218"/>
      <c r="X60" s="218"/>
      <c r="Y60" s="218"/>
      <c r="Z60" s="218"/>
      <c r="AA60" s="218"/>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218"/>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row>
    <row r="61" spans="2:130" s="215" customFormat="1" x14ac:dyDescent="0.2">
      <c r="B61" s="216"/>
      <c r="E61" s="216"/>
      <c r="F61" s="237"/>
      <c r="G61" s="218"/>
      <c r="H61" s="218"/>
      <c r="I61" s="218"/>
      <c r="J61" s="218"/>
      <c r="K61" s="218"/>
      <c r="L61" s="218"/>
      <c r="M61" s="218"/>
      <c r="N61" s="218"/>
      <c r="O61" s="218"/>
      <c r="P61" s="218"/>
      <c r="Q61" s="218"/>
      <c r="R61" s="221"/>
      <c r="S61" s="221"/>
      <c r="T61" s="218"/>
      <c r="U61" s="218"/>
      <c r="V61" s="218"/>
      <c r="W61" s="218"/>
      <c r="X61" s="218"/>
      <c r="Y61" s="218"/>
      <c r="Z61" s="218"/>
      <c r="AA61" s="218"/>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218"/>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row>
    <row r="62" spans="2:130" s="215" customFormat="1" x14ac:dyDescent="0.2">
      <c r="B62" s="216"/>
      <c r="E62" s="216"/>
      <c r="F62" s="237"/>
      <c r="G62" s="218"/>
      <c r="H62" s="218"/>
      <c r="I62" s="218"/>
      <c r="J62" s="218"/>
      <c r="K62" s="218"/>
      <c r="L62" s="218"/>
      <c r="M62" s="218"/>
      <c r="N62" s="218"/>
      <c r="O62" s="218"/>
      <c r="P62" s="218"/>
      <c r="Q62" s="218"/>
      <c r="R62" s="221"/>
      <c r="S62" s="221"/>
      <c r="T62" s="218"/>
      <c r="U62" s="218"/>
      <c r="V62" s="218"/>
      <c r="W62" s="218"/>
      <c r="X62" s="218"/>
      <c r="Y62" s="218"/>
      <c r="Z62" s="218"/>
      <c r="AA62" s="218"/>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218"/>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row>
    <row r="63" spans="2:130" s="215" customFormat="1" x14ac:dyDescent="0.2">
      <c r="B63" s="216"/>
      <c r="E63" s="216"/>
      <c r="F63" s="237"/>
      <c r="G63" s="218"/>
      <c r="H63" s="218"/>
      <c r="I63" s="218"/>
      <c r="J63" s="218"/>
      <c r="K63" s="218"/>
      <c r="L63" s="218"/>
      <c r="M63" s="218"/>
      <c r="N63" s="218"/>
      <c r="O63" s="218"/>
      <c r="P63" s="218"/>
      <c r="Q63" s="218"/>
      <c r="R63" s="221"/>
      <c r="S63" s="221"/>
      <c r="T63" s="218"/>
      <c r="U63" s="218"/>
      <c r="V63" s="218"/>
      <c r="W63" s="218"/>
      <c r="X63" s="218"/>
      <c r="Y63" s="218"/>
      <c r="Z63" s="218"/>
      <c r="AA63" s="218"/>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218"/>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row>
    <row r="64" spans="2:130" s="215" customFormat="1" x14ac:dyDescent="0.2">
      <c r="B64" s="216"/>
      <c r="E64" s="216"/>
      <c r="F64" s="237"/>
      <c r="G64" s="218"/>
      <c r="H64" s="218"/>
      <c r="I64" s="218"/>
      <c r="J64" s="218"/>
      <c r="K64" s="218"/>
      <c r="L64" s="218"/>
      <c r="M64" s="218"/>
      <c r="N64" s="218"/>
      <c r="O64" s="218"/>
      <c r="P64" s="218"/>
      <c r="Q64" s="218"/>
      <c r="R64" s="221"/>
      <c r="S64" s="221"/>
      <c r="T64" s="218"/>
      <c r="U64" s="218"/>
      <c r="V64" s="218"/>
      <c r="W64" s="218"/>
      <c r="X64" s="218"/>
      <c r="Y64" s="218"/>
      <c r="Z64" s="218"/>
      <c r="AA64" s="218"/>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c r="BP64" s="151"/>
      <c r="BQ64" s="218"/>
      <c r="BR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c r="DU64" s="151"/>
      <c r="DV64" s="151"/>
      <c r="DW64" s="151"/>
      <c r="DX64" s="151"/>
      <c r="DY64" s="151"/>
      <c r="DZ64" s="151"/>
    </row>
    <row r="65" spans="2:130" s="215" customFormat="1" x14ac:dyDescent="0.2">
      <c r="B65" s="216"/>
      <c r="E65" s="216"/>
      <c r="F65" s="237"/>
      <c r="G65" s="218"/>
      <c r="H65" s="218"/>
      <c r="I65" s="218"/>
      <c r="J65" s="218"/>
      <c r="K65" s="218"/>
      <c r="L65" s="218"/>
      <c r="M65" s="218"/>
      <c r="N65" s="218"/>
      <c r="O65" s="218"/>
      <c r="P65" s="218"/>
      <c r="Q65" s="218"/>
      <c r="R65" s="221"/>
      <c r="S65" s="221"/>
      <c r="T65" s="218"/>
      <c r="U65" s="218"/>
      <c r="V65" s="218"/>
      <c r="W65" s="218"/>
      <c r="X65" s="218"/>
      <c r="Y65" s="218"/>
      <c r="Z65" s="218"/>
      <c r="AA65" s="218"/>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218"/>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row>
    <row r="66" spans="2:130" s="215" customFormat="1" x14ac:dyDescent="0.2">
      <c r="B66" s="216"/>
      <c r="E66" s="216"/>
      <c r="F66" s="237"/>
      <c r="G66" s="218"/>
      <c r="H66" s="218"/>
      <c r="I66" s="218"/>
      <c r="J66" s="218"/>
      <c r="K66" s="218"/>
      <c r="L66" s="218"/>
      <c r="M66" s="218"/>
      <c r="N66" s="218"/>
      <c r="O66" s="218"/>
      <c r="P66" s="218"/>
      <c r="Q66" s="218"/>
      <c r="R66" s="221"/>
      <c r="S66" s="221"/>
      <c r="T66" s="218"/>
      <c r="U66" s="218"/>
      <c r="V66" s="218"/>
      <c r="W66" s="218"/>
      <c r="X66" s="218"/>
      <c r="Y66" s="218"/>
      <c r="Z66" s="218"/>
      <c r="AA66" s="218"/>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218"/>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c r="DU66" s="151"/>
      <c r="DV66" s="151"/>
      <c r="DW66" s="151"/>
      <c r="DX66" s="151"/>
      <c r="DY66" s="151"/>
      <c r="DZ66" s="151"/>
    </row>
    <row r="67" spans="2:130" s="215" customFormat="1" x14ac:dyDescent="0.2">
      <c r="B67" s="216"/>
      <c r="E67" s="216"/>
      <c r="F67" s="237"/>
      <c r="G67" s="218"/>
      <c r="H67" s="218"/>
      <c r="I67" s="218"/>
      <c r="J67" s="218"/>
      <c r="K67" s="218"/>
      <c r="L67" s="218"/>
      <c r="M67" s="218"/>
      <c r="N67" s="218"/>
      <c r="O67" s="218"/>
      <c r="P67" s="218"/>
      <c r="Q67" s="218"/>
      <c r="R67" s="221"/>
      <c r="S67" s="221"/>
      <c r="T67" s="218"/>
      <c r="U67" s="218"/>
      <c r="V67" s="218"/>
      <c r="W67" s="218"/>
      <c r="X67" s="218"/>
      <c r="Y67" s="218"/>
      <c r="Z67" s="218"/>
      <c r="AA67" s="218"/>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218"/>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row>
    <row r="68" spans="2:130" s="215" customFormat="1" x14ac:dyDescent="0.2">
      <c r="B68" s="216"/>
      <c r="E68" s="216"/>
      <c r="F68" s="237"/>
      <c r="G68" s="218"/>
      <c r="H68" s="218"/>
      <c r="I68" s="218"/>
      <c r="J68" s="218"/>
      <c r="K68" s="218"/>
      <c r="L68" s="218"/>
      <c r="M68" s="218"/>
      <c r="N68" s="218"/>
      <c r="O68" s="218"/>
      <c r="P68" s="218"/>
      <c r="Q68" s="218"/>
      <c r="R68" s="221"/>
      <c r="S68" s="221"/>
      <c r="T68" s="218"/>
      <c r="U68" s="218"/>
      <c r="V68" s="218"/>
      <c r="W68" s="218"/>
      <c r="X68" s="218"/>
      <c r="Y68" s="218"/>
      <c r="Z68" s="218"/>
      <c r="AA68" s="218"/>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218"/>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c r="DP68" s="151"/>
      <c r="DQ68" s="151"/>
      <c r="DR68" s="151"/>
      <c r="DS68" s="151"/>
      <c r="DT68" s="151"/>
      <c r="DU68" s="151"/>
      <c r="DV68" s="151"/>
      <c r="DW68" s="151"/>
      <c r="DX68" s="151"/>
      <c r="DY68" s="151"/>
      <c r="DZ68" s="151"/>
    </row>
  </sheetData>
  <mergeCells count="1">
    <mergeCell ref="A5:E5"/>
  </mergeCells>
  <printOptions gridLines="1"/>
  <pageMargins left="0.25" right="0.25" top="0.75" bottom="0.75" header="0.3" footer="0.3"/>
  <pageSetup scale="68" orientation="landscape" r:id="rId1"/>
  <headerFooter alignWithMargins="0">
    <oddHeader xml:space="preserve">&amp;C&amp;"Arial,Bold"&amp;14DOCTORS MEMORIAL HOSPITAL
FY 2017 BUDGET
</oddHead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Z60"/>
  <sheetViews>
    <sheetView topLeftCell="C1" zoomScaleNormal="100" workbookViewId="0">
      <selection activeCell="C8" sqref="C8"/>
    </sheetView>
  </sheetViews>
  <sheetFormatPr defaultRowHeight="12.75" x14ac:dyDescent="0.2"/>
  <cols>
    <col min="1" max="1" width="8.28515625" style="213" bestFit="1" customWidth="1"/>
    <col min="2" max="2" width="26" style="214" bestFit="1" customWidth="1"/>
    <col min="3" max="3" width="12" style="215" customWidth="1"/>
    <col min="4" max="4" width="8.140625" style="215" customWidth="1"/>
    <col min="5" max="5" width="7.7109375" style="216" customWidth="1"/>
    <col min="6" max="6" width="11.140625" style="237" bestFit="1" customWidth="1"/>
    <col min="7" max="17" width="11.140625" style="218" bestFit="1" customWidth="1"/>
    <col min="18" max="18" width="12" style="221" bestFit="1" customWidth="1"/>
    <col min="19" max="19" width="10" style="221" bestFit="1" customWidth="1"/>
    <col min="20" max="27" width="12.7109375" style="218" customWidth="1"/>
    <col min="28" max="38" width="12.7109375" style="151" customWidth="1"/>
    <col min="39" max="49" width="9.85546875" style="151" bestFit="1" customWidth="1"/>
    <col min="50" max="50" width="11.140625" style="151" bestFit="1" customWidth="1"/>
    <col min="51" max="65" width="9.140625" style="151"/>
    <col min="66" max="66" width="9.85546875" style="151" bestFit="1" customWidth="1"/>
    <col min="67" max="68" width="9.140625" style="151"/>
    <col min="69" max="69" width="9.140625" style="218"/>
    <col min="70" max="81" width="9.140625" style="151"/>
    <col min="82" max="82" width="9.85546875" style="151" bestFit="1" customWidth="1"/>
    <col min="83" max="97" width="9.140625" style="151"/>
    <col min="98" max="98" width="9.85546875" style="151" bestFit="1" customWidth="1"/>
    <col min="99" max="113" width="9.140625" style="151"/>
    <col min="114" max="114" width="9.85546875" style="151" bestFit="1" customWidth="1"/>
    <col min="115" max="116" width="9.140625" style="151"/>
    <col min="117" max="117" width="11" style="151" bestFit="1" customWidth="1"/>
    <col min="118" max="122" width="11.140625" style="151" bestFit="1" customWidth="1"/>
    <col min="123" max="123" width="9.85546875" style="151" bestFit="1" customWidth="1"/>
    <col min="124" max="128" width="11.140625" style="151" bestFit="1" customWidth="1"/>
    <col min="129" max="129" width="12" style="151" bestFit="1" customWidth="1"/>
    <col min="130" max="130" width="11" style="151" bestFit="1" customWidth="1"/>
    <col min="131" max="243" width="9.140625" style="151"/>
    <col min="244" max="244" width="8.28515625" style="151" bestFit="1" customWidth="1"/>
    <col min="245" max="245" width="26" style="151" bestFit="1" customWidth="1"/>
    <col min="246" max="246" width="12" style="151" customWidth="1"/>
    <col min="247" max="247" width="8.140625" style="151" customWidth="1"/>
    <col min="248" max="248" width="11.140625" style="151" customWidth="1"/>
    <col min="249" max="249" width="8.28515625" style="151" customWidth="1"/>
    <col min="250" max="250" width="9.85546875" style="151" customWidth="1"/>
    <col min="251" max="251" width="8" style="151" customWidth="1"/>
    <col min="252" max="252" width="9.85546875" style="151" customWidth="1"/>
    <col min="253" max="253" width="6" style="151" customWidth="1"/>
    <col min="254" max="254" width="11.140625" style="151" customWidth="1"/>
    <col min="255" max="255" width="6.85546875" style="151" customWidth="1"/>
    <col min="256" max="256" width="11.7109375" style="151" customWidth="1"/>
    <col min="257" max="257" width="7.140625" style="151" customWidth="1"/>
    <col min="258" max="258" width="9" style="151" customWidth="1"/>
    <col min="259" max="259" width="7.140625" style="151" customWidth="1"/>
    <col min="260" max="260" width="12" style="151" customWidth="1"/>
    <col min="261" max="261" width="12.7109375" style="151" customWidth="1"/>
    <col min="262" max="273" width="11.140625" style="151" bestFit="1" customWidth="1"/>
    <col min="274" max="274" width="12" style="151" bestFit="1" customWidth="1"/>
    <col min="275" max="275" width="10" style="151" bestFit="1" customWidth="1"/>
    <col min="276" max="294" width="12.7109375" style="151" customWidth="1"/>
    <col min="295" max="305" width="9.85546875" style="151" bestFit="1" customWidth="1"/>
    <col min="306" max="306" width="11.140625" style="151" bestFit="1" customWidth="1"/>
    <col min="307" max="321" width="9.140625" style="151"/>
    <col min="322" max="322" width="9.85546875" style="151" bestFit="1" customWidth="1"/>
    <col min="323" max="337" width="9.140625" style="151"/>
    <col min="338" max="338" width="9.85546875" style="151" bestFit="1" customWidth="1"/>
    <col min="339" max="353" width="9.140625" style="151"/>
    <col min="354" max="354" width="9.85546875" style="151" bestFit="1" customWidth="1"/>
    <col min="355" max="369" width="9.140625" style="151"/>
    <col min="370" max="370" width="9.85546875" style="151" bestFit="1" customWidth="1"/>
    <col min="371" max="372" width="9.140625" style="151"/>
    <col min="373" max="373" width="11" style="151" bestFit="1" customWidth="1"/>
    <col min="374" max="378" width="11.140625" style="151" bestFit="1" customWidth="1"/>
    <col min="379" max="379" width="9.85546875" style="151" bestFit="1" customWidth="1"/>
    <col min="380" max="384" width="11.140625" style="151" bestFit="1" customWidth="1"/>
    <col min="385" max="385" width="12" style="151" bestFit="1" customWidth="1"/>
    <col min="386" max="386" width="11" style="151" bestFit="1" customWidth="1"/>
    <col min="387" max="499" width="9.140625" style="151"/>
    <col min="500" max="500" width="8.28515625" style="151" bestFit="1" customWidth="1"/>
    <col min="501" max="501" width="26" style="151" bestFit="1" customWidth="1"/>
    <col min="502" max="502" width="12" style="151" customWidth="1"/>
    <col min="503" max="503" width="8.140625" style="151" customWidth="1"/>
    <col min="504" max="504" width="11.140625" style="151" customWidth="1"/>
    <col min="505" max="505" width="8.28515625" style="151" customWidth="1"/>
    <col min="506" max="506" width="9.85546875" style="151" customWidth="1"/>
    <col min="507" max="507" width="8" style="151" customWidth="1"/>
    <col min="508" max="508" width="9.85546875" style="151" customWidth="1"/>
    <col min="509" max="509" width="6" style="151" customWidth="1"/>
    <col min="510" max="510" width="11.140625" style="151" customWidth="1"/>
    <col min="511" max="511" width="6.85546875" style="151" customWidth="1"/>
    <col min="512" max="512" width="11.7109375" style="151" customWidth="1"/>
    <col min="513" max="513" width="7.140625" style="151" customWidth="1"/>
    <col min="514" max="514" width="9" style="151" customWidth="1"/>
    <col min="515" max="515" width="7.140625" style="151" customWidth="1"/>
    <col min="516" max="516" width="12" style="151" customWidth="1"/>
    <col min="517" max="517" width="12.7109375" style="151" customWidth="1"/>
    <col min="518" max="529" width="11.140625" style="151" bestFit="1" customWidth="1"/>
    <col min="530" max="530" width="12" style="151" bestFit="1" customWidth="1"/>
    <col min="531" max="531" width="10" style="151" bestFit="1" customWidth="1"/>
    <col min="532" max="550" width="12.7109375" style="151" customWidth="1"/>
    <col min="551" max="561" width="9.85546875" style="151" bestFit="1" customWidth="1"/>
    <col min="562" max="562" width="11.140625" style="151" bestFit="1" customWidth="1"/>
    <col min="563" max="577" width="9.140625" style="151"/>
    <col min="578" max="578" width="9.85546875" style="151" bestFit="1" customWidth="1"/>
    <col min="579" max="593" width="9.140625" style="151"/>
    <col min="594" max="594" width="9.85546875" style="151" bestFit="1" customWidth="1"/>
    <col min="595" max="609" width="9.140625" style="151"/>
    <col min="610" max="610" width="9.85546875" style="151" bestFit="1" customWidth="1"/>
    <col min="611" max="625" width="9.140625" style="151"/>
    <col min="626" max="626" width="9.85546875" style="151" bestFit="1" customWidth="1"/>
    <col min="627" max="628" width="9.140625" style="151"/>
    <col min="629" max="629" width="11" style="151" bestFit="1" customWidth="1"/>
    <col min="630" max="634" width="11.140625" style="151" bestFit="1" customWidth="1"/>
    <col min="635" max="635" width="9.85546875" style="151" bestFit="1" customWidth="1"/>
    <col min="636" max="640" width="11.140625" style="151" bestFit="1" customWidth="1"/>
    <col min="641" max="641" width="12" style="151" bestFit="1" customWidth="1"/>
    <col min="642" max="642" width="11" style="151" bestFit="1" customWidth="1"/>
    <col min="643" max="755" width="9.140625" style="151"/>
    <col min="756" max="756" width="8.28515625" style="151" bestFit="1" customWidth="1"/>
    <col min="757" max="757" width="26" style="151" bestFit="1" customWidth="1"/>
    <col min="758" max="758" width="12" style="151" customWidth="1"/>
    <col min="759" max="759" width="8.140625" style="151" customWidth="1"/>
    <col min="760" max="760" width="11.140625" style="151" customWidth="1"/>
    <col min="761" max="761" width="8.28515625" style="151" customWidth="1"/>
    <col min="762" max="762" width="9.85546875" style="151" customWidth="1"/>
    <col min="763" max="763" width="8" style="151" customWidth="1"/>
    <col min="764" max="764" width="9.85546875" style="151" customWidth="1"/>
    <col min="765" max="765" width="6" style="151" customWidth="1"/>
    <col min="766" max="766" width="11.140625" style="151" customWidth="1"/>
    <col min="767" max="767" width="6.85546875" style="151" customWidth="1"/>
    <col min="768" max="768" width="11.7109375" style="151" customWidth="1"/>
    <col min="769" max="769" width="7.140625" style="151" customWidth="1"/>
    <col min="770" max="770" width="9" style="151" customWidth="1"/>
    <col min="771" max="771" width="7.140625" style="151" customWidth="1"/>
    <col min="772" max="772" width="12" style="151" customWidth="1"/>
    <col min="773" max="773" width="12.7109375" style="151" customWidth="1"/>
    <col min="774" max="785" width="11.140625" style="151" bestFit="1" customWidth="1"/>
    <col min="786" max="786" width="12" style="151" bestFit="1" customWidth="1"/>
    <col min="787" max="787" width="10" style="151" bestFit="1" customWidth="1"/>
    <col min="788" max="806" width="12.7109375" style="151" customWidth="1"/>
    <col min="807" max="817" width="9.85546875" style="151" bestFit="1" customWidth="1"/>
    <col min="818" max="818" width="11.140625" style="151" bestFit="1" customWidth="1"/>
    <col min="819" max="833" width="9.140625" style="151"/>
    <col min="834" max="834" width="9.85546875" style="151" bestFit="1" customWidth="1"/>
    <col min="835" max="849" width="9.140625" style="151"/>
    <col min="850" max="850" width="9.85546875" style="151" bestFit="1" customWidth="1"/>
    <col min="851" max="865" width="9.140625" style="151"/>
    <col min="866" max="866" width="9.85546875" style="151" bestFit="1" customWidth="1"/>
    <col min="867" max="881" width="9.140625" style="151"/>
    <col min="882" max="882" width="9.85546875" style="151" bestFit="1" customWidth="1"/>
    <col min="883" max="884" width="9.140625" style="151"/>
    <col min="885" max="885" width="11" style="151" bestFit="1" customWidth="1"/>
    <col min="886" max="890" width="11.140625" style="151" bestFit="1" customWidth="1"/>
    <col min="891" max="891" width="9.85546875" style="151" bestFit="1" customWidth="1"/>
    <col min="892" max="896" width="11.140625" style="151" bestFit="1" customWidth="1"/>
    <col min="897" max="897" width="12" style="151" bestFit="1" customWidth="1"/>
    <col min="898" max="898" width="11" style="151" bestFit="1" customWidth="1"/>
    <col min="899" max="1011" width="9.140625" style="151"/>
    <col min="1012" max="1012" width="8.28515625" style="151" bestFit="1" customWidth="1"/>
    <col min="1013" max="1013" width="26" style="151" bestFit="1" customWidth="1"/>
    <col min="1014" max="1014" width="12" style="151" customWidth="1"/>
    <col min="1015" max="1015" width="8.140625" style="151" customWidth="1"/>
    <col min="1016" max="1016" width="11.140625" style="151" customWidth="1"/>
    <col min="1017" max="1017" width="8.28515625" style="151" customWidth="1"/>
    <col min="1018" max="1018" width="9.85546875" style="151" customWidth="1"/>
    <col min="1019" max="1019" width="8" style="151" customWidth="1"/>
    <col min="1020" max="1020" width="9.85546875" style="151" customWidth="1"/>
    <col min="1021" max="1021" width="6" style="151" customWidth="1"/>
    <col min="1022" max="1022" width="11.140625" style="151" customWidth="1"/>
    <col min="1023" max="1023" width="6.85546875" style="151" customWidth="1"/>
    <col min="1024" max="1024" width="11.7109375" style="151" customWidth="1"/>
    <col min="1025" max="1025" width="7.140625" style="151" customWidth="1"/>
    <col min="1026" max="1026" width="9" style="151" customWidth="1"/>
    <col min="1027" max="1027" width="7.140625" style="151" customWidth="1"/>
    <col min="1028" max="1028" width="12" style="151" customWidth="1"/>
    <col min="1029" max="1029" width="12.7109375" style="151" customWidth="1"/>
    <col min="1030" max="1041" width="11.140625" style="151" bestFit="1" customWidth="1"/>
    <col min="1042" max="1042" width="12" style="151" bestFit="1" customWidth="1"/>
    <col min="1043" max="1043" width="10" style="151" bestFit="1" customWidth="1"/>
    <col min="1044" max="1062" width="12.7109375" style="151" customWidth="1"/>
    <col min="1063" max="1073" width="9.85546875" style="151" bestFit="1" customWidth="1"/>
    <col min="1074" max="1074" width="11.140625" style="151" bestFit="1" customWidth="1"/>
    <col min="1075" max="1089" width="9.140625" style="151"/>
    <col min="1090" max="1090" width="9.85546875" style="151" bestFit="1" customWidth="1"/>
    <col min="1091" max="1105" width="9.140625" style="151"/>
    <col min="1106" max="1106" width="9.85546875" style="151" bestFit="1" customWidth="1"/>
    <col min="1107" max="1121" width="9.140625" style="151"/>
    <col min="1122" max="1122" width="9.85546875" style="151" bestFit="1" customWidth="1"/>
    <col min="1123" max="1137" width="9.140625" style="151"/>
    <col min="1138" max="1138" width="9.85546875" style="151" bestFit="1" customWidth="1"/>
    <col min="1139" max="1140" width="9.140625" style="151"/>
    <col min="1141" max="1141" width="11" style="151" bestFit="1" customWidth="1"/>
    <col min="1142" max="1146" width="11.140625" style="151" bestFit="1" customWidth="1"/>
    <col min="1147" max="1147" width="9.85546875" style="151" bestFit="1" customWidth="1"/>
    <col min="1148" max="1152" width="11.140625" style="151" bestFit="1" customWidth="1"/>
    <col min="1153" max="1153" width="12" style="151" bestFit="1" customWidth="1"/>
    <col min="1154" max="1154" width="11" style="151" bestFit="1" customWidth="1"/>
    <col min="1155" max="1267" width="9.140625" style="151"/>
    <col min="1268" max="1268" width="8.28515625" style="151" bestFit="1" customWidth="1"/>
    <col min="1269" max="1269" width="26" style="151" bestFit="1" customWidth="1"/>
    <col min="1270" max="1270" width="12" style="151" customWidth="1"/>
    <col min="1271" max="1271" width="8.140625" style="151" customWidth="1"/>
    <col min="1272" max="1272" width="11.140625" style="151" customWidth="1"/>
    <col min="1273" max="1273" width="8.28515625" style="151" customWidth="1"/>
    <col min="1274" max="1274" width="9.85546875" style="151" customWidth="1"/>
    <col min="1275" max="1275" width="8" style="151" customWidth="1"/>
    <col min="1276" max="1276" width="9.85546875" style="151" customWidth="1"/>
    <col min="1277" max="1277" width="6" style="151" customWidth="1"/>
    <col min="1278" max="1278" width="11.140625" style="151" customWidth="1"/>
    <col min="1279" max="1279" width="6.85546875" style="151" customWidth="1"/>
    <col min="1280" max="1280" width="11.7109375" style="151" customWidth="1"/>
    <col min="1281" max="1281" width="7.140625" style="151" customWidth="1"/>
    <col min="1282" max="1282" width="9" style="151" customWidth="1"/>
    <col min="1283" max="1283" width="7.140625" style="151" customWidth="1"/>
    <col min="1284" max="1284" width="12" style="151" customWidth="1"/>
    <col min="1285" max="1285" width="12.7109375" style="151" customWidth="1"/>
    <col min="1286" max="1297" width="11.140625" style="151" bestFit="1" customWidth="1"/>
    <col min="1298" max="1298" width="12" style="151" bestFit="1" customWidth="1"/>
    <col min="1299" max="1299" width="10" style="151" bestFit="1" customWidth="1"/>
    <col min="1300" max="1318" width="12.7109375" style="151" customWidth="1"/>
    <col min="1319" max="1329" width="9.85546875" style="151" bestFit="1" customWidth="1"/>
    <col min="1330" max="1330" width="11.140625" style="151" bestFit="1" customWidth="1"/>
    <col min="1331" max="1345" width="9.140625" style="151"/>
    <col min="1346" max="1346" width="9.85546875" style="151" bestFit="1" customWidth="1"/>
    <col min="1347" max="1361" width="9.140625" style="151"/>
    <col min="1362" max="1362" width="9.85546875" style="151" bestFit="1" customWidth="1"/>
    <col min="1363" max="1377" width="9.140625" style="151"/>
    <col min="1378" max="1378" width="9.85546875" style="151" bestFit="1" customWidth="1"/>
    <col min="1379" max="1393" width="9.140625" style="151"/>
    <col min="1394" max="1394" width="9.85546875" style="151" bestFit="1" customWidth="1"/>
    <col min="1395" max="1396" width="9.140625" style="151"/>
    <col min="1397" max="1397" width="11" style="151" bestFit="1" customWidth="1"/>
    <col min="1398" max="1402" width="11.140625" style="151" bestFit="1" customWidth="1"/>
    <col min="1403" max="1403" width="9.85546875" style="151" bestFit="1" customWidth="1"/>
    <col min="1404" max="1408" width="11.140625" style="151" bestFit="1" customWidth="1"/>
    <col min="1409" max="1409" width="12" style="151" bestFit="1" customWidth="1"/>
    <col min="1410" max="1410" width="11" style="151" bestFit="1" customWidth="1"/>
    <col min="1411" max="1523" width="9.140625" style="151"/>
    <col min="1524" max="1524" width="8.28515625" style="151" bestFit="1" customWidth="1"/>
    <col min="1525" max="1525" width="26" style="151" bestFit="1" customWidth="1"/>
    <col min="1526" max="1526" width="12" style="151" customWidth="1"/>
    <col min="1527" max="1527" width="8.140625" style="151" customWidth="1"/>
    <col min="1528" max="1528" width="11.140625" style="151" customWidth="1"/>
    <col min="1529" max="1529" width="8.28515625" style="151" customWidth="1"/>
    <col min="1530" max="1530" width="9.85546875" style="151" customWidth="1"/>
    <col min="1531" max="1531" width="8" style="151" customWidth="1"/>
    <col min="1532" max="1532" width="9.85546875" style="151" customWidth="1"/>
    <col min="1533" max="1533" width="6" style="151" customWidth="1"/>
    <col min="1534" max="1534" width="11.140625" style="151" customWidth="1"/>
    <col min="1535" max="1535" width="6.85546875" style="151" customWidth="1"/>
    <col min="1536" max="1536" width="11.7109375" style="151" customWidth="1"/>
    <col min="1537" max="1537" width="7.140625" style="151" customWidth="1"/>
    <col min="1538" max="1538" width="9" style="151" customWidth="1"/>
    <col min="1539" max="1539" width="7.140625" style="151" customWidth="1"/>
    <col min="1540" max="1540" width="12" style="151" customWidth="1"/>
    <col min="1541" max="1541" width="12.7109375" style="151" customWidth="1"/>
    <col min="1542" max="1553" width="11.140625" style="151" bestFit="1" customWidth="1"/>
    <col min="1554" max="1554" width="12" style="151" bestFit="1" customWidth="1"/>
    <col min="1555" max="1555" width="10" style="151" bestFit="1" customWidth="1"/>
    <col min="1556" max="1574" width="12.7109375" style="151" customWidth="1"/>
    <col min="1575" max="1585" width="9.85546875" style="151" bestFit="1" customWidth="1"/>
    <col min="1586" max="1586" width="11.140625" style="151" bestFit="1" customWidth="1"/>
    <col min="1587" max="1601" width="9.140625" style="151"/>
    <col min="1602" max="1602" width="9.85546875" style="151" bestFit="1" customWidth="1"/>
    <col min="1603" max="1617" width="9.140625" style="151"/>
    <col min="1618" max="1618" width="9.85546875" style="151" bestFit="1" customWidth="1"/>
    <col min="1619" max="1633" width="9.140625" style="151"/>
    <col min="1634" max="1634" width="9.85546875" style="151" bestFit="1" customWidth="1"/>
    <col min="1635" max="1649" width="9.140625" style="151"/>
    <col min="1650" max="1650" width="9.85546875" style="151" bestFit="1" customWidth="1"/>
    <col min="1651" max="1652" width="9.140625" style="151"/>
    <col min="1653" max="1653" width="11" style="151" bestFit="1" customWidth="1"/>
    <col min="1654" max="1658" width="11.140625" style="151" bestFit="1" customWidth="1"/>
    <col min="1659" max="1659" width="9.85546875" style="151" bestFit="1" customWidth="1"/>
    <col min="1660" max="1664" width="11.140625" style="151" bestFit="1" customWidth="1"/>
    <col min="1665" max="1665" width="12" style="151" bestFit="1" customWidth="1"/>
    <col min="1666" max="1666" width="11" style="151" bestFit="1" customWidth="1"/>
    <col min="1667" max="1779" width="9.140625" style="151"/>
    <col min="1780" max="1780" width="8.28515625" style="151" bestFit="1" customWidth="1"/>
    <col min="1781" max="1781" width="26" style="151" bestFit="1" customWidth="1"/>
    <col min="1782" max="1782" width="12" style="151" customWidth="1"/>
    <col min="1783" max="1783" width="8.140625" style="151" customWidth="1"/>
    <col min="1784" max="1784" width="11.140625" style="151" customWidth="1"/>
    <col min="1785" max="1785" width="8.28515625" style="151" customWidth="1"/>
    <col min="1786" max="1786" width="9.85546875" style="151" customWidth="1"/>
    <col min="1787" max="1787" width="8" style="151" customWidth="1"/>
    <col min="1788" max="1788" width="9.85546875" style="151" customWidth="1"/>
    <col min="1789" max="1789" width="6" style="151" customWidth="1"/>
    <col min="1790" max="1790" width="11.140625" style="151" customWidth="1"/>
    <col min="1791" max="1791" width="6.85546875" style="151" customWidth="1"/>
    <col min="1792" max="1792" width="11.7109375" style="151" customWidth="1"/>
    <col min="1793" max="1793" width="7.140625" style="151" customWidth="1"/>
    <col min="1794" max="1794" width="9" style="151" customWidth="1"/>
    <col min="1795" max="1795" width="7.140625" style="151" customWidth="1"/>
    <col min="1796" max="1796" width="12" style="151" customWidth="1"/>
    <col min="1797" max="1797" width="12.7109375" style="151" customWidth="1"/>
    <col min="1798" max="1809" width="11.140625" style="151" bestFit="1" customWidth="1"/>
    <col min="1810" max="1810" width="12" style="151" bestFit="1" customWidth="1"/>
    <col min="1811" max="1811" width="10" style="151" bestFit="1" customWidth="1"/>
    <col min="1812" max="1830" width="12.7109375" style="151" customWidth="1"/>
    <col min="1831" max="1841" width="9.85546875" style="151" bestFit="1" customWidth="1"/>
    <col min="1842" max="1842" width="11.140625" style="151" bestFit="1" customWidth="1"/>
    <col min="1843" max="1857" width="9.140625" style="151"/>
    <col min="1858" max="1858" width="9.85546875" style="151" bestFit="1" customWidth="1"/>
    <col min="1859" max="1873" width="9.140625" style="151"/>
    <col min="1874" max="1874" width="9.85546875" style="151" bestFit="1" customWidth="1"/>
    <col min="1875" max="1889" width="9.140625" style="151"/>
    <col min="1890" max="1890" width="9.85546875" style="151" bestFit="1" customWidth="1"/>
    <col min="1891" max="1905" width="9.140625" style="151"/>
    <col min="1906" max="1906" width="9.85546875" style="151" bestFit="1" customWidth="1"/>
    <col min="1907" max="1908" width="9.140625" style="151"/>
    <col min="1909" max="1909" width="11" style="151" bestFit="1" customWidth="1"/>
    <col min="1910" max="1914" width="11.140625" style="151" bestFit="1" customWidth="1"/>
    <col min="1915" max="1915" width="9.85546875" style="151" bestFit="1" customWidth="1"/>
    <col min="1916" max="1920" width="11.140625" style="151" bestFit="1" customWidth="1"/>
    <col min="1921" max="1921" width="12" style="151" bestFit="1" customWidth="1"/>
    <col min="1922" max="1922" width="11" style="151" bestFit="1" customWidth="1"/>
    <col min="1923" max="2035" width="9.140625" style="151"/>
    <col min="2036" max="2036" width="8.28515625" style="151" bestFit="1" customWidth="1"/>
    <col min="2037" max="2037" width="26" style="151" bestFit="1" customWidth="1"/>
    <col min="2038" max="2038" width="12" style="151" customWidth="1"/>
    <col min="2039" max="2039" width="8.140625" style="151" customWidth="1"/>
    <col min="2040" max="2040" width="11.140625" style="151" customWidth="1"/>
    <col min="2041" max="2041" width="8.28515625" style="151" customWidth="1"/>
    <col min="2042" max="2042" width="9.85546875" style="151" customWidth="1"/>
    <col min="2043" max="2043" width="8" style="151" customWidth="1"/>
    <col min="2044" max="2044" width="9.85546875" style="151" customWidth="1"/>
    <col min="2045" max="2045" width="6" style="151" customWidth="1"/>
    <col min="2046" max="2046" width="11.140625" style="151" customWidth="1"/>
    <col min="2047" max="2047" width="6.85546875" style="151" customWidth="1"/>
    <col min="2048" max="2048" width="11.7109375" style="151" customWidth="1"/>
    <col min="2049" max="2049" width="7.140625" style="151" customWidth="1"/>
    <col min="2050" max="2050" width="9" style="151" customWidth="1"/>
    <col min="2051" max="2051" width="7.140625" style="151" customWidth="1"/>
    <col min="2052" max="2052" width="12" style="151" customWidth="1"/>
    <col min="2053" max="2053" width="12.7109375" style="151" customWidth="1"/>
    <col min="2054" max="2065" width="11.140625" style="151" bestFit="1" customWidth="1"/>
    <col min="2066" max="2066" width="12" style="151" bestFit="1" customWidth="1"/>
    <col min="2067" max="2067" width="10" style="151" bestFit="1" customWidth="1"/>
    <col min="2068" max="2086" width="12.7109375" style="151" customWidth="1"/>
    <col min="2087" max="2097" width="9.85546875" style="151" bestFit="1" customWidth="1"/>
    <col min="2098" max="2098" width="11.140625" style="151" bestFit="1" customWidth="1"/>
    <col min="2099" max="2113" width="9.140625" style="151"/>
    <col min="2114" max="2114" width="9.85546875" style="151" bestFit="1" customWidth="1"/>
    <col min="2115" max="2129" width="9.140625" style="151"/>
    <col min="2130" max="2130" width="9.85546875" style="151" bestFit="1" customWidth="1"/>
    <col min="2131" max="2145" width="9.140625" style="151"/>
    <col min="2146" max="2146" width="9.85546875" style="151" bestFit="1" customWidth="1"/>
    <col min="2147" max="2161" width="9.140625" style="151"/>
    <col min="2162" max="2162" width="9.85546875" style="151" bestFit="1" customWidth="1"/>
    <col min="2163" max="2164" width="9.140625" style="151"/>
    <col min="2165" max="2165" width="11" style="151" bestFit="1" customWidth="1"/>
    <col min="2166" max="2170" width="11.140625" style="151" bestFit="1" customWidth="1"/>
    <col min="2171" max="2171" width="9.85546875" style="151" bestFit="1" customWidth="1"/>
    <col min="2172" max="2176" width="11.140625" style="151" bestFit="1" customWidth="1"/>
    <col min="2177" max="2177" width="12" style="151" bestFit="1" customWidth="1"/>
    <col min="2178" max="2178" width="11" style="151" bestFit="1" customWidth="1"/>
    <col min="2179" max="2291" width="9.140625" style="151"/>
    <col min="2292" max="2292" width="8.28515625" style="151" bestFit="1" customWidth="1"/>
    <col min="2293" max="2293" width="26" style="151" bestFit="1" customWidth="1"/>
    <col min="2294" max="2294" width="12" style="151" customWidth="1"/>
    <col min="2295" max="2295" width="8.140625" style="151" customWidth="1"/>
    <col min="2296" max="2296" width="11.140625" style="151" customWidth="1"/>
    <col min="2297" max="2297" width="8.28515625" style="151" customWidth="1"/>
    <col min="2298" max="2298" width="9.85546875" style="151" customWidth="1"/>
    <col min="2299" max="2299" width="8" style="151" customWidth="1"/>
    <col min="2300" max="2300" width="9.85546875" style="151" customWidth="1"/>
    <col min="2301" max="2301" width="6" style="151" customWidth="1"/>
    <col min="2302" max="2302" width="11.140625" style="151" customWidth="1"/>
    <col min="2303" max="2303" width="6.85546875" style="151" customWidth="1"/>
    <col min="2304" max="2304" width="11.7109375" style="151" customWidth="1"/>
    <col min="2305" max="2305" width="7.140625" style="151" customWidth="1"/>
    <col min="2306" max="2306" width="9" style="151" customWidth="1"/>
    <col min="2307" max="2307" width="7.140625" style="151" customWidth="1"/>
    <col min="2308" max="2308" width="12" style="151" customWidth="1"/>
    <col min="2309" max="2309" width="12.7109375" style="151" customWidth="1"/>
    <col min="2310" max="2321" width="11.140625" style="151" bestFit="1" customWidth="1"/>
    <col min="2322" max="2322" width="12" style="151" bestFit="1" customWidth="1"/>
    <col min="2323" max="2323" width="10" style="151" bestFit="1" customWidth="1"/>
    <col min="2324" max="2342" width="12.7109375" style="151" customWidth="1"/>
    <col min="2343" max="2353" width="9.85546875" style="151" bestFit="1" customWidth="1"/>
    <col min="2354" max="2354" width="11.140625" style="151" bestFit="1" customWidth="1"/>
    <col min="2355" max="2369" width="9.140625" style="151"/>
    <col min="2370" max="2370" width="9.85546875" style="151" bestFit="1" customWidth="1"/>
    <col min="2371" max="2385" width="9.140625" style="151"/>
    <col min="2386" max="2386" width="9.85546875" style="151" bestFit="1" customWidth="1"/>
    <col min="2387" max="2401" width="9.140625" style="151"/>
    <col min="2402" max="2402" width="9.85546875" style="151" bestFit="1" customWidth="1"/>
    <col min="2403" max="2417" width="9.140625" style="151"/>
    <col min="2418" max="2418" width="9.85546875" style="151" bestFit="1" customWidth="1"/>
    <col min="2419" max="2420" width="9.140625" style="151"/>
    <col min="2421" max="2421" width="11" style="151" bestFit="1" customWidth="1"/>
    <col min="2422" max="2426" width="11.140625" style="151" bestFit="1" customWidth="1"/>
    <col min="2427" max="2427" width="9.85546875" style="151" bestFit="1" customWidth="1"/>
    <col min="2428" max="2432" width="11.140625" style="151" bestFit="1" customWidth="1"/>
    <col min="2433" max="2433" width="12" style="151" bestFit="1" customWidth="1"/>
    <col min="2434" max="2434" width="11" style="151" bestFit="1" customWidth="1"/>
    <col min="2435" max="2547" width="9.140625" style="151"/>
    <col min="2548" max="2548" width="8.28515625" style="151" bestFit="1" customWidth="1"/>
    <col min="2549" max="2549" width="26" style="151" bestFit="1" customWidth="1"/>
    <col min="2550" max="2550" width="12" style="151" customWidth="1"/>
    <col min="2551" max="2551" width="8.140625" style="151" customWidth="1"/>
    <col min="2552" max="2552" width="11.140625" style="151" customWidth="1"/>
    <col min="2553" max="2553" width="8.28515625" style="151" customWidth="1"/>
    <col min="2554" max="2554" width="9.85546875" style="151" customWidth="1"/>
    <col min="2555" max="2555" width="8" style="151" customWidth="1"/>
    <col min="2556" max="2556" width="9.85546875" style="151" customWidth="1"/>
    <col min="2557" max="2557" width="6" style="151" customWidth="1"/>
    <col min="2558" max="2558" width="11.140625" style="151" customWidth="1"/>
    <col min="2559" max="2559" width="6.85546875" style="151" customWidth="1"/>
    <col min="2560" max="2560" width="11.7109375" style="151" customWidth="1"/>
    <col min="2561" max="2561" width="7.140625" style="151" customWidth="1"/>
    <col min="2562" max="2562" width="9" style="151" customWidth="1"/>
    <col min="2563" max="2563" width="7.140625" style="151" customWidth="1"/>
    <col min="2564" max="2564" width="12" style="151" customWidth="1"/>
    <col min="2565" max="2565" width="12.7109375" style="151" customWidth="1"/>
    <col min="2566" max="2577" width="11.140625" style="151" bestFit="1" customWidth="1"/>
    <col min="2578" max="2578" width="12" style="151" bestFit="1" customWidth="1"/>
    <col min="2579" max="2579" width="10" style="151" bestFit="1" customWidth="1"/>
    <col min="2580" max="2598" width="12.7109375" style="151" customWidth="1"/>
    <col min="2599" max="2609" width="9.85546875" style="151" bestFit="1" customWidth="1"/>
    <col min="2610" max="2610" width="11.140625" style="151" bestFit="1" customWidth="1"/>
    <col min="2611" max="2625" width="9.140625" style="151"/>
    <col min="2626" max="2626" width="9.85546875" style="151" bestFit="1" customWidth="1"/>
    <col min="2627" max="2641" width="9.140625" style="151"/>
    <col min="2642" max="2642" width="9.85546875" style="151" bestFit="1" customWidth="1"/>
    <col min="2643" max="2657" width="9.140625" style="151"/>
    <col min="2658" max="2658" width="9.85546875" style="151" bestFit="1" customWidth="1"/>
    <col min="2659" max="2673" width="9.140625" style="151"/>
    <col min="2674" max="2674" width="9.85546875" style="151" bestFit="1" customWidth="1"/>
    <col min="2675" max="2676" width="9.140625" style="151"/>
    <col min="2677" max="2677" width="11" style="151" bestFit="1" customWidth="1"/>
    <col min="2678" max="2682" width="11.140625" style="151" bestFit="1" customWidth="1"/>
    <col min="2683" max="2683" width="9.85546875" style="151" bestFit="1" customWidth="1"/>
    <col min="2684" max="2688" width="11.140625" style="151" bestFit="1" customWidth="1"/>
    <col min="2689" max="2689" width="12" style="151" bestFit="1" customWidth="1"/>
    <col min="2690" max="2690" width="11" style="151" bestFit="1" customWidth="1"/>
    <col min="2691" max="2803" width="9.140625" style="151"/>
    <col min="2804" max="2804" width="8.28515625" style="151" bestFit="1" customWidth="1"/>
    <col min="2805" max="2805" width="26" style="151" bestFit="1" customWidth="1"/>
    <col min="2806" max="2806" width="12" style="151" customWidth="1"/>
    <col min="2807" max="2807" width="8.140625" style="151" customWidth="1"/>
    <col min="2808" max="2808" width="11.140625" style="151" customWidth="1"/>
    <col min="2809" max="2809" width="8.28515625" style="151" customWidth="1"/>
    <col min="2810" max="2810" width="9.85546875" style="151" customWidth="1"/>
    <col min="2811" max="2811" width="8" style="151" customWidth="1"/>
    <col min="2812" max="2812" width="9.85546875" style="151" customWidth="1"/>
    <col min="2813" max="2813" width="6" style="151" customWidth="1"/>
    <col min="2814" max="2814" width="11.140625" style="151" customWidth="1"/>
    <col min="2815" max="2815" width="6.85546875" style="151" customWidth="1"/>
    <col min="2816" max="2816" width="11.7109375" style="151" customWidth="1"/>
    <col min="2817" max="2817" width="7.140625" style="151" customWidth="1"/>
    <col min="2818" max="2818" width="9" style="151" customWidth="1"/>
    <col min="2819" max="2819" width="7.140625" style="151" customWidth="1"/>
    <col min="2820" max="2820" width="12" style="151" customWidth="1"/>
    <col min="2821" max="2821" width="12.7109375" style="151" customWidth="1"/>
    <col min="2822" max="2833" width="11.140625" style="151" bestFit="1" customWidth="1"/>
    <col min="2834" max="2834" width="12" style="151" bestFit="1" customWidth="1"/>
    <col min="2835" max="2835" width="10" style="151" bestFit="1" customWidth="1"/>
    <col min="2836" max="2854" width="12.7109375" style="151" customWidth="1"/>
    <col min="2855" max="2865" width="9.85546875" style="151" bestFit="1" customWidth="1"/>
    <col min="2866" max="2866" width="11.140625" style="151" bestFit="1" customWidth="1"/>
    <col min="2867" max="2881" width="9.140625" style="151"/>
    <col min="2882" max="2882" width="9.85546875" style="151" bestFit="1" customWidth="1"/>
    <col min="2883" max="2897" width="9.140625" style="151"/>
    <col min="2898" max="2898" width="9.85546875" style="151" bestFit="1" customWidth="1"/>
    <col min="2899" max="2913" width="9.140625" style="151"/>
    <col min="2914" max="2914" width="9.85546875" style="151" bestFit="1" customWidth="1"/>
    <col min="2915" max="2929" width="9.140625" style="151"/>
    <col min="2930" max="2930" width="9.85546875" style="151" bestFit="1" customWidth="1"/>
    <col min="2931" max="2932" width="9.140625" style="151"/>
    <col min="2933" max="2933" width="11" style="151" bestFit="1" customWidth="1"/>
    <col min="2934" max="2938" width="11.140625" style="151" bestFit="1" customWidth="1"/>
    <col min="2939" max="2939" width="9.85546875" style="151" bestFit="1" customWidth="1"/>
    <col min="2940" max="2944" width="11.140625" style="151" bestFit="1" customWidth="1"/>
    <col min="2945" max="2945" width="12" style="151" bestFit="1" customWidth="1"/>
    <col min="2946" max="2946" width="11" style="151" bestFit="1" customWidth="1"/>
    <col min="2947" max="3059" width="9.140625" style="151"/>
    <col min="3060" max="3060" width="8.28515625" style="151" bestFit="1" customWidth="1"/>
    <col min="3061" max="3061" width="26" style="151" bestFit="1" customWidth="1"/>
    <col min="3062" max="3062" width="12" style="151" customWidth="1"/>
    <col min="3063" max="3063" width="8.140625" style="151" customWidth="1"/>
    <col min="3064" max="3064" width="11.140625" style="151" customWidth="1"/>
    <col min="3065" max="3065" width="8.28515625" style="151" customWidth="1"/>
    <col min="3066" max="3066" width="9.85546875" style="151" customWidth="1"/>
    <col min="3067" max="3067" width="8" style="151" customWidth="1"/>
    <col min="3068" max="3068" width="9.85546875" style="151" customWidth="1"/>
    <col min="3069" max="3069" width="6" style="151" customWidth="1"/>
    <col min="3070" max="3070" width="11.140625" style="151" customWidth="1"/>
    <col min="3071" max="3071" width="6.85546875" style="151" customWidth="1"/>
    <col min="3072" max="3072" width="11.7109375" style="151" customWidth="1"/>
    <col min="3073" max="3073" width="7.140625" style="151" customWidth="1"/>
    <col min="3074" max="3074" width="9" style="151" customWidth="1"/>
    <col min="3075" max="3075" width="7.140625" style="151" customWidth="1"/>
    <col min="3076" max="3076" width="12" style="151" customWidth="1"/>
    <col min="3077" max="3077" width="12.7109375" style="151" customWidth="1"/>
    <col min="3078" max="3089" width="11.140625" style="151" bestFit="1" customWidth="1"/>
    <col min="3090" max="3090" width="12" style="151" bestFit="1" customWidth="1"/>
    <col min="3091" max="3091" width="10" style="151" bestFit="1" customWidth="1"/>
    <col min="3092" max="3110" width="12.7109375" style="151" customWidth="1"/>
    <col min="3111" max="3121" width="9.85546875" style="151" bestFit="1" customWidth="1"/>
    <col min="3122" max="3122" width="11.140625" style="151" bestFit="1" customWidth="1"/>
    <col min="3123" max="3137" width="9.140625" style="151"/>
    <col min="3138" max="3138" width="9.85546875" style="151" bestFit="1" customWidth="1"/>
    <col min="3139" max="3153" width="9.140625" style="151"/>
    <col min="3154" max="3154" width="9.85546875" style="151" bestFit="1" customWidth="1"/>
    <col min="3155" max="3169" width="9.140625" style="151"/>
    <col min="3170" max="3170" width="9.85546875" style="151" bestFit="1" customWidth="1"/>
    <col min="3171" max="3185" width="9.140625" style="151"/>
    <col min="3186" max="3186" width="9.85546875" style="151" bestFit="1" customWidth="1"/>
    <col min="3187" max="3188" width="9.140625" style="151"/>
    <col min="3189" max="3189" width="11" style="151" bestFit="1" customWidth="1"/>
    <col min="3190" max="3194" width="11.140625" style="151" bestFit="1" customWidth="1"/>
    <col min="3195" max="3195" width="9.85546875" style="151" bestFit="1" customWidth="1"/>
    <col min="3196" max="3200" width="11.140625" style="151" bestFit="1" customWidth="1"/>
    <col min="3201" max="3201" width="12" style="151" bestFit="1" customWidth="1"/>
    <col min="3202" max="3202" width="11" style="151" bestFit="1" customWidth="1"/>
    <col min="3203" max="3315" width="9.140625" style="151"/>
    <col min="3316" max="3316" width="8.28515625" style="151" bestFit="1" customWidth="1"/>
    <col min="3317" max="3317" width="26" style="151" bestFit="1" customWidth="1"/>
    <col min="3318" max="3318" width="12" style="151" customWidth="1"/>
    <col min="3319" max="3319" width="8.140625" style="151" customWidth="1"/>
    <col min="3320" max="3320" width="11.140625" style="151" customWidth="1"/>
    <col min="3321" max="3321" width="8.28515625" style="151" customWidth="1"/>
    <col min="3322" max="3322" width="9.85546875" style="151" customWidth="1"/>
    <col min="3323" max="3323" width="8" style="151" customWidth="1"/>
    <col min="3324" max="3324" width="9.85546875" style="151" customWidth="1"/>
    <col min="3325" max="3325" width="6" style="151" customWidth="1"/>
    <col min="3326" max="3326" width="11.140625" style="151" customWidth="1"/>
    <col min="3327" max="3327" width="6.85546875" style="151" customWidth="1"/>
    <col min="3328" max="3328" width="11.7109375" style="151" customWidth="1"/>
    <col min="3329" max="3329" width="7.140625" style="151" customWidth="1"/>
    <col min="3330" max="3330" width="9" style="151" customWidth="1"/>
    <col min="3331" max="3331" width="7.140625" style="151" customWidth="1"/>
    <col min="3332" max="3332" width="12" style="151" customWidth="1"/>
    <col min="3333" max="3333" width="12.7109375" style="151" customWidth="1"/>
    <col min="3334" max="3345" width="11.140625" style="151" bestFit="1" customWidth="1"/>
    <col min="3346" max="3346" width="12" style="151" bestFit="1" customWidth="1"/>
    <col min="3347" max="3347" width="10" style="151" bestFit="1" customWidth="1"/>
    <col min="3348" max="3366" width="12.7109375" style="151" customWidth="1"/>
    <col min="3367" max="3377" width="9.85546875" style="151" bestFit="1" customWidth="1"/>
    <col min="3378" max="3378" width="11.140625" style="151" bestFit="1" customWidth="1"/>
    <col min="3379" max="3393" width="9.140625" style="151"/>
    <col min="3394" max="3394" width="9.85546875" style="151" bestFit="1" customWidth="1"/>
    <col min="3395" max="3409" width="9.140625" style="151"/>
    <col min="3410" max="3410" width="9.85546875" style="151" bestFit="1" customWidth="1"/>
    <col min="3411" max="3425" width="9.140625" style="151"/>
    <col min="3426" max="3426" width="9.85546875" style="151" bestFit="1" customWidth="1"/>
    <col min="3427" max="3441" width="9.140625" style="151"/>
    <col min="3442" max="3442" width="9.85546875" style="151" bestFit="1" customWidth="1"/>
    <col min="3443" max="3444" width="9.140625" style="151"/>
    <col min="3445" max="3445" width="11" style="151" bestFit="1" customWidth="1"/>
    <col min="3446" max="3450" width="11.140625" style="151" bestFit="1" customWidth="1"/>
    <col min="3451" max="3451" width="9.85546875" style="151" bestFit="1" customWidth="1"/>
    <col min="3452" max="3456" width="11.140625" style="151" bestFit="1" customWidth="1"/>
    <col min="3457" max="3457" width="12" style="151" bestFit="1" customWidth="1"/>
    <col min="3458" max="3458" width="11" style="151" bestFit="1" customWidth="1"/>
    <col min="3459" max="3571" width="9.140625" style="151"/>
    <col min="3572" max="3572" width="8.28515625" style="151" bestFit="1" customWidth="1"/>
    <col min="3573" max="3573" width="26" style="151" bestFit="1" customWidth="1"/>
    <col min="3574" max="3574" width="12" style="151" customWidth="1"/>
    <col min="3575" max="3575" width="8.140625" style="151" customWidth="1"/>
    <col min="3576" max="3576" width="11.140625" style="151" customWidth="1"/>
    <col min="3577" max="3577" width="8.28515625" style="151" customWidth="1"/>
    <col min="3578" max="3578" width="9.85546875" style="151" customWidth="1"/>
    <col min="3579" max="3579" width="8" style="151" customWidth="1"/>
    <col min="3580" max="3580" width="9.85546875" style="151" customWidth="1"/>
    <col min="3581" max="3581" width="6" style="151" customWidth="1"/>
    <col min="3582" max="3582" width="11.140625" style="151" customWidth="1"/>
    <col min="3583" max="3583" width="6.85546875" style="151" customWidth="1"/>
    <col min="3584" max="3584" width="11.7109375" style="151" customWidth="1"/>
    <col min="3585" max="3585" width="7.140625" style="151" customWidth="1"/>
    <col min="3586" max="3586" width="9" style="151" customWidth="1"/>
    <col min="3587" max="3587" width="7.140625" style="151" customWidth="1"/>
    <col min="3588" max="3588" width="12" style="151" customWidth="1"/>
    <col min="3589" max="3589" width="12.7109375" style="151" customWidth="1"/>
    <col min="3590" max="3601" width="11.140625" style="151" bestFit="1" customWidth="1"/>
    <col min="3602" max="3602" width="12" style="151" bestFit="1" customWidth="1"/>
    <col min="3603" max="3603" width="10" style="151" bestFit="1" customWidth="1"/>
    <col min="3604" max="3622" width="12.7109375" style="151" customWidth="1"/>
    <col min="3623" max="3633" width="9.85546875" style="151" bestFit="1" customWidth="1"/>
    <col min="3634" max="3634" width="11.140625" style="151" bestFit="1" customWidth="1"/>
    <col min="3635" max="3649" width="9.140625" style="151"/>
    <col min="3650" max="3650" width="9.85546875" style="151" bestFit="1" customWidth="1"/>
    <col min="3651" max="3665" width="9.140625" style="151"/>
    <col min="3666" max="3666" width="9.85546875" style="151" bestFit="1" customWidth="1"/>
    <col min="3667" max="3681" width="9.140625" style="151"/>
    <col min="3682" max="3682" width="9.85546875" style="151" bestFit="1" customWidth="1"/>
    <col min="3683" max="3697" width="9.140625" style="151"/>
    <col min="3698" max="3698" width="9.85546875" style="151" bestFit="1" customWidth="1"/>
    <col min="3699" max="3700" width="9.140625" style="151"/>
    <col min="3701" max="3701" width="11" style="151" bestFit="1" customWidth="1"/>
    <col min="3702" max="3706" width="11.140625" style="151" bestFit="1" customWidth="1"/>
    <col min="3707" max="3707" width="9.85546875" style="151" bestFit="1" customWidth="1"/>
    <col min="3708" max="3712" width="11.140625" style="151" bestFit="1" customWidth="1"/>
    <col min="3713" max="3713" width="12" style="151" bestFit="1" customWidth="1"/>
    <col min="3714" max="3714" width="11" style="151" bestFit="1" customWidth="1"/>
    <col min="3715" max="3827" width="9.140625" style="151"/>
    <col min="3828" max="3828" width="8.28515625" style="151" bestFit="1" customWidth="1"/>
    <col min="3829" max="3829" width="26" style="151" bestFit="1" customWidth="1"/>
    <col min="3830" max="3830" width="12" style="151" customWidth="1"/>
    <col min="3831" max="3831" width="8.140625" style="151" customWidth="1"/>
    <col min="3832" max="3832" width="11.140625" style="151" customWidth="1"/>
    <col min="3833" max="3833" width="8.28515625" style="151" customWidth="1"/>
    <col min="3834" max="3834" width="9.85546875" style="151" customWidth="1"/>
    <col min="3835" max="3835" width="8" style="151" customWidth="1"/>
    <col min="3836" max="3836" width="9.85546875" style="151" customWidth="1"/>
    <col min="3837" max="3837" width="6" style="151" customWidth="1"/>
    <col min="3838" max="3838" width="11.140625" style="151" customWidth="1"/>
    <col min="3839" max="3839" width="6.85546875" style="151" customWidth="1"/>
    <col min="3840" max="3840" width="11.7109375" style="151" customWidth="1"/>
    <col min="3841" max="3841" width="7.140625" style="151" customWidth="1"/>
    <col min="3842" max="3842" width="9" style="151" customWidth="1"/>
    <col min="3843" max="3843" width="7.140625" style="151" customWidth="1"/>
    <col min="3844" max="3844" width="12" style="151" customWidth="1"/>
    <col min="3845" max="3845" width="12.7109375" style="151" customWidth="1"/>
    <col min="3846" max="3857" width="11.140625" style="151" bestFit="1" customWidth="1"/>
    <col min="3858" max="3858" width="12" style="151" bestFit="1" customWidth="1"/>
    <col min="3859" max="3859" width="10" style="151" bestFit="1" customWidth="1"/>
    <col min="3860" max="3878" width="12.7109375" style="151" customWidth="1"/>
    <col min="3879" max="3889" width="9.85546875" style="151" bestFit="1" customWidth="1"/>
    <col min="3890" max="3890" width="11.140625" style="151" bestFit="1" customWidth="1"/>
    <col min="3891" max="3905" width="9.140625" style="151"/>
    <col min="3906" max="3906" width="9.85546875" style="151" bestFit="1" customWidth="1"/>
    <col min="3907" max="3921" width="9.140625" style="151"/>
    <col min="3922" max="3922" width="9.85546875" style="151" bestFit="1" customWidth="1"/>
    <col min="3923" max="3937" width="9.140625" style="151"/>
    <col min="3938" max="3938" width="9.85546875" style="151" bestFit="1" customWidth="1"/>
    <col min="3939" max="3953" width="9.140625" style="151"/>
    <col min="3954" max="3954" width="9.85546875" style="151" bestFit="1" customWidth="1"/>
    <col min="3955" max="3956" width="9.140625" style="151"/>
    <col min="3957" max="3957" width="11" style="151" bestFit="1" customWidth="1"/>
    <col min="3958" max="3962" width="11.140625" style="151" bestFit="1" customWidth="1"/>
    <col min="3963" max="3963" width="9.85546875" style="151" bestFit="1" customWidth="1"/>
    <col min="3964" max="3968" width="11.140625" style="151" bestFit="1" customWidth="1"/>
    <col min="3969" max="3969" width="12" style="151" bestFit="1" customWidth="1"/>
    <col min="3970" max="3970" width="11" style="151" bestFit="1" customWidth="1"/>
    <col min="3971" max="4083" width="9.140625" style="151"/>
    <col min="4084" max="4084" width="8.28515625" style="151" bestFit="1" customWidth="1"/>
    <col min="4085" max="4085" width="26" style="151" bestFit="1" customWidth="1"/>
    <col min="4086" max="4086" width="12" style="151" customWidth="1"/>
    <col min="4087" max="4087" width="8.140625" style="151" customWidth="1"/>
    <col min="4088" max="4088" width="11.140625" style="151" customWidth="1"/>
    <col min="4089" max="4089" width="8.28515625" style="151" customWidth="1"/>
    <col min="4090" max="4090" width="9.85546875" style="151" customWidth="1"/>
    <col min="4091" max="4091" width="8" style="151" customWidth="1"/>
    <col min="4092" max="4092" width="9.85546875" style="151" customWidth="1"/>
    <col min="4093" max="4093" width="6" style="151" customWidth="1"/>
    <col min="4094" max="4094" width="11.140625" style="151" customWidth="1"/>
    <col min="4095" max="4095" width="6.85546875" style="151" customWidth="1"/>
    <col min="4096" max="4096" width="11.7109375" style="151" customWidth="1"/>
    <col min="4097" max="4097" width="7.140625" style="151" customWidth="1"/>
    <col min="4098" max="4098" width="9" style="151" customWidth="1"/>
    <col min="4099" max="4099" width="7.140625" style="151" customWidth="1"/>
    <col min="4100" max="4100" width="12" style="151" customWidth="1"/>
    <col min="4101" max="4101" width="12.7109375" style="151" customWidth="1"/>
    <col min="4102" max="4113" width="11.140625" style="151" bestFit="1" customWidth="1"/>
    <col min="4114" max="4114" width="12" style="151" bestFit="1" customWidth="1"/>
    <col min="4115" max="4115" width="10" style="151" bestFit="1" customWidth="1"/>
    <col min="4116" max="4134" width="12.7109375" style="151" customWidth="1"/>
    <col min="4135" max="4145" width="9.85546875" style="151" bestFit="1" customWidth="1"/>
    <col min="4146" max="4146" width="11.140625" style="151" bestFit="1" customWidth="1"/>
    <col min="4147" max="4161" width="9.140625" style="151"/>
    <col min="4162" max="4162" width="9.85546875" style="151" bestFit="1" customWidth="1"/>
    <col min="4163" max="4177" width="9.140625" style="151"/>
    <col min="4178" max="4178" width="9.85546875" style="151" bestFit="1" customWidth="1"/>
    <col min="4179" max="4193" width="9.140625" style="151"/>
    <col min="4194" max="4194" width="9.85546875" style="151" bestFit="1" customWidth="1"/>
    <col min="4195" max="4209" width="9.140625" style="151"/>
    <col min="4210" max="4210" width="9.85546875" style="151" bestFit="1" customWidth="1"/>
    <col min="4211" max="4212" width="9.140625" style="151"/>
    <col min="4213" max="4213" width="11" style="151" bestFit="1" customWidth="1"/>
    <col min="4214" max="4218" width="11.140625" style="151" bestFit="1" customWidth="1"/>
    <col min="4219" max="4219" width="9.85546875" style="151" bestFit="1" customWidth="1"/>
    <col min="4220" max="4224" width="11.140625" style="151" bestFit="1" customWidth="1"/>
    <col min="4225" max="4225" width="12" style="151" bestFit="1" customWidth="1"/>
    <col min="4226" max="4226" width="11" style="151" bestFit="1" customWidth="1"/>
    <col min="4227" max="4339" width="9.140625" style="151"/>
    <col min="4340" max="4340" width="8.28515625" style="151" bestFit="1" customWidth="1"/>
    <col min="4341" max="4341" width="26" style="151" bestFit="1" customWidth="1"/>
    <col min="4342" max="4342" width="12" style="151" customWidth="1"/>
    <col min="4343" max="4343" width="8.140625" style="151" customWidth="1"/>
    <col min="4344" max="4344" width="11.140625" style="151" customWidth="1"/>
    <col min="4345" max="4345" width="8.28515625" style="151" customWidth="1"/>
    <col min="4346" max="4346" width="9.85546875" style="151" customWidth="1"/>
    <col min="4347" max="4347" width="8" style="151" customWidth="1"/>
    <col min="4348" max="4348" width="9.85546875" style="151" customWidth="1"/>
    <col min="4349" max="4349" width="6" style="151" customWidth="1"/>
    <col min="4350" max="4350" width="11.140625" style="151" customWidth="1"/>
    <col min="4351" max="4351" width="6.85546875" style="151" customWidth="1"/>
    <col min="4352" max="4352" width="11.7109375" style="151" customWidth="1"/>
    <col min="4353" max="4353" width="7.140625" style="151" customWidth="1"/>
    <col min="4354" max="4354" width="9" style="151" customWidth="1"/>
    <col min="4355" max="4355" width="7.140625" style="151" customWidth="1"/>
    <col min="4356" max="4356" width="12" style="151" customWidth="1"/>
    <col min="4357" max="4357" width="12.7109375" style="151" customWidth="1"/>
    <col min="4358" max="4369" width="11.140625" style="151" bestFit="1" customWidth="1"/>
    <col min="4370" max="4370" width="12" style="151" bestFit="1" customWidth="1"/>
    <col min="4371" max="4371" width="10" style="151" bestFit="1" customWidth="1"/>
    <col min="4372" max="4390" width="12.7109375" style="151" customWidth="1"/>
    <col min="4391" max="4401" width="9.85546875" style="151" bestFit="1" customWidth="1"/>
    <col min="4402" max="4402" width="11.140625" style="151" bestFit="1" customWidth="1"/>
    <col min="4403" max="4417" width="9.140625" style="151"/>
    <col min="4418" max="4418" width="9.85546875" style="151" bestFit="1" customWidth="1"/>
    <col min="4419" max="4433" width="9.140625" style="151"/>
    <col min="4434" max="4434" width="9.85546875" style="151" bestFit="1" customWidth="1"/>
    <col min="4435" max="4449" width="9.140625" style="151"/>
    <col min="4450" max="4450" width="9.85546875" style="151" bestFit="1" customWidth="1"/>
    <col min="4451" max="4465" width="9.140625" style="151"/>
    <col min="4466" max="4466" width="9.85546875" style="151" bestFit="1" customWidth="1"/>
    <col min="4467" max="4468" width="9.140625" style="151"/>
    <col min="4469" max="4469" width="11" style="151" bestFit="1" customWidth="1"/>
    <col min="4470" max="4474" width="11.140625" style="151" bestFit="1" customWidth="1"/>
    <col min="4475" max="4475" width="9.85546875" style="151" bestFit="1" customWidth="1"/>
    <col min="4476" max="4480" width="11.140625" style="151" bestFit="1" customWidth="1"/>
    <col min="4481" max="4481" width="12" style="151" bestFit="1" customWidth="1"/>
    <col min="4482" max="4482" width="11" style="151" bestFit="1" customWidth="1"/>
    <col min="4483" max="4595" width="9.140625" style="151"/>
    <col min="4596" max="4596" width="8.28515625" style="151" bestFit="1" customWidth="1"/>
    <col min="4597" max="4597" width="26" style="151" bestFit="1" customWidth="1"/>
    <col min="4598" max="4598" width="12" style="151" customWidth="1"/>
    <col min="4599" max="4599" width="8.140625" style="151" customWidth="1"/>
    <col min="4600" max="4600" width="11.140625" style="151" customWidth="1"/>
    <col min="4601" max="4601" width="8.28515625" style="151" customWidth="1"/>
    <col min="4602" max="4602" width="9.85546875" style="151" customWidth="1"/>
    <col min="4603" max="4603" width="8" style="151" customWidth="1"/>
    <col min="4604" max="4604" width="9.85546875" style="151" customWidth="1"/>
    <col min="4605" max="4605" width="6" style="151" customWidth="1"/>
    <col min="4606" max="4606" width="11.140625" style="151" customWidth="1"/>
    <col min="4607" max="4607" width="6.85546875" style="151" customWidth="1"/>
    <col min="4608" max="4608" width="11.7109375" style="151" customWidth="1"/>
    <col min="4609" max="4609" width="7.140625" style="151" customWidth="1"/>
    <col min="4610" max="4610" width="9" style="151" customWidth="1"/>
    <col min="4611" max="4611" width="7.140625" style="151" customWidth="1"/>
    <col min="4612" max="4612" width="12" style="151" customWidth="1"/>
    <col min="4613" max="4613" width="12.7109375" style="151" customWidth="1"/>
    <col min="4614" max="4625" width="11.140625" style="151" bestFit="1" customWidth="1"/>
    <col min="4626" max="4626" width="12" style="151" bestFit="1" customWidth="1"/>
    <col min="4627" max="4627" width="10" style="151" bestFit="1" customWidth="1"/>
    <col min="4628" max="4646" width="12.7109375" style="151" customWidth="1"/>
    <col min="4647" max="4657" width="9.85546875" style="151" bestFit="1" customWidth="1"/>
    <col min="4658" max="4658" width="11.140625" style="151" bestFit="1" customWidth="1"/>
    <col min="4659" max="4673" width="9.140625" style="151"/>
    <col min="4674" max="4674" width="9.85546875" style="151" bestFit="1" customWidth="1"/>
    <col min="4675" max="4689" width="9.140625" style="151"/>
    <col min="4690" max="4690" width="9.85546875" style="151" bestFit="1" customWidth="1"/>
    <col min="4691" max="4705" width="9.140625" style="151"/>
    <col min="4706" max="4706" width="9.85546875" style="151" bestFit="1" customWidth="1"/>
    <col min="4707" max="4721" width="9.140625" style="151"/>
    <col min="4722" max="4722" width="9.85546875" style="151" bestFit="1" customWidth="1"/>
    <col min="4723" max="4724" width="9.140625" style="151"/>
    <col min="4725" max="4725" width="11" style="151" bestFit="1" customWidth="1"/>
    <col min="4726" max="4730" width="11.140625" style="151" bestFit="1" customWidth="1"/>
    <col min="4731" max="4731" width="9.85546875" style="151" bestFit="1" customWidth="1"/>
    <col min="4732" max="4736" width="11.140625" style="151" bestFit="1" customWidth="1"/>
    <col min="4737" max="4737" width="12" style="151" bestFit="1" customWidth="1"/>
    <col min="4738" max="4738" width="11" style="151" bestFit="1" customWidth="1"/>
    <col min="4739" max="4851" width="9.140625" style="151"/>
    <col min="4852" max="4852" width="8.28515625" style="151" bestFit="1" customWidth="1"/>
    <col min="4853" max="4853" width="26" style="151" bestFit="1" customWidth="1"/>
    <col min="4854" max="4854" width="12" style="151" customWidth="1"/>
    <col min="4855" max="4855" width="8.140625" style="151" customWidth="1"/>
    <col min="4856" max="4856" width="11.140625" style="151" customWidth="1"/>
    <col min="4857" max="4857" width="8.28515625" style="151" customWidth="1"/>
    <col min="4858" max="4858" width="9.85546875" style="151" customWidth="1"/>
    <col min="4859" max="4859" width="8" style="151" customWidth="1"/>
    <col min="4860" max="4860" width="9.85546875" style="151" customWidth="1"/>
    <col min="4861" max="4861" width="6" style="151" customWidth="1"/>
    <col min="4862" max="4862" width="11.140625" style="151" customWidth="1"/>
    <col min="4863" max="4863" width="6.85546875" style="151" customWidth="1"/>
    <col min="4864" max="4864" width="11.7109375" style="151" customWidth="1"/>
    <col min="4865" max="4865" width="7.140625" style="151" customWidth="1"/>
    <col min="4866" max="4866" width="9" style="151" customWidth="1"/>
    <col min="4867" max="4867" width="7.140625" style="151" customWidth="1"/>
    <col min="4868" max="4868" width="12" style="151" customWidth="1"/>
    <col min="4869" max="4869" width="12.7109375" style="151" customWidth="1"/>
    <col min="4870" max="4881" width="11.140625" style="151" bestFit="1" customWidth="1"/>
    <col min="4882" max="4882" width="12" style="151" bestFit="1" customWidth="1"/>
    <col min="4883" max="4883" width="10" style="151" bestFit="1" customWidth="1"/>
    <col min="4884" max="4902" width="12.7109375" style="151" customWidth="1"/>
    <col min="4903" max="4913" width="9.85546875" style="151" bestFit="1" customWidth="1"/>
    <col min="4914" max="4914" width="11.140625" style="151" bestFit="1" customWidth="1"/>
    <col min="4915" max="4929" width="9.140625" style="151"/>
    <col min="4930" max="4930" width="9.85546875" style="151" bestFit="1" customWidth="1"/>
    <col min="4931" max="4945" width="9.140625" style="151"/>
    <col min="4946" max="4946" width="9.85546875" style="151" bestFit="1" customWidth="1"/>
    <col min="4947" max="4961" width="9.140625" style="151"/>
    <col min="4962" max="4962" width="9.85546875" style="151" bestFit="1" customWidth="1"/>
    <col min="4963" max="4977" width="9.140625" style="151"/>
    <col min="4978" max="4978" width="9.85546875" style="151" bestFit="1" customWidth="1"/>
    <col min="4979" max="4980" width="9.140625" style="151"/>
    <col min="4981" max="4981" width="11" style="151" bestFit="1" customWidth="1"/>
    <col min="4982" max="4986" width="11.140625" style="151" bestFit="1" customWidth="1"/>
    <col min="4987" max="4987" width="9.85546875" style="151" bestFit="1" customWidth="1"/>
    <col min="4988" max="4992" width="11.140625" style="151" bestFit="1" customWidth="1"/>
    <col min="4993" max="4993" width="12" style="151" bestFit="1" customWidth="1"/>
    <col min="4994" max="4994" width="11" style="151" bestFit="1" customWidth="1"/>
    <col min="4995" max="5107" width="9.140625" style="151"/>
    <col min="5108" max="5108" width="8.28515625" style="151" bestFit="1" customWidth="1"/>
    <col min="5109" max="5109" width="26" style="151" bestFit="1" customWidth="1"/>
    <col min="5110" max="5110" width="12" style="151" customWidth="1"/>
    <col min="5111" max="5111" width="8.140625" style="151" customWidth="1"/>
    <col min="5112" max="5112" width="11.140625" style="151" customWidth="1"/>
    <col min="5113" max="5113" width="8.28515625" style="151" customWidth="1"/>
    <col min="5114" max="5114" width="9.85546875" style="151" customWidth="1"/>
    <col min="5115" max="5115" width="8" style="151" customWidth="1"/>
    <col min="5116" max="5116" width="9.85546875" style="151" customWidth="1"/>
    <col min="5117" max="5117" width="6" style="151" customWidth="1"/>
    <col min="5118" max="5118" width="11.140625" style="151" customWidth="1"/>
    <col min="5119" max="5119" width="6.85546875" style="151" customWidth="1"/>
    <col min="5120" max="5120" width="11.7109375" style="151" customWidth="1"/>
    <col min="5121" max="5121" width="7.140625" style="151" customWidth="1"/>
    <col min="5122" max="5122" width="9" style="151" customWidth="1"/>
    <col min="5123" max="5123" width="7.140625" style="151" customWidth="1"/>
    <col min="5124" max="5124" width="12" style="151" customWidth="1"/>
    <col min="5125" max="5125" width="12.7109375" style="151" customWidth="1"/>
    <col min="5126" max="5137" width="11.140625" style="151" bestFit="1" customWidth="1"/>
    <col min="5138" max="5138" width="12" style="151" bestFit="1" customWidth="1"/>
    <col min="5139" max="5139" width="10" style="151" bestFit="1" customWidth="1"/>
    <col min="5140" max="5158" width="12.7109375" style="151" customWidth="1"/>
    <col min="5159" max="5169" width="9.85546875" style="151" bestFit="1" customWidth="1"/>
    <col min="5170" max="5170" width="11.140625" style="151" bestFit="1" customWidth="1"/>
    <col min="5171" max="5185" width="9.140625" style="151"/>
    <col min="5186" max="5186" width="9.85546875" style="151" bestFit="1" customWidth="1"/>
    <col min="5187" max="5201" width="9.140625" style="151"/>
    <col min="5202" max="5202" width="9.85546875" style="151" bestFit="1" customWidth="1"/>
    <col min="5203" max="5217" width="9.140625" style="151"/>
    <col min="5218" max="5218" width="9.85546875" style="151" bestFit="1" customWidth="1"/>
    <col min="5219" max="5233" width="9.140625" style="151"/>
    <col min="5234" max="5234" width="9.85546875" style="151" bestFit="1" customWidth="1"/>
    <col min="5235" max="5236" width="9.140625" style="151"/>
    <col min="5237" max="5237" width="11" style="151" bestFit="1" customWidth="1"/>
    <col min="5238" max="5242" width="11.140625" style="151" bestFit="1" customWidth="1"/>
    <col min="5243" max="5243" width="9.85546875" style="151" bestFit="1" customWidth="1"/>
    <col min="5244" max="5248" width="11.140625" style="151" bestFit="1" customWidth="1"/>
    <col min="5249" max="5249" width="12" style="151" bestFit="1" customWidth="1"/>
    <col min="5250" max="5250" width="11" style="151" bestFit="1" customWidth="1"/>
    <col min="5251" max="5363" width="9.140625" style="151"/>
    <col min="5364" max="5364" width="8.28515625" style="151" bestFit="1" customWidth="1"/>
    <col min="5365" max="5365" width="26" style="151" bestFit="1" customWidth="1"/>
    <col min="5366" max="5366" width="12" style="151" customWidth="1"/>
    <col min="5367" max="5367" width="8.140625" style="151" customWidth="1"/>
    <col min="5368" max="5368" width="11.140625" style="151" customWidth="1"/>
    <col min="5369" max="5369" width="8.28515625" style="151" customWidth="1"/>
    <col min="5370" max="5370" width="9.85546875" style="151" customWidth="1"/>
    <col min="5371" max="5371" width="8" style="151" customWidth="1"/>
    <col min="5372" max="5372" width="9.85546875" style="151" customWidth="1"/>
    <col min="5373" max="5373" width="6" style="151" customWidth="1"/>
    <col min="5374" max="5374" width="11.140625" style="151" customWidth="1"/>
    <col min="5375" max="5375" width="6.85546875" style="151" customWidth="1"/>
    <col min="5376" max="5376" width="11.7109375" style="151" customWidth="1"/>
    <col min="5377" max="5377" width="7.140625" style="151" customWidth="1"/>
    <col min="5378" max="5378" width="9" style="151" customWidth="1"/>
    <col min="5379" max="5379" width="7.140625" style="151" customWidth="1"/>
    <col min="5380" max="5380" width="12" style="151" customWidth="1"/>
    <col min="5381" max="5381" width="12.7109375" style="151" customWidth="1"/>
    <col min="5382" max="5393" width="11.140625" style="151" bestFit="1" customWidth="1"/>
    <col min="5394" max="5394" width="12" style="151" bestFit="1" customWidth="1"/>
    <col min="5395" max="5395" width="10" style="151" bestFit="1" customWidth="1"/>
    <col min="5396" max="5414" width="12.7109375" style="151" customWidth="1"/>
    <col min="5415" max="5425" width="9.85546875" style="151" bestFit="1" customWidth="1"/>
    <col min="5426" max="5426" width="11.140625" style="151" bestFit="1" customWidth="1"/>
    <col min="5427" max="5441" width="9.140625" style="151"/>
    <col min="5442" max="5442" width="9.85546875" style="151" bestFit="1" customWidth="1"/>
    <col min="5443" max="5457" width="9.140625" style="151"/>
    <col min="5458" max="5458" width="9.85546875" style="151" bestFit="1" customWidth="1"/>
    <col min="5459" max="5473" width="9.140625" style="151"/>
    <col min="5474" max="5474" width="9.85546875" style="151" bestFit="1" customWidth="1"/>
    <col min="5475" max="5489" width="9.140625" style="151"/>
    <col min="5490" max="5490" width="9.85546875" style="151" bestFit="1" customWidth="1"/>
    <col min="5491" max="5492" width="9.140625" style="151"/>
    <col min="5493" max="5493" width="11" style="151" bestFit="1" customWidth="1"/>
    <col min="5494" max="5498" width="11.140625" style="151" bestFit="1" customWidth="1"/>
    <col min="5499" max="5499" width="9.85546875" style="151" bestFit="1" customWidth="1"/>
    <col min="5500" max="5504" width="11.140625" style="151" bestFit="1" customWidth="1"/>
    <col min="5505" max="5505" width="12" style="151" bestFit="1" customWidth="1"/>
    <col min="5506" max="5506" width="11" style="151" bestFit="1" customWidth="1"/>
    <col min="5507" max="5619" width="9.140625" style="151"/>
    <col min="5620" max="5620" width="8.28515625" style="151" bestFit="1" customWidth="1"/>
    <col min="5621" max="5621" width="26" style="151" bestFit="1" customWidth="1"/>
    <col min="5622" max="5622" width="12" style="151" customWidth="1"/>
    <col min="5623" max="5623" width="8.140625" style="151" customWidth="1"/>
    <col min="5624" max="5624" width="11.140625" style="151" customWidth="1"/>
    <col min="5625" max="5625" width="8.28515625" style="151" customWidth="1"/>
    <col min="5626" max="5626" width="9.85546875" style="151" customWidth="1"/>
    <col min="5627" max="5627" width="8" style="151" customWidth="1"/>
    <col min="5628" max="5628" width="9.85546875" style="151" customWidth="1"/>
    <col min="5629" max="5629" width="6" style="151" customWidth="1"/>
    <col min="5630" max="5630" width="11.140625" style="151" customWidth="1"/>
    <col min="5631" max="5631" width="6.85546875" style="151" customWidth="1"/>
    <col min="5632" max="5632" width="11.7109375" style="151" customWidth="1"/>
    <col min="5633" max="5633" width="7.140625" style="151" customWidth="1"/>
    <col min="5634" max="5634" width="9" style="151" customWidth="1"/>
    <col min="5635" max="5635" width="7.140625" style="151" customWidth="1"/>
    <col min="5636" max="5636" width="12" style="151" customWidth="1"/>
    <col min="5637" max="5637" width="12.7109375" style="151" customWidth="1"/>
    <col min="5638" max="5649" width="11.140625" style="151" bestFit="1" customWidth="1"/>
    <col min="5650" max="5650" width="12" style="151" bestFit="1" customWidth="1"/>
    <col min="5651" max="5651" width="10" style="151" bestFit="1" customWidth="1"/>
    <col min="5652" max="5670" width="12.7109375" style="151" customWidth="1"/>
    <col min="5671" max="5681" width="9.85546875" style="151" bestFit="1" customWidth="1"/>
    <col min="5682" max="5682" width="11.140625" style="151" bestFit="1" customWidth="1"/>
    <col min="5683" max="5697" width="9.140625" style="151"/>
    <col min="5698" max="5698" width="9.85546875" style="151" bestFit="1" customWidth="1"/>
    <col min="5699" max="5713" width="9.140625" style="151"/>
    <col min="5714" max="5714" width="9.85546875" style="151" bestFit="1" customWidth="1"/>
    <col min="5715" max="5729" width="9.140625" style="151"/>
    <col min="5730" max="5730" width="9.85546875" style="151" bestFit="1" customWidth="1"/>
    <col min="5731" max="5745" width="9.140625" style="151"/>
    <col min="5746" max="5746" width="9.85546875" style="151" bestFit="1" customWidth="1"/>
    <col min="5747" max="5748" width="9.140625" style="151"/>
    <col min="5749" max="5749" width="11" style="151" bestFit="1" customWidth="1"/>
    <col min="5750" max="5754" width="11.140625" style="151" bestFit="1" customWidth="1"/>
    <col min="5755" max="5755" width="9.85546875" style="151" bestFit="1" customWidth="1"/>
    <col min="5756" max="5760" width="11.140625" style="151" bestFit="1" customWidth="1"/>
    <col min="5761" max="5761" width="12" style="151" bestFit="1" customWidth="1"/>
    <col min="5762" max="5762" width="11" style="151" bestFit="1" customWidth="1"/>
    <col min="5763" max="5875" width="9.140625" style="151"/>
    <col min="5876" max="5876" width="8.28515625" style="151" bestFit="1" customWidth="1"/>
    <col min="5877" max="5877" width="26" style="151" bestFit="1" customWidth="1"/>
    <col min="5878" max="5878" width="12" style="151" customWidth="1"/>
    <col min="5879" max="5879" width="8.140625" style="151" customWidth="1"/>
    <col min="5880" max="5880" width="11.140625" style="151" customWidth="1"/>
    <col min="5881" max="5881" width="8.28515625" style="151" customWidth="1"/>
    <col min="5882" max="5882" width="9.85546875" style="151" customWidth="1"/>
    <col min="5883" max="5883" width="8" style="151" customWidth="1"/>
    <col min="5884" max="5884" width="9.85546875" style="151" customWidth="1"/>
    <col min="5885" max="5885" width="6" style="151" customWidth="1"/>
    <col min="5886" max="5886" width="11.140625" style="151" customWidth="1"/>
    <col min="5887" max="5887" width="6.85546875" style="151" customWidth="1"/>
    <col min="5888" max="5888" width="11.7109375" style="151" customWidth="1"/>
    <col min="5889" max="5889" width="7.140625" style="151" customWidth="1"/>
    <col min="5890" max="5890" width="9" style="151" customWidth="1"/>
    <col min="5891" max="5891" width="7.140625" style="151" customWidth="1"/>
    <col min="5892" max="5892" width="12" style="151" customWidth="1"/>
    <col min="5893" max="5893" width="12.7109375" style="151" customWidth="1"/>
    <col min="5894" max="5905" width="11.140625" style="151" bestFit="1" customWidth="1"/>
    <col min="5906" max="5906" width="12" style="151" bestFit="1" customWidth="1"/>
    <col min="5907" max="5907" width="10" style="151" bestFit="1" customWidth="1"/>
    <col min="5908" max="5926" width="12.7109375" style="151" customWidth="1"/>
    <col min="5927" max="5937" width="9.85546875" style="151" bestFit="1" customWidth="1"/>
    <col min="5938" max="5938" width="11.140625" style="151" bestFit="1" customWidth="1"/>
    <col min="5939" max="5953" width="9.140625" style="151"/>
    <col min="5954" max="5954" width="9.85546875" style="151" bestFit="1" customWidth="1"/>
    <col min="5955" max="5969" width="9.140625" style="151"/>
    <col min="5970" max="5970" width="9.85546875" style="151" bestFit="1" customWidth="1"/>
    <col min="5971" max="5985" width="9.140625" style="151"/>
    <col min="5986" max="5986" width="9.85546875" style="151" bestFit="1" customWidth="1"/>
    <col min="5987" max="6001" width="9.140625" style="151"/>
    <col min="6002" max="6002" width="9.85546875" style="151" bestFit="1" customWidth="1"/>
    <col min="6003" max="6004" width="9.140625" style="151"/>
    <col min="6005" max="6005" width="11" style="151" bestFit="1" customWidth="1"/>
    <col min="6006" max="6010" width="11.140625" style="151" bestFit="1" customWidth="1"/>
    <col min="6011" max="6011" width="9.85546875" style="151" bestFit="1" customWidth="1"/>
    <col min="6012" max="6016" width="11.140625" style="151" bestFit="1" customWidth="1"/>
    <col min="6017" max="6017" width="12" style="151" bestFit="1" customWidth="1"/>
    <col min="6018" max="6018" width="11" style="151" bestFit="1" customWidth="1"/>
    <col min="6019" max="6131" width="9.140625" style="151"/>
    <col min="6132" max="6132" width="8.28515625" style="151" bestFit="1" customWidth="1"/>
    <col min="6133" max="6133" width="26" style="151" bestFit="1" customWidth="1"/>
    <col min="6134" max="6134" width="12" style="151" customWidth="1"/>
    <col min="6135" max="6135" width="8.140625" style="151" customWidth="1"/>
    <col min="6136" max="6136" width="11.140625" style="151" customWidth="1"/>
    <col min="6137" max="6137" width="8.28515625" style="151" customWidth="1"/>
    <col min="6138" max="6138" width="9.85546875" style="151" customWidth="1"/>
    <col min="6139" max="6139" width="8" style="151" customWidth="1"/>
    <col min="6140" max="6140" width="9.85546875" style="151" customWidth="1"/>
    <col min="6141" max="6141" width="6" style="151" customWidth="1"/>
    <col min="6142" max="6142" width="11.140625" style="151" customWidth="1"/>
    <col min="6143" max="6143" width="6.85546875" style="151" customWidth="1"/>
    <col min="6144" max="6144" width="11.7109375" style="151" customWidth="1"/>
    <col min="6145" max="6145" width="7.140625" style="151" customWidth="1"/>
    <col min="6146" max="6146" width="9" style="151" customWidth="1"/>
    <col min="6147" max="6147" width="7.140625" style="151" customWidth="1"/>
    <col min="6148" max="6148" width="12" style="151" customWidth="1"/>
    <col min="6149" max="6149" width="12.7109375" style="151" customWidth="1"/>
    <col min="6150" max="6161" width="11.140625" style="151" bestFit="1" customWidth="1"/>
    <col min="6162" max="6162" width="12" style="151" bestFit="1" customWidth="1"/>
    <col min="6163" max="6163" width="10" style="151" bestFit="1" customWidth="1"/>
    <col min="6164" max="6182" width="12.7109375" style="151" customWidth="1"/>
    <col min="6183" max="6193" width="9.85546875" style="151" bestFit="1" customWidth="1"/>
    <col min="6194" max="6194" width="11.140625" style="151" bestFit="1" customWidth="1"/>
    <col min="6195" max="6209" width="9.140625" style="151"/>
    <col min="6210" max="6210" width="9.85546875" style="151" bestFit="1" customWidth="1"/>
    <col min="6211" max="6225" width="9.140625" style="151"/>
    <col min="6226" max="6226" width="9.85546875" style="151" bestFit="1" customWidth="1"/>
    <col min="6227" max="6241" width="9.140625" style="151"/>
    <col min="6242" max="6242" width="9.85546875" style="151" bestFit="1" customWidth="1"/>
    <col min="6243" max="6257" width="9.140625" style="151"/>
    <col min="6258" max="6258" width="9.85546875" style="151" bestFit="1" customWidth="1"/>
    <col min="6259" max="6260" width="9.140625" style="151"/>
    <col min="6261" max="6261" width="11" style="151" bestFit="1" customWidth="1"/>
    <col min="6262" max="6266" width="11.140625" style="151" bestFit="1" customWidth="1"/>
    <col min="6267" max="6267" width="9.85546875" style="151" bestFit="1" customWidth="1"/>
    <col min="6268" max="6272" width="11.140625" style="151" bestFit="1" customWidth="1"/>
    <col min="6273" max="6273" width="12" style="151" bestFit="1" customWidth="1"/>
    <col min="6274" max="6274" width="11" style="151" bestFit="1" customWidth="1"/>
    <col min="6275" max="6387" width="9.140625" style="151"/>
    <col min="6388" max="6388" width="8.28515625" style="151" bestFit="1" customWidth="1"/>
    <col min="6389" max="6389" width="26" style="151" bestFit="1" customWidth="1"/>
    <col min="6390" max="6390" width="12" style="151" customWidth="1"/>
    <col min="6391" max="6391" width="8.140625" style="151" customWidth="1"/>
    <col min="6392" max="6392" width="11.140625" style="151" customWidth="1"/>
    <col min="6393" max="6393" width="8.28515625" style="151" customWidth="1"/>
    <col min="6394" max="6394" width="9.85546875" style="151" customWidth="1"/>
    <col min="6395" max="6395" width="8" style="151" customWidth="1"/>
    <col min="6396" max="6396" width="9.85546875" style="151" customWidth="1"/>
    <col min="6397" max="6397" width="6" style="151" customWidth="1"/>
    <col min="6398" max="6398" width="11.140625" style="151" customWidth="1"/>
    <col min="6399" max="6399" width="6.85546875" style="151" customWidth="1"/>
    <col min="6400" max="6400" width="11.7109375" style="151" customWidth="1"/>
    <col min="6401" max="6401" width="7.140625" style="151" customWidth="1"/>
    <col min="6402" max="6402" width="9" style="151" customWidth="1"/>
    <col min="6403" max="6403" width="7.140625" style="151" customWidth="1"/>
    <col min="6404" max="6404" width="12" style="151" customWidth="1"/>
    <col min="6405" max="6405" width="12.7109375" style="151" customWidth="1"/>
    <col min="6406" max="6417" width="11.140625" style="151" bestFit="1" customWidth="1"/>
    <col min="6418" max="6418" width="12" style="151" bestFit="1" customWidth="1"/>
    <col min="6419" max="6419" width="10" style="151" bestFit="1" customWidth="1"/>
    <col min="6420" max="6438" width="12.7109375" style="151" customWidth="1"/>
    <col min="6439" max="6449" width="9.85546875" style="151" bestFit="1" customWidth="1"/>
    <col min="6450" max="6450" width="11.140625" style="151" bestFit="1" customWidth="1"/>
    <col min="6451" max="6465" width="9.140625" style="151"/>
    <col min="6466" max="6466" width="9.85546875" style="151" bestFit="1" customWidth="1"/>
    <col min="6467" max="6481" width="9.140625" style="151"/>
    <col min="6482" max="6482" width="9.85546875" style="151" bestFit="1" customWidth="1"/>
    <col min="6483" max="6497" width="9.140625" style="151"/>
    <col min="6498" max="6498" width="9.85546875" style="151" bestFit="1" customWidth="1"/>
    <col min="6499" max="6513" width="9.140625" style="151"/>
    <col min="6514" max="6514" width="9.85546875" style="151" bestFit="1" customWidth="1"/>
    <col min="6515" max="6516" width="9.140625" style="151"/>
    <col min="6517" max="6517" width="11" style="151" bestFit="1" customWidth="1"/>
    <col min="6518" max="6522" width="11.140625" style="151" bestFit="1" customWidth="1"/>
    <col min="6523" max="6523" width="9.85546875" style="151" bestFit="1" customWidth="1"/>
    <col min="6524" max="6528" width="11.140625" style="151" bestFit="1" customWidth="1"/>
    <col min="6529" max="6529" width="12" style="151" bestFit="1" customWidth="1"/>
    <col min="6530" max="6530" width="11" style="151" bestFit="1" customWidth="1"/>
    <col min="6531" max="6643" width="9.140625" style="151"/>
    <col min="6644" max="6644" width="8.28515625" style="151" bestFit="1" customWidth="1"/>
    <col min="6645" max="6645" width="26" style="151" bestFit="1" customWidth="1"/>
    <col min="6646" max="6646" width="12" style="151" customWidth="1"/>
    <col min="6647" max="6647" width="8.140625" style="151" customWidth="1"/>
    <col min="6648" max="6648" width="11.140625" style="151" customWidth="1"/>
    <col min="6649" max="6649" width="8.28515625" style="151" customWidth="1"/>
    <col min="6650" max="6650" width="9.85546875" style="151" customWidth="1"/>
    <col min="6651" max="6651" width="8" style="151" customWidth="1"/>
    <col min="6652" max="6652" width="9.85546875" style="151" customWidth="1"/>
    <col min="6653" max="6653" width="6" style="151" customWidth="1"/>
    <col min="6654" max="6654" width="11.140625" style="151" customWidth="1"/>
    <col min="6655" max="6655" width="6.85546875" style="151" customWidth="1"/>
    <col min="6656" max="6656" width="11.7109375" style="151" customWidth="1"/>
    <col min="6657" max="6657" width="7.140625" style="151" customWidth="1"/>
    <col min="6658" max="6658" width="9" style="151" customWidth="1"/>
    <col min="6659" max="6659" width="7.140625" style="151" customWidth="1"/>
    <col min="6660" max="6660" width="12" style="151" customWidth="1"/>
    <col min="6661" max="6661" width="12.7109375" style="151" customWidth="1"/>
    <col min="6662" max="6673" width="11.140625" style="151" bestFit="1" customWidth="1"/>
    <col min="6674" max="6674" width="12" style="151" bestFit="1" customWidth="1"/>
    <col min="6675" max="6675" width="10" style="151" bestFit="1" customWidth="1"/>
    <col min="6676" max="6694" width="12.7109375" style="151" customWidth="1"/>
    <col min="6695" max="6705" width="9.85546875" style="151" bestFit="1" customWidth="1"/>
    <col min="6706" max="6706" width="11.140625" style="151" bestFit="1" customWidth="1"/>
    <col min="6707" max="6721" width="9.140625" style="151"/>
    <col min="6722" max="6722" width="9.85546875" style="151" bestFit="1" customWidth="1"/>
    <col min="6723" max="6737" width="9.140625" style="151"/>
    <col min="6738" max="6738" width="9.85546875" style="151" bestFit="1" customWidth="1"/>
    <col min="6739" max="6753" width="9.140625" style="151"/>
    <col min="6754" max="6754" width="9.85546875" style="151" bestFit="1" customWidth="1"/>
    <col min="6755" max="6769" width="9.140625" style="151"/>
    <col min="6770" max="6770" width="9.85546875" style="151" bestFit="1" customWidth="1"/>
    <col min="6771" max="6772" width="9.140625" style="151"/>
    <col min="6773" max="6773" width="11" style="151" bestFit="1" customWidth="1"/>
    <col min="6774" max="6778" width="11.140625" style="151" bestFit="1" customWidth="1"/>
    <col min="6779" max="6779" width="9.85546875" style="151" bestFit="1" customWidth="1"/>
    <col min="6780" max="6784" width="11.140625" style="151" bestFit="1" customWidth="1"/>
    <col min="6785" max="6785" width="12" style="151" bestFit="1" customWidth="1"/>
    <col min="6786" max="6786" width="11" style="151" bestFit="1" customWidth="1"/>
    <col min="6787" max="6899" width="9.140625" style="151"/>
    <col min="6900" max="6900" width="8.28515625" style="151" bestFit="1" customWidth="1"/>
    <col min="6901" max="6901" width="26" style="151" bestFit="1" customWidth="1"/>
    <col min="6902" max="6902" width="12" style="151" customWidth="1"/>
    <col min="6903" max="6903" width="8.140625" style="151" customWidth="1"/>
    <col min="6904" max="6904" width="11.140625" style="151" customWidth="1"/>
    <col min="6905" max="6905" width="8.28515625" style="151" customWidth="1"/>
    <col min="6906" max="6906" width="9.85546875" style="151" customWidth="1"/>
    <col min="6907" max="6907" width="8" style="151" customWidth="1"/>
    <col min="6908" max="6908" width="9.85546875" style="151" customWidth="1"/>
    <col min="6909" max="6909" width="6" style="151" customWidth="1"/>
    <col min="6910" max="6910" width="11.140625" style="151" customWidth="1"/>
    <col min="6911" max="6911" width="6.85546875" style="151" customWidth="1"/>
    <col min="6912" max="6912" width="11.7109375" style="151" customWidth="1"/>
    <col min="6913" max="6913" width="7.140625" style="151" customWidth="1"/>
    <col min="6914" max="6914" width="9" style="151" customWidth="1"/>
    <col min="6915" max="6915" width="7.140625" style="151" customWidth="1"/>
    <col min="6916" max="6916" width="12" style="151" customWidth="1"/>
    <col min="6917" max="6917" width="12.7109375" style="151" customWidth="1"/>
    <col min="6918" max="6929" width="11.140625" style="151" bestFit="1" customWidth="1"/>
    <col min="6930" max="6930" width="12" style="151" bestFit="1" customWidth="1"/>
    <col min="6931" max="6931" width="10" style="151" bestFit="1" customWidth="1"/>
    <col min="6932" max="6950" width="12.7109375" style="151" customWidth="1"/>
    <col min="6951" max="6961" width="9.85546875" style="151" bestFit="1" customWidth="1"/>
    <col min="6962" max="6962" width="11.140625" style="151" bestFit="1" customWidth="1"/>
    <col min="6963" max="6977" width="9.140625" style="151"/>
    <col min="6978" max="6978" width="9.85546875" style="151" bestFit="1" customWidth="1"/>
    <col min="6979" max="6993" width="9.140625" style="151"/>
    <col min="6994" max="6994" width="9.85546875" style="151" bestFit="1" customWidth="1"/>
    <col min="6995" max="7009" width="9.140625" style="151"/>
    <col min="7010" max="7010" width="9.85546875" style="151" bestFit="1" customWidth="1"/>
    <col min="7011" max="7025" width="9.140625" style="151"/>
    <col min="7026" max="7026" width="9.85546875" style="151" bestFit="1" customWidth="1"/>
    <col min="7027" max="7028" width="9.140625" style="151"/>
    <col min="7029" max="7029" width="11" style="151" bestFit="1" customWidth="1"/>
    <col min="7030" max="7034" width="11.140625" style="151" bestFit="1" customWidth="1"/>
    <col min="7035" max="7035" width="9.85546875" style="151" bestFit="1" customWidth="1"/>
    <col min="7036" max="7040" width="11.140625" style="151" bestFit="1" customWidth="1"/>
    <col min="7041" max="7041" width="12" style="151" bestFit="1" customWidth="1"/>
    <col min="7042" max="7042" width="11" style="151" bestFit="1" customWidth="1"/>
    <col min="7043" max="7155" width="9.140625" style="151"/>
    <col min="7156" max="7156" width="8.28515625" style="151" bestFit="1" customWidth="1"/>
    <col min="7157" max="7157" width="26" style="151" bestFit="1" customWidth="1"/>
    <col min="7158" max="7158" width="12" style="151" customWidth="1"/>
    <col min="7159" max="7159" width="8.140625" style="151" customWidth="1"/>
    <col min="7160" max="7160" width="11.140625" style="151" customWidth="1"/>
    <col min="7161" max="7161" width="8.28515625" style="151" customWidth="1"/>
    <col min="7162" max="7162" width="9.85546875" style="151" customWidth="1"/>
    <col min="7163" max="7163" width="8" style="151" customWidth="1"/>
    <col min="7164" max="7164" width="9.85546875" style="151" customWidth="1"/>
    <col min="7165" max="7165" width="6" style="151" customWidth="1"/>
    <col min="7166" max="7166" width="11.140625" style="151" customWidth="1"/>
    <col min="7167" max="7167" width="6.85546875" style="151" customWidth="1"/>
    <col min="7168" max="7168" width="11.7109375" style="151" customWidth="1"/>
    <col min="7169" max="7169" width="7.140625" style="151" customWidth="1"/>
    <col min="7170" max="7170" width="9" style="151" customWidth="1"/>
    <col min="7171" max="7171" width="7.140625" style="151" customWidth="1"/>
    <col min="7172" max="7172" width="12" style="151" customWidth="1"/>
    <col min="7173" max="7173" width="12.7109375" style="151" customWidth="1"/>
    <col min="7174" max="7185" width="11.140625" style="151" bestFit="1" customWidth="1"/>
    <col min="7186" max="7186" width="12" style="151" bestFit="1" customWidth="1"/>
    <col min="7187" max="7187" width="10" style="151" bestFit="1" customWidth="1"/>
    <col min="7188" max="7206" width="12.7109375" style="151" customWidth="1"/>
    <col min="7207" max="7217" width="9.85546875" style="151" bestFit="1" customWidth="1"/>
    <col min="7218" max="7218" width="11.140625" style="151" bestFit="1" customWidth="1"/>
    <col min="7219" max="7233" width="9.140625" style="151"/>
    <col min="7234" max="7234" width="9.85546875" style="151" bestFit="1" customWidth="1"/>
    <col min="7235" max="7249" width="9.140625" style="151"/>
    <col min="7250" max="7250" width="9.85546875" style="151" bestFit="1" customWidth="1"/>
    <col min="7251" max="7265" width="9.140625" style="151"/>
    <col min="7266" max="7266" width="9.85546875" style="151" bestFit="1" customWidth="1"/>
    <col min="7267" max="7281" width="9.140625" style="151"/>
    <col min="7282" max="7282" width="9.85546875" style="151" bestFit="1" customWidth="1"/>
    <col min="7283" max="7284" width="9.140625" style="151"/>
    <col min="7285" max="7285" width="11" style="151" bestFit="1" customWidth="1"/>
    <col min="7286" max="7290" width="11.140625" style="151" bestFit="1" customWidth="1"/>
    <col min="7291" max="7291" width="9.85546875" style="151" bestFit="1" customWidth="1"/>
    <col min="7292" max="7296" width="11.140625" style="151" bestFit="1" customWidth="1"/>
    <col min="7297" max="7297" width="12" style="151" bestFit="1" customWidth="1"/>
    <col min="7298" max="7298" width="11" style="151" bestFit="1" customWidth="1"/>
    <col min="7299" max="7411" width="9.140625" style="151"/>
    <col min="7412" max="7412" width="8.28515625" style="151" bestFit="1" customWidth="1"/>
    <col min="7413" max="7413" width="26" style="151" bestFit="1" customWidth="1"/>
    <col min="7414" max="7414" width="12" style="151" customWidth="1"/>
    <col min="7415" max="7415" width="8.140625" style="151" customWidth="1"/>
    <col min="7416" max="7416" width="11.140625" style="151" customWidth="1"/>
    <col min="7417" max="7417" width="8.28515625" style="151" customWidth="1"/>
    <col min="7418" max="7418" width="9.85546875" style="151" customWidth="1"/>
    <col min="7419" max="7419" width="8" style="151" customWidth="1"/>
    <col min="7420" max="7420" width="9.85546875" style="151" customWidth="1"/>
    <col min="7421" max="7421" width="6" style="151" customWidth="1"/>
    <col min="7422" max="7422" width="11.140625" style="151" customWidth="1"/>
    <col min="7423" max="7423" width="6.85546875" style="151" customWidth="1"/>
    <col min="7424" max="7424" width="11.7109375" style="151" customWidth="1"/>
    <col min="7425" max="7425" width="7.140625" style="151" customWidth="1"/>
    <col min="7426" max="7426" width="9" style="151" customWidth="1"/>
    <col min="7427" max="7427" width="7.140625" style="151" customWidth="1"/>
    <col min="7428" max="7428" width="12" style="151" customWidth="1"/>
    <col min="7429" max="7429" width="12.7109375" style="151" customWidth="1"/>
    <col min="7430" max="7441" width="11.140625" style="151" bestFit="1" customWidth="1"/>
    <col min="7442" max="7442" width="12" style="151" bestFit="1" customWidth="1"/>
    <col min="7443" max="7443" width="10" style="151" bestFit="1" customWidth="1"/>
    <col min="7444" max="7462" width="12.7109375" style="151" customWidth="1"/>
    <col min="7463" max="7473" width="9.85546875" style="151" bestFit="1" customWidth="1"/>
    <col min="7474" max="7474" width="11.140625" style="151" bestFit="1" customWidth="1"/>
    <col min="7475" max="7489" width="9.140625" style="151"/>
    <col min="7490" max="7490" width="9.85546875" style="151" bestFit="1" customWidth="1"/>
    <col min="7491" max="7505" width="9.140625" style="151"/>
    <col min="7506" max="7506" width="9.85546875" style="151" bestFit="1" customWidth="1"/>
    <col min="7507" max="7521" width="9.140625" style="151"/>
    <col min="7522" max="7522" width="9.85546875" style="151" bestFit="1" customWidth="1"/>
    <col min="7523" max="7537" width="9.140625" style="151"/>
    <col min="7538" max="7538" width="9.85546875" style="151" bestFit="1" customWidth="1"/>
    <col min="7539" max="7540" width="9.140625" style="151"/>
    <col min="7541" max="7541" width="11" style="151" bestFit="1" customWidth="1"/>
    <col min="7542" max="7546" width="11.140625" style="151" bestFit="1" customWidth="1"/>
    <col min="7547" max="7547" width="9.85546875" style="151" bestFit="1" customWidth="1"/>
    <col min="7548" max="7552" width="11.140625" style="151" bestFit="1" customWidth="1"/>
    <col min="7553" max="7553" width="12" style="151" bestFit="1" customWidth="1"/>
    <col min="7554" max="7554" width="11" style="151" bestFit="1" customWidth="1"/>
    <col min="7555" max="7667" width="9.140625" style="151"/>
    <col min="7668" max="7668" width="8.28515625" style="151" bestFit="1" customWidth="1"/>
    <col min="7669" max="7669" width="26" style="151" bestFit="1" customWidth="1"/>
    <col min="7670" max="7670" width="12" style="151" customWidth="1"/>
    <col min="7671" max="7671" width="8.140625" style="151" customWidth="1"/>
    <col min="7672" max="7672" width="11.140625" style="151" customWidth="1"/>
    <col min="7673" max="7673" width="8.28515625" style="151" customWidth="1"/>
    <col min="7674" max="7674" width="9.85546875" style="151" customWidth="1"/>
    <col min="7675" max="7675" width="8" style="151" customWidth="1"/>
    <col min="7676" max="7676" width="9.85546875" style="151" customWidth="1"/>
    <col min="7677" max="7677" width="6" style="151" customWidth="1"/>
    <col min="7678" max="7678" width="11.140625" style="151" customWidth="1"/>
    <col min="7679" max="7679" width="6.85546875" style="151" customWidth="1"/>
    <col min="7680" max="7680" width="11.7109375" style="151" customWidth="1"/>
    <col min="7681" max="7681" width="7.140625" style="151" customWidth="1"/>
    <col min="7682" max="7682" width="9" style="151" customWidth="1"/>
    <col min="7683" max="7683" width="7.140625" style="151" customWidth="1"/>
    <col min="7684" max="7684" width="12" style="151" customWidth="1"/>
    <col min="7685" max="7685" width="12.7109375" style="151" customWidth="1"/>
    <col min="7686" max="7697" width="11.140625" style="151" bestFit="1" customWidth="1"/>
    <col min="7698" max="7698" width="12" style="151" bestFit="1" customWidth="1"/>
    <col min="7699" max="7699" width="10" style="151" bestFit="1" customWidth="1"/>
    <col min="7700" max="7718" width="12.7109375" style="151" customWidth="1"/>
    <col min="7719" max="7729" width="9.85546875" style="151" bestFit="1" customWidth="1"/>
    <col min="7730" max="7730" width="11.140625" style="151" bestFit="1" customWidth="1"/>
    <col min="7731" max="7745" width="9.140625" style="151"/>
    <col min="7746" max="7746" width="9.85546875" style="151" bestFit="1" customWidth="1"/>
    <col min="7747" max="7761" width="9.140625" style="151"/>
    <col min="7762" max="7762" width="9.85546875" style="151" bestFit="1" customWidth="1"/>
    <col min="7763" max="7777" width="9.140625" style="151"/>
    <col min="7778" max="7778" width="9.85546875" style="151" bestFit="1" customWidth="1"/>
    <col min="7779" max="7793" width="9.140625" style="151"/>
    <col min="7794" max="7794" width="9.85546875" style="151" bestFit="1" customWidth="1"/>
    <col min="7795" max="7796" width="9.140625" style="151"/>
    <col min="7797" max="7797" width="11" style="151" bestFit="1" customWidth="1"/>
    <col min="7798" max="7802" width="11.140625" style="151" bestFit="1" customWidth="1"/>
    <col min="7803" max="7803" width="9.85546875" style="151" bestFit="1" customWidth="1"/>
    <col min="7804" max="7808" width="11.140625" style="151" bestFit="1" customWidth="1"/>
    <col min="7809" max="7809" width="12" style="151" bestFit="1" customWidth="1"/>
    <col min="7810" max="7810" width="11" style="151" bestFit="1" customWidth="1"/>
    <col min="7811" max="7923" width="9.140625" style="151"/>
    <col min="7924" max="7924" width="8.28515625" style="151" bestFit="1" customWidth="1"/>
    <col min="7925" max="7925" width="26" style="151" bestFit="1" customWidth="1"/>
    <col min="7926" max="7926" width="12" style="151" customWidth="1"/>
    <col min="7927" max="7927" width="8.140625" style="151" customWidth="1"/>
    <col min="7928" max="7928" width="11.140625" style="151" customWidth="1"/>
    <col min="7929" max="7929" width="8.28515625" style="151" customWidth="1"/>
    <col min="7930" max="7930" width="9.85546875" style="151" customWidth="1"/>
    <col min="7931" max="7931" width="8" style="151" customWidth="1"/>
    <col min="7932" max="7932" width="9.85546875" style="151" customWidth="1"/>
    <col min="7933" max="7933" width="6" style="151" customWidth="1"/>
    <col min="7934" max="7934" width="11.140625" style="151" customWidth="1"/>
    <col min="7935" max="7935" width="6.85546875" style="151" customWidth="1"/>
    <col min="7936" max="7936" width="11.7109375" style="151" customWidth="1"/>
    <col min="7937" max="7937" width="7.140625" style="151" customWidth="1"/>
    <col min="7938" max="7938" width="9" style="151" customWidth="1"/>
    <col min="7939" max="7939" width="7.140625" style="151" customWidth="1"/>
    <col min="7940" max="7940" width="12" style="151" customWidth="1"/>
    <col min="7941" max="7941" width="12.7109375" style="151" customWidth="1"/>
    <col min="7942" max="7953" width="11.140625" style="151" bestFit="1" customWidth="1"/>
    <col min="7954" max="7954" width="12" style="151" bestFit="1" customWidth="1"/>
    <col min="7955" max="7955" width="10" style="151" bestFit="1" customWidth="1"/>
    <col min="7956" max="7974" width="12.7109375" style="151" customWidth="1"/>
    <col min="7975" max="7985" width="9.85546875" style="151" bestFit="1" customWidth="1"/>
    <col min="7986" max="7986" width="11.140625" style="151" bestFit="1" customWidth="1"/>
    <col min="7987" max="8001" width="9.140625" style="151"/>
    <col min="8002" max="8002" width="9.85546875" style="151" bestFit="1" customWidth="1"/>
    <col min="8003" max="8017" width="9.140625" style="151"/>
    <col min="8018" max="8018" width="9.85546875" style="151" bestFit="1" customWidth="1"/>
    <col min="8019" max="8033" width="9.140625" style="151"/>
    <col min="8034" max="8034" width="9.85546875" style="151" bestFit="1" customWidth="1"/>
    <col min="8035" max="8049" width="9.140625" style="151"/>
    <col min="8050" max="8050" width="9.85546875" style="151" bestFit="1" customWidth="1"/>
    <col min="8051" max="8052" width="9.140625" style="151"/>
    <col min="8053" max="8053" width="11" style="151" bestFit="1" customWidth="1"/>
    <col min="8054" max="8058" width="11.140625" style="151" bestFit="1" customWidth="1"/>
    <col min="8059" max="8059" width="9.85546875" style="151" bestFit="1" customWidth="1"/>
    <col min="8060" max="8064" width="11.140625" style="151" bestFit="1" customWidth="1"/>
    <col min="8065" max="8065" width="12" style="151" bestFit="1" customWidth="1"/>
    <col min="8066" max="8066" width="11" style="151" bestFit="1" customWidth="1"/>
    <col min="8067" max="8179" width="9.140625" style="151"/>
    <col min="8180" max="8180" width="8.28515625" style="151" bestFit="1" customWidth="1"/>
    <col min="8181" max="8181" width="26" style="151" bestFit="1" customWidth="1"/>
    <col min="8182" max="8182" width="12" style="151" customWidth="1"/>
    <col min="8183" max="8183" width="8.140625" style="151" customWidth="1"/>
    <col min="8184" max="8184" width="11.140625" style="151" customWidth="1"/>
    <col min="8185" max="8185" width="8.28515625" style="151" customWidth="1"/>
    <col min="8186" max="8186" width="9.85546875" style="151" customWidth="1"/>
    <col min="8187" max="8187" width="8" style="151" customWidth="1"/>
    <col min="8188" max="8188" width="9.85546875" style="151" customWidth="1"/>
    <col min="8189" max="8189" width="6" style="151" customWidth="1"/>
    <col min="8190" max="8190" width="11.140625" style="151" customWidth="1"/>
    <col min="8191" max="8191" width="6.85546875" style="151" customWidth="1"/>
    <col min="8192" max="8192" width="11.7109375" style="151" customWidth="1"/>
    <col min="8193" max="8193" width="7.140625" style="151" customWidth="1"/>
    <col min="8194" max="8194" width="9" style="151" customWidth="1"/>
    <col min="8195" max="8195" width="7.140625" style="151" customWidth="1"/>
    <col min="8196" max="8196" width="12" style="151" customWidth="1"/>
    <col min="8197" max="8197" width="12.7109375" style="151" customWidth="1"/>
    <col min="8198" max="8209" width="11.140625" style="151" bestFit="1" customWidth="1"/>
    <col min="8210" max="8210" width="12" style="151" bestFit="1" customWidth="1"/>
    <col min="8211" max="8211" width="10" style="151" bestFit="1" customWidth="1"/>
    <col min="8212" max="8230" width="12.7109375" style="151" customWidth="1"/>
    <col min="8231" max="8241" width="9.85546875" style="151" bestFit="1" customWidth="1"/>
    <col min="8242" max="8242" width="11.140625" style="151" bestFit="1" customWidth="1"/>
    <col min="8243" max="8257" width="9.140625" style="151"/>
    <col min="8258" max="8258" width="9.85546875" style="151" bestFit="1" customWidth="1"/>
    <col min="8259" max="8273" width="9.140625" style="151"/>
    <col min="8274" max="8274" width="9.85546875" style="151" bestFit="1" customWidth="1"/>
    <col min="8275" max="8289" width="9.140625" style="151"/>
    <col min="8290" max="8290" width="9.85546875" style="151" bestFit="1" customWidth="1"/>
    <col min="8291" max="8305" width="9.140625" style="151"/>
    <col min="8306" max="8306" width="9.85546875" style="151" bestFit="1" customWidth="1"/>
    <col min="8307" max="8308" width="9.140625" style="151"/>
    <col min="8309" max="8309" width="11" style="151" bestFit="1" customWidth="1"/>
    <col min="8310" max="8314" width="11.140625" style="151" bestFit="1" customWidth="1"/>
    <col min="8315" max="8315" width="9.85546875" style="151" bestFit="1" customWidth="1"/>
    <col min="8316" max="8320" width="11.140625" style="151" bestFit="1" customWidth="1"/>
    <col min="8321" max="8321" width="12" style="151" bestFit="1" customWidth="1"/>
    <col min="8322" max="8322" width="11" style="151" bestFit="1" customWidth="1"/>
    <col min="8323" max="8435" width="9.140625" style="151"/>
    <col min="8436" max="8436" width="8.28515625" style="151" bestFit="1" customWidth="1"/>
    <col min="8437" max="8437" width="26" style="151" bestFit="1" customWidth="1"/>
    <col min="8438" max="8438" width="12" style="151" customWidth="1"/>
    <col min="8439" max="8439" width="8.140625" style="151" customWidth="1"/>
    <col min="8440" max="8440" width="11.140625" style="151" customWidth="1"/>
    <col min="8441" max="8441" width="8.28515625" style="151" customWidth="1"/>
    <col min="8442" max="8442" width="9.85546875" style="151" customWidth="1"/>
    <col min="8443" max="8443" width="8" style="151" customWidth="1"/>
    <col min="8444" max="8444" width="9.85546875" style="151" customWidth="1"/>
    <col min="8445" max="8445" width="6" style="151" customWidth="1"/>
    <col min="8446" max="8446" width="11.140625" style="151" customWidth="1"/>
    <col min="8447" max="8447" width="6.85546875" style="151" customWidth="1"/>
    <col min="8448" max="8448" width="11.7109375" style="151" customWidth="1"/>
    <col min="8449" max="8449" width="7.140625" style="151" customWidth="1"/>
    <col min="8450" max="8450" width="9" style="151" customWidth="1"/>
    <col min="8451" max="8451" width="7.140625" style="151" customWidth="1"/>
    <col min="8452" max="8452" width="12" style="151" customWidth="1"/>
    <col min="8453" max="8453" width="12.7109375" style="151" customWidth="1"/>
    <col min="8454" max="8465" width="11.140625" style="151" bestFit="1" customWidth="1"/>
    <col min="8466" max="8466" width="12" style="151" bestFit="1" customWidth="1"/>
    <col min="8467" max="8467" width="10" style="151" bestFit="1" customWidth="1"/>
    <col min="8468" max="8486" width="12.7109375" style="151" customWidth="1"/>
    <col min="8487" max="8497" width="9.85546875" style="151" bestFit="1" customWidth="1"/>
    <col min="8498" max="8498" width="11.140625" style="151" bestFit="1" customWidth="1"/>
    <col min="8499" max="8513" width="9.140625" style="151"/>
    <col min="8514" max="8514" width="9.85546875" style="151" bestFit="1" customWidth="1"/>
    <col min="8515" max="8529" width="9.140625" style="151"/>
    <col min="8530" max="8530" width="9.85546875" style="151" bestFit="1" customWidth="1"/>
    <col min="8531" max="8545" width="9.140625" style="151"/>
    <col min="8546" max="8546" width="9.85546875" style="151" bestFit="1" customWidth="1"/>
    <col min="8547" max="8561" width="9.140625" style="151"/>
    <col min="8562" max="8562" width="9.85546875" style="151" bestFit="1" customWidth="1"/>
    <col min="8563" max="8564" width="9.140625" style="151"/>
    <col min="8565" max="8565" width="11" style="151" bestFit="1" customWidth="1"/>
    <col min="8566" max="8570" width="11.140625" style="151" bestFit="1" customWidth="1"/>
    <col min="8571" max="8571" width="9.85546875" style="151" bestFit="1" customWidth="1"/>
    <col min="8572" max="8576" width="11.140625" style="151" bestFit="1" customWidth="1"/>
    <col min="8577" max="8577" width="12" style="151" bestFit="1" customWidth="1"/>
    <col min="8578" max="8578" width="11" style="151" bestFit="1" customWidth="1"/>
    <col min="8579" max="8691" width="9.140625" style="151"/>
    <col min="8692" max="8692" width="8.28515625" style="151" bestFit="1" customWidth="1"/>
    <col min="8693" max="8693" width="26" style="151" bestFit="1" customWidth="1"/>
    <col min="8694" max="8694" width="12" style="151" customWidth="1"/>
    <col min="8695" max="8695" width="8.140625" style="151" customWidth="1"/>
    <col min="8696" max="8696" width="11.140625" style="151" customWidth="1"/>
    <col min="8697" max="8697" width="8.28515625" style="151" customWidth="1"/>
    <col min="8698" max="8698" width="9.85546875" style="151" customWidth="1"/>
    <col min="8699" max="8699" width="8" style="151" customWidth="1"/>
    <col min="8700" max="8700" width="9.85546875" style="151" customWidth="1"/>
    <col min="8701" max="8701" width="6" style="151" customWidth="1"/>
    <col min="8702" max="8702" width="11.140625" style="151" customWidth="1"/>
    <col min="8703" max="8703" width="6.85546875" style="151" customWidth="1"/>
    <col min="8704" max="8704" width="11.7109375" style="151" customWidth="1"/>
    <col min="8705" max="8705" width="7.140625" style="151" customWidth="1"/>
    <col min="8706" max="8706" width="9" style="151" customWidth="1"/>
    <col min="8707" max="8707" width="7.140625" style="151" customWidth="1"/>
    <col min="8708" max="8708" width="12" style="151" customWidth="1"/>
    <col min="8709" max="8709" width="12.7109375" style="151" customWidth="1"/>
    <col min="8710" max="8721" width="11.140625" style="151" bestFit="1" customWidth="1"/>
    <col min="8722" max="8722" width="12" style="151" bestFit="1" customWidth="1"/>
    <col min="8723" max="8723" width="10" style="151" bestFit="1" customWidth="1"/>
    <col min="8724" max="8742" width="12.7109375" style="151" customWidth="1"/>
    <col min="8743" max="8753" width="9.85546875" style="151" bestFit="1" customWidth="1"/>
    <col min="8754" max="8754" width="11.140625" style="151" bestFit="1" customWidth="1"/>
    <col min="8755" max="8769" width="9.140625" style="151"/>
    <col min="8770" max="8770" width="9.85546875" style="151" bestFit="1" customWidth="1"/>
    <col min="8771" max="8785" width="9.140625" style="151"/>
    <col min="8786" max="8786" width="9.85546875" style="151" bestFit="1" customWidth="1"/>
    <col min="8787" max="8801" width="9.140625" style="151"/>
    <col min="8802" max="8802" width="9.85546875" style="151" bestFit="1" customWidth="1"/>
    <col min="8803" max="8817" width="9.140625" style="151"/>
    <col min="8818" max="8818" width="9.85546875" style="151" bestFit="1" customWidth="1"/>
    <col min="8819" max="8820" width="9.140625" style="151"/>
    <col min="8821" max="8821" width="11" style="151" bestFit="1" customWidth="1"/>
    <col min="8822" max="8826" width="11.140625" style="151" bestFit="1" customWidth="1"/>
    <col min="8827" max="8827" width="9.85546875" style="151" bestFit="1" customWidth="1"/>
    <col min="8828" max="8832" width="11.140625" style="151" bestFit="1" customWidth="1"/>
    <col min="8833" max="8833" width="12" style="151" bestFit="1" customWidth="1"/>
    <col min="8834" max="8834" width="11" style="151" bestFit="1" customWidth="1"/>
    <col min="8835" max="8947" width="9.140625" style="151"/>
    <col min="8948" max="8948" width="8.28515625" style="151" bestFit="1" customWidth="1"/>
    <col min="8949" max="8949" width="26" style="151" bestFit="1" customWidth="1"/>
    <col min="8950" max="8950" width="12" style="151" customWidth="1"/>
    <col min="8951" max="8951" width="8.140625" style="151" customWidth="1"/>
    <col min="8952" max="8952" width="11.140625" style="151" customWidth="1"/>
    <col min="8953" max="8953" width="8.28515625" style="151" customWidth="1"/>
    <col min="8954" max="8954" width="9.85546875" style="151" customWidth="1"/>
    <col min="8955" max="8955" width="8" style="151" customWidth="1"/>
    <col min="8956" max="8956" width="9.85546875" style="151" customWidth="1"/>
    <col min="8957" max="8957" width="6" style="151" customWidth="1"/>
    <col min="8958" max="8958" width="11.140625" style="151" customWidth="1"/>
    <col min="8959" max="8959" width="6.85546875" style="151" customWidth="1"/>
    <col min="8960" max="8960" width="11.7109375" style="151" customWidth="1"/>
    <col min="8961" max="8961" width="7.140625" style="151" customWidth="1"/>
    <col min="8962" max="8962" width="9" style="151" customWidth="1"/>
    <col min="8963" max="8963" width="7.140625" style="151" customWidth="1"/>
    <col min="8964" max="8964" width="12" style="151" customWidth="1"/>
    <col min="8965" max="8965" width="12.7109375" style="151" customWidth="1"/>
    <col min="8966" max="8977" width="11.140625" style="151" bestFit="1" customWidth="1"/>
    <col min="8978" max="8978" width="12" style="151" bestFit="1" customWidth="1"/>
    <col min="8979" max="8979" width="10" style="151" bestFit="1" customWidth="1"/>
    <col min="8980" max="8998" width="12.7109375" style="151" customWidth="1"/>
    <col min="8999" max="9009" width="9.85546875" style="151" bestFit="1" customWidth="1"/>
    <col min="9010" max="9010" width="11.140625" style="151" bestFit="1" customWidth="1"/>
    <col min="9011" max="9025" width="9.140625" style="151"/>
    <col min="9026" max="9026" width="9.85546875" style="151" bestFit="1" customWidth="1"/>
    <col min="9027" max="9041" width="9.140625" style="151"/>
    <col min="9042" max="9042" width="9.85546875" style="151" bestFit="1" customWidth="1"/>
    <col min="9043" max="9057" width="9.140625" style="151"/>
    <col min="9058" max="9058" width="9.85546875" style="151" bestFit="1" customWidth="1"/>
    <col min="9059" max="9073" width="9.140625" style="151"/>
    <col min="9074" max="9074" width="9.85546875" style="151" bestFit="1" customWidth="1"/>
    <col min="9075" max="9076" width="9.140625" style="151"/>
    <col min="9077" max="9077" width="11" style="151" bestFit="1" customWidth="1"/>
    <col min="9078" max="9082" width="11.140625" style="151" bestFit="1" customWidth="1"/>
    <col min="9083" max="9083" width="9.85546875" style="151" bestFit="1" customWidth="1"/>
    <col min="9084" max="9088" width="11.140625" style="151" bestFit="1" customWidth="1"/>
    <col min="9089" max="9089" width="12" style="151" bestFit="1" customWidth="1"/>
    <col min="9090" max="9090" width="11" style="151" bestFit="1" customWidth="1"/>
    <col min="9091" max="9203" width="9.140625" style="151"/>
    <col min="9204" max="9204" width="8.28515625" style="151" bestFit="1" customWidth="1"/>
    <col min="9205" max="9205" width="26" style="151" bestFit="1" customWidth="1"/>
    <col min="9206" max="9206" width="12" style="151" customWidth="1"/>
    <col min="9207" max="9207" width="8.140625" style="151" customWidth="1"/>
    <col min="9208" max="9208" width="11.140625" style="151" customWidth="1"/>
    <col min="9209" max="9209" width="8.28515625" style="151" customWidth="1"/>
    <col min="9210" max="9210" width="9.85546875" style="151" customWidth="1"/>
    <col min="9211" max="9211" width="8" style="151" customWidth="1"/>
    <col min="9212" max="9212" width="9.85546875" style="151" customWidth="1"/>
    <col min="9213" max="9213" width="6" style="151" customWidth="1"/>
    <col min="9214" max="9214" width="11.140625" style="151" customWidth="1"/>
    <col min="9215" max="9215" width="6.85546875" style="151" customWidth="1"/>
    <col min="9216" max="9216" width="11.7109375" style="151" customWidth="1"/>
    <col min="9217" max="9217" width="7.140625" style="151" customWidth="1"/>
    <col min="9218" max="9218" width="9" style="151" customWidth="1"/>
    <col min="9219" max="9219" width="7.140625" style="151" customWidth="1"/>
    <col min="9220" max="9220" width="12" style="151" customWidth="1"/>
    <col min="9221" max="9221" width="12.7109375" style="151" customWidth="1"/>
    <col min="9222" max="9233" width="11.140625" style="151" bestFit="1" customWidth="1"/>
    <col min="9234" max="9234" width="12" style="151" bestFit="1" customWidth="1"/>
    <col min="9235" max="9235" width="10" style="151" bestFit="1" customWidth="1"/>
    <col min="9236" max="9254" width="12.7109375" style="151" customWidth="1"/>
    <col min="9255" max="9265" width="9.85546875" style="151" bestFit="1" customWidth="1"/>
    <col min="9266" max="9266" width="11.140625" style="151" bestFit="1" customWidth="1"/>
    <col min="9267" max="9281" width="9.140625" style="151"/>
    <col min="9282" max="9282" width="9.85546875" style="151" bestFit="1" customWidth="1"/>
    <col min="9283" max="9297" width="9.140625" style="151"/>
    <col min="9298" max="9298" width="9.85546875" style="151" bestFit="1" customWidth="1"/>
    <col min="9299" max="9313" width="9.140625" style="151"/>
    <col min="9314" max="9314" width="9.85546875" style="151" bestFit="1" customWidth="1"/>
    <col min="9315" max="9329" width="9.140625" style="151"/>
    <col min="9330" max="9330" width="9.85546875" style="151" bestFit="1" customWidth="1"/>
    <col min="9331" max="9332" width="9.140625" style="151"/>
    <col min="9333" max="9333" width="11" style="151" bestFit="1" customWidth="1"/>
    <col min="9334" max="9338" width="11.140625" style="151" bestFit="1" customWidth="1"/>
    <col min="9339" max="9339" width="9.85546875" style="151" bestFit="1" customWidth="1"/>
    <col min="9340" max="9344" width="11.140625" style="151" bestFit="1" customWidth="1"/>
    <col min="9345" max="9345" width="12" style="151" bestFit="1" customWidth="1"/>
    <col min="9346" max="9346" width="11" style="151" bestFit="1" customWidth="1"/>
    <col min="9347" max="9459" width="9.140625" style="151"/>
    <col min="9460" max="9460" width="8.28515625" style="151" bestFit="1" customWidth="1"/>
    <col min="9461" max="9461" width="26" style="151" bestFit="1" customWidth="1"/>
    <col min="9462" max="9462" width="12" style="151" customWidth="1"/>
    <col min="9463" max="9463" width="8.140625" style="151" customWidth="1"/>
    <col min="9464" max="9464" width="11.140625" style="151" customWidth="1"/>
    <col min="9465" max="9465" width="8.28515625" style="151" customWidth="1"/>
    <col min="9466" max="9466" width="9.85546875" style="151" customWidth="1"/>
    <col min="9467" max="9467" width="8" style="151" customWidth="1"/>
    <col min="9468" max="9468" width="9.85546875" style="151" customWidth="1"/>
    <col min="9469" max="9469" width="6" style="151" customWidth="1"/>
    <col min="9470" max="9470" width="11.140625" style="151" customWidth="1"/>
    <col min="9471" max="9471" width="6.85546875" style="151" customWidth="1"/>
    <col min="9472" max="9472" width="11.7109375" style="151" customWidth="1"/>
    <col min="9473" max="9473" width="7.140625" style="151" customWidth="1"/>
    <col min="9474" max="9474" width="9" style="151" customWidth="1"/>
    <col min="9475" max="9475" width="7.140625" style="151" customWidth="1"/>
    <col min="9476" max="9476" width="12" style="151" customWidth="1"/>
    <col min="9477" max="9477" width="12.7109375" style="151" customWidth="1"/>
    <col min="9478" max="9489" width="11.140625" style="151" bestFit="1" customWidth="1"/>
    <col min="9490" max="9490" width="12" style="151" bestFit="1" customWidth="1"/>
    <col min="9491" max="9491" width="10" style="151" bestFit="1" customWidth="1"/>
    <col min="9492" max="9510" width="12.7109375" style="151" customWidth="1"/>
    <col min="9511" max="9521" width="9.85546875" style="151" bestFit="1" customWidth="1"/>
    <col min="9522" max="9522" width="11.140625" style="151" bestFit="1" customWidth="1"/>
    <col min="9523" max="9537" width="9.140625" style="151"/>
    <col min="9538" max="9538" width="9.85546875" style="151" bestFit="1" customWidth="1"/>
    <col min="9539" max="9553" width="9.140625" style="151"/>
    <col min="9554" max="9554" width="9.85546875" style="151" bestFit="1" customWidth="1"/>
    <col min="9555" max="9569" width="9.140625" style="151"/>
    <col min="9570" max="9570" width="9.85546875" style="151" bestFit="1" customWidth="1"/>
    <col min="9571" max="9585" width="9.140625" style="151"/>
    <col min="9586" max="9586" width="9.85546875" style="151" bestFit="1" customWidth="1"/>
    <col min="9587" max="9588" width="9.140625" style="151"/>
    <col min="9589" max="9589" width="11" style="151" bestFit="1" customWidth="1"/>
    <col min="9590" max="9594" width="11.140625" style="151" bestFit="1" customWidth="1"/>
    <col min="9595" max="9595" width="9.85546875" style="151" bestFit="1" customWidth="1"/>
    <col min="9596" max="9600" width="11.140625" style="151" bestFit="1" customWidth="1"/>
    <col min="9601" max="9601" width="12" style="151" bestFit="1" customWidth="1"/>
    <col min="9602" max="9602" width="11" style="151" bestFit="1" customWidth="1"/>
    <col min="9603" max="9715" width="9.140625" style="151"/>
    <col min="9716" max="9716" width="8.28515625" style="151" bestFit="1" customWidth="1"/>
    <col min="9717" max="9717" width="26" style="151" bestFit="1" customWidth="1"/>
    <col min="9718" max="9718" width="12" style="151" customWidth="1"/>
    <col min="9719" max="9719" width="8.140625" style="151" customWidth="1"/>
    <col min="9720" max="9720" width="11.140625" style="151" customWidth="1"/>
    <col min="9721" max="9721" width="8.28515625" style="151" customWidth="1"/>
    <col min="9722" max="9722" width="9.85546875" style="151" customWidth="1"/>
    <col min="9723" max="9723" width="8" style="151" customWidth="1"/>
    <col min="9724" max="9724" width="9.85546875" style="151" customWidth="1"/>
    <col min="9725" max="9725" width="6" style="151" customWidth="1"/>
    <col min="9726" max="9726" width="11.140625" style="151" customWidth="1"/>
    <col min="9727" max="9727" width="6.85546875" style="151" customWidth="1"/>
    <col min="9728" max="9728" width="11.7109375" style="151" customWidth="1"/>
    <col min="9729" max="9729" width="7.140625" style="151" customWidth="1"/>
    <col min="9730" max="9730" width="9" style="151" customWidth="1"/>
    <col min="9731" max="9731" width="7.140625" style="151" customWidth="1"/>
    <col min="9732" max="9732" width="12" style="151" customWidth="1"/>
    <col min="9733" max="9733" width="12.7109375" style="151" customWidth="1"/>
    <col min="9734" max="9745" width="11.140625" style="151" bestFit="1" customWidth="1"/>
    <col min="9746" max="9746" width="12" style="151" bestFit="1" customWidth="1"/>
    <col min="9747" max="9747" width="10" style="151" bestFit="1" customWidth="1"/>
    <col min="9748" max="9766" width="12.7109375" style="151" customWidth="1"/>
    <col min="9767" max="9777" width="9.85546875" style="151" bestFit="1" customWidth="1"/>
    <col min="9778" max="9778" width="11.140625" style="151" bestFit="1" customWidth="1"/>
    <col min="9779" max="9793" width="9.140625" style="151"/>
    <col min="9794" max="9794" width="9.85546875" style="151" bestFit="1" customWidth="1"/>
    <col min="9795" max="9809" width="9.140625" style="151"/>
    <col min="9810" max="9810" width="9.85546875" style="151" bestFit="1" customWidth="1"/>
    <col min="9811" max="9825" width="9.140625" style="151"/>
    <col min="9826" max="9826" width="9.85546875" style="151" bestFit="1" customWidth="1"/>
    <col min="9827" max="9841" width="9.140625" style="151"/>
    <col min="9842" max="9842" width="9.85546875" style="151" bestFit="1" customWidth="1"/>
    <col min="9843" max="9844" width="9.140625" style="151"/>
    <col min="9845" max="9845" width="11" style="151" bestFit="1" customWidth="1"/>
    <col min="9846" max="9850" width="11.140625" style="151" bestFit="1" customWidth="1"/>
    <col min="9851" max="9851" width="9.85546875" style="151" bestFit="1" customWidth="1"/>
    <col min="9852" max="9856" width="11.140625" style="151" bestFit="1" customWidth="1"/>
    <col min="9857" max="9857" width="12" style="151" bestFit="1" customWidth="1"/>
    <col min="9858" max="9858" width="11" style="151" bestFit="1" customWidth="1"/>
    <col min="9859" max="9971" width="9.140625" style="151"/>
    <col min="9972" max="9972" width="8.28515625" style="151" bestFit="1" customWidth="1"/>
    <col min="9973" max="9973" width="26" style="151" bestFit="1" customWidth="1"/>
    <col min="9974" max="9974" width="12" style="151" customWidth="1"/>
    <col min="9975" max="9975" width="8.140625" style="151" customWidth="1"/>
    <col min="9976" max="9976" width="11.140625" style="151" customWidth="1"/>
    <col min="9977" max="9977" width="8.28515625" style="151" customWidth="1"/>
    <col min="9978" max="9978" width="9.85546875" style="151" customWidth="1"/>
    <col min="9979" max="9979" width="8" style="151" customWidth="1"/>
    <col min="9980" max="9980" width="9.85546875" style="151" customWidth="1"/>
    <col min="9981" max="9981" width="6" style="151" customWidth="1"/>
    <col min="9982" max="9982" width="11.140625" style="151" customWidth="1"/>
    <col min="9983" max="9983" width="6.85546875" style="151" customWidth="1"/>
    <col min="9984" max="9984" width="11.7109375" style="151" customWidth="1"/>
    <col min="9985" max="9985" width="7.140625" style="151" customWidth="1"/>
    <col min="9986" max="9986" width="9" style="151" customWidth="1"/>
    <col min="9987" max="9987" width="7.140625" style="151" customWidth="1"/>
    <col min="9988" max="9988" width="12" style="151" customWidth="1"/>
    <col min="9989" max="9989" width="12.7109375" style="151" customWidth="1"/>
    <col min="9990" max="10001" width="11.140625" style="151" bestFit="1" customWidth="1"/>
    <col min="10002" max="10002" width="12" style="151" bestFit="1" customWidth="1"/>
    <col min="10003" max="10003" width="10" style="151" bestFit="1" customWidth="1"/>
    <col min="10004" max="10022" width="12.7109375" style="151" customWidth="1"/>
    <col min="10023" max="10033" width="9.85546875" style="151" bestFit="1" customWidth="1"/>
    <col min="10034" max="10034" width="11.140625" style="151" bestFit="1" customWidth="1"/>
    <col min="10035" max="10049" width="9.140625" style="151"/>
    <col min="10050" max="10050" width="9.85546875" style="151" bestFit="1" customWidth="1"/>
    <col min="10051" max="10065" width="9.140625" style="151"/>
    <col min="10066" max="10066" width="9.85546875" style="151" bestFit="1" customWidth="1"/>
    <col min="10067" max="10081" width="9.140625" style="151"/>
    <col min="10082" max="10082" width="9.85546875" style="151" bestFit="1" customWidth="1"/>
    <col min="10083" max="10097" width="9.140625" style="151"/>
    <col min="10098" max="10098" width="9.85546875" style="151" bestFit="1" customWidth="1"/>
    <col min="10099" max="10100" width="9.140625" style="151"/>
    <col min="10101" max="10101" width="11" style="151" bestFit="1" customWidth="1"/>
    <col min="10102" max="10106" width="11.140625" style="151" bestFit="1" customWidth="1"/>
    <col min="10107" max="10107" width="9.85546875" style="151" bestFit="1" customWidth="1"/>
    <col min="10108" max="10112" width="11.140625" style="151" bestFit="1" customWidth="1"/>
    <col min="10113" max="10113" width="12" style="151" bestFit="1" customWidth="1"/>
    <col min="10114" max="10114" width="11" style="151" bestFit="1" customWidth="1"/>
    <col min="10115" max="10227" width="9.140625" style="151"/>
    <col min="10228" max="10228" width="8.28515625" style="151" bestFit="1" customWidth="1"/>
    <col min="10229" max="10229" width="26" style="151" bestFit="1" customWidth="1"/>
    <col min="10230" max="10230" width="12" style="151" customWidth="1"/>
    <col min="10231" max="10231" width="8.140625" style="151" customWidth="1"/>
    <col min="10232" max="10232" width="11.140625" style="151" customWidth="1"/>
    <col min="10233" max="10233" width="8.28515625" style="151" customWidth="1"/>
    <col min="10234" max="10234" width="9.85546875" style="151" customWidth="1"/>
    <col min="10235" max="10235" width="8" style="151" customWidth="1"/>
    <col min="10236" max="10236" width="9.85546875" style="151" customWidth="1"/>
    <col min="10237" max="10237" width="6" style="151" customWidth="1"/>
    <col min="10238" max="10238" width="11.140625" style="151" customWidth="1"/>
    <col min="10239" max="10239" width="6.85546875" style="151" customWidth="1"/>
    <col min="10240" max="10240" width="11.7109375" style="151" customWidth="1"/>
    <col min="10241" max="10241" width="7.140625" style="151" customWidth="1"/>
    <col min="10242" max="10242" width="9" style="151" customWidth="1"/>
    <col min="10243" max="10243" width="7.140625" style="151" customWidth="1"/>
    <col min="10244" max="10244" width="12" style="151" customWidth="1"/>
    <col min="10245" max="10245" width="12.7109375" style="151" customWidth="1"/>
    <col min="10246" max="10257" width="11.140625" style="151" bestFit="1" customWidth="1"/>
    <col min="10258" max="10258" width="12" style="151" bestFit="1" customWidth="1"/>
    <col min="10259" max="10259" width="10" style="151" bestFit="1" customWidth="1"/>
    <col min="10260" max="10278" width="12.7109375" style="151" customWidth="1"/>
    <col min="10279" max="10289" width="9.85546875" style="151" bestFit="1" customWidth="1"/>
    <col min="10290" max="10290" width="11.140625" style="151" bestFit="1" customWidth="1"/>
    <col min="10291" max="10305" width="9.140625" style="151"/>
    <col min="10306" max="10306" width="9.85546875" style="151" bestFit="1" customWidth="1"/>
    <col min="10307" max="10321" width="9.140625" style="151"/>
    <col min="10322" max="10322" width="9.85546875" style="151" bestFit="1" customWidth="1"/>
    <col min="10323" max="10337" width="9.140625" style="151"/>
    <col min="10338" max="10338" width="9.85546875" style="151" bestFit="1" customWidth="1"/>
    <col min="10339" max="10353" width="9.140625" style="151"/>
    <col min="10354" max="10354" width="9.85546875" style="151" bestFit="1" customWidth="1"/>
    <col min="10355" max="10356" width="9.140625" style="151"/>
    <col min="10357" max="10357" width="11" style="151" bestFit="1" customWidth="1"/>
    <col min="10358" max="10362" width="11.140625" style="151" bestFit="1" customWidth="1"/>
    <col min="10363" max="10363" width="9.85546875" style="151" bestFit="1" customWidth="1"/>
    <col min="10364" max="10368" width="11.140625" style="151" bestFit="1" customWidth="1"/>
    <col min="10369" max="10369" width="12" style="151" bestFit="1" customWidth="1"/>
    <col min="10370" max="10370" width="11" style="151" bestFit="1" customWidth="1"/>
    <col min="10371" max="10483" width="9.140625" style="151"/>
    <col min="10484" max="10484" width="8.28515625" style="151" bestFit="1" customWidth="1"/>
    <col min="10485" max="10485" width="26" style="151" bestFit="1" customWidth="1"/>
    <col min="10486" max="10486" width="12" style="151" customWidth="1"/>
    <col min="10487" max="10487" width="8.140625" style="151" customWidth="1"/>
    <col min="10488" max="10488" width="11.140625" style="151" customWidth="1"/>
    <col min="10489" max="10489" width="8.28515625" style="151" customWidth="1"/>
    <col min="10490" max="10490" width="9.85546875" style="151" customWidth="1"/>
    <col min="10491" max="10491" width="8" style="151" customWidth="1"/>
    <col min="10492" max="10492" width="9.85546875" style="151" customWidth="1"/>
    <col min="10493" max="10493" width="6" style="151" customWidth="1"/>
    <col min="10494" max="10494" width="11.140625" style="151" customWidth="1"/>
    <col min="10495" max="10495" width="6.85546875" style="151" customWidth="1"/>
    <col min="10496" max="10496" width="11.7109375" style="151" customWidth="1"/>
    <col min="10497" max="10497" width="7.140625" style="151" customWidth="1"/>
    <col min="10498" max="10498" width="9" style="151" customWidth="1"/>
    <col min="10499" max="10499" width="7.140625" style="151" customWidth="1"/>
    <col min="10500" max="10500" width="12" style="151" customWidth="1"/>
    <col min="10501" max="10501" width="12.7109375" style="151" customWidth="1"/>
    <col min="10502" max="10513" width="11.140625" style="151" bestFit="1" customWidth="1"/>
    <col min="10514" max="10514" width="12" style="151" bestFit="1" customWidth="1"/>
    <col min="10515" max="10515" width="10" style="151" bestFit="1" customWidth="1"/>
    <col min="10516" max="10534" width="12.7109375" style="151" customWidth="1"/>
    <col min="10535" max="10545" width="9.85546875" style="151" bestFit="1" customWidth="1"/>
    <col min="10546" max="10546" width="11.140625" style="151" bestFit="1" customWidth="1"/>
    <col min="10547" max="10561" width="9.140625" style="151"/>
    <col min="10562" max="10562" width="9.85546875" style="151" bestFit="1" customWidth="1"/>
    <col min="10563" max="10577" width="9.140625" style="151"/>
    <col min="10578" max="10578" width="9.85546875" style="151" bestFit="1" customWidth="1"/>
    <col min="10579" max="10593" width="9.140625" style="151"/>
    <col min="10594" max="10594" width="9.85546875" style="151" bestFit="1" customWidth="1"/>
    <col min="10595" max="10609" width="9.140625" style="151"/>
    <col min="10610" max="10610" width="9.85546875" style="151" bestFit="1" customWidth="1"/>
    <col min="10611" max="10612" width="9.140625" style="151"/>
    <col min="10613" max="10613" width="11" style="151" bestFit="1" customWidth="1"/>
    <col min="10614" max="10618" width="11.140625" style="151" bestFit="1" customWidth="1"/>
    <col min="10619" max="10619" width="9.85546875" style="151" bestFit="1" customWidth="1"/>
    <col min="10620" max="10624" width="11.140625" style="151" bestFit="1" customWidth="1"/>
    <col min="10625" max="10625" width="12" style="151" bestFit="1" customWidth="1"/>
    <col min="10626" max="10626" width="11" style="151" bestFit="1" customWidth="1"/>
    <col min="10627" max="10739" width="9.140625" style="151"/>
    <col min="10740" max="10740" width="8.28515625" style="151" bestFit="1" customWidth="1"/>
    <col min="10741" max="10741" width="26" style="151" bestFit="1" customWidth="1"/>
    <col min="10742" max="10742" width="12" style="151" customWidth="1"/>
    <col min="10743" max="10743" width="8.140625" style="151" customWidth="1"/>
    <col min="10744" max="10744" width="11.140625" style="151" customWidth="1"/>
    <col min="10745" max="10745" width="8.28515625" style="151" customWidth="1"/>
    <col min="10746" max="10746" width="9.85546875" style="151" customWidth="1"/>
    <col min="10747" max="10747" width="8" style="151" customWidth="1"/>
    <col min="10748" max="10748" width="9.85546875" style="151" customWidth="1"/>
    <col min="10749" max="10749" width="6" style="151" customWidth="1"/>
    <col min="10750" max="10750" width="11.140625" style="151" customWidth="1"/>
    <col min="10751" max="10751" width="6.85546875" style="151" customWidth="1"/>
    <col min="10752" max="10752" width="11.7109375" style="151" customWidth="1"/>
    <col min="10753" max="10753" width="7.140625" style="151" customWidth="1"/>
    <col min="10754" max="10754" width="9" style="151" customWidth="1"/>
    <col min="10755" max="10755" width="7.140625" style="151" customWidth="1"/>
    <col min="10756" max="10756" width="12" style="151" customWidth="1"/>
    <col min="10757" max="10757" width="12.7109375" style="151" customWidth="1"/>
    <col min="10758" max="10769" width="11.140625" style="151" bestFit="1" customWidth="1"/>
    <col min="10770" max="10770" width="12" style="151" bestFit="1" customWidth="1"/>
    <col min="10771" max="10771" width="10" style="151" bestFit="1" customWidth="1"/>
    <col min="10772" max="10790" width="12.7109375" style="151" customWidth="1"/>
    <col min="10791" max="10801" width="9.85546875" style="151" bestFit="1" customWidth="1"/>
    <col min="10802" max="10802" width="11.140625" style="151" bestFit="1" customWidth="1"/>
    <col min="10803" max="10817" width="9.140625" style="151"/>
    <col min="10818" max="10818" width="9.85546875" style="151" bestFit="1" customWidth="1"/>
    <col min="10819" max="10833" width="9.140625" style="151"/>
    <col min="10834" max="10834" width="9.85546875" style="151" bestFit="1" customWidth="1"/>
    <col min="10835" max="10849" width="9.140625" style="151"/>
    <col min="10850" max="10850" width="9.85546875" style="151" bestFit="1" customWidth="1"/>
    <col min="10851" max="10865" width="9.140625" style="151"/>
    <col min="10866" max="10866" width="9.85546875" style="151" bestFit="1" customWidth="1"/>
    <col min="10867" max="10868" width="9.140625" style="151"/>
    <col min="10869" max="10869" width="11" style="151" bestFit="1" customWidth="1"/>
    <col min="10870" max="10874" width="11.140625" style="151" bestFit="1" customWidth="1"/>
    <col min="10875" max="10875" width="9.85546875" style="151" bestFit="1" customWidth="1"/>
    <col min="10876" max="10880" width="11.140625" style="151" bestFit="1" customWidth="1"/>
    <col min="10881" max="10881" width="12" style="151" bestFit="1" customWidth="1"/>
    <col min="10882" max="10882" width="11" style="151" bestFit="1" customWidth="1"/>
    <col min="10883" max="10995" width="9.140625" style="151"/>
    <col min="10996" max="10996" width="8.28515625" style="151" bestFit="1" customWidth="1"/>
    <col min="10997" max="10997" width="26" style="151" bestFit="1" customWidth="1"/>
    <col min="10998" max="10998" width="12" style="151" customWidth="1"/>
    <col min="10999" max="10999" width="8.140625" style="151" customWidth="1"/>
    <col min="11000" max="11000" width="11.140625" style="151" customWidth="1"/>
    <col min="11001" max="11001" width="8.28515625" style="151" customWidth="1"/>
    <col min="11002" max="11002" width="9.85546875" style="151" customWidth="1"/>
    <col min="11003" max="11003" width="8" style="151" customWidth="1"/>
    <col min="11004" max="11004" width="9.85546875" style="151" customWidth="1"/>
    <col min="11005" max="11005" width="6" style="151" customWidth="1"/>
    <col min="11006" max="11006" width="11.140625" style="151" customWidth="1"/>
    <col min="11007" max="11007" width="6.85546875" style="151" customWidth="1"/>
    <col min="11008" max="11008" width="11.7109375" style="151" customWidth="1"/>
    <col min="11009" max="11009" width="7.140625" style="151" customWidth="1"/>
    <col min="11010" max="11010" width="9" style="151" customWidth="1"/>
    <col min="11011" max="11011" width="7.140625" style="151" customWidth="1"/>
    <col min="11012" max="11012" width="12" style="151" customWidth="1"/>
    <col min="11013" max="11013" width="12.7109375" style="151" customWidth="1"/>
    <col min="11014" max="11025" width="11.140625" style="151" bestFit="1" customWidth="1"/>
    <col min="11026" max="11026" width="12" style="151" bestFit="1" customWidth="1"/>
    <col min="11027" max="11027" width="10" style="151" bestFit="1" customWidth="1"/>
    <col min="11028" max="11046" width="12.7109375" style="151" customWidth="1"/>
    <col min="11047" max="11057" width="9.85546875" style="151" bestFit="1" customWidth="1"/>
    <col min="11058" max="11058" width="11.140625" style="151" bestFit="1" customWidth="1"/>
    <col min="11059" max="11073" width="9.140625" style="151"/>
    <col min="11074" max="11074" width="9.85546875" style="151" bestFit="1" customWidth="1"/>
    <col min="11075" max="11089" width="9.140625" style="151"/>
    <col min="11090" max="11090" width="9.85546875" style="151" bestFit="1" customWidth="1"/>
    <col min="11091" max="11105" width="9.140625" style="151"/>
    <col min="11106" max="11106" width="9.85546875" style="151" bestFit="1" customWidth="1"/>
    <col min="11107" max="11121" width="9.140625" style="151"/>
    <col min="11122" max="11122" width="9.85546875" style="151" bestFit="1" customWidth="1"/>
    <col min="11123" max="11124" width="9.140625" style="151"/>
    <col min="11125" max="11125" width="11" style="151" bestFit="1" customWidth="1"/>
    <col min="11126" max="11130" width="11.140625" style="151" bestFit="1" customWidth="1"/>
    <col min="11131" max="11131" width="9.85546875" style="151" bestFit="1" customWidth="1"/>
    <col min="11132" max="11136" width="11.140625" style="151" bestFit="1" customWidth="1"/>
    <col min="11137" max="11137" width="12" style="151" bestFit="1" customWidth="1"/>
    <col min="11138" max="11138" width="11" style="151" bestFit="1" customWidth="1"/>
    <col min="11139" max="11251" width="9.140625" style="151"/>
    <col min="11252" max="11252" width="8.28515625" style="151" bestFit="1" customWidth="1"/>
    <col min="11253" max="11253" width="26" style="151" bestFit="1" customWidth="1"/>
    <col min="11254" max="11254" width="12" style="151" customWidth="1"/>
    <col min="11255" max="11255" width="8.140625" style="151" customWidth="1"/>
    <col min="11256" max="11256" width="11.140625" style="151" customWidth="1"/>
    <col min="11257" max="11257" width="8.28515625" style="151" customWidth="1"/>
    <col min="11258" max="11258" width="9.85546875" style="151" customWidth="1"/>
    <col min="11259" max="11259" width="8" style="151" customWidth="1"/>
    <col min="11260" max="11260" width="9.85546875" style="151" customWidth="1"/>
    <col min="11261" max="11261" width="6" style="151" customWidth="1"/>
    <col min="11262" max="11262" width="11.140625" style="151" customWidth="1"/>
    <col min="11263" max="11263" width="6.85546875" style="151" customWidth="1"/>
    <col min="11264" max="11264" width="11.7109375" style="151" customWidth="1"/>
    <col min="11265" max="11265" width="7.140625" style="151" customWidth="1"/>
    <col min="11266" max="11266" width="9" style="151" customWidth="1"/>
    <col min="11267" max="11267" width="7.140625" style="151" customWidth="1"/>
    <col min="11268" max="11268" width="12" style="151" customWidth="1"/>
    <col min="11269" max="11269" width="12.7109375" style="151" customWidth="1"/>
    <col min="11270" max="11281" width="11.140625" style="151" bestFit="1" customWidth="1"/>
    <col min="11282" max="11282" width="12" style="151" bestFit="1" customWidth="1"/>
    <col min="11283" max="11283" width="10" style="151" bestFit="1" customWidth="1"/>
    <col min="11284" max="11302" width="12.7109375" style="151" customWidth="1"/>
    <col min="11303" max="11313" width="9.85546875" style="151" bestFit="1" customWidth="1"/>
    <col min="11314" max="11314" width="11.140625" style="151" bestFit="1" customWidth="1"/>
    <col min="11315" max="11329" width="9.140625" style="151"/>
    <col min="11330" max="11330" width="9.85546875" style="151" bestFit="1" customWidth="1"/>
    <col min="11331" max="11345" width="9.140625" style="151"/>
    <col min="11346" max="11346" width="9.85546875" style="151" bestFit="1" customWidth="1"/>
    <col min="11347" max="11361" width="9.140625" style="151"/>
    <col min="11362" max="11362" width="9.85546875" style="151" bestFit="1" customWidth="1"/>
    <col min="11363" max="11377" width="9.140625" style="151"/>
    <col min="11378" max="11378" width="9.85546875" style="151" bestFit="1" customWidth="1"/>
    <col min="11379" max="11380" width="9.140625" style="151"/>
    <col min="11381" max="11381" width="11" style="151" bestFit="1" customWidth="1"/>
    <col min="11382" max="11386" width="11.140625" style="151" bestFit="1" customWidth="1"/>
    <col min="11387" max="11387" width="9.85546875" style="151" bestFit="1" customWidth="1"/>
    <col min="11388" max="11392" width="11.140625" style="151" bestFit="1" customWidth="1"/>
    <col min="11393" max="11393" width="12" style="151" bestFit="1" customWidth="1"/>
    <col min="11394" max="11394" width="11" style="151" bestFit="1" customWidth="1"/>
    <col min="11395" max="11507" width="9.140625" style="151"/>
    <col min="11508" max="11508" width="8.28515625" style="151" bestFit="1" customWidth="1"/>
    <col min="11509" max="11509" width="26" style="151" bestFit="1" customWidth="1"/>
    <col min="11510" max="11510" width="12" style="151" customWidth="1"/>
    <col min="11511" max="11511" width="8.140625" style="151" customWidth="1"/>
    <col min="11512" max="11512" width="11.140625" style="151" customWidth="1"/>
    <col min="11513" max="11513" width="8.28515625" style="151" customWidth="1"/>
    <col min="11514" max="11514" width="9.85546875" style="151" customWidth="1"/>
    <col min="11515" max="11515" width="8" style="151" customWidth="1"/>
    <col min="11516" max="11516" width="9.85546875" style="151" customWidth="1"/>
    <col min="11517" max="11517" width="6" style="151" customWidth="1"/>
    <col min="11518" max="11518" width="11.140625" style="151" customWidth="1"/>
    <col min="11519" max="11519" width="6.85546875" style="151" customWidth="1"/>
    <col min="11520" max="11520" width="11.7109375" style="151" customWidth="1"/>
    <col min="11521" max="11521" width="7.140625" style="151" customWidth="1"/>
    <col min="11522" max="11522" width="9" style="151" customWidth="1"/>
    <col min="11523" max="11523" width="7.140625" style="151" customWidth="1"/>
    <col min="11524" max="11524" width="12" style="151" customWidth="1"/>
    <col min="11525" max="11525" width="12.7109375" style="151" customWidth="1"/>
    <col min="11526" max="11537" width="11.140625" style="151" bestFit="1" customWidth="1"/>
    <col min="11538" max="11538" width="12" style="151" bestFit="1" customWidth="1"/>
    <col min="11539" max="11539" width="10" style="151" bestFit="1" customWidth="1"/>
    <col min="11540" max="11558" width="12.7109375" style="151" customWidth="1"/>
    <col min="11559" max="11569" width="9.85546875" style="151" bestFit="1" customWidth="1"/>
    <col min="11570" max="11570" width="11.140625" style="151" bestFit="1" customWidth="1"/>
    <col min="11571" max="11585" width="9.140625" style="151"/>
    <col min="11586" max="11586" width="9.85546875" style="151" bestFit="1" customWidth="1"/>
    <col min="11587" max="11601" width="9.140625" style="151"/>
    <col min="11602" max="11602" width="9.85546875" style="151" bestFit="1" customWidth="1"/>
    <col min="11603" max="11617" width="9.140625" style="151"/>
    <col min="11618" max="11618" width="9.85546875" style="151" bestFit="1" customWidth="1"/>
    <col min="11619" max="11633" width="9.140625" style="151"/>
    <col min="11634" max="11634" width="9.85546875" style="151" bestFit="1" customWidth="1"/>
    <col min="11635" max="11636" width="9.140625" style="151"/>
    <col min="11637" max="11637" width="11" style="151" bestFit="1" customWidth="1"/>
    <col min="11638" max="11642" width="11.140625" style="151" bestFit="1" customWidth="1"/>
    <col min="11643" max="11643" width="9.85546875" style="151" bestFit="1" customWidth="1"/>
    <col min="11644" max="11648" width="11.140625" style="151" bestFit="1" customWidth="1"/>
    <col min="11649" max="11649" width="12" style="151" bestFit="1" customWidth="1"/>
    <col min="11650" max="11650" width="11" style="151" bestFit="1" customWidth="1"/>
    <col min="11651" max="11763" width="9.140625" style="151"/>
    <col min="11764" max="11764" width="8.28515625" style="151" bestFit="1" customWidth="1"/>
    <col min="11765" max="11765" width="26" style="151" bestFit="1" customWidth="1"/>
    <col min="11766" max="11766" width="12" style="151" customWidth="1"/>
    <col min="11767" max="11767" width="8.140625" style="151" customWidth="1"/>
    <col min="11768" max="11768" width="11.140625" style="151" customWidth="1"/>
    <col min="11769" max="11769" width="8.28515625" style="151" customWidth="1"/>
    <col min="11770" max="11770" width="9.85546875" style="151" customWidth="1"/>
    <col min="11771" max="11771" width="8" style="151" customWidth="1"/>
    <col min="11772" max="11772" width="9.85546875" style="151" customWidth="1"/>
    <col min="11773" max="11773" width="6" style="151" customWidth="1"/>
    <col min="11774" max="11774" width="11.140625" style="151" customWidth="1"/>
    <col min="11775" max="11775" width="6.85546875" style="151" customWidth="1"/>
    <col min="11776" max="11776" width="11.7109375" style="151" customWidth="1"/>
    <col min="11777" max="11777" width="7.140625" style="151" customWidth="1"/>
    <col min="11778" max="11778" width="9" style="151" customWidth="1"/>
    <col min="11779" max="11779" width="7.140625" style="151" customWidth="1"/>
    <col min="11780" max="11780" width="12" style="151" customWidth="1"/>
    <col min="11781" max="11781" width="12.7109375" style="151" customWidth="1"/>
    <col min="11782" max="11793" width="11.140625" style="151" bestFit="1" customWidth="1"/>
    <col min="11794" max="11794" width="12" style="151" bestFit="1" customWidth="1"/>
    <col min="11795" max="11795" width="10" style="151" bestFit="1" customWidth="1"/>
    <col min="11796" max="11814" width="12.7109375" style="151" customWidth="1"/>
    <col min="11815" max="11825" width="9.85546875" style="151" bestFit="1" customWidth="1"/>
    <col min="11826" max="11826" width="11.140625" style="151" bestFit="1" customWidth="1"/>
    <col min="11827" max="11841" width="9.140625" style="151"/>
    <col min="11842" max="11842" width="9.85546875" style="151" bestFit="1" customWidth="1"/>
    <col min="11843" max="11857" width="9.140625" style="151"/>
    <col min="11858" max="11858" width="9.85546875" style="151" bestFit="1" customWidth="1"/>
    <col min="11859" max="11873" width="9.140625" style="151"/>
    <col min="11874" max="11874" width="9.85546875" style="151" bestFit="1" customWidth="1"/>
    <col min="11875" max="11889" width="9.140625" style="151"/>
    <col min="11890" max="11890" width="9.85546875" style="151" bestFit="1" customWidth="1"/>
    <col min="11891" max="11892" width="9.140625" style="151"/>
    <col min="11893" max="11893" width="11" style="151" bestFit="1" customWidth="1"/>
    <col min="11894" max="11898" width="11.140625" style="151" bestFit="1" customWidth="1"/>
    <col min="11899" max="11899" width="9.85546875" style="151" bestFit="1" customWidth="1"/>
    <col min="11900" max="11904" width="11.140625" style="151" bestFit="1" customWidth="1"/>
    <col min="11905" max="11905" width="12" style="151" bestFit="1" customWidth="1"/>
    <col min="11906" max="11906" width="11" style="151" bestFit="1" customWidth="1"/>
    <col min="11907" max="12019" width="9.140625" style="151"/>
    <col min="12020" max="12020" width="8.28515625" style="151" bestFit="1" customWidth="1"/>
    <col min="12021" max="12021" width="26" style="151" bestFit="1" customWidth="1"/>
    <col min="12022" max="12022" width="12" style="151" customWidth="1"/>
    <col min="12023" max="12023" width="8.140625" style="151" customWidth="1"/>
    <col min="12024" max="12024" width="11.140625" style="151" customWidth="1"/>
    <col min="12025" max="12025" width="8.28515625" style="151" customWidth="1"/>
    <col min="12026" max="12026" width="9.85546875" style="151" customWidth="1"/>
    <col min="12027" max="12027" width="8" style="151" customWidth="1"/>
    <col min="12028" max="12028" width="9.85546875" style="151" customWidth="1"/>
    <col min="12029" max="12029" width="6" style="151" customWidth="1"/>
    <col min="12030" max="12030" width="11.140625" style="151" customWidth="1"/>
    <col min="12031" max="12031" width="6.85546875" style="151" customWidth="1"/>
    <col min="12032" max="12032" width="11.7109375" style="151" customWidth="1"/>
    <col min="12033" max="12033" width="7.140625" style="151" customWidth="1"/>
    <col min="12034" max="12034" width="9" style="151" customWidth="1"/>
    <col min="12035" max="12035" width="7.140625" style="151" customWidth="1"/>
    <col min="12036" max="12036" width="12" style="151" customWidth="1"/>
    <col min="12037" max="12037" width="12.7109375" style="151" customWidth="1"/>
    <col min="12038" max="12049" width="11.140625" style="151" bestFit="1" customWidth="1"/>
    <col min="12050" max="12050" width="12" style="151" bestFit="1" customWidth="1"/>
    <col min="12051" max="12051" width="10" style="151" bestFit="1" customWidth="1"/>
    <col min="12052" max="12070" width="12.7109375" style="151" customWidth="1"/>
    <col min="12071" max="12081" width="9.85546875" style="151" bestFit="1" customWidth="1"/>
    <col min="12082" max="12082" width="11.140625" style="151" bestFit="1" customWidth="1"/>
    <col min="12083" max="12097" width="9.140625" style="151"/>
    <col min="12098" max="12098" width="9.85546875" style="151" bestFit="1" customWidth="1"/>
    <col min="12099" max="12113" width="9.140625" style="151"/>
    <col min="12114" max="12114" width="9.85546875" style="151" bestFit="1" customWidth="1"/>
    <col min="12115" max="12129" width="9.140625" style="151"/>
    <col min="12130" max="12130" width="9.85546875" style="151" bestFit="1" customWidth="1"/>
    <col min="12131" max="12145" width="9.140625" style="151"/>
    <col min="12146" max="12146" width="9.85546875" style="151" bestFit="1" customWidth="1"/>
    <col min="12147" max="12148" width="9.140625" style="151"/>
    <col min="12149" max="12149" width="11" style="151" bestFit="1" customWidth="1"/>
    <col min="12150" max="12154" width="11.140625" style="151" bestFit="1" customWidth="1"/>
    <col min="12155" max="12155" width="9.85546875" style="151" bestFit="1" customWidth="1"/>
    <col min="12156" max="12160" width="11.140625" style="151" bestFit="1" customWidth="1"/>
    <col min="12161" max="12161" width="12" style="151" bestFit="1" customWidth="1"/>
    <col min="12162" max="12162" width="11" style="151" bestFit="1" customWidth="1"/>
    <col min="12163" max="12275" width="9.140625" style="151"/>
    <col min="12276" max="12276" width="8.28515625" style="151" bestFit="1" customWidth="1"/>
    <col min="12277" max="12277" width="26" style="151" bestFit="1" customWidth="1"/>
    <col min="12278" max="12278" width="12" style="151" customWidth="1"/>
    <col min="12279" max="12279" width="8.140625" style="151" customWidth="1"/>
    <col min="12280" max="12280" width="11.140625" style="151" customWidth="1"/>
    <col min="12281" max="12281" width="8.28515625" style="151" customWidth="1"/>
    <col min="12282" max="12282" width="9.85546875" style="151" customWidth="1"/>
    <col min="12283" max="12283" width="8" style="151" customWidth="1"/>
    <col min="12284" max="12284" width="9.85546875" style="151" customWidth="1"/>
    <col min="12285" max="12285" width="6" style="151" customWidth="1"/>
    <col min="12286" max="12286" width="11.140625" style="151" customWidth="1"/>
    <col min="12287" max="12287" width="6.85546875" style="151" customWidth="1"/>
    <col min="12288" max="12288" width="11.7109375" style="151" customWidth="1"/>
    <col min="12289" max="12289" width="7.140625" style="151" customWidth="1"/>
    <col min="12290" max="12290" width="9" style="151" customWidth="1"/>
    <col min="12291" max="12291" width="7.140625" style="151" customWidth="1"/>
    <col min="12292" max="12292" width="12" style="151" customWidth="1"/>
    <col min="12293" max="12293" width="12.7109375" style="151" customWidth="1"/>
    <col min="12294" max="12305" width="11.140625" style="151" bestFit="1" customWidth="1"/>
    <col min="12306" max="12306" width="12" style="151" bestFit="1" customWidth="1"/>
    <col min="12307" max="12307" width="10" style="151" bestFit="1" customWidth="1"/>
    <col min="12308" max="12326" width="12.7109375" style="151" customWidth="1"/>
    <col min="12327" max="12337" width="9.85546875" style="151" bestFit="1" customWidth="1"/>
    <col min="12338" max="12338" width="11.140625" style="151" bestFit="1" customWidth="1"/>
    <col min="12339" max="12353" width="9.140625" style="151"/>
    <col min="12354" max="12354" width="9.85546875" style="151" bestFit="1" customWidth="1"/>
    <col min="12355" max="12369" width="9.140625" style="151"/>
    <col min="12370" max="12370" width="9.85546875" style="151" bestFit="1" customWidth="1"/>
    <col min="12371" max="12385" width="9.140625" style="151"/>
    <col min="12386" max="12386" width="9.85546875" style="151" bestFit="1" customWidth="1"/>
    <col min="12387" max="12401" width="9.140625" style="151"/>
    <col min="12402" max="12402" width="9.85546875" style="151" bestFit="1" customWidth="1"/>
    <col min="12403" max="12404" width="9.140625" style="151"/>
    <col min="12405" max="12405" width="11" style="151" bestFit="1" customWidth="1"/>
    <col min="12406" max="12410" width="11.140625" style="151" bestFit="1" customWidth="1"/>
    <col min="12411" max="12411" width="9.85546875" style="151" bestFit="1" customWidth="1"/>
    <col min="12412" max="12416" width="11.140625" style="151" bestFit="1" customWidth="1"/>
    <col min="12417" max="12417" width="12" style="151" bestFit="1" customWidth="1"/>
    <col min="12418" max="12418" width="11" style="151" bestFit="1" customWidth="1"/>
    <col min="12419" max="12531" width="9.140625" style="151"/>
    <col min="12532" max="12532" width="8.28515625" style="151" bestFit="1" customWidth="1"/>
    <col min="12533" max="12533" width="26" style="151" bestFit="1" customWidth="1"/>
    <col min="12534" max="12534" width="12" style="151" customWidth="1"/>
    <col min="12535" max="12535" width="8.140625" style="151" customWidth="1"/>
    <col min="12536" max="12536" width="11.140625" style="151" customWidth="1"/>
    <col min="12537" max="12537" width="8.28515625" style="151" customWidth="1"/>
    <col min="12538" max="12538" width="9.85546875" style="151" customWidth="1"/>
    <col min="12539" max="12539" width="8" style="151" customWidth="1"/>
    <col min="12540" max="12540" width="9.85546875" style="151" customWidth="1"/>
    <col min="12541" max="12541" width="6" style="151" customWidth="1"/>
    <col min="12542" max="12542" width="11.140625" style="151" customWidth="1"/>
    <col min="12543" max="12543" width="6.85546875" style="151" customWidth="1"/>
    <col min="12544" max="12544" width="11.7109375" style="151" customWidth="1"/>
    <col min="12545" max="12545" width="7.140625" style="151" customWidth="1"/>
    <col min="12546" max="12546" width="9" style="151" customWidth="1"/>
    <col min="12547" max="12547" width="7.140625" style="151" customWidth="1"/>
    <col min="12548" max="12548" width="12" style="151" customWidth="1"/>
    <col min="12549" max="12549" width="12.7109375" style="151" customWidth="1"/>
    <col min="12550" max="12561" width="11.140625" style="151" bestFit="1" customWidth="1"/>
    <col min="12562" max="12562" width="12" style="151" bestFit="1" customWidth="1"/>
    <col min="12563" max="12563" width="10" style="151" bestFit="1" customWidth="1"/>
    <col min="12564" max="12582" width="12.7109375" style="151" customWidth="1"/>
    <col min="12583" max="12593" width="9.85546875" style="151" bestFit="1" customWidth="1"/>
    <col min="12594" max="12594" width="11.140625" style="151" bestFit="1" customWidth="1"/>
    <col min="12595" max="12609" width="9.140625" style="151"/>
    <col min="12610" max="12610" width="9.85546875" style="151" bestFit="1" customWidth="1"/>
    <col min="12611" max="12625" width="9.140625" style="151"/>
    <col min="12626" max="12626" width="9.85546875" style="151" bestFit="1" customWidth="1"/>
    <col min="12627" max="12641" width="9.140625" style="151"/>
    <col min="12642" max="12642" width="9.85546875" style="151" bestFit="1" customWidth="1"/>
    <col min="12643" max="12657" width="9.140625" style="151"/>
    <col min="12658" max="12658" width="9.85546875" style="151" bestFit="1" customWidth="1"/>
    <col min="12659" max="12660" width="9.140625" style="151"/>
    <col min="12661" max="12661" width="11" style="151" bestFit="1" customWidth="1"/>
    <col min="12662" max="12666" width="11.140625" style="151" bestFit="1" customWidth="1"/>
    <col min="12667" max="12667" width="9.85546875" style="151" bestFit="1" customWidth="1"/>
    <col min="12668" max="12672" width="11.140625" style="151" bestFit="1" customWidth="1"/>
    <col min="12673" max="12673" width="12" style="151" bestFit="1" customWidth="1"/>
    <col min="12674" max="12674" width="11" style="151" bestFit="1" customWidth="1"/>
    <col min="12675" max="12787" width="9.140625" style="151"/>
    <col min="12788" max="12788" width="8.28515625" style="151" bestFit="1" customWidth="1"/>
    <col min="12789" max="12789" width="26" style="151" bestFit="1" customWidth="1"/>
    <col min="12790" max="12790" width="12" style="151" customWidth="1"/>
    <col min="12791" max="12791" width="8.140625" style="151" customWidth="1"/>
    <col min="12792" max="12792" width="11.140625" style="151" customWidth="1"/>
    <col min="12793" max="12793" width="8.28515625" style="151" customWidth="1"/>
    <col min="12794" max="12794" width="9.85546875" style="151" customWidth="1"/>
    <col min="12795" max="12795" width="8" style="151" customWidth="1"/>
    <col min="12796" max="12796" width="9.85546875" style="151" customWidth="1"/>
    <col min="12797" max="12797" width="6" style="151" customWidth="1"/>
    <col min="12798" max="12798" width="11.140625" style="151" customWidth="1"/>
    <col min="12799" max="12799" width="6.85546875" style="151" customWidth="1"/>
    <col min="12800" max="12800" width="11.7109375" style="151" customWidth="1"/>
    <col min="12801" max="12801" width="7.140625" style="151" customWidth="1"/>
    <col min="12802" max="12802" width="9" style="151" customWidth="1"/>
    <col min="12803" max="12803" width="7.140625" style="151" customWidth="1"/>
    <col min="12804" max="12804" width="12" style="151" customWidth="1"/>
    <col min="12805" max="12805" width="12.7109375" style="151" customWidth="1"/>
    <col min="12806" max="12817" width="11.140625" style="151" bestFit="1" customWidth="1"/>
    <col min="12818" max="12818" width="12" style="151" bestFit="1" customWidth="1"/>
    <col min="12819" max="12819" width="10" style="151" bestFit="1" customWidth="1"/>
    <col min="12820" max="12838" width="12.7109375" style="151" customWidth="1"/>
    <col min="12839" max="12849" width="9.85546875" style="151" bestFit="1" customWidth="1"/>
    <col min="12850" max="12850" width="11.140625" style="151" bestFit="1" customWidth="1"/>
    <col min="12851" max="12865" width="9.140625" style="151"/>
    <col min="12866" max="12866" width="9.85546875" style="151" bestFit="1" customWidth="1"/>
    <col min="12867" max="12881" width="9.140625" style="151"/>
    <col min="12882" max="12882" width="9.85546875" style="151" bestFit="1" customWidth="1"/>
    <col min="12883" max="12897" width="9.140625" style="151"/>
    <col min="12898" max="12898" width="9.85546875" style="151" bestFit="1" customWidth="1"/>
    <col min="12899" max="12913" width="9.140625" style="151"/>
    <col min="12914" max="12914" width="9.85546875" style="151" bestFit="1" customWidth="1"/>
    <col min="12915" max="12916" width="9.140625" style="151"/>
    <col min="12917" max="12917" width="11" style="151" bestFit="1" customWidth="1"/>
    <col min="12918" max="12922" width="11.140625" style="151" bestFit="1" customWidth="1"/>
    <col min="12923" max="12923" width="9.85546875" style="151" bestFit="1" customWidth="1"/>
    <col min="12924" max="12928" width="11.140625" style="151" bestFit="1" customWidth="1"/>
    <col min="12929" max="12929" width="12" style="151" bestFit="1" customWidth="1"/>
    <col min="12930" max="12930" width="11" style="151" bestFit="1" customWidth="1"/>
    <col min="12931" max="13043" width="9.140625" style="151"/>
    <col min="13044" max="13044" width="8.28515625" style="151" bestFit="1" customWidth="1"/>
    <col min="13045" max="13045" width="26" style="151" bestFit="1" customWidth="1"/>
    <col min="13046" max="13046" width="12" style="151" customWidth="1"/>
    <col min="13047" max="13047" width="8.140625" style="151" customWidth="1"/>
    <col min="13048" max="13048" width="11.140625" style="151" customWidth="1"/>
    <col min="13049" max="13049" width="8.28515625" style="151" customWidth="1"/>
    <col min="13050" max="13050" width="9.85546875" style="151" customWidth="1"/>
    <col min="13051" max="13051" width="8" style="151" customWidth="1"/>
    <col min="13052" max="13052" width="9.85546875" style="151" customWidth="1"/>
    <col min="13053" max="13053" width="6" style="151" customWidth="1"/>
    <col min="13054" max="13054" width="11.140625" style="151" customWidth="1"/>
    <col min="13055" max="13055" width="6.85546875" style="151" customWidth="1"/>
    <col min="13056" max="13056" width="11.7109375" style="151" customWidth="1"/>
    <col min="13057" max="13057" width="7.140625" style="151" customWidth="1"/>
    <col min="13058" max="13058" width="9" style="151" customWidth="1"/>
    <col min="13059" max="13059" width="7.140625" style="151" customWidth="1"/>
    <col min="13060" max="13060" width="12" style="151" customWidth="1"/>
    <col min="13061" max="13061" width="12.7109375" style="151" customWidth="1"/>
    <col min="13062" max="13073" width="11.140625" style="151" bestFit="1" customWidth="1"/>
    <col min="13074" max="13074" width="12" style="151" bestFit="1" customWidth="1"/>
    <col min="13075" max="13075" width="10" style="151" bestFit="1" customWidth="1"/>
    <col min="13076" max="13094" width="12.7109375" style="151" customWidth="1"/>
    <col min="13095" max="13105" width="9.85546875" style="151" bestFit="1" customWidth="1"/>
    <col min="13106" max="13106" width="11.140625" style="151" bestFit="1" customWidth="1"/>
    <col min="13107" max="13121" width="9.140625" style="151"/>
    <col min="13122" max="13122" width="9.85546875" style="151" bestFit="1" customWidth="1"/>
    <col min="13123" max="13137" width="9.140625" style="151"/>
    <col min="13138" max="13138" width="9.85546875" style="151" bestFit="1" customWidth="1"/>
    <col min="13139" max="13153" width="9.140625" style="151"/>
    <col min="13154" max="13154" width="9.85546875" style="151" bestFit="1" customWidth="1"/>
    <col min="13155" max="13169" width="9.140625" style="151"/>
    <col min="13170" max="13170" width="9.85546875" style="151" bestFit="1" customWidth="1"/>
    <col min="13171" max="13172" width="9.140625" style="151"/>
    <col min="13173" max="13173" width="11" style="151" bestFit="1" customWidth="1"/>
    <col min="13174" max="13178" width="11.140625" style="151" bestFit="1" customWidth="1"/>
    <col min="13179" max="13179" width="9.85546875" style="151" bestFit="1" customWidth="1"/>
    <col min="13180" max="13184" width="11.140625" style="151" bestFit="1" customWidth="1"/>
    <col min="13185" max="13185" width="12" style="151" bestFit="1" customWidth="1"/>
    <col min="13186" max="13186" width="11" style="151" bestFit="1" customWidth="1"/>
    <col min="13187" max="13299" width="9.140625" style="151"/>
    <col min="13300" max="13300" width="8.28515625" style="151" bestFit="1" customWidth="1"/>
    <col min="13301" max="13301" width="26" style="151" bestFit="1" customWidth="1"/>
    <col min="13302" max="13302" width="12" style="151" customWidth="1"/>
    <col min="13303" max="13303" width="8.140625" style="151" customWidth="1"/>
    <col min="13304" max="13304" width="11.140625" style="151" customWidth="1"/>
    <col min="13305" max="13305" width="8.28515625" style="151" customWidth="1"/>
    <col min="13306" max="13306" width="9.85546875" style="151" customWidth="1"/>
    <col min="13307" max="13307" width="8" style="151" customWidth="1"/>
    <col min="13308" max="13308" width="9.85546875" style="151" customWidth="1"/>
    <col min="13309" max="13309" width="6" style="151" customWidth="1"/>
    <col min="13310" max="13310" width="11.140625" style="151" customWidth="1"/>
    <col min="13311" max="13311" width="6.85546875" style="151" customWidth="1"/>
    <col min="13312" max="13312" width="11.7109375" style="151" customWidth="1"/>
    <col min="13313" max="13313" width="7.140625" style="151" customWidth="1"/>
    <col min="13314" max="13314" width="9" style="151" customWidth="1"/>
    <col min="13315" max="13315" width="7.140625" style="151" customWidth="1"/>
    <col min="13316" max="13316" width="12" style="151" customWidth="1"/>
    <col min="13317" max="13317" width="12.7109375" style="151" customWidth="1"/>
    <col min="13318" max="13329" width="11.140625" style="151" bestFit="1" customWidth="1"/>
    <col min="13330" max="13330" width="12" style="151" bestFit="1" customWidth="1"/>
    <col min="13331" max="13331" width="10" style="151" bestFit="1" customWidth="1"/>
    <col min="13332" max="13350" width="12.7109375" style="151" customWidth="1"/>
    <col min="13351" max="13361" width="9.85546875" style="151" bestFit="1" customWidth="1"/>
    <col min="13362" max="13362" width="11.140625" style="151" bestFit="1" customWidth="1"/>
    <col min="13363" max="13377" width="9.140625" style="151"/>
    <col min="13378" max="13378" width="9.85546875" style="151" bestFit="1" customWidth="1"/>
    <col min="13379" max="13393" width="9.140625" style="151"/>
    <col min="13394" max="13394" width="9.85546875" style="151" bestFit="1" customWidth="1"/>
    <col min="13395" max="13409" width="9.140625" style="151"/>
    <col min="13410" max="13410" width="9.85546875" style="151" bestFit="1" customWidth="1"/>
    <col min="13411" max="13425" width="9.140625" style="151"/>
    <col min="13426" max="13426" width="9.85546875" style="151" bestFit="1" customWidth="1"/>
    <col min="13427" max="13428" width="9.140625" style="151"/>
    <col min="13429" max="13429" width="11" style="151" bestFit="1" customWidth="1"/>
    <col min="13430" max="13434" width="11.140625" style="151" bestFit="1" customWidth="1"/>
    <col min="13435" max="13435" width="9.85546875" style="151" bestFit="1" customWidth="1"/>
    <col min="13436" max="13440" width="11.140625" style="151" bestFit="1" customWidth="1"/>
    <col min="13441" max="13441" width="12" style="151" bestFit="1" customWidth="1"/>
    <col min="13442" max="13442" width="11" style="151" bestFit="1" customWidth="1"/>
    <col min="13443" max="13555" width="9.140625" style="151"/>
    <col min="13556" max="13556" width="8.28515625" style="151" bestFit="1" customWidth="1"/>
    <col min="13557" max="13557" width="26" style="151" bestFit="1" customWidth="1"/>
    <col min="13558" max="13558" width="12" style="151" customWidth="1"/>
    <col min="13559" max="13559" width="8.140625" style="151" customWidth="1"/>
    <col min="13560" max="13560" width="11.140625" style="151" customWidth="1"/>
    <col min="13561" max="13561" width="8.28515625" style="151" customWidth="1"/>
    <col min="13562" max="13562" width="9.85546875" style="151" customWidth="1"/>
    <col min="13563" max="13563" width="8" style="151" customWidth="1"/>
    <col min="13564" max="13564" width="9.85546875" style="151" customWidth="1"/>
    <col min="13565" max="13565" width="6" style="151" customWidth="1"/>
    <col min="13566" max="13566" width="11.140625" style="151" customWidth="1"/>
    <col min="13567" max="13567" width="6.85546875" style="151" customWidth="1"/>
    <col min="13568" max="13568" width="11.7109375" style="151" customWidth="1"/>
    <col min="13569" max="13569" width="7.140625" style="151" customWidth="1"/>
    <col min="13570" max="13570" width="9" style="151" customWidth="1"/>
    <col min="13571" max="13571" width="7.140625" style="151" customWidth="1"/>
    <col min="13572" max="13572" width="12" style="151" customWidth="1"/>
    <col min="13573" max="13573" width="12.7109375" style="151" customWidth="1"/>
    <col min="13574" max="13585" width="11.140625" style="151" bestFit="1" customWidth="1"/>
    <col min="13586" max="13586" width="12" style="151" bestFit="1" customWidth="1"/>
    <col min="13587" max="13587" width="10" style="151" bestFit="1" customWidth="1"/>
    <col min="13588" max="13606" width="12.7109375" style="151" customWidth="1"/>
    <col min="13607" max="13617" width="9.85546875" style="151" bestFit="1" customWidth="1"/>
    <col min="13618" max="13618" width="11.140625" style="151" bestFit="1" customWidth="1"/>
    <col min="13619" max="13633" width="9.140625" style="151"/>
    <col min="13634" max="13634" width="9.85546875" style="151" bestFit="1" customWidth="1"/>
    <col min="13635" max="13649" width="9.140625" style="151"/>
    <col min="13650" max="13650" width="9.85546875" style="151" bestFit="1" customWidth="1"/>
    <col min="13651" max="13665" width="9.140625" style="151"/>
    <col min="13666" max="13666" width="9.85546875" style="151" bestFit="1" customWidth="1"/>
    <col min="13667" max="13681" width="9.140625" style="151"/>
    <col min="13682" max="13682" width="9.85546875" style="151" bestFit="1" customWidth="1"/>
    <col min="13683" max="13684" width="9.140625" style="151"/>
    <col min="13685" max="13685" width="11" style="151" bestFit="1" customWidth="1"/>
    <col min="13686" max="13690" width="11.140625" style="151" bestFit="1" customWidth="1"/>
    <col min="13691" max="13691" width="9.85546875" style="151" bestFit="1" customWidth="1"/>
    <col min="13692" max="13696" width="11.140625" style="151" bestFit="1" customWidth="1"/>
    <col min="13697" max="13697" width="12" style="151" bestFit="1" customWidth="1"/>
    <col min="13698" max="13698" width="11" style="151" bestFit="1" customWidth="1"/>
    <col min="13699" max="13811" width="9.140625" style="151"/>
    <col min="13812" max="13812" width="8.28515625" style="151" bestFit="1" customWidth="1"/>
    <col min="13813" max="13813" width="26" style="151" bestFit="1" customWidth="1"/>
    <col min="13814" max="13814" width="12" style="151" customWidth="1"/>
    <col min="13815" max="13815" width="8.140625" style="151" customWidth="1"/>
    <col min="13816" max="13816" width="11.140625" style="151" customWidth="1"/>
    <col min="13817" max="13817" width="8.28515625" style="151" customWidth="1"/>
    <col min="13818" max="13818" width="9.85546875" style="151" customWidth="1"/>
    <col min="13819" max="13819" width="8" style="151" customWidth="1"/>
    <col min="13820" max="13820" width="9.85546875" style="151" customWidth="1"/>
    <col min="13821" max="13821" width="6" style="151" customWidth="1"/>
    <col min="13822" max="13822" width="11.140625" style="151" customWidth="1"/>
    <col min="13823" max="13823" width="6.85546875" style="151" customWidth="1"/>
    <col min="13824" max="13824" width="11.7109375" style="151" customWidth="1"/>
    <col min="13825" max="13825" width="7.140625" style="151" customWidth="1"/>
    <col min="13826" max="13826" width="9" style="151" customWidth="1"/>
    <col min="13827" max="13827" width="7.140625" style="151" customWidth="1"/>
    <col min="13828" max="13828" width="12" style="151" customWidth="1"/>
    <col min="13829" max="13829" width="12.7109375" style="151" customWidth="1"/>
    <col min="13830" max="13841" width="11.140625" style="151" bestFit="1" customWidth="1"/>
    <col min="13842" max="13842" width="12" style="151" bestFit="1" customWidth="1"/>
    <col min="13843" max="13843" width="10" style="151" bestFit="1" customWidth="1"/>
    <col min="13844" max="13862" width="12.7109375" style="151" customWidth="1"/>
    <col min="13863" max="13873" width="9.85546875" style="151" bestFit="1" customWidth="1"/>
    <col min="13874" max="13874" width="11.140625" style="151" bestFit="1" customWidth="1"/>
    <col min="13875" max="13889" width="9.140625" style="151"/>
    <col min="13890" max="13890" width="9.85546875" style="151" bestFit="1" customWidth="1"/>
    <col min="13891" max="13905" width="9.140625" style="151"/>
    <col min="13906" max="13906" width="9.85546875" style="151" bestFit="1" customWidth="1"/>
    <col min="13907" max="13921" width="9.140625" style="151"/>
    <col min="13922" max="13922" width="9.85546875" style="151" bestFit="1" customWidth="1"/>
    <col min="13923" max="13937" width="9.140625" style="151"/>
    <col min="13938" max="13938" width="9.85546875" style="151" bestFit="1" customWidth="1"/>
    <col min="13939" max="13940" width="9.140625" style="151"/>
    <col min="13941" max="13941" width="11" style="151" bestFit="1" customWidth="1"/>
    <col min="13942" max="13946" width="11.140625" style="151" bestFit="1" customWidth="1"/>
    <col min="13947" max="13947" width="9.85546875" style="151" bestFit="1" customWidth="1"/>
    <col min="13948" max="13952" width="11.140625" style="151" bestFit="1" customWidth="1"/>
    <col min="13953" max="13953" width="12" style="151" bestFit="1" customWidth="1"/>
    <col min="13954" max="13954" width="11" style="151" bestFit="1" customWidth="1"/>
    <col min="13955" max="14067" width="9.140625" style="151"/>
    <col min="14068" max="14068" width="8.28515625" style="151" bestFit="1" customWidth="1"/>
    <col min="14069" max="14069" width="26" style="151" bestFit="1" customWidth="1"/>
    <col min="14070" max="14070" width="12" style="151" customWidth="1"/>
    <col min="14071" max="14071" width="8.140625" style="151" customWidth="1"/>
    <col min="14072" max="14072" width="11.140625" style="151" customWidth="1"/>
    <col min="14073" max="14073" width="8.28515625" style="151" customWidth="1"/>
    <col min="14074" max="14074" width="9.85546875" style="151" customWidth="1"/>
    <col min="14075" max="14075" width="8" style="151" customWidth="1"/>
    <col min="14076" max="14076" width="9.85546875" style="151" customWidth="1"/>
    <col min="14077" max="14077" width="6" style="151" customWidth="1"/>
    <col min="14078" max="14078" width="11.140625" style="151" customWidth="1"/>
    <col min="14079" max="14079" width="6.85546875" style="151" customWidth="1"/>
    <col min="14080" max="14080" width="11.7109375" style="151" customWidth="1"/>
    <col min="14081" max="14081" width="7.140625" style="151" customWidth="1"/>
    <col min="14082" max="14082" width="9" style="151" customWidth="1"/>
    <col min="14083" max="14083" width="7.140625" style="151" customWidth="1"/>
    <col min="14084" max="14084" width="12" style="151" customWidth="1"/>
    <col min="14085" max="14085" width="12.7109375" style="151" customWidth="1"/>
    <col min="14086" max="14097" width="11.140625" style="151" bestFit="1" customWidth="1"/>
    <col min="14098" max="14098" width="12" style="151" bestFit="1" customWidth="1"/>
    <col min="14099" max="14099" width="10" style="151" bestFit="1" customWidth="1"/>
    <col min="14100" max="14118" width="12.7109375" style="151" customWidth="1"/>
    <col min="14119" max="14129" width="9.85546875" style="151" bestFit="1" customWidth="1"/>
    <col min="14130" max="14130" width="11.140625" style="151" bestFit="1" customWidth="1"/>
    <col min="14131" max="14145" width="9.140625" style="151"/>
    <col min="14146" max="14146" width="9.85546875" style="151" bestFit="1" customWidth="1"/>
    <col min="14147" max="14161" width="9.140625" style="151"/>
    <col min="14162" max="14162" width="9.85546875" style="151" bestFit="1" customWidth="1"/>
    <col min="14163" max="14177" width="9.140625" style="151"/>
    <col min="14178" max="14178" width="9.85546875" style="151" bestFit="1" customWidth="1"/>
    <col min="14179" max="14193" width="9.140625" style="151"/>
    <col min="14194" max="14194" width="9.85546875" style="151" bestFit="1" customWidth="1"/>
    <col min="14195" max="14196" width="9.140625" style="151"/>
    <col min="14197" max="14197" width="11" style="151" bestFit="1" customWidth="1"/>
    <col min="14198" max="14202" width="11.140625" style="151" bestFit="1" customWidth="1"/>
    <col min="14203" max="14203" width="9.85546875" style="151" bestFit="1" customWidth="1"/>
    <col min="14204" max="14208" width="11.140625" style="151" bestFit="1" customWidth="1"/>
    <col min="14209" max="14209" width="12" style="151" bestFit="1" customWidth="1"/>
    <col min="14210" max="14210" width="11" style="151" bestFit="1" customWidth="1"/>
    <col min="14211" max="14323" width="9.140625" style="151"/>
    <col min="14324" max="14324" width="8.28515625" style="151" bestFit="1" customWidth="1"/>
    <col min="14325" max="14325" width="26" style="151" bestFit="1" customWidth="1"/>
    <col min="14326" max="14326" width="12" style="151" customWidth="1"/>
    <col min="14327" max="14327" width="8.140625" style="151" customWidth="1"/>
    <col min="14328" max="14328" width="11.140625" style="151" customWidth="1"/>
    <col min="14329" max="14329" width="8.28515625" style="151" customWidth="1"/>
    <col min="14330" max="14330" width="9.85546875" style="151" customWidth="1"/>
    <col min="14331" max="14331" width="8" style="151" customWidth="1"/>
    <col min="14332" max="14332" width="9.85546875" style="151" customWidth="1"/>
    <col min="14333" max="14333" width="6" style="151" customWidth="1"/>
    <col min="14334" max="14334" width="11.140625" style="151" customWidth="1"/>
    <col min="14335" max="14335" width="6.85546875" style="151" customWidth="1"/>
    <col min="14336" max="14336" width="11.7109375" style="151" customWidth="1"/>
    <col min="14337" max="14337" width="7.140625" style="151" customWidth="1"/>
    <col min="14338" max="14338" width="9" style="151" customWidth="1"/>
    <col min="14339" max="14339" width="7.140625" style="151" customWidth="1"/>
    <col min="14340" max="14340" width="12" style="151" customWidth="1"/>
    <col min="14341" max="14341" width="12.7109375" style="151" customWidth="1"/>
    <col min="14342" max="14353" width="11.140625" style="151" bestFit="1" customWidth="1"/>
    <col min="14354" max="14354" width="12" style="151" bestFit="1" customWidth="1"/>
    <col min="14355" max="14355" width="10" style="151" bestFit="1" customWidth="1"/>
    <col min="14356" max="14374" width="12.7109375" style="151" customWidth="1"/>
    <col min="14375" max="14385" width="9.85546875" style="151" bestFit="1" customWidth="1"/>
    <col min="14386" max="14386" width="11.140625" style="151" bestFit="1" customWidth="1"/>
    <col min="14387" max="14401" width="9.140625" style="151"/>
    <col min="14402" max="14402" width="9.85546875" style="151" bestFit="1" customWidth="1"/>
    <col min="14403" max="14417" width="9.140625" style="151"/>
    <col min="14418" max="14418" width="9.85546875" style="151" bestFit="1" customWidth="1"/>
    <col min="14419" max="14433" width="9.140625" style="151"/>
    <col min="14434" max="14434" width="9.85546875" style="151" bestFit="1" customWidth="1"/>
    <col min="14435" max="14449" width="9.140625" style="151"/>
    <col min="14450" max="14450" width="9.85546875" style="151" bestFit="1" customWidth="1"/>
    <col min="14451" max="14452" width="9.140625" style="151"/>
    <col min="14453" max="14453" width="11" style="151" bestFit="1" customWidth="1"/>
    <col min="14454" max="14458" width="11.140625" style="151" bestFit="1" customWidth="1"/>
    <col min="14459" max="14459" width="9.85546875" style="151" bestFit="1" customWidth="1"/>
    <col min="14460" max="14464" width="11.140625" style="151" bestFit="1" customWidth="1"/>
    <col min="14465" max="14465" width="12" style="151" bestFit="1" customWidth="1"/>
    <col min="14466" max="14466" width="11" style="151" bestFit="1" customWidth="1"/>
    <col min="14467" max="14579" width="9.140625" style="151"/>
    <col min="14580" max="14580" width="8.28515625" style="151" bestFit="1" customWidth="1"/>
    <col min="14581" max="14581" width="26" style="151" bestFit="1" customWidth="1"/>
    <col min="14582" max="14582" width="12" style="151" customWidth="1"/>
    <col min="14583" max="14583" width="8.140625" style="151" customWidth="1"/>
    <col min="14584" max="14584" width="11.140625" style="151" customWidth="1"/>
    <col min="14585" max="14585" width="8.28515625" style="151" customWidth="1"/>
    <col min="14586" max="14586" width="9.85546875" style="151" customWidth="1"/>
    <col min="14587" max="14587" width="8" style="151" customWidth="1"/>
    <col min="14588" max="14588" width="9.85546875" style="151" customWidth="1"/>
    <col min="14589" max="14589" width="6" style="151" customWidth="1"/>
    <col min="14590" max="14590" width="11.140625" style="151" customWidth="1"/>
    <col min="14591" max="14591" width="6.85546875" style="151" customWidth="1"/>
    <col min="14592" max="14592" width="11.7109375" style="151" customWidth="1"/>
    <col min="14593" max="14593" width="7.140625" style="151" customWidth="1"/>
    <col min="14594" max="14594" width="9" style="151" customWidth="1"/>
    <col min="14595" max="14595" width="7.140625" style="151" customWidth="1"/>
    <col min="14596" max="14596" width="12" style="151" customWidth="1"/>
    <col min="14597" max="14597" width="12.7109375" style="151" customWidth="1"/>
    <col min="14598" max="14609" width="11.140625" style="151" bestFit="1" customWidth="1"/>
    <col min="14610" max="14610" width="12" style="151" bestFit="1" customWidth="1"/>
    <col min="14611" max="14611" width="10" style="151" bestFit="1" customWidth="1"/>
    <col min="14612" max="14630" width="12.7109375" style="151" customWidth="1"/>
    <col min="14631" max="14641" width="9.85546875" style="151" bestFit="1" customWidth="1"/>
    <col min="14642" max="14642" width="11.140625" style="151" bestFit="1" customWidth="1"/>
    <col min="14643" max="14657" width="9.140625" style="151"/>
    <col min="14658" max="14658" width="9.85546875" style="151" bestFit="1" customWidth="1"/>
    <col min="14659" max="14673" width="9.140625" style="151"/>
    <col min="14674" max="14674" width="9.85546875" style="151" bestFit="1" customWidth="1"/>
    <col min="14675" max="14689" width="9.140625" style="151"/>
    <col min="14690" max="14690" width="9.85546875" style="151" bestFit="1" customWidth="1"/>
    <col min="14691" max="14705" width="9.140625" style="151"/>
    <col min="14706" max="14706" width="9.85546875" style="151" bestFit="1" customWidth="1"/>
    <col min="14707" max="14708" width="9.140625" style="151"/>
    <col min="14709" max="14709" width="11" style="151" bestFit="1" customWidth="1"/>
    <col min="14710" max="14714" width="11.140625" style="151" bestFit="1" customWidth="1"/>
    <col min="14715" max="14715" width="9.85546875" style="151" bestFit="1" customWidth="1"/>
    <col min="14716" max="14720" width="11.140625" style="151" bestFit="1" customWidth="1"/>
    <col min="14721" max="14721" width="12" style="151" bestFit="1" customWidth="1"/>
    <col min="14722" max="14722" width="11" style="151" bestFit="1" customWidth="1"/>
    <col min="14723" max="14835" width="9.140625" style="151"/>
    <col min="14836" max="14836" width="8.28515625" style="151" bestFit="1" customWidth="1"/>
    <col min="14837" max="14837" width="26" style="151" bestFit="1" customWidth="1"/>
    <col min="14838" max="14838" width="12" style="151" customWidth="1"/>
    <col min="14839" max="14839" width="8.140625" style="151" customWidth="1"/>
    <col min="14840" max="14840" width="11.140625" style="151" customWidth="1"/>
    <col min="14841" max="14841" width="8.28515625" style="151" customWidth="1"/>
    <col min="14842" max="14842" width="9.85546875" style="151" customWidth="1"/>
    <col min="14843" max="14843" width="8" style="151" customWidth="1"/>
    <col min="14844" max="14844" width="9.85546875" style="151" customWidth="1"/>
    <col min="14845" max="14845" width="6" style="151" customWidth="1"/>
    <col min="14846" max="14846" width="11.140625" style="151" customWidth="1"/>
    <col min="14847" max="14847" width="6.85546875" style="151" customWidth="1"/>
    <col min="14848" max="14848" width="11.7109375" style="151" customWidth="1"/>
    <col min="14849" max="14849" width="7.140625" style="151" customWidth="1"/>
    <col min="14850" max="14850" width="9" style="151" customWidth="1"/>
    <col min="14851" max="14851" width="7.140625" style="151" customWidth="1"/>
    <col min="14852" max="14852" width="12" style="151" customWidth="1"/>
    <col min="14853" max="14853" width="12.7109375" style="151" customWidth="1"/>
    <col min="14854" max="14865" width="11.140625" style="151" bestFit="1" customWidth="1"/>
    <col min="14866" max="14866" width="12" style="151" bestFit="1" customWidth="1"/>
    <col min="14867" max="14867" width="10" style="151" bestFit="1" customWidth="1"/>
    <col min="14868" max="14886" width="12.7109375" style="151" customWidth="1"/>
    <col min="14887" max="14897" width="9.85546875" style="151" bestFit="1" customWidth="1"/>
    <col min="14898" max="14898" width="11.140625" style="151" bestFit="1" customWidth="1"/>
    <col min="14899" max="14913" width="9.140625" style="151"/>
    <col min="14914" max="14914" width="9.85546875" style="151" bestFit="1" customWidth="1"/>
    <col min="14915" max="14929" width="9.140625" style="151"/>
    <col min="14930" max="14930" width="9.85546875" style="151" bestFit="1" customWidth="1"/>
    <col min="14931" max="14945" width="9.140625" style="151"/>
    <col min="14946" max="14946" width="9.85546875" style="151" bestFit="1" customWidth="1"/>
    <col min="14947" max="14961" width="9.140625" style="151"/>
    <col min="14962" max="14962" width="9.85546875" style="151" bestFit="1" customWidth="1"/>
    <col min="14963" max="14964" width="9.140625" style="151"/>
    <col min="14965" max="14965" width="11" style="151" bestFit="1" customWidth="1"/>
    <col min="14966" max="14970" width="11.140625" style="151" bestFit="1" customWidth="1"/>
    <col min="14971" max="14971" width="9.85546875" style="151" bestFit="1" customWidth="1"/>
    <col min="14972" max="14976" width="11.140625" style="151" bestFit="1" customWidth="1"/>
    <col min="14977" max="14977" width="12" style="151" bestFit="1" customWidth="1"/>
    <col min="14978" max="14978" width="11" style="151" bestFit="1" customWidth="1"/>
    <col min="14979" max="15091" width="9.140625" style="151"/>
    <col min="15092" max="15092" width="8.28515625" style="151" bestFit="1" customWidth="1"/>
    <col min="15093" max="15093" width="26" style="151" bestFit="1" customWidth="1"/>
    <col min="15094" max="15094" width="12" style="151" customWidth="1"/>
    <col min="15095" max="15095" width="8.140625" style="151" customWidth="1"/>
    <col min="15096" max="15096" width="11.140625" style="151" customWidth="1"/>
    <col min="15097" max="15097" width="8.28515625" style="151" customWidth="1"/>
    <col min="15098" max="15098" width="9.85546875" style="151" customWidth="1"/>
    <col min="15099" max="15099" width="8" style="151" customWidth="1"/>
    <col min="15100" max="15100" width="9.85546875" style="151" customWidth="1"/>
    <col min="15101" max="15101" width="6" style="151" customWidth="1"/>
    <col min="15102" max="15102" width="11.140625" style="151" customWidth="1"/>
    <col min="15103" max="15103" width="6.85546875" style="151" customWidth="1"/>
    <col min="15104" max="15104" width="11.7109375" style="151" customWidth="1"/>
    <col min="15105" max="15105" width="7.140625" style="151" customWidth="1"/>
    <col min="15106" max="15106" width="9" style="151" customWidth="1"/>
    <col min="15107" max="15107" width="7.140625" style="151" customWidth="1"/>
    <col min="15108" max="15108" width="12" style="151" customWidth="1"/>
    <col min="15109" max="15109" width="12.7109375" style="151" customWidth="1"/>
    <col min="15110" max="15121" width="11.140625" style="151" bestFit="1" customWidth="1"/>
    <col min="15122" max="15122" width="12" style="151" bestFit="1" customWidth="1"/>
    <col min="15123" max="15123" width="10" style="151" bestFit="1" customWidth="1"/>
    <col min="15124" max="15142" width="12.7109375" style="151" customWidth="1"/>
    <col min="15143" max="15153" width="9.85546875" style="151" bestFit="1" customWidth="1"/>
    <col min="15154" max="15154" width="11.140625" style="151" bestFit="1" customWidth="1"/>
    <col min="15155" max="15169" width="9.140625" style="151"/>
    <col min="15170" max="15170" width="9.85546875" style="151" bestFit="1" customWidth="1"/>
    <col min="15171" max="15185" width="9.140625" style="151"/>
    <col min="15186" max="15186" width="9.85546875" style="151" bestFit="1" customWidth="1"/>
    <col min="15187" max="15201" width="9.140625" style="151"/>
    <col min="15202" max="15202" width="9.85546875" style="151" bestFit="1" customWidth="1"/>
    <col min="15203" max="15217" width="9.140625" style="151"/>
    <col min="15218" max="15218" width="9.85546875" style="151" bestFit="1" customWidth="1"/>
    <col min="15219" max="15220" width="9.140625" style="151"/>
    <col min="15221" max="15221" width="11" style="151" bestFit="1" customWidth="1"/>
    <col min="15222" max="15226" width="11.140625" style="151" bestFit="1" customWidth="1"/>
    <col min="15227" max="15227" width="9.85546875" style="151" bestFit="1" customWidth="1"/>
    <col min="15228" max="15232" width="11.140625" style="151" bestFit="1" customWidth="1"/>
    <col min="15233" max="15233" width="12" style="151" bestFit="1" customWidth="1"/>
    <col min="15234" max="15234" width="11" style="151" bestFit="1" customWidth="1"/>
    <col min="15235" max="15347" width="9.140625" style="151"/>
    <col min="15348" max="15348" width="8.28515625" style="151" bestFit="1" customWidth="1"/>
    <col min="15349" max="15349" width="26" style="151" bestFit="1" customWidth="1"/>
    <col min="15350" max="15350" width="12" style="151" customWidth="1"/>
    <col min="15351" max="15351" width="8.140625" style="151" customWidth="1"/>
    <col min="15352" max="15352" width="11.140625" style="151" customWidth="1"/>
    <col min="15353" max="15353" width="8.28515625" style="151" customWidth="1"/>
    <col min="15354" max="15354" width="9.85546875" style="151" customWidth="1"/>
    <col min="15355" max="15355" width="8" style="151" customWidth="1"/>
    <col min="15356" max="15356" width="9.85546875" style="151" customWidth="1"/>
    <col min="15357" max="15357" width="6" style="151" customWidth="1"/>
    <col min="15358" max="15358" width="11.140625" style="151" customWidth="1"/>
    <col min="15359" max="15359" width="6.85546875" style="151" customWidth="1"/>
    <col min="15360" max="15360" width="11.7109375" style="151" customWidth="1"/>
    <col min="15361" max="15361" width="7.140625" style="151" customWidth="1"/>
    <col min="15362" max="15362" width="9" style="151" customWidth="1"/>
    <col min="15363" max="15363" width="7.140625" style="151" customWidth="1"/>
    <col min="15364" max="15364" width="12" style="151" customWidth="1"/>
    <col min="15365" max="15365" width="12.7109375" style="151" customWidth="1"/>
    <col min="15366" max="15377" width="11.140625" style="151" bestFit="1" customWidth="1"/>
    <col min="15378" max="15378" width="12" style="151" bestFit="1" customWidth="1"/>
    <col min="15379" max="15379" width="10" style="151" bestFit="1" customWidth="1"/>
    <col min="15380" max="15398" width="12.7109375" style="151" customWidth="1"/>
    <col min="15399" max="15409" width="9.85546875" style="151" bestFit="1" customWidth="1"/>
    <col min="15410" max="15410" width="11.140625" style="151" bestFit="1" customWidth="1"/>
    <col min="15411" max="15425" width="9.140625" style="151"/>
    <col min="15426" max="15426" width="9.85546875" style="151" bestFit="1" customWidth="1"/>
    <col min="15427" max="15441" width="9.140625" style="151"/>
    <col min="15442" max="15442" width="9.85546875" style="151" bestFit="1" customWidth="1"/>
    <col min="15443" max="15457" width="9.140625" style="151"/>
    <col min="15458" max="15458" width="9.85546875" style="151" bestFit="1" customWidth="1"/>
    <col min="15459" max="15473" width="9.140625" style="151"/>
    <col min="15474" max="15474" width="9.85546875" style="151" bestFit="1" customWidth="1"/>
    <col min="15475" max="15476" width="9.140625" style="151"/>
    <col min="15477" max="15477" width="11" style="151" bestFit="1" customWidth="1"/>
    <col min="15478" max="15482" width="11.140625" style="151" bestFit="1" customWidth="1"/>
    <col min="15483" max="15483" width="9.85546875" style="151" bestFit="1" customWidth="1"/>
    <col min="15484" max="15488" width="11.140625" style="151" bestFit="1" customWidth="1"/>
    <col min="15489" max="15489" width="12" style="151" bestFit="1" customWidth="1"/>
    <col min="15490" max="15490" width="11" style="151" bestFit="1" customWidth="1"/>
    <col min="15491" max="15603" width="9.140625" style="151"/>
    <col min="15604" max="15604" width="8.28515625" style="151" bestFit="1" customWidth="1"/>
    <col min="15605" max="15605" width="26" style="151" bestFit="1" customWidth="1"/>
    <col min="15606" max="15606" width="12" style="151" customWidth="1"/>
    <col min="15607" max="15607" width="8.140625" style="151" customWidth="1"/>
    <col min="15608" max="15608" width="11.140625" style="151" customWidth="1"/>
    <col min="15609" max="15609" width="8.28515625" style="151" customWidth="1"/>
    <col min="15610" max="15610" width="9.85546875" style="151" customWidth="1"/>
    <col min="15611" max="15611" width="8" style="151" customWidth="1"/>
    <col min="15612" max="15612" width="9.85546875" style="151" customWidth="1"/>
    <col min="15613" max="15613" width="6" style="151" customWidth="1"/>
    <col min="15614" max="15614" width="11.140625" style="151" customWidth="1"/>
    <col min="15615" max="15615" width="6.85546875" style="151" customWidth="1"/>
    <col min="15616" max="15616" width="11.7109375" style="151" customWidth="1"/>
    <col min="15617" max="15617" width="7.140625" style="151" customWidth="1"/>
    <col min="15618" max="15618" width="9" style="151" customWidth="1"/>
    <col min="15619" max="15619" width="7.140625" style="151" customWidth="1"/>
    <col min="15620" max="15620" width="12" style="151" customWidth="1"/>
    <col min="15621" max="15621" width="12.7109375" style="151" customWidth="1"/>
    <col min="15622" max="15633" width="11.140625" style="151" bestFit="1" customWidth="1"/>
    <col min="15634" max="15634" width="12" style="151" bestFit="1" customWidth="1"/>
    <col min="15635" max="15635" width="10" style="151" bestFit="1" customWidth="1"/>
    <col min="15636" max="15654" width="12.7109375" style="151" customWidth="1"/>
    <col min="15655" max="15665" width="9.85546875" style="151" bestFit="1" customWidth="1"/>
    <col min="15666" max="15666" width="11.140625" style="151" bestFit="1" customWidth="1"/>
    <col min="15667" max="15681" width="9.140625" style="151"/>
    <col min="15682" max="15682" width="9.85546875" style="151" bestFit="1" customWidth="1"/>
    <col min="15683" max="15697" width="9.140625" style="151"/>
    <col min="15698" max="15698" width="9.85546875" style="151" bestFit="1" customWidth="1"/>
    <col min="15699" max="15713" width="9.140625" style="151"/>
    <col min="15714" max="15714" width="9.85546875" style="151" bestFit="1" customWidth="1"/>
    <col min="15715" max="15729" width="9.140625" style="151"/>
    <col min="15730" max="15730" width="9.85546875" style="151" bestFit="1" customWidth="1"/>
    <col min="15731" max="15732" width="9.140625" style="151"/>
    <col min="15733" max="15733" width="11" style="151" bestFit="1" customWidth="1"/>
    <col min="15734" max="15738" width="11.140625" style="151" bestFit="1" customWidth="1"/>
    <col min="15739" max="15739" width="9.85546875" style="151" bestFit="1" customWidth="1"/>
    <col min="15740" max="15744" width="11.140625" style="151" bestFit="1" customWidth="1"/>
    <col min="15745" max="15745" width="12" style="151" bestFit="1" customWidth="1"/>
    <col min="15746" max="15746" width="11" style="151" bestFit="1" customWidth="1"/>
    <col min="15747" max="15859" width="9.140625" style="151"/>
    <col min="15860" max="15860" width="8.28515625" style="151" bestFit="1" customWidth="1"/>
    <col min="15861" max="15861" width="26" style="151" bestFit="1" customWidth="1"/>
    <col min="15862" max="15862" width="12" style="151" customWidth="1"/>
    <col min="15863" max="15863" width="8.140625" style="151" customWidth="1"/>
    <col min="15864" max="15864" width="11.140625" style="151" customWidth="1"/>
    <col min="15865" max="15865" width="8.28515625" style="151" customWidth="1"/>
    <col min="15866" max="15866" width="9.85546875" style="151" customWidth="1"/>
    <col min="15867" max="15867" width="8" style="151" customWidth="1"/>
    <col min="15868" max="15868" width="9.85546875" style="151" customWidth="1"/>
    <col min="15869" max="15869" width="6" style="151" customWidth="1"/>
    <col min="15870" max="15870" width="11.140625" style="151" customWidth="1"/>
    <col min="15871" max="15871" width="6.85546875" style="151" customWidth="1"/>
    <col min="15872" max="15872" width="11.7109375" style="151" customWidth="1"/>
    <col min="15873" max="15873" width="7.140625" style="151" customWidth="1"/>
    <col min="15874" max="15874" width="9" style="151" customWidth="1"/>
    <col min="15875" max="15875" width="7.140625" style="151" customWidth="1"/>
    <col min="15876" max="15876" width="12" style="151" customWidth="1"/>
    <col min="15877" max="15877" width="12.7109375" style="151" customWidth="1"/>
    <col min="15878" max="15889" width="11.140625" style="151" bestFit="1" customWidth="1"/>
    <col min="15890" max="15890" width="12" style="151" bestFit="1" customWidth="1"/>
    <col min="15891" max="15891" width="10" style="151" bestFit="1" customWidth="1"/>
    <col min="15892" max="15910" width="12.7109375" style="151" customWidth="1"/>
    <col min="15911" max="15921" width="9.85546875" style="151" bestFit="1" customWidth="1"/>
    <col min="15922" max="15922" width="11.140625" style="151" bestFit="1" customWidth="1"/>
    <col min="15923" max="15937" width="9.140625" style="151"/>
    <col min="15938" max="15938" width="9.85546875" style="151" bestFit="1" customWidth="1"/>
    <col min="15939" max="15953" width="9.140625" style="151"/>
    <col min="15954" max="15954" width="9.85546875" style="151" bestFit="1" customWidth="1"/>
    <col min="15955" max="15969" width="9.140625" style="151"/>
    <col min="15970" max="15970" width="9.85546875" style="151" bestFit="1" customWidth="1"/>
    <col min="15971" max="15985" width="9.140625" style="151"/>
    <col min="15986" max="15986" width="9.85546875" style="151" bestFit="1" customWidth="1"/>
    <col min="15987" max="15988" width="9.140625" style="151"/>
    <col min="15989" max="15989" width="11" style="151" bestFit="1" customWidth="1"/>
    <col min="15990" max="15994" width="11.140625" style="151" bestFit="1" customWidth="1"/>
    <col min="15995" max="15995" width="9.85546875" style="151" bestFit="1" customWidth="1"/>
    <col min="15996" max="16000" width="11.140625" style="151" bestFit="1" customWidth="1"/>
    <col min="16001" max="16001" width="12" style="151" bestFit="1" customWidth="1"/>
    <col min="16002" max="16002" width="11" style="151" bestFit="1" customWidth="1"/>
    <col min="16003" max="16115" width="9.140625" style="151"/>
    <col min="16116" max="16116" width="8.28515625" style="151" bestFit="1" customWidth="1"/>
    <col min="16117" max="16117" width="26" style="151" bestFit="1" customWidth="1"/>
    <col min="16118" max="16118" width="12" style="151" customWidth="1"/>
    <col min="16119" max="16119" width="8.140625" style="151" customWidth="1"/>
    <col min="16120" max="16120" width="11.140625" style="151" customWidth="1"/>
    <col min="16121" max="16121" width="8.28515625" style="151" customWidth="1"/>
    <col min="16122" max="16122" width="9.85546875" style="151" customWidth="1"/>
    <col min="16123" max="16123" width="8" style="151" customWidth="1"/>
    <col min="16124" max="16124" width="9.85546875" style="151" customWidth="1"/>
    <col min="16125" max="16125" width="6" style="151" customWidth="1"/>
    <col min="16126" max="16126" width="11.140625" style="151" customWidth="1"/>
    <col min="16127" max="16127" width="6.85546875" style="151" customWidth="1"/>
    <col min="16128" max="16128" width="11.7109375" style="151" customWidth="1"/>
    <col min="16129" max="16129" width="7.140625" style="151" customWidth="1"/>
    <col min="16130" max="16130" width="9" style="151" customWidth="1"/>
    <col min="16131" max="16131" width="7.140625" style="151" customWidth="1"/>
    <col min="16132" max="16132" width="12" style="151" customWidth="1"/>
    <col min="16133" max="16133" width="12.7109375" style="151" customWidth="1"/>
    <col min="16134" max="16145" width="11.140625" style="151" bestFit="1" customWidth="1"/>
    <col min="16146" max="16146" width="12" style="151" bestFit="1" customWidth="1"/>
    <col min="16147" max="16147" width="10" style="151" bestFit="1" customWidth="1"/>
    <col min="16148" max="16166" width="12.7109375" style="151" customWidth="1"/>
    <col min="16167" max="16177" width="9.85546875" style="151" bestFit="1" customWidth="1"/>
    <col min="16178" max="16178" width="11.140625" style="151" bestFit="1" customWidth="1"/>
    <col min="16179" max="16193" width="9.140625" style="151"/>
    <col min="16194" max="16194" width="9.85546875" style="151" bestFit="1" customWidth="1"/>
    <col min="16195" max="16209" width="9.140625" style="151"/>
    <col min="16210" max="16210" width="9.85546875" style="151" bestFit="1" customWidth="1"/>
    <col min="16211" max="16225" width="9.140625" style="151"/>
    <col min="16226" max="16226" width="9.85546875" style="151" bestFit="1" customWidth="1"/>
    <col min="16227" max="16241" width="9.140625" style="151"/>
    <col min="16242" max="16242" width="9.85546875" style="151" bestFit="1" customWidth="1"/>
    <col min="16243" max="16244" width="9.140625" style="151"/>
    <col min="16245" max="16245" width="11" style="151" bestFit="1" customWidth="1"/>
    <col min="16246" max="16250" width="11.140625" style="151" bestFit="1" customWidth="1"/>
    <col min="16251" max="16251" width="9.85546875" style="151" bestFit="1" customWidth="1"/>
    <col min="16252" max="16256" width="11.140625" style="151" bestFit="1" customWidth="1"/>
    <col min="16257" max="16257" width="12" style="151" bestFit="1" customWidth="1"/>
    <col min="16258" max="16258" width="11" style="151" bestFit="1" customWidth="1"/>
    <col min="16259" max="16384" width="9.140625" style="151"/>
  </cols>
  <sheetData>
    <row r="1" spans="1:129" x14ac:dyDescent="0.2">
      <c r="F1" s="210" t="s">
        <v>49</v>
      </c>
      <c r="G1" s="210" t="s">
        <v>48</v>
      </c>
      <c r="H1" s="210" t="s">
        <v>47</v>
      </c>
      <c r="I1" s="210" t="s">
        <v>46</v>
      </c>
      <c r="J1" s="210" t="s">
        <v>45</v>
      </c>
      <c r="K1" s="210" t="s">
        <v>44</v>
      </c>
      <c r="L1" s="210" t="s">
        <v>43</v>
      </c>
      <c r="M1" s="210" t="s">
        <v>42</v>
      </c>
      <c r="N1" s="210" t="s">
        <v>41</v>
      </c>
      <c r="O1" s="210" t="s">
        <v>40</v>
      </c>
      <c r="P1" s="210" t="s">
        <v>39</v>
      </c>
      <c r="Q1" s="210" t="s">
        <v>38</v>
      </c>
      <c r="R1" s="210" t="s">
        <v>37</v>
      </c>
      <c r="V1" s="210" t="s">
        <v>49</v>
      </c>
      <c r="W1" s="210" t="s">
        <v>48</v>
      </c>
      <c r="X1" s="210" t="s">
        <v>47</v>
      </c>
      <c r="Y1" s="210" t="s">
        <v>46</v>
      </c>
      <c r="Z1" s="210" t="s">
        <v>45</v>
      </c>
      <c r="AA1" s="210" t="s">
        <v>44</v>
      </c>
      <c r="AB1" s="210" t="s">
        <v>43</v>
      </c>
      <c r="AC1" s="210" t="s">
        <v>42</v>
      </c>
      <c r="AD1" s="210" t="s">
        <v>41</v>
      </c>
      <c r="AE1" s="210" t="s">
        <v>40</v>
      </c>
      <c r="AF1" s="210" t="s">
        <v>39</v>
      </c>
      <c r="AG1" s="210" t="s">
        <v>38</v>
      </c>
      <c r="AH1" s="210" t="s">
        <v>37</v>
      </c>
      <c r="AL1" s="210" t="s">
        <v>49</v>
      </c>
      <c r="AM1" s="210" t="s">
        <v>48</v>
      </c>
      <c r="AN1" s="210" t="s">
        <v>47</v>
      </c>
      <c r="AO1" s="210" t="s">
        <v>46</v>
      </c>
      <c r="AP1" s="210" t="s">
        <v>45</v>
      </c>
      <c r="AQ1" s="210" t="s">
        <v>44</v>
      </c>
      <c r="AR1" s="210" t="s">
        <v>43</v>
      </c>
      <c r="AS1" s="210" t="s">
        <v>42</v>
      </c>
      <c r="AT1" s="210" t="s">
        <v>41</v>
      </c>
      <c r="AU1" s="210" t="s">
        <v>40</v>
      </c>
      <c r="AV1" s="210" t="s">
        <v>39</v>
      </c>
      <c r="AW1" s="210" t="s">
        <v>38</v>
      </c>
      <c r="AX1" s="210" t="s">
        <v>37</v>
      </c>
      <c r="BB1" s="210" t="s">
        <v>49</v>
      </c>
      <c r="BC1" s="210" t="s">
        <v>48</v>
      </c>
      <c r="BD1" s="210" t="s">
        <v>47</v>
      </c>
      <c r="BE1" s="210" t="s">
        <v>46</v>
      </c>
      <c r="BF1" s="210" t="s">
        <v>45</v>
      </c>
      <c r="BG1" s="210" t="s">
        <v>44</v>
      </c>
      <c r="BH1" s="210" t="s">
        <v>43</v>
      </c>
      <c r="BI1" s="210" t="s">
        <v>42</v>
      </c>
      <c r="BJ1" s="210" t="s">
        <v>41</v>
      </c>
      <c r="BK1" s="210" t="s">
        <v>40</v>
      </c>
      <c r="BL1" s="210" t="s">
        <v>39</v>
      </c>
      <c r="BM1" s="210" t="s">
        <v>38</v>
      </c>
      <c r="BN1" s="210" t="s">
        <v>37</v>
      </c>
      <c r="BR1" s="210" t="s">
        <v>49</v>
      </c>
      <c r="BS1" s="210" t="s">
        <v>48</v>
      </c>
      <c r="BT1" s="210" t="s">
        <v>47</v>
      </c>
      <c r="BU1" s="210" t="s">
        <v>46</v>
      </c>
      <c r="BV1" s="210" t="s">
        <v>45</v>
      </c>
      <c r="BW1" s="210" t="s">
        <v>44</v>
      </c>
      <c r="BX1" s="210" t="s">
        <v>43</v>
      </c>
      <c r="BY1" s="210" t="s">
        <v>42</v>
      </c>
      <c r="BZ1" s="210" t="s">
        <v>41</v>
      </c>
      <c r="CA1" s="210" t="s">
        <v>40</v>
      </c>
      <c r="CB1" s="210" t="s">
        <v>39</v>
      </c>
      <c r="CC1" s="210" t="s">
        <v>38</v>
      </c>
      <c r="CD1" s="210" t="s">
        <v>37</v>
      </c>
      <c r="CH1" s="210" t="s">
        <v>49</v>
      </c>
      <c r="CI1" s="210" t="s">
        <v>48</v>
      </c>
      <c r="CJ1" s="210" t="s">
        <v>47</v>
      </c>
      <c r="CK1" s="210" t="s">
        <v>46</v>
      </c>
      <c r="CL1" s="210" t="s">
        <v>45</v>
      </c>
      <c r="CM1" s="210" t="s">
        <v>44</v>
      </c>
      <c r="CN1" s="210" t="s">
        <v>43</v>
      </c>
      <c r="CO1" s="210" t="s">
        <v>42</v>
      </c>
      <c r="CP1" s="210" t="s">
        <v>41</v>
      </c>
      <c r="CQ1" s="210" t="s">
        <v>40</v>
      </c>
      <c r="CR1" s="210" t="s">
        <v>39</v>
      </c>
      <c r="CS1" s="210" t="s">
        <v>38</v>
      </c>
      <c r="CT1" s="210" t="s">
        <v>37</v>
      </c>
      <c r="CX1" s="210" t="s">
        <v>49</v>
      </c>
      <c r="CY1" s="210" t="s">
        <v>48</v>
      </c>
      <c r="CZ1" s="210" t="s">
        <v>47</v>
      </c>
      <c r="DA1" s="210" t="s">
        <v>46</v>
      </c>
      <c r="DB1" s="210" t="s">
        <v>45</v>
      </c>
      <c r="DC1" s="210" t="s">
        <v>44</v>
      </c>
      <c r="DD1" s="210" t="s">
        <v>43</v>
      </c>
      <c r="DE1" s="210" t="s">
        <v>42</v>
      </c>
      <c r="DF1" s="210" t="s">
        <v>41</v>
      </c>
      <c r="DG1" s="210" t="s">
        <v>40</v>
      </c>
      <c r="DH1" s="210" t="s">
        <v>39</v>
      </c>
      <c r="DI1" s="210" t="s">
        <v>38</v>
      </c>
      <c r="DJ1" s="210" t="s">
        <v>37</v>
      </c>
      <c r="DM1" s="210" t="s">
        <v>49</v>
      </c>
      <c r="DN1" s="210" t="s">
        <v>48</v>
      </c>
      <c r="DO1" s="210" t="s">
        <v>47</v>
      </c>
      <c r="DP1" s="210" t="s">
        <v>46</v>
      </c>
      <c r="DQ1" s="210" t="s">
        <v>45</v>
      </c>
      <c r="DR1" s="210" t="s">
        <v>44</v>
      </c>
      <c r="DS1" s="210" t="s">
        <v>43</v>
      </c>
      <c r="DT1" s="210" t="s">
        <v>42</v>
      </c>
      <c r="DU1" s="210" t="s">
        <v>41</v>
      </c>
      <c r="DV1" s="210" t="s">
        <v>40</v>
      </c>
      <c r="DW1" s="210" t="s">
        <v>39</v>
      </c>
      <c r="DX1" s="210" t="s">
        <v>38</v>
      </c>
      <c r="DY1" s="210" t="s">
        <v>37</v>
      </c>
    </row>
    <row r="2" spans="1:129" s="92" customFormat="1" x14ac:dyDescent="0.2">
      <c r="A2" s="215"/>
      <c r="B2" s="139" t="s">
        <v>671</v>
      </c>
      <c r="C2" s="246">
        <f>STATS!D94</f>
        <v>4086</v>
      </c>
      <c r="D2" s="215"/>
      <c r="E2" s="216"/>
      <c r="F2" s="187">
        <f>'MO STATS'!E90</f>
        <v>301</v>
      </c>
      <c r="G2" s="187">
        <f>'MO STATS'!F90</f>
        <v>277</v>
      </c>
      <c r="H2" s="187">
        <f>'MO STATS'!G90</f>
        <v>282</v>
      </c>
      <c r="I2" s="187">
        <f>'MO STATS'!H90</f>
        <v>285</v>
      </c>
      <c r="J2" s="187">
        <f>'MO STATS'!I90</f>
        <v>333</v>
      </c>
      <c r="K2" s="187">
        <f>'MO STATS'!J90</f>
        <v>421</v>
      </c>
      <c r="L2" s="187">
        <f>'MO STATS'!K90</f>
        <v>279</v>
      </c>
      <c r="M2" s="187">
        <f>'MO STATS'!L90</f>
        <v>287</v>
      </c>
      <c r="N2" s="187">
        <f>'MO STATS'!M90</f>
        <v>345</v>
      </c>
      <c r="O2" s="187">
        <f>'MO STATS'!N90</f>
        <v>447</v>
      </c>
      <c r="P2" s="187">
        <f>'MO STATS'!O90</f>
        <v>438</v>
      </c>
      <c r="Q2" s="187">
        <f>'MO STATS'!P90</f>
        <v>392</v>
      </c>
      <c r="R2" s="154">
        <f>SUM(F2:Q2)</f>
        <v>4087</v>
      </c>
      <c r="S2" s="153">
        <f>C2-R2</f>
        <v>-1</v>
      </c>
      <c r="T2" s="237"/>
      <c r="U2" s="237"/>
      <c r="V2" s="237">
        <f>F2</f>
        <v>301</v>
      </c>
      <c r="W2" s="237">
        <f t="shared" ref="W2:AG3" si="0">G2</f>
        <v>277</v>
      </c>
      <c r="X2" s="237">
        <f t="shared" si="0"/>
        <v>282</v>
      </c>
      <c r="Y2" s="237">
        <f t="shared" si="0"/>
        <v>285</v>
      </c>
      <c r="Z2" s="237">
        <f t="shared" si="0"/>
        <v>333</v>
      </c>
      <c r="AA2" s="237">
        <f t="shared" si="0"/>
        <v>421</v>
      </c>
      <c r="AB2" s="237">
        <f t="shared" si="0"/>
        <v>279</v>
      </c>
      <c r="AC2" s="237">
        <f t="shared" si="0"/>
        <v>287</v>
      </c>
      <c r="AD2" s="237">
        <f t="shared" si="0"/>
        <v>345</v>
      </c>
      <c r="AE2" s="237">
        <f t="shared" si="0"/>
        <v>447</v>
      </c>
      <c r="AF2" s="237">
        <f t="shared" si="0"/>
        <v>438</v>
      </c>
      <c r="AG2" s="237">
        <f t="shared" si="0"/>
        <v>392</v>
      </c>
      <c r="AH2" s="247">
        <f>SUM(V2:AG2)</f>
        <v>4087</v>
      </c>
      <c r="AL2" s="237">
        <f>V2</f>
        <v>301</v>
      </c>
      <c r="AM2" s="237">
        <f t="shared" ref="AM2:AW3" si="1">W2</f>
        <v>277</v>
      </c>
      <c r="AN2" s="237">
        <f t="shared" si="1"/>
        <v>282</v>
      </c>
      <c r="AO2" s="237">
        <f t="shared" si="1"/>
        <v>285</v>
      </c>
      <c r="AP2" s="237">
        <f t="shared" si="1"/>
        <v>333</v>
      </c>
      <c r="AQ2" s="237">
        <f t="shared" si="1"/>
        <v>421</v>
      </c>
      <c r="AR2" s="237">
        <f t="shared" si="1"/>
        <v>279</v>
      </c>
      <c r="AS2" s="237">
        <f t="shared" si="1"/>
        <v>287</v>
      </c>
      <c r="AT2" s="237">
        <f t="shared" si="1"/>
        <v>345</v>
      </c>
      <c r="AU2" s="237">
        <f t="shared" si="1"/>
        <v>447</v>
      </c>
      <c r="AV2" s="237">
        <f t="shared" si="1"/>
        <v>438</v>
      </c>
      <c r="AW2" s="237">
        <f t="shared" si="1"/>
        <v>392</v>
      </c>
      <c r="AX2" s="247">
        <f>SUM(AL2:AW2)</f>
        <v>4087</v>
      </c>
      <c r="BB2" s="237">
        <f>AL2</f>
        <v>301</v>
      </c>
      <c r="BC2" s="237">
        <f t="shared" ref="BC2:BM3" si="2">AM2</f>
        <v>277</v>
      </c>
      <c r="BD2" s="237">
        <f t="shared" si="2"/>
        <v>282</v>
      </c>
      <c r="BE2" s="237">
        <f t="shared" si="2"/>
        <v>285</v>
      </c>
      <c r="BF2" s="237">
        <f t="shared" si="2"/>
        <v>333</v>
      </c>
      <c r="BG2" s="237">
        <f t="shared" si="2"/>
        <v>421</v>
      </c>
      <c r="BH2" s="237">
        <f t="shared" si="2"/>
        <v>279</v>
      </c>
      <c r="BI2" s="237">
        <f t="shared" si="2"/>
        <v>287</v>
      </c>
      <c r="BJ2" s="237">
        <f t="shared" si="2"/>
        <v>345</v>
      </c>
      <c r="BK2" s="237">
        <f t="shared" si="2"/>
        <v>447</v>
      </c>
      <c r="BL2" s="237">
        <f t="shared" si="2"/>
        <v>438</v>
      </c>
      <c r="BM2" s="237">
        <f t="shared" si="2"/>
        <v>392</v>
      </c>
      <c r="BN2" s="247">
        <f>SUM(BB2:BM2)</f>
        <v>4087</v>
      </c>
      <c r="BQ2" s="237"/>
      <c r="BR2" s="237">
        <f>BB2</f>
        <v>301</v>
      </c>
      <c r="BS2" s="237">
        <f t="shared" ref="BS2:CC3" si="3">BC2</f>
        <v>277</v>
      </c>
      <c r="BT2" s="237">
        <f t="shared" si="3"/>
        <v>282</v>
      </c>
      <c r="BU2" s="237">
        <f t="shared" si="3"/>
        <v>285</v>
      </c>
      <c r="BV2" s="237">
        <f t="shared" si="3"/>
        <v>333</v>
      </c>
      <c r="BW2" s="237">
        <f t="shared" si="3"/>
        <v>421</v>
      </c>
      <c r="BX2" s="237">
        <f t="shared" si="3"/>
        <v>279</v>
      </c>
      <c r="BY2" s="237">
        <f t="shared" si="3"/>
        <v>287</v>
      </c>
      <c r="BZ2" s="237">
        <f t="shared" si="3"/>
        <v>345</v>
      </c>
      <c r="CA2" s="237">
        <f t="shared" si="3"/>
        <v>447</v>
      </c>
      <c r="CB2" s="237">
        <f t="shared" si="3"/>
        <v>438</v>
      </c>
      <c r="CC2" s="237">
        <f t="shared" si="3"/>
        <v>392</v>
      </c>
      <c r="CD2" s="247">
        <f>SUM(BR2:CC2)</f>
        <v>4087</v>
      </c>
      <c r="CH2" s="237">
        <f t="shared" ref="CH2:CS3" si="4">BR2</f>
        <v>301</v>
      </c>
      <c r="CI2" s="237">
        <f t="shared" si="4"/>
        <v>277</v>
      </c>
      <c r="CJ2" s="237">
        <f t="shared" si="4"/>
        <v>282</v>
      </c>
      <c r="CK2" s="237">
        <f t="shared" si="4"/>
        <v>285</v>
      </c>
      <c r="CL2" s="237">
        <f t="shared" si="4"/>
        <v>333</v>
      </c>
      <c r="CM2" s="237">
        <f t="shared" si="4"/>
        <v>421</v>
      </c>
      <c r="CN2" s="237">
        <f t="shared" si="4"/>
        <v>279</v>
      </c>
      <c r="CO2" s="237">
        <f t="shared" si="4"/>
        <v>287</v>
      </c>
      <c r="CP2" s="237">
        <f t="shared" si="4"/>
        <v>345</v>
      </c>
      <c r="CQ2" s="237">
        <f t="shared" si="4"/>
        <v>447</v>
      </c>
      <c r="CR2" s="237">
        <f t="shared" si="4"/>
        <v>438</v>
      </c>
      <c r="CS2" s="237">
        <f t="shared" si="4"/>
        <v>392</v>
      </c>
      <c r="CT2" s="247">
        <f>SUM(CH2:CS2)</f>
        <v>4087</v>
      </c>
      <c r="CX2" s="237">
        <f t="shared" ref="CX2:DI3" si="5">CH2</f>
        <v>301</v>
      </c>
      <c r="CY2" s="237">
        <f t="shared" si="5"/>
        <v>277</v>
      </c>
      <c r="CZ2" s="237">
        <f t="shared" si="5"/>
        <v>282</v>
      </c>
      <c r="DA2" s="237">
        <f t="shared" si="5"/>
        <v>285</v>
      </c>
      <c r="DB2" s="237">
        <f t="shared" si="5"/>
        <v>333</v>
      </c>
      <c r="DC2" s="237">
        <f t="shared" si="5"/>
        <v>421</v>
      </c>
      <c r="DD2" s="237">
        <f t="shared" si="5"/>
        <v>279</v>
      </c>
      <c r="DE2" s="237">
        <f t="shared" si="5"/>
        <v>287</v>
      </c>
      <c r="DF2" s="237">
        <f t="shared" si="5"/>
        <v>345</v>
      </c>
      <c r="DG2" s="237">
        <f t="shared" si="5"/>
        <v>447</v>
      </c>
      <c r="DH2" s="237">
        <f t="shared" si="5"/>
        <v>438</v>
      </c>
      <c r="DI2" s="237">
        <f t="shared" si="5"/>
        <v>392</v>
      </c>
      <c r="DJ2" s="247">
        <f>SUM(CX2:DI2)</f>
        <v>4087</v>
      </c>
      <c r="DM2" s="237">
        <f>CH2</f>
        <v>301</v>
      </c>
      <c r="DN2" s="237">
        <f t="shared" ref="DN2:DX2" si="6">CI2</f>
        <v>277</v>
      </c>
      <c r="DO2" s="237">
        <f t="shared" si="6"/>
        <v>282</v>
      </c>
      <c r="DP2" s="237">
        <f t="shared" si="6"/>
        <v>285</v>
      </c>
      <c r="DQ2" s="237">
        <f t="shared" si="6"/>
        <v>333</v>
      </c>
      <c r="DR2" s="237">
        <f t="shared" si="6"/>
        <v>421</v>
      </c>
      <c r="DS2" s="237">
        <f t="shared" si="6"/>
        <v>279</v>
      </c>
      <c r="DT2" s="237">
        <f t="shared" si="6"/>
        <v>287</v>
      </c>
      <c r="DU2" s="237">
        <f t="shared" si="6"/>
        <v>345</v>
      </c>
      <c r="DV2" s="237">
        <f t="shared" si="6"/>
        <v>447</v>
      </c>
      <c r="DW2" s="237">
        <f t="shared" si="6"/>
        <v>438</v>
      </c>
      <c r="DX2" s="237">
        <f t="shared" si="6"/>
        <v>392</v>
      </c>
      <c r="DY2" s="247">
        <f>SUM(DM2:DX2)</f>
        <v>4087</v>
      </c>
    </row>
    <row r="3" spans="1:129" s="92" customFormat="1" x14ac:dyDescent="0.2">
      <c r="A3" s="215"/>
      <c r="B3" s="139" t="s">
        <v>152</v>
      </c>
      <c r="C3" s="246">
        <f>STATS!D92</f>
        <v>20375</v>
      </c>
      <c r="D3" s="215"/>
      <c r="E3" s="216"/>
      <c r="F3" s="187">
        <f>'MO STATS'!E88</f>
        <v>1663</v>
      </c>
      <c r="G3" s="187">
        <f>'MO STATS'!F88</f>
        <v>1576</v>
      </c>
      <c r="H3" s="187">
        <f>'MO STATS'!G88</f>
        <v>1511</v>
      </c>
      <c r="I3" s="187">
        <f>'MO STATS'!H88</f>
        <v>1687</v>
      </c>
      <c r="J3" s="187">
        <f>'MO STATS'!I88</f>
        <v>1721</v>
      </c>
      <c r="K3" s="187">
        <f>'MO STATS'!J88</f>
        <v>1875</v>
      </c>
      <c r="L3" s="187">
        <f>'MO STATS'!K88</f>
        <v>1737</v>
      </c>
      <c r="M3" s="187">
        <f>'MO STATS'!L88</f>
        <v>1855</v>
      </c>
      <c r="N3" s="187">
        <f>'MO STATS'!M88</f>
        <v>1678</v>
      </c>
      <c r="O3" s="187">
        <f>'MO STATS'!N88</f>
        <v>1510</v>
      </c>
      <c r="P3" s="187">
        <f>'MO STATS'!O88</f>
        <v>1754</v>
      </c>
      <c r="Q3" s="187">
        <f>'MO STATS'!P88</f>
        <v>1808</v>
      </c>
      <c r="R3" s="154">
        <f>SUM(F3:Q3)</f>
        <v>20375</v>
      </c>
      <c r="S3" s="153">
        <f>C3-R3</f>
        <v>0</v>
      </c>
      <c r="T3" s="237"/>
      <c r="U3" s="237"/>
      <c r="V3" s="237">
        <f>F3</f>
        <v>1663</v>
      </c>
      <c r="W3" s="237">
        <f t="shared" si="0"/>
        <v>1576</v>
      </c>
      <c r="X3" s="237">
        <f t="shared" si="0"/>
        <v>1511</v>
      </c>
      <c r="Y3" s="237">
        <f t="shared" si="0"/>
        <v>1687</v>
      </c>
      <c r="Z3" s="237">
        <f t="shared" si="0"/>
        <v>1721</v>
      </c>
      <c r="AA3" s="237">
        <f t="shared" si="0"/>
        <v>1875</v>
      </c>
      <c r="AB3" s="237">
        <f t="shared" si="0"/>
        <v>1737</v>
      </c>
      <c r="AC3" s="237">
        <f t="shared" si="0"/>
        <v>1855</v>
      </c>
      <c r="AD3" s="237">
        <f t="shared" si="0"/>
        <v>1678</v>
      </c>
      <c r="AE3" s="237">
        <f t="shared" si="0"/>
        <v>1510</v>
      </c>
      <c r="AF3" s="237">
        <f t="shared" si="0"/>
        <v>1754</v>
      </c>
      <c r="AG3" s="237">
        <f t="shared" si="0"/>
        <v>1808</v>
      </c>
      <c r="AH3" s="247">
        <f>SUM(V3:AG3)</f>
        <v>20375</v>
      </c>
      <c r="AL3" s="237">
        <f>V3</f>
        <v>1663</v>
      </c>
      <c r="AM3" s="237">
        <f t="shared" si="1"/>
        <v>1576</v>
      </c>
      <c r="AN3" s="237">
        <f t="shared" si="1"/>
        <v>1511</v>
      </c>
      <c r="AO3" s="237">
        <f t="shared" si="1"/>
        <v>1687</v>
      </c>
      <c r="AP3" s="237">
        <f t="shared" si="1"/>
        <v>1721</v>
      </c>
      <c r="AQ3" s="237">
        <f t="shared" si="1"/>
        <v>1875</v>
      </c>
      <c r="AR3" s="237">
        <f t="shared" si="1"/>
        <v>1737</v>
      </c>
      <c r="AS3" s="237">
        <f t="shared" si="1"/>
        <v>1855</v>
      </c>
      <c r="AT3" s="237">
        <f t="shared" si="1"/>
        <v>1678</v>
      </c>
      <c r="AU3" s="237">
        <f t="shared" si="1"/>
        <v>1510</v>
      </c>
      <c r="AV3" s="237">
        <f t="shared" si="1"/>
        <v>1754</v>
      </c>
      <c r="AW3" s="237">
        <f t="shared" si="1"/>
        <v>1808</v>
      </c>
      <c r="AX3" s="247">
        <f>SUM(AL3:AW3)</f>
        <v>20375</v>
      </c>
      <c r="BB3" s="237">
        <f>AL3</f>
        <v>1663</v>
      </c>
      <c r="BC3" s="237">
        <f t="shared" si="2"/>
        <v>1576</v>
      </c>
      <c r="BD3" s="237">
        <f t="shared" si="2"/>
        <v>1511</v>
      </c>
      <c r="BE3" s="237">
        <f t="shared" si="2"/>
        <v>1687</v>
      </c>
      <c r="BF3" s="237">
        <f t="shared" si="2"/>
        <v>1721</v>
      </c>
      <c r="BG3" s="237">
        <f t="shared" si="2"/>
        <v>1875</v>
      </c>
      <c r="BH3" s="237">
        <f t="shared" si="2"/>
        <v>1737</v>
      </c>
      <c r="BI3" s="237">
        <f t="shared" si="2"/>
        <v>1855</v>
      </c>
      <c r="BJ3" s="237">
        <f t="shared" si="2"/>
        <v>1678</v>
      </c>
      <c r="BK3" s="237">
        <f t="shared" si="2"/>
        <v>1510</v>
      </c>
      <c r="BL3" s="237">
        <f t="shared" si="2"/>
        <v>1754</v>
      </c>
      <c r="BM3" s="237">
        <f t="shared" si="2"/>
        <v>1808</v>
      </c>
      <c r="BN3" s="247">
        <f>SUM(BB3:BM3)</f>
        <v>20375</v>
      </c>
      <c r="BQ3" s="237"/>
      <c r="BR3" s="237">
        <f>BB3</f>
        <v>1663</v>
      </c>
      <c r="BS3" s="237">
        <f t="shared" si="3"/>
        <v>1576</v>
      </c>
      <c r="BT3" s="237">
        <f t="shared" si="3"/>
        <v>1511</v>
      </c>
      <c r="BU3" s="237">
        <f t="shared" si="3"/>
        <v>1687</v>
      </c>
      <c r="BV3" s="237">
        <f t="shared" si="3"/>
        <v>1721</v>
      </c>
      <c r="BW3" s="237">
        <f t="shared" si="3"/>
        <v>1875</v>
      </c>
      <c r="BX3" s="237">
        <f t="shared" si="3"/>
        <v>1737</v>
      </c>
      <c r="BY3" s="237">
        <f t="shared" si="3"/>
        <v>1855</v>
      </c>
      <c r="BZ3" s="237">
        <f t="shared" si="3"/>
        <v>1678</v>
      </c>
      <c r="CA3" s="237">
        <f t="shared" si="3"/>
        <v>1510</v>
      </c>
      <c r="CB3" s="237">
        <f t="shared" si="3"/>
        <v>1754</v>
      </c>
      <c r="CC3" s="237">
        <f t="shared" si="3"/>
        <v>1808</v>
      </c>
      <c r="CD3" s="247">
        <f>SUM(BR3:CC3)</f>
        <v>20375</v>
      </c>
      <c r="CH3" s="237">
        <f t="shared" si="4"/>
        <v>1663</v>
      </c>
      <c r="CI3" s="237">
        <f t="shared" si="4"/>
        <v>1576</v>
      </c>
      <c r="CJ3" s="237">
        <f t="shared" si="4"/>
        <v>1511</v>
      </c>
      <c r="CK3" s="237">
        <f t="shared" si="4"/>
        <v>1687</v>
      </c>
      <c r="CL3" s="237">
        <f t="shared" si="4"/>
        <v>1721</v>
      </c>
      <c r="CM3" s="237">
        <f t="shared" si="4"/>
        <v>1875</v>
      </c>
      <c r="CN3" s="237">
        <f t="shared" si="4"/>
        <v>1737</v>
      </c>
      <c r="CO3" s="237">
        <f t="shared" si="4"/>
        <v>1855</v>
      </c>
      <c r="CP3" s="237">
        <f t="shared" si="4"/>
        <v>1678</v>
      </c>
      <c r="CQ3" s="237">
        <f t="shared" si="4"/>
        <v>1510</v>
      </c>
      <c r="CR3" s="237">
        <f t="shared" si="4"/>
        <v>1754</v>
      </c>
      <c r="CS3" s="237">
        <f t="shared" si="4"/>
        <v>1808</v>
      </c>
      <c r="CT3" s="247">
        <f>SUM(CH3:CS3)</f>
        <v>20375</v>
      </c>
      <c r="CX3" s="237">
        <f t="shared" si="5"/>
        <v>1663</v>
      </c>
      <c r="CY3" s="237">
        <f t="shared" si="5"/>
        <v>1576</v>
      </c>
      <c r="CZ3" s="237">
        <f t="shared" si="5"/>
        <v>1511</v>
      </c>
      <c r="DA3" s="237">
        <f t="shared" si="5"/>
        <v>1687</v>
      </c>
      <c r="DB3" s="237">
        <f t="shared" si="5"/>
        <v>1721</v>
      </c>
      <c r="DC3" s="237">
        <f t="shared" si="5"/>
        <v>1875</v>
      </c>
      <c r="DD3" s="237">
        <f t="shared" si="5"/>
        <v>1737</v>
      </c>
      <c r="DE3" s="237">
        <f t="shared" si="5"/>
        <v>1855</v>
      </c>
      <c r="DF3" s="237">
        <f t="shared" si="5"/>
        <v>1678</v>
      </c>
      <c r="DG3" s="237">
        <f t="shared" si="5"/>
        <v>1510</v>
      </c>
      <c r="DH3" s="237">
        <f t="shared" si="5"/>
        <v>1754</v>
      </c>
      <c r="DI3" s="237">
        <f t="shared" si="5"/>
        <v>1808</v>
      </c>
      <c r="DJ3" s="247">
        <f>SUM(CX3:DI3)</f>
        <v>20375</v>
      </c>
      <c r="DM3" s="237">
        <f>CX3</f>
        <v>1663</v>
      </c>
      <c r="DN3" s="237">
        <f t="shared" ref="DN3:DX3" si="7">CY3</f>
        <v>1576</v>
      </c>
      <c r="DO3" s="237">
        <f t="shared" si="7"/>
        <v>1511</v>
      </c>
      <c r="DP3" s="237">
        <f t="shared" si="7"/>
        <v>1687</v>
      </c>
      <c r="DQ3" s="237">
        <f t="shared" si="7"/>
        <v>1721</v>
      </c>
      <c r="DR3" s="237">
        <f t="shared" si="7"/>
        <v>1875</v>
      </c>
      <c r="DS3" s="237">
        <f t="shared" si="7"/>
        <v>1737</v>
      </c>
      <c r="DT3" s="237">
        <f t="shared" si="7"/>
        <v>1855</v>
      </c>
      <c r="DU3" s="237">
        <f t="shared" si="7"/>
        <v>1678</v>
      </c>
      <c r="DV3" s="237">
        <f t="shared" si="7"/>
        <v>1510</v>
      </c>
      <c r="DW3" s="237">
        <f t="shared" si="7"/>
        <v>1754</v>
      </c>
      <c r="DX3" s="237">
        <f t="shared" si="7"/>
        <v>1808</v>
      </c>
      <c r="DY3" s="247">
        <f>SUM(DM3:DX3)</f>
        <v>20375</v>
      </c>
    </row>
    <row r="4" spans="1:129" x14ac:dyDescent="0.2">
      <c r="F4" s="238"/>
      <c r="G4" s="238"/>
      <c r="H4" s="238"/>
      <c r="I4" s="238"/>
      <c r="J4" s="238"/>
      <c r="K4" s="238"/>
      <c r="L4" s="238"/>
      <c r="M4" s="238"/>
      <c r="N4" s="238"/>
      <c r="O4" s="238"/>
      <c r="P4" s="238"/>
      <c r="Q4" s="238"/>
      <c r="R4" s="239"/>
      <c r="V4" s="238">
        <f>SUM(V2:V3)</f>
        <v>1964</v>
      </c>
      <c r="W4" s="238">
        <f t="shared" ref="W4:AG4" si="8">SUM(W2:W3)</f>
        <v>1853</v>
      </c>
      <c r="X4" s="238">
        <f t="shared" si="8"/>
        <v>1793</v>
      </c>
      <c r="Y4" s="238">
        <f t="shared" si="8"/>
        <v>1972</v>
      </c>
      <c r="Z4" s="238">
        <f t="shared" si="8"/>
        <v>2054</v>
      </c>
      <c r="AA4" s="238">
        <f t="shared" si="8"/>
        <v>2296</v>
      </c>
      <c r="AB4" s="238">
        <f t="shared" si="8"/>
        <v>2016</v>
      </c>
      <c r="AC4" s="238">
        <f t="shared" si="8"/>
        <v>2142</v>
      </c>
      <c r="AD4" s="238">
        <f t="shared" si="8"/>
        <v>2023</v>
      </c>
      <c r="AE4" s="238">
        <f t="shared" si="8"/>
        <v>1957</v>
      </c>
      <c r="AF4" s="238">
        <f t="shared" si="8"/>
        <v>2192</v>
      </c>
      <c r="AG4" s="238">
        <f t="shared" si="8"/>
        <v>2200</v>
      </c>
      <c r="AH4" s="239">
        <f>SUM(AH2:AH3)</f>
        <v>24462</v>
      </c>
      <c r="AL4" s="238">
        <f>SUM(AL2:AL3)</f>
        <v>1964</v>
      </c>
      <c r="AM4" s="238">
        <f t="shared" ref="AM4:AW4" si="9">SUM(AM2:AM3)</f>
        <v>1853</v>
      </c>
      <c r="AN4" s="238">
        <f t="shared" si="9"/>
        <v>1793</v>
      </c>
      <c r="AO4" s="238">
        <f t="shared" si="9"/>
        <v>1972</v>
      </c>
      <c r="AP4" s="238">
        <f t="shared" si="9"/>
        <v>2054</v>
      </c>
      <c r="AQ4" s="238">
        <f t="shared" si="9"/>
        <v>2296</v>
      </c>
      <c r="AR4" s="238">
        <f t="shared" si="9"/>
        <v>2016</v>
      </c>
      <c r="AS4" s="238">
        <f t="shared" si="9"/>
        <v>2142</v>
      </c>
      <c r="AT4" s="238">
        <f t="shared" si="9"/>
        <v>2023</v>
      </c>
      <c r="AU4" s="238">
        <f t="shared" si="9"/>
        <v>1957</v>
      </c>
      <c r="AV4" s="238">
        <f t="shared" si="9"/>
        <v>2192</v>
      </c>
      <c r="AW4" s="238">
        <f t="shared" si="9"/>
        <v>2200</v>
      </c>
      <c r="AX4" s="239">
        <f>SUM(AX2:AX3)</f>
        <v>24462</v>
      </c>
      <c r="BB4" s="238">
        <f>SUM(BB2:BB3)</f>
        <v>1964</v>
      </c>
      <c r="BC4" s="238">
        <f t="shared" ref="BC4:BM4" si="10">SUM(BC2:BC3)</f>
        <v>1853</v>
      </c>
      <c r="BD4" s="238">
        <f t="shared" si="10"/>
        <v>1793</v>
      </c>
      <c r="BE4" s="238">
        <f t="shared" si="10"/>
        <v>1972</v>
      </c>
      <c r="BF4" s="238">
        <f t="shared" si="10"/>
        <v>2054</v>
      </c>
      <c r="BG4" s="238">
        <f t="shared" si="10"/>
        <v>2296</v>
      </c>
      <c r="BH4" s="238">
        <f t="shared" si="10"/>
        <v>2016</v>
      </c>
      <c r="BI4" s="238">
        <f t="shared" si="10"/>
        <v>2142</v>
      </c>
      <c r="BJ4" s="238">
        <f t="shared" si="10"/>
        <v>2023</v>
      </c>
      <c r="BK4" s="238">
        <f t="shared" si="10"/>
        <v>1957</v>
      </c>
      <c r="BL4" s="238">
        <f t="shared" si="10"/>
        <v>2192</v>
      </c>
      <c r="BM4" s="238">
        <f t="shared" si="10"/>
        <v>2200</v>
      </c>
      <c r="BN4" s="239">
        <f>SUM(BN2:BN3)</f>
        <v>24462</v>
      </c>
      <c r="BR4" s="238">
        <f>SUM(BR2:BR3)</f>
        <v>1964</v>
      </c>
      <c r="BS4" s="238">
        <f t="shared" ref="BS4:CC4" si="11">SUM(BS2:BS3)</f>
        <v>1853</v>
      </c>
      <c r="BT4" s="238">
        <f t="shared" si="11"/>
        <v>1793</v>
      </c>
      <c r="BU4" s="238">
        <f t="shared" si="11"/>
        <v>1972</v>
      </c>
      <c r="BV4" s="238">
        <f t="shared" si="11"/>
        <v>2054</v>
      </c>
      <c r="BW4" s="238">
        <f t="shared" si="11"/>
        <v>2296</v>
      </c>
      <c r="BX4" s="238">
        <f t="shared" si="11"/>
        <v>2016</v>
      </c>
      <c r="BY4" s="238">
        <f t="shared" si="11"/>
        <v>2142</v>
      </c>
      <c r="BZ4" s="238">
        <f t="shared" si="11"/>
        <v>2023</v>
      </c>
      <c r="CA4" s="238">
        <f t="shared" si="11"/>
        <v>1957</v>
      </c>
      <c r="CB4" s="238">
        <f t="shared" si="11"/>
        <v>2192</v>
      </c>
      <c r="CC4" s="238">
        <f t="shared" si="11"/>
        <v>2200</v>
      </c>
      <c r="CD4" s="239">
        <f>SUM(CD2:CD3)</f>
        <v>24462</v>
      </c>
      <c r="CH4" s="238">
        <f>SUM(CH2:CH3)</f>
        <v>1964</v>
      </c>
      <c r="CI4" s="238">
        <f t="shared" ref="CI4:CS4" si="12">SUM(CI2:CI3)</f>
        <v>1853</v>
      </c>
      <c r="CJ4" s="238">
        <f t="shared" si="12"/>
        <v>1793</v>
      </c>
      <c r="CK4" s="238">
        <f t="shared" si="12"/>
        <v>1972</v>
      </c>
      <c r="CL4" s="238">
        <f t="shared" si="12"/>
        <v>2054</v>
      </c>
      <c r="CM4" s="238">
        <f t="shared" si="12"/>
        <v>2296</v>
      </c>
      <c r="CN4" s="238">
        <f t="shared" si="12"/>
        <v>2016</v>
      </c>
      <c r="CO4" s="238">
        <f t="shared" si="12"/>
        <v>2142</v>
      </c>
      <c r="CP4" s="238">
        <f t="shared" si="12"/>
        <v>2023</v>
      </c>
      <c r="CQ4" s="238">
        <f t="shared" si="12"/>
        <v>1957</v>
      </c>
      <c r="CR4" s="238">
        <f t="shared" si="12"/>
        <v>2192</v>
      </c>
      <c r="CS4" s="238">
        <f t="shared" si="12"/>
        <v>2200</v>
      </c>
      <c r="CT4" s="239">
        <f>SUM(CT2:CT3)</f>
        <v>24462</v>
      </c>
      <c r="CX4" s="238">
        <f>SUM(CX2:CX3)</f>
        <v>1964</v>
      </c>
      <c r="CY4" s="238">
        <f t="shared" ref="CY4:DI4" si="13">SUM(CY2:CY3)</f>
        <v>1853</v>
      </c>
      <c r="CZ4" s="238">
        <f t="shared" si="13"/>
        <v>1793</v>
      </c>
      <c r="DA4" s="238">
        <f t="shared" si="13"/>
        <v>1972</v>
      </c>
      <c r="DB4" s="238">
        <f t="shared" si="13"/>
        <v>2054</v>
      </c>
      <c r="DC4" s="238">
        <f t="shared" si="13"/>
        <v>2296</v>
      </c>
      <c r="DD4" s="238">
        <f t="shared" si="13"/>
        <v>2016</v>
      </c>
      <c r="DE4" s="238">
        <f t="shared" si="13"/>
        <v>2142</v>
      </c>
      <c r="DF4" s="238">
        <f t="shared" si="13"/>
        <v>2023</v>
      </c>
      <c r="DG4" s="238">
        <f t="shared" si="13"/>
        <v>1957</v>
      </c>
      <c r="DH4" s="238">
        <f t="shared" si="13"/>
        <v>2192</v>
      </c>
      <c r="DI4" s="238">
        <f t="shared" si="13"/>
        <v>2200</v>
      </c>
      <c r="DJ4" s="239">
        <f>SUM(DJ2:DJ3)</f>
        <v>24462</v>
      </c>
      <c r="DM4" s="238">
        <f>SUM(DM2:DM3)</f>
        <v>1964</v>
      </c>
      <c r="DN4" s="238">
        <f t="shared" ref="DN4:DX4" si="14">SUM(DN2:DN3)</f>
        <v>1853</v>
      </c>
      <c r="DO4" s="238">
        <f t="shared" si="14"/>
        <v>1793</v>
      </c>
      <c r="DP4" s="238">
        <f t="shared" si="14"/>
        <v>1972</v>
      </c>
      <c r="DQ4" s="238">
        <f t="shared" si="14"/>
        <v>2054</v>
      </c>
      <c r="DR4" s="238">
        <f t="shared" si="14"/>
        <v>2296</v>
      </c>
      <c r="DS4" s="238">
        <f t="shared" si="14"/>
        <v>2016</v>
      </c>
      <c r="DT4" s="238">
        <f t="shared" si="14"/>
        <v>2142</v>
      </c>
      <c r="DU4" s="238">
        <f t="shared" si="14"/>
        <v>2023</v>
      </c>
      <c r="DV4" s="238">
        <f t="shared" si="14"/>
        <v>1957</v>
      </c>
      <c r="DW4" s="238">
        <f t="shared" si="14"/>
        <v>2192</v>
      </c>
      <c r="DX4" s="238">
        <f t="shared" si="14"/>
        <v>2200</v>
      </c>
      <c r="DY4" s="239">
        <f>SUM(DY2:DY3)</f>
        <v>24462</v>
      </c>
    </row>
    <row r="5" spans="1:129" x14ac:dyDescent="0.2">
      <c r="A5" s="707" t="s">
        <v>672</v>
      </c>
      <c r="B5" s="707"/>
      <c r="C5" s="707"/>
      <c r="D5" s="707"/>
      <c r="E5" s="707"/>
    </row>
    <row r="6" spans="1:129" x14ac:dyDescent="0.2">
      <c r="A6" s="223"/>
      <c r="B6" s="242" t="s">
        <v>704</v>
      </c>
      <c r="C6" s="225"/>
      <c r="D6" s="240" t="s">
        <v>691</v>
      </c>
      <c r="AB6" s="218"/>
      <c r="AC6" s="218"/>
      <c r="AD6" s="218"/>
      <c r="AE6" s="218"/>
      <c r="AF6" s="218"/>
      <c r="AG6" s="218"/>
      <c r="AH6" s="221"/>
      <c r="AI6" s="221"/>
    </row>
    <row r="7" spans="1:129" s="92" customFormat="1" x14ac:dyDescent="0.2">
      <c r="A7" s="204">
        <v>51094</v>
      </c>
      <c r="B7" s="201" t="s">
        <v>705</v>
      </c>
      <c r="C7" s="229">
        <v>0</v>
      </c>
      <c r="D7" s="333">
        <f>($C7/C$2)*-1</f>
        <v>0</v>
      </c>
      <c r="E7" s="216"/>
      <c r="F7" s="153">
        <f>$D7*F$2</f>
        <v>0</v>
      </c>
      <c r="G7" s="153">
        <f t="shared" ref="G7:Q9" si="15">$D7*G$2</f>
        <v>0</v>
      </c>
      <c r="H7" s="153">
        <f t="shared" si="15"/>
        <v>0</v>
      </c>
      <c r="I7" s="153">
        <f t="shared" si="15"/>
        <v>0</v>
      </c>
      <c r="J7" s="153">
        <f t="shared" si="15"/>
        <v>0</v>
      </c>
      <c r="K7" s="153">
        <f t="shared" si="15"/>
        <v>0</v>
      </c>
      <c r="L7" s="153">
        <f t="shared" si="15"/>
        <v>0</v>
      </c>
      <c r="M7" s="153">
        <f t="shared" si="15"/>
        <v>0</v>
      </c>
      <c r="N7" s="153">
        <f t="shared" si="15"/>
        <v>0</v>
      </c>
      <c r="O7" s="153">
        <f t="shared" si="15"/>
        <v>0</v>
      </c>
      <c r="P7" s="153">
        <f t="shared" si="15"/>
        <v>0</v>
      </c>
      <c r="Q7" s="153">
        <f t="shared" si="15"/>
        <v>0</v>
      </c>
      <c r="R7" s="154">
        <f t="shared" ref="R7:R9" si="16">SUM(F7:Q7)</f>
        <v>0</v>
      </c>
      <c r="S7" s="153">
        <f>C7-R7</f>
        <v>0</v>
      </c>
      <c r="T7" s="237"/>
      <c r="U7" s="237"/>
      <c r="V7" s="237"/>
      <c r="W7" s="237"/>
      <c r="X7" s="237"/>
      <c r="Y7" s="237"/>
      <c r="Z7" s="237"/>
      <c r="AA7" s="237"/>
      <c r="AB7" s="237"/>
      <c r="AC7" s="237"/>
      <c r="AD7" s="237"/>
      <c r="AE7" s="237"/>
      <c r="AF7" s="237"/>
      <c r="AG7" s="237"/>
      <c r="AH7" s="237"/>
      <c r="AI7" s="153"/>
      <c r="BQ7" s="237"/>
    </row>
    <row r="8" spans="1:129" s="92" customFormat="1" x14ac:dyDescent="0.2">
      <c r="A8" s="204">
        <v>51095</v>
      </c>
      <c r="B8" s="201" t="s">
        <v>706</v>
      </c>
      <c r="C8" s="229">
        <v>0</v>
      </c>
      <c r="D8" s="333">
        <f>($C8/C$3)*-1</f>
        <v>0</v>
      </c>
      <c r="E8" s="216"/>
      <c r="F8" s="153">
        <f>$D8*F$3</f>
        <v>0</v>
      </c>
      <c r="G8" s="153">
        <f t="shared" ref="G8:Q8" si="17">$D8*G$3</f>
        <v>0</v>
      </c>
      <c r="H8" s="153">
        <f t="shared" si="17"/>
        <v>0</v>
      </c>
      <c r="I8" s="153">
        <f t="shared" si="17"/>
        <v>0</v>
      </c>
      <c r="J8" s="153">
        <f t="shared" si="17"/>
        <v>0</v>
      </c>
      <c r="K8" s="153">
        <f t="shared" si="17"/>
        <v>0</v>
      </c>
      <c r="L8" s="153">
        <f t="shared" si="17"/>
        <v>0</v>
      </c>
      <c r="M8" s="153">
        <f t="shared" si="17"/>
        <v>0</v>
      </c>
      <c r="N8" s="153">
        <f t="shared" si="17"/>
        <v>0</v>
      </c>
      <c r="O8" s="153">
        <f t="shared" si="17"/>
        <v>0</v>
      </c>
      <c r="P8" s="153">
        <f t="shared" si="17"/>
        <v>0</v>
      </c>
      <c r="Q8" s="153">
        <f t="shared" si="17"/>
        <v>0</v>
      </c>
      <c r="R8" s="154">
        <f t="shared" si="16"/>
        <v>0</v>
      </c>
      <c r="S8" s="153">
        <f>C8-R8</f>
        <v>0</v>
      </c>
      <c r="T8" s="237"/>
      <c r="U8" s="237"/>
      <c r="V8" s="237"/>
      <c r="W8" s="237"/>
      <c r="X8" s="237"/>
      <c r="Y8" s="237"/>
      <c r="Z8" s="237"/>
      <c r="AA8" s="237"/>
      <c r="AB8" s="237"/>
      <c r="AC8" s="237"/>
      <c r="AD8" s="237"/>
      <c r="AE8" s="237"/>
      <c r="AF8" s="237"/>
      <c r="AG8" s="237"/>
      <c r="AH8" s="237"/>
      <c r="AI8" s="153"/>
      <c r="BQ8" s="237"/>
    </row>
    <row r="9" spans="1:129" s="92" customFormat="1" x14ac:dyDescent="0.2">
      <c r="A9" s="204">
        <v>51096</v>
      </c>
      <c r="B9" s="201" t="s">
        <v>707</v>
      </c>
      <c r="C9" s="229">
        <v>0</v>
      </c>
      <c r="D9" s="333">
        <f>($C9/C$2)*-1</f>
        <v>0</v>
      </c>
      <c r="E9" s="216"/>
      <c r="F9" s="153">
        <f t="shared" ref="F9:Q10" si="18">$D9*F$2</f>
        <v>0</v>
      </c>
      <c r="G9" s="153">
        <f t="shared" si="15"/>
        <v>0</v>
      </c>
      <c r="H9" s="153">
        <f t="shared" si="15"/>
        <v>0</v>
      </c>
      <c r="I9" s="153">
        <f t="shared" si="15"/>
        <v>0</v>
      </c>
      <c r="J9" s="153">
        <f t="shared" si="15"/>
        <v>0</v>
      </c>
      <c r="K9" s="153">
        <f t="shared" si="15"/>
        <v>0</v>
      </c>
      <c r="L9" s="153">
        <f t="shared" si="15"/>
        <v>0</v>
      </c>
      <c r="M9" s="153">
        <f t="shared" si="15"/>
        <v>0</v>
      </c>
      <c r="N9" s="153">
        <f t="shared" si="15"/>
        <v>0</v>
      </c>
      <c r="O9" s="153">
        <f t="shared" si="15"/>
        <v>0</v>
      </c>
      <c r="P9" s="153">
        <f t="shared" si="15"/>
        <v>0</v>
      </c>
      <c r="Q9" s="153">
        <f t="shared" si="15"/>
        <v>0</v>
      </c>
      <c r="R9" s="154">
        <f t="shared" si="16"/>
        <v>0</v>
      </c>
      <c r="S9" s="153">
        <f>C9-R9</f>
        <v>0</v>
      </c>
      <c r="T9" s="237"/>
      <c r="U9" s="237"/>
      <c r="V9" s="237"/>
      <c r="W9" s="237"/>
      <c r="X9" s="237"/>
      <c r="Y9" s="237"/>
      <c r="Z9" s="237"/>
      <c r="AA9" s="237"/>
      <c r="AB9" s="237"/>
      <c r="AC9" s="237"/>
      <c r="AD9" s="237"/>
      <c r="AE9" s="237"/>
      <c r="AF9" s="237"/>
      <c r="AG9" s="237"/>
      <c r="AH9" s="237"/>
      <c r="AI9" s="153"/>
      <c r="BQ9" s="237"/>
    </row>
    <row r="10" spans="1:129" s="92" customFormat="1" x14ac:dyDescent="0.2">
      <c r="A10" s="204">
        <v>51192</v>
      </c>
      <c r="B10" s="201" t="s">
        <v>881</v>
      </c>
      <c r="C10" s="229">
        <v>0</v>
      </c>
      <c r="D10" s="333">
        <f>($C10/C$2)*-1</f>
        <v>0</v>
      </c>
      <c r="E10" s="216"/>
      <c r="F10" s="153">
        <f t="shared" si="18"/>
        <v>0</v>
      </c>
      <c r="G10" s="153">
        <f t="shared" si="18"/>
        <v>0</v>
      </c>
      <c r="H10" s="153">
        <f t="shared" si="18"/>
        <v>0</v>
      </c>
      <c r="I10" s="153">
        <f t="shared" si="18"/>
        <v>0</v>
      </c>
      <c r="J10" s="153">
        <f t="shared" si="18"/>
        <v>0</v>
      </c>
      <c r="K10" s="153">
        <f t="shared" si="18"/>
        <v>0</v>
      </c>
      <c r="L10" s="153">
        <f t="shared" si="18"/>
        <v>0</v>
      </c>
      <c r="M10" s="153">
        <f t="shared" si="18"/>
        <v>0</v>
      </c>
      <c r="N10" s="153">
        <f t="shared" si="18"/>
        <v>0</v>
      </c>
      <c r="O10" s="153">
        <f t="shared" si="18"/>
        <v>0</v>
      </c>
      <c r="P10" s="153">
        <f t="shared" si="18"/>
        <v>0</v>
      </c>
      <c r="Q10" s="153">
        <f t="shared" si="18"/>
        <v>0</v>
      </c>
      <c r="R10" s="154">
        <f t="shared" ref="R10" si="19">SUM(F10:Q10)</f>
        <v>0</v>
      </c>
      <c r="S10" s="153">
        <f>C10-R10</f>
        <v>0</v>
      </c>
      <c r="T10" s="237"/>
      <c r="U10" s="237"/>
      <c r="V10" s="237"/>
      <c r="W10" s="237"/>
      <c r="X10" s="237"/>
      <c r="Y10" s="237"/>
      <c r="Z10" s="237"/>
      <c r="AA10" s="237"/>
      <c r="AB10" s="237"/>
      <c r="AC10" s="237"/>
      <c r="AD10" s="237"/>
      <c r="AE10" s="237"/>
      <c r="AF10" s="237"/>
      <c r="AG10" s="237"/>
      <c r="AH10" s="237"/>
      <c r="AI10" s="153"/>
      <c r="BQ10" s="237"/>
    </row>
    <row r="11" spans="1:129" s="170" customFormat="1" ht="12" customHeight="1" x14ac:dyDescent="0.2">
      <c r="A11" s="204"/>
      <c r="B11" s="203" t="s">
        <v>0</v>
      </c>
      <c r="C11" s="232">
        <f>SUM(C7:C10)</f>
        <v>0</v>
      </c>
      <c r="D11" s="232">
        <f>SUM(D7:D10)</f>
        <v>0</v>
      </c>
      <c r="E11" s="222"/>
      <c r="F11" s="154">
        <f>SUM(F7:F10)</f>
        <v>0</v>
      </c>
      <c r="G11" s="154">
        <f t="shared" ref="G11:Q11" si="20">SUM(G7:G10)</f>
        <v>0</v>
      </c>
      <c r="H11" s="154">
        <f t="shared" si="20"/>
        <v>0</v>
      </c>
      <c r="I11" s="154">
        <f t="shared" si="20"/>
        <v>0</v>
      </c>
      <c r="J11" s="154">
        <f t="shared" si="20"/>
        <v>0</v>
      </c>
      <c r="K11" s="154">
        <f t="shared" si="20"/>
        <v>0</v>
      </c>
      <c r="L11" s="154">
        <f t="shared" si="20"/>
        <v>0</v>
      </c>
      <c r="M11" s="154">
        <f t="shared" si="20"/>
        <v>0</v>
      </c>
      <c r="N11" s="154">
        <f t="shared" si="20"/>
        <v>0</v>
      </c>
      <c r="O11" s="154">
        <f t="shared" si="20"/>
        <v>0</v>
      </c>
      <c r="P11" s="154">
        <f t="shared" si="20"/>
        <v>0</v>
      </c>
      <c r="Q11" s="154">
        <f t="shared" si="20"/>
        <v>0</v>
      </c>
      <c r="R11" s="154">
        <f>SUM(F11:Q11)</f>
        <v>0</v>
      </c>
      <c r="S11" s="153">
        <f>C11-R11</f>
        <v>0</v>
      </c>
      <c r="T11" s="238"/>
      <c r="U11" s="238"/>
      <c r="V11" s="238"/>
      <c r="W11" s="238"/>
      <c r="X11" s="238"/>
      <c r="Y11" s="238"/>
      <c r="Z11" s="238"/>
      <c r="AA11" s="238"/>
      <c r="BQ11" s="238"/>
    </row>
    <row r="12" spans="1:129" x14ac:dyDescent="0.2">
      <c r="A12" s="243"/>
      <c r="B12" s="201"/>
      <c r="C12" s="229"/>
      <c r="D12" s="229"/>
      <c r="G12" s="237"/>
      <c r="H12" s="237"/>
      <c r="I12" s="237"/>
      <c r="J12" s="237"/>
      <c r="K12" s="237"/>
      <c r="L12" s="237"/>
      <c r="M12" s="237"/>
      <c r="N12" s="237"/>
      <c r="O12" s="237"/>
      <c r="P12" s="237"/>
      <c r="Q12" s="237"/>
    </row>
    <row r="13" spans="1:129" x14ac:dyDescent="0.2">
      <c r="A13" s="243"/>
      <c r="B13" s="201"/>
      <c r="C13" s="229"/>
      <c r="D13" s="229"/>
      <c r="G13" s="237"/>
      <c r="H13" s="237"/>
      <c r="I13" s="237"/>
      <c r="J13" s="237"/>
      <c r="K13" s="237"/>
      <c r="L13" s="237"/>
      <c r="M13" s="237"/>
      <c r="N13" s="237"/>
      <c r="O13" s="237"/>
      <c r="P13" s="237"/>
      <c r="Q13" s="237"/>
    </row>
    <row r="14" spans="1:129" x14ac:dyDescent="0.2">
      <c r="A14" s="244"/>
      <c r="B14" s="201"/>
      <c r="C14" s="225"/>
      <c r="D14" s="225"/>
    </row>
    <row r="15" spans="1:129" s="170" customFormat="1" x14ac:dyDescent="0.2">
      <c r="A15" s="202"/>
      <c r="B15" s="203"/>
      <c r="C15" s="232"/>
      <c r="D15" s="232"/>
      <c r="E15" s="222"/>
      <c r="F15" s="238"/>
      <c r="G15" s="238"/>
      <c r="H15" s="238"/>
      <c r="I15" s="238"/>
      <c r="J15" s="238"/>
      <c r="K15" s="238"/>
      <c r="L15" s="238"/>
      <c r="M15" s="238"/>
      <c r="N15" s="238"/>
      <c r="O15" s="238"/>
      <c r="P15" s="238"/>
      <c r="Q15" s="238"/>
      <c r="R15" s="154"/>
      <c r="S15" s="154"/>
      <c r="T15" s="238"/>
      <c r="U15" s="238"/>
      <c r="V15" s="238"/>
      <c r="W15" s="238"/>
      <c r="X15" s="238"/>
      <c r="Y15" s="238"/>
      <c r="Z15" s="238"/>
      <c r="AA15" s="238"/>
      <c r="BQ15" s="238"/>
    </row>
    <row r="16" spans="1:129" s="170" customFormat="1" x14ac:dyDescent="0.2">
      <c r="A16" s="202"/>
      <c r="B16" s="203"/>
      <c r="C16" s="232"/>
      <c r="D16" s="232"/>
      <c r="E16" s="222"/>
      <c r="F16" s="238"/>
      <c r="G16" s="238"/>
      <c r="H16" s="238"/>
      <c r="I16" s="238"/>
      <c r="J16" s="238"/>
      <c r="K16" s="238"/>
      <c r="L16" s="238"/>
      <c r="M16" s="238"/>
      <c r="N16" s="238"/>
      <c r="O16" s="238"/>
      <c r="P16" s="238"/>
      <c r="Q16" s="238"/>
      <c r="R16" s="154"/>
      <c r="S16" s="154"/>
      <c r="T16" s="238"/>
      <c r="U16" s="238"/>
      <c r="V16" s="238"/>
      <c r="W16" s="238"/>
      <c r="X16" s="238"/>
      <c r="Y16" s="238"/>
      <c r="Z16" s="238"/>
      <c r="AA16" s="238"/>
      <c r="BQ16" s="238"/>
    </row>
    <row r="17" spans="1:130" x14ac:dyDescent="0.2">
      <c r="A17" s="215"/>
      <c r="B17" s="216"/>
    </row>
    <row r="18" spans="1:130" x14ac:dyDescent="0.2">
      <c r="A18" s="215"/>
      <c r="B18" s="216"/>
    </row>
    <row r="19" spans="1:130" x14ac:dyDescent="0.2">
      <c r="A19" s="215"/>
      <c r="B19" s="216"/>
    </row>
    <row r="20" spans="1:130" x14ac:dyDescent="0.2">
      <c r="A20" s="215"/>
      <c r="B20" s="216"/>
    </row>
    <row r="21" spans="1:130" x14ac:dyDescent="0.2">
      <c r="A21" s="215"/>
      <c r="B21" s="216"/>
    </row>
    <row r="22" spans="1:130" x14ac:dyDescent="0.2">
      <c r="A22" s="215"/>
      <c r="B22" s="216"/>
    </row>
    <row r="23" spans="1:130" x14ac:dyDescent="0.2">
      <c r="A23" s="215"/>
      <c r="B23" s="216"/>
    </row>
    <row r="24" spans="1:130" x14ac:dyDescent="0.2">
      <c r="A24" s="215"/>
      <c r="B24" s="216"/>
    </row>
    <row r="25" spans="1:130" x14ac:dyDescent="0.2">
      <c r="A25" s="215"/>
      <c r="B25" s="216"/>
    </row>
    <row r="26" spans="1:130" x14ac:dyDescent="0.2">
      <c r="A26" s="215"/>
      <c r="B26" s="216"/>
    </row>
    <row r="27" spans="1:130" s="215" customFormat="1" x14ac:dyDescent="0.2">
      <c r="B27" s="216"/>
      <c r="E27" s="216"/>
      <c r="F27" s="237"/>
      <c r="G27" s="218"/>
      <c r="H27" s="218"/>
      <c r="I27" s="218"/>
      <c r="J27" s="218"/>
      <c r="K27" s="218"/>
      <c r="L27" s="218"/>
      <c r="M27" s="218"/>
      <c r="N27" s="218"/>
      <c r="O27" s="218"/>
      <c r="P27" s="218"/>
      <c r="Q27" s="218"/>
      <c r="R27" s="221"/>
      <c r="S27" s="221"/>
      <c r="T27" s="218"/>
      <c r="U27" s="218"/>
      <c r="V27" s="218"/>
      <c r="W27" s="218"/>
      <c r="X27" s="218"/>
      <c r="Y27" s="218"/>
      <c r="Z27" s="218"/>
      <c r="AA27" s="218"/>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218"/>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row>
    <row r="28" spans="1:130" s="215" customFormat="1" x14ac:dyDescent="0.2">
      <c r="B28" s="216"/>
      <c r="E28" s="216"/>
      <c r="F28" s="237"/>
      <c r="G28" s="218"/>
      <c r="H28" s="218"/>
      <c r="I28" s="218"/>
      <c r="J28" s="218"/>
      <c r="K28" s="218"/>
      <c r="L28" s="218"/>
      <c r="M28" s="218"/>
      <c r="N28" s="218"/>
      <c r="O28" s="218"/>
      <c r="P28" s="218"/>
      <c r="Q28" s="218"/>
      <c r="R28" s="221"/>
      <c r="S28" s="221"/>
      <c r="T28" s="218"/>
      <c r="U28" s="218"/>
      <c r="V28" s="218"/>
      <c r="W28" s="218"/>
      <c r="X28" s="218"/>
      <c r="Y28" s="218"/>
      <c r="Z28" s="218"/>
      <c r="AA28" s="218"/>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218"/>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row>
    <row r="29" spans="1:130" s="215" customFormat="1" x14ac:dyDescent="0.2">
      <c r="B29" s="216"/>
      <c r="E29" s="216"/>
      <c r="F29" s="237"/>
      <c r="G29" s="218"/>
      <c r="H29" s="218"/>
      <c r="I29" s="218"/>
      <c r="J29" s="218"/>
      <c r="K29" s="218"/>
      <c r="L29" s="218"/>
      <c r="M29" s="218"/>
      <c r="N29" s="218"/>
      <c r="O29" s="218"/>
      <c r="P29" s="218"/>
      <c r="Q29" s="218"/>
      <c r="R29" s="221"/>
      <c r="S29" s="221"/>
      <c r="T29" s="218"/>
      <c r="U29" s="218"/>
      <c r="V29" s="218"/>
      <c r="W29" s="218"/>
      <c r="X29" s="218"/>
      <c r="Y29" s="218"/>
      <c r="Z29" s="218"/>
      <c r="AA29" s="218"/>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218"/>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row>
    <row r="30" spans="1:130" s="215" customFormat="1" x14ac:dyDescent="0.2">
      <c r="B30" s="216"/>
      <c r="E30" s="216"/>
      <c r="F30" s="237"/>
      <c r="G30" s="218"/>
      <c r="H30" s="218"/>
      <c r="I30" s="218"/>
      <c r="J30" s="218"/>
      <c r="K30" s="218"/>
      <c r="L30" s="218"/>
      <c r="M30" s="218"/>
      <c r="N30" s="218"/>
      <c r="O30" s="218"/>
      <c r="P30" s="218"/>
      <c r="Q30" s="218"/>
      <c r="R30" s="221"/>
      <c r="S30" s="221"/>
      <c r="T30" s="218"/>
      <c r="U30" s="218"/>
      <c r="V30" s="218"/>
      <c r="W30" s="218"/>
      <c r="X30" s="218"/>
      <c r="Y30" s="218"/>
      <c r="Z30" s="218"/>
      <c r="AA30" s="218"/>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218"/>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row>
    <row r="31" spans="1:130" s="215" customFormat="1" x14ac:dyDescent="0.2">
      <c r="B31" s="216"/>
      <c r="E31" s="216"/>
      <c r="F31" s="237"/>
      <c r="G31" s="218"/>
      <c r="H31" s="218"/>
      <c r="I31" s="218"/>
      <c r="J31" s="218"/>
      <c r="K31" s="218"/>
      <c r="L31" s="218"/>
      <c r="M31" s="218"/>
      <c r="N31" s="218"/>
      <c r="O31" s="218"/>
      <c r="P31" s="218"/>
      <c r="Q31" s="218"/>
      <c r="R31" s="221"/>
      <c r="S31" s="221"/>
      <c r="T31" s="218"/>
      <c r="U31" s="218"/>
      <c r="V31" s="218"/>
      <c r="W31" s="218"/>
      <c r="X31" s="218"/>
      <c r="Y31" s="218"/>
      <c r="Z31" s="218"/>
      <c r="AA31" s="218"/>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218"/>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row>
    <row r="32" spans="1:130" s="215" customFormat="1" x14ac:dyDescent="0.2">
      <c r="B32" s="216"/>
      <c r="E32" s="216"/>
      <c r="F32" s="237"/>
      <c r="G32" s="218"/>
      <c r="H32" s="218"/>
      <c r="I32" s="218"/>
      <c r="J32" s="218"/>
      <c r="K32" s="218"/>
      <c r="L32" s="218"/>
      <c r="M32" s="218"/>
      <c r="N32" s="218"/>
      <c r="O32" s="218"/>
      <c r="P32" s="218"/>
      <c r="Q32" s="218"/>
      <c r="R32" s="221"/>
      <c r="S32" s="221"/>
      <c r="T32" s="218"/>
      <c r="U32" s="218"/>
      <c r="V32" s="218"/>
      <c r="W32" s="218"/>
      <c r="X32" s="218"/>
      <c r="Y32" s="218"/>
      <c r="Z32" s="218"/>
      <c r="AA32" s="218"/>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218"/>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row>
    <row r="33" spans="2:130" s="215" customFormat="1" x14ac:dyDescent="0.2">
      <c r="B33" s="216"/>
      <c r="E33" s="216"/>
      <c r="F33" s="237"/>
      <c r="G33" s="218"/>
      <c r="H33" s="218"/>
      <c r="I33" s="218"/>
      <c r="J33" s="218"/>
      <c r="K33" s="218"/>
      <c r="L33" s="218"/>
      <c r="M33" s="218"/>
      <c r="N33" s="218"/>
      <c r="O33" s="218"/>
      <c r="P33" s="218"/>
      <c r="Q33" s="218"/>
      <c r="R33" s="221"/>
      <c r="S33" s="221"/>
      <c r="T33" s="218"/>
      <c r="U33" s="218"/>
      <c r="V33" s="218"/>
      <c r="W33" s="218"/>
      <c r="X33" s="218"/>
      <c r="Y33" s="218"/>
      <c r="Z33" s="218"/>
      <c r="AA33" s="218"/>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218"/>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row>
    <row r="34" spans="2:130" s="215" customFormat="1" x14ac:dyDescent="0.2">
      <c r="B34" s="216"/>
      <c r="E34" s="216"/>
      <c r="F34" s="237"/>
      <c r="G34" s="218"/>
      <c r="H34" s="218"/>
      <c r="I34" s="218"/>
      <c r="J34" s="218"/>
      <c r="K34" s="218"/>
      <c r="L34" s="218"/>
      <c r="M34" s="218"/>
      <c r="N34" s="218"/>
      <c r="O34" s="218"/>
      <c r="P34" s="218"/>
      <c r="Q34" s="218"/>
      <c r="R34" s="221"/>
      <c r="S34" s="221"/>
      <c r="T34" s="218"/>
      <c r="U34" s="218"/>
      <c r="V34" s="218"/>
      <c r="W34" s="218"/>
      <c r="X34" s="218"/>
      <c r="Y34" s="218"/>
      <c r="Z34" s="218"/>
      <c r="AA34" s="218"/>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c r="BM34" s="151"/>
      <c r="BN34" s="151"/>
      <c r="BO34" s="151"/>
      <c r="BP34" s="151"/>
      <c r="BQ34" s="218"/>
      <c r="BR34" s="151"/>
      <c r="BS34" s="151"/>
      <c r="BT34" s="151"/>
      <c r="BU34" s="151"/>
      <c r="BV34" s="151"/>
      <c r="BW34" s="151"/>
      <c r="BX34" s="151"/>
      <c r="BY34" s="151"/>
      <c r="BZ34" s="151"/>
      <c r="CA34" s="151"/>
      <c r="CB34" s="151"/>
      <c r="CC34" s="151"/>
      <c r="CD34" s="151"/>
      <c r="CE34" s="151"/>
      <c r="CF34" s="151"/>
      <c r="CG34" s="151"/>
      <c r="CH34" s="151"/>
      <c r="CI34" s="151"/>
      <c r="CJ34" s="151"/>
      <c r="CK34" s="151"/>
      <c r="CL34" s="151"/>
      <c r="CM34" s="151"/>
      <c r="CN34" s="151"/>
      <c r="CO34" s="151"/>
      <c r="CP34" s="151"/>
      <c r="CQ34" s="151"/>
      <c r="CR34" s="151"/>
      <c r="CS34" s="151"/>
      <c r="CT34" s="151"/>
      <c r="CU34" s="151"/>
      <c r="CV34" s="151"/>
      <c r="CW34" s="151"/>
      <c r="CX34" s="151"/>
      <c r="CY34" s="151"/>
      <c r="CZ34" s="151"/>
      <c r="DA34" s="151"/>
      <c r="DB34" s="151"/>
      <c r="DC34" s="151"/>
      <c r="DD34" s="151"/>
      <c r="DE34" s="151"/>
      <c r="DF34" s="151"/>
      <c r="DG34" s="151"/>
      <c r="DH34" s="151"/>
      <c r="DI34" s="151"/>
      <c r="DJ34" s="151"/>
      <c r="DK34" s="151"/>
      <c r="DL34" s="151"/>
      <c r="DM34" s="151"/>
      <c r="DN34" s="151"/>
      <c r="DO34" s="151"/>
      <c r="DP34" s="151"/>
      <c r="DQ34" s="151"/>
      <c r="DR34" s="151"/>
      <c r="DS34" s="151"/>
      <c r="DT34" s="151"/>
      <c r="DU34" s="151"/>
      <c r="DV34" s="151"/>
      <c r="DW34" s="151"/>
      <c r="DX34" s="151"/>
      <c r="DY34" s="151"/>
      <c r="DZ34" s="151"/>
    </row>
    <row r="35" spans="2:130" s="215" customFormat="1" x14ac:dyDescent="0.2">
      <c r="B35" s="216"/>
      <c r="E35" s="216"/>
      <c r="F35" s="237"/>
      <c r="G35" s="218"/>
      <c r="H35" s="218"/>
      <c r="I35" s="218"/>
      <c r="J35" s="218"/>
      <c r="K35" s="218"/>
      <c r="L35" s="218"/>
      <c r="M35" s="218"/>
      <c r="N35" s="218"/>
      <c r="O35" s="218"/>
      <c r="P35" s="218"/>
      <c r="Q35" s="218"/>
      <c r="R35" s="221"/>
      <c r="S35" s="221"/>
      <c r="T35" s="218"/>
      <c r="U35" s="218"/>
      <c r="V35" s="218"/>
      <c r="W35" s="218"/>
      <c r="X35" s="218"/>
      <c r="Y35" s="218"/>
      <c r="Z35" s="218"/>
      <c r="AA35" s="218"/>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218"/>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row>
    <row r="36" spans="2:130" s="215" customFormat="1" x14ac:dyDescent="0.2">
      <c r="B36" s="216"/>
      <c r="E36" s="216"/>
      <c r="F36" s="237"/>
      <c r="G36" s="218"/>
      <c r="H36" s="218"/>
      <c r="I36" s="218"/>
      <c r="J36" s="218"/>
      <c r="K36" s="218"/>
      <c r="L36" s="218"/>
      <c r="M36" s="218"/>
      <c r="N36" s="218"/>
      <c r="O36" s="218"/>
      <c r="P36" s="218"/>
      <c r="Q36" s="218"/>
      <c r="R36" s="221"/>
      <c r="S36" s="221"/>
      <c r="T36" s="218"/>
      <c r="U36" s="218"/>
      <c r="V36" s="218"/>
      <c r="W36" s="218"/>
      <c r="X36" s="218"/>
      <c r="Y36" s="218"/>
      <c r="Z36" s="218"/>
      <c r="AA36" s="218"/>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218"/>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c r="DU36" s="151"/>
      <c r="DV36" s="151"/>
      <c r="DW36" s="151"/>
      <c r="DX36" s="151"/>
      <c r="DY36" s="151"/>
      <c r="DZ36" s="151"/>
    </row>
    <row r="37" spans="2:130" s="215" customFormat="1" x14ac:dyDescent="0.2">
      <c r="B37" s="216"/>
      <c r="E37" s="216"/>
      <c r="F37" s="237"/>
      <c r="G37" s="218"/>
      <c r="H37" s="218"/>
      <c r="I37" s="218"/>
      <c r="J37" s="218"/>
      <c r="K37" s="218"/>
      <c r="L37" s="218"/>
      <c r="M37" s="218"/>
      <c r="N37" s="218"/>
      <c r="O37" s="218"/>
      <c r="P37" s="218"/>
      <c r="Q37" s="218"/>
      <c r="R37" s="221"/>
      <c r="S37" s="221"/>
      <c r="T37" s="218"/>
      <c r="U37" s="218"/>
      <c r="V37" s="218"/>
      <c r="W37" s="218"/>
      <c r="X37" s="218"/>
      <c r="Y37" s="218"/>
      <c r="Z37" s="218"/>
      <c r="AA37" s="218"/>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218"/>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row>
    <row r="38" spans="2:130" s="215" customFormat="1" x14ac:dyDescent="0.2">
      <c r="B38" s="216"/>
      <c r="E38" s="216"/>
      <c r="F38" s="237"/>
      <c r="G38" s="218"/>
      <c r="H38" s="218"/>
      <c r="I38" s="218"/>
      <c r="J38" s="218"/>
      <c r="K38" s="218"/>
      <c r="L38" s="218"/>
      <c r="M38" s="218"/>
      <c r="N38" s="218"/>
      <c r="O38" s="218"/>
      <c r="P38" s="218"/>
      <c r="Q38" s="218"/>
      <c r="R38" s="221"/>
      <c r="S38" s="221"/>
      <c r="T38" s="218"/>
      <c r="U38" s="218"/>
      <c r="V38" s="218"/>
      <c r="W38" s="218"/>
      <c r="X38" s="218"/>
      <c r="Y38" s="218"/>
      <c r="Z38" s="218"/>
      <c r="AA38" s="218"/>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218"/>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row>
    <row r="39" spans="2:130" s="215" customFormat="1" x14ac:dyDescent="0.2">
      <c r="B39" s="216"/>
      <c r="E39" s="216"/>
      <c r="F39" s="237"/>
      <c r="G39" s="218"/>
      <c r="H39" s="218"/>
      <c r="I39" s="218"/>
      <c r="J39" s="218"/>
      <c r="K39" s="218"/>
      <c r="L39" s="218"/>
      <c r="M39" s="218"/>
      <c r="N39" s="218"/>
      <c r="O39" s="218"/>
      <c r="P39" s="218"/>
      <c r="Q39" s="218"/>
      <c r="R39" s="221"/>
      <c r="S39" s="221"/>
      <c r="T39" s="218"/>
      <c r="U39" s="218"/>
      <c r="V39" s="218"/>
      <c r="W39" s="218"/>
      <c r="X39" s="218"/>
      <c r="Y39" s="218"/>
      <c r="Z39" s="218"/>
      <c r="AA39" s="218"/>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218"/>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row>
    <row r="40" spans="2:130" s="215" customFormat="1" x14ac:dyDescent="0.2">
      <c r="B40" s="216"/>
      <c r="E40" s="216"/>
      <c r="F40" s="237"/>
      <c r="G40" s="218"/>
      <c r="H40" s="218"/>
      <c r="I40" s="218"/>
      <c r="J40" s="218"/>
      <c r="K40" s="218"/>
      <c r="L40" s="218"/>
      <c r="M40" s="218"/>
      <c r="N40" s="218"/>
      <c r="O40" s="218"/>
      <c r="P40" s="218"/>
      <c r="Q40" s="218"/>
      <c r="R40" s="221"/>
      <c r="S40" s="221"/>
      <c r="T40" s="218"/>
      <c r="U40" s="218"/>
      <c r="V40" s="218"/>
      <c r="W40" s="218"/>
      <c r="X40" s="218"/>
      <c r="Y40" s="218"/>
      <c r="Z40" s="218"/>
      <c r="AA40" s="218"/>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218"/>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row>
    <row r="41" spans="2:130" s="215" customFormat="1" x14ac:dyDescent="0.2">
      <c r="B41" s="216"/>
      <c r="E41" s="216"/>
      <c r="F41" s="237"/>
      <c r="G41" s="218"/>
      <c r="H41" s="218"/>
      <c r="I41" s="218"/>
      <c r="J41" s="218"/>
      <c r="K41" s="218"/>
      <c r="L41" s="218"/>
      <c r="M41" s="218"/>
      <c r="N41" s="218"/>
      <c r="O41" s="218"/>
      <c r="P41" s="218"/>
      <c r="Q41" s="218"/>
      <c r="R41" s="221"/>
      <c r="S41" s="221"/>
      <c r="T41" s="218"/>
      <c r="U41" s="218"/>
      <c r="V41" s="218"/>
      <c r="W41" s="218"/>
      <c r="X41" s="218"/>
      <c r="Y41" s="218"/>
      <c r="Z41" s="218"/>
      <c r="AA41" s="218"/>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218"/>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row>
    <row r="42" spans="2:130" s="215" customFormat="1" x14ac:dyDescent="0.2">
      <c r="B42" s="216"/>
      <c r="E42" s="216"/>
      <c r="F42" s="237"/>
      <c r="G42" s="218"/>
      <c r="H42" s="218"/>
      <c r="I42" s="218"/>
      <c r="J42" s="218"/>
      <c r="K42" s="218"/>
      <c r="L42" s="218"/>
      <c r="M42" s="218"/>
      <c r="N42" s="218"/>
      <c r="O42" s="218"/>
      <c r="P42" s="218"/>
      <c r="Q42" s="218"/>
      <c r="R42" s="221"/>
      <c r="S42" s="221"/>
      <c r="T42" s="218"/>
      <c r="U42" s="218"/>
      <c r="V42" s="218"/>
      <c r="W42" s="218"/>
      <c r="X42" s="218"/>
      <c r="Y42" s="218"/>
      <c r="Z42" s="218"/>
      <c r="AA42" s="218"/>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218"/>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row>
    <row r="43" spans="2:130" s="215" customFormat="1" x14ac:dyDescent="0.2">
      <c r="B43" s="216"/>
      <c r="E43" s="216"/>
      <c r="F43" s="237"/>
      <c r="G43" s="218"/>
      <c r="H43" s="218"/>
      <c r="I43" s="218"/>
      <c r="J43" s="218"/>
      <c r="K43" s="218"/>
      <c r="L43" s="218"/>
      <c r="M43" s="218"/>
      <c r="N43" s="218"/>
      <c r="O43" s="218"/>
      <c r="P43" s="218"/>
      <c r="Q43" s="218"/>
      <c r="R43" s="221"/>
      <c r="S43" s="221"/>
      <c r="T43" s="218"/>
      <c r="U43" s="218"/>
      <c r="V43" s="218"/>
      <c r="W43" s="218"/>
      <c r="X43" s="218"/>
      <c r="Y43" s="218"/>
      <c r="Z43" s="218"/>
      <c r="AA43" s="218"/>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218"/>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row>
    <row r="44" spans="2:130" s="215" customFormat="1" x14ac:dyDescent="0.2">
      <c r="B44" s="216"/>
      <c r="E44" s="216"/>
      <c r="F44" s="237"/>
      <c r="G44" s="218"/>
      <c r="H44" s="218"/>
      <c r="I44" s="218"/>
      <c r="J44" s="218"/>
      <c r="K44" s="218"/>
      <c r="L44" s="218"/>
      <c r="M44" s="218"/>
      <c r="N44" s="218"/>
      <c r="O44" s="218"/>
      <c r="P44" s="218"/>
      <c r="Q44" s="218"/>
      <c r="R44" s="221"/>
      <c r="S44" s="221"/>
      <c r="T44" s="218"/>
      <c r="U44" s="218"/>
      <c r="V44" s="218"/>
      <c r="W44" s="218"/>
      <c r="X44" s="218"/>
      <c r="Y44" s="218"/>
      <c r="Z44" s="218"/>
      <c r="AA44" s="218"/>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218"/>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c r="DV44" s="151"/>
      <c r="DW44" s="151"/>
      <c r="DX44" s="151"/>
      <c r="DY44" s="151"/>
      <c r="DZ44" s="151"/>
    </row>
    <row r="45" spans="2:130" s="215" customFormat="1" x14ac:dyDescent="0.2">
      <c r="B45" s="216"/>
      <c r="E45" s="216"/>
      <c r="F45" s="237"/>
      <c r="G45" s="218"/>
      <c r="H45" s="218"/>
      <c r="I45" s="218"/>
      <c r="J45" s="218"/>
      <c r="K45" s="218"/>
      <c r="L45" s="218"/>
      <c r="M45" s="218"/>
      <c r="N45" s="218"/>
      <c r="O45" s="218"/>
      <c r="P45" s="218"/>
      <c r="Q45" s="218"/>
      <c r="R45" s="221"/>
      <c r="S45" s="221"/>
      <c r="T45" s="218"/>
      <c r="U45" s="218"/>
      <c r="V45" s="218"/>
      <c r="W45" s="218"/>
      <c r="X45" s="218"/>
      <c r="Y45" s="218"/>
      <c r="Z45" s="218"/>
      <c r="AA45" s="218"/>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218"/>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row>
    <row r="46" spans="2:130" s="215" customFormat="1" x14ac:dyDescent="0.2">
      <c r="B46" s="216"/>
      <c r="E46" s="216"/>
      <c r="F46" s="237"/>
      <c r="G46" s="218"/>
      <c r="H46" s="218"/>
      <c r="I46" s="218"/>
      <c r="J46" s="218"/>
      <c r="K46" s="218"/>
      <c r="L46" s="218"/>
      <c r="M46" s="218"/>
      <c r="N46" s="218"/>
      <c r="O46" s="218"/>
      <c r="P46" s="218"/>
      <c r="Q46" s="218"/>
      <c r="R46" s="221"/>
      <c r="S46" s="221"/>
      <c r="T46" s="218"/>
      <c r="U46" s="218"/>
      <c r="V46" s="218"/>
      <c r="W46" s="218"/>
      <c r="X46" s="218"/>
      <c r="Y46" s="218"/>
      <c r="Z46" s="218"/>
      <c r="AA46" s="218"/>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218"/>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row>
    <row r="47" spans="2:130" s="215" customFormat="1" x14ac:dyDescent="0.2">
      <c r="B47" s="216"/>
      <c r="E47" s="216"/>
      <c r="F47" s="237"/>
      <c r="G47" s="218"/>
      <c r="H47" s="218"/>
      <c r="I47" s="218"/>
      <c r="J47" s="218"/>
      <c r="K47" s="218"/>
      <c r="L47" s="218"/>
      <c r="M47" s="218"/>
      <c r="N47" s="218"/>
      <c r="O47" s="218"/>
      <c r="P47" s="218"/>
      <c r="Q47" s="218"/>
      <c r="R47" s="221"/>
      <c r="S47" s="221"/>
      <c r="T47" s="218"/>
      <c r="U47" s="218"/>
      <c r="V47" s="218"/>
      <c r="W47" s="218"/>
      <c r="X47" s="218"/>
      <c r="Y47" s="218"/>
      <c r="Z47" s="218"/>
      <c r="AA47" s="218"/>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218"/>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row>
    <row r="48" spans="2:130" s="215" customFormat="1" x14ac:dyDescent="0.2">
      <c r="B48" s="216"/>
      <c r="E48" s="216"/>
      <c r="F48" s="237"/>
      <c r="G48" s="218"/>
      <c r="H48" s="218"/>
      <c r="I48" s="218"/>
      <c r="J48" s="218"/>
      <c r="K48" s="218"/>
      <c r="L48" s="218"/>
      <c r="M48" s="218"/>
      <c r="N48" s="218"/>
      <c r="O48" s="218"/>
      <c r="P48" s="218"/>
      <c r="Q48" s="218"/>
      <c r="R48" s="221"/>
      <c r="S48" s="221"/>
      <c r="T48" s="218"/>
      <c r="U48" s="218"/>
      <c r="V48" s="218"/>
      <c r="W48" s="218"/>
      <c r="X48" s="218"/>
      <c r="Y48" s="218"/>
      <c r="Z48" s="218"/>
      <c r="AA48" s="218"/>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218"/>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row>
    <row r="49" spans="2:130" s="215" customFormat="1" x14ac:dyDescent="0.2">
      <c r="B49" s="216"/>
      <c r="E49" s="216"/>
      <c r="F49" s="237"/>
      <c r="G49" s="218"/>
      <c r="H49" s="218"/>
      <c r="I49" s="218"/>
      <c r="J49" s="218"/>
      <c r="K49" s="218"/>
      <c r="L49" s="218"/>
      <c r="M49" s="218"/>
      <c r="N49" s="218"/>
      <c r="O49" s="218"/>
      <c r="P49" s="218"/>
      <c r="Q49" s="218"/>
      <c r="R49" s="221"/>
      <c r="S49" s="221"/>
      <c r="T49" s="218"/>
      <c r="U49" s="218"/>
      <c r="V49" s="218"/>
      <c r="W49" s="218"/>
      <c r="X49" s="218"/>
      <c r="Y49" s="218"/>
      <c r="Z49" s="218"/>
      <c r="AA49" s="218"/>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218"/>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row>
    <row r="50" spans="2:130" s="215" customFormat="1" x14ac:dyDescent="0.2">
      <c r="B50" s="216"/>
      <c r="E50" s="216"/>
      <c r="F50" s="237"/>
      <c r="G50" s="218"/>
      <c r="H50" s="218"/>
      <c r="I50" s="218"/>
      <c r="J50" s="218"/>
      <c r="K50" s="218"/>
      <c r="L50" s="218"/>
      <c r="M50" s="218"/>
      <c r="N50" s="218"/>
      <c r="O50" s="218"/>
      <c r="P50" s="218"/>
      <c r="Q50" s="218"/>
      <c r="R50" s="221"/>
      <c r="S50" s="221"/>
      <c r="T50" s="218"/>
      <c r="U50" s="218"/>
      <c r="V50" s="218"/>
      <c r="W50" s="218"/>
      <c r="X50" s="218"/>
      <c r="Y50" s="218"/>
      <c r="Z50" s="218"/>
      <c r="AA50" s="218"/>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218"/>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row>
    <row r="51" spans="2:130" s="215" customFormat="1" x14ac:dyDescent="0.2">
      <c r="B51" s="216"/>
      <c r="E51" s="216"/>
      <c r="F51" s="237"/>
      <c r="G51" s="218"/>
      <c r="H51" s="218"/>
      <c r="I51" s="218"/>
      <c r="J51" s="218"/>
      <c r="K51" s="218"/>
      <c r="L51" s="218"/>
      <c r="M51" s="218"/>
      <c r="N51" s="218"/>
      <c r="O51" s="218"/>
      <c r="P51" s="218"/>
      <c r="Q51" s="218"/>
      <c r="R51" s="221"/>
      <c r="S51" s="221"/>
      <c r="T51" s="218"/>
      <c r="U51" s="218"/>
      <c r="V51" s="218"/>
      <c r="W51" s="218"/>
      <c r="X51" s="218"/>
      <c r="Y51" s="218"/>
      <c r="Z51" s="218"/>
      <c r="AA51" s="218"/>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218"/>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row>
    <row r="52" spans="2:130" s="215" customFormat="1" x14ac:dyDescent="0.2">
      <c r="B52" s="216"/>
      <c r="E52" s="216"/>
      <c r="F52" s="237"/>
      <c r="G52" s="218"/>
      <c r="H52" s="218"/>
      <c r="I52" s="218"/>
      <c r="J52" s="218"/>
      <c r="K52" s="218"/>
      <c r="L52" s="218"/>
      <c r="M52" s="218"/>
      <c r="N52" s="218"/>
      <c r="O52" s="218"/>
      <c r="P52" s="218"/>
      <c r="Q52" s="218"/>
      <c r="R52" s="221"/>
      <c r="S52" s="221"/>
      <c r="T52" s="218"/>
      <c r="U52" s="218"/>
      <c r="V52" s="218"/>
      <c r="W52" s="218"/>
      <c r="X52" s="218"/>
      <c r="Y52" s="218"/>
      <c r="Z52" s="218"/>
      <c r="AA52" s="218"/>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218"/>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row>
    <row r="53" spans="2:130" s="215" customFormat="1" x14ac:dyDescent="0.2">
      <c r="B53" s="216"/>
      <c r="E53" s="216"/>
      <c r="F53" s="237"/>
      <c r="G53" s="218"/>
      <c r="H53" s="218"/>
      <c r="I53" s="218"/>
      <c r="J53" s="218"/>
      <c r="K53" s="218"/>
      <c r="L53" s="218"/>
      <c r="M53" s="218"/>
      <c r="N53" s="218"/>
      <c r="O53" s="218"/>
      <c r="P53" s="218"/>
      <c r="Q53" s="218"/>
      <c r="R53" s="221"/>
      <c r="S53" s="221"/>
      <c r="T53" s="218"/>
      <c r="U53" s="218"/>
      <c r="V53" s="218"/>
      <c r="W53" s="218"/>
      <c r="X53" s="218"/>
      <c r="Y53" s="218"/>
      <c r="Z53" s="218"/>
      <c r="AA53" s="218"/>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218"/>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row>
    <row r="54" spans="2:130" s="215" customFormat="1" x14ac:dyDescent="0.2">
      <c r="B54" s="216"/>
      <c r="E54" s="216"/>
      <c r="F54" s="237"/>
      <c r="G54" s="218"/>
      <c r="H54" s="218"/>
      <c r="I54" s="218"/>
      <c r="J54" s="218"/>
      <c r="K54" s="218"/>
      <c r="L54" s="218"/>
      <c r="M54" s="218"/>
      <c r="N54" s="218"/>
      <c r="O54" s="218"/>
      <c r="P54" s="218"/>
      <c r="Q54" s="218"/>
      <c r="R54" s="221"/>
      <c r="S54" s="221"/>
      <c r="T54" s="218"/>
      <c r="U54" s="218"/>
      <c r="V54" s="218"/>
      <c r="W54" s="218"/>
      <c r="X54" s="218"/>
      <c r="Y54" s="218"/>
      <c r="Z54" s="218"/>
      <c r="AA54" s="218"/>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218"/>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row>
    <row r="55" spans="2:130" s="215" customFormat="1" x14ac:dyDescent="0.2">
      <c r="B55" s="216"/>
      <c r="E55" s="216"/>
      <c r="F55" s="237"/>
      <c r="G55" s="218"/>
      <c r="H55" s="218"/>
      <c r="I55" s="218"/>
      <c r="J55" s="218"/>
      <c r="K55" s="218"/>
      <c r="L55" s="218"/>
      <c r="M55" s="218"/>
      <c r="N55" s="218"/>
      <c r="O55" s="218"/>
      <c r="P55" s="218"/>
      <c r="Q55" s="218"/>
      <c r="R55" s="221"/>
      <c r="S55" s="221"/>
      <c r="T55" s="218"/>
      <c r="U55" s="218"/>
      <c r="V55" s="218"/>
      <c r="W55" s="218"/>
      <c r="X55" s="218"/>
      <c r="Y55" s="218"/>
      <c r="Z55" s="218"/>
      <c r="AA55" s="218"/>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218"/>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row>
    <row r="56" spans="2:130" s="215" customFormat="1" x14ac:dyDescent="0.2">
      <c r="B56" s="216"/>
      <c r="E56" s="216"/>
      <c r="F56" s="237"/>
      <c r="G56" s="218"/>
      <c r="H56" s="218"/>
      <c r="I56" s="218"/>
      <c r="J56" s="218"/>
      <c r="K56" s="218"/>
      <c r="L56" s="218"/>
      <c r="M56" s="218"/>
      <c r="N56" s="218"/>
      <c r="O56" s="218"/>
      <c r="P56" s="218"/>
      <c r="Q56" s="218"/>
      <c r="R56" s="221"/>
      <c r="S56" s="221"/>
      <c r="T56" s="218"/>
      <c r="U56" s="218"/>
      <c r="V56" s="218"/>
      <c r="W56" s="218"/>
      <c r="X56" s="218"/>
      <c r="Y56" s="218"/>
      <c r="Z56" s="218"/>
      <c r="AA56" s="218"/>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218"/>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row>
    <row r="57" spans="2:130" s="215" customFormat="1" x14ac:dyDescent="0.2">
      <c r="B57" s="216"/>
      <c r="E57" s="216"/>
      <c r="F57" s="237"/>
      <c r="G57" s="218"/>
      <c r="H57" s="218"/>
      <c r="I57" s="218"/>
      <c r="J57" s="218"/>
      <c r="K57" s="218"/>
      <c r="L57" s="218"/>
      <c r="M57" s="218"/>
      <c r="N57" s="218"/>
      <c r="O57" s="218"/>
      <c r="P57" s="218"/>
      <c r="Q57" s="218"/>
      <c r="R57" s="221"/>
      <c r="S57" s="221"/>
      <c r="T57" s="218"/>
      <c r="U57" s="218"/>
      <c r="V57" s="218"/>
      <c r="W57" s="218"/>
      <c r="X57" s="218"/>
      <c r="Y57" s="218"/>
      <c r="Z57" s="218"/>
      <c r="AA57" s="218"/>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218"/>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row>
    <row r="58" spans="2:130" s="215" customFormat="1" x14ac:dyDescent="0.2">
      <c r="B58" s="216"/>
      <c r="E58" s="216"/>
      <c r="F58" s="237"/>
      <c r="G58" s="218"/>
      <c r="H58" s="218"/>
      <c r="I58" s="218"/>
      <c r="J58" s="218"/>
      <c r="K58" s="218"/>
      <c r="L58" s="218"/>
      <c r="M58" s="218"/>
      <c r="N58" s="218"/>
      <c r="O58" s="218"/>
      <c r="P58" s="218"/>
      <c r="Q58" s="218"/>
      <c r="R58" s="221"/>
      <c r="S58" s="221"/>
      <c r="T58" s="218"/>
      <c r="U58" s="218"/>
      <c r="V58" s="218"/>
      <c r="W58" s="218"/>
      <c r="X58" s="218"/>
      <c r="Y58" s="218"/>
      <c r="Z58" s="218"/>
      <c r="AA58" s="218"/>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218"/>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row>
    <row r="59" spans="2:130" s="215" customFormat="1" x14ac:dyDescent="0.2">
      <c r="B59" s="216"/>
      <c r="E59" s="216"/>
      <c r="F59" s="237"/>
      <c r="G59" s="218"/>
      <c r="H59" s="218"/>
      <c r="I59" s="218"/>
      <c r="J59" s="218"/>
      <c r="K59" s="218"/>
      <c r="L59" s="218"/>
      <c r="M59" s="218"/>
      <c r="N59" s="218"/>
      <c r="O59" s="218"/>
      <c r="P59" s="218"/>
      <c r="Q59" s="218"/>
      <c r="R59" s="221"/>
      <c r="S59" s="221"/>
      <c r="T59" s="218"/>
      <c r="U59" s="218"/>
      <c r="V59" s="218"/>
      <c r="W59" s="218"/>
      <c r="X59" s="218"/>
      <c r="Y59" s="218"/>
      <c r="Z59" s="218"/>
      <c r="AA59" s="218"/>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218"/>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row>
    <row r="60" spans="2:130" s="215" customFormat="1" x14ac:dyDescent="0.2">
      <c r="B60" s="216"/>
      <c r="E60" s="216"/>
      <c r="F60" s="237"/>
      <c r="G60" s="218"/>
      <c r="H60" s="218"/>
      <c r="I60" s="218"/>
      <c r="J60" s="218"/>
      <c r="K60" s="218"/>
      <c r="L60" s="218"/>
      <c r="M60" s="218"/>
      <c r="N60" s="218"/>
      <c r="O60" s="218"/>
      <c r="P60" s="218"/>
      <c r="Q60" s="218"/>
      <c r="R60" s="221"/>
      <c r="S60" s="221"/>
      <c r="T60" s="218"/>
      <c r="U60" s="218"/>
      <c r="V60" s="218"/>
      <c r="W60" s="218"/>
      <c r="X60" s="218"/>
      <c r="Y60" s="218"/>
      <c r="Z60" s="218"/>
      <c r="AA60" s="218"/>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218"/>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row>
  </sheetData>
  <mergeCells count="1">
    <mergeCell ref="A5:E5"/>
  </mergeCells>
  <printOptions gridLines="1"/>
  <pageMargins left="0.25" right="0.25" top="1" bottom="0.28000000000000003" header="0.5" footer="0.25"/>
  <pageSetup scale="65" orientation="landscape" r:id="rId1"/>
  <headerFooter alignWithMargins="0">
    <oddHeader xml:space="preserve">&amp;C&amp;"Arial,Bold"&amp;14DOCTORS MEMORIAL HOSPITAL
FY 2017 BUDGET
</oddHeader>
    <oddFooter>&amp;R&amp;A</oddFooter>
  </headerFooter>
  <ignoredErrors>
    <ignoredError sqref="D8:R8"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58"/>
  <sheetViews>
    <sheetView zoomScale="80" zoomScaleNormal="80" workbookViewId="0">
      <pane xSplit="2" ySplit="3" topLeftCell="E4" activePane="bottomRight" state="frozen"/>
      <selection pane="topRight" activeCell="C1" sqref="C1"/>
      <selection pane="bottomLeft" activeCell="A4" sqref="A4"/>
      <selection pane="bottomRight" activeCell="N22" sqref="N22"/>
    </sheetView>
  </sheetViews>
  <sheetFormatPr defaultRowHeight="12.75" x14ac:dyDescent="0.2"/>
  <cols>
    <col min="1" max="1" width="10.28515625" style="213" bestFit="1" customWidth="1"/>
    <col min="2" max="2" width="22.42578125" style="214" customWidth="1"/>
    <col min="3" max="3" width="12.42578125" style="215" customWidth="1"/>
    <col min="4" max="4" width="8.140625" style="215" customWidth="1"/>
    <col min="5" max="5" width="4" style="237" customWidth="1"/>
    <col min="6" max="6" width="11.28515625" style="237" bestFit="1" customWidth="1"/>
    <col min="7" max="10" width="11.28515625" style="218" bestFit="1" customWidth="1"/>
    <col min="11" max="11" width="12.28515625" style="218" bestFit="1" customWidth="1"/>
    <col min="12" max="15" width="11.28515625" style="218" bestFit="1" customWidth="1"/>
    <col min="16" max="17" width="12.28515625" style="218" bestFit="1" customWidth="1"/>
    <col min="18" max="18" width="13.85546875" style="221" bestFit="1" customWidth="1"/>
    <col min="19" max="19" width="10" style="221" bestFit="1" customWidth="1"/>
    <col min="20" max="103" width="9.140625" style="151"/>
    <col min="104" max="104" width="8.28515625" style="151" bestFit="1" customWidth="1"/>
    <col min="105" max="105" width="26" style="151" bestFit="1" customWidth="1"/>
    <col min="106" max="106" width="12" style="151" customWidth="1"/>
    <col min="107" max="107" width="8.140625" style="151" customWidth="1"/>
    <col min="108" max="108" width="11.140625" style="151" customWidth="1"/>
    <col min="109" max="109" width="8.28515625" style="151" customWidth="1"/>
    <col min="110" max="110" width="9.85546875" style="151" customWidth="1"/>
    <col min="111" max="111" width="8" style="151" customWidth="1"/>
    <col min="112" max="112" width="9.85546875" style="151" customWidth="1"/>
    <col min="113" max="113" width="6" style="151" customWidth="1"/>
    <col min="114" max="114" width="11.140625" style="151" customWidth="1"/>
    <col min="115" max="115" width="6.85546875" style="151" customWidth="1"/>
    <col min="116" max="116" width="11.7109375" style="151" customWidth="1"/>
    <col min="117" max="117" width="7.140625" style="151" customWidth="1"/>
    <col min="118" max="118" width="9" style="151" customWidth="1"/>
    <col min="119" max="119" width="7.140625" style="151" customWidth="1"/>
    <col min="120" max="120" width="12" style="151" customWidth="1"/>
    <col min="121" max="121" width="12.7109375" style="151" customWidth="1"/>
    <col min="122" max="133" width="11.140625" style="151" bestFit="1" customWidth="1"/>
    <col min="134" max="134" width="12" style="151" bestFit="1" customWidth="1"/>
    <col min="135" max="135" width="10" style="151" bestFit="1" customWidth="1"/>
    <col min="136" max="154" width="12.7109375" style="151" customWidth="1"/>
    <col min="155" max="165" width="9.85546875" style="151" bestFit="1" customWidth="1"/>
    <col min="166" max="166" width="11.140625" style="151" bestFit="1" customWidth="1"/>
    <col min="167" max="181" width="9.140625" style="151"/>
    <col min="182" max="182" width="9.85546875" style="151" bestFit="1" customWidth="1"/>
    <col min="183" max="197" width="9.140625" style="151"/>
    <col min="198" max="198" width="9.85546875" style="151" bestFit="1" customWidth="1"/>
    <col min="199" max="213" width="9.140625" style="151"/>
    <col min="214" max="214" width="9.85546875" style="151" bestFit="1" customWidth="1"/>
    <col min="215" max="229" width="9.140625" style="151"/>
    <col min="230" max="230" width="9.85546875" style="151" bestFit="1" customWidth="1"/>
    <col min="231" max="232" width="9.140625" style="151"/>
    <col min="233" max="233" width="11" style="151" bestFit="1" customWidth="1"/>
    <col min="234" max="238" width="11.140625" style="151" bestFit="1" customWidth="1"/>
    <col min="239" max="239" width="9.85546875" style="151" bestFit="1" customWidth="1"/>
    <col min="240" max="244" width="11.140625" style="151" bestFit="1" customWidth="1"/>
    <col min="245" max="245" width="12" style="151" bestFit="1" customWidth="1"/>
    <col min="246" max="246" width="11" style="151" bestFit="1" customWidth="1"/>
    <col min="247" max="359" width="9.140625" style="151"/>
    <col min="360" max="360" width="8.28515625" style="151" bestFit="1" customWidth="1"/>
    <col min="361" max="361" width="26" style="151" bestFit="1" customWidth="1"/>
    <col min="362" max="362" width="12" style="151" customWidth="1"/>
    <col min="363" max="363" width="8.140625" style="151" customWidth="1"/>
    <col min="364" max="364" width="11.140625" style="151" customWidth="1"/>
    <col min="365" max="365" width="8.28515625" style="151" customWidth="1"/>
    <col min="366" max="366" width="9.85546875" style="151" customWidth="1"/>
    <col min="367" max="367" width="8" style="151" customWidth="1"/>
    <col min="368" max="368" width="9.85546875" style="151" customWidth="1"/>
    <col min="369" max="369" width="6" style="151" customWidth="1"/>
    <col min="370" max="370" width="11.140625" style="151" customWidth="1"/>
    <col min="371" max="371" width="6.85546875" style="151" customWidth="1"/>
    <col min="372" max="372" width="11.7109375" style="151" customWidth="1"/>
    <col min="373" max="373" width="7.140625" style="151" customWidth="1"/>
    <col min="374" max="374" width="9" style="151" customWidth="1"/>
    <col min="375" max="375" width="7.140625" style="151" customWidth="1"/>
    <col min="376" max="376" width="12" style="151" customWidth="1"/>
    <col min="377" max="377" width="12.7109375" style="151" customWidth="1"/>
    <col min="378" max="389" width="11.140625" style="151" bestFit="1" customWidth="1"/>
    <col min="390" max="390" width="12" style="151" bestFit="1" customWidth="1"/>
    <col min="391" max="391" width="10" style="151" bestFit="1" customWidth="1"/>
    <col min="392" max="410" width="12.7109375" style="151" customWidth="1"/>
    <col min="411" max="421" width="9.85546875" style="151" bestFit="1" customWidth="1"/>
    <col min="422" max="422" width="11.140625" style="151" bestFit="1" customWidth="1"/>
    <col min="423" max="437" width="9.140625" style="151"/>
    <col min="438" max="438" width="9.85546875" style="151" bestFit="1" customWidth="1"/>
    <col min="439" max="453" width="9.140625" style="151"/>
    <col min="454" max="454" width="9.85546875" style="151" bestFit="1" customWidth="1"/>
    <col min="455" max="469" width="9.140625" style="151"/>
    <col min="470" max="470" width="9.85546875" style="151" bestFit="1" customWidth="1"/>
    <col min="471" max="485" width="9.140625" style="151"/>
    <col min="486" max="486" width="9.85546875" style="151" bestFit="1" customWidth="1"/>
    <col min="487" max="488" width="9.140625" style="151"/>
    <col min="489" max="489" width="11" style="151" bestFit="1" customWidth="1"/>
    <col min="490" max="494" width="11.140625" style="151" bestFit="1" customWidth="1"/>
    <col min="495" max="495" width="9.85546875" style="151" bestFit="1" customWidth="1"/>
    <col min="496" max="500" width="11.140625" style="151" bestFit="1" customWidth="1"/>
    <col min="501" max="501" width="12" style="151" bestFit="1" customWidth="1"/>
    <col min="502" max="502" width="11" style="151" bestFit="1" customWidth="1"/>
    <col min="503" max="615" width="9.140625" style="151"/>
    <col min="616" max="616" width="8.28515625" style="151" bestFit="1" customWidth="1"/>
    <col min="617" max="617" width="26" style="151" bestFit="1" customWidth="1"/>
    <col min="618" max="618" width="12" style="151" customWidth="1"/>
    <col min="619" max="619" width="8.140625" style="151" customWidth="1"/>
    <col min="620" max="620" width="11.140625" style="151" customWidth="1"/>
    <col min="621" max="621" width="8.28515625" style="151" customWidth="1"/>
    <col min="622" max="622" width="9.85546875" style="151" customWidth="1"/>
    <col min="623" max="623" width="8" style="151" customWidth="1"/>
    <col min="624" max="624" width="9.85546875" style="151" customWidth="1"/>
    <col min="625" max="625" width="6" style="151" customWidth="1"/>
    <col min="626" max="626" width="11.140625" style="151" customWidth="1"/>
    <col min="627" max="627" width="6.85546875" style="151" customWidth="1"/>
    <col min="628" max="628" width="11.7109375" style="151" customWidth="1"/>
    <col min="629" max="629" width="7.140625" style="151" customWidth="1"/>
    <col min="630" max="630" width="9" style="151" customWidth="1"/>
    <col min="631" max="631" width="7.140625" style="151" customWidth="1"/>
    <col min="632" max="632" width="12" style="151" customWidth="1"/>
    <col min="633" max="633" width="12.7109375" style="151" customWidth="1"/>
    <col min="634" max="645" width="11.140625" style="151" bestFit="1" customWidth="1"/>
    <col min="646" max="646" width="12" style="151" bestFit="1" customWidth="1"/>
    <col min="647" max="647" width="10" style="151" bestFit="1" customWidth="1"/>
    <col min="648" max="666" width="12.7109375" style="151" customWidth="1"/>
    <col min="667" max="677" width="9.85546875" style="151" bestFit="1" customWidth="1"/>
    <col min="678" max="678" width="11.140625" style="151" bestFit="1" customWidth="1"/>
    <col min="679" max="693" width="9.140625" style="151"/>
    <col min="694" max="694" width="9.85546875" style="151" bestFit="1" customWidth="1"/>
    <col min="695" max="709" width="9.140625" style="151"/>
    <col min="710" max="710" width="9.85546875" style="151" bestFit="1" customWidth="1"/>
    <col min="711" max="725" width="9.140625" style="151"/>
    <col min="726" max="726" width="9.85546875" style="151" bestFit="1" customWidth="1"/>
    <col min="727" max="741" width="9.140625" style="151"/>
    <col min="742" max="742" width="9.85546875" style="151" bestFit="1" customWidth="1"/>
    <col min="743" max="744" width="9.140625" style="151"/>
    <col min="745" max="745" width="11" style="151" bestFit="1" customWidth="1"/>
    <col min="746" max="750" width="11.140625" style="151" bestFit="1" customWidth="1"/>
    <col min="751" max="751" width="9.85546875" style="151" bestFit="1" customWidth="1"/>
    <col min="752" max="756" width="11.140625" style="151" bestFit="1" customWidth="1"/>
    <col min="757" max="757" width="12" style="151" bestFit="1" customWidth="1"/>
    <col min="758" max="758" width="11" style="151" bestFit="1" customWidth="1"/>
    <col min="759" max="871" width="9.140625" style="151"/>
    <col min="872" max="872" width="8.28515625" style="151" bestFit="1" customWidth="1"/>
    <col min="873" max="873" width="26" style="151" bestFit="1" customWidth="1"/>
    <col min="874" max="874" width="12" style="151" customWidth="1"/>
    <col min="875" max="875" width="8.140625" style="151" customWidth="1"/>
    <col min="876" max="876" width="11.140625" style="151" customWidth="1"/>
    <col min="877" max="877" width="8.28515625" style="151" customWidth="1"/>
    <col min="878" max="878" width="9.85546875" style="151" customWidth="1"/>
    <col min="879" max="879" width="8" style="151" customWidth="1"/>
    <col min="880" max="880" width="9.85546875" style="151" customWidth="1"/>
    <col min="881" max="881" width="6" style="151" customWidth="1"/>
    <col min="882" max="882" width="11.140625" style="151" customWidth="1"/>
    <col min="883" max="883" width="6.85546875" style="151" customWidth="1"/>
    <col min="884" max="884" width="11.7109375" style="151" customWidth="1"/>
    <col min="885" max="885" width="7.140625" style="151" customWidth="1"/>
    <col min="886" max="886" width="9" style="151" customWidth="1"/>
    <col min="887" max="887" width="7.140625" style="151" customWidth="1"/>
    <col min="888" max="888" width="12" style="151" customWidth="1"/>
    <col min="889" max="889" width="12.7109375" style="151" customWidth="1"/>
    <col min="890" max="901" width="11.140625" style="151" bestFit="1" customWidth="1"/>
    <col min="902" max="902" width="12" style="151" bestFit="1" customWidth="1"/>
    <col min="903" max="903" width="10" style="151" bestFit="1" customWidth="1"/>
    <col min="904" max="922" width="12.7109375" style="151" customWidth="1"/>
    <col min="923" max="933" width="9.85546875" style="151" bestFit="1" customWidth="1"/>
    <col min="934" max="934" width="11.140625" style="151" bestFit="1" customWidth="1"/>
    <col min="935" max="949" width="9.140625" style="151"/>
    <col min="950" max="950" width="9.85546875" style="151" bestFit="1" customWidth="1"/>
    <col min="951" max="965" width="9.140625" style="151"/>
    <col min="966" max="966" width="9.85546875" style="151" bestFit="1" customWidth="1"/>
    <col min="967" max="981" width="9.140625" style="151"/>
    <col min="982" max="982" width="9.85546875" style="151" bestFit="1" customWidth="1"/>
    <col min="983" max="997" width="9.140625" style="151"/>
    <col min="998" max="998" width="9.85546875" style="151" bestFit="1" customWidth="1"/>
    <col min="999" max="1000" width="9.140625" style="151"/>
    <col min="1001" max="1001" width="11" style="151" bestFit="1" customWidth="1"/>
    <col min="1002" max="1006" width="11.140625" style="151" bestFit="1" customWidth="1"/>
    <col min="1007" max="1007" width="9.85546875" style="151" bestFit="1" customWidth="1"/>
    <col min="1008" max="1012" width="11.140625" style="151" bestFit="1" customWidth="1"/>
    <col min="1013" max="1013" width="12" style="151" bestFit="1" customWidth="1"/>
    <col min="1014" max="1014" width="11" style="151" bestFit="1" customWidth="1"/>
    <col min="1015" max="1127" width="9.140625" style="151"/>
    <col min="1128" max="1128" width="8.28515625" style="151" bestFit="1" customWidth="1"/>
    <col min="1129" max="1129" width="26" style="151" bestFit="1" customWidth="1"/>
    <col min="1130" max="1130" width="12" style="151" customWidth="1"/>
    <col min="1131" max="1131" width="8.140625" style="151" customWidth="1"/>
    <col min="1132" max="1132" width="11.140625" style="151" customWidth="1"/>
    <col min="1133" max="1133" width="8.28515625" style="151" customWidth="1"/>
    <col min="1134" max="1134" width="9.85546875" style="151" customWidth="1"/>
    <col min="1135" max="1135" width="8" style="151" customWidth="1"/>
    <col min="1136" max="1136" width="9.85546875" style="151" customWidth="1"/>
    <col min="1137" max="1137" width="6" style="151" customWidth="1"/>
    <col min="1138" max="1138" width="11.140625" style="151" customWidth="1"/>
    <col min="1139" max="1139" width="6.85546875" style="151" customWidth="1"/>
    <col min="1140" max="1140" width="11.7109375" style="151" customWidth="1"/>
    <col min="1141" max="1141" width="7.140625" style="151" customWidth="1"/>
    <col min="1142" max="1142" width="9" style="151" customWidth="1"/>
    <col min="1143" max="1143" width="7.140625" style="151" customWidth="1"/>
    <col min="1144" max="1144" width="12" style="151" customWidth="1"/>
    <col min="1145" max="1145" width="12.7109375" style="151" customWidth="1"/>
    <col min="1146" max="1157" width="11.140625" style="151" bestFit="1" customWidth="1"/>
    <col min="1158" max="1158" width="12" style="151" bestFit="1" customWidth="1"/>
    <col min="1159" max="1159" width="10" style="151" bestFit="1" customWidth="1"/>
    <col min="1160" max="1178" width="12.7109375" style="151" customWidth="1"/>
    <col min="1179" max="1189" width="9.85546875" style="151" bestFit="1" customWidth="1"/>
    <col min="1190" max="1190" width="11.140625" style="151" bestFit="1" customWidth="1"/>
    <col min="1191" max="1205" width="9.140625" style="151"/>
    <col min="1206" max="1206" width="9.85546875" style="151" bestFit="1" customWidth="1"/>
    <col min="1207" max="1221" width="9.140625" style="151"/>
    <col min="1222" max="1222" width="9.85546875" style="151" bestFit="1" customWidth="1"/>
    <col min="1223" max="1237" width="9.140625" style="151"/>
    <col min="1238" max="1238" width="9.85546875" style="151" bestFit="1" customWidth="1"/>
    <col min="1239" max="1253" width="9.140625" style="151"/>
    <col min="1254" max="1254" width="9.85546875" style="151" bestFit="1" customWidth="1"/>
    <col min="1255" max="1256" width="9.140625" style="151"/>
    <col min="1257" max="1257" width="11" style="151" bestFit="1" customWidth="1"/>
    <col min="1258" max="1262" width="11.140625" style="151" bestFit="1" customWidth="1"/>
    <col min="1263" max="1263" width="9.85546875" style="151" bestFit="1" customWidth="1"/>
    <col min="1264" max="1268" width="11.140625" style="151" bestFit="1" customWidth="1"/>
    <col min="1269" max="1269" width="12" style="151" bestFit="1" customWidth="1"/>
    <col min="1270" max="1270" width="11" style="151" bestFit="1" customWidth="1"/>
    <col min="1271" max="1383" width="9.140625" style="151"/>
    <col min="1384" max="1384" width="8.28515625" style="151" bestFit="1" customWidth="1"/>
    <col min="1385" max="1385" width="26" style="151" bestFit="1" customWidth="1"/>
    <col min="1386" max="1386" width="12" style="151" customWidth="1"/>
    <col min="1387" max="1387" width="8.140625" style="151" customWidth="1"/>
    <col min="1388" max="1388" width="11.140625" style="151" customWidth="1"/>
    <col min="1389" max="1389" width="8.28515625" style="151" customWidth="1"/>
    <col min="1390" max="1390" width="9.85546875" style="151" customWidth="1"/>
    <col min="1391" max="1391" width="8" style="151" customWidth="1"/>
    <col min="1392" max="1392" width="9.85546875" style="151" customWidth="1"/>
    <col min="1393" max="1393" width="6" style="151" customWidth="1"/>
    <col min="1394" max="1394" width="11.140625" style="151" customWidth="1"/>
    <col min="1395" max="1395" width="6.85546875" style="151" customWidth="1"/>
    <col min="1396" max="1396" width="11.7109375" style="151" customWidth="1"/>
    <col min="1397" max="1397" width="7.140625" style="151" customWidth="1"/>
    <col min="1398" max="1398" width="9" style="151" customWidth="1"/>
    <col min="1399" max="1399" width="7.140625" style="151" customWidth="1"/>
    <col min="1400" max="1400" width="12" style="151" customWidth="1"/>
    <col min="1401" max="1401" width="12.7109375" style="151" customWidth="1"/>
    <col min="1402" max="1413" width="11.140625" style="151" bestFit="1" customWidth="1"/>
    <col min="1414" max="1414" width="12" style="151" bestFit="1" customWidth="1"/>
    <col min="1415" max="1415" width="10" style="151" bestFit="1" customWidth="1"/>
    <col min="1416" max="1434" width="12.7109375" style="151" customWidth="1"/>
    <col min="1435" max="1445" width="9.85546875" style="151" bestFit="1" customWidth="1"/>
    <col min="1446" max="1446" width="11.140625" style="151" bestFit="1" customWidth="1"/>
    <col min="1447" max="1461" width="9.140625" style="151"/>
    <col min="1462" max="1462" width="9.85546875" style="151" bestFit="1" customWidth="1"/>
    <col min="1463" max="1477" width="9.140625" style="151"/>
    <col min="1478" max="1478" width="9.85546875" style="151" bestFit="1" customWidth="1"/>
    <col min="1479" max="1493" width="9.140625" style="151"/>
    <col min="1494" max="1494" width="9.85546875" style="151" bestFit="1" customWidth="1"/>
    <col min="1495" max="1509" width="9.140625" style="151"/>
    <col min="1510" max="1510" width="9.85546875" style="151" bestFit="1" customWidth="1"/>
    <col min="1511" max="1512" width="9.140625" style="151"/>
    <col min="1513" max="1513" width="11" style="151" bestFit="1" customWidth="1"/>
    <col min="1514" max="1518" width="11.140625" style="151" bestFit="1" customWidth="1"/>
    <col min="1519" max="1519" width="9.85546875" style="151" bestFit="1" customWidth="1"/>
    <col min="1520" max="1524" width="11.140625" style="151" bestFit="1" customWidth="1"/>
    <col min="1525" max="1525" width="12" style="151" bestFit="1" customWidth="1"/>
    <col min="1526" max="1526" width="11" style="151" bestFit="1" customWidth="1"/>
    <col min="1527" max="1639" width="9.140625" style="151"/>
    <col min="1640" max="1640" width="8.28515625" style="151" bestFit="1" customWidth="1"/>
    <col min="1641" max="1641" width="26" style="151" bestFit="1" customWidth="1"/>
    <col min="1642" max="1642" width="12" style="151" customWidth="1"/>
    <col min="1643" max="1643" width="8.140625" style="151" customWidth="1"/>
    <col min="1644" max="1644" width="11.140625" style="151" customWidth="1"/>
    <col min="1645" max="1645" width="8.28515625" style="151" customWidth="1"/>
    <col min="1646" max="1646" width="9.85546875" style="151" customWidth="1"/>
    <col min="1647" max="1647" width="8" style="151" customWidth="1"/>
    <col min="1648" max="1648" width="9.85546875" style="151" customWidth="1"/>
    <col min="1649" max="1649" width="6" style="151" customWidth="1"/>
    <col min="1650" max="1650" width="11.140625" style="151" customWidth="1"/>
    <col min="1651" max="1651" width="6.85546875" style="151" customWidth="1"/>
    <col min="1652" max="1652" width="11.7109375" style="151" customWidth="1"/>
    <col min="1653" max="1653" width="7.140625" style="151" customWidth="1"/>
    <col min="1654" max="1654" width="9" style="151" customWidth="1"/>
    <col min="1655" max="1655" width="7.140625" style="151" customWidth="1"/>
    <col min="1656" max="1656" width="12" style="151" customWidth="1"/>
    <col min="1657" max="1657" width="12.7109375" style="151" customWidth="1"/>
    <col min="1658" max="1669" width="11.140625" style="151" bestFit="1" customWidth="1"/>
    <col min="1670" max="1670" width="12" style="151" bestFit="1" customWidth="1"/>
    <col min="1671" max="1671" width="10" style="151" bestFit="1" customWidth="1"/>
    <col min="1672" max="1690" width="12.7109375" style="151" customWidth="1"/>
    <col min="1691" max="1701" width="9.85546875" style="151" bestFit="1" customWidth="1"/>
    <col min="1702" max="1702" width="11.140625" style="151" bestFit="1" customWidth="1"/>
    <col min="1703" max="1717" width="9.140625" style="151"/>
    <col min="1718" max="1718" width="9.85546875" style="151" bestFit="1" customWidth="1"/>
    <col min="1719" max="1733" width="9.140625" style="151"/>
    <col min="1734" max="1734" width="9.85546875" style="151" bestFit="1" customWidth="1"/>
    <col min="1735" max="1749" width="9.140625" style="151"/>
    <col min="1750" max="1750" width="9.85546875" style="151" bestFit="1" customWidth="1"/>
    <col min="1751" max="1765" width="9.140625" style="151"/>
    <col min="1766" max="1766" width="9.85546875" style="151" bestFit="1" customWidth="1"/>
    <col min="1767" max="1768" width="9.140625" style="151"/>
    <col min="1769" max="1769" width="11" style="151" bestFit="1" customWidth="1"/>
    <col min="1770" max="1774" width="11.140625" style="151" bestFit="1" customWidth="1"/>
    <col min="1775" max="1775" width="9.85546875" style="151" bestFit="1" customWidth="1"/>
    <col min="1776" max="1780" width="11.140625" style="151" bestFit="1" customWidth="1"/>
    <col min="1781" max="1781" width="12" style="151" bestFit="1" customWidth="1"/>
    <col min="1782" max="1782" width="11" style="151" bestFit="1" customWidth="1"/>
    <col min="1783" max="1895" width="9.140625" style="151"/>
    <col min="1896" max="1896" width="8.28515625" style="151" bestFit="1" customWidth="1"/>
    <col min="1897" max="1897" width="26" style="151" bestFit="1" customWidth="1"/>
    <col min="1898" max="1898" width="12" style="151" customWidth="1"/>
    <col min="1899" max="1899" width="8.140625" style="151" customWidth="1"/>
    <col min="1900" max="1900" width="11.140625" style="151" customWidth="1"/>
    <col min="1901" max="1901" width="8.28515625" style="151" customWidth="1"/>
    <col min="1902" max="1902" width="9.85546875" style="151" customWidth="1"/>
    <col min="1903" max="1903" width="8" style="151" customWidth="1"/>
    <col min="1904" max="1904" width="9.85546875" style="151" customWidth="1"/>
    <col min="1905" max="1905" width="6" style="151" customWidth="1"/>
    <col min="1906" max="1906" width="11.140625" style="151" customWidth="1"/>
    <col min="1907" max="1907" width="6.85546875" style="151" customWidth="1"/>
    <col min="1908" max="1908" width="11.7109375" style="151" customWidth="1"/>
    <col min="1909" max="1909" width="7.140625" style="151" customWidth="1"/>
    <col min="1910" max="1910" width="9" style="151" customWidth="1"/>
    <col min="1911" max="1911" width="7.140625" style="151" customWidth="1"/>
    <col min="1912" max="1912" width="12" style="151" customWidth="1"/>
    <col min="1913" max="1913" width="12.7109375" style="151" customWidth="1"/>
    <col min="1914" max="1925" width="11.140625" style="151" bestFit="1" customWidth="1"/>
    <col min="1926" max="1926" width="12" style="151" bestFit="1" customWidth="1"/>
    <col min="1927" max="1927" width="10" style="151" bestFit="1" customWidth="1"/>
    <col min="1928" max="1946" width="12.7109375" style="151" customWidth="1"/>
    <col min="1947" max="1957" width="9.85546875" style="151" bestFit="1" customWidth="1"/>
    <col min="1958" max="1958" width="11.140625" style="151" bestFit="1" customWidth="1"/>
    <col min="1959" max="1973" width="9.140625" style="151"/>
    <col min="1974" max="1974" width="9.85546875" style="151" bestFit="1" customWidth="1"/>
    <col min="1975" max="1989" width="9.140625" style="151"/>
    <col min="1990" max="1990" width="9.85546875" style="151" bestFit="1" customWidth="1"/>
    <col min="1991" max="2005" width="9.140625" style="151"/>
    <col min="2006" max="2006" width="9.85546875" style="151" bestFit="1" customWidth="1"/>
    <col min="2007" max="2021" width="9.140625" style="151"/>
    <col min="2022" max="2022" width="9.85546875" style="151" bestFit="1" customWidth="1"/>
    <col min="2023" max="2024" width="9.140625" style="151"/>
    <col min="2025" max="2025" width="11" style="151" bestFit="1" customWidth="1"/>
    <col min="2026" max="2030" width="11.140625" style="151" bestFit="1" customWidth="1"/>
    <col min="2031" max="2031" width="9.85546875" style="151" bestFit="1" customWidth="1"/>
    <col min="2032" max="2036" width="11.140625" style="151" bestFit="1" customWidth="1"/>
    <col min="2037" max="2037" width="12" style="151" bestFit="1" customWidth="1"/>
    <col min="2038" max="2038" width="11" style="151" bestFit="1" customWidth="1"/>
    <col min="2039" max="2151" width="9.140625" style="151"/>
    <col min="2152" max="2152" width="8.28515625" style="151" bestFit="1" customWidth="1"/>
    <col min="2153" max="2153" width="26" style="151" bestFit="1" customWidth="1"/>
    <col min="2154" max="2154" width="12" style="151" customWidth="1"/>
    <col min="2155" max="2155" width="8.140625" style="151" customWidth="1"/>
    <col min="2156" max="2156" width="11.140625" style="151" customWidth="1"/>
    <col min="2157" max="2157" width="8.28515625" style="151" customWidth="1"/>
    <col min="2158" max="2158" width="9.85546875" style="151" customWidth="1"/>
    <col min="2159" max="2159" width="8" style="151" customWidth="1"/>
    <col min="2160" max="2160" width="9.85546875" style="151" customWidth="1"/>
    <col min="2161" max="2161" width="6" style="151" customWidth="1"/>
    <col min="2162" max="2162" width="11.140625" style="151" customWidth="1"/>
    <col min="2163" max="2163" width="6.85546875" style="151" customWidth="1"/>
    <col min="2164" max="2164" width="11.7109375" style="151" customWidth="1"/>
    <col min="2165" max="2165" width="7.140625" style="151" customWidth="1"/>
    <col min="2166" max="2166" width="9" style="151" customWidth="1"/>
    <col min="2167" max="2167" width="7.140625" style="151" customWidth="1"/>
    <col min="2168" max="2168" width="12" style="151" customWidth="1"/>
    <col min="2169" max="2169" width="12.7109375" style="151" customWidth="1"/>
    <col min="2170" max="2181" width="11.140625" style="151" bestFit="1" customWidth="1"/>
    <col min="2182" max="2182" width="12" style="151" bestFit="1" customWidth="1"/>
    <col min="2183" max="2183" width="10" style="151" bestFit="1" customWidth="1"/>
    <col min="2184" max="2202" width="12.7109375" style="151" customWidth="1"/>
    <col min="2203" max="2213" width="9.85546875" style="151" bestFit="1" customWidth="1"/>
    <col min="2214" max="2214" width="11.140625" style="151" bestFit="1" customWidth="1"/>
    <col min="2215" max="2229" width="9.140625" style="151"/>
    <col min="2230" max="2230" width="9.85546875" style="151" bestFit="1" customWidth="1"/>
    <col min="2231" max="2245" width="9.140625" style="151"/>
    <col min="2246" max="2246" width="9.85546875" style="151" bestFit="1" customWidth="1"/>
    <col min="2247" max="2261" width="9.140625" style="151"/>
    <col min="2262" max="2262" width="9.85546875" style="151" bestFit="1" customWidth="1"/>
    <col min="2263" max="2277" width="9.140625" style="151"/>
    <col min="2278" max="2278" width="9.85546875" style="151" bestFit="1" customWidth="1"/>
    <col min="2279" max="2280" width="9.140625" style="151"/>
    <col min="2281" max="2281" width="11" style="151" bestFit="1" customWidth="1"/>
    <col min="2282" max="2286" width="11.140625" style="151" bestFit="1" customWidth="1"/>
    <col min="2287" max="2287" width="9.85546875" style="151" bestFit="1" customWidth="1"/>
    <col min="2288" max="2292" width="11.140625" style="151" bestFit="1" customWidth="1"/>
    <col min="2293" max="2293" width="12" style="151" bestFit="1" customWidth="1"/>
    <col min="2294" max="2294" width="11" style="151" bestFit="1" customWidth="1"/>
    <col min="2295" max="2407" width="9.140625" style="151"/>
    <col min="2408" max="2408" width="8.28515625" style="151" bestFit="1" customWidth="1"/>
    <col min="2409" max="2409" width="26" style="151" bestFit="1" customWidth="1"/>
    <col min="2410" max="2410" width="12" style="151" customWidth="1"/>
    <col min="2411" max="2411" width="8.140625" style="151" customWidth="1"/>
    <col min="2412" max="2412" width="11.140625" style="151" customWidth="1"/>
    <col min="2413" max="2413" width="8.28515625" style="151" customWidth="1"/>
    <col min="2414" max="2414" width="9.85546875" style="151" customWidth="1"/>
    <col min="2415" max="2415" width="8" style="151" customWidth="1"/>
    <col min="2416" max="2416" width="9.85546875" style="151" customWidth="1"/>
    <col min="2417" max="2417" width="6" style="151" customWidth="1"/>
    <col min="2418" max="2418" width="11.140625" style="151" customWidth="1"/>
    <col min="2419" max="2419" width="6.85546875" style="151" customWidth="1"/>
    <col min="2420" max="2420" width="11.7109375" style="151" customWidth="1"/>
    <col min="2421" max="2421" width="7.140625" style="151" customWidth="1"/>
    <col min="2422" max="2422" width="9" style="151" customWidth="1"/>
    <col min="2423" max="2423" width="7.140625" style="151" customWidth="1"/>
    <col min="2424" max="2424" width="12" style="151" customWidth="1"/>
    <col min="2425" max="2425" width="12.7109375" style="151" customWidth="1"/>
    <col min="2426" max="2437" width="11.140625" style="151" bestFit="1" customWidth="1"/>
    <col min="2438" max="2438" width="12" style="151" bestFit="1" customWidth="1"/>
    <col min="2439" max="2439" width="10" style="151" bestFit="1" customWidth="1"/>
    <col min="2440" max="2458" width="12.7109375" style="151" customWidth="1"/>
    <col min="2459" max="2469" width="9.85546875" style="151" bestFit="1" customWidth="1"/>
    <col min="2470" max="2470" width="11.140625" style="151" bestFit="1" customWidth="1"/>
    <col min="2471" max="2485" width="9.140625" style="151"/>
    <col min="2486" max="2486" width="9.85546875" style="151" bestFit="1" customWidth="1"/>
    <col min="2487" max="2501" width="9.140625" style="151"/>
    <col min="2502" max="2502" width="9.85546875" style="151" bestFit="1" customWidth="1"/>
    <col min="2503" max="2517" width="9.140625" style="151"/>
    <col min="2518" max="2518" width="9.85546875" style="151" bestFit="1" customWidth="1"/>
    <col min="2519" max="2533" width="9.140625" style="151"/>
    <col min="2534" max="2534" width="9.85546875" style="151" bestFit="1" customWidth="1"/>
    <col min="2535" max="2536" width="9.140625" style="151"/>
    <col min="2537" max="2537" width="11" style="151" bestFit="1" customWidth="1"/>
    <col min="2538" max="2542" width="11.140625" style="151" bestFit="1" customWidth="1"/>
    <col min="2543" max="2543" width="9.85546875" style="151" bestFit="1" customWidth="1"/>
    <col min="2544" max="2548" width="11.140625" style="151" bestFit="1" customWidth="1"/>
    <col min="2549" max="2549" width="12" style="151" bestFit="1" customWidth="1"/>
    <col min="2550" max="2550" width="11" style="151" bestFit="1" customWidth="1"/>
    <col min="2551" max="2663" width="9.140625" style="151"/>
    <col min="2664" max="2664" width="8.28515625" style="151" bestFit="1" customWidth="1"/>
    <col min="2665" max="2665" width="26" style="151" bestFit="1" customWidth="1"/>
    <col min="2666" max="2666" width="12" style="151" customWidth="1"/>
    <col min="2667" max="2667" width="8.140625" style="151" customWidth="1"/>
    <col min="2668" max="2668" width="11.140625" style="151" customWidth="1"/>
    <col min="2669" max="2669" width="8.28515625" style="151" customWidth="1"/>
    <col min="2670" max="2670" width="9.85546875" style="151" customWidth="1"/>
    <col min="2671" max="2671" width="8" style="151" customWidth="1"/>
    <col min="2672" max="2672" width="9.85546875" style="151" customWidth="1"/>
    <col min="2673" max="2673" width="6" style="151" customWidth="1"/>
    <col min="2674" max="2674" width="11.140625" style="151" customWidth="1"/>
    <col min="2675" max="2675" width="6.85546875" style="151" customWidth="1"/>
    <col min="2676" max="2676" width="11.7109375" style="151" customWidth="1"/>
    <col min="2677" max="2677" width="7.140625" style="151" customWidth="1"/>
    <col min="2678" max="2678" width="9" style="151" customWidth="1"/>
    <col min="2679" max="2679" width="7.140625" style="151" customWidth="1"/>
    <col min="2680" max="2680" width="12" style="151" customWidth="1"/>
    <col min="2681" max="2681" width="12.7109375" style="151" customWidth="1"/>
    <col min="2682" max="2693" width="11.140625" style="151" bestFit="1" customWidth="1"/>
    <col min="2694" max="2694" width="12" style="151" bestFit="1" customWidth="1"/>
    <col min="2695" max="2695" width="10" style="151" bestFit="1" customWidth="1"/>
    <col min="2696" max="2714" width="12.7109375" style="151" customWidth="1"/>
    <col min="2715" max="2725" width="9.85546875" style="151" bestFit="1" customWidth="1"/>
    <col min="2726" max="2726" width="11.140625" style="151" bestFit="1" customWidth="1"/>
    <col min="2727" max="2741" width="9.140625" style="151"/>
    <col min="2742" max="2742" width="9.85546875" style="151" bestFit="1" customWidth="1"/>
    <col min="2743" max="2757" width="9.140625" style="151"/>
    <col min="2758" max="2758" width="9.85546875" style="151" bestFit="1" customWidth="1"/>
    <col min="2759" max="2773" width="9.140625" style="151"/>
    <col min="2774" max="2774" width="9.85546875" style="151" bestFit="1" customWidth="1"/>
    <col min="2775" max="2789" width="9.140625" style="151"/>
    <col min="2790" max="2790" width="9.85546875" style="151" bestFit="1" customWidth="1"/>
    <col min="2791" max="2792" width="9.140625" style="151"/>
    <col min="2793" max="2793" width="11" style="151" bestFit="1" customWidth="1"/>
    <col min="2794" max="2798" width="11.140625" style="151" bestFit="1" customWidth="1"/>
    <col min="2799" max="2799" width="9.85546875" style="151" bestFit="1" customWidth="1"/>
    <col min="2800" max="2804" width="11.140625" style="151" bestFit="1" customWidth="1"/>
    <col min="2805" max="2805" width="12" style="151" bestFit="1" customWidth="1"/>
    <col min="2806" max="2806" width="11" style="151" bestFit="1" customWidth="1"/>
    <col min="2807" max="2919" width="9.140625" style="151"/>
    <col min="2920" max="2920" width="8.28515625" style="151" bestFit="1" customWidth="1"/>
    <col min="2921" max="2921" width="26" style="151" bestFit="1" customWidth="1"/>
    <col min="2922" max="2922" width="12" style="151" customWidth="1"/>
    <col min="2923" max="2923" width="8.140625" style="151" customWidth="1"/>
    <col min="2924" max="2924" width="11.140625" style="151" customWidth="1"/>
    <col min="2925" max="2925" width="8.28515625" style="151" customWidth="1"/>
    <col min="2926" max="2926" width="9.85546875" style="151" customWidth="1"/>
    <col min="2927" max="2927" width="8" style="151" customWidth="1"/>
    <col min="2928" max="2928" width="9.85546875" style="151" customWidth="1"/>
    <col min="2929" max="2929" width="6" style="151" customWidth="1"/>
    <col min="2930" max="2930" width="11.140625" style="151" customWidth="1"/>
    <col min="2931" max="2931" width="6.85546875" style="151" customWidth="1"/>
    <col min="2932" max="2932" width="11.7109375" style="151" customWidth="1"/>
    <col min="2933" max="2933" width="7.140625" style="151" customWidth="1"/>
    <col min="2934" max="2934" width="9" style="151" customWidth="1"/>
    <col min="2935" max="2935" width="7.140625" style="151" customWidth="1"/>
    <col min="2936" max="2936" width="12" style="151" customWidth="1"/>
    <col min="2937" max="2937" width="12.7109375" style="151" customWidth="1"/>
    <col min="2938" max="2949" width="11.140625" style="151" bestFit="1" customWidth="1"/>
    <col min="2950" max="2950" width="12" style="151" bestFit="1" customWidth="1"/>
    <col min="2951" max="2951" width="10" style="151" bestFit="1" customWidth="1"/>
    <col min="2952" max="2970" width="12.7109375" style="151" customWidth="1"/>
    <col min="2971" max="2981" width="9.85546875" style="151" bestFit="1" customWidth="1"/>
    <col min="2982" max="2982" width="11.140625" style="151" bestFit="1" customWidth="1"/>
    <col min="2983" max="2997" width="9.140625" style="151"/>
    <col min="2998" max="2998" width="9.85546875" style="151" bestFit="1" customWidth="1"/>
    <col min="2999" max="3013" width="9.140625" style="151"/>
    <col min="3014" max="3014" width="9.85546875" style="151" bestFit="1" customWidth="1"/>
    <col min="3015" max="3029" width="9.140625" style="151"/>
    <col min="3030" max="3030" width="9.85546875" style="151" bestFit="1" customWidth="1"/>
    <col min="3031" max="3045" width="9.140625" style="151"/>
    <col min="3046" max="3046" width="9.85546875" style="151" bestFit="1" customWidth="1"/>
    <col min="3047" max="3048" width="9.140625" style="151"/>
    <col min="3049" max="3049" width="11" style="151" bestFit="1" customWidth="1"/>
    <col min="3050" max="3054" width="11.140625" style="151" bestFit="1" customWidth="1"/>
    <col min="3055" max="3055" width="9.85546875" style="151" bestFit="1" customWidth="1"/>
    <col min="3056" max="3060" width="11.140625" style="151" bestFit="1" customWidth="1"/>
    <col min="3061" max="3061" width="12" style="151" bestFit="1" customWidth="1"/>
    <col min="3062" max="3062" width="11" style="151" bestFit="1" customWidth="1"/>
    <col min="3063" max="3175" width="9.140625" style="151"/>
    <col min="3176" max="3176" width="8.28515625" style="151" bestFit="1" customWidth="1"/>
    <col min="3177" max="3177" width="26" style="151" bestFit="1" customWidth="1"/>
    <col min="3178" max="3178" width="12" style="151" customWidth="1"/>
    <col min="3179" max="3179" width="8.140625" style="151" customWidth="1"/>
    <col min="3180" max="3180" width="11.140625" style="151" customWidth="1"/>
    <col min="3181" max="3181" width="8.28515625" style="151" customWidth="1"/>
    <col min="3182" max="3182" width="9.85546875" style="151" customWidth="1"/>
    <col min="3183" max="3183" width="8" style="151" customWidth="1"/>
    <col min="3184" max="3184" width="9.85546875" style="151" customWidth="1"/>
    <col min="3185" max="3185" width="6" style="151" customWidth="1"/>
    <col min="3186" max="3186" width="11.140625" style="151" customWidth="1"/>
    <col min="3187" max="3187" width="6.85546875" style="151" customWidth="1"/>
    <col min="3188" max="3188" width="11.7109375" style="151" customWidth="1"/>
    <col min="3189" max="3189" width="7.140625" style="151" customWidth="1"/>
    <col min="3190" max="3190" width="9" style="151" customWidth="1"/>
    <col min="3191" max="3191" width="7.140625" style="151" customWidth="1"/>
    <col min="3192" max="3192" width="12" style="151" customWidth="1"/>
    <col min="3193" max="3193" width="12.7109375" style="151" customWidth="1"/>
    <col min="3194" max="3205" width="11.140625" style="151" bestFit="1" customWidth="1"/>
    <col min="3206" max="3206" width="12" style="151" bestFit="1" customWidth="1"/>
    <col min="3207" max="3207" width="10" style="151" bestFit="1" customWidth="1"/>
    <col min="3208" max="3226" width="12.7109375" style="151" customWidth="1"/>
    <col min="3227" max="3237" width="9.85546875" style="151" bestFit="1" customWidth="1"/>
    <col min="3238" max="3238" width="11.140625" style="151" bestFit="1" customWidth="1"/>
    <col min="3239" max="3253" width="9.140625" style="151"/>
    <col min="3254" max="3254" width="9.85546875" style="151" bestFit="1" customWidth="1"/>
    <col min="3255" max="3269" width="9.140625" style="151"/>
    <col min="3270" max="3270" width="9.85546875" style="151" bestFit="1" customWidth="1"/>
    <col min="3271" max="3285" width="9.140625" style="151"/>
    <col min="3286" max="3286" width="9.85546875" style="151" bestFit="1" customWidth="1"/>
    <col min="3287" max="3301" width="9.140625" style="151"/>
    <col min="3302" max="3302" width="9.85546875" style="151" bestFit="1" customWidth="1"/>
    <col min="3303" max="3304" width="9.140625" style="151"/>
    <col min="3305" max="3305" width="11" style="151" bestFit="1" customWidth="1"/>
    <col min="3306" max="3310" width="11.140625" style="151" bestFit="1" customWidth="1"/>
    <col min="3311" max="3311" width="9.85546875" style="151" bestFit="1" customWidth="1"/>
    <col min="3312" max="3316" width="11.140625" style="151" bestFit="1" customWidth="1"/>
    <col min="3317" max="3317" width="12" style="151" bestFit="1" customWidth="1"/>
    <col min="3318" max="3318" width="11" style="151" bestFit="1" customWidth="1"/>
    <col min="3319" max="3431" width="9.140625" style="151"/>
    <col min="3432" max="3432" width="8.28515625" style="151" bestFit="1" customWidth="1"/>
    <col min="3433" max="3433" width="26" style="151" bestFit="1" customWidth="1"/>
    <col min="3434" max="3434" width="12" style="151" customWidth="1"/>
    <col min="3435" max="3435" width="8.140625" style="151" customWidth="1"/>
    <col min="3436" max="3436" width="11.140625" style="151" customWidth="1"/>
    <col min="3437" max="3437" width="8.28515625" style="151" customWidth="1"/>
    <col min="3438" max="3438" width="9.85546875" style="151" customWidth="1"/>
    <col min="3439" max="3439" width="8" style="151" customWidth="1"/>
    <col min="3440" max="3440" width="9.85546875" style="151" customWidth="1"/>
    <col min="3441" max="3441" width="6" style="151" customWidth="1"/>
    <col min="3442" max="3442" width="11.140625" style="151" customWidth="1"/>
    <col min="3443" max="3443" width="6.85546875" style="151" customWidth="1"/>
    <col min="3444" max="3444" width="11.7109375" style="151" customWidth="1"/>
    <col min="3445" max="3445" width="7.140625" style="151" customWidth="1"/>
    <col min="3446" max="3446" width="9" style="151" customWidth="1"/>
    <col min="3447" max="3447" width="7.140625" style="151" customWidth="1"/>
    <col min="3448" max="3448" width="12" style="151" customWidth="1"/>
    <col min="3449" max="3449" width="12.7109375" style="151" customWidth="1"/>
    <col min="3450" max="3461" width="11.140625" style="151" bestFit="1" customWidth="1"/>
    <col min="3462" max="3462" width="12" style="151" bestFit="1" customWidth="1"/>
    <col min="3463" max="3463" width="10" style="151" bestFit="1" customWidth="1"/>
    <col min="3464" max="3482" width="12.7109375" style="151" customWidth="1"/>
    <col min="3483" max="3493" width="9.85546875" style="151" bestFit="1" customWidth="1"/>
    <col min="3494" max="3494" width="11.140625" style="151" bestFit="1" customWidth="1"/>
    <col min="3495" max="3509" width="9.140625" style="151"/>
    <col min="3510" max="3510" width="9.85546875" style="151" bestFit="1" customWidth="1"/>
    <col min="3511" max="3525" width="9.140625" style="151"/>
    <col min="3526" max="3526" width="9.85546875" style="151" bestFit="1" customWidth="1"/>
    <col min="3527" max="3541" width="9.140625" style="151"/>
    <col min="3542" max="3542" width="9.85546875" style="151" bestFit="1" customWidth="1"/>
    <col min="3543" max="3557" width="9.140625" style="151"/>
    <col min="3558" max="3558" width="9.85546875" style="151" bestFit="1" customWidth="1"/>
    <col min="3559" max="3560" width="9.140625" style="151"/>
    <col min="3561" max="3561" width="11" style="151" bestFit="1" customWidth="1"/>
    <col min="3562" max="3566" width="11.140625" style="151" bestFit="1" customWidth="1"/>
    <col min="3567" max="3567" width="9.85546875" style="151" bestFit="1" customWidth="1"/>
    <col min="3568" max="3572" width="11.140625" style="151" bestFit="1" customWidth="1"/>
    <col min="3573" max="3573" width="12" style="151" bestFit="1" customWidth="1"/>
    <col min="3574" max="3574" width="11" style="151" bestFit="1" customWidth="1"/>
    <col min="3575" max="3687" width="9.140625" style="151"/>
    <col min="3688" max="3688" width="8.28515625" style="151" bestFit="1" customWidth="1"/>
    <col min="3689" max="3689" width="26" style="151" bestFit="1" customWidth="1"/>
    <col min="3690" max="3690" width="12" style="151" customWidth="1"/>
    <col min="3691" max="3691" width="8.140625" style="151" customWidth="1"/>
    <col min="3692" max="3692" width="11.140625" style="151" customWidth="1"/>
    <col min="3693" max="3693" width="8.28515625" style="151" customWidth="1"/>
    <col min="3694" max="3694" width="9.85546875" style="151" customWidth="1"/>
    <col min="3695" max="3695" width="8" style="151" customWidth="1"/>
    <col min="3696" max="3696" width="9.85546875" style="151" customWidth="1"/>
    <col min="3697" max="3697" width="6" style="151" customWidth="1"/>
    <col min="3698" max="3698" width="11.140625" style="151" customWidth="1"/>
    <col min="3699" max="3699" width="6.85546875" style="151" customWidth="1"/>
    <col min="3700" max="3700" width="11.7109375" style="151" customWidth="1"/>
    <col min="3701" max="3701" width="7.140625" style="151" customWidth="1"/>
    <col min="3702" max="3702" width="9" style="151" customWidth="1"/>
    <col min="3703" max="3703" width="7.140625" style="151" customWidth="1"/>
    <col min="3704" max="3704" width="12" style="151" customWidth="1"/>
    <col min="3705" max="3705" width="12.7109375" style="151" customWidth="1"/>
    <col min="3706" max="3717" width="11.140625" style="151" bestFit="1" customWidth="1"/>
    <col min="3718" max="3718" width="12" style="151" bestFit="1" customWidth="1"/>
    <col min="3719" max="3719" width="10" style="151" bestFit="1" customWidth="1"/>
    <col min="3720" max="3738" width="12.7109375" style="151" customWidth="1"/>
    <col min="3739" max="3749" width="9.85546875" style="151" bestFit="1" customWidth="1"/>
    <col min="3750" max="3750" width="11.140625" style="151" bestFit="1" customWidth="1"/>
    <col min="3751" max="3765" width="9.140625" style="151"/>
    <col min="3766" max="3766" width="9.85546875" style="151" bestFit="1" customWidth="1"/>
    <col min="3767" max="3781" width="9.140625" style="151"/>
    <col min="3782" max="3782" width="9.85546875" style="151" bestFit="1" customWidth="1"/>
    <col min="3783" max="3797" width="9.140625" style="151"/>
    <col min="3798" max="3798" width="9.85546875" style="151" bestFit="1" customWidth="1"/>
    <col min="3799" max="3813" width="9.140625" style="151"/>
    <col min="3814" max="3814" width="9.85546875" style="151" bestFit="1" customWidth="1"/>
    <col min="3815" max="3816" width="9.140625" style="151"/>
    <col min="3817" max="3817" width="11" style="151" bestFit="1" customWidth="1"/>
    <col min="3818" max="3822" width="11.140625" style="151" bestFit="1" customWidth="1"/>
    <col min="3823" max="3823" width="9.85546875" style="151" bestFit="1" customWidth="1"/>
    <col min="3824" max="3828" width="11.140625" style="151" bestFit="1" customWidth="1"/>
    <col min="3829" max="3829" width="12" style="151" bestFit="1" customWidth="1"/>
    <col min="3830" max="3830" width="11" style="151" bestFit="1" customWidth="1"/>
    <col min="3831" max="3943" width="9.140625" style="151"/>
    <col min="3944" max="3944" width="8.28515625" style="151" bestFit="1" customWidth="1"/>
    <col min="3945" max="3945" width="26" style="151" bestFit="1" customWidth="1"/>
    <col min="3946" max="3946" width="12" style="151" customWidth="1"/>
    <col min="3947" max="3947" width="8.140625" style="151" customWidth="1"/>
    <col min="3948" max="3948" width="11.140625" style="151" customWidth="1"/>
    <col min="3949" max="3949" width="8.28515625" style="151" customWidth="1"/>
    <col min="3950" max="3950" width="9.85546875" style="151" customWidth="1"/>
    <col min="3951" max="3951" width="8" style="151" customWidth="1"/>
    <col min="3952" max="3952" width="9.85546875" style="151" customWidth="1"/>
    <col min="3953" max="3953" width="6" style="151" customWidth="1"/>
    <col min="3954" max="3954" width="11.140625" style="151" customWidth="1"/>
    <col min="3955" max="3955" width="6.85546875" style="151" customWidth="1"/>
    <col min="3956" max="3956" width="11.7109375" style="151" customWidth="1"/>
    <col min="3957" max="3957" width="7.140625" style="151" customWidth="1"/>
    <col min="3958" max="3958" width="9" style="151" customWidth="1"/>
    <col min="3959" max="3959" width="7.140625" style="151" customWidth="1"/>
    <col min="3960" max="3960" width="12" style="151" customWidth="1"/>
    <col min="3961" max="3961" width="12.7109375" style="151" customWidth="1"/>
    <col min="3962" max="3973" width="11.140625" style="151" bestFit="1" customWidth="1"/>
    <col min="3974" max="3974" width="12" style="151" bestFit="1" customWidth="1"/>
    <col min="3975" max="3975" width="10" style="151" bestFit="1" customWidth="1"/>
    <col min="3976" max="3994" width="12.7109375" style="151" customWidth="1"/>
    <col min="3995" max="4005" width="9.85546875" style="151" bestFit="1" customWidth="1"/>
    <col min="4006" max="4006" width="11.140625" style="151" bestFit="1" customWidth="1"/>
    <col min="4007" max="4021" width="9.140625" style="151"/>
    <col min="4022" max="4022" width="9.85546875" style="151" bestFit="1" customWidth="1"/>
    <col min="4023" max="4037" width="9.140625" style="151"/>
    <col min="4038" max="4038" width="9.85546875" style="151" bestFit="1" customWidth="1"/>
    <col min="4039" max="4053" width="9.140625" style="151"/>
    <col min="4054" max="4054" width="9.85546875" style="151" bestFit="1" customWidth="1"/>
    <col min="4055" max="4069" width="9.140625" style="151"/>
    <col min="4070" max="4070" width="9.85546875" style="151" bestFit="1" customWidth="1"/>
    <col min="4071" max="4072" width="9.140625" style="151"/>
    <col min="4073" max="4073" width="11" style="151" bestFit="1" customWidth="1"/>
    <col min="4074" max="4078" width="11.140625" style="151" bestFit="1" customWidth="1"/>
    <col min="4079" max="4079" width="9.85546875" style="151" bestFit="1" customWidth="1"/>
    <col min="4080" max="4084" width="11.140625" style="151" bestFit="1" customWidth="1"/>
    <col min="4085" max="4085" width="12" style="151" bestFit="1" customWidth="1"/>
    <col min="4086" max="4086" width="11" style="151" bestFit="1" customWidth="1"/>
    <col min="4087" max="4199" width="9.140625" style="151"/>
    <col min="4200" max="4200" width="8.28515625" style="151" bestFit="1" customWidth="1"/>
    <col min="4201" max="4201" width="26" style="151" bestFit="1" customWidth="1"/>
    <col min="4202" max="4202" width="12" style="151" customWidth="1"/>
    <col min="4203" max="4203" width="8.140625" style="151" customWidth="1"/>
    <col min="4204" max="4204" width="11.140625" style="151" customWidth="1"/>
    <col min="4205" max="4205" width="8.28515625" style="151" customWidth="1"/>
    <col min="4206" max="4206" width="9.85546875" style="151" customWidth="1"/>
    <col min="4207" max="4207" width="8" style="151" customWidth="1"/>
    <col min="4208" max="4208" width="9.85546875" style="151" customWidth="1"/>
    <col min="4209" max="4209" width="6" style="151" customWidth="1"/>
    <col min="4210" max="4210" width="11.140625" style="151" customWidth="1"/>
    <col min="4211" max="4211" width="6.85546875" style="151" customWidth="1"/>
    <col min="4212" max="4212" width="11.7109375" style="151" customWidth="1"/>
    <col min="4213" max="4213" width="7.140625" style="151" customWidth="1"/>
    <col min="4214" max="4214" width="9" style="151" customWidth="1"/>
    <col min="4215" max="4215" width="7.140625" style="151" customWidth="1"/>
    <col min="4216" max="4216" width="12" style="151" customWidth="1"/>
    <col min="4217" max="4217" width="12.7109375" style="151" customWidth="1"/>
    <col min="4218" max="4229" width="11.140625" style="151" bestFit="1" customWidth="1"/>
    <col min="4230" max="4230" width="12" style="151" bestFit="1" customWidth="1"/>
    <col min="4231" max="4231" width="10" style="151" bestFit="1" customWidth="1"/>
    <col min="4232" max="4250" width="12.7109375" style="151" customWidth="1"/>
    <col min="4251" max="4261" width="9.85546875" style="151" bestFit="1" customWidth="1"/>
    <col min="4262" max="4262" width="11.140625" style="151" bestFit="1" customWidth="1"/>
    <col min="4263" max="4277" width="9.140625" style="151"/>
    <col min="4278" max="4278" width="9.85546875" style="151" bestFit="1" customWidth="1"/>
    <col min="4279" max="4293" width="9.140625" style="151"/>
    <col min="4294" max="4294" width="9.85546875" style="151" bestFit="1" customWidth="1"/>
    <col min="4295" max="4309" width="9.140625" style="151"/>
    <col min="4310" max="4310" width="9.85546875" style="151" bestFit="1" customWidth="1"/>
    <col min="4311" max="4325" width="9.140625" style="151"/>
    <col min="4326" max="4326" width="9.85546875" style="151" bestFit="1" customWidth="1"/>
    <col min="4327" max="4328" width="9.140625" style="151"/>
    <col min="4329" max="4329" width="11" style="151" bestFit="1" customWidth="1"/>
    <col min="4330" max="4334" width="11.140625" style="151" bestFit="1" customWidth="1"/>
    <col min="4335" max="4335" width="9.85546875" style="151" bestFit="1" customWidth="1"/>
    <col min="4336" max="4340" width="11.140625" style="151" bestFit="1" customWidth="1"/>
    <col min="4341" max="4341" width="12" style="151" bestFit="1" customWidth="1"/>
    <col min="4342" max="4342" width="11" style="151" bestFit="1" customWidth="1"/>
    <col min="4343" max="4455" width="9.140625" style="151"/>
    <col min="4456" max="4456" width="8.28515625" style="151" bestFit="1" customWidth="1"/>
    <col min="4457" max="4457" width="26" style="151" bestFit="1" customWidth="1"/>
    <col min="4458" max="4458" width="12" style="151" customWidth="1"/>
    <col min="4459" max="4459" width="8.140625" style="151" customWidth="1"/>
    <col min="4460" max="4460" width="11.140625" style="151" customWidth="1"/>
    <col min="4461" max="4461" width="8.28515625" style="151" customWidth="1"/>
    <col min="4462" max="4462" width="9.85546875" style="151" customWidth="1"/>
    <col min="4463" max="4463" width="8" style="151" customWidth="1"/>
    <col min="4464" max="4464" width="9.85546875" style="151" customWidth="1"/>
    <col min="4465" max="4465" width="6" style="151" customWidth="1"/>
    <col min="4466" max="4466" width="11.140625" style="151" customWidth="1"/>
    <col min="4467" max="4467" width="6.85546875" style="151" customWidth="1"/>
    <col min="4468" max="4468" width="11.7109375" style="151" customWidth="1"/>
    <col min="4469" max="4469" width="7.140625" style="151" customWidth="1"/>
    <col min="4470" max="4470" width="9" style="151" customWidth="1"/>
    <col min="4471" max="4471" width="7.140625" style="151" customWidth="1"/>
    <col min="4472" max="4472" width="12" style="151" customWidth="1"/>
    <col min="4473" max="4473" width="12.7109375" style="151" customWidth="1"/>
    <col min="4474" max="4485" width="11.140625" style="151" bestFit="1" customWidth="1"/>
    <col min="4486" max="4486" width="12" style="151" bestFit="1" customWidth="1"/>
    <col min="4487" max="4487" width="10" style="151" bestFit="1" customWidth="1"/>
    <col min="4488" max="4506" width="12.7109375" style="151" customWidth="1"/>
    <col min="4507" max="4517" width="9.85546875" style="151" bestFit="1" customWidth="1"/>
    <col min="4518" max="4518" width="11.140625" style="151" bestFit="1" customWidth="1"/>
    <col min="4519" max="4533" width="9.140625" style="151"/>
    <col min="4534" max="4534" width="9.85546875" style="151" bestFit="1" customWidth="1"/>
    <col min="4535" max="4549" width="9.140625" style="151"/>
    <col min="4550" max="4550" width="9.85546875" style="151" bestFit="1" customWidth="1"/>
    <col min="4551" max="4565" width="9.140625" style="151"/>
    <col min="4566" max="4566" width="9.85546875" style="151" bestFit="1" customWidth="1"/>
    <col min="4567" max="4581" width="9.140625" style="151"/>
    <col min="4582" max="4582" width="9.85546875" style="151" bestFit="1" customWidth="1"/>
    <col min="4583" max="4584" width="9.140625" style="151"/>
    <col min="4585" max="4585" width="11" style="151" bestFit="1" customWidth="1"/>
    <col min="4586" max="4590" width="11.140625" style="151" bestFit="1" customWidth="1"/>
    <col min="4591" max="4591" width="9.85546875" style="151" bestFit="1" customWidth="1"/>
    <col min="4592" max="4596" width="11.140625" style="151" bestFit="1" customWidth="1"/>
    <col min="4597" max="4597" width="12" style="151" bestFit="1" customWidth="1"/>
    <col min="4598" max="4598" width="11" style="151" bestFit="1" customWidth="1"/>
    <col min="4599" max="4711" width="9.140625" style="151"/>
    <col min="4712" max="4712" width="8.28515625" style="151" bestFit="1" customWidth="1"/>
    <col min="4713" max="4713" width="26" style="151" bestFit="1" customWidth="1"/>
    <col min="4714" max="4714" width="12" style="151" customWidth="1"/>
    <col min="4715" max="4715" width="8.140625" style="151" customWidth="1"/>
    <col min="4716" max="4716" width="11.140625" style="151" customWidth="1"/>
    <col min="4717" max="4717" width="8.28515625" style="151" customWidth="1"/>
    <col min="4718" max="4718" width="9.85546875" style="151" customWidth="1"/>
    <col min="4719" max="4719" width="8" style="151" customWidth="1"/>
    <col min="4720" max="4720" width="9.85546875" style="151" customWidth="1"/>
    <col min="4721" max="4721" width="6" style="151" customWidth="1"/>
    <col min="4722" max="4722" width="11.140625" style="151" customWidth="1"/>
    <col min="4723" max="4723" width="6.85546875" style="151" customWidth="1"/>
    <col min="4724" max="4724" width="11.7109375" style="151" customWidth="1"/>
    <col min="4725" max="4725" width="7.140625" style="151" customWidth="1"/>
    <col min="4726" max="4726" width="9" style="151" customWidth="1"/>
    <col min="4727" max="4727" width="7.140625" style="151" customWidth="1"/>
    <col min="4728" max="4728" width="12" style="151" customWidth="1"/>
    <col min="4729" max="4729" width="12.7109375" style="151" customWidth="1"/>
    <col min="4730" max="4741" width="11.140625" style="151" bestFit="1" customWidth="1"/>
    <col min="4742" max="4742" width="12" style="151" bestFit="1" customWidth="1"/>
    <col min="4743" max="4743" width="10" style="151" bestFit="1" customWidth="1"/>
    <col min="4744" max="4762" width="12.7109375" style="151" customWidth="1"/>
    <col min="4763" max="4773" width="9.85546875" style="151" bestFit="1" customWidth="1"/>
    <col min="4774" max="4774" width="11.140625" style="151" bestFit="1" customWidth="1"/>
    <col min="4775" max="4789" width="9.140625" style="151"/>
    <col min="4790" max="4790" width="9.85546875" style="151" bestFit="1" customWidth="1"/>
    <col min="4791" max="4805" width="9.140625" style="151"/>
    <col min="4806" max="4806" width="9.85546875" style="151" bestFit="1" customWidth="1"/>
    <col min="4807" max="4821" width="9.140625" style="151"/>
    <col min="4822" max="4822" width="9.85546875" style="151" bestFit="1" customWidth="1"/>
    <col min="4823" max="4837" width="9.140625" style="151"/>
    <col min="4838" max="4838" width="9.85546875" style="151" bestFit="1" customWidth="1"/>
    <col min="4839" max="4840" width="9.140625" style="151"/>
    <col min="4841" max="4841" width="11" style="151" bestFit="1" customWidth="1"/>
    <col min="4842" max="4846" width="11.140625" style="151" bestFit="1" customWidth="1"/>
    <col min="4847" max="4847" width="9.85546875" style="151" bestFit="1" customWidth="1"/>
    <col min="4848" max="4852" width="11.140625" style="151" bestFit="1" customWidth="1"/>
    <col min="4853" max="4853" width="12" style="151" bestFit="1" customWidth="1"/>
    <col min="4854" max="4854" width="11" style="151" bestFit="1" customWidth="1"/>
    <col min="4855" max="4967" width="9.140625" style="151"/>
    <col min="4968" max="4968" width="8.28515625" style="151" bestFit="1" customWidth="1"/>
    <col min="4969" max="4969" width="26" style="151" bestFit="1" customWidth="1"/>
    <col min="4970" max="4970" width="12" style="151" customWidth="1"/>
    <col min="4971" max="4971" width="8.140625" style="151" customWidth="1"/>
    <col min="4972" max="4972" width="11.140625" style="151" customWidth="1"/>
    <col min="4973" max="4973" width="8.28515625" style="151" customWidth="1"/>
    <col min="4974" max="4974" width="9.85546875" style="151" customWidth="1"/>
    <col min="4975" max="4975" width="8" style="151" customWidth="1"/>
    <col min="4976" max="4976" width="9.85546875" style="151" customWidth="1"/>
    <col min="4977" max="4977" width="6" style="151" customWidth="1"/>
    <col min="4978" max="4978" width="11.140625" style="151" customWidth="1"/>
    <col min="4979" max="4979" width="6.85546875" style="151" customWidth="1"/>
    <col min="4980" max="4980" width="11.7109375" style="151" customWidth="1"/>
    <col min="4981" max="4981" width="7.140625" style="151" customWidth="1"/>
    <col min="4982" max="4982" width="9" style="151" customWidth="1"/>
    <col min="4983" max="4983" width="7.140625" style="151" customWidth="1"/>
    <col min="4984" max="4984" width="12" style="151" customWidth="1"/>
    <col min="4985" max="4985" width="12.7109375" style="151" customWidth="1"/>
    <col min="4986" max="4997" width="11.140625" style="151" bestFit="1" customWidth="1"/>
    <col min="4998" max="4998" width="12" style="151" bestFit="1" customWidth="1"/>
    <col min="4999" max="4999" width="10" style="151" bestFit="1" customWidth="1"/>
    <col min="5000" max="5018" width="12.7109375" style="151" customWidth="1"/>
    <col min="5019" max="5029" width="9.85546875" style="151" bestFit="1" customWidth="1"/>
    <col min="5030" max="5030" width="11.140625" style="151" bestFit="1" customWidth="1"/>
    <col min="5031" max="5045" width="9.140625" style="151"/>
    <col min="5046" max="5046" width="9.85546875" style="151" bestFit="1" customWidth="1"/>
    <col min="5047" max="5061" width="9.140625" style="151"/>
    <col min="5062" max="5062" width="9.85546875" style="151" bestFit="1" customWidth="1"/>
    <col min="5063" max="5077" width="9.140625" style="151"/>
    <col min="5078" max="5078" width="9.85546875" style="151" bestFit="1" customWidth="1"/>
    <col min="5079" max="5093" width="9.140625" style="151"/>
    <col min="5094" max="5094" width="9.85546875" style="151" bestFit="1" customWidth="1"/>
    <col min="5095" max="5096" width="9.140625" style="151"/>
    <col min="5097" max="5097" width="11" style="151" bestFit="1" customWidth="1"/>
    <col min="5098" max="5102" width="11.140625" style="151" bestFit="1" customWidth="1"/>
    <col min="5103" max="5103" width="9.85546875" style="151" bestFit="1" customWidth="1"/>
    <col min="5104" max="5108" width="11.140625" style="151" bestFit="1" customWidth="1"/>
    <col min="5109" max="5109" width="12" style="151" bestFit="1" customWidth="1"/>
    <col min="5110" max="5110" width="11" style="151" bestFit="1" customWidth="1"/>
    <col min="5111" max="5223" width="9.140625" style="151"/>
    <col min="5224" max="5224" width="8.28515625" style="151" bestFit="1" customWidth="1"/>
    <col min="5225" max="5225" width="26" style="151" bestFit="1" customWidth="1"/>
    <col min="5226" max="5226" width="12" style="151" customWidth="1"/>
    <col min="5227" max="5227" width="8.140625" style="151" customWidth="1"/>
    <col min="5228" max="5228" width="11.140625" style="151" customWidth="1"/>
    <col min="5229" max="5229" width="8.28515625" style="151" customWidth="1"/>
    <col min="5230" max="5230" width="9.85546875" style="151" customWidth="1"/>
    <col min="5231" max="5231" width="8" style="151" customWidth="1"/>
    <col min="5232" max="5232" width="9.85546875" style="151" customWidth="1"/>
    <col min="5233" max="5233" width="6" style="151" customWidth="1"/>
    <col min="5234" max="5234" width="11.140625" style="151" customWidth="1"/>
    <col min="5235" max="5235" width="6.85546875" style="151" customWidth="1"/>
    <col min="5236" max="5236" width="11.7109375" style="151" customWidth="1"/>
    <col min="5237" max="5237" width="7.140625" style="151" customWidth="1"/>
    <col min="5238" max="5238" width="9" style="151" customWidth="1"/>
    <col min="5239" max="5239" width="7.140625" style="151" customWidth="1"/>
    <col min="5240" max="5240" width="12" style="151" customWidth="1"/>
    <col min="5241" max="5241" width="12.7109375" style="151" customWidth="1"/>
    <col min="5242" max="5253" width="11.140625" style="151" bestFit="1" customWidth="1"/>
    <col min="5254" max="5254" width="12" style="151" bestFit="1" customWidth="1"/>
    <col min="5255" max="5255" width="10" style="151" bestFit="1" customWidth="1"/>
    <col min="5256" max="5274" width="12.7109375" style="151" customWidth="1"/>
    <col min="5275" max="5285" width="9.85546875" style="151" bestFit="1" customWidth="1"/>
    <col min="5286" max="5286" width="11.140625" style="151" bestFit="1" customWidth="1"/>
    <col min="5287" max="5301" width="9.140625" style="151"/>
    <col min="5302" max="5302" width="9.85546875" style="151" bestFit="1" customWidth="1"/>
    <col min="5303" max="5317" width="9.140625" style="151"/>
    <col min="5318" max="5318" width="9.85546875" style="151" bestFit="1" customWidth="1"/>
    <col min="5319" max="5333" width="9.140625" style="151"/>
    <col min="5334" max="5334" width="9.85546875" style="151" bestFit="1" customWidth="1"/>
    <col min="5335" max="5349" width="9.140625" style="151"/>
    <col min="5350" max="5350" width="9.85546875" style="151" bestFit="1" customWidth="1"/>
    <col min="5351" max="5352" width="9.140625" style="151"/>
    <col min="5353" max="5353" width="11" style="151" bestFit="1" customWidth="1"/>
    <col min="5354" max="5358" width="11.140625" style="151" bestFit="1" customWidth="1"/>
    <col min="5359" max="5359" width="9.85546875" style="151" bestFit="1" customWidth="1"/>
    <col min="5360" max="5364" width="11.140625" style="151" bestFit="1" customWidth="1"/>
    <col min="5365" max="5365" width="12" style="151" bestFit="1" customWidth="1"/>
    <col min="5366" max="5366" width="11" style="151" bestFit="1" customWidth="1"/>
    <col min="5367" max="5479" width="9.140625" style="151"/>
    <col min="5480" max="5480" width="8.28515625" style="151" bestFit="1" customWidth="1"/>
    <col min="5481" max="5481" width="26" style="151" bestFit="1" customWidth="1"/>
    <col min="5482" max="5482" width="12" style="151" customWidth="1"/>
    <col min="5483" max="5483" width="8.140625" style="151" customWidth="1"/>
    <col min="5484" max="5484" width="11.140625" style="151" customWidth="1"/>
    <col min="5485" max="5485" width="8.28515625" style="151" customWidth="1"/>
    <col min="5486" max="5486" width="9.85546875" style="151" customWidth="1"/>
    <col min="5487" max="5487" width="8" style="151" customWidth="1"/>
    <col min="5488" max="5488" width="9.85546875" style="151" customWidth="1"/>
    <col min="5489" max="5489" width="6" style="151" customWidth="1"/>
    <col min="5490" max="5490" width="11.140625" style="151" customWidth="1"/>
    <col min="5491" max="5491" width="6.85546875" style="151" customWidth="1"/>
    <col min="5492" max="5492" width="11.7109375" style="151" customWidth="1"/>
    <col min="5493" max="5493" width="7.140625" style="151" customWidth="1"/>
    <col min="5494" max="5494" width="9" style="151" customWidth="1"/>
    <col min="5495" max="5495" width="7.140625" style="151" customWidth="1"/>
    <col min="5496" max="5496" width="12" style="151" customWidth="1"/>
    <col min="5497" max="5497" width="12.7109375" style="151" customWidth="1"/>
    <col min="5498" max="5509" width="11.140625" style="151" bestFit="1" customWidth="1"/>
    <col min="5510" max="5510" width="12" style="151" bestFit="1" customWidth="1"/>
    <col min="5511" max="5511" width="10" style="151" bestFit="1" customWidth="1"/>
    <col min="5512" max="5530" width="12.7109375" style="151" customWidth="1"/>
    <col min="5531" max="5541" width="9.85546875" style="151" bestFit="1" customWidth="1"/>
    <col min="5542" max="5542" width="11.140625" style="151" bestFit="1" customWidth="1"/>
    <col min="5543" max="5557" width="9.140625" style="151"/>
    <col min="5558" max="5558" width="9.85546875" style="151" bestFit="1" customWidth="1"/>
    <col min="5559" max="5573" width="9.140625" style="151"/>
    <col min="5574" max="5574" width="9.85546875" style="151" bestFit="1" customWidth="1"/>
    <col min="5575" max="5589" width="9.140625" style="151"/>
    <col min="5590" max="5590" width="9.85546875" style="151" bestFit="1" customWidth="1"/>
    <col min="5591" max="5605" width="9.140625" style="151"/>
    <col min="5606" max="5606" width="9.85546875" style="151" bestFit="1" customWidth="1"/>
    <col min="5607" max="5608" width="9.140625" style="151"/>
    <col min="5609" max="5609" width="11" style="151" bestFit="1" customWidth="1"/>
    <col min="5610" max="5614" width="11.140625" style="151" bestFit="1" customWidth="1"/>
    <col min="5615" max="5615" width="9.85546875" style="151" bestFit="1" customWidth="1"/>
    <col min="5616" max="5620" width="11.140625" style="151" bestFit="1" customWidth="1"/>
    <col min="5621" max="5621" width="12" style="151" bestFit="1" customWidth="1"/>
    <col min="5622" max="5622" width="11" style="151" bestFit="1" customWidth="1"/>
    <col min="5623" max="5735" width="9.140625" style="151"/>
    <col min="5736" max="5736" width="8.28515625" style="151" bestFit="1" customWidth="1"/>
    <col min="5737" max="5737" width="26" style="151" bestFit="1" customWidth="1"/>
    <col min="5738" max="5738" width="12" style="151" customWidth="1"/>
    <col min="5739" max="5739" width="8.140625" style="151" customWidth="1"/>
    <col min="5740" max="5740" width="11.140625" style="151" customWidth="1"/>
    <col min="5741" max="5741" width="8.28515625" style="151" customWidth="1"/>
    <col min="5742" max="5742" width="9.85546875" style="151" customWidth="1"/>
    <col min="5743" max="5743" width="8" style="151" customWidth="1"/>
    <col min="5744" max="5744" width="9.85546875" style="151" customWidth="1"/>
    <col min="5745" max="5745" width="6" style="151" customWidth="1"/>
    <col min="5746" max="5746" width="11.140625" style="151" customWidth="1"/>
    <col min="5747" max="5747" width="6.85546875" style="151" customWidth="1"/>
    <col min="5748" max="5748" width="11.7109375" style="151" customWidth="1"/>
    <col min="5749" max="5749" width="7.140625" style="151" customWidth="1"/>
    <col min="5750" max="5750" width="9" style="151" customWidth="1"/>
    <col min="5751" max="5751" width="7.140625" style="151" customWidth="1"/>
    <col min="5752" max="5752" width="12" style="151" customWidth="1"/>
    <col min="5753" max="5753" width="12.7109375" style="151" customWidth="1"/>
    <col min="5754" max="5765" width="11.140625" style="151" bestFit="1" customWidth="1"/>
    <col min="5766" max="5766" width="12" style="151" bestFit="1" customWidth="1"/>
    <col min="5767" max="5767" width="10" style="151" bestFit="1" customWidth="1"/>
    <col min="5768" max="5786" width="12.7109375" style="151" customWidth="1"/>
    <col min="5787" max="5797" width="9.85546875" style="151" bestFit="1" customWidth="1"/>
    <col min="5798" max="5798" width="11.140625" style="151" bestFit="1" customWidth="1"/>
    <col min="5799" max="5813" width="9.140625" style="151"/>
    <col min="5814" max="5814" width="9.85546875" style="151" bestFit="1" customWidth="1"/>
    <col min="5815" max="5829" width="9.140625" style="151"/>
    <col min="5830" max="5830" width="9.85546875" style="151" bestFit="1" customWidth="1"/>
    <col min="5831" max="5845" width="9.140625" style="151"/>
    <col min="5846" max="5846" width="9.85546875" style="151" bestFit="1" customWidth="1"/>
    <col min="5847" max="5861" width="9.140625" style="151"/>
    <col min="5862" max="5862" width="9.85546875" style="151" bestFit="1" customWidth="1"/>
    <col min="5863" max="5864" width="9.140625" style="151"/>
    <col min="5865" max="5865" width="11" style="151" bestFit="1" customWidth="1"/>
    <col min="5866" max="5870" width="11.140625" style="151" bestFit="1" customWidth="1"/>
    <col min="5871" max="5871" width="9.85546875" style="151" bestFit="1" customWidth="1"/>
    <col min="5872" max="5876" width="11.140625" style="151" bestFit="1" customWidth="1"/>
    <col min="5877" max="5877" width="12" style="151" bestFit="1" customWidth="1"/>
    <col min="5878" max="5878" width="11" style="151" bestFit="1" customWidth="1"/>
    <col min="5879" max="5991" width="9.140625" style="151"/>
    <col min="5992" max="5992" width="8.28515625" style="151" bestFit="1" customWidth="1"/>
    <col min="5993" max="5993" width="26" style="151" bestFit="1" customWidth="1"/>
    <col min="5994" max="5994" width="12" style="151" customWidth="1"/>
    <col min="5995" max="5995" width="8.140625" style="151" customWidth="1"/>
    <col min="5996" max="5996" width="11.140625" style="151" customWidth="1"/>
    <col min="5997" max="5997" width="8.28515625" style="151" customWidth="1"/>
    <col min="5998" max="5998" width="9.85546875" style="151" customWidth="1"/>
    <col min="5999" max="5999" width="8" style="151" customWidth="1"/>
    <col min="6000" max="6000" width="9.85546875" style="151" customWidth="1"/>
    <col min="6001" max="6001" width="6" style="151" customWidth="1"/>
    <col min="6002" max="6002" width="11.140625" style="151" customWidth="1"/>
    <col min="6003" max="6003" width="6.85546875" style="151" customWidth="1"/>
    <col min="6004" max="6004" width="11.7109375" style="151" customWidth="1"/>
    <col min="6005" max="6005" width="7.140625" style="151" customWidth="1"/>
    <col min="6006" max="6006" width="9" style="151" customWidth="1"/>
    <col min="6007" max="6007" width="7.140625" style="151" customWidth="1"/>
    <col min="6008" max="6008" width="12" style="151" customWidth="1"/>
    <col min="6009" max="6009" width="12.7109375" style="151" customWidth="1"/>
    <col min="6010" max="6021" width="11.140625" style="151" bestFit="1" customWidth="1"/>
    <col min="6022" max="6022" width="12" style="151" bestFit="1" customWidth="1"/>
    <col min="6023" max="6023" width="10" style="151" bestFit="1" customWidth="1"/>
    <col min="6024" max="6042" width="12.7109375" style="151" customWidth="1"/>
    <col min="6043" max="6053" width="9.85546875" style="151" bestFit="1" customWidth="1"/>
    <col min="6054" max="6054" width="11.140625" style="151" bestFit="1" customWidth="1"/>
    <col min="6055" max="6069" width="9.140625" style="151"/>
    <col min="6070" max="6070" width="9.85546875" style="151" bestFit="1" customWidth="1"/>
    <col min="6071" max="6085" width="9.140625" style="151"/>
    <col min="6086" max="6086" width="9.85546875" style="151" bestFit="1" customWidth="1"/>
    <col min="6087" max="6101" width="9.140625" style="151"/>
    <col min="6102" max="6102" width="9.85546875" style="151" bestFit="1" customWidth="1"/>
    <col min="6103" max="6117" width="9.140625" style="151"/>
    <col min="6118" max="6118" width="9.85546875" style="151" bestFit="1" customWidth="1"/>
    <col min="6119" max="6120" width="9.140625" style="151"/>
    <col min="6121" max="6121" width="11" style="151" bestFit="1" customWidth="1"/>
    <col min="6122" max="6126" width="11.140625" style="151" bestFit="1" customWidth="1"/>
    <col min="6127" max="6127" width="9.85546875" style="151" bestFit="1" customWidth="1"/>
    <col min="6128" max="6132" width="11.140625" style="151" bestFit="1" customWidth="1"/>
    <col min="6133" max="6133" width="12" style="151" bestFit="1" customWidth="1"/>
    <col min="6134" max="6134" width="11" style="151" bestFit="1" customWidth="1"/>
    <col min="6135" max="6247" width="9.140625" style="151"/>
    <col min="6248" max="6248" width="8.28515625" style="151" bestFit="1" customWidth="1"/>
    <col min="6249" max="6249" width="26" style="151" bestFit="1" customWidth="1"/>
    <col min="6250" max="6250" width="12" style="151" customWidth="1"/>
    <col min="6251" max="6251" width="8.140625" style="151" customWidth="1"/>
    <col min="6252" max="6252" width="11.140625" style="151" customWidth="1"/>
    <col min="6253" max="6253" width="8.28515625" style="151" customWidth="1"/>
    <col min="6254" max="6254" width="9.85546875" style="151" customWidth="1"/>
    <col min="6255" max="6255" width="8" style="151" customWidth="1"/>
    <col min="6256" max="6256" width="9.85546875" style="151" customWidth="1"/>
    <col min="6257" max="6257" width="6" style="151" customWidth="1"/>
    <col min="6258" max="6258" width="11.140625" style="151" customWidth="1"/>
    <col min="6259" max="6259" width="6.85546875" style="151" customWidth="1"/>
    <col min="6260" max="6260" width="11.7109375" style="151" customWidth="1"/>
    <col min="6261" max="6261" width="7.140625" style="151" customWidth="1"/>
    <col min="6262" max="6262" width="9" style="151" customWidth="1"/>
    <col min="6263" max="6263" width="7.140625" style="151" customWidth="1"/>
    <col min="6264" max="6264" width="12" style="151" customWidth="1"/>
    <col min="6265" max="6265" width="12.7109375" style="151" customWidth="1"/>
    <col min="6266" max="6277" width="11.140625" style="151" bestFit="1" customWidth="1"/>
    <col min="6278" max="6278" width="12" style="151" bestFit="1" customWidth="1"/>
    <col min="6279" max="6279" width="10" style="151" bestFit="1" customWidth="1"/>
    <col min="6280" max="6298" width="12.7109375" style="151" customWidth="1"/>
    <col min="6299" max="6309" width="9.85546875" style="151" bestFit="1" customWidth="1"/>
    <col min="6310" max="6310" width="11.140625" style="151" bestFit="1" customWidth="1"/>
    <col min="6311" max="6325" width="9.140625" style="151"/>
    <col min="6326" max="6326" width="9.85546875" style="151" bestFit="1" customWidth="1"/>
    <col min="6327" max="6341" width="9.140625" style="151"/>
    <col min="6342" max="6342" width="9.85546875" style="151" bestFit="1" customWidth="1"/>
    <col min="6343" max="6357" width="9.140625" style="151"/>
    <col min="6358" max="6358" width="9.85546875" style="151" bestFit="1" customWidth="1"/>
    <col min="6359" max="6373" width="9.140625" style="151"/>
    <col min="6374" max="6374" width="9.85546875" style="151" bestFit="1" customWidth="1"/>
    <col min="6375" max="6376" width="9.140625" style="151"/>
    <col min="6377" max="6377" width="11" style="151" bestFit="1" customWidth="1"/>
    <col min="6378" max="6382" width="11.140625" style="151" bestFit="1" customWidth="1"/>
    <col min="6383" max="6383" width="9.85546875" style="151" bestFit="1" customWidth="1"/>
    <col min="6384" max="6388" width="11.140625" style="151" bestFit="1" customWidth="1"/>
    <col min="6389" max="6389" width="12" style="151" bestFit="1" customWidth="1"/>
    <col min="6390" max="6390" width="11" style="151" bestFit="1" customWidth="1"/>
    <col min="6391" max="6503" width="9.140625" style="151"/>
    <col min="6504" max="6504" width="8.28515625" style="151" bestFit="1" customWidth="1"/>
    <col min="6505" max="6505" width="26" style="151" bestFit="1" customWidth="1"/>
    <col min="6506" max="6506" width="12" style="151" customWidth="1"/>
    <col min="6507" max="6507" width="8.140625" style="151" customWidth="1"/>
    <col min="6508" max="6508" width="11.140625" style="151" customWidth="1"/>
    <col min="6509" max="6509" width="8.28515625" style="151" customWidth="1"/>
    <col min="6510" max="6510" width="9.85546875" style="151" customWidth="1"/>
    <col min="6511" max="6511" width="8" style="151" customWidth="1"/>
    <col min="6512" max="6512" width="9.85546875" style="151" customWidth="1"/>
    <col min="6513" max="6513" width="6" style="151" customWidth="1"/>
    <col min="6514" max="6514" width="11.140625" style="151" customWidth="1"/>
    <col min="6515" max="6515" width="6.85546875" style="151" customWidth="1"/>
    <col min="6516" max="6516" width="11.7109375" style="151" customWidth="1"/>
    <col min="6517" max="6517" width="7.140625" style="151" customWidth="1"/>
    <col min="6518" max="6518" width="9" style="151" customWidth="1"/>
    <col min="6519" max="6519" width="7.140625" style="151" customWidth="1"/>
    <col min="6520" max="6520" width="12" style="151" customWidth="1"/>
    <col min="6521" max="6521" width="12.7109375" style="151" customWidth="1"/>
    <col min="6522" max="6533" width="11.140625" style="151" bestFit="1" customWidth="1"/>
    <col min="6534" max="6534" width="12" style="151" bestFit="1" customWidth="1"/>
    <col min="6535" max="6535" width="10" style="151" bestFit="1" customWidth="1"/>
    <col min="6536" max="6554" width="12.7109375" style="151" customWidth="1"/>
    <col min="6555" max="6565" width="9.85546875" style="151" bestFit="1" customWidth="1"/>
    <col min="6566" max="6566" width="11.140625" style="151" bestFit="1" customWidth="1"/>
    <col min="6567" max="6581" width="9.140625" style="151"/>
    <col min="6582" max="6582" width="9.85546875" style="151" bestFit="1" customWidth="1"/>
    <col min="6583" max="6597" width="9.140625" style="151"/>
    <col min="6598" max="6598" width="9.85546875" style="151" bestFit="1" customWidth="1"/>
    <col min="6599" max="6613" width="9.140625" style="151"/>
    <col min="6614" max="6614" width="9.85546875" style="151" bestFit="1" customWidth="1"/>
    <col min="6615" max="6629" width="9.140625" style="151"/>
    <col min="6630" max="6630" width="9.85546875" style="151" bestFit="1" customWidth="1"/>
    <col min="6631" max="6632" width="9.140625" style="151"/>
    <col min="6633" max="6633" width="11" style="151" bestFit="1" customWidth="1"/>
    <col min="6634" max="6638" width="11.140625" style="151" bestFit="1" customWidth="1"/>
    <col min="6639" max="6639" width="9.85546875" style="151" bestFit="1" customWidth="1"/>
    <col min="6640" max="6644" width="11.140625" style="151" bestFit="1" customWidth="1"/>
    <col min="6645" max="6645" width="12" style="151" bestFit="1" customWidth="1"/>
    <col min="6646" max="6646" width="11" style="151" bestFit="1" customWidth="1"/>
    <col min="6647" max="6759" width="9.140625" style="151"/>
    <col min="6760" max="6760" width="8.28515625" style="151" bestFit="1" customWidth="1"/>
    <col min="6761" max="6761" width="26" style="151" bestFit="1" customWidth="1"/>
    <col min="6762" max="6762" width="12" style="151" customWidth="1"/>
    <col min="6763" max="6763" width="8.140625" style="151" customWidth="1"/>
    <col min="6764" max="6764" width="11.140625" style="151" customWidth="1"/>
    <col min="6765" max="6765" width="8.28515625" style="151" customWidth="1"/>
    <col min="6766" max="6766" width="9.85546875" style="151" customWidth="1"/>
    <col min="6767" max="6767" width="8" style="151" customWidth="1"/>
    <col min="6768" max="6768" width="9.85546875" style="151" customWidth="1"/>
    <col min="6769" max="6769" width="6" style="151" customWidth="1"/>
    <col min="6770" max="6770" width="11.140625" style="151" customWidth="1"/>
    <col min="6771" max="6771" width="6.85546875" style="151" customWidth="1"/>
    <col min="6772" max="6772" width="11.7109375" style="151" customWidth="1"/>
    <col min="6773" max="6773" width="7.140625" style="151" customWidth="1"/>
    <col min="6774" max="6774" width="9" style="151" customWidth="1"/>
    <col min="6775" max="6775" width="7.140625" style="151" customWidth="1"/>
    <col min="6776" max="6776" width="12" style="151" customWidth="1"/>
    <col min="6777" max="6777" width="12.7109375" style="151" customWidth="1"/>
    <col min="6778" max="6789" width="11.140625" style="151" bestFit="1" customWidth="1"/>
    <col min="6790" max="6790" width="12" style="151" bestFit="1" customWidth="1"/>
    <col min="6791" max="6791" width="10" style="151" bestFit="1" customWidth="1"/>
    <col min="6792" max="6810" width="12.7109375" style="151" customWidth="1"/>
    <col min="6811" max="6821" width="9.85546875" style="151" bestFit="1" customWidth="1"/>
    <col min="6822" max="6822" width="11.140625" style="151" bestFit="1" customWidth="1"/>
    <col min="6823" max="6837" width="9.140625" style="151"/>
    <col min="6838" max="6838" width="9.85546875" style="151" bestFit="1" customWidth="1"/>
    <col min="6839" max="6853" width="9.140625" style="151"/>
    <col min="6854" max="6854" width="9.85546875" style="151" bestFit="1" customWidth="1"/>
    <col min="6855" max="6869" width="9.140625" style="151"/>
    <col min="6870" max="6870" width="9.85546875" style="151" bestFit="1" customWidth="1"/>
    <col min="6871" max="6885" width="9.140625" style="151"/>
    <col min="6886" max="6886" width="9.85546875" style="151" bestFit="1" customWidth="1"/>
    <col min="6887" max="6888" width="9.140625" style="151"/>
    <col min="6889" max="6889" width="11" style="151" bestFit="1" customWidth="1"/>
    <col min="6890" max="6894" width="11.140625" style="151" bestFit="1" customWidth="1"/>
    <col min="6895" max="6895" width="9.85546875" style="151" bestFit="1" customWidth="1"/>
    <col min="6896" max="6900" width="11.140625" style="151" bestFit="1" customWidth="1"/>
    <col min="6901" max="6901" width="12" style="151" bestFit="1" customWidth="1"/>
    <col min="6902" max="6902" width="11" style="151" bestFit="1" customWidth="1"/>
    <col min="6903" max="7015" width="9.140625" style="151"/>
    <col min="7016" max="7016" width="8.28515625" style="151" bestFit="1" customWidth="1"/>
    <col min="7017" max="7017" width="26" style="151" bestFit="1" customWidth="1"/>
    <col min="7018" max="7018" width="12" style="151" customWidth="1"/>
    <col min="7019" max="7019" width="8.140625" style="151" customWidth="1"/>
    <col min="7020" max="7020" width="11.140625" style="151" customWidth="1"/>
    <col min="7021" max="7021" width="8.28515625" style="151" customWidth="1"/>
    <col min="7022" max="7022" width="9.85546875" style="151" customWidth="1"/>
    <col min="7023" max="7023" width="8" style="151" customWidth="1"/>
    <col min="7024" max="7024" width="9.85546875" style="151" customWidth="1"/>
    <col min="7025" max="7025" width="6" style="151" customWidth="1"/>
    <col min="7026" max="7026" width="11.140625" style="151" customWidth="1"/>
    <col min="7027" max="7027" width="6.85546875" style="151" customWidth="1"/>
    <col min="7028" max="7028" width="11.7109375" style="151" customWidth="1"/>
    <col min="7029" max="7029" width="7.140625" style="151" customWidth="1"/>
    <col min="7030" max="7030" width="9" style="151" customWidth="1"/>
    <col min="7031" max="7031" width="7.140625" style="151" customWidth="1"/>
    <col min="7032" max="7032" width="12" style="151" customWidth="1"/>
    <col min="7033" max="7033" width="12.7109375" style="151" customWidth="1"/>
    <col min="7034" max="7045" width="11.140625" style="151" bestFit="1" customWidth="1"/>
    <col min="7046" max="7046" width="12" style="151" bestFit="1" customWidth="1"/>
    <col min="7047" max="7047" width="10" style="151" bestFit="1" customWidth="1"/>
    <col min="7048" max="7066" width="12.7109375" style="151" customWidth="1"/>
    <col min="7067" max="7077" width="9.85546875" style="151" bestFit="1" customWidth="1"/>
    <col min="7078" max="7078" width="11.140625" style="151" bestFit="1" customWidth="1"/>
    <col min="7079" max="7093" width="9.140625" style="151"/>
    <col min="7094" max="7094" width="9.85546875" style="151" bestFit="1" customWidth="1"/>
    <col min="7095" max="7109" width="9.140625" style="151"/>
    <col min="7110" max="7110" width="9.85546875" style="151" bestFit="1" customWidth="1"/>
    <col min="7111" max="7125" width="9.140625" style="151"/>
    <col min="7126" max="7126" width="9.85546875" style="151" bestFit="1" customWidth="1"/>
    <col min="7127" max="7141" width="9.140625" style="151"/>
    <col min="7142" max="7142" width="9.85546875" style="151" bestFit="1" customWidth="1"/>
    <col min="7143" max="7144" width="9.140625" style="151"/>
    <col min="7145" max="7145" width="11" style="151" bestFit="1" customWidth="1"/>
    <col min="7146" max="7150" width="11.140625" style="151" bestFit="1" customWidth="1"/>
    <col min="7151" max="7151" width="9.85546875" style="151" bestFit="1" customWidth="1"/>
    <col min="7152" max="7156" width="11.140625" style="151" bestFit="1" customWidth="1"/>
    <col min="7157" max="7157" width="12" style="151" bestFit="1" customWidth="1"/>
    <col min="7158" max="7158" width="11" style="151" bestFit="1" customWidth="1"/>
    <col min="7159" max="7271" width="9.140625" style="151"/>
    <col min="7272" max="7272" width="8.28515625" style="151" bestFit="1" customWidth="1"/>
    <col min="7273" max="7273" width="26" style="151" bestFit="1" customWidth="1"/>
    <col min="7274" max="7274" width="12" style="151" customWidth="1"/>
    <col min="7275" max="7275" width="8.140625" style="151" customWidth="1"/>
    <col min="7276" max="7276" width="11.140625" style="151" customWidth="1"/>
    <col min="7277" max="7277" width="8.28515625" style="151" customWidth="1"/>
    <col min="7278" max="7278" width="9.85546875" style="151" customWidth="1"/>
    <col min="7279" max="7279" width="8" style="151" customWidth="1"/>
    <col min="7280" max="7280" width="9.85546875" style="151" customWidth="1"/>
    <col min="7281" max="7281" width="6" style="151" customWidth="1"/>
    <col min="7282" max="7282" width="11.140625" style="151" customWidth="1"/>
    <col min="7283" max="7283" width="6.85546875" style="151" customWidth="1"/>
    <col min="7284" max="7284" width="11.7109375" style="151" customWidth="1"/>
    <col min="7285" max="7285" width="7.140625" style="151" customWidth="1"/>
    <col min="7286" max="7286" width="9" style="151" customWidth="1"/>
    <col min="7287" max="7287" width="7.140625" style="151" customWidth="1"/>
    <col min="7288" max="7288" width="12" style="151" customWidth="1"/>
    <col min="7289" max="7289" width="12.7109375" style="151" customWidth="1"/>
    <col min="7290" max="7301" width="11.140625" style="151" bestFit="1" customWidth="1"/>
    <col min="7302" max="7302" width="12" style="151" bestFit="1" customWidth="1"/>
    <col min="7303" max="7303" width="10" style="151" bestFit="1" customWidth="1"/>
    <col min="7304" max="7322" width="12.7109375" style="151" customWidth="1"/>
    <col min="7323" max="7333" width="9.85546875" style="151" bestFit="1" customWidth="1"/>
    <col min="7334" max="7334" width="11.140625" style="151" bestFit="1" customWidth="1"/>
    <col min="7335" max="7349" width="9.140625" style="151"/>
    <col min="7350" max="7350" width="9.85546875" style="151" bestFit="1" customWidth="1"/>
    <col min="7351" max="7365" width="9.140625" style="151"/>
    <col min="7366" max="7366" width="9.85546875" style="151" bestFit="1" customWidth="1"/>
    <col min="7367" max="7381" width="9.140625" style="151"/>
    <col min="7382" max="7382" width="9.85546875" style="151" bestFit="1" customWidth="1"/>
    <col min="7383" max="7397" width="9.140625" style="151"/>
    <col min="7398" max="7398" width="9.85546875" style="151" bestFit="1" customWidth="1"/>
    <col min="7399" max="7400" width="9.140625" style="151"/>
    <col min="7401" max="7401" width="11" style="151" bestFit="1" customWidth="1"/>
    <col min="7402" max="7406" width="11.140625" style="151" bestFit="1" customWidth="1"/>
    <col min="7407" max="7407" width="9.85546875" style="151" bestFit="1" customWidth="1"/>
    <col min="7408" max="7412" width="11.140625" style="151" bestFit="1" customWidth="1"/>
    <col min="7413" max="7413" width="12" style="151" bestFit="1" customWidth="1"/>
    <col min="7414" max="7414" width="11" style="151" bestFit="1" customWidth="1"/>
    <col min="7415" max="7527" width="9.140625" style="151"/>
    <col min="7528" max="7528" width="8.28515625" style="151" bestFit="1" customWidth="1"/>
    <col min="7529" max="7529" width="26" style="151" bestFit="1" customWidth="1"/>
    <col min="7530" max="7530" width="12" style="151" customWidth="1"/>
    <col min="7531" max="7531" width="8.140625" style="151" customWidth="1"/>
    <col min="7532" max="7532" width="11.140625" style="151" customWidth="1"/>
    <col min="7533" max="7533" width="8.28515625" style="151" customWidth="1"/>
    <col min="7534" max="7534" width="9.85546875" style="151" customWidth="1"/>
    <col min="7535" max="7535" width="8" style="151" customWidth="1"/>
    <col min="7536" max="7536" width="9.85546875" style="151" customWidth="1"/>
    <col min="7537" max="7537" width="6" style="151" customWidth="1"/>
    <col min="7538" max="7538" width="11.140625" style="151" customWidth="1"/>
    <col min="7539" max="7539" width="6.85546875" style="151" customWidth="1"/>
    <col min="7540" max="7540" width="11.7109375" style="151" customWidth="1"/>
    <col min="7541" max="7541" width="7.140625" style="151" customWidth="1"/>
    <col min="7542" max="7542" width="9" style="151" customWidth="1"/>
    <col min="7543" max="7543" width="7.140625" style="151" customWidth="1"/>
    <col min="7544" max="7544" width="12" style="151" customWidth="1"/>
    <col min="7545" max="7545" width="12.7109375" style="151" customWidth="1"/>
    <col min="7546" max="7557" width="11.140625" style="151" bestFit="1" customWidth="1"/>
    <col min="7558" max="7558" width="12" style="151" bestFit="1" customWidth="1"/>
    <col min="7559" max="7559" width="10" style="151" bestFit="1" customWidth="1"/>
    <col min="7560" max="7578" width="12.7109375" style="151" customWidth="1"/>
    <col min="7579" max="7589" width="9.85546875" style="151" bestFit="1" customWidth="1"/>
    <col min="7590" max="7590" width="11.140625" style="151" bestFit="1" customWidth="1"/>
    <col min="7591" max="7605" width="9.140625" style="151"/>
    <col min="7606" max="7606" width="9.85546875" style="151" bestFit="1" customWidth="1"/>
    <col min="7607" max="7621" width="9.140625" style="151"/>
    <col min="7622" max="7622" width="9.85546875" style="151" bestFit="1" customWidth="1"/>
    <col min="7623" max="7637" width="9.140625" style="151"/>
    <col min="7638" max="7638" width="9.85546875" style="151" bestFit="1" customWidth="1"/>
    <col min="7639" max="7653" width="9.140625" style="151"/>
    <col min="7654" max="7654" width="9.85546875" style="151" bestFit="1" customWidth="1"/>
    <col min="7655" max="7656" width="9.140625" style="151"/>
    <col min="7657" max="7657" width="11" style="151" bestFit="1" customWidth="1"/>
    <col min="7658" max="7662" width="11.140625" style="151" bestFit="1" customWidth="1"/>
    <col min="7663" max="7663" width="9.85546875" style="151" bestFit="1" customWidth="1"/>
    <col min="7664" max="7668" width="11.140625" style="151" bestFit="1" customWidth="1"/>
    <col min="7669" max="7669" width="12" style="151" bestFit="1" customWidth="1"/>
    <col min="7670" max="7670" width="11" style="151" bestFit="1" customWidth="1"/>
    <col min="7671" max="7783" width="9.140625" style="151"/>
    <col min="7784" max="7784" width="8.28515625" style="151" bestFit="1" customWidth="1"/>
    <col min="7785" max="7785" width="26" style="151" bestFit="1" customWidth="1"/>
    <col min="7786" max="7786" width="12" style="151" customWidth="1"/>
    <col min="7787" max="7787" width="8.140625" style="151" customWidth="1"/>
    <col min="7788" max="7788" width="11.140625" style="151" customWidth="1"/>
    <col min="7789" max="7789" width="8.28515625" style="151" customWidth="1"/>
    <col min="7790" max="7790" width="9.85546875" style="151" customWidth="1"/>
    <col min="7791" max="7791" width="8" style="151" customWidth="1"/>
    <col min="7792" max="7792" width="9.85546875" style="151" customWidth="1"/>
    <col min="7793" max="7793" width="6" style="151" customWidth="1"/>
    <col min="7794" max="7794" width="11.140625" style="151" customWidth="1"/>
    <col min="7795" max="7795" width="6.85546875" style="151" customWidth="1"/>
    <col min="7796" max="7796" width="11.7109375" style="151" customWidth="1"/>
    <col min="7797" max="7797" width="7.140625" style="151" customWidth="1"/>
    <col min="7798" max="7798" width="9" style="151" customWidth="1"/>
    <col min="7799" max="7799" width="7.140625" style="151" customWidth="1"/>
    <col min="7800" max="7800" width="12" style="151" customWidth="1"/>
    <col min="7801" max="7801" width="12.7109375" style="151" customWidth="1"/>
    <col min="7802" max="7813" width="11.140625" style="151" bestFit="1" customWidth="1"/>
    <col min="7814" max="7814" width="12" style="151" bestFit="1" customWidth="1"/>
    <col min="7815" max="7815" width="10" style="151" bestFit="1" customWidth="1"/>
    <col min="7816" max="7834" width="12.7109375" style="151" customWidth="1"/>
    <col min="7835" max="7845" width="9.85546875" style="151" bestFit="1" customWidth="1"/>
    <col min="7846" max="7846" width="11.140625" style="151" bestFit="1" customWidth="1"/>
    <col min="7847" max="7861" width="9.140625" style="151"/>
    <col min="7862" max="7862" width="9.85546875" style="151" bestFit="1" customWidth="1"/>
    <col min="7863" max="7877" width="9.140625" style="151"/>
    <col min="7878" max="7878" width="9.85546875" style="151" bestFit="1" customWidth="1"/>
    <col min="7879" max="7893" width="9.140625" style="151"/>
    <col min="7894" max="7894" width="9.85546875" style="151" bestFit="1" customWidth="1"/>
    <col min="7895" max="7909" width="9.140625" style="151"/>
    <col min="7910" max="7910" width="9.85546875" style="151" bestFit="1" customWidth="1"/>
    <col min="7911" max="7912" width="9.140625" style="151"/>
    <col min="7913" max="7913" width="11" style="151" bestFit="1" customWidth="1"/>
    <col min="7914" max="7918" width="11.140625" style="151" bestFit="1" customWidth="1"/>
    <col min="7919" max="7919" width="9.85546875" style="151" bestFit="1" customWidth="1"/>
    <col min="7920" max="7924" width="11.140625" style="151" bestFit="1" customWidth="1"/>
    <col min="7925" max="7925" width="12" style="151" bestFit="1" customWidth="1"/>
    <col min="7926" max="7926" width="11" style="151" bestFit="1" customWidth="1"/>
    <col min="7927" max="8039" width="9.140625" style="151"/>
    <col min="8040" max="8040" width="8.28515625" style="151" bestFit="1" customWidth="1"/>
    <col min="8041" max="8041" width="26" style="151" bestFit="1" customWidth="1"/>
    <col min="8042" max="8042" width="12" style="151" customWidth="1"/>
    <col min="8043" max="8043" width="8.140625" style="151" customWidth="1"/>
    <col min="8044" max="8044" width="11.140625" style="151" customWidth="1"/>
    <col min="8045" max="8045" width="8.28515625" style="151" customWidth="1"/>
    <col min="8046" max="8046" width="9.85546875" style="151" customWidth="1"/>
    <col min="8047" max="8047" width="8" style="151" customWidth="1"/>
    <col min="8048" max="8048" width="9.85546875" style="151" customWidth="1"/>
    <col min="8049" max="8049" width="6" style="151" customWidth="1"/>
    <col min="8050" max="8050" width="11.140625" style="151" customWidth="1"/>
    <col min="8051" max="8051" width="6.85546875" style="151" customWidth="1"/>
    <col min="8052" max="8052" width="11.7109375" style="151" customWidth="1"/>
    <col min="8053" max="8053" width="7.140625" style="151" customWidth="1"/>
    <col min="8054" max="8054" width="9" style="151" customWidth="1"/>
    <col min="8055" max="8055" width="7.140625" style="151" customWidth="1"/>
    <col min="8056" max="8056" width="12" style="151" customWidth="1"/>
    <col min="8057" max="8057" width="12.7109375" style="151" customWidth="1"/>
    <col min="8058" max="8069" width="11.140625" style="151" bestFit="1" customWidth="1"/>
    <col min="8070" max="8070" width="12" style="151" bestFit="1" customWidth="1"/>
    <col min="8071" max="8071" width="10" style="151" bestFit="1" customWidth="1"/>
    <col min="8072" max="8090" width="12.7109375" style="151" customWidth="1"/>
    <col min="8091" max="8101" width="9.85546875" style="151" bestFit="1" customWidth="1"/>
    <col min="8102" max="8102" width="11.140625" style="151" bestFit="1" customWidth="1"/>
    <col min="8103" max="8117" width="9.140625" style="151"/>
    <col min="8118" max="8118" width="9.85546875" style="151" bestFit="1" customWidth="1"/>
    <col min="8119" max="8133" width="9.140625" style="151"/>
    <col min="8134" max="8134" width="9.85546875" style="151" bestFit="1" customWidth="1"/>
    <col min="8135" max="8149" width="9.140625" style="151"/>
    <col min="8150" max="8150" width="9.85546875" style="151" bestFit="1" customWidth="1"/>
    <col min="8151" max="8165" width="9.140625" style="151"/>
    <col min="8166" max="8166" width="9.85546875" style="151" bestFit="1" customWidth="1"/>
    <col min="8167" max="8168" width="9.140625" style="151"/>
    <col min="8169" max="8169" width="11" style="151" bestFit="1" customWidth="1"/>
    <col min="8170" max="8174" width="11.140625" style="151" bestFit="1" customWidth="1"/>
    <col min="8175" max="8175" width="9.85546875" style="151" bestFit="1" customWidth="1"/>
    <col min="8176" max="8180" width="11.140625" style="151" bestFit="1" customWidth="1"/>
    <col min="8181" max="8181" width="12" style="151" bestFit="1" customWidth="1"/>
    <col min="8182" max="8182" width="11" style="151" bestFit="1" customWidth="1"/>
    <col min="8183" max="8295" width="9.140625" style="151"/>
    <col min="8296" max="8296" width="8.28515625" style="151" bestFit="1" customWidth="1"/>
    <col min="8297" max="8297" width="26" style="151" bestFit="1" customWidth="1"/>
    <col min="8298" max="8298" width="12" style="151" customWidth="1"/>
    <col min="8299" max="8299" width="8.140625" style="151" customWidth="1"/>
    <col min="8300" max="8300" width="11.140625" style="151" customWidth="1"/>
    <col min="8301" max="8301" width="8.28515625" style="151" customWidth="1"/>
    <col min="8302" max="8302" width="9.85546875" style="151" customWidth="1"/>
    <col min="8303" max="8303" width="8" style="151" customWidth="1"/>
    <col min="8304" max="8304" width="9.85546875" style="151" customWidth="1"/>
    <col min="8305" max="8305" width="6" style="151" customWidth="1"/>
    <col min="8306" max="8306" width="11.140625" style="151" customWidth="1"/>
    <col min="8307" max="8307" width="6.85546875" style="151" customWidth="1"/>
    <col min="8308" max="8308" width="11.7109375" style="151" customWidth="1"/>
    <col min="8309" max="8309" width="7.140625" style="151" customWidth="1"/>
    <col min="8310" max="8310" width="9" style="151" customWidth="1"/>
    <col min="8311" max="8311" width="7.140625" style="151" customWidth="1"/>
    <col min="8312" max="8312" width="12" style="151" customWidth="1"/>
    <col min="8313" max="8313" width="12.7109375" style="151" customWidth="1"/>
    <col min="8314" max="8325" width="11.140625" style="151" bestFit="1" customWidth="1"/>
    <col min="8326" max="8326" width="12" style="151" bestFit="1" customWidth="1"/>
    <col min="8327" max="8327" width="10" style="151" bestFit="1" customWidth="1"/>
    <col min="8328" max="8346" width="12.7109375" style="151" customWidth="1"/>
    <col min="8347" max="8357" width="9.85546875" style="151" bestFit="1" customWidth="1"/>
    <col min="8358" max="8358" width="11.140625" style="151" bestFit="1" customWidth="1"/>
    <col min="8359" max="8373" width="9.140625" style="151"/>
    <col min="8374" max="8374" width="9.85546875" style="151" bestFit="1" customWidth="1"/>
    <col min="8375" max="8389" width="9.140625" style="151"/>
    <col min="8390" max="8390" width="9.85546875" style="151" bestFit="1" customWidth="1"/>
    <col min="8391" max="8405" width="9.140625" style="151"/>
    <col min="8406" max="8406" width="9.85546875" style="151" bestFit="1" customWidth="1"/>
    <col min="8407" max="8421" width="9.140625" style="151"/>
    <col min="8422" max="8422" width="9.85546875" style="151" bestFit="1" customWidth="1"/>
    <col min="8423" max="8424" width="9.140625" style="151"/>
    <col min="8425" max="8425" width="11" style="151" bestFit="1" customWidth="1"/>
    <col min="8426" max="8430" width="11.140625" style="151" bestFit="1" customWidth="1"/>
    <col min="8431" max="8431" width="9.85546875" style="151" bestFit="1" customWidth="1"/>
    <col min="8432" max="8436" width="11.140625" style="151" bestFit="1" customWidth="1"/>
    <col min="8437" max="8437" width="12" style="151" bestFit="1" customWidth="1"/>
    <col min="8438" max="8438" width="11" style="151" bestFit="1" customWidth="1"/>
    <col min="8439" max="8551" width="9.140625" style="151"/>
    <col min="8552" max="8552" width="8.28515625" style="151" bestFit="1" customWidth="1"/>
    <col min="8553" max="8553" width="26" style="151" bestFit="1" customWidth="1"/>
    <col min="8554" max="8554" width="12" style="151" customWidth="1"/>
    <col min="8555" max="8555" width="8.140625" style="151" customWidth="1"/>
    <col min="8556" max="8556" width="11.140625" style="151" customWidth="1"/>
    <col min="8557" max="8557" width="8.28515625" style="151" customWidth="1"/>
    <col min="8558" max="8558" width="9.85546875" style="151" customWidth="1"/>
    <col min="8559" max="8559" width="8" style="151" customWidth="1"/>
    <col min="8560" max="8560" width="9.85546875" style="151" customWidth="1"/>
    <col min="8561" max="8561" width="6" style="151" customWidth="1"/>
    <col min="8562" max="8562" width="11.140625" style="151" customWidth="1"/>
    <col min="8563" max="8563" width="6.85546875" style="151" customWidth="1"/>
    <col min="8564" max="8564" width="11.7109375" style="151" customWidth="1"/>
    <col min="8565" max="8565" width="7.140625" style="151" customWidth="1"/>
    <col min="8566" max="8566" width="9" style="151" customWidth="1"/>
    <col min="8567" max="8567" width="7.140625" style="151" customWidth="1"/>
    <col min="8568" max="8568" width="12" style="151" customWidth="1"/>
    <col min="8569" max="8569" width="12.7109375" style="151" customWidth="1"/>
    <col min="8570" max="8581" width="11.140625" style="151" bestFit="1" customWidth="1"/>
    <col min="8582" max="8582" width="12" style="151" bestFit="1" customWidth="1"/>
    <col min="8583" max="8583" width="10" style="151" bestFit="1" customWidth="1"/>
    <col min="8584" max="8602" width="12.7109375" style="151" customWidth="1"/>
    <col min="8603" max="8613" width="9.85546875" style="151" bestFit="1" customWidth="1"/>
    <col min="8614" max="8614" width="11.140625" style="151" bestFit="1" customWidth="1"/>
    <col min="8615" max="8629" width="9.140625" style="151"/>
    <col min="8630" max="8630" width="9.85546875" style="151" bestFit="1" customWidth="1"/>
    <col min="8631" max="8645" width="9.140625" style="151"/>
    <col min="8646" max="8646" width="9.85546875" style="151" bestFit="1" customWidth="1"/>
    <col min="8647" max="8661" width="9.140625" style="151"/>
    <col min="8662" max="8662" width="9.85546875" style="151" bestFit="1" customWidth="1"/>
    <col min="8663" max="8677" width="9.140625" style="151"/>
    <col min="8678" max="8678" width="9.85546875" style="151" bestFit="1" customWidth="1"/>
    <col min="8679" max="8680" width="9.140625" style="151"/>
    <col min="8681" max="8681" width="11" style="151" bestFit="1" customWidth="1"/>
    <col min="8682" max="8686" width="11.140625" style="151" bestFit="1" customWidth="1"/>
    <col min="8687" max="8687" width="9.85546875" style="151" bestFit="1" customWidth="1"/>
    <col min="8688" max="8692" width="11.140625" style="151" bestFit="1" customWidth="1"/>
    <col min="8693" max="8693" width="12" style="151" bestFit="1" customWidth="1"/>
    <col min="8694" max="8694" width="11" style="151" bestFit="1" customWidth="1"/>
    <col min="8695" max="8807" width="9.140625" style="151"/>
    <col min="8808" max="8808" width="8.28515625" style="151" bestFit="1" customWidth="1"/>
    <col min="8809" max="8809" width="26" style="151" bestFit="1" customWidth="1"/>
    <col min="8810" max="8810" width="12" style="151" customWidth="1"/>
    <col min="8811" max="8811" width="8.140625" style="151" customWidth="1"/>
    <col min="8812" max="8812" width="11.140625" style="151" customWidth="1"/>
    <col min="8813" max="8813" width="8.28515625" style="151" customWidth="1"/>
    <col min="8814" max="8814" width="9.85546875" style="151" customWidth="1"/>
    <col min="8815" max="8815" width="8" style="151" customWidth="1"/>
    <col min="8816" max="8816" width="9.85546875" style="151" customWidth="1"/>
    <col min="8817" max="8817" width="6" style="151" customWidth="1"/>
    <col min="8818" max="8818" width="11.140625" style="151" customWidth="1"/>
    <col min="8819" max="8819" width="6.85546875" style="151" customWidth="1"/>
    <col min="8820" max="8820" width="11.7109375" style="151" customWidth="1"/>
    <col min="8821" max="8821" width="7.140625" style="151" customWidth="1"/>
    <col min="8822" max="8822" width="9" style="151" customWidth="1"/>
    <col min="8823" max="8823" width="7.140625" style="151" customWidth="1"/>
    <col min="8824" max="8824" width="12" style="151" customWidth="1"/>
    <col min="8825" max="8825" width="12.7109375" style="151" customWidth="1"/>
    <col min="8826" max="8837" width="11.140625" style="151" bestFit="1" customWidth="1"/>
    <col min="8838" max="8838" width="12" style="151" bestFit="1" customWidth="1"/>
    <col min="8839" max="8839" width="10" style="151" bestFit="1" customWidth="1"/>
    <col min="8840" max="8858" width="12.7109375" style="151" customWidth="1"/>
    <col min="8859" max="8869" width="9.85546875" style="151" bestFit="1" customWidth="1"/>
    <col min="8870" max="8870" width="11.140625" style="151" bestFit="1" customWidth="1"/>
    <col min="8871" max="8885" width="9.140625" style="151"/>
    <col min="8886" max="8886" width="9.85546875" style="151" bestFit="1" customWidth="1"/>
    <col min="8887" max="8901" width="9.140625" style="151"/>
    <col min="8902" max="8902" width="9.85546875" style="151" bestFit="1" customWidth="1"/>
    <col min="8903" max="8917" width="9.140625" style="151"/>
    <col min="8918" max="8918" width="9.85546875" style="151" bestFit="1" customWidth="1"/>
    <col min="8919" max="8933" width="9.140625" style="151"/>
    <col min="8934" max="8934" width="9.85546875" style="151" bestFit="1" customWidth="1"/>
    <col min="8935" max="8936" width="9.140625" style="151"/>
    <col min="8937" max="8937" width="11" style="151" bestFit="1" customWidth="1"/>
    <col min="8938" max="8942" width="11.140625" style="151" bestFit="1" customWidth="1"/>
    <col min="8943" max="8943" width="9.85546875" style="151" bestFit="1" customWidth="1"/>
    <col min="8944" max="8948" width="11.140625" style="151" bestFit="1" customWidth="1"/>
    <col min="8949" max="8949" width="12" style="151" bestFit="1" customWidth="1"/>
    <col min="8950" max="8950" width="11" style="151" bestFit="1" customWidth="1"/>
    <col min="8951" max="9063" width="9.140625" style="151"/>
    <col min="9064" max="9064" width="8.28515625" style="151" bestFit="1" customWidth="1"/>
    <col min="9065" max="9065" width="26" style="151" bestFit="1" customWidth="1"/>
    <col min="9066" max="9066" width="12" style="151" customWidth="1"/>
    <col min="9067" max="9067" width="8.140625" style="151" customWidth="1"/>
    <col min="9068" max="9068" width="11.140625" style="151" customWidth="1"/>
    <col min="9069" max="9069" width="8.28515625" style="151" customWidth="1"/>
    <col min="9070" max="9070" width="9.85546875" style="151" customWidth="1"/>
    <col min="9071" max="9071" width="8" style="151" customWidth="1"/>
    <col min="9072" max="9072" width="9.85546875" style="151" customWidth="1"/>
    <col min="9073" max="9073" width="6" style="151" customWidth="1"/>
    <col min="9074" max="9074" width="11.140625" style="151" customWidth="1"/>
    <col min="9075" max="9075" width="6.85546875" style="151" customWidth="1"/>
    <col min="9076" max="9076" width="11.7109375" style="151" customWidth="1"/>
    <col min="9077" max="9077" width="7.140625" style="151" customWidth="1"/>
    <col min="9078" max="9078" width="9" style="151" customWidth="1"/>
    <col min="9079" max="9079" width="7.140625" style="151" customWidth="1"/>
    <col min="9080" max="9080" width="12" style="151" customWidth="1"/>
    <col min="9081" max="9081" width="12.7109375" style="151" customWidth="1"/>
    <col min="9082" max="9093" width="11.140625" style="151" bestFit="1" customWidth="1"/>
    <col min="9094" max="9094" width="12" style="151" bestFit="1" customWidth="1"/>
    <col min="9095" max="9095" width="10" style="151" bestFit="1" customWidth="1"/>
    <col min="9096" max="9114" width="12.7109375" style="151" customWidth="1"/>
    <col min="9115" max="9125" width="9.85546875" style="151" bestFit="1" customWidth="1"/>
    <col min="9126" max="9126" width="11.140625" style="151" bestFit="1" customWidth="1"/>
    <col min="9127" max="9141" width="9.140625" style="151"/>
    <col min="9142" max="9142" width="9.85546875" style="151" bestFit="1" customWidth="1"/>
    <col min="9143" max="9157" width="9.140625" style="151"/>
    <col min="9158" max="9158" width="9.85546875" style="151" bestFit="1" customWidth="1"/>
    <col min="9159" max="9173" width="9.140625" style="151"/>
    <col min="9174" max="9174" width="9.85546875" style="151" bestFit="1" customWidth="1"/>
    <col min="9175" max="9189" width="9.140625" style="151"/>
    <col min="9190" max="9190" width="9.85546875" style="151" bestFit="1" customWidth="1"/>
    <col min="9191" max="9192" width="9.140625" style="151"/>
    <col min="9193" max="9193" width="11" style="151" bestFit="1" customWidth="1"/>
    <col min="9194" max="9198" width="11.140625" style="151" bestFit="1" customWidth="1"/>
    <col min="9199" max="9199" width="9.85546875" style="151" bestFit="1" customWidth="1"/>
    <col min="9200" max="9204" width="11.140625" style="151" bestFit="1" customWidth="1"/>
    <col min="9205" max="9205" width="12" style="151" bestFit="1" customWidth="1"/>
    <col min="9206" max="9206" width="11" style="151" bestFit="1" customWidth="1"/>
    <col min="9207" max="9319" width="9.140625" style="151"/>
    <col min="9320" max="9320" width="8.28515625" style="151" bestFit="1" customWidth="1"/>
    <col min="9321" max="9321" width="26" style="151" bestFit="1" customWidth="1"/>
    <col min="9322" max="9322" width="12" style="151" customWidth="1"/>
    <col min="9323" max="9323" width="8.140625" style="151" customWidth="1"/>
    <col min="9324" max="9324" width="11.140625" style="151" customWidth="1"/>
    <col min="9325" max="9325" width="8.28515625" style="151" customWidth="1"/>
    <col min="9326" max="9326" width="9.85546875" style="151" customWidth="1"/>
    <col min="9327" max="9327" width="8" style="151" customWidth="1"/>
    <col min="9328" max="9328" width="9.85546875" style="151" customWidth="1"/>
    <col min="9329" max="9329" width="6" style="151" customWidth="1"/>
    <col min="9330" max="9330" width="11.140625" style="151" customWidth="1"/>
    <col min="9331" max="9331" width="6.85546875" style="151" customWidth="1"/>
    <col min="9332" max="9332" width="11.7109375" style="151" customWidth="1"/>
    <col min="9333" max="9333" width="7.140625" style="151" customWidth="1"/>
    <col min="9334" max="9334" width="9" style="151" customWidth="1"/>
    <col min="9335" max="9335" width="7.140625" style="151" customWidth="1"/>
    <col min="9336" max="9336" width="12" style="151" customWidth="1"/>
    <col min="9337" max="9337" width="12.7109375" style="151" customWidth="1"/>
    <col min="9338" max="9349" width="11.140625" style="151" bestFit="1" customWidth="1"/>
    <col min="9350" max="9350" width="12" style="151" bestFit="1" customWidth="1"/>
    <col min="9351" max="9351" width="10" style="151" bestFit="1" customWidth="1"/>
    <col min="9352" max="9370" width="12.7109375" style="151" customWidth="1"/>
    <col min="9371" max="9381" width="9.85546875" style="151" bestFit="1" customWidth="1"/>
    <col min="9382" max="9382" width="11.140625" style="151" bestFit="1" customWidth="1"/>
    <col min="9383" max="9397" width="9.140625" style="151"/>
    <col min="9398" max="9398" width="9.85546875" style="151" bestFit="1" customWidth="1"/>
    <col min="9399" max="9413" width="9.140625" style="151"/>
    <col min="9414" max="9414" width="9.85546875" style="151" bestFit="1" customWidth="1"/>
    <col min="9415" max="9429" width="9.140625" style="151"/>
    <col min="9430" max="9430" width="9.85546875" style="151" bestFit="1" customWidth="1"/>
    <col min="9431" max="9445" width="9.140625" style="151"/>
    <col min="9446" max="9446" width="9.85546875" style="151" bestFit="1" customWidth="1"/>
    <col min="9447" max="9448" width="9.140625" style="151"/>
    <col min="9449" max="9449" width="11" style="151" bestFit="1" customWidth="1"/>
    <col min="9450" max="9454" width="11.140625" style="151" bestFit="1" customWidth="1"/>
    <col min="9455" max="9455" width="9.85546875" style="151" bestFit="1" customWidth="1"/>
    <col min="9456" max="9460" width="11.140625" style="151" bestFit="1" customWidth="1"/>
    <col min="9461" max="9461" width="12" style="151" bestFit="1" customWidth="1"/>
    <col min="9462" max="9462" width="11" style="151" bestFit="1" customWidth="1"/>
    <col min="9463" max="9575" width="9.140625" style="151"/>
    <col min="9576" max="9576" width="8.28515625" style="151" bestFit="1" customWidth="1"/>
    <col min="9577" max="9577" width="26" style="151" bestFit="1" customWidth="1"/>
    <col min="9578" max="9578" width="12" style="151" customWidth="1"/>
    <col min="9579" max="9579" width="8.140625" style="151" customWidth="1"/>
    <col min="9580" max="9580" width="11.140625" style="151" customWidth="1"/>
    <col min="9581" max="9581" width="8.28515625" style="151" customWidth="1"/>
    <col min="9582" max="9582" width="9.85546875" style="151" customWidth="1"/>
    <col min="9583" max="9583" width="8" style="151" customWidth="1"/>
    <col min="9584" max="9584" width="9.85546875" style="151" customWidth="1"/>
    <col min="9585" max="9585" width="6" style="151" customWidth="1"/>
    <col min="9586" max="9586" width="11.140625" style="151" customWidth="1"/>
    <col min="9587" max="9587" width="6.85546875" style="151" customWidth="1"/>
    <col min="9588" max="9588" width="11.7109375" style="151" customWidth="1"/>
    <col min="9589" max="9589" width="7.140625" style="151" customWidth="1"/>
    <col min="9590" max="9590" width="9" style="151" customWidth="1"/>
    <col min="9591" max="9591" width="7.140625" style="151" customWidth="1"/>
    <col min="9592" max="9592" width="12" style="151" customWidth="1"/>
    <col min="9593" max="9593" width="12.7109375" style="151" customWidth="1"/>
    <col min="9594" max="9605" width="11.140625" style="151" bestFit="1" customWidth="1"/>
    <col min="9606" max="9606" width="12" style="151" bestFit="1" customWidth="1"/>
    <col min="9607" max="9607" width="10" style="151" bestFit="1" customWidth="1"/>
    <col min="9608" max="9626" width="12.7109375" style="151" customWidth="1"/>
    <col min="9627" max="9637" width="9.85546875" style="151" bestFit="1" customWidth="1"/>
    <col min="9638" max="9638" width="11.140625" style="151" bestFit="1" customWidth="1"/>
    <col min="9639" max="9653" width="9.140625" style="151"/>
    <col min="9654" max="9654" width="9.85546875" style="151" bestFit="1" customWidth="1"/>
    <col min="9655" max="9669" width="9.140625" style="151"/>
    <col min="9670" max="9670" width="9.85546875" style="151" bestFit="1" customWidth="1"/>
    <col min="9671" max="9685" width="9.140625" style="151"/>
    <col min="9686" max="9686" width="9.85546875" style="151" bestFit="1" customWidth="1"/>
    <col min="9687" max="9701" width="9.140625" style="151"/>
    <col min="9702" max="9702" width="9.85546875" style="151" bestFit="1" customWidth="1"/>
    <col min="9703" max="9704" width="9.140625" style="151"/>
    <col min="9705" max="9705" width="11" style="151" bestFit="1" customWidth="1"/>
    <col min="9706" max="9710" width="11.140625" style="151" bestFit="1" customWidth="1"/>
    <col min="9711" max="9711" width="9.85546875" style="151" bestFit="1" customWidth="1"/>
    <col min="9712" max="9716" width="11.140625" style="151" bestFit="1" customWidth="1"/>
    <col min="9717" max="9717" width="12" style="151" bestFit="1" customWidth="1"/>
    <col min="9718" max="9718" width="11" style="151" bestFit="1" customWidth="1"/>
    <col min="9719" max="9831" width="9.140625" style="151"/>
    <col min="9832" max="9832" width="8.28515625" style="151" bestFit="1" customWidth="1"/>
    <col min="9833" max="9833" width="26" style="151" bestFit="1" customWidth="1"/>
    <col min="9834" max="9834" width="12" style="151" customWidth="1"/>
    <col min="9835" max="9835" width="8.140625" style="151" customWidth="1"/>
    <col min="9836" max="9836" width="11.140625" style="151" customWidth="1"/>
    <col min="9837" max="9837" width="8.28515625" style="151" customWidth="1"/>
    <col min="9838" max="9838" width="9.85546875" style="151" customWidth="1"/>
    <col min="9839" max="9839" width="8" style="151" customWidth="1"/>
    <col min="9840" max="9840" width="9.85546875" style="151" customWidth="1"/>
    <col min="9841" max="9841" width="6" style="151" customWidth="1"/>
    <col min="9842" max="9842" width="11.140625" style="151" customWidth="1"/>
    <col min="9843" max="9843" width="6.85546875" style="151" customWidth="1"/>
    <col min="9844" max="9844" width="11.7109375" style="151" customWidth="1"/>
    <col min="9845" max="9845" width="7.140625" style="151" customWidth="1"/>
    <col min="9846" max="9846" width="9" style="151" customWidth="1"/>
    <col min="9847" max="9847" width="7.140625" style="151" customWidth="1"/>
    <col min="9848" max="9848" width="12" style="151" customWidth="1"/>
    <col min="9849" max="9849" width="12.7109375" style="151" customWidth="1"/>
    <col min="9850" max="9861" width="11.140625" style="151" bestFit="1" customWidth="1"/>
    <col min="9862" max="9862" width="12" style="151" bestFit="1" customWidth="1"/>
    <col min="9863" max="9863" width="10" style="151" bestFit="1" customWidth="1"/>
    <col min="9864" max="9882" width="12.7109375" style="151" customWidth="1"/>
    <col min="9883" max="9893" width="9.85546875" style="151" bestFit="1" customWidth="1"/>
    <col min="9894" max="9894" width="11.140625" style="151" bestFit="1" customWidth="1"/>
    <col min="9895" max="9909" width="9.140625" style="151"/>
    <col min="9910" max="9910" width="9.85546875" style="151" bestFit="1" customWidth="1"/>
    <col min="9911" max="9925" width="9.140625" style="151"/>
    <col min="9926" max="9926" width="9.85546875" style="151" bestFit="1" customWidth="1"/>
    <col min="9927" max="9941" width="9.140625" style="151"/>
    <col min="9942" max="9942" width="9.85546875" style="151" bestFit="1" customWidth="1"/>
    <col min="9943" max="9957" width="9.140625" style="151"/>
    <col min="9958" max="9958" width="9.85546875" style="151" bestFit="1" customWidth="1"/>
    <col min="9959" max="9960" width="9.140625" style="151"/>
    <col min="9961" max="9961" width="11" style="151" bestFit="1" customWidth="1"/>
    <col min="9962" max="9966" width="11.140625" style="151" bestFit="1" customWidth="1"/>
    <col min="9967" max="9967" width="9.85546875" style="151" bestFit="1" customWidth="1"/>
    <col min="9968" max="9972" width="11.140625" style="151" bestFit="1" customWidth="1"/>
    <col min="9973" max="9973" width="12" style="151" bestFit="1" customWidth="1"/>
    <col min="9974" max="9974" width="11" style="151" bestFit="1" customWidth="1"/>
    <col min="9975" max="10087" width="9.140625" style="151"/>
    <col min="10088" max="10088" width="8.28515625" style="151" bestFit="1" customWidth="1"/>
    <col min="10089" max="10089" width="26" style="151" bestFit="1" customWidth="1"/>
    <col min="10090" max="10090" width="12" style="151" customWidth="1"/>
    <col min="10091" max="10091" width="8.140625" style="151" customWidth="1"/>
    <col min="10092" max="10092" width="11.140625" style="151" customWidth="1"/>
    <col min="10093" max="10093" width="8.28515625" style="151" customWidth="1"/>
    <col min="10094" max="10094" width="9.85546875" style="151" customWidth="1"/>
    <col min="10095" max="10095" width="8" style="151" customWidth="1"/>
    <col min="10096" max="10096" width="9.85546875" style="151" customWidth="1"/>
    <col min="10097" max="10097" width="6" style="151" customWidth="1"/>
    <col min="10098" max="10098" width="11.140625" style="151" customWidth="1"/>
    <col min="10099" max="10099" width="6.85546875" style="151" customWidth="1"/>
    <col min="10100" max="10100" width="11.7109375" style="151" customWidth="1"/>
    <col min="10101" max="10101" width="7.140625" style="151" customWidth="1"/>
    <col min="10102" max="10102" width="9" style="151" customWidth="1"/>
    <col min="10103" max="10103" width="7.140625" style="151" customWidth="1"/>
    <col min="10104" max="10104" width="12" style="151" customWidth="1"/>
    <col min="10105" max="10105" width="12.7109375" style="151" customWidth="1"/>
    <col min="10106" max="10117" width="11.140625" style="151" bestFit="1" customWidth="1"/>
    <col min="10118" max="10118" width="12" style="151" bestFit="1" customWidth="1"/>
    <col min="10119" max="10119" width="10" style="151" bestFit="1" customWidth="1"/>
    <col min="10120" max="10138" width="12.7109375" style="151" customWidth="1"/>
    <col min="10139" max="10149" width="9.85546875" style="151" bestFit="1" customWidth="1"/>
    <col min="10150" max="10150" width="11.140625" style="151" bestFit="1" customWidth="1"/>
    <col min="10151" max="10165" width="9.140625" style="151"/>
    <col min="10166" max="10166" width="9.85546875" style="151" bestFit="1" customWidth="1"/>
    <col min="10167" max="10181" width="9.140625" style="151"/>
    <col min="10182" max="10182" width="9.85546875" style="151" bestFit="1" customWidth="1"/>
    <col min="10183" max="10197" width="9.140625" style="151"/>
    <col min="10198" max="10198" width="9.85546875" style="151" bestFit="1" customWidth="1"/>
    <col min="10199" max="10213" width="9.140625" style="151"/>
    <col min="10214" max="10214" width="9.85546875" style="151" bestFit="1" customWidth="1"/>
    <col min="10215" max="10216" width="9.140625" style="151"/>
    <col min="10217" max="10217" width="11" style="151" bestFit="1" customWidth="1"/>
    <col min="10218" max="10222" width="11.140625" style="151" bestFit="1" customWidth="1"/>
    <col min="10223" max="10223" width="9.85546875" style="151" bestFit="1" customWidth="1"/>
    <col min="10224" max="10228" width="11.140625" style="151" bestFit="1" customWidth="1"/>
    <col min="10229" max="10229" width="12" style="151" bestFit="1" customWidth="1"/>
    <col min="10230" max="10230" width="11" style="151" bestFit="1" customWidth="1"/>
    <col min="10231" max="10343" width="9.140625" style="151"/>
    <col min="10344" max="10344" width="8.28515625" style="151" bestFit="1" customWidth="1"/>
    <col min="10345" max="10345" width="26" style="151" bestFit="1" customWidth="1"/>
    <col min="10346" max="10346" width="12" style="151" customWidth="1"/>
    <col min="10347" max="10347" width="8.140625" style="151" customWidth="1"/>
    <col min="10348" max="10348" width="11.140625" style="151" customWidth="1"/>
    <col min="10349" max="10349" width="8.28515625" style="151" customWidth="1"/>
    <col min="10350" max="10350" width="9.85546875" style="151" customWidth="1"/>
    <col min="10351" max="10351" width="8" style="151" customWidth="1"/>
    <col min="10352" max="10352" width="9.85546875" style="151" customWidth="1"/>
    <col min="10353" max="10353" width="6" style="151" customWidth="1"/>
    <col min="10354" max="10354" width="11.140625" style="151" customWidth="1"/>
    <col min="10355" max="10355" width="6.85546875" style="151" customWidth="1"/>
    <col min="10356" max="10356" width="11.7109375" style="151" customWidth="1"/>
    <col min="10357" max="10357" width="7.140625" style="151" customWidth="1"/>
    <col min="10358" max="10358" width="9" style="151" customWidth="1"/>
    <col min="10359" max="10359" width="7.140625" style="151" customWidth="1"/>
    <col min="10360" max="10360" width="12" style="151" customWidth="1"/>
    <col min="10361" max="10361" width="12.7109375" style="151" customWidth="1"/>
    <col min="10362" max="10373" width="11.140625" style="151" bestFit="1" customWidth="1"/>
    <col min="10374" max="10374" width="12" style="151" bestFit="1" customWidth="1"/>
    <col min="10375" max="10375" width="10" style="151" bestFit="1" customWidth="1"/>
    <col min="10376" max="10394" width="12.7109375" style="151" customWidth="1"/>
    <col min="10395" max="10405" width="9.85546875" style="151" bestFit="1" customWidth="1"/>
    <col min="10406" max="10406" width="11.140625" style="151" bestFit="1" customWidth="1"/>
    <col min="10407" max="10421" width="9.140625" style="151"/>
    <col min="10422" max="10422" width="9.85546875" style="151" bestFit="1" customWidth="1"/>
    <col min="10423" max="10437" width="9.140625" style="151"/>
    <col min="10438" max="10438" width="9.85546875" style="151" bestFit="1" customWidth="1"/>
    <col min="10439" max="10453" width="9.140625" style="151"/>
    <col min="10454" max="10454" width="9.85546875" style="151" bestFit="1" customWidth="1"/>
    <col min="10455" max="10469" width="9.140625" style="151"/>
    <col min="10470" max="10470" width="9.85546875" style="151" bestFit="1" customWidth="1"/>
    <col min="10471" max="10472" width="9.140625" style="151"/>
    <col min="10473" max="10473" width="11" style="151" bestFit="1" customWidth="1"/>
    <col min="10474" max="10478" width="11.140625" style="151" bestFit="1" customWidth="1"/>
    <col min="10479" max="10479" width="9.85546875" style="151" bestFit="1" customWidth="1"/>
    <col min="10480" max="10484" width="11.140625" style="151" bestFit="1" customWidth="1"/>
    <col min="10485" max="10485" width="12" style="151" bestFit="1" customWidth="1"/>
    <col min="10486" max="10486" width="11" style="151" bestFit="1" customWidth="1"/>
    <col min="10487" max="10599" width="9.140625" style="151"/>
    <col min="10600" max="10600" width="8.28515625" style="151" bestFit="1" customWidth="1"/>
    <col min="10601" max="10601" width="26" style="151" bestFit="1" customWidth="1"/>
    <col min="10602" max="10602" width="12" style="151" customWidth="1"/>
    <col min="10603" max="10603" width="8.140625" style="151" customWidth="1"/>
    <col min="10604" max="10604" width="11.140625" style="151" customWidth="1"/>
    <col min="10605" max="10605" width="8.28515625" style="151" customWidth="1"/>
    <col min="10606" max="10606" width="9.85546875" style="151" customWidth="1"/>
    <col min="10607" max="10607" width="8" style="151" customWidth="1"/>
    <col min="10608" max="10608" width="9.85546875" style="151" customWidth="1"/>
    <col min="10609" max="10609" width="6" style="151" customWidth="1"/>
    <col min="10610" max="10610" width="11.140625" style="151" customWidth="1"/>
    <col min="10611" max="10611" width="6.85546875" style="151" customWidth="1"/>
    <col min="10612" max="10612" width="11.7109375" style="151" customWidth="1"/>
    <col min="10613" max="10613" width="7.140625" style="151" customWidth="1"/>
    <col min="10614" max="10614" width="9" style="151" customWidth="1"/>
    <col min="10615" max="10615" width="7.140625" style="151" customWidth="1"/>
    <col min="10616" max="10616" width="12" style="151" customWidth="1"/>
    <col min="10617" max="10617" width="12.7109375" style="151" customWidth="1"/>
    <col min="10618" max="10629" width="11.140625" style="151" bestFit="1" customWidth="1"/>
    <col min="10630" max="10630" width="12" style="151" bestFit="1" customWidth="1"/>
    <col min="10631" max="10631" width="10" style="151" bestFit="1" customWidth="1"/>
    <col min="10632" max="10650" width="12.7109375" style="151" customWidth="1"/>
    <col min="10651" max="10661" width="9.85546875" style="151" bestFit="1" customWidth="1"/>
    <col min="10662" max="10662" width="11.140625" style="151" bestFit="1" customWidth="1"/>
    <col min="10663" max="10677" width="9.140625" style="151"/>
    <col min="10678" max="10678" width="9.85546875" style="151" bestFit="1" customWidth="1"/>
    <col min="10679" max="10693" width="9.140625" style="151"/>
    <col min="10694" max="10694" width="9.85546875" style="151" bestFit="1" customWidth="1"/>
    <col min="10695" max="10709" width="9.140625" style="151"/>
    <col min="10710" max="10710" width="9.85546875" style="151" bestFit="1" customWidth="1"/>
    <col min="10711" max="10725" width="9.140625" style="151"/>
    <col min="10726" max="10726" width="9.85546875" style="151" bestFit="1" customWidth="1"/>
    <col min="10727" max="10728" width="9.140625" style="151"/>
    <col min="10729" max="10729" width="11" style="151" bestFit="1" customWidth="1"/>
    <col min="10730" max="10734" width="11.140625" style="151" bestFit="1" customWidth="1"/>
    <col min="10735" max="10735" width="9.85546875" style="151" bestFit="1" customWidth="1"/>
    <col min="10736" max="10740" width="11.140625" style="151" bestFit="1" customWidth="1"/>
    <col min="10741" max="10741" width="12" style="151" bestFit="1" customWidth="1"/>
    <col min="10742" max="10742" width="11" style="151" bestFit="1" customWidth="1"/>
    <col min="10743" max="10855" width="9.140625" style="151"/>
    <col min="10856" max="10856" width="8.28515625" style="151" bestFit="1" customWidth="1"/>
    <col min="10857" max="10857" width="26" style="151" bestFit="1" customWidth="1"/>
    <col min="10858" max="10858" width="12" style="151" customWidth="1"/>
    <col min="10859" max="10859" width="8.140625" style="151" customWidth="1"/>
    <col min="10860" max="10860" width="11.140625" style="151" customWidth="1"/>
    <col min="10861" max="10861" width="8.28515625" style="151" customWidth="1"/>
    <col min="10862" max="10862" width="9.85546875" style="151" customWidth="1"/>
    <col min="10863" max="10863" width="8" style="151" customWidth="1"/>
    <col min="10864" max="10864" width="9.85546875" style="151" customWidth="1"/>
    <col min="10865" max="10865" width="6" style="151" customWidth="1"/>
    <col min="10866" max="10866" width="11.140625" style="151" customWidth="1"/>
    <col min="10867" max="10867" width="6.85546875" style="151" customWidth="1"/>
    <col min="10868" max="10868" width="11.7109375" style="151" customWidth="1"/>
    <col min="10869" max="10869" width="7.140625" style="151" customWidth="1"/>
    <col min="10870" max="10870" width="9" style="151" customWidth="1"/>
    <col min="10871" max="10871" width="7.140625" style="151" customWidth="1"/>
    <col min="10872" max="10872" width="12" style="151" customWidth="1"/>
    <col min="10873" max="10873" width="12.7109375" style="151" customWidth="1"/>
    <col min="10874" max="10885" width="11.140625" style="151" bestFit="1" customWidth="1"/>
    <col min="10886" max="10886" width="12" style="151" bestFit="1" customWidth="1"/>
    <col min="10887" max="10887" width="10" style="151" bestFit="1" customWidth="1"/>
    <col min="10888" max="10906" width="12.7109375" style="151" customWidth="1"/>
    <col min="10907" max="10917" width="9.85546875" style="151" bestFit="1" customWidth="1"/>
    <col min="10918" max="10918" width="11.140625" style="151" bestFit="1" customWidth="1"/>
    <col min="10919" max="10933" width="9.140625" style="151"/>
    <col min="10934" max="10934" width="9.85546875" style="151" bestFit="1" customWidth="1"/>
    <col min="10935" max="10949" width="9.140625" style="151"/>
    <col min="10950" max="10950" width="9.85546875" style="151" bestFit="1" customWidth="1"/>
    <col min="10951" max="10965" width="9.140625" style="151"/>
    <col min="10966" max="10966" width="9.85546875" style="151" bestFit="1" customWidth="1"/>
    <col min="10967" max="10981" width="9.140625" style="151"/>
    <col min="10982" max="10982" width="9.85546875" style="151" bestFit="1" customWidth="1"/>
    <col min="10983" max="10984" width="9.140625" style="151"/>
    <col min="10985" max="10985" width="11" style="151" bestFit="1" customWidth="1"/>
    <col min="10986" max="10990" width="11.140625" style="151" bestFit="1" customWidth="1"/>
    <col min="10991" max="10991" width="9.85546875" style="151" bestFit="1" customWidth="1"/>
    <col min="10992" max="10996" width="11.140625" style="151" bestFit="1" customWidth="1"/>
    <col min="10997" max="10997" width="12" style="151" bestFit="1" customWidth="1"/>
    <col min="10998" max="10998" width="11" style="151" bestFit="1" customWidth="1"/>
    <col min="10999" max="11111" width="9.140625" style="151"/>
    <col min="11112" max="11112" width="8.28515625" style="151" bestFit="1" customWidth="1"/>
    <col min="11113" max="11113" width="26" style="151" bestFit="1" customWidth="1"/>
    <col min="11114" max="11114" width="12" style="151" customWidth="1"/>
    <col min="11115" max="11115" width="8.140625" style="151" customWidth="1"/>
    <col min="11116" max="11116" width="11.140625" style="151" customWidth="1"/>
    <col min="11117" max="11117" width="8.28515625" style="151" customWidth="1"/>
    <col min="11118" max="11118" width="9.85546875" style="151" customWidth="1"/>
    <col min="11119" max="11119" width="8" style="151" customWidth="1"/>
    <col min="11120" max="11120" width="9.85546875" style="151" customWidth="1"/>
    <col min="11121" max="11121" width="6" style="151" customWidth="1"/>
    <col min="11122" max="11122" width="11.140625" style="151" customWidth="1"/>
    <col min="11123" max="11123" width="6.85546875" style="151" customWidth="1"/>
    <col min="11124" max="11124" width="11.7109375" style="151" customWidth="1"/>
    <col min="11125" max="11125" width="7.140625" style="151" customWidth="1"/>
    <col min="11126" max="11126" width="9" style="151" customWidth="1"/>
    <col min="11127" max="11127" width="7.140625" style="151" customWidth="1"/>
    <col min="11128" max="11128" width="12" style="151" customWidth="1"/>
    <col min="11129" max="11129" width="12.7109375" style="151" customWidth="1"/>
    <col min="11130" max="11141" width="11.140625" style="151" bestFit="1" customWidth="1"/>
    <col min="11142" max="11142" width="12" style="151" bestFit="1" customWidth="1"/>
    <col min="11143" max="11143" width="10" style="151" bestFit="1" customWidth="1"/>
    <col min="11144" max="11162" width="12.7109375" style="151" customWidth="1"/>
    <col min="11163" max="11173" width="9.85546875" style="151" bestFit="1" customWidth="1"/>
    <col min="11174" max="11174" width="11.140625" style="151" bestFit="1" customWidth="1"/>
    <col min="11175" max="11189" width="9.140625" style="151"/>
    <col min="11190" max="11190" width="9.85546875" style="151" bestFit="1" customWidth="1"/>
    <col min="11191" max="11205" width="9.140625" style="151"/>
    <col min="11206" max="11206" width="9.85546875" style="151" bestFit="1" customWidth="1"/>
    <col min="11207" max="11221" width="9.140625" style="151"/>
    <col min="11222" max="11222" width="9.85546875" style="151" bestFit="1" customWidth="1"/>
    <col min="11223" max="11237" width="9.140625" style="151"/>
    <col min="11238" max="11238" width="9.85546875" style="151" bestFit="1" customWidth="1"/>
    <col min="11239" max="11240" width="9.140625" style="151"/>
    <col min="11241" max="11241" width="11" style="151" bestFit="1" customWidth="1"/>
    <col min="11242" max="11246" width="11.140625" style="151" bestFit="1" customWidth="1"/>
    <col min="11247" max="11247" width="9.85546875" style="151" bestFit="1" customWidth="1"/>
    <col min="11248" max="11252" width="11.140625" style="151" bestFit="1" customWidth="1"/>
    <col min="11253" max="11253" width="12" style="151" bestFit="1" customWidth="1"/>
    <col min="11254" max="11254" width="11" style="151" bestFit="1" customWidth="1"/>
    <col min="11255" max="11367" width="9.140625" style="151"/>
    <col min="11368" max="11368" width="8.28515625" style="151" bestFit="1" customWidth="1"/>
    <col min="11369" max="11369" width="26" style="151" bestFit="1" customWidth="1"/>
    <col min="11370" max="11370" width="12" style="151" customWidth="1"/>
    <col min="11371" max="11371" width="8.140625" style="151" customWidth="1"/>
    <col min="11372" max="11372" width="11.140625" style="151" customWidth="1"/>
    <col min="11373" max="11373" width="8.28515625" style="151" customWidth="1"/>
    <col min="11374" max="11374" width="9.85546875" style="151" customWidth="1"/>
    <col min="11375" max="11375" width="8" style="151" customWidth="1"/>
    <col min="11376" max="11376" width="9.85546875" style="151" customWidth="1"/>
    <col min="11377" max="11377" width="6" style="151" customWidth="1"/>
    <col min="11378" max="11378" width="11.140625" style="151" customWidth="1"/>
    <col min="11379" max="11379" width="6.85546875" style="151" customWidth="1"/>
    <col min="11380" max="11380" width="11.7109375" style="151" customWidth="1"/>
    <col min="11381" max="11381" width="7.140625" style="151" customWidth="1"/>
    <col min="11382" max="11382" width="9" style="151" customWidth="1"/>
    <col min="11383" max="11383" width="7.140625" style="151" customWidth="1"/>
    <col min="11384" max="11384" width="12" style="151" customWidth="1"/>
    <col min="11385" max="11385" width="12.7109375" style="151" customWidth="1"/>
    <col min="11386" max="11397" width="11.140625" style="151" bestFit="1" customWidth="1"/>
    <col min="11398" max="11398" width="12" style="151" bestFit="1" customWidth="1"/>
    <col min="11399" max="11399" width="10" style="151" bestFit="1" customWidth="1"/>
    <col min="11400" max="11418" width="12.7109375" style="151" customWidth="1"/>
    <col min="11419" max="11429" width="9.85546875" style="151" bestFit="1" customWidth="1"/>
    <col min="11430" max="11430" width="11.140625" style="151" bestFit="1" customWidth="1"/>
    <col min="11431" max="11445" width="9.140625" style="151"/>
    <col min="11446" max="11446" width="9.85546875" style="151" bestFit="1" customWidth="1"/>
    <col min="11447" max="11461" width="9.140625" style="151"/>
    <col min="11462" max="11462" width="9.85546875" style="151" bestFit="1" customWidth="1"/>
    <col min="11463" max="11477" width="9.140625" style="151"/>
    <col min="11478" max="11478" width="9.85546875" style="151" bestFit="1" customWidth="1"/>
    <col min="11479" max="11493" width="9.140625" style="151"/>
    <col min="11494" max="11494" width="9.85546875" style="151" bestFit="1" customWidth="1"/>
    <col min="11495" max="11496" width="9.140625" style="151"/>
    <col min="11497" max="11497" width="11" style="151" bestFit="1" customWidth="1"/>
    <col min="11498" max="11502" width="11.140625" style="151" bestFit="1" customWidth="1"/>
    <col min="11503" max="11503" width="9.85546875" style="151" bestFit="1" customWidth="1"/>
    <col min="11504" max="11508" width="11.140625" style="151" bestFit="1" customWidth="1"/>
    <col min="11509" max="11509" width="12" style="151" bestFit="1" customWidth="1"/>
    <col min="11510" max="11510" width="11" style="151" bestFit="1" customWidth="1"/>
    <col min="11511" max="11623" width="9.140625" style="151"/>
    <col min="11624" max="11624" width="8.28515625" style="151" bestFit="1" customWidth="1"/>
    <col min="11625" max="11625" width="26" style="151" bestFit="1" customWidth="1"/>
    <col min="11626" max="11626" width="12" style="151" customWidth="1"/>
    <col min="11627" max="11627" width="8.140625" style="151" customWidth="1"/>
    <col min="11628" max="11628" width="11.140625" style="151" customWidth="1"/>
    <col min="11629" max="11629" width="8.28515625" style="151" customWidth="1"/>
    <col min="11630" max="11630" width="9.85546875" style="151" customWidth="1"/>
    <col min="11631" max="11631" width="8" style="151" customWidth="1"/>
    <col min="11632" max="11632" width="9.85546875" style="151" customWidth="1"/>
    <col min="11633" max="11633" width="6" style="151" customWidth="1"/>
    <col min="11634" max="11634" width="11.140625" style="151" customWidth="1"/>
    <col min="11635" max="11635" width="6.85546875" style="151" customWidth="1"/>
    <col min="11636" max="11636" width="11.7109375" style="151" customWidth="1"/>
    <col min="11637" max="11637" width="7.140625" style="151" customWidth="1"/>
    <col min="11638" max="11638" width="9" style="151" customWidth="1"/>
    <col min="11639" max="11639" width="7.140625" style="151" customWidth="1"/>
    <col min="11640" max="11640" width="12" style="151" customWidth="1"/>
    <col min="11641" max="11641" width="12.7109375" style="151" customWidth="1"/>
    <col min="11642" max="11653" width="11.140625" style="151" bestFit="1" customWidth="1"/>
    <col min="11654" max="11654" width="12" style="151" bestFit="1" customWidth="1"/>
    <col min="11655" max="11655" width="10" style="151" bestFit="1" customWidth="1"/>
    <col min="11656" max="11674" width="12.7109375" style="151" customWidth="1"/>
    <col min="11675" max="11685" width="9.85546875" style="151" bestFit="1" customWidth="1"/>
    <col min="11686" max="11686" width="11.140625" style="151" bestFit="1" customWidth="1"/>
    <col min="11687" max="11701" width="9.140625" style="151"/>
    <col min="11702" max="11702" width="9.85546875" style="151" bestFit="1" customWidth="1"/>
    <col min="11703" max="11717" width="9.140625" style="151"/>
    <col min="11718" max="11718" width="9.85546875" style="151" bestFit="1" customWidth="1"/>
    <col min="11719" max="11733" width="9.140625" style="151"/>
    <col min="11734" max="11734" width="9.85546875" style="151" bestFit="1" customWidth="1"/>
    <col min="11735" max="11749" width="9.140625" style="151"/>
    <col min="11750" max="11750" width="9.85546875" style="151" bestFit="1" customWidth="1"/>
    <col min="11751" max="11752" width="9.140625" style="151"/>
    <col min="11753" max="11753" width="11" style="151" bestFit="1" customWidth="1"/>
    <col min="11754" max="11758" width="11.140625" style="151" bestFit="1" customWidth="1"/>
    <col min="11759" max="11759" width="9.85546875" style="151" bestFit="1" customWidth="1"/>
    <col min="11760" max="11764" width="11.140625" style="151" bestFit="1" customWidth="1"/>
    <col min="11765" max="11765" width="12" style="151" bestFit="1" customWidth="1"/>
    <col min="11766" max="11766" width="11" style="151" bestFit="1" customWidth="1"/>
    <col min="11767" max="11879" width="9.140625" style="151"/>
    <col min="11880" max="11880" width="8.28515625" style="151" bestFit="1" customWidth="1"/>
    <col min="11881" max="11881" width="26" style="151" bestFit="1" customWidth="1"/>
    <col min="11882" max="11882" width="12" style="151" customWidth="1"/>
    <col min="11883" max="11883" width="8.140625" style="151" customWidth="1"/>
    <col min="11884" max="11884" width="11.140625" style="151" customWidth="1"/>
    <col min="11885" max="11885" width="8.28515625" style="151" customWidth="1"/>
    <col min="11886" max="11886" width="9.85546875" style="151" customWidth="1"/>
    <col min="11887" max="11887" width="8" style="151" customWidth="1"/>
    <col min="11888" max="11888" width="9.85546875" style="151" customWidth="1"/>
    <col min="11889" max="11889" width="6" style="151" customWidth="1"/>
    <col min="11890" max="11890" width="11.140625" style="151" customWidth="1"/>
    <col min="11891" max="11891" width="6.85546875" style="151" customWidth="1"/>
    <col min="11892" max="11892" width="11.7109375" style="151" customWidth="1"/>
    <col min="11893" max="11893" width="7.140625" style="151" customWidth="1"/>
    <col min="11894" max="11894" width="9" style="151" customWidth="1"/>
    <col min="11895" max="11895" width="7.140625" style="151" customWidth="1"/>
    <col min="11896" max="11896" width="12" style="151" customWidth="1"/>
    <col min="11897" max="11897" width="12.7109375" style="151" customWidth="1"/>
    <col min="11898" max="11909" width="11.140625" style="151" bestFit="1" customWidth="1"/>
    <col min="11910" max="11910" width="12" style="151" bestFit="1" customWidth="1"/>
    <col min="11911" max="11911" width="10" style="151" bestFit="1" customWidth="1"/>
    <col min="11912" max="11930" width="12.7109375" style="151" customWidth="1"/>
    <col min="11931" max="11941" width="9.85546875" style="151" bestFit="1" customWidth="1"/>
    <col min="11942" max="11942" width="11.140625" style="151" bestFit="1" customWidth="1"/>
    <col min="11943" max="11957" width="9.140625" style="151"/>
    <col min="11958" max="11958" width="9.85546875" style="151" bestFit="1" customWidth="1"/>
    <col min="11959" max="11973" width="9.140625" style="151"/>
    <col min="11974" max="11974" width="9.85546875" style="151" bestFit="1" customWidth="1"/>
    <col min="11975" max="11989" width="9.140625" style="151"/>
    <col min="11990" max="11990" width="9.85546875" style="151" bestFit="1" customWidth="1"/>
    <col min="11991" max="12005" width="9.140625" style="151"/>
    <col min="12006" max="12006" width="9.85546875" style="151" bestFit="1" customWidth="1"/>
    <col min="12007" max="12008" width="9.140625" style="151"/>
    <col min="12009" max="12009" width="11" style="151" bestFit="1" customWidth="1"/>
    <col min="12010" max="12014" width="11.140625" style="151" bestFit="1" customWidth="1"/>
    <col min="12015" max="12015" width="9.85546875" style="151" bestFit="1" customWidth="1"/>
    <col min="12016" max="12020" width="11.140625" style="151" bestFit="1" customWidth="1"/>
    <col min="12021" max="12021" width="12" style="151" bestFit="1" customWidth="1"/>
    <col min="12022" max="12022" width="11" style="151" bestFit="1" customWidth="1"/>
    <col min="12023" max="12135" width="9.140625" style="151"/>
    <col min="12136" max="12136" width="8.28515625" style="151" bestFit="1" customWidth="1"/>
    <col min="12137" max="12137" width="26" style="151" bestFit="1" customWidth="1"/>
    <col min="12138" max="12138" width="12" style="151" customWidth="1"/>
    <col min="12139" max="12139" width="8.140625" style="151" customWidth="1"/>
    <col min="12140" max="12140" width="11.140625" style="151" customWidth="1"/>
    <col min="12141" max="12141" width="8.28515625" style="151" customWidth="1"/>
    <col min="12142" max="12142" width="9.85546875" style="151" customWidth="1"/>
    <col min="12143" max="12143" width="8" style="151" customWidth="1"/>
    <col min="12144" max="12144" width="9.85546875" style="151" customWidth="1"/>
    <col min="12145" max="12145" width="6" style="151" customWidth="1"/>
    <col min="12146" max="12146" width="11.140625" style="151" customWidth="1"/>
    <col min="12147" max="12147" width="6.85546875" style="151" customWidth="1"/>
    <col min="12148" max="12148" width="11.7109375" style="151" customWidth="1"/>
    <col min="12149" max="12149" width="7.140625" style="151" customWidth="1"/>
    <col min="12150" max="12150" width="9" style="151" customWidth="1"/>
    <col min="12151" max="12151" width="7.140625" style="151" customWidth="1"/>
    <col min="12152" max="12152" width="12" style="151" customWidth="1"/>
    <col min="12153" max="12153" width="12.7109375" style="151" customWidth="1"/>
    <col min="12154" max="12165" width="11.140625" style="151" bestFit="1" customWidth="1"/>
    <col min="12166" max="12166" width="12" style="151" bestFit="1" customWidth="1"/>
    <col min="12167" max="12167" width="10" style="151" bestFit="1" customWidth="1"/>
    <col min="12168" max="12186" width="12.7109375" style="151" customWidth="1"/>
    <col min="12187" max="12197" width="9.85546875" style="151" bestFit="1" customWidth="1"/>
    <col min="12198" max="12198" width="11.140625" style="151" bestFit="1" customWidth="1"/>
    <col min="12199" max="12213" width="9.140625" style="151"/>
    <col min="12214" max="12214" width="9.85546875" style="151" bestFit="1" customWidth="1"/>
    <col min="12215" max="12229" width="9.140625" style="151"/>
    <col min="12230" max="12230" width="9.85546875" style="151" bestFit="1" customWidth="1"/>
    <col min="12231" max="12245" width="9.140625" style="151"/>
    <col min="12246" max="12246" width="9.85546875" style="151" bestFit="1" customWidth="1"/>
    <col min="12247" max="12261" width="9.140625" style="151"/>
    <col min="12262" max="12262" width="9.85546875" style="151" bestFit="1" customWidth="1"/>
    <col min="12263" max="12264" width="9.140625" style="151"/>
    <col min="12265" max="12265" width="11" style="151" bestFit="1" customWidth="1"/>
    <col min="12266" max="12270" width="11.140625" style="151" bestFit="1" customWidth="1"/>
    <col min="12271" max="12271" width="9.85546875" style="151" bestFit="1" customWidth="1"/>
    <col min="12272" max="12276" width="11.140625" style="151" bestFit="1" customWidth="1"/>
    <col min="12277" max="12277" width="12" style="151" bestFit="1" customWidth="1"/>
    <col min="12278" max="12278" width="11" style="151" bestFit="1" customWidth="1"/>
    <col min="12279" max="12391" width="9.140625" style="151"/>
    <col min="12392" max="12392" width="8.28515625" style="151" bestFit="1" customWidth="1"/>
    <col min="12393" max="12393" width="26" style="151" bestFit="1" customWidth="1"/>
    <col min="12394" max="12394" width="12" style="151" customWidth="1"/>
    <col min="12395" max="12395" width="8.140625" style="151" customWidth="1"/>
    <col min="12396" max="12396" width="11.140625" style="151" customWidth="1"/>
    <col min="12397" max="12397" width="8.28515625" style="151" customWidth="1"/>
    <col min="12398" max="12398" width="9.85546875" style="151" customWidth="1"/>
    <col min="12399" max="12399" width="8" style="151" customWidth="1"/>
    <col min="12400" max="12400" width="9.85546875" style="151" customWidth="1"/>
    <col min="12401" max="12401" width="6" style="151" customWidth="1"/>
    <col min="12402" max="12402" width="11.140625" style="151" customWidth="1"/>
    <col min="12403" max="12403" width="6.85546875" style="151" customWidth="1"/>
    <col min="12404" max="12404" width="11.7109375" style="151" customWidth="1"/>
    <col min="12405" max="12405" width="7.140625" style="151" customWidth="1"/>
    <col min="12406" max="12406" width="9" style="151" customWidth="1"/>
    <col min="12407" max="12407" width="7.140625" style="151" customWidth="1"/>
    <col min="12408" max="12408" width="12" style="151" customWidth="1"/>
    <col min="12409" max="12409" width="12.7109375" style="151" customWidth="1"/>
    <col min="12410" max="12421" width="11.140625" style="151" bestFit="1" customWidth="1"/>
    <col min="12422" max="12422" width="12" style="151" bestFit="1" customWidth="1"/>
    <col min="12423" max="12423" width="10" style="151" bestFit="1" customWidth="1"/>
    <col min="12424" max="12442" width="12.7109375" style="151" customWidth="1"/>
    <col min="12443" max="12453" width="9.85546875" style="151" bestFit="1" customWidth="1"/>
    <col min="12454" max="12454" width="11.140625" style="151" bestFit="1" customWidth="1"/>
    <col min="12455" max="12469" width="9.140625" style="151"/>
    <col min="12470" max="12470" width="9.85546875" style="151" bestFit="1" customWidth="1"/>
    <col min="12471" max="12485" width="9.140625" style="151"/>
    <col min="12486" max="12486" width="9.85546875" style="151" bestFit="1" customWidth="1"/>
    <col min="12487" max="12501" width="9.140625" style="151"/>
    <col min="12502" max="12502" width="9.85546875" style="151" bestFit="1" customWidth="1"/>
    <col min="12503" max="12517" width="9.140625" style="151"/>
    <col min="12518" max="12518" width="9.85546875" style="151" bestFit="1" customWidth="1"/>
    <col min="12519" max="12520" width="9.140625" style="151"/>
    <col min="12521" max="12521" width="11" style="151" bestFit="1" customWidth="1"/>
    <col min="12522" max="12526" width="11.140625" style="151" bestFit="1" customWidth="1"/>
    <col min="12527" max="12527" width="9.85546875" style="151" bestFit="1" customWidth="1"/>
    <col min="12528" max="12532" width="11.140625" style="151" bestFit="1" customWidth="1"/>
    <col min="12533" max="12533" width="12" style="151" bestFit="1" customWidth="1"/>
    <col min="12534" max="12534" width="11" style="151" bestFit="1" customWidth="1"/>
    <col min="12535" max="12647" width="9.140625" style="151"/>
    <col min="12648" max="12648" width="8.28515625" style="151" bestFit="1" customWidth="1"/>
    <col min="12649" max="12649" width="26" style="151" bestFit="1" customWidth="1"/>
    <col min="12650" max="12650" width="12" style="151" customWidth="1"/>
    <col min="12651" max="12651" width="8.140625" style="151" customWidth="1"/>
    <col min="12652" max="12652" width="11.140625" style="151" customWidth="1"/>
    <col min="12653" max="12653" width="8.28515625" style="151" customWidth="1"/>
    <col min="12654" max="12654" width="9.85546875" style="151" customWidth="1"/>
    <col min="12655" max="12655" width="8" style="151" customWidth="1"/>
    <col min="12656" max="12656" width="9.85546875" style="151" customWidth="1"/>
    <col min="12657" max="12657" width="6" style="151" customWidth="1"/>
    <col min="12658" max="12658" width="11.140625" style="151" customWidth="1"/>
    <col min="12659" max="12659" width="6.85546875" style="151" customWidth="1"/>
    <col min="12660" max="12660" width="11.7109375" style="151" customWidth="1"/>
    <col min="12661" max="12661" width="7.140625" style="151" customWidth="1"/>
    <col min="12662" max="12662" width="9" style="151" customWidth="1"/>
    <col min="12663" max="12663" width="7.140625" style="151" customWidth="1"/>
    <col min="12664" max="12664" width="12" style="151" customWidth="1"/>
    <col min="12665" max="12665" width="12.7109375" style="151" customWidth="1"/>
    <col min="12666" max="12677" width="11.140625" style="151" bestFit="1" customWidth="1"/>
    <col min="12678" max="12678" width="12" style="151" bestFit="1" customWidth="1"/>
    <col min="12679" max="12679" width="10" style="151" bestFit="1" customWidth="1"/>
    <col min="12680" max="12698" width="12.7109375" style="151" customWidth="1"/>
    <col min="12699" max="12709" width="9.85546875" style="151" bestFit="1" customWidth="1"/>
    <col min="12710" max="12710" width="11.140625" style="151" bestFit="1" customWidth="1"/>
    <col min="12711" max="12725" width="9.140625" style="151"/>
    <col min="12726" max="12726" width="9.85546875" style="151" bestFit="1" customWidth="1"/>
    <col min="12727" max="12741" width="9.140625" style="151"/>
    <col min="12742" max="12742" width="9.85546875" style="151" bestFit="1" customWidth="1"/>
    <col min="12743" max="12757" width="9.140625" style="151"/>
    <col min="12758" max="12758" width="9.85546875" style="151" bestFit="1" customWidth="1"/>
    <col min="12759" max="12773" width="9.140625" style="151"/>
    <col min="12774" max="12774" width="9.85546875" style="151" bestFit="1" customWidth="1"/>
    <col min="12775" max="12776" width="9.140625" style="151"/>
    <col min="12777" max="12777" width="11" style="151" bestFit="1" customWidth="1"/>
    <col min="12778" max="12782" width="11.140625" style="151" bestFit="1" customWidth="1"/>
    <col min="12783" max="12783" width="9.85546875" style="151" bestFit="1" customWidth="1"/>
    <col min="12784" max="12788" width="11.140625" style="151" bestFit="1" customWidth="1"/>
    <col min="12789" max="12789" width="12" style="151" bestFit="1" customWidth="1"/>
    <col min="12790" max="12790" width="11" style="151" bestFit="1" customWidth="1"/>
    <col min="12791" max="12903" width="9.140625" style="151"/>
    <col min="12904" max="12904" width="8.28515625" style="151" bestFit="1" customWidth="1"/>
    <col min="12905" max="12905" width="26" style="151" bestFit="1" customWidth="1"/>
    <col min="12906" max="12906" width="12" style="151" customWidth="1"/>
    <col min="12907" max="12907" width="8.140625" style="151" customWidth="1"/>
    <col min="12908" max="12908" width="11.140625" style="151" customWidth="1"/>
    <col min="12909" max="12909" width="8.28515625" style="151" customWidth="1"/>
    <col min="12910" max="12910" width="9.85546875" style="151" customWidth="1"/>
    <col min="12911" max="12911" width="8" style="151" customWidth="1"/>
    <col min="12912" max="12912" width="9.85546875" style="151" customWidth="1"/>
    <col min="12913" max="12913" width="6" style="151" customWidth="1"/>
    <col min="12914" max="12914" width="11.140625" style="151" customWidth="1"/>
    <col min="12915" max="12915" width="6.85546875" style="151" customWidth="1"/>
    <col min="12916" max="12916" width="11.7109375" style="151" customWidth="1"/>
    <col min="12917" max="12917" width="7.140625" style="151" customWidth="1"/>
    <col min="12918" max="12918" width="9" style="151" customWidth="1"/>
    <col min="12919" max="12919" width="7.140625" style="151" customWidth="1"/>
    <col min="12920" max="12920" width="12" style="151" customWidth="1"/>
    <col min="12921" max="12921" width="12.7109375" style="151" customWidth="1"/>
    <col min="12922" max="12933" width="11.140625" style="151" bestFit="1" customWidth="1"/>
    <col min="12934" max="12934" width="12" style="151" bestFit="1" customWidth="1"/>
    <col min="12935" max="12935" width="10" style="151" bestFit="1" customWidth="1"/>
    <col min="12936" max="12954" width="12.7109375" style="151" customWidth="1"/>
    <col min="12955" max="12965" width="9.85546875" style="151" bestFit="1" customWidth="1"/>
    <col min="12966" max="12966" width="11.140625" style="151" bestFit="1" customWidth="1"/>
    <col min="12967" max="12981" width="9.140625" style="151"/>
    <col min="12982" max="12982" width="9.85546875" style="151" bestFit="1" customWidth="1"/>
    <col min="12983" max="12997" width="9.140625" style="151"/>
    <col min="12998" max="12998" width="9.85546875" style="151" bestFit="1" customWidth="1"/>
    <col min="12999" max="13013" width="9.140625" style="151"/>
    <col min="13014" max="13014" width="9.85546875" style="151" bestFit="1" customWidth="1"/>
    <col min="13015" max="13029" width="9.140625" style="151"/>
    <col min="13030" max="13030" width="9.85546875" style="151" bestFit="1" customWidth="1"/>
    <col min="13031" max="13032" width="9.140625" style="151"/>
    <col min="13033" max="13033" width="11" style="151" bestFit="1" customWidth="1"/>
    <col min="13034" max="13038" width="11.140625" style="151" bestFit="1" customWidth="1"/>
    <col min="13039" max="13039" width="9.85546875" style="151" bestFit="1" customWidth="1"/>
    <col min="13040" max="13044" width="11.140625" style="151" bestFit="1" customWidth="1"/>
    <col min="13045" max="13045" width="12" style="151" bestFit="1" customWidth="1"/>
    <col min="13046" max="13046" width="11" style="151" bestFit="1" customWidth="1"/>
    <col min="13047" max="13159" width="9.140625" style="151"/>
    <col min="13160" max="13160" width="8.28515625" style="151" bestFit="1" customWidth="1"/>
    <col min="13161" max="13161" width="26" style="151" bestFit="1" customWidth="1"/>
    <col min="13162" max="13162" width="12" style="151" customWidth="1"/>
    <col min="13163" max="13163" width="8.140625" style="151" customWidth="1"/>
    <col min="13164" max="13164" width="11.140625" style="151" customWidth="1"/>
    <col min="13165" max="13165" width="8.28515625" style="151" customWidth="1"/>
    <col min="13166" max="13166" width="9.85546875" style="151" customWidth="1"/>
    <col min="13167" max="13167" width="8" style="151" customWidth="1"/>
    <col min="13168" max="13168" width="9.85546875" style="151" customWidth="1"/>
    <col min="13169" max="13169" width="6" style="151" customWidth="1"/>
    <col min="13170" max="13170" width="11.140625" style="151" customWidth="1"/>
    <col min="13171" max="13171" width="6.85546875" style="151" customWidth="1"/>
    <col min="13172" max="13172" width="11.7109375" style="151" customWidth="1"/>
    <col min="13173" max="13173" width="7.140625" style="151" customWidth="1"/>
    <col min="13174" max="13174" width="9" style="151" customWidth="1"/>
    <col min="13175" max="13175" width="7.140625" style="151" customWidth="1"/>
    <col min="13176" max="13176" width="12" style="151" customWidth="1"/>
    <col min="13177" max="13177" width="12.7109375" style="151" customWidth="1"/>
    <col min="13178" max="13189" width="11.140625" style="151" bestFit="1" customWidth="1"/>
    <col min="13190" max="13190" width="12" style="151" bestFit="1" customWidth="1"/>
    <col min="13191" max="13191" width="10" style="151" bestFit="1" customWidth="1"/>
    <col min="13192" max="13210" width="12.7109375" style="151" customWidth="1"/>
    <col min="13211" max="13221" width="9.85546875" style="151" bestFit="1" customWidth="1"/>
    <col min="13222" max="13222" width="11.140625" style="151" bestFit="1" customWidth="1"/>
    <col min="13223" max="13237" width="9.140625" style="151"/>
    <col min="13238" max="13238" width="9.85546875" style="151" bestFit="1" customWidth="1"/>
    <col min="13239" max="13253" width="9.140625" style="151"/>
    <col min="13254" max="13254" width="9.85546875" style="151" bestFit="1" customWidth="1"/>
    <col min="13255" max="13269" width="9.140625" style="151"/>
    <col min="13270" max="13270" width="9.85546875" style="151" bestFit="1" customWidth="1"/>
    <col min="13271" max="13285" width="9.140625" style="151"/>
    <col min="13286" max="13286" width="9.85546875" style="151" bestFit="1" customWidth="1"/>
    <col min="13287" max="13288" width="9.140625" style="151"/>
    <col min="13289" max="13289" width="11" style="151" bestFit="1" customWidth="1"/>
    <col min="13290" max="13294" width="11.140625" style="151" bestFit="1" customWidth="1"/>
    <col min="13295" max="13295" width="9.85546875" style="151" bestFit="1" customWidth="1"/>
    <col min="13296" max="13300" width="11.140625" style="151" bestFit="1" customWidth="1"/>
    <col min="13301" max="13301" width="12" style="151" bestFit="1" customWidth="1"/>
    <col min="13302" max="13302" width="11" style="151" bestFit="1" customWidth="1"/>
    <col min="13303" max="13415" width="9.140625" style="151"/>
    <col min="13416" max="13416" width="8.28515625" style="151" bestFit="1" customWidth="1"/>
    <col min="13417" max="13417" width="26" style="151" bestFit="1" customWidth="1"/>
    <col min="13418" max="13418" width="12" style="151" customWidth="1"/>
    <col min="13419" max="13419" width="8.140625" style="151" customWidth="1"/>
    <col min="13420" max="13420" width="11.140625" style="151" customWidth="1"/>
    <col min="13421" max="13421" width="8.28515625" style="151" customWidth="1"/>
    <col min="13422" max="13422" width="9.85546875" style="151" customWidth="1"/>
    <col min="13423" max="13423" width="8" style="151" customWidth="1"/>
    <col min="13424" max="13424" width="9.85546875" style="151" customWidth="1"/>
    <col min="13425" max="13425" width="6" style="151" customWidth="1"/>
    <col min="13426" max="13426" width="11.140625" style="151" customWidth="1"/>
    <col min="13427" max="13427" width="6.85546875" style="151" customWidth="1"/>
    <col min="13428" max="13428" width="11.7109375" style="151" customWidth="1"/>
    <col min="13429" max="13429" width="7.140625" style="151" customWidth="1"/>
    <col min="13430" max="13430" width="9" style="151" customWidth="1"/>
    <col min="13431" max="13431" width="7.140625" style="151" customWidth="1"/>
    <col min="13432" max="13432" width="12" style="151" customWidth="1"/>
    <col min="13433" max="13433" width="12.7109375" style="151" customWidth="1"/>
    <col min="13434" max="13445" width="11.140625" style="151" bestFit="1" customWidth="1"/>
    <col min="13446" max="13446" width="12" style="151" bestFit="1" customWidth="1"/>
    <col min="13447" max="13447" width="10" style="151" bestFit="1" customWidth="1"/>
    <col min="13448" max="13466" width="12.7109375" style="151" customWidth="1"/>
    <col min="13467" max="13477" width="9.85546875" style="151" bestFit="1" customWidth="1"/>
    <col min="13478" max="13478" width="11.140625" style="151" bestFit="1" customWidth="1"/>
    <col min="13479" max="13493" width="9.140625" style="151"/>
    <col min="13494" max="13494" width="9.85546875" style="151" bestFit="1" customWidth="1"/>
    <col min="13495" max="13509" width="9.140625" style="151"/>
    <col min="13510" max="13510" width="9.85546875" style="151" bestFit="1" customWidth="1"/>
    <col min="13511" max="13525" width="9.140625" style="151"/>
    <col min="13526" max="13526" width="9.85546875" style="151" bestFit="1" customWidth="1"/>
    <col min="13527" max="13541" width="9.140625" style="151"/>
    <col min="13542" max="13542" width="9.85546875" style="151" bestFit="1" customWidth="1"/>
    <col min="13543" max="13544" width="9.140625" style="151"/>
    <col min="13545" max="13545" width="11" style="151" bestFit="1" customWidth="1"/>
    <col min="13546" max="13550" width="11.140625" style="151" bestFit="1" customWidth="1"/>
    <col min="13551" max="13551" width="9.85546875" style="151" bestFit="1" customWidth="1"/>
    <col min="13552" max="13556" width="11.140625" style="151" bestFit="1" customWidth="1"/>
    <col min="13557" max="13557" width="12" style="151" bestFit="1" customWidth="1"/>
    <col min="13558" max="13558" width="11" style="151" bestFit="1" customWidth="1"/>
    <col min="13559" max="13671" width="9.140625" style="151"/>
    <col min="13672" max="13672" width="8.28515625" style="151" bestFit="1" customWidth="1"/>
    <col min="13673" max="13673" width="26" style="151" bestFit="1" customWidth="1"/>
    <col min="13674" max="13674" width="12" style="151" customWidth="1"/>
    <col min="13675" max="13675" width="8.140625" style="151" customWidth="1"/>
    <col min="13676" max="13676" width="11.140625" style="151" customWidth="1"/>
    <col min="13677" max="13677" width="8.28515625" style="151" customWidth="1"/>
    <col min="13678" max="13678" width="9.85546875" style="151" customWidth="1"/>
    <col min="13679" max="13679" width="8" style="151" customWidth="1"/>
    <col min="13680" max="13680" width="9.85546875" style="151" customWidth="1"/>
    <col min="13681" max="13681" width="6" style="151" customWidth="1"/>
    <col min="13682" max="13682" width="11.140625" style="151" customWidth="1"/>
    <col min="13683" max="13683" width="6.85546875" style="151" customWidth="1"/>
    <col min="13684" max="13684" width="11.7109375" style="151" customWidth="1"/>
    <col min="13685" max="13685" width="7.140625" style="151" customWidth="1"/>
    <col min="13686" max="13686" width="9" style="151" customWidth="1"/>
    <col min="13687" max="13687" width="7.140625" style="151" customWidth="1"/>
    <col min="13688" max="13688" width="12" style="151" customWidth="1"/>
    <col min="13689" max="13689" width="12.7109375" style="151" customWidth="1"/>
    <col min="13690" max="13701" width="11.140625" style="151" bestFit="1" customWidth="1"/>
    <col min="13702" max="13702" width="12" style="151" bestFit="1" customWidth="1"/>
    <col min="13703" max="13703" width="10" style="151" bestFit="1" customWidth="1"/>
    <col min="13704" max="13722" width="12.7109375" style="151" customWidth="1"/>
    <col min="13723" max="13733" width="9.85546875" style="151" bestFit="1" customWidth="1"/>
    <col min="13734" max="13734" width="11.140625" style="151" bestFit="1" customWidth="1"/>
    <col min="13735" max="13749" width="9.140625" style="151"/>
    <col min="13750" max="13750" width="9.85546875" style="151" bestFit="1" customWidth="1"/>
    <col min="13751" max="13765" width="9.140625" style="151"/>
    <col min="13766" max="13766" width="9.85546875" style="151" bestFit="1" customWidth="1"/>
    <col min="13767" max="13781" width="9.140625" style="151"/>
    <col min="13782" max="13782" width="9.85546875" style="151" bestFit="1" customWidth="1"/>
    <col min="13783" max="13797" width="9.140625" style="151"/>
    <col min="13798" max="13798" width="9.85546875" style="151" bestFit="1" customWidth="1"/>
    <col min="13799" max="13800" width="9.140625" style="151"/>
    <col min="13801" max="13801" width="11" style="151" bestFit="1" customWidth="1"/>
    <col min="13802" max="13806" width="11.140625" style="151" bestFit="1" customWidth="1"/>
    <col min="13807" max="13807" width="9.85546875" style="151" bestFit="1" customWidth="1"/>
    <col min="13808" max="13812" width="11.140625" style="151" bestFit="1" customWidth="1"/>
    <col min="13813" max="13813" width="12" style="151" bestFit="1" customWidth="1"/>
    <col min="13814" max="13814" width="11" style="151" bestFit="1" customWidth="1"/>
    <col min="13815" max="13927" width="9.140625" style="151"/>
    <col min="13928" max="13928" width="8.28515625" style="151" bestFit="1" customWidth="1"/>
    <col min="13929" max="13929" width="26" style="151" bestFit="1" customWidth="1"/>
    <col min="13930" max="13930" width="12" style="151" customWidth="1"/>
    <col min="13931" max="13931" width="8.140625" style="151" customWidth="1"/>
    <col min="13932" max="13932" width="11.140625" style="151" customWidth="1"/>
    <col min="13933" max="13933" width="8.28515625" style="151" customWidth="1"/>
    <col min="13934" max="13934" width="9.85546875" style="151" customWidth="1"/>
    <col min="13935" max="13935" width="8" style="151" customWidth="1"/>
    <col min="13936" max="13936" width="9.85546875" style="151" customWidth="1"/>
    <col min="13937" max="13937" width="6" style="151" customWidth="1"/>
    <col min="13938" max="13938" width="11.140625" style="151" customWidth="1"/>
    <col min="13939" max="13939" width="6.85546875" style="151" customWidth="1"/>
    <col min="13940" max="13940" width="11.7109375" style="151" customWidth="1"/>
    <col min="13941" max="13941" width="7.140625" style="151" customWidth="1"/>
    <col min="13942" max="13942" width="9" style="151" customWidth="1"/>
    <col min="13943" max="13943" width="7.140625" style="151" customWidth="1"/>
    <col min="13944" max="13944" width="12" style="151" customWidth="1"/>
    <col min="13945" max="13945" width="12.7109375" style="151" customWidth="1"/>
    <col min="13946" max="13957" width="11.140625" style="151" bestFit="1" customWidth="1"/>
    <col min="13958" max="13958" width="12" style="151" bestFit="1" customWidth="1"/>
    <col min="13959" max="13959" width="10" style="151" bestFit="1" customWidth="1"/>
    <col min="13960" max="13978" width="12.7109375" style="151" customWidth="1"/>
    <col min="13979" max="13989" width="9.85546875" style="151" bestFit="1" customWidth="1"/>
    <col min="13990" max="13990" width="11.140625" style="151" bestFit="1" customWidth="1"/>
    <col min="13991" max="14005" width="9.140625" style="151"/>
    <col min="14006" max="14006" width="9.85546875" style="151" bestFit="1" customWidth="1"/>
    <col min="14007" max="14021" width="9.140625" style="151"/>
    <col min="14022" max="14022" width="9.85546875" style="151" bestFit="1" customWidth="1"/>
    <col min="14023" max="14037" width="9.140625" style="151"/>
    <col min="14038" max="14038" width="9.85546875" style="151" bestFit="1" customWidth="1"/>
    <col min="14039" max="14053" width="9.140625" style="151"/>
    <col min="14054" max="14054" width="9.85546875" style="151" bestFit="1" customWidth="1"/>
    <col min="14055" max="14056" width="9.140625" style="151"/>
    <col min="14057" max="14057" width="11" style="151" bestFit="1" customWidth="1"/>
    <col min="14058" max="14062" width="11.140625" style="151" bestFit="1" customWidth="1"/>
    <col min="14063" max="14063" width="9.85546875" style="151" bestFit="1" customWidth="1"/>
    <col min="14064" max="14068" width="11.140625" style="151" bestFit="1" customWidth="1"/>
    <col min="14069" max="14069" width="12" style="151" bestFit="1" customWidth="1"/>
    <col min="14070" max="14070" width="11" style="151" bestFit="1" customWidth="1"/>
    <col min="14071" max="14183" width="9.140625" style="151"/>
    <col min="14184" max="14184" width="8.28515625" style="151" bestFit="1" customWidth="1"/>
    <col min="14185" max="14185" width="26" style="151" bestFit="1" customWidth="1"/>
    <col min="14186" max="14186" width="12" style="151" customWidth="1"/>
    <col min="14187" max="14187" width="8.140625" style="151" customWidth="1"/>
    <col min="14188" max="14188" width="11.140625" style="151" customWidth="1"/>
    <col min="14189" max="14189" width="8.28515625" style="151" customWidth="1"/>
    <col min="14190" max="14190" width="9.85546875" style="151" customWidth="1"/>
    <col min="14191" max="14191" width="8" style="151" customWidth="1"/>
    <col min="14192" max="14192" width="9.85546875" style="151" customWidth="1"/>
    <col min="14193" max="14193" width="6" style="151" customWidth="1"/>
    <col min="14194" max="14194" width="11.140625" style="151" customWidth="1"/>
    <col min="14195" max="14195" width="6.85546875" style="151" customWidth="1"/>
    <col min="14196" max="14196" width="11.7109375" style="151" customWidth="1"/>
    <col min="14197" max="14197" width="7.140625" style="151" customWidth="1"/>
    <col min="14198" max="14198" width="9" style="151" customWidth="1"/>
    <col min="14199" max="14199" width="7.140625" style="151" customWidth="1"/>
    <col min="14200" max="14200" width="12" style="151" customWidth="1"/>
    <col min="14201" max="14201" width="12.7109375" style="151" customWidth="1"/>
    <col min="14202" max="14213" width="11.140625" style="151" bestFit="1" customWidth="1"/>
    <col min="14214" max="14214" width="12" style="151" bestFit="1" customWidth="1"/>
    <col min="14215" max="14215" width="10" style="151" bestFit="1" customWidth="1"/>
    <col min="14216" max="14234" width="12.7109375" style="151" customWidth="1"/>
    <col min="14235" max="14245" width="9.85546875" style="151" bestFit="1" customWidth="1"/>
    <col min="14246" max="14246" width="11.140625" style="151" bestFit="1" customWidth="1"/>
    <col min="14247" max="14261" width="9.140625" style="151"/>
    <col min="14262" max="14262" width="9.85546875" style="151" bestFit="1" customWidth="1"/>
    <col min="14263" max="14277" width="9.140625" style="151"/>
    <col min="14278" max="14278" width="9.85546875" style="151" bestFit="1" customWidth="1"/>
    <col min="14279" max="14293" width="9.140625" style="151"/>
    <col min="14294" max="14294" width="9.85546875" style="151" bestFit="1" customWidth="1"/>
    <col min="14295" max="14309" width="9.140625" style="151"/>
    <col min="14310" max="14310" width="9.85546875" style="151" bestFit="1" customWidth="1"/>
    <col min="14311" max="14312" width="9.140625" style="151"/>
    <col min="14313" max="14313" width="11" style="151" bestFit="1" customWidth="1"/>
    <col min="14314" max="14318" width="11.140625" style="151" bestFit="1" customWidth="1"/>
    <col min="14319" max="14319" width="9.85546875" style="151" bestFit="1" customWidth="1"/>
    <col min="14320" max="14324" width="11.140625" style="151" bestFit="1" customWidth="1"/>
    <col min="14325" max="14325" width="12" style="151" bestFit="1" customWidth="1"/>
    <col min="14326" max="14326" width="11" style="151" bestFit="1" customWidth="1"/>
    <col min="14327" max="14439" width="9.140625" style="151"/>
    <col min="14440" max="14440" width="8.28515625" style="151" bestFit="1" customWidth="1"/>
    <col min="14441" max="14441" width="26" style="151" bestFit="1" customWidth="1"/>
    <col min="14442" max="14442" width="12" style="151" customWidth="1"/>
    <col min="14443" max="14443" width="8.140625" style="151" customWidth="1"/>
    <col min="14444" max="14444" width="11.140625" style="151" customWidth="1"/>
    <col min="14445" max="14445" width="8.28515625" style="151" customWidth="1"/>
    <col min="14446" max="14446" width="9.85546875" style="151" customWidth="1"/>
    <col min="14447" max="14447" width="8" style="151" customWidth="1"/>
    <col min="14448" max="14448" width="9.85546875" style="151" customWidth="1"/>
    <col min="14449" max="14449" width="6" style="151" customWidth="1"/>
    <col min="14450" max="14450" width="11.140625" style="151" customWidth="1"/>
    <col min="14451" max="14451" width="6.85546875" style="151" customWidth="1"/>
    <col min="14452" max="14452" width="11.7109375" style="151" customWidth="1"/>
    <col min="14453" max="14453" width="7.140625" style="151" customWidth="1"/>
    <col min="14454" max="14454" width="9" style="151" customWidth="1"/>
    <col min="14455" max="14455" width="7.140625" style="151" customWidth="1"/>
    <col min="14456" max="14456" width="12" style="151" customWidth="1"/>
    <col min="14457" max="14457" width="12.7109375" style="151" customWidth="1"/>
    <col min="14458" max="14469" width="11.140625" style="151" bestFit="1" customWidth="1"/>
    <col min="14470" max="14470" width="12" style="151" bestFit="1" customWidth="1"/>
    <col min="14471" max="14471" width="10" style="151" bestFit="1" customWidth="1"/>
    <col min="14472" max="14490" width="12.7109375" style="151" customWidth="1"/>
    <col min="14491" max="14501" width="9.85546875" style="151" bestFit="1" customWidth="1"/>
    <col min="14502" max="14502" width="11.140625" style="151" bestFit="1" customWidth="1"/>
    <col min="14503" max="14517" width="9.140625" style="151"/>
    <col min="14518" max="14518" width="9.85546875" style="151" bestFit="1" customWidth="1"/>
    <col min="14519" max="14533" width="9.140625" style="151"/>
    <col min="14534" max="14534" width="9.85546875" style="151" bestFit="1" customWidth="1"/>
    <col min="14535" max="14549" width="9.140625" style="151"/>
    <col min="14550" max="14550" width="9.85546875" style="151" bestFit="1" customWidth="1"/>
    <col min="14551" max="14565" width="9.140625" style="151"/>
    <col min="14566" max="14566" width="9.85546875" style="151" bestFit="1" customWidth="1"/>
    <col min="14567" max="14568" width="9.140625" style="151"/>
    <col min="14569" max="14569" width="11" style="151" bestFit="1" customWidth="1"/>
    <col min="14570" max="14574" width="11.140625" style="151" bestFit="1" customWidth="1"/>
    <col min="14575" max="14575" width="9.85546875" style="151" bestFit="1" customWidth="1"/>
    <col min="14576" max="14580" width="11.140625" style="151" bestFit="1" customWidth="1"/>
    <col min="14581" max="14581" width="12" style="151" bestFit="1" customWidth="1"/>
    <col min="14582" max="14582" width="11" style="151" bestFit="1" customWidth="1"/>
    <col min="14583" max="14695" width="9.140625" style="151"/>
    <col min="14696" max="14696" width="8.28515625" style="151" bestFit="1" customWidth="1"/>
    <col min="14697" max="14697" width="26" style="151" bestFit="1" customWidth="1"/>
    <col min="14698" max="14698" width="12" style="151" customWidth="1"/>
    <col min="14699" max="14699" width="8.140625" style="151" customWidth="1"/>
    <col min="14700" max="14700" width="11.140625" style="151" customWidth="1"/>
    <col min="14701" max="14701" width="8.28515625" style="151" customWidth="1"/>
    <col min="14702" max="14702" width="9.85546875" style="151" customWidth="1"/>
    <col min="14703" max="14703" width="8" style="151" customWidth="1"/>
    <col min="14704" max="14704" width="9.85546875" style="151" customWidth="1"/>
    <col min="14705" max="14705" width="6" style="151" customWidth="1"/>
    <col min="14706" max="14706" width="11.140625" style="151" customWidth="1"/>
    <col min="14707" max="14707" width="6.85546875" style="151" customWidth="1"/>
    <col min="14708" max="14708" width="11.7109375" style="151" customWidth="1"/>
    <col min="14709" max="14709" width="7.140625" style="151" customWidth="1"/>
    <col min="14710" max="14710" width="9" style="151" customWidth="1"/>
    <col min="14711" max="14711" width="7.140625" style="151" customWidth="1"/>
    <col min="14712" max="14712" width="12" style="151" customWidth="1"/>
    <col min="14713" max="14713" width="12.7109375" style="151" customWidth="1"/>
    <col min="14714" max="14725" width="11.140625" style="151" bestFit="1" customWidth="1"/>
    <col min="14726" max="14726" width="12" style="151" bestFit="1" customWidth="1"/>
    <col min="14727" max="14727" width="10" style="151" bestFit="1" customWidth="1"/>
    <col min="14728" max="14746" width="12.7109375" style="151" customWidth="1"/>
    <col min="14747" max="14757" width="9.85546875" style="151" bestFit="1" customWidth="1"/>
    <col min="14758" max="14758" width="11.140625" style="151" bestFit="1" customWidth="1"/>
    <col min="14759" max="14773" width="9.140625" style="151"/>
    <col min="14774" max="14774" width="9.85546875" style="151" bestFit="1" customWidth="1"/>
    <col min="14775" max="14789" width="9.140625" style="151"/>
    <col min="14790" max="14790" width="9.85546875" style="151" bestFit="1" customWidth="1"/>
    <col min="14791" max="14805" width="9.140625" style="151"/>
    <col min="14806" max="14806" width="9.85546875" style="151" bestFit="1" customWidth="1"/>
    <col min="14807" max="14821" width="9.140625" style="151"/>
    <col min="14822" max="14822" width="9.85546875" style="151" bestFit="1" customWidth="1"/>
    <col min="14823" max="14824" width="9.140625" style="151"/>
    <col min="14825" max="14825" width="11" style="151" bestFit="1" customWidth="1"/>
    <col min="14826" max="14830" width="11.140625" style="151" bestFit="1" customWidth="1"/>
    <col min="14831" max="14831" width="9.85546875" style="151" bestFit="1" customWidth="1"/>
    <col min="14832" max="14836" width="11.140625" style="151" bestFit="1" customWidth="1"/>
    <col min="14837" max="14837" width="12" style="151" bestFit="1" customWidth="1"/>
    <col min="14838" max="14838" width="11" style="151" bestFit="1" customWidth="1"/>
    <col min="14839" max="14951" width="9.140625" style="151"/>
    <col min="14952" max="14952" width="8.28515625" style="151" bestFit="1" customWidth="1"/>
    <col min="14953" max="14953" width="26" style="151" bestFit="1" customWidth="1"/>
    <col min="14954" max="14954" width="12" style="151" customWidth="1"/>
    <col min="14955" max="14955" width="8.140625" style="151" customWidth="1"/>
    <col min="14956" max="14956" width="11.140625" style="151" customWidth="1"/>
    <col min="14957" max="14957" width="8.28515625" style="151" customWidth="1"/>
    <col min="14958" max="14958" width="9.85546875" style="151" customWidth="1"/>
    <col min="14959" max="14959" width="8" style="151" customWidth="1"/>
    <col min="14960" max="14960" width="9.85546875" style="151" customWidth="1"/>
    <col min="14961" max="14961" width="6" style="151" customWidth="1"/>
    <col min="14962" max="14962" width="11.140625" style="151" customWidth="1"/>
    <col min="14963" max="14963" width="6.85546875" style="151" customWidth="1"/>
    <col min="14964" max="14964" width="11.7109375" style="151" customWidth="1"/>
    <col min="14965" max="14965" width="7.140625" style="151" customWidth="1"/>
    <col min="14966" max="14966" width="9" style="151" customWidth="1"/>
    <col min="14967" max="14967" width="7.140625" style="151" customWidth="1"/>
    <col min="14968" max="14968" width="12" style="151" customWidth="1"/>
    <col min="14969" max="14969" width="12.7109375" style="151" customWidth="1"/>
    <col min="14970" max="14981" width="11.140625" style="151" bestFit="1" customWidth="1"/>
    <col min="14982" max="14982" width="12" style="151" bestFit="1" customWidth="1"/>
    <col min="14983" max="14983" width="10" style="151" bestFit="1" customWidth="1"/>
    <col min="14984" max="15002" width="12.7109375" style="151" customWidth="1"/>
    <col min="15003" max="15013" width="9.85546875" style="151" bestFit="1" customWidth="1"/>
    <col min="15014" max="15014" width="11.140625" style="151" bestFit="1" customWidth="1"/>
    <col min="15015" max="15029" width="9.140625" style="151"/>
    <col min="15030" max="15030" width="9.85546875" style="151" bestFit="1" customWidth="1"/>
    <col min="15031" max="15045" width="9.140625" style="151"/>
    <col min="15046" max="15046" width="9.85546875" style="151" bestFit="1" customWidth="1"/>
    <col min="15047" max="15061" width="9.140625" style="151"/>
    <col min="15062" max="15062" width="9.85546875" style="151" bestFit="1" customWidth="1"/>
    <col min="15063" max="15077" width="9.140625" style="151"/>
    <col min="15078" max="15078" width="9.85546875" style="151" bestFit="1" customWidth="1"/>
    <col min="15079" max="15080" width="9.140625" style="151"/>
    <col min="15081" max="15081" width="11" style="151" bestFit="1" customWidth="1"/>
    <col min="15082" max="15086" width="11.140625" style="151" bestFit="1" customWidth="1"/>
    <col min="15087" max="15087" width="9.85546875" style="151" bestFit="1" customWidth="1"/>
    <col min="15088" max="15092" width="11.140625" style="151" bestFit="1" customWidth="1"/>
    <col min="15093" max="15093" width="12" style="151" bestFit="1" customWidth="1"/>
    <col min="15094" max="15094" width="11" style="151" bestFit="1" customWidth="1"/>
    <col min="15095" max="15207" width="9.140625" style="151"/>
    <col min="15208" max="15208" width="8.28515625" style="151" bestFit="1" customWidth="1"/>
    <col min="15209" max="15209" width="26" style="151" bestFit="1" customWidth="1"/>
    <col min="15210" max="15210" width="12" style="151" customWidth="1"/>
    <col min="15211" max="15211" width="8.140625" style="151" customWidth="1"/>
    <col min="15212" max="15212" width="11.140625" style="151" customWidth="1"/>
    <col min="15213" max="15213" width="8.28515625" style="151" customWidth="1"/>
    <col min="15214" max="15214" width="9.85546875" style="151" customWidth="1"/>
    <col min="15215" max="15215" width="8" style="151" customWidth="1"/>
    <col min="15216" max="15216" width="9.85546875" style="151" customWidth="1"/>
    <col min="15217" max="15217" width="6" style="151" customWidth="1"/>
    <col min="15218" max="15218" width="11.140625" style="151" customWidth="1"/>
    <col min="15219" max="15219" width="6.85546875" style="151" customWidth="1"/>
    <col min="15220" max="15220" width="11.7109375" style="151" customWidth="1"/>
    <col min="15221" max="15221" width="7.140625" style="151" customWidth="1"/>
    <col min="15222" max="15222" width="9" style="151" customWidth="1"/>
    <col min="15223" max="15223" width="7.140625" style="151" customWidth="1"/>
    <col min="15224" max="15224" width="12" style="151" customWidth="1"/>
    <col min="15225" max="15225" width="12.7109375" style="151" customWidth="1"/>
    <col min="15226" max="15237" width="11.140625" style="151" bestFit="1" customWidth="1"/>
    <col min="15238" max="15238" width="12" style="151" bestFit="1" customWidth="1"/>
    <col min="15239" max="15239" width="10" style="151" bestFit="1" customWidth="1"/>
    <col min="15240" max="15258" width="12.7109375" style="151" customWidth="1"/>
    <col min="15259" max="15269" width="9.85546875" style="151" bestFit="1" customWidth="1"/>
    <col min="15270" max="15270" width="11.140625" style="151" bestFit="1" customWidth="1"/>
    <col min="15271" max="15285" width="9.140625" style="151"/>
    <col min="15286" max="15286" width="9.85546875" style="151" bestFit="1" customWidth="1"/>
    <col min="15287" max="15301" width="9.140625" style="151"/>
    <col min="15302" max="15302" width="9.85546875" style="151" bestFit="1" customWidth="1"/>
    <col min="15303" max="15317" width="9.140625" style="151"/>
    <col min="15318" max="15318" width="9.85546875" style="151" bestFit="1" customWidth="1"/>
    <col min="15319" max="15333" width="9.140625" style="151"/>
    <col min="15334" max="15334" width="9.85546875" style="151" bestFit="1" customWidth="1"/>
    <col min="15335" max="15336" width="9.140625" style="151"/>
    <col min="15337" max="15337" width="11" style="151" bestFit="1" customWidth="1"/>
    <col min="15338" max="15342" width="11.140625" style="151" bestFit="1" customWidth="1"/>
    <col min="15343" max="15343" width="9.85546875" style="151" bestFit="1" customWidth="1"/>
    <col min="15344" max="15348" width="11.140625" style="151" bestFit="1" customWidth="1"/>
    <col min="15349" max="15349" width="12" style="151" bestFit="1" customWidth="1"/>
    <col min="15350" max="15350" width="11" style="151" bestFit="1" customWidth="1"/>
    <col min="15351" max="15463" width="9.140625" style="151"/>
    <col min="15464" max="15464" width="8.28515625" style="151" bestFit="1" customWidth="1"/>
    <col min="15465" max="15465" width="26" style="151" bestFit="1" customWidth="1"/>
    <col min="15466" max="15466" width="12" style="151" customWidth="1"/>
    <col min="15467" max="15467" width="8.140625" style="151" customWidth="1"/>
    <col min="15468" max="15468" width="11.140625" style="151" customWidth="1"/>
    <col min="15469" max="15469" width="8.28515625" style="151" customWidth="1"/>
    <col min="15470" max="15470" width="9.85546875" style="151" customWidth="1"/>
    <col min="15471" max="15471" width="8" style="151" customWidth="1"/>
    <col min="15472" max="15472" width="9.85546875" style="151" customWidth="1"/>
    <col min="15473" max="15473" width="6" style="151" customWidth="1"/>
    <col min="15474" max="15474" width="11.140625" style="151" customWidth="1"/>
    <col min="15475" max="15475" width="6.85546875" style="151" customWidth="1"/>
    <col min="15476" max="15476" width="11.7109375" style="151" customWidth="1"/>
    <col min="15477" max="15477" width="7.140625" style="151" customWidth="1"/>
    <col min="15478" max="15478" width="9" style="151" customWidth="1"/>
    <col min="15479" max="15479" width="7.140625" style="151" customWidth="1"/>
    <col min="15480" max="15480" width="12" style="151" customWidth="1"/>
    <col min="15481" max="15481" width="12.7109375" style="151" customWidth="1"/>
    <col min="15482" max="15493" width="11.140625" style="151" bestFit="1" customWidth="1"/>
    <col min="15494" max="15494" width="12" style="151" bestFit="1" customWidth="1"/>
    <col min="15495" max="15495" width="10" style="151" bestFit="1" customWidth="1"/>
    <col min="15496" max="15514" width="12.7109375" style="151" customWidth="1"/>
    <col min="15515" max="15525" width="9.85546875" style="151" bestFit="1" customWidth="1"/>
    <col min="15526" max="15526" width="11.140625" style="151" bestFit="1" customWidth="1"/>
    <col min="15527" max="15541" width="9.140625" style="151"/>
    <col min="15542" max="15542" width="9.85546875" style="151" bestFit="1" customWidth="1"/>
    <col min="15543" max="15557" width="9.140625" style="151"/>
    <col min="15558" max="15558" width="9.85546875" style="151" bestFit="1" customWidth="1"/>
    <col min="15559" max="15573" width="9.140625" style="151"/>
    <col min="15574" max="15574" width="9.85546875" style="151" bestFit="1" customWidth="1"/>
    <col min="15575" max="15589" width="9.140625" style="151"/>
    <col min="15590" max="15590" width="9.85546875" style="151" bestFit="1" customWidth="1"/>
    <col min="15591" max="15592" width="9.140625" style="151"/>
    <col min="15593" max="15593" width="11" style="151" bestFit="1" customWidth="1"/>
    <col min="15594" max="15598" width="11.140625" style="151" bestFit="1" customWidth="1"/>
    <col min="15599" max="15599" width="9.85546875" style="151" bestFit="1" customWidth="1"/>
    <col min="15600" max="15604" width="11.140625" style="151" bestFit="1" customWidth="1"/>
    <col min="15605" max="15605" width="12" style="151" bestFit="1" customWidth="1"/>
    <col min="15606" max="15606" width="11" style="151" bestFit="1" customWidth="1"/>
    <col min="15607" max="15719" width="9.140625" style="151"/>
    <col min="15720" max="15720" width="8.28515625" style="151" bestFit="1" customWidth="1"/>
    <col min="15721" max="15721" width="26" style="151" bestFit="1" customWidth="1"/>
    <col min="15722" max="15722" width="12" style="151" customWidth="1"/>
    <col min="15723" max="15723" width="8.140625" style="151" customWidth="1"/>
    <col min="15724" max="15724" width="11.140625" style="151" customWidth="1"/>
    <col min="15725" max="15725" width="8.28515625" style="151" customWidth="1"/>
    <col min="15726" max="15726" width="9.85546875" style="151" customWidth="1"/>
    <col min="15727" max="15727" width="8" style="151" customWidth="1"/>
    <col min="15728" max="15728" width="9.85546875" style="151" customWidth="1"/>
    <col min="15729" max="15729" width="6" style="151" customWidth="1"/>
    <col min="15730" max="15730" width="11.140625" style="151" customWidth="1"/>
    <col min="15731" max="15731" width="6.85546875" style="151" customWidth="1"/>
    <col min="15732" max="15732" width="11.7109375" style="151" customWidth="1"/>
    <col min="15733" max="15733" width="7.140625" style="151" customWidth="1"/>
    <col min="15734" max="15734" width="9" style="151" customWidth="1"/>
    <col min="15735" max="15735" width="7.140625" style="151" customWidth="1"/>
    <col min="15736" max="15736" width="12" style="151" customWidth="1"/>
    <col min="15737" max="15737" width="12.7109375" style="151" customWidth="1"/>
    <col min="15738" max="15749" width="11.140625" style="151" bestFit="1" customWidth="1"/>
    <col min="15750" max="15750" width="12" style="151" bestFit="1" customWidth="1"/>
    <col min="15751" max="15751" width="10" style="151" bestFit="1" customWidth="1"/>
    <col min="15752" max="15770" width="12.7109375" style="151" customWidth="1"/>
    <col min="15771" max="15781" width="9.85546875" style="151" bestFit="1" customWidth="1"/>
    <col min="15782" max="15782" width="11.140625" style="151" bestFit="1" customWidth="1"/>
    <col min="15783" max="15797" width="9.140625" style="151"/>
    <col min="15798" max="15798" width="9.85546875" style="151" bestFit="1" customWidth="1"/>
    <col min="15799" max="15813" width="9.140625" style="151"/>
    <col min="15814" max="15814" width="9.85546875" style="151" bestFit="1" customWidth="1"/>
    <col min="15815" max="15829" width="9.140625" style="151"/>
    <col min="15830" max="15830" width="9.85546875" style="151" bestFit="1" customWidth="1"/>
    <col min="15831" max="15845" width="9.140625" style="151"/>
    <col min="15846" max="15846" width="9.85546875" style="151" bestFit="1" customWidth="1"/>
    <col min="15847" max="15848" width="9.140625" style="151"/>
    <col min="15849" max="15849" width="11" style="151" bestFit="1" customWidth="1"/>
    <col min="15850" max="15854" width="11.140625" style="151" bestFit="1" customWidth="1"/>
    <col min="15855" max="15855" width="9.85546875" style="151" bestFit="1" customWidth="1"/>
    <col min="15856" max="15860" width="11.140625" style="151" bestFit="1" customWidth="1"/>
    <col min="15861" max="15861" width="12" style="151" bestFit="1" customWidth="1"/>
    <col min="15862" max="15862" width="11" style="151" bestFit="1" customWidth="1"/>
    <col min="15863" max="15975" width="9.140625" style="151"/>
    <col min="15976" max="15976" width="8.28515625" style="151" bestFit="1" customWidth="1"/>
    <col min="15977" max="15977" width="26" style="151" bestFit="1" customWidth="1"/>
    <col min="15978" max="15978" width="12" style="151" customWidth="1"/>
    <col min="15979" max="15979" width="8.140625" style="151" customWidth="1"/>
    <col min="15980" max="15980" width="11.140625" style="151" customWidth="1"/>
    <col min="15981" max="15981" width="8.28515625" style="151" customWidth="1"/>
    <col min="15982" max="15982" width="9.85546875" style="151" customWidth="1"/>
    <col min="15983" max="15983" width="8" style="151" customWidth="1"/>
    <col min="15984" max="15984" width="9.85546875" style="151" customWidth="1"/>
    <col min="15985" max="15985" width="6" style="151" customWidth="1"/>
    <col min="15986" max="15986" width="11.140625" style="151" customWidth="1"/>
    <col min="15987" max="15987" width="6.85546875" style="151" customWidth="1"/>
    <col min="15988" max="15988" width="11.7109375" style="151" customWidth="1"/>
    <col min="15989" max="15989" width="7.140625" style="151" customWidth="1"/>
    <col min="15990" max="15990" width="9" style="151" customWidth="1"/>
    <col min="15991" max="15991" width="7.140625" style="151" customWidth="1"/>
    <col min="15992" max="15992" width="12" style="151" customWidth="1"/>
    <col min="15993" max="15993" width="12.7109375" style="151" customWidth="1"/>
    <col min="15994" max="16005" width="11.140625" style="151" bestFit="1" customWidth="1"/>
    <col min="16006" max="16006" width="12" style="151" bestFit="1" customWidth="1"/>
    <col min="16007" max="16007" width="10" style="151" bestFit="1" customWidth="1"/>
    <col min="16008" max="16026" width="12.7109375" style="151" customWidth="1"/>
    <col min="16027" max="16037" width="9.85546875" style="151" bestFit="1" customWidth="1"/>
    <col min="16038" max="16038" width="11.140625" style="151" bestFit="1" customWidth="1"/>
    <col min="16039" max="16053" width="9.140625" style="151"/>
    <col min="16054" max="16054" width="9.85546875" style="151" bestFit="1" customWidth="1"/>
    <col min="16055" max="16069" width="9.140625" style="151"/>
    <col min="16070" max="16070" width="9.85546875" style="151" bestFit="1" customWidth="1"/>
    <col min="16071" max="16085" width="9.140625" style="151"/>
    <col min="16086" max="16086" width="9.85546875" style="151" bestFit="1" customWidth="1"/>
    <col min="16087" max="16101" width="9.140625" style="151"/>
    <col min="16102" max="16102" width="9.85546875" style="151" bestFit="1" customWidth="1"/>
    <col min="16103" max="16104" width="9.140625" style="151"/>
    <col min="16105" max="16105" width="11" style="151" bestFit="1" customWidth="1"/>
    <col min="16106" max="16110" width="11.140625" style="151" bestFit="1" customWidth="1"/>
    <col min="16111" max="16111" width="9.85546875" style="151" bestFit="1" customWidth="1"/>
    <col min="16112" max="16116" width="11.140625" style="151" bestFit="1" customWidth="1"/>
    <col min="16117" max="16117" width="12" style="151" bestFit="1" customWidth="1"/>
    <col min="16118" max="16118" width="11" style="151" bestFit="1" customWidth="1"/>
    <col min="16119" max="16384" width="9.140625" style="151"/>
  </cols>
  <sheetData>
    <row r="1" spans="1:19" x14ac:dyDescent="0.2">
      <c r="F1" s="210" t="s">
        <v>49</v>
      </c>
      <c r="G1" s="210" t="s">
        <v>48</v>
      </c>
      <c r="H1" s="210" t="s">
        <v>47</v>
      </c>
      <c r="I1" s="210" t="s">
        <v>46</v>
      </c>
      <c r="J1" s="210" t="s">
        <v>45</v>
      </c>
      <c r="K1" s="210" t="s">
        <v>44</v>
      </c>
      <c r="L1" s="210" t="s">
        <v>43</v>
      </c>
      <c r="M1" s="210" t="s">
        <v>42</v>
      </c>
      <c r="N1" s="210" t="s">
        <v>41</v>
      </c>
      <c r="O1" s="210" t="s">
        <v>40</v>
      </c>
      <c r="P1" s="210" t="s">
        <v>39</v>
      </c>
      <c r="Q1" s="210" t="s">
        <v>38</v>
      </c>
      <c r="R1" s="210" t="s">
        <v>37</v>
      </c>
    </row>
    <row r="2" spans="1:19" s="92" customFormat="1" x14ac:dyDescent="0.2">
      <c r="A2" s="215"/>
      <c r="B2" s="139" t="s">
        <v>671</v>
      </c>
      <c r="C2" s="246">
        <f>STATS!D94</f>
        <v>4086</v>
      </c>
      <c r="D2" s="215"/>
      <c r="E2" s="237"/>
      <c r="F2" s="187">
        <f>'MO STATS'!E90</f>
        <v>301</v>
      </c>
      <c r="G2" s="187">
        <f>'MO STATS'!F90</f>
        <v>277</v>
      </c>
      <c r="H2" s="187">
        <f>'MO STATS'!G90</f>
        <v>282</v>
      </c>
      <c r="I2" s="187">
        <f>'MO STATS'!H90</f>
        <v>285</v>
      </c>
      <c r="J2" s="187">
        <f>'MO STATS'!I90</f>
        <v>333</v>
      </c>
      <c r="K2" s="187">
        <f>'MO STATS'!J90</f>
        <v>421</v>
      </c>
      <c r="L2" s="187">
        <f>'MO STATS'!K90</f>
        <v>279</v>
      </c>
      <c r="M2" s="187">
        <f>'MO STATS'!L90</f>
        <v>287</v>
      </c>
      <c r="N2" s="187">
        <f>'MO STATS'!M90</f>
        <v>345</v>
      </c>
      <c r="O2" s="187">
        <f>'MO STATS'!N90</f>
        <v>447</v>
      </c>
      <c r="P2" s="187">
        <f>'MO STATS'!O90</f>
        <v>438</v>
      </c>
      <c r="Q2" s="187">
        <f>'MO STATS'!P90-1</f>
        <v>391</v>
      </c>
      <c r="R2" s="334">
        <f>SUM(F2:Q2)</f>
        <v>4086</v>
      </c>
      <c r="S2" s="153">
        <f>C2-R2</f>
        <v>0</v>
      </c>
    </row>
    <row r="3" spans="1:19" s="92" customFormat="1" x14ac:dyDescent="0.2">
      <c r="A3" s="215"/>
      <c r="B3" s="139" t="s">
        <v>152</v>
      </c>
      <c r="C3" s="246">
        <f>STATS!D92</f>
        <v>20375</v>
      </c>
      <c r="D3" s="215"/>
      <c r="E3" s="237"/>
      <c r="F3" s="187">
        <f>'MO STATS'!E88</f>
        <v>1663</v>
      </c>
      <c r="G3" s="187">
        <f>'MO STATS'!F88</f>
        <v>1576</v>
      </c>
      <c r="H3" s="187">
        <f>'MO STATS'!G88</f>
        <v>1511</v>
      </c>
      <c r="I3" s="187">
        <f>'MO STATS'!H88</f>
        <v>1687</v>
      </c>
      <c r="J3" s="187">
        <f>'MO STATS'!I88</f>
        <v>1721</v>
      </c>
      <c r="K3" s="187">
        <f>'MO STATS'!J88</f>
        <v>1875</v>
      </c>
      <c r="L3" s="187">
        <f>'MO STATS'!K88</f>
        <v>1737</v>
      </c>
      <c r="M3" s="187">
        <f>'MO STATS'!L88</f>
        <v>1855</v>
      </c>
      <c r="N3" s="187">
        <f>'MO STATS'!M88</f>
        <v>1678</v>
      </c>
      <c r="O3" s="187">
        <f>'MO STATS'!N88</f>
        <v>1510</v>
      </c>
      <c r="P3" s="187">
        <f>'MO STATS'!O88</f>
        <v>1754</v>
      </c>
      <c r="Q3" s="187">
        <f>'MO STATS'!P88</f>
        <v>1808</v>
      </c>
      <c r="R3" s="334">
        <f>SUM(F3:Q3)</f>
        <v>20375</v>
      </c>
      <c r="S3" s="153">
        <f>C3-R3</f>
        <v>0</v>
      </c>
    </row>
    <row r="4" spans="1:19" x14ac:dyDescent="0.2">
      <c r="F4" s="238"/>
      <c r="G4" s="238"/>
      <c r="H4" s="238"/>
      <c r="I4" s="238"/>
      <c r="J4" s="238"/>
      <c r="K4" s="238"/>
      <c r="L4" s="238"/>
      <c r="M4" s="238"/>
      <c r="N4" s="238"/>
      <c r="O4" s="238"/>
      <c r="P4" s="238"/>
      <c r="Q4" s="238"/>
      <c r="R4" s="239"/>
    </row>
    <row r="5" spans="1:19" x14ac:dyDescent="0.2">
      <c r="A5" s="707" t="s">
        <v>672</v>
      </c>
      <c r="B5" s="707"/>
      <c r="C5" s="707"/>
      <c r="D5" s="245"/>
      <c r="R5" s="157"/>
    </row>
    <row r="6" spans="1:19" x14ac:dyDescent="0.2">
      <c r="A6" s="243"/>
      <c r="B6" s="222" t="s">
        <v>697</v>
      </c>
      <c r="C6" s="229"/>
      <c r="D6" s="240" t="s">
        <v>698</v>
      </c>
      <c r="G6" s="237"/>
      <c r="H6" s="237"/>
      <c r="I6" s="237"/>
      <c r="J6" s="237"/>
      <c r="K6" s="237"/>
      <c r="L6" s="237"/>
      <c r="M6" s="237"/>
      <c r="N6" s="237"/>
      <c r="O6" s="237"/>
      <c r="P6" s="237"/>
      <c r="Q6" s="237"/>
      <c r="R6" s="157"/>
    </row>
    <row r="7" spans="1:19" s="92" customFormat="1" x14ac:dyDescent="0.2">
      <c r="A7" s="204">
        <v>51670</v>
      </c>
      <c r="B7" s="201" t="s">
        <v>699</v>
      </c>
      <c r="C7" s="229">
        <f>'recap rev and deduct'!C866</f>
        <v>242297.83019845453</v>
      </c>
      <c r="D7" s="249">
        <f>$C7/C$2</f>
        <v>59.299517914452892</v>
      </c>
      <c r="E7" s="153"/>
      <c r="F7" s="373">
        <f>$D7*F$2</f>
        <v>17849.154892250321</v>
      </c>
      <c r="G7" s="373">
        <f t="shared" ref="G7:Q7" si="0">$D7*G$2</f>
        <v>16425.966462303451</v>
      </c>
      <c r="H7" s="373">
        <f t="shared" si="0"/>
        <v>16722.464051875715</v>
      </c>
      <c r="I7" s="373">
        <f t="shared" si="0"/>
        <v>16900.362605619073</v>
      </c>
      <c r="J7" s="373">
        <f t="shared" si="0"/>
        <v>19746.739465512812</v>
      </c>
      <c r="K7" s="373">
        <f t="shared" si="0"/>
        <v>24965.097041984667</v>
      </c>
      <c r="L7" s="373">
        <f t="shared" si="0"/>
        <v>16544.565498132357</v>
      </c>
      <c r="M7" s="373">
        <f t="shared" si="0"/>
        <v>17018.961641447979</v>
      </c>
      <c r="N7" s="373">
        <f t="shared" si="0"/>
        <v>20458.333680486248</v>
      </c>
      <c r="O7" s="373">
        <f t="shared" si="0"/>
        <v>26506.884507760442</v>
      </c>
      <c r="P7" s="373">
        <f t="shared" si="0"/>
        <v>25973.188846530367</v>
      </c>
      <c r="Q7" s="373">
        <f t="shared" si="0"/>
        <v>23186.111504551081</v>
      </c>
      <c r="R7" s="374">
        <f>SUM(F7:Q7)</f>
        <v>242297.83019845453</v>
      </c>
      <c r="S7" s="153">
        <f>C7-R7</f>
        <v>0</v>
      </c>
    </row>
    <row r="8" spans="1:19" s="248" customFormat="1" x14ac:dyDescent="0.2">
      <c r="A8" s="204">
        <v>51672</v>
      </c>
      <c r="B8" s="201" t="s">
        <v>700</v>
      </c>
      <c r="C8" s="229">
        <f>'recap rev and deduct'!C867</f>
        <v>841843.26858623873</v>
      </c>
      <c r="D8" s="333">
        <f>$C8/C$3</f>
        <v>41.317461034907424</v>
      </c>
      <c r="E8" s="153"/>
      <c r="F8" s="373">
        <f>$D8*F$3</f>
        <v>68710.937701051051</v>
      </c>
      <c r="G8" s="373">
        <f t="shared" ref="G8:Q8" si="1">$D8*G$3</f>
        <v>65116.318591014104</v>
      </c>
      <c r="H8" s="373">
        <f t="shared" si="1"/>
        <v>62430.683623745121</v>
      </c>
      <c r="I8" s="373">
        <f t="shared" si="1"/>
        <v>69702.556765888818</v>
      </c>
      <c r="J8" s="373">
        <f t="shared" si="1"/>
        <v>71107.350441075672</v>
      </c>
      <c r="K8" s="373">
        <f t="shared" si="1"/>
        <v>77470.23944045142</v>
      </c>
      <c r="L8" s="373">
        <f t="shared" si="1"/>
        <v>71768.429817634198</v>
      </c>
      <c r="M8" s="373">
        <f t="shared" si="1"/>
        <v>76643.890219753273</v>
      </c>
      <c r="N8" s="373">
        <f t="shared" si="1"/>
        <v>69330.699616574653</v>
      </c>
      <c r="O8" s="373">
        <f t="shared" si="1"/>
        <v>62389.366162710212</v>
      </c>
      <c r="P8" s="373">
        <f t="shared" si="1"/>
        <v>72470.826655227618</v>
      </c>
      <c r="Q8" s="373">
        <f t="shared" si="1"/>
        <v>74701.969551112619</v>
      </c>
      <c r="R8" s="374">
        <f>SUM(F8:Q8)</f>
        <v>841843.26858623873</v>
      </c>
      <c r="S8" s="153">
        <f>C8-R8</f>
        <v>0</v>
      </c>
    </row>
    <row r="9" spans="1:19" s="92" customFormat="1" x14ac:dyDescent="0.2">
      <c r="A9" s="204">
        <v>51674</v>
      </c>
      <c r="B9" s="201" t="s">
        <v>701</v>
      </c>
      <c r="C9" s="229">
        <f>'recap rev and deduct'!C868</f>
        <v>0</v>
      </c>
      <c r="D9" s="333">
        <f>$C9/C$2</f>
        <v>0</v>
      </c>
      <c r="E9" s="153"/>
      <c r="F9" s="373">
        <f>$D9*F$2</f>
        <v>0</v>
      </c>
      <c r="G9" s="373">
        <f t="shared" ref="G9:Q9" si="2">$D9*G$2</f>
        <v>0</v>
      </c>
      <c r="H9" s="373">
        <f t="shared" si="2"/>
        <v>0</v>
      </c>
      <c r="I9" s="373">
        <f t="shared" si="2"/>
        <v>0</v>
      </c>
      <c r="J9" s="373">
        <f t="shared" si="2"/>
        <v>0</v>
      </c>
      <c r="K9" s="373">
        <f t="shared" si="2"/>
        <v>0</v>
      </c>
      <c r="L9" s="373">
        <f t="shared" si="2"/>
        <v>0</v>
      </c>
      <c r="M9" s="373">
        <f t="shared" si="2"/>
        <v>0</v>
      </c>
      <c r="N9" s="373">
        <f t="shared" si="2"/>
        <v>0</v>
      </c>
      <c r="O9" s="373">
        <f t="shared" si="2"/>
        <v>0</v>
      </c>
      <c r="P9" s="373">
        <f t="shared" si="2"/>
        <v>0</v>
      </c>
      <c r="Q9" s="373">
        <f t="shared" si="2"/>
        <v>0</v>
      </c>
      <c r="R9" s="374">
        <f>SUM(F9:Q9)</f>
        <v>0</v>
      </c>
      <c r="S9" s="153">
        <f>C9-R9</f>
        <v>0</v>
      </c>
    </row>
    <row r="10" spans="1:19" s="92" customFormat="1" x14ac:dyDescent="0.2">
      <c r="A10" s="204">
        <v>51676</v>
      </c>
      <c r="B10" s="201" t="s">
        <v>702</v>
      </c>
      <c r="C10" s="229">
        <f>'recap rev and deduct'!C869</f>
        <v>37522.091065306893</v>
      </c>
      <c r="D10" s="333">
        <f>$C10/C$3</f>
        <v>1.8415750216101543</v>
      </c>
      <c r="E10" s="153"/>
      <c r="F10" s="373">
        <f>$D10*F$3</f>
        <v>3062.5392609376868</v>
      </c>
      <c r="G10" s="373">
        <f t="shared" ref="G10:Q10" si="3">$D10*G$3</f>
        <v>2902.3222340576031</v>
      </c>
      <c r="H10" s="373">
        <f t="shared" si="3"/>
        <v>2782.6198576529432</v>
      </c>
      <c r="I10" s="373">
        <f t="shared" si="3"/>
        <v>3106.7370614563301</v>
      </c>
      <c r="J10" s="373">
        <f t="shared" si="3"/>
        <v>3169.3506121910755</v>
      </c>
      <c r="K10" s="373">
        <f t="shared" si="3"/>
        <v>3452.9531655190394</v>
      </c>
      <c r="L10" s="373">
        <f t="shared" si="3"/>
        <v>3198.8158125368382</v>
      </c>
      <c r="M10" s="373">
        <f t="shared" si="3"/>
        <v>3416.1216650868364</v>
      </c>
      <c r="N10" s="373">
        <f t="shared" si="3"/>
        <v>3090.162886261839</v>
      </c>
      <c r="O10" s="373">
        <f t="shared" si="3"/>
        <v>2780.7782826313328</v>
      </c>
      <c r="P10" s="373">
        <f t="shared" si="3"/>
        <v>3230.1225879042108</v>
      </c>
      <c r="Q10" s="373">
        <f t="shared" si="3"/>
        <v>3329.5676390711587</v>
      </c>
      <c r="R10" s="374">
        <f>SUM(F10:Q10)</f>
        <v>37522.0910653069</v>
      </c>
      <c r="S10" s="153">
        <f>C10-R10</f>
        <v>0</v>
      </c>
    </row>
    <row r="11" spans="1:19" s="170" customFormat="1" x14ac:dyDescent="0.2">
      <c r="A11" s="202"/>
      <c r="B11" s="203" t="s">
        <v>0</v>
      </c>
      <c r="C11" s="232">
        <f>SUM(C7:C10)</f>
        <v>1121663.1898500002</v>
      </c>
      <c r="D11" s="250">
        <f>SUM(D7:D10)</f>
        <v>102.45855397097047</v>
      </c>
      <c r="E11" s="238"/>
      <c r="F11" s="374">
        <f>SUM(F7:F10)</f>
        <v>89622.631854239065</v>
      </c>
      <c r="G11" s="374">
        <f t="shared" ref="G11:Q11" si="4">SUM(G7:G10)</f>
        <v>84444.607287375155</v>
      </c>
      <c r="H11" s="374">
        <f t="shared" si="4"/>
        <v>81935.767533273771</v>
      </c>
      <c r="I11" s="374">
        <f t="shared" si="4"/>
        <v>89709.656432964213</v>
      </c>
      <c r="J11" s="374">
        <f t="shared" si="4"/>
        <v>94023.440518779564</v>
      </c>
      <c r="K11" s="374">
        <f t="shared" si="4"/>
        <v>105888.28964795513</v>
      </c>
      <c r="L11" s="374">
        <f t="shared" si="4"/>
        <v>91511.811128303394</v>
      </c>
      <c r="M11" s="374">
        <f t="shared" si="4"/>
        <v>97078.973526288086</v>
      </c>
      <c r="N11" s="374">
        <f t="shared" si="4"/>
        <v>92879.19618332274</v>
      </c>
      <c r="O11" s="374">
        <f t="shared" si="4"/>
        <v>91677.028953101981</v>
      </c>
      <c r="P11" s="374">
        <f t="shared" si="4"/>
        <v>101674.1380896622</v>
      </c>
      <c r="Q11" s="374">
        <f t="shared" si="4"/>
        <v>101217.64869473486</v>
      </c>
      <c r="R11" s="374">
        <f>SUM(F11:Q11)</f>
        <v>1121663.18985</v>
      </c>
      <c r="S11" s="153">
        <f>C11-R11</f>
        <v>0</v>
      </c>
    </row>
    <row r="12" spans="1:19" x14ac:dyDescent="0.2">
      <c r="A12" s="244"/>
      <c r="B12" s="201"/>
      <c r="C12" s="225"/>
      <c r="D12" s="225"/>
      <c r="R12" s="157"/>
    </row>
    <row r="13" spans="1:19" s="170" customFormat="1" x14ac:dyDescent="0.2">
      <c r="A13" s="202"/>
      <c r="B13" s="203"/>
      <c r="C13" s="232"/>
      <c r="D13" s="232"/>
      <c r="E13" s="238"/>
      <c r="F13" s="238"/>
      <c r="G13" s="238"/>
      <c r="H13" s="238"/>
      <c r="I13" s="238"/>
      <c r="J13" s="238"/>
      <c r="K13" s="238"/>
      <c r="L13" s="238"/>
      <c r="M13" s="238"/>
      <c r="N13" s="238"/>
      <c r="O13" s="238"/>
      <c r="P13" s="238"/>
      <c r="Q13" s="238"/>
      <c r="R13" s="154"/>
      <c r="S13" s="154"/>
    </row>
    <row r="14" spans="1:19" s="170" customFormat="1" x14ac:dyDescent="0.2">
      <c r="A14" s="202"/>
      <c r="B14" s="203"/>
      <c r="C14" s="232"/>
      <c r="D14" s="232"/>
      <c r="E14" s="238"/>
      <c r="F14" s="238"/>
      <c r="G14" s="238"/>
      <c r="H14" s="238"/>
      <c r="I14" s="238"/>
      <c r="J14" s="238"/>
      <c r="K14" s="238"/>
      <c r="L14" s="238"/>
      <c r="M14" s="238"/>
      <c r="N14" s="238"/>
      <c r="O14" s="238"/>
      <c r="P14" s="238"/>
      <c r="Q14" s="238"/>
      <c r="R14" s="154"/>
      <c r="S14" s="154"/>
    </row>
    <row r="15" spans="1:19" x14ac:dyDescent="0.2">
      <c r="A15" s="215"/>
      <c r="B15" s="216"/>
    </row>
    <row r="16" spans="1:19" x14ac:dyDescent="0.2">
      <c r="A16" s="215"/>
      <c r="B16" s="216"/>
    </row>
    <row r="17" spans="1:19" x14ac:dyDescent="0.2">
      <c r="A17" s="215"/>
      <c r="B17" s="216"/>
    </row>
    <row r="18" spans="1:19" x14ac:dyDescent="0.2">
      <c r="A18" s="215"/>
      <c r="B18" s="216"/>
    </row>
    <row r="19" spans="1:19" x14ac:dyDescent="0.2">
      <c r="A19" s="215"/>
      <c r="B19" s="216"/>
    </row>
    <row r="20" spans="1:19" x14ac:dyDescent="0.2">
      <c r="A20" s="215"/>
      <c r="B20" s="216"/>
    </row>
    <row r="21" spans="1:19" x14ac:dyDescent="0.2">
      <c r="A21" s="215"/>
      <c r="B21" s="216"/>
    </row>
    <row r="22" spans="1:19" x14ac:dyDescent="0.2">
      <c r="A22" s="215"/>
      <c r="B22" s="216"/>
    </row>
    <row r="23" spans="1:19" x14ac:dyDescent="0.2">
      <c r="A23" s="215"/>
      <c r="B23" s="216"/>
    </row>
    <row r="24" spans="1:19" x14ac:dyDescent="0.2">
      <c r="A24" s="215"/>
      <c r="B24" s="216"/>
    </row>
    <row r="25" spans="1:19" s="215" customFormat="1" ht="11.25" x14ac:dyDescent="0.2">
      <c r="B25" s="216"/>
      <c r="E25" s="237"/>
      <c r="F25" s="237"/>
      <c r="G25" s="218"/>
      <c r="H25" s="218"/>
      <c r="I25" s="218"/>
      <c r="J25" s="218"/>
      <c r="K25" s="218"/>
      <c r="L25" s="218"/>
      <c r="M25" s="218"/>
      <c r="N25" s="218"/>
      <c r="O25" s="218"/>
      <c r="P25" s="218"/>
      <c r="Q25" s="218"/>
      <c r="R25" s="221"/>
      <c r="S25" s="221"/>
    </row>
    <row r="26" spans="1:19" s="215" customFormat="1" ht="11.25" x14ac:dyDescent="0.2">
      <c r="B26" s="216"/>
      <c r="E26" s="237"/>
      <c r="F26" s="237"/>
      <c r="G26" s="218"/>
      <c r="H26" s="218"/>
      <c r="I26" s="218"/>
      <c r="J26" s="218"/>
      <c r="K26" s="218"/>
      <c r="L26" s="218"/>
      <c r="M26" s="218"/>
      <c r="N26" s="218"/>
      <c r="O26" s="218"/>
      <c r="P26" s="218"/>
      <c r="Q26" s="218"/>
      <c r="R26" s="221"/>
      <c r="S26" s="221"/>
    </row>
    <row r="27" spans="1:19" s="215" customFormat="1" ht="11.25" x14ac:dyDescent="0.2">
      <c r="B27" s="216"/>
      <c r="E27" s="237"/>
      <c r="F27" s="237"/>
      <c r="G27" s="218"/>
      <c r="H27" s="218"/>
      <c r="I27" s="218"/>
      <c r="J27" s="218"/>
      <c r="K27" s="218"/>
      <c r="L27" s="218"/>
      <c r="M27" s="218"/>
      <c r="N27" s="218"/>
      <c r="O27" s="218"/>
      <c r="P27" s="218"/>
      <c r="Q27" s="218"/>
      <c r="R27" s="221"/>
      <c r="S27" s="221"/>
    </row>
    <row r="28" spans="1:19" s="215" customFormat="1" ht="11.25" x14ac:dyDescent="0.2">
      <c r="B28" s="216"/>
      <c r="E28" s="237"/>
      <c r="F28" s="237"/>
      <c r="G28" s="218"/>
      <c r="H28" s="218"/>
      <c r="I28" s="218"/>
      <c r="J28" s="218"/>
      <c r="K28" s="218"/>
      <c r="L28" s="218"/>
      <c r="M28" s="218"/>
      <c r="N28" s="218"/>
      <c r="O28" s="218"/>
      <c r="P28" s="218"/>
      <c r="Q28" s="218"/>
      <c r="R28" s="221"/>
      <c r="S28" s="221"/>
    </row>
    <row r="29" spans="1:19" s="215" customFormat="1" ht="11.25" x14ac:dyDescent="0.2">
      <c r="B29" s="216"/>
      <c r="E29" s="237"/>
      <c r="F29" s="237"/>
      <c r="G29" s="218"/>
      <c r="H29" s="218"/>
      <c r="I29" s="218"/>
      <c r="J29" s="218"/>
      <c r="K29" s="218"/>
      <c r="L29" s="218"/>
      <c r="M29" s="218"/>
      <c r="N29" s="218"/>
      <c r="O29" s="218"/>
      <c r="P29" s="218"/>
      <c r="Q29" s="218"/>
      <c r="R29" s="221"/>
      <c r="S29" s="221"/>
    </row>
    <row r="30" spans="1:19" s="215" customFormat="1" ht="11.25" x14ac:dyDescent="0.2">
      <c r="B30" s="216"/>
      <c r="E30" s="237"/>
      <c r="F30" s="237"/>
      <c r="G30" s="218"/>
      <c r="H30" s="218"/>
      <c r="I30" s="218"/>
      <c r="J30" s="218"/>
      <c r="K30" s="218"/>
      <c r="L30" s="218"/>
      <c r="M30" s="218"/>
      <c r="N30" s="218"/>
      <c r="O30" s="218"/>
      <c r="P30" s="218"/>
      <c r="Q30" s="218"/>
      <c r="R30" s="221"/>
      <c r="S30" s="221"/>
    </row>
    <row r="31" spans="1:19" s="215" customFormat="1" ht="11.25" x14ac:dyDescent="0.2">
      <c r="B31" s="216"/>
      <c r="E31" s="237"/>
      <c r="F31" s="237"/>
      <c r="G31" s="218"/>
      <c r="H31" s="218"/>
      <c r="I31" s="218"/>
      <c r="J31" s="218"/>
      <c r="K31" s="218"/>
      <c r="L31" s="218"/>
      <c r="M31" s="218"/>
      <c r="N31" s="218"/>
      <c r="O31" s="218"/>
      <c r="P31" s="218"/>
      <c r="Q31" s="218"/>
      <c r="R31" s="221"/>
      <c r="S31" s="221"/>
    </row>
    <row r="32" spans="1:19" s="215" customFormat="1" ht="11.25" x14ac:dyDescent="0.2">
      <c r="B32" s="216"/>
      <c r="E32" s="237"/>
      <c r="F32" s="237"/>
      <c r="G32" s="218"/>
      <c r="H32" s="218"/>
      <c r="I32" s="218"/>
      <c r="J32" s="218"/>
      <c r="K32" s="218"/>
      <c r="L32" s="218"/>
      <c r="M32" s="218"/>
      <c r="N32" s="218"/>
      <c r="O32" s="218"/>
      <c r="P32" s="218"/>
      <c r="Q32" s="218"/>
      <c r="R32" s="221"/>
      <c r="S32" s="221"/>
    </row>
    <row r="33" spans="2:19" s="215" customFormat="1" ht="11.25" x14ac:dyDescent="0.2">
      <c r="B33" s="216"/>
      <c r="E33" s="237"/>
      <c r="F33" s="237"/>
      <c r="G33" s="218"/>
      <c r="H33" s="218"/>
      <c r="I33" s="218"/>
      <c r="J33" s="218"/>
      <c r="K33" s="218"/>
      <c r="L33" s="218"/>
      <c r="M33" s="218"/>
      <c r="N33" s="218"/>
      <c r="O33" s="218"/>
      <c r="P33" s="218"/>
      <c r="Q33" s="218"/>
      <c r="R33" s="221"/>
      <c r="S33" s="221"/>
    </row>
    <row r="34" spans="2:19" s="215" customFormat="1" ht="11.25" x14ac:dyDescent="0.2">
      <c r="B34" s="216"/>
      <c r="E34" s="237"/>
      <c r="F34" s="237"/>
      <c r="G34" s="218"/>
      <c r="H34" s="218"/>
      <c r="I34" s="218"/>
      <c r="J34" s="218"/>
      <c r="K34" s="218"/>
      <c r="L34" s="218"/>
      <c r="M34" s="218"/>
      <c r="N34" s="218"/>
      <c r="O34" s="218"/>
      <c r="P34" s="218"/>
      <c r="Q34" s="218"/>
      <c r="R34" s="221"/>
      <c r="S34" s="221"/>
    </row>
    <row r="35" spans="2:19" s="215" customFormat="1" ht="11.25" x14ac:dyDescent="0.2">
      <c r="B35" s="216"/>
      <c r="E35" s="237"/>
      <c r="F35" s="237"/>
      <c r="G35" s="218"/>
      <c r="H35" s="218"/>
      <c r="I35" s="218"/>
      <c r="J35" s="218"/>
      <c r="K35" s="218"/>
      <c r="L35" s="218"/>
      <c r="M35" s="218"/>
      <c r="N35" s="218"/>
      <c r="O35" s="218"/>
      <c r="P35" s="218"/>
      <c r="Q35" s="218"/>
      <c r="R35" s="221"/>
      <c r="S35" s="221"/>
    </row>
    <row r="36" spans="2:19" s="215" customFormat="1" ht="11.25" x14ac:dyDescent="0.2">
      <c r="B36" s="216"/>
      <c r="E36" s="237"/>
      <c r="F36" s="237"/>
      <c r="G36" s="218"/>
      <c r="H36" s="218"/>
      <c r="I36" s="218"/>
      <c r="J36" s="218"/>
      <c r="K36" s="218"/>
      <c r="L36" s="218"/>
      <c r="M36" s="218"/>
      <c r="N36" s="218"/>
      <c r="O36" s="218"/>
      <c r="P36" s="218"/>
      <c r="Q36" s="218"/>
      <c r="R36" s="221"/>
      <c r="S36" s="221"/>
    </row>
    <row r="37" spans="2:19" s="215" customFormat="1" ht="11.25" x14ac:dyDescent="0.2">
      <c r="B37" s="216"/>
      <c r="E37" s="237"/>
      <c r="F37" s="237"/>
      <c r="G37" s="218"/>
      <c r="H37" s="218"/>
      <c r="I37" s="218"/>
      <c r="J37" s="218"/>
      <c r="K37" s="218"/>
      <c r="L37" s="218"/>
      <c r="M37" s="218"/>
      <c r="N37" s="218"/>
      <c r="O37" s="218"/>
      <c r="P37" s="218"/>
      <c r="Q37" s="218"/>
      <c r="R37" s="221"/>
      <c r="S37" s="221"/>
    </row>
    <row r="38" spans="2:19" s="215" customFormat="1" ht="11.25" x14ac:dyDescent="0.2">
      <c r="B38" s="216"/>
      <c r="E38" s="237"/>
      <c r="F38" s="237"/>
      <c r="G38" s="218"/>
      <c r="H38" s="218"/>
      <c r="I38" s="218"/>
      <c r="J38" s="218"/>
      <c r="K38" s="218"/>
      <c r="L38" s="218"/>
      <c r="M38" s="218"/>
      <c r="N38" s="218"/>
      <c r="O38" s="218"/>
      <c r="P38" s="218"/>
      <c r="Q38" s="218"/>
      <c r="R38" s="221"/>
      <c r="S38" s="221"/>
    </row>
    <row r="39" spans="2:19" s="215" customFormat="1" ht="11.25" x14ac:dyDescent="0.2">
      <c r="B39" s="216"/>
      <c r="E39" s="237"/>
      <c r="F39" s="237"/>
      <c r="G39" s="218"/>
      <c r="H39" s="218"/>
      <c r="I39" s="218"/>
      <c r="J39" s="218"/>
      <c r="K39" s="218"/>
      <c r="L39" s="218"/>
      <c r="M39" s="218"/>
      <c r="N39" s="218"/>
      <c r="O39" s="218"/>
      <c r="P39" s="218"/>
      <c r="Q39" s="218"/>
      <c r="R39" s="221"/>
      <c r="S39" s="221"/>
    </row>
    <row r="40" spans="2:19" s="215" customFormat="1" ht="11.25" x14ac:dyDescent="0.2">
      <c r="B40" s="216"/>
      <c r="E40" s="237"/>
      <c r="F40" s="237"/>
      <c r="G40" s="218"/>
      <c r="H40" s="218"/>
      <c r="I40" s="218"/>
      <c r="J40" s="218"/>
      <c r="K40" s="218"/>
      <c r="L40" s="218"/>
      <c r="M40" s="218"/>
      <c r="N40" s="218"/>
      <c r="O40" s="218"/>
      <c r="P40" s="218"/>
      <c r="Q40" s="218"/>
      <c r="R40" s="221"/>
      <c r="S40" s="221"/>
    </row>
    <row r="41" spans="2:19" s="215" customFormat="1" ht="11.25" x14ac:dyDescent="0.2">
      <c r="B41" s="216"/>
      <c r="E41" s="237"/>
      <c r="F41" s="237"/>
      <c r="G41" s="218"/>
      <c r="H41" s="218"/>
      <c r="I41" s="218"/>
      <c r="J41" s="218"/>
      <c r="K41" s="218"/>
      <c r="L41" s="218"/>
      <c r="M41" s="218"/>
      <c r="N41" s="218"/>
      <c r="O41" s="218"/>
      <c r="P41" s="218"/>
      <c r="Q41" s="218"/>
      <c r="R41" s="221"/>
      <c r="S41" s="221"/>
    </row>
    <row r="42" spans="2:19" s="215" customFormat="1" ht="11.25" x14ac:dyDescent="0.2">
      <c r="B42" s="216"/>
      <c r="E42" s="237"/>
      <c r="F42" s="237"/>
      <c r="G42" s="218"/>
      <c r="H42" s="218"/>
      <c r="I42" s="218"/>
      <c r="J42" s="218"/>
      <c r="K42" s="218"/>
      <c r="L42" s="218"/>
      <c r="M42" s="218"/>
      <c r="N42" s="218"/>
      <c r="O42" s="218"/>
      <c r="P42" s="218"/>
      <c r="Q42" s="218"/>
      <c r="R42" s="221"/>
      <c r="S42" s="221"/>
    </row>
    <row r="43" spans="2:19" s="215" customFormat="1" ht="11.25" x14ac:dyDescent="0.2">
      <c r="B43" s="216"/>
      <c r="E43" s="237"/>
      <c r="F43" s="237"/>
      <c r="G43" s="218"/>
      <c r="H43" s="218"/>
      <c r="I43" s="218"/>
      <c r="J43" s="218"/>
      <c r="K43" s="218"/>
      <c r="L43" s="218"/>
      <c r="M43" s="218"/>
      <c r="N43" s="218"/>
      <c r="O43" s="218"/>
      <c r="P43" s="218"/>
      <c r="Q43" s="218"/>
      <c r="R43" s="221"/>
      <c r="S43" s="221"/>
    </row>
    <row r="44" spans="2:19" s="215" customFormat="1" ht="11.25" x14ac:dyDescent="0.2">
      <c r="B44" s="216"/>
      <c r="E44" s="237"/>
      <c r="F44" s="237"/>
      <c r="G44" s="218"/>
      <c r="H44" s="218"/>
      <c r="I44" s="218"/>
      <c r="J44" s="218"/>
      <c r="K44" s="218"/>
      <c r="L44" s="218"/>
      <c r="M44" s="218"/>
      <c r="N44" s="218"/>
      <c r="O44" s="218"/>
      <c r="P44" s="218"/>
      <c r="Q44" s="218"/>
      <c r="R44" s="221"/>
      <c r="S44" s="221"/>
    </row>
    <row r="45" spans="2:19" s="215" customFormat="1" ht="11.25" x14ac:dyDescent="0.2">
      <c r="B45" s="216"/>
      <c r="E45" s="237"/>
      <c r="F45" s="237"/>
      <c r="G45" s="218"/>
      <c r="H45" s="218"/>
      <c r="I45" s="218"/>
      <c r="J45" s="218"/>
      <c r="K45" s="218"/>
      <c r="L45" s="218"/>
      <c r="M45" s="218"/>
      <c r="N45" s="218"/>
      <c r="O45" s="218"/>
      <c r="P45" s="218"/>
      <c r="Q45" s="218"/>
      <c r="R45" s="221"/>
      <c r="S45" s="221"/>
    </row>
    <row r="46" spans="2:19" s="215" customFormat="1" ht="11.25" x14ac:dyDescent="0.2">
      <c r="B46" s="216"/>
      <c r="E46" s="237"/>
      <c r="F46" s="237"/>
      <c r="G46" s="218"/>
      <c r="H46" s="218"/>
      <c r="I46" s="218"/>
      <c r="J46" s="218"/>
      <c r="K46" s="218"/>
      <c r="L46" s="218"/>
      <c r="M46" s="218"/>
      <c r="N46" s="218"/>
      <c r="O46" s="218"/>
      <c r="P46" s="218"/>
      <c r="Q46" s="218"/>
      <c r="R46" s="221"/>
      <c r="S46" s="221"/>
    </row>
    <row r="47" spans="2:19" s="215" customFormat="1" ht="11.25" x14ac:dyDescent="0.2">
      <c r="B47" s="216"/>
      <c r="E47" s="237"/>
      <c r="F47" s="237"/>
      <c r="G47" s="218"/>
      <c r="H47" s="218"/>
      <c r="I47" s="218"/>
      <c r="J47" s="218"/>
      <c r="K47" s="218"/>
      <c r="L47" s="218"/>
      <c r="M47" s="218"/>
      <c r="N47" s="218"/>
      <c r="O47" s="218"/>
      <c r="P47" s="218"/>
      <c r="Q47" s="218"/>
      <c r="R47" s="221"/>
      <c r="S47" s="221"/>
    </row>
    <row r="48" spans="2:19" s="215" customFormat="1" ht="11.25" x14ac:dyDescent="0.2">
      <c r="B48" s="216"/>
      <c r="E48" s="237"/>
      <c r="F48" s="237"/>
      <c r="G48" s="218"/>
      <c r="H48" s="218"/>
      <c r="I48" s="218"/>
      <c r="J48" s="218"/>
      <c r="K48" s="218"/>
      <c r="L48" s="218"/>
      <c r="M48" s="218"/>
      <c r="N48" s="218"/>
      <c r="O48" s="218"/>
      <c r="P48" s="218"/>
      <c r="Q48" s="218"/>
      <c r="R48" s="221"/>
      <c r="S48" s="221"/>
    </row>
    <row r="49" spans="2:19" s="215" customFormat="1" ht="11.25" x14ac:dyDescent="0.2">
      <c r="B49" s="216"/>
      <c r="E49" s="237"/>
      <c r="F49" s="237"/>
      <c r="G49" s="218"/>
      <c r="H49" s="218"/>
      <c r="I49" s="218"/>
      <c r="J49" s="218"/>
      <c r="K49" s="218"/>
      <c r="L49" s="218"/>
      <c r="M49" s="218"/>
      <c r="N49" s="218"/>
      <c r="O49" s="218"/>
      <c r="P49" s="218"/>
      <c r="Q49" s="218"/>
      <c r="R49" s="221"/>
      <c r="S49" s="221"/>
    </row>
    <row r="50" spans="2:19" s="215" customFormat="1" ht="11.25" x14ac:dyDescent="0.2">
      <c r="B50" s="216"/>
      <c r="E50" s="237"/>
      <c r="F50" s="237"/>
      <c r="G50" s="218"/>
      <c r="H50" s="218"/>
      <c r="I50" s="218"/>
      <c r="J50" s="218"/>
      <c r="K50" s="218"/>
      <c r="L50" s="218"/>
      <c r="M50" s="218"/>
      <c r="N50" s="218"/>
      <c r="O50" s="218"/>
      <c r="P50" s="218"/>
      <c r="Q50" s="218"/>
      <c r="R50" s="221"/>
      <c r="S50" s="221"/>
    </row>
    <row r="51" spans="2:19" s="215" customFormat="1" ht="11.25" x14ac:dyDescent="0.2">
      <c r="B51" s="216"/>
      <c r="E51" s="237"/>
      <c r="F51" s="237"/>
      <c r="G51" s="218"/>
      <c r="H51" s="218"/>
      <c r="I51" s="218"/>
      <c r="J51" s="218"/>
      <c r="K51" s="218"/>
      <c r="L51" s="218"/>
      <c r="M51" s="218"/>
      <c r="N51" s="218"/>
      <c r="O51" s="218"/>
      <c r="P51" s="218"/>
      <c r="Q51" s="218"/>
      <c r="R51" s="221"/>
      <c r="S51" s="221"/>
    </row>
    <row r="52" spans="2:19" s="215" customFormat="1" ht="11.25" x14ac:dyDescent="0.2">
      <c r="B52" s="216"/>
      <c r="E52" s="237"/>
      <c r="F52" s="237"/>
      <c r="G52" s="218"/>
      <c r="H52" s="218"/>
      <c r="I52" s="218"/>
      <c r="J52" s="218"/>
      <c r="K52" s="218"/>
      <c r="L52" s="218"/>
      <c r="M52" s="218"/>
      <c r="N52" s="218"/>
      <c r="O52" s="218"/>
      <c r="P52" s="218"/>
      <c r="Q52" s="218"/>
      <c r="R52" s="221"/>
      <c r="S52" s="221"/>
    </row>
    <row r="53" spans="2:19" s="215" customFormat="1" ht="11.25" x14ac:dyDescent="0.2">
      <c r="B53" s="216"/>
      <c r="E53" s="237"/>
      <c r="F53" s="237"/>
      <c r="G53" s="218"/>
      <c r="H53" s="218"/>
      <c r="I53" s="218"/>
      <c r="J53" s="218"/>
      <c r="K53" s="218"/>
      <c r="L53" s="218"/>
      <c r="M53" s="218"/>
      <c r="N53" s="218"/>
      <c r="O53" s="218"/>
      <c r="P53" s="218"/>
      <c r="Q53" s="218"/>
      <c r="R53" s="221"/>
      <c r="S53" s="221"/>
    </row>
    <row r="54" spans="2:19" s="215" customFormat="1" ht="11.25" x14ac:dyDescent="0.2">
      <c r="B54" s="216"/>
      <c r="E54" s="237"/>
      <c r="F54" s="237"/>
      <c r="G54" s="218"/>
      <c r="H54" s="218"/>
      <c r="I54" s="218"/>
      <c r="J54" s="218"/>
      <c r="K54" s="218"/>
      <c r="L54" s="218"/>
      <c r="M54" s="218"/>
      <c r="N54" s="218"/>
      <c r="O54" s="218"/>
      <c r="P54" s="218"/>
      <c r="Q54" s="218"/>
      <c r="R54" s="221"/>
      <c r="S54" s="221"/>
    </row>
    <row r="55" spans="2:19" s="215" customFormat="1" ht="11.25" x14ac:dyDescent="0.2">
      <c r="B55" s="216"/>
      <c r="E55" s="237"/>
      <c r="F55" s="237"/>
      <c r="G55" s="218"/>
      <c r="H55" s="218"/>
      <c r="I55" s="218"/>
      <c r="J55" s="218"/>
      <c r="K55" s="218"/>
      <c r="L55" s="218"/>
      <c r="M55" s="218"/>
      <c r="N55" s="218"/>
      <c r="O55" s="218"/>
      <c r="P55" s="218"/>
      <c r="Q55" s="218"/>
      <c r="R55" s="221"/>
      <c r="S55" s="221"/>
    </row>
    <row r="56" spans="2:19" s="215" customFormat="1" ht="11.25" x14ac:dyDescent="0.2">
      <c r="B56" s="216"/>
      <c r="E56" s="237"/>
      <c r="F56" s="237"/>
      <c r="G56" s="218"/>
      <c r="H56" s="218"/>
      <c r="I56" s="218"/>
      <c r="J56" s="218"/>
      <c r="K56" s="218"/>
      <c r="L56" s="218"/>
      <c r="M56" s="218"/>
      <c r="N56" s="218"/>
      <c r="O56" s="218"/>
      <c r="P56" s="218"/>
      <c r="Q56" s="218"/>
      <c r="R56" s="221"/>
      <c r="S56" s="221"/>
    </row>
    <row r="57" spans="2:19" s="215" customFormat="1" ht="11.25" x14ac:dyDescent="0.2">
      <c r="B57" s="216"/>
      <c r="E57" s="237"/>
      <c r="F57" s="237"/>
      <c r="G57" s="218"/>
      <c r="H57" s="218"/>
      <c r="I57" s="218"/>
      <c r="J57" s="218"/>
      <c r="K57" s="218"/>
      <c r="L57" s="218"/>
      <c r="M57" s="218"/>
      <c r="N57" s="218"/>
      <c r="O57" s="218"/>
      <c r="P57" s="218"/>
      <c r="Q57" s="218"/>
      <c r="R57" s="221"/>
      <c r="S57" s="221"/>
    </row>
    <row r="58" spans="2:19" s="215" customFormat="1" ht="11.25" x14ac:dyDescent="0.2">
      <c r="B58" s="216"/>
      <c r="E58" s="237"/>
      <c r="F58" s="237"/>
      <c r="G58" s="218"/>
      <c r="H58" s="218"/>
      <c r="I58" s="218"/>
      <c r="J58" s="218"/>
      <c r="K58" s="218"/>
      <c r="L58" s="218"/>
      <c r="M58" s="218"/>
      <c r="N58" s="218"/>
      <c r="O58" s="218"/>
      <c r="P58" s="218"/>
      <c r="Q58" s="218"/>
      <c r="R58" s="221"/>
      <c r="S58" s="221"/>
    </row>
  </sheetData>
  <mergeCells count="1">
    <mergeCell ref="A5:C5"/>
  </mergeCells>
  <printOptions gridLines="1"/>
  <pageMargins left="0.25" right="0.25" top="1" bottom="0.28000000000000003" header="0.5" footer="0.25"/>
  <pageSetup scale="71" orientation="landscape" r:id="rId1"/>
  <headerFooter alignWithMargins="0">
    <oddHeader xml:space="preserve">&amp;C&amp;"Arial,Bold"&amp;14DOCTORS MEMORIAL HOSPITAL
FY 2017 BUDGET
</oddHeader>
    <oddFooter>&amp;R&amp;A</oddFooter>
  </headerFooter>
  <ignoredErrors>
    <ignoredError sqref="D8:Q8"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7"/>
  <sheetViews>
    <sheetView zoomScale="80" zoomScaleNormal="80" workbookViewId="0">
      <pane xSplit="2" ySplit="6" topLeftCell="C7" activePane="bottomRight" state="frozen"/>
      <selection pane="topRight" activeCell="C1" sqref="C1"/>
      <selection pane="bottomLeft" activeCell="A7" sqref="A7"/>
      <selection pane="bottomRight" activeCell="G42" sqref="G42"/>
    </sheetView>
  </sheetViews>
  <sheetFormatPr defaultRowHeight="12.75" x14ac:dyDescent="0.2"/>
  <cols>
    <col min="1" max="1" width="11" style="2" bestFit="1" customWidth="1"/>
    <col min="2" max="2" width="22.7109375" style="2" customWidth="1"/>
    <col min="3" max="3" width="16.140625" style="2" customWidth="1"/>
    <col min="4" max="4" width="11" style="4" customWidth="1"/>
    <col min="5" max="5" width="4.5703125" style="4" customWidth="1"/>
    <col min="6" max="6" width="12.85546875" style="2" bestFit="1" customWidth="1"/>
    <col min="7" max="7" width="13.85546875" style="2" bestFit="1" customWidth="1"/>
    <col min="8" max="16" width="11.28515625" style="2" bestFit="1" customWidth="1"/>
    <col min="17" max="17" width="12.7109375" style="2" bestFit="1" customWidth="1"/>
    <col min="18" max="18" width="12.7109375" style="3" bestFit="1" customWidth="1"/>
    <col min="19" max="19" width="11.7109375" style="2" bestFit="1" customWidth="1"/>
    <col min="20" max="58" width="9.140625" style="2"/>
    <col min="59" max="16384" width="9.140625" style="1"/>
  </cols>
  <sheetData>
    <row r="1" spans="1:58" ht="12.75" customHeight="1" x14ac:dyDescent="0.2">
      <c r="C1" s="197"/>
      <c r="D1" s="199"/>
      <c r="E1" s="199"/>
      <c r="F1" s="197" t="s">
        <v>49</v>
      </c>
      <c r="G1" s="197" t="s">
        <v>48</v>
      </c>
      <c r="H1" s="197" t="s">
        <v>47</v>
      </c>
      <c r="I1" s="197" t="s">
        <v>46</v>
      </c>
      <c r="J1" s="197" t="s">
        <v>45</v>
      </c>
      <c r="K1" s="197" t="s">
        <v>44</v>
      </c>
      <c r="L1" s="197" t="s">
        <v>43</v>
      </c>
      <c r="M1" s="197" t="s">
        <v>42</v>
      </c>
      <c r="N1" s="197" t="s">
        <v>41</v>
      </c>
      <c r="O1" s="197" t="s">
        <v>40</v>
      </c>
      <c r="P1" s="197" t="s">
        <v>39</v>
      </c>
      <c r="Q1" s="197" t="s">
        <v>38</v>
      </c>
      <c r="R1" s="198"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208" t="s">
        <v>332</v>
      </c>
      <c r="C2" s="38"/>
      <c r="D2" s="199"/>
      <c r="E2" s="199"/>
      <c r="R2" s="34">
        <f>SUM(F2:Q2)</f>
        <v>0</v>
      </c>
      <c r="S2" s="34">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209" t="s">
        <v>334</v>
      </c>
      <c r="C3" s="2">
        <f>STATS!D95</f>
        <v>5987</v>
      </c>
      <c r="F3" s="308">
        <f>'MO STATS'!E91</f>
        <v>455</v>
      </c>
      <c r="G3" s="308">
        <f>'MO STATS'!F91</f>
        <v>480</v>
      </c>
      <c r="H3" s="308">
        <f>'MO STATS'!G91</f>
        <v>449</v>
      </c>
      <c r="I3" s="308">
        <f>'MO STATS'!H91</f>
        <v>543</v>
      </c>
      <c r="J3" s="308">
        <f>'MO STATS'!I91</f>
        <v>510</v>
      </c>
      <c r="K3" s="308">
        <f>'MO STATS'!J91</f>
        <v>535</v>
      </c>
      <c r="L3" s="308">
        <f>'MO STATS'!K91</f>
        <v>474</v>
      </c>
      <c r="M3" s="308">
        <f>'MO STATS'!L91</f>
        <v>532</v>
      </c>
      <c r="N3" s="308">
        <f>'MO STATS'!M91</f>
        <v>487</v>
      </c>
      <c r="O3" s="308">
        <f>'MO STATS'!N91</f>
        <v>445</v>
      </c>
      <c r="P3" s="308">
        <f>'MO STATS'!O91</f>
        <v>559</v>
      </c>
      <c r="Q3" s="308">
        <f>'MO STATS'!P91</f>
        <v>518</v>
      </c>
      <c r="R3" s="34">
        <f t="shared" ref="R3" si="0">SUM(F3:Q3)</f>
        <v>5987</v>
      </c>
      <c r="S3" s="34">
        <f t="shared" ref="S3"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38" t="s">
        <v>940</v>
      </c>
      <c r="C4" s="421">
        <f>'[4]2017 FTEs'!$AS$38</f>
        <v>0.9</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939</v>
      </c>
      <c r="C5" s="2">
        <f>C4*2080</f>
        <v>1872</v>
      </c>
      <c r="F5" s="421">
        <f>($C5/$R6)*F6</f>
        <v>158.99178082191781</v>
      </c>
      <c r="G5" s="421">
        <f t="shared" ref="G5:Q5" si="2">($C5/$R6)*G6</f>
        <v>153.86301369863014</v>
      </c>
      <c r="H5" s="421">
        <f t="shared" si="2"/>
        <v>158.99178082191781</v>
      </c>
      <c r="I5" s="421">
        <f t="shared" si="2"/>
        <v>158.99178082191781</v>
      </c>
      <c r="J5" s="421">
        <f t="shared" si="2"/>
        <v>143.60547945205479</v>
      </c>
      <c r="K5" s="421">
        <f t="shared" si="2"/>
        <v>158.99178082191781</v>
      </c>
      <c r="L5" s="421">
        <f t="shared" si="2"/>
        <v>153.86301369863014</v>
      </c>
      <c r="M5" s="421">
        <f t="shared" si="2"/>
        <v>158.99178082191781</v>
      </c>
      <c r="N5" s="421">
        <f t="shared" si="2"/>
        <v>153.86301369863014</v>
      </c>
      <c r="O5" s="421">
        <f t="shared" si="2"/>
        <v>158.99178082191781</v>
      </c>
      <c r="P5" s="421">
        <f t="shared" si="2"/>
        <v>158.99178082191781</v>
      </c>
      <c r="Q5" s="421">
        <f t="shared" si="2"/>
        <v>153.86301369863014</v>
      </c>
      <c r="R5" s="6">
        <f>SUM(F5:Q5)</f>
        <v>1872.0000000000002</v>
      </c>
      <c r="S5" s="34">
        <f>C5-R5</f>
        <v>0</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F6" s="2">
        <v>31</v>
      </c>
      <c r="G6" s="2">
        <v>30</v>
      </c>
      <c r="H6" s="2">
        <v>31</v>
      </c>
      <c r="I6" s="2">
        <v>31</v>
      </c>
      <c r="J6" s="2">
        <v>28</v>
      </c>
      <c r="K6" s="2">
        <v>31</v>
      </c>
      <c r="L6" s="2">
        <v>30</v>
      </c>
      <c r="M6" s="2">
        <v>31</v>
      </c>
      <c r="N6" s="2">
        <v>30</v>
      </c>
      <c r="O6" s="2">
        <v>31</v>
      </c>
      <c r="P6" s="2">
        <v>31</v>
      </c>
      <c r="Q6" s="2">
        <v>30</v>
      </c>
      <c r="R6" s="6">
        <f t="shared" ref="R6" si="3">SUM(F6:Q6)</f>
        <v>365</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199"/>
    </row>
    <row r="9" spans="1:58" x14ac:dyDescent="0.2">
      <c r="A9" s="21"/>
      <c r="B9" s="10" t="s">
        <v>592</v>
      </c>
      <c r="C9" s="20"/>
      <c r="D9" s="19" t="s">
        <v>596</v>
      </c>
      <c r="E9" s="111"/>
    </row>
    <row r="10" spans="1:58" s="12" customFormat="1" x14ac:dyDescent="0.2">
      <c r="A10" s="87">
        <v>41101.097000000002</v>
      </c>
      <c r="B10" s="15" t="s">
        <v>22</v>
      </c>
      <c r="C10" s="428">
        <f>[6]MOB!$J$15</f>
        <v>15368.949000000001</v>
      </c>
      <c r="D10" s="429">
        <f>$C10/C$5</f>
        <v>8.2099086538461545</v>
      </c>
      <c r="E10" s="7"/>
      <c r="F10" s="375">
        <f>$D10*F$5</f>
        <v>1305.3079972602741</v>
      </c>
      <c r="G10" s="375">
        <f t="shared" ref="G10:Q10" si="4">$D10*G$5</f>
        <v>1263.2012876712331</v>
      </c>
      <c r="H10" s="375">
        <f t="shared" si="4"/>
        <v>1305.3079972602741</v>
      </c>
      <c r="I10" s="375">
        <f t="shared" si="4"/>
        <v>1305.3079972602741</v>
      </c>
      <c r="J10" s="375">
        <f t="shared" si="4"/>
        <v>1178.9878684931507</v>
      </c>
      <c r="K10" s="375">
        <f t="shared" si="4"/>
        <v>1305.3079972602741</v>
      </c>
      <c r="L10" s="375">
        <f t="shared" si="4"/>
        <v>1263.2012876712331</v>
      </c>
      <c r="M10" s="375">
        <f t="shared" si="4"/>
        <v>1305.3079972602741</v>
      </c>
      <c r="N10" s="375">
        <f t="shared" si="4"/>
        <v>1263.2012876712331</v>
      </c>
      <c r="O10" s="375">
        <f t="shared" si="4"/>
        <v>1305.3079972602741</v>
      </c>
      <c r="P10" s="375">
        <f t="shared" si="4"/>
        <v>1305.3079972602741</v>
      </c>
      <c r="Q10" s="375">
        <f t="shared" si="4"/>
        <v>1263.2012876712331</v>
      </c>
      <c r="R10" s="376">
        <f t="shared" ref="R10:R33" si="5">SUM(F10:Q10)</f>
        <v>15368.948999999999</v>
      </c>
      <c r="S10" s="7">
        <f t="shared" ref="S10:S33" si="6">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41110.097000000002</v>
      </c>
      <c r="B11" s="15" t="s">
        <v>21</v>
      </c>
      <c r="C11" s="428">
        <f>[6]MOB!$J$16</f>
        <v>1707.6610000000001</v>
      </c>
      <c r="D11" s="429">
        <f t="shared" ref="D11:D14" si="7">$C11/C$5</f>
        <v>0.91221207264957271</v>
      </c>
      <c r="E11" s="7"/>
      <c r="F11" s="375">
        <f t="shared" ref="F11:Q14" si="8">$D11*F$5</f>
        <v>145.03422191780822</v>
      </c>
      <c r="G11" s="375">
        <f t="shared" si="8"/>
        <v>140.355698630137</v>
      </c>
      <c r="H11" s="375">
        <f t="shared" si="8"/>
        <v>145.03422191780822</v>
      </c>
      <c r="I11" s="375">
        <f t="shared" si="8"/>
        <v>145.03422191780822</v>
      </c>
      <c r="J11" s="375">
        <f t="shared" si="8"/>
        <v>130.99865205479452</v>
      </c>
      <c r="K11" s="375">
        <f t="shared" si="8"/>
        <v>145.03422191780822</v>
      </c>
      <c r="L11" s="375">
        <f t="shared" si="8"/>
        <v>140.355698630137</v>
      </c>
      <c r="M11" s="375">
        <f t="shared" si="8"/>
        <v>145.03422191780822</v>
      </c>
      <c r="N11" s="375">
        <f t="shared" si="8"/>
        <v>140.355698630137</v>
      </c>
      <c r="O11" s="375">
        <f t="shared" si="8"/>
        <v>145.03422191780822</v>
      </c>
      <c r="P11" s="375">
        <f t="shared" si="8"/>
        <v>145.03422191780822</v>
      </c>
      <c r="Q11" s="375">
        <f t="shared" si="8"/>
        <v>140.355698630137</v>
      </c>
      <c r="R11" s="376">
        <f t="shared" si="5"/>
        <v>1707.6610000000001</v>
      </c>
      <c r="S11" s="7">
        <f t="shared" si="6"/>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41115.097000000002</v>
      </c>
      <c r="B12" s="15" t="s">
        <v>20</v>
      </c>
      <c r="C12" s="428">
        <f>[6]MOB!$J$17</f>
        <v>100</v>
      </c>
      <c r="D12" s="429">
        <f t="shared" si="7"/>
        <v>5.3418803418803416E-2</v>
      </c>
      <c r="E12" s="7"/>
      <c r="F12" s="375">
        <f t="shared" si="8"/>
        <v>8.493150684931507</v>
      </c>
      <c r="G12" s="375">
        <f t="shared" si="8"/>
        <v>8.2191780821917799</v>
      </c>
      <c r="H12" s="375">
        <f t="shared" si="8"/>
        <v>8.493150684931507</v>
      </c>
      <c r="I12" s="375">
        <f t="shared" si="8"/>
        <v>8.493150684931507</v>
      </c>
      <c r="J12" s="375">
        <f t="shared" si="8"/>
        <v>7.6712328767123283</v>
      </c>
      <c r="K12" s="375">
        <f t="shared" si="8"/>
        <v>8.493150684931507</v>
      </c>
      <c r="L12" s="375">
        <f t="shared" si="8"/>
        <v>8.2191780821917799</v>
      </c>
      <c r="M12" s="375">
        <f t="shared" si="8"/>
        <v>8.493150684931507</v>
      </c>
      <c r="N12" s="375">
        <f t="shared" si="8"/>
        <v>8.2191780821917799</v>
      </c>
      <c r="O12" s="375">
        <f t="shared" si="8"/>
        <v>8.493150684931507</v>
      </c>
      <c r="P12" s="375">
        <f t="shared" si="8"/>
        <v>8.493150684931507</v>
      </c>
      <c r="Q12" s="375">
        <f t="shared" si="8"/>
        <v>8.2191780821917799</v>
      </c>
      <c r="R12" s="376">
        <f t="shared" si="5"/>
        <v>100</v>
      </c>
      <c r="S12" s="7">
        <f t="shared" si="6"/>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41150.097000000002</v>
      </c>
      <c r="B13" s="15" t="s">
        <v>19</v>
      </c>
      <c r="C13" s="430">
        <f>[6]MOB!$J$18</f>
        <v>1314.010665</v>
      </c>
      <c r="D13" s="429">
        <f t="shared" si="7"/>
        <v>0.70192877403846154</v>
      </c>
      <c r="E13" s="7"/>
      <c r="F13" s="375">
        <f t="shared" si="8"/>
        <v>111.60090579452056</v>
      </c>
      <c r="G13" s="375">
        <f t="shared" si="8"/>
        <v>108.00087657534247</v>
      </c>
      <c r="H13" s="375">
        <f t="shared" si="8"/>
        <v>111.60090579452056</v>
      </c>
      <c r="I13" s="375">
        <f t="shared" si="8"/>
        <v>111.60090579452056</v>
      </c>
      <c r="J13" s="375">
        <f t="shared" si="8"/>
        <v>100.80081813698631</v>
      </c>
      <c r="K13" s="375">
        <f t="shared" si="8"/>
        <v>111.60090579452056</v>
      </c>
      <c r="L13" s="375">
        <f t="shared" si="8"/>
        <v>108.00087657534247</v>
      </c>
      <c r="M13" s="375">
        <f t="shared" si="8"/>
        <v>111.60090579452056</v>
      </c>
      <c r="N13" s="375">
        <f t="shared" si="8"/>
        <v>108.00087657534247</v>
      </c>
      <c r="O13" s="375">
        <f t="shared" si="8"/>
        <v>111.60090579452056</v>
      </c>
      <c r="P13" s="375">
        <f t="shared" si="8"/>
        <v>111.60090579452056</v>
      </c>
      <c r="Q13" s="375">
        <f t="shared" si="8"/>
        <v>108.00087657534247</v>
      </c>
      <c r="R13" s="376">
        <f t="shared" si="5"/>
        <v>1314.010665</v>
      </c>
      <c r="S13" s="7">
        <f t="shared" si="6"/>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41152.097000000002</v>
      </c>
      <c r="B14" s="15" t="s">
        <v>18</v>
      </c>
      <c r="C14" s="431"/>
      <c r="D14" s="429">
        <f t="shared" si="7"/>
        <v>0</v>
      </c>
      <c r="E14" s="7"/>
      <c r="F14" s="375">
        <f t="shared" si="8"/>
        <v>0</v>
      </c>
      <c r="G14" s="375">
        <f t="shared" si="8"/>
        <v>0</v>
      </c>
      <c r="H14" s="375">
        <f t="shared" si="8"/>
        <v>0</v>
      </c>
      <c r="I14" s="375">
        <f t="shared" si="8"/>
        <v>0</v>
      </c>
      <c r="J14" s="375">
        <f t="shared" si="8"/>
        <v>0</v>
      </c>
      <c r="K14" s="375">
        <f t="shared" si="8"/>
        <v>0</v>
      </c>
      <c r="L14" s="375">
        <f t="shared" si="8"/>
        <v>0</v>
      </c>
      <c r="M14" s="375">
        <f t="shared" si="8"/>
        <v>0</v>
      </c>
      <c r="N14" s="375">
        <f t="shared" si="8"/>
        <v>0</v>
      </c>
      <c r="O14" s="375">
        <f t="shared" si="8"/>
        <v>0</v>
      </c>
      <c r="P14" s="375">
        <f t="shared" si="8"/>
        <v>0</v>
      </c>
      <c r="Q14" s="375">
        <f t="shared" si="8"/>
        <v>0</v>
      </c>
      <c r="R14" s="376">
        <f t="shared" si="5"/>
        <v>0</v>
      </c>
      <c r="S14" s="7">
        <f t="shared" si="6"/>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41237.097000000002</v>
      </c>
      <c r="B15" s="15" t="s">
        <v>17</v>
      </c>
      <c r="C15" s="17">
        <f>[6]MOB!$J$19</f>
        <v>1500</v>
      </c>
      <c r="D15" s="13">
        <f t="shared" ref="D15:D32" si="9">$C15/C$3</f>
        <v>0.25054284282612327</v>
      </c>
      <c r="E15" s="7"/>
      <c r="F15" s="375">
        <f t="shared" ref="F15:Q32" si="10">$D15*F$3</f>
        <v>113.99699348588609</v>
      </c>
      <c r="G15" s="375">
        <f t="shared" ref="G15:Q25" si="11">$D15*G$3</f>
        <v>120.26056455653917</v>
      </c>
      <c r="H15" s="375">
        <f t="shared" si="11"/>
        <v>112.49373642892935</v>
      </c>
      <c r="I15" s="375">
        <f t="shared" si="11"/>
        <v>136.04476365458493</v>
      </c>
      <c r="J15" s="375">
        <f t="shared" si="11"/>
        <v>127.77684984132287</v>
      </c>
      <c r="K15" s="375">
        <f t="shared" si="11"/>
        <v>134.04042091197596</v>
      </c>
      <c r="L15" s="375">
        <f t="shared" si="11"/>
        <v>118.75730749958242</v>
      </c>
      <c r="M15" s="375">
        <f t="shared" si="11"/>
        <v>133.28879238349757</v>
      </c>
      <c r="N15" s="375">
        <f t="shared" si="11"/>
        <v>122.01436445632203</v>
      </c>
      <c r="O15" s="375">
        <f t="shared" si="11"/>
        <v>111.49156505762485</v>
      </c>
      <c r="P15" s="375">
        <f t="shared" si="11"/>
        <v>140.05344913980289</v>
      </c>
      <c r="Q15" s="375">
        <f t="shared" si="11"/>
        <v>129.78119258393184</v>
      </c>
      <c r="R15" s="376">
        <f t="shared" si="5"/>
        <v>1500.0000000000002</v>
      </c>
      <c r="S15" s="7">
        <f t="shared" si="6"/>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41246.097000000002</v>
      </c>
      <c r="B16" s="15" t="s">
        <v>16</v>
      </c>
      <c r="C16" s="14">
        <f>[6]MOB!$J$20</f>
        <v>300</v>
      </c>
      <c r="D16" s="13">
        <f t="shared" si="9"/>
        <v>5.0108568565224651E-2</v>
      </c>
      <c r="E16" s="7"/>
      <c r="F16" s="375">
        <f t="shared" si="10"/>
        <v>22.799398697177217</v>
      </c>
      <c r="G16" s="375">
        <f t="shared" si="11"/>
        <v>24.052112911307834</v>
      </c>
      <c r="H16" s="375">
        <f t="shared" si="11"/>
        <v>22.498747285785868</v>
      </c>
      <c r="I16" s="375">
        <f t="shared" si="11"/>
        <v>27.208952730916984</v>
      </c>
      <c r="J16" s="375">
        <f t="shared" si="11"/>
        <v>25.555369968264571</v>
      </c>
      <c r="K16" s="375">
        <f t="shared" si="11"/>
        <v>26.808084182395188</v>
      </c>
      <c r="L16" s="375">
        <f t="shared" si="11"/>
        <v>23.751461499916484</v>
      </c>
      <c r="M16" s="375">
        <f t="shared" si="11"/>
        <v>26.657758476699513</v>
      </c>
      <c r="N16" s="375">
        <f t="shared" si="11"/>
        <v>24.402872891264405</v>
      </c>
      <c r="O16" s="375">
        <f t="shared" si="11"/>
        <v>22.298313011524968</v>
      </c>
      <c r="P16" s="375">
        <f t="shared" si="11"/>
        <v>28.010689827960579</v>
      </c>
      <c r="Q16" s="375">
        <f t="shared" si="11"/>
        <v>25.956238516786371</v>
      </c>
      <c r="R16" s="376">
        <f t="shared" si="5"/>
        <v>299.99999999999994</v>
      </c>
      <c r="S16" s="7">
        <f t="shared" si="6"/>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41250.097000000002</v>
      </c>
      <c r="B17" s="15" t="s">
        <v>15</v>
      </c>
      <c r="C17" s="14"/>
      <c r="D17" s="13">
        <f t="shared" si="9"/>
        <v>0</v>
      </c>
      <c r="E17" s="7"/>
      <c r="F17" s="375">
        <f t="shared" si="10"/>
        <v>0</v>
      </c>
      <c r="G17" s="375">
        <f t="shared" si="11"/>
        <v>0</v>
      </c>
      <c r="H17" s="375">
        <f t="shared" si="11"/>
        <v>0</v>
      </c>
      <c r="I17" s="375">
        <f t="shared" si="11"/>
        <v>0</v>
      </c>
      <c r="J17" s="375">
        <f t="shared" si="11"/>
        <v>0</v>
      </c>
      <c r="K17" s="375">
        <f t="shared" si="11"/>
        <v>0</v>
      </c>
      <c r="L17" s="375">
        <f t="shared" si="11"/>
        <v>0</v>
      </c>
      <c r="M17" s="375">
        <f t="shared" si="11"/>
        <v>0</v>
      </c>
      <c r="N17" s="375">
        <f t="shared" si="11"/>
        <v>0</v>
      </c>
      <c r="O17" s="375">
        <f t="shared" si="11"/>
        <v>0</v>
      </c>
      <c r="P17" s="375">
        <f t="shared" si="11"/>
        <v>0</v>
      </c>
      <c r="Q17" s="375">
        <f t="shared" si="11"/>
        <v>0</v>
      </c>
      <c r="R17" s="376">
        <f t="shared" si="5"/>
        <v>0</v>
      </c>
      <c r="S17" s="7">
        <f t="shared" si="6"/>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41329.097000000002</v>
      </c>
      <c r="B18" s="15" t="s">
        <v>12</v>
      </c>
      <c r="C18" s="14"/>
      <c r="D18" s="13">
        <f t="shared" si="9"/>
        <v>0</v>
      </c>
      <c r="E18" s="7"/>
      <c r="F18" s="375">
        <f t="shared" si="10"/>
        <v>0</v>
      </c>
      <c r="G18" s="375">
        <f t="shared" si="11"/>
        <v>0</v>
      </c>
      <c r="H18" s="375">
        <f t="shared" si="11"/>
        <v>0</v>
      </c>
      <c r="I18" s="375">
        <f t="shared" si="11"/>
        <v>0</v>
      </c>
      <c r="J18" s="375">
        <f t="shared" si="11"/>
        <v>0</v>
      </c>
      <c r="K18" s="375">
        <f t="shared" si="11"/>
        <v>0</v>
      </c>
      <c r="L18" s="375">
        <f t="shared" si="11"/>
        <v>0</v>
      </c>
      <c r="M18" s="375">
        <f t="shared" si="11"/>
        <v>0</v>
      </c>
      <c r="N18" s="375">
        <f t="shared" si="11"/>
        <v>0</v>
      </c>
      <c r="O18" s="375">
        <f t="shared" si="11"/>
        <v>0</v>
      </c>
      <c r="P18" s="375">
        <f t="shared" si="11"/>
        <v>0</v>
      </c>
      <c r="Q18" s="375">
        <f t="shared" si="11"/>
        <v>0</v>
      </c>
      <c r="R18" s="376">
        <f t="shared" si="5"/>
        <v>0</v>
      </c>
      <c r="S18" s="7">
        <f t="shared" si="6"/>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41365.097000000002</v>
      </c>
      <c r="B19" s="15" t="s">
        <v>10</v>
      </c>
      <c r="C19" s="14">
        <f>[6]MOB!$J$21</f>
        <v>1150</v>
      </c>
      <c r="D19" s="13">
        <f t="shared" si="9"/>
        <v>0.19208284616669449</v>
      </c>
      <c r="E19" s="7"/>
      <c r="F19" s="375">
        <f t="shared" si="10"/>
        <v>87.397695005845989</v>
      </c>
      <c r="G19" s="375">
        <f t="shared" si="11"/>
        <v>92.199766160013354</v>
      </c>
      <c r="H19" s="375">
        <f t="shared" si="11"/>
        <v>86.245197928845826</v>
      </c>
      <c r="I19" s="375">
        <f t="shared" si="11"/>
        <v>104.30098546851511</v>
      </c>
      <c r="J19" s="375">
        <f t="shared" si="11"/>
        <v>97.962251545014198</v>
      </c>
      <c r="K19" s="375">
        <f t="shared" si="11"/>
        <v>102.76432269918155</v>
      </c>
      <c r="L19" s="375">
        <f t="shared" si="11"/>
        <v>91.047269083013191</v>
      </c>
      <c r="M19" s="375">
        <f t="shared" si="11"/>
        <v>102.18807416068147</v>
      </c>
      <c r="N19" s="375">
        <f t="shared" si="11"/>
        <v>93.544346083180216</v>
      </c>
      <c r="O19" s="375">
        <f t="shared" si="11"/>
        <v>85.476866544179046</v>
      </c>
      <c r="P19" s="375">
        <f t="shared" si="11"/>
        <v>107.37431100718223</v>
      </c>
      <c r="Q19" s="375">
        <f t="shared" si="11"/>
        <v>99.498914314347743</v>
      </c>
      <c r="R19" s="376">
        <f t="shared" si="5"/>
        <v>1150</v>
      </c>
      <c r="S19" s="7">
        <f t="shared" si="6"/>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41400.097000000002</v>
      </c>
      <c r="B20" s="15" t="s">
        <v>593</v>
      </c>
      <c r="C20" s="14">
        <f>[6]MOB!$J$22</f>
        <v>7300</v>
      </c>
      <c r="D20" s="13">
        <f t="shared" si="9"/>
        <v>1.2193085017537999</v>
      </c>
      <c r="E20" s="7"/>
      <c r="F20" s="375">
        <f t="shared" si="10"/>
        <v>554.78536829797895</v>
      </c>
      <c r="G20" s="375">
        <f t="shared" si="11"/>
        <v>585.26808084182392</v>
      </c>
      <c r="H20" s="375">
        <f t="shared" si="11"/>
        <v>547.46951728745614</v>
      </c>
      <c r="I20" s="375">
        <f t="shared" si="11"/>
        <v>662.08451645231332</v>
      </c>
      <c r="J20" s="375">
        <f t="shared" si="11"/>
        <v>621.84733589443795</v>
      </c>
      <c r="K20" s="375">
        <f t="shared" si="11"/>
        <v>652.33004843828292</v>
      </c>
      <c r="L20" s="375">
        <f t="shared" si="11"/>
        <v>577.95222983130111</v>
      </c>
      <c r="M20" s="375">
        <f t="shared" si="11"/>
        <v>648.67212293302157</v>
      </c>
      <c r="N20" s="375">
        <f t="shared" si="11"/>
        <v>593.80324035410058</v>
      </c>
      <c r="O20" s="375">
        <f t="shared" si="11"/>
        <v>542.59228328044094</v>
      </c>
      <c r="P20" s="375">
        <f t="shared" si="11"/>
        <v>681.59345248037414</v>
      </c>
      <c r="Q20" s="375">
        <f t="shared" si="11"/>
        <v>631.60180390846836</v>
      </c>
      <c r="R20" s="376">
        <f t="shared" ref="R20:R22" si="12">SUM(F20:Q20)</f>
        <v>7300</v>
      </c>
      <c r="S20" s="7">
        <f t="shared" ref="S20:S22" si="13">C20-R20</f>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41401.097000000002</v>
      </c>
      <c r="B21" s="15" t="s">
        <v>594</v>
      </c>
      <c r="C21" s="14"/>
      <c r="D21" s="13">
        <f t="shared" si="9"/>
        <v>0</v>
      </c>
      <c r="E21" s="7"/>
      <c r="F21" s="375">
        <f t="shared" si="10"/>
        <v>0</v>
      </c>
      <c r="G21" s="375">
        <f t="shared" si="11"/>
        <v>0</v>
      </c>
      <c r="H21" s="375">
        <f t="shared" si="11"/>
        <v>0</v>
      </c>
      <c r="I21" s="375">
        <f t="shared" si="11"/>
        <v>0</v>
      </c>
      <c r="J21" s="375">
        <f t="shared" si="11"/>
        <v>0</v>
      </c>
      <c r="K21" s="375">
        <f t="shared" si="11"/>
        <v>0</v>
      </c>
      <c r="L21" s="375">
        <f t="shared" si="11"/>
        <v>0</v>
      </c>
      <c r="M21" s="375">
        <f t="shared" si="11"/>
        <v>0</v>
      </c>
      <c r="N21" s="375">
        <f t="shared" si="11"/>
        <v>0</v>
      </c>
      <c r="O21" s="375">
        <f t="shared" si="11"/>
        <v>0</v>
      </c>
      <c r="P21" s="375">
        <f t="shared" si="11"/>
        <v>0</v>
      </c>
      <c r="Q21" s="375">
        <f t="shared" si="11"/>
        <v>0</v>
      </c>
      <c r="R21" s="376">
        <f t="shared" si="12"/>
        <v>0</v>
      </c>
      <c r="S21" s="7">
        <f t="shared" si="13"/>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41402.097000000002</v>
      </c>
      <c r="B22" s="15" t="s">
        <v>595</v>
      </c>
      <c r="C22" s="14">
        <f>[6]MOB!$J$23</f>
        <v>725</v>
      </c>
      <c r="D22" s="13">
        <f t="shared" si="9"/>
        <v>0.12109570736595958</v>
      </c>
      <c r="E22" s="7"/>
      <c r="F22" s="375">
        <f t="shared" si="10"/>
        <v>55.098546851511607</v>
      </c>
      <c r="G22" s="375">
        <f t="shared" si="11"/>
        <v>58.125939535660599</v>
      </c>
      <c r="H22" s="375">
        <f t="shared" si="11"/>
        <v>54.371972607315854</v>
      </c>
      <c r="I22" s="375">
        <f t="shared" si="11"/>
        <v>65.75496909971605</v>
      </c>
      <c r="J22" s="375">
        <f t="shared" si="11"/>
        <v>61.758810756639384</v>
      </c>
      <c r="K22" s="375">
        <f t="shared" si="11"/>
        <v>64.78620344078837</v>
      </c>
      <c r="L22" s="375">
        <f t="shared" si="11"/>
        <v>57.399365291464839</v>
      </c>
      <c r="M22" s="375">
        <f t="shared" si="11"/>
        <v>64.422916318690497</v>
      </c>
      <c r="N22" s="375">
        <f t="shared" si="11"/>
        <v>58.973609487222312</v>
      </c>
      <c r="O22" s="375">
        <f t="shared" si="11"/>
        <v>53.887589777852014</v>
      </c>
      <c r="P22" s="375">
        <f t="shared" si="11"/>
        <v>67.692500417571409</v>
      </c>
      <c r="Q22" s="375">
        <f t="shared" si="11"/>
        <v>62.727576415567064</v>
      </c>
      <c r="R22" s="376">
        <f t="shared" si="12"/>
        <v>725</v>
      </c>
      <c r="S22" s="7">
        <f t="shared" si="13"/>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41423.097000000002</v>
      </c>
      <c r="B23" s="15" t="s">
        <v>9</v>
      </c>
      <c r="C23" s="14"/>
      <c r="D23" s="13">
        <f t="shared" si="9"/>
        <v>0</v>
      </c>
      <c r="E23" s="7"/>
      <c r="F23" s="375">
        <f t="shared" si="10"/>
        <v>0</v>
      </c>
      <c r="G23" s="375">
        <f t="shared" si="11"/>
        <v>0</v>
      </c>
      <c r="H23" s="375">
        <f t="shared" si="11"/>
        <v>0</v>
      </c>
      <c r="I23" s="375">
        <f t="shared" si="11"/>
        <v>0</v>
      </c>
      <c r="J23" s="375">
        <f t="shared" si="11"/>
        <v>0</v>
      </c>
      <c r="K23" s="375">
        <f t="shared" si="11"/>
        <v>0</v>
      </c>
      <c r="L23" s="375">
        <f t="shared" si="11"/>
        <v>0</v>
      </c>
      <c r="M23" s="375">
        <f t="shared" si="11"/>
        <v>0</v>
      </c>
      <c r="N23" s="375">
        <f t="shared" si="11"/>
        <v>0</v>
      </c>
      <c r="O23" s="375">
        <f t="shared" si="11"/>
        <v>0</v>
      </c>
      <c r="P23" s="375">
        <f t="shared" si="11"/>
        <v>0</v>
      </c>
      <c r="Q23" s="375">
        <f t="shared" si="11"/>
        <v>0</v>
      </c>
      <c r="R23" s="376">
        <f t="shared" si="5"/>
        <v>0</v>
      </c>
      <c r="S23" s="7">
        <f t="shared" si="6"/>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41426.097000000002</v>
      </c>
      <c r="B24" s="15" t="s">
        <v>8</v>
      </c>
      <c r="C24" s="14"/>
      <c r="D24" s="13">
        <f t="shared" si="9"/>
        <v>0</v>
      </c>
      <c r="E24" s="7"/>
      <c r="F24" s="375">
        <f t="shared" si="10"/>
        <v>0</v>
      </c>
      <c r="G24" s="375">
        <f t="shared" si="11"/>
        <v>0</v>
      </c>
      <c r="H24" s="375">
        <f t="shared" si="11"/>
        <v>0</v>
      </c>
      <c r="I24" s="375">
        <f t="shared" si="11"/>
        <v>0</v>
      </c>
      <c r="J24" s="375">
        <f t="shared" si="11"/>
        <v>0</v>
      </c>
      <c r="K24" s="375">
        <f t="shared" si="11"/>
        <v>0</v>
      </c>
      <c r="L24" s="375">
        <f t="shared" si="11"/>
        <v>0</v>
      </c>
      <c r="M24" s="375">
        <f t="shared" si="11"/>
        <v>0</v>
      </c>
      <c r="N24" s="375">
        <f t="shared" si="11"/>
        <v>0</v>
      </c>
      <c r="O24" s="375">
        <f t="shared" si="11"/>
        <v>0</v>
      </c>
      <c r="P24" s="375">
        <f t="shared" si="11"/>
        <v>0</v>
      </c>
      <c r="Q24" s="375">
        <f t="shared" si="11"/>
        <v>0</v>
      </c>
      <c r="R24" s="376">
        <f t="shared" si="5"/>
        <v>0</v>
      </c>
      <c r="S24" s="7">
        <f t="shared" si="6"/>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41440.097000000002</v>
      </c>
      <c r="B25" s="15" t="s">
        <v>7</v>
      </c>
      <c r="C25" s="14"/>
      <c r="D25" s="13">
        <f t="shared" si="9"/>
        <v>0</v>
      </c>
      <c r="E25" s="7"/>
      <c r="F25" s="375">
        <f t="shared" si="10"/>
        <v>0</v>
      </c>
      <c r="G25" s="375">
        <f t="shared" si="11"/>
        <v>0</v>
      </c>
      <c r="H25" s="375">
        <f t="shared" si="11"/>
        <v>0</v>
      </c>
      <c r="I25" s="375">
        <f t="shared" si="11"/>
        <v>0</v>
      </c>
      <c r="J25" s="375">
        <f t="shared" si="11"/>
        <v>0</v>
      </c>
      <c r="K25" s="375">
        <f t="shared" si="11"/>
        <v>0</v>
      </c>
      <c r="L25" s="375">
        <f t="shared" si="11"/>
        <v>0</v>
      </c>
      <c r="M25" s="375">
        <f t="shared" si="11"/>
        <v>0</v>
      </c>
      <c r="N25" s="375">
        <f t="shared" si="11"/>
        <v>0</v>
      </c>
      <c r="O25" s="375">
        <f t="shared" si="11"/>
        <v>0</v>
      </c>
      <c r="P25" s="375">
        <f t="shared" si="11"/>
        <v>0</v>
      </c>
      <c r="Q25" s="375">
        <f t="shared" si="11"/>
        <v>0</v>
      </c>
      <c r="R25" s="376">
        <f t="shared" si="5"/>
        <v>0</v>
      </c>
      <c r="S25" s="7">
        <f t="shared" si="6"/>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41460.097000000002</v>
      </c>
      <c r="B26" s="15" t="s">
        <v>6</v>
      </c>
      <c r="C26" s="14"/>
      <c r="D26" s="13">
        <f t="shared" si="9"/>
        <v>0</v>
      </c>
      <c r="E26" s="7"/>
      <c r="F26" s="375">
        <f t="shared" si="10"/>
        <v>0</v>
      </c>
      <c r="G26" s="375">
        <f t="shared" si="10"/>
        <v>0</v>
      </c>
      <c r="H26" s="375">
        <f t="shared" si="10"/>
        <v>0</v>
      </c>
      <c r="I26" s="375">
        <f t="shared" si="10"/>
        <v>0</v>
      </c>
      <c r="J26" s="375">
        <f t="shared" si="10"/>
        <v>0</v>
      </c>
      <c r="K26" s="375">
        <f t="shared" si="10"/>
        <v>0</v>
      </c>
      <c r="L26" s="375">
        <f t="shared" si="10"/>
        <v>0</v>
      </c>
      <c r="M26" s="375">
        <f t="shared" si="10"/>
        <v>0</v>
      </c>
      <c r="N26" s="375">
        <f t="shared" si="10"/>
        <v>0</v>
      </c>
      <c r="O26" s="375">
        <f t="shared" si="10"/>
        <v>0</v>
      </c>
      <c r="P26" s="375">
        <f t="shared" si="10"/>
        <v>0</v>
      </c>
      <c r="Q26" s="375">
        <f t="shared" si="10"/>
        <v>0</v>
      </c>
      <c r="R26" s="376">
        <f t="shared" si="5"/>
        <v>0</v>
      </c>
      <c r="S26" s="7">
        <f t="shared" si="6"/>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41461.097000000002</v>
      </c>
      <c r="B27" s="15" t="s">
        <v>5</v>
      </c>
      <c r="C27" s="14"/>
      <c r="D27" s="13">
        <f t="shared" si="9"/>
        <v>0</v>
      </c>
      <c r="E27" s="7"/>
      <c r="F27" s="375">
        <f t="shared" si="10"/>
        <v>0</v>
      </c>
      <c r="G27" s="375">
        <f t="shared" si="10"/>
        <v>0</v>
      </c>
      <c r="H27" s="375">
        <f t="shared" si="10"/>
        <v>0</v>
      </c>
      <c r="I27" s="375">
        <f t="shared" si="10"/>
        <v>0</v>
      </c>
      <c r="J27" s="375">
        <f t="shared" si="10"/>
        <v>0</v>
      </c>
      <c r="K27" s="375">
        <f t="shared" si="10"/>
        <v>0</v>
      </c>
      <c r="L27" s="375">
        <f t="shared" si="10"/>
        <v>0</v>
      </c>
      <c r="M27" s="375">
        <f t="shared" si="10"/>
        <v>0</v>
      </c>
      <c r="N27" s="375">
        <f t="shared" si="10"/>
        <v>0</v>
      </c>
      <c r="O27" s="375">
        <f t="shared" si="10"/>
        <v>0</v>
      </c>
      <c r="P27" s="375">
        <f t="shared" si="10"/>
        <v>0</v>
      </c>
      <c r="Q27" s="375">
        <f t="shared" si="10"/>
        <v>0</v>
      </c>
      <c r="R27" s="376">
        <f t="shared" si="5"/>
        <v>0</v>
      </c>
      <c r="S27" s="7">
        <f t="shared" si="6"/>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41490.097000000002</v>
      </c>
      <c r="B28" s="15" t="s">
        <v>4</v>
      </c>
      <c r="C28" s="14"/>
      <c r="D28" s="13">
        <f t="shared" si="9"/>
        <v>0</v>
      </c>
      <c r="E28" s="7"/>
      <c r="F28" s="375">
        <f t="shared" si="10"/>
        <v>0</v>
      </c>
      <c r="G28" s="375">
        <f t="shared" si="10"/>
        <v>0</v>
      </c>
      <c r="H28" s="375">
        <f t="shared" si="10"/>
        <v>0</v>
      </c>
      <c r="I28" s="375">
        <f t="shared" si="10"/>
        <v>0</v>
      </c>
      <c r="J28" s="375">
        <f t="shared" si="10"/>
        <v>0</v>
      </c>
      <c r="K28" s="375">
        <f t="shared" si="10"/>
        <v>0</v>
      </c>
      <c r="L28" s="375">
        <f t="shared" si="10"/>
        <v>0</v>
      </c>
      <c r="M28" s="375">
        <f t="shared" si="10"/>
        <v>0</v>
      </c>
      <c r="N28" s="375">
        <f t="shared" si="10"/>
        <v>0</v>
      </c>
      <c r="O28" s="375">
        <f t="shared" si="10"/>
        <v>0</v>
      </c>
      <c r="P28" s="375">
        <f t="shared" si="10"/>
        <v>0</v>
      </c>
      <c r="Q28" s="375">
        <f t="shared" si="10"/>
        <v>0</v>
      </c>
      <c r="R28" s="376">
        <f t="shared" si="5"/>
        <v>0</v>
      </c>
      <c r="S28" s="7">
        <f t="shared" si="6"/>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41509.097000000002</v>
      </c>
      <c r="B29" s="15" t="s">
        <v>3</v>
      </c>
      <c r="C29" s="14">
        <f>[6]MOB!$J$24</f>
        <v>900</v>
      </c>
      <c r="D29" s="13">
        <f t="shared" si="9"/>
        <v>0.15032570569567397</v>
      </c>
      <c r="E29" s="7"/>
      <c r="F29" s="375">
        <f t="shared" si="10"/>
        <v>68.398196091531659</v>
      </c>
      <c r="G29" s="375">
        <f t="shared" si="10"/>
        <v>72.156338733923505</v>
      </c>
      <c r="H29" s="375">
        <f t="shared" si="10"/>
        <v>67.496241857357617</v>
      </c>
      <c r="I29" s="375">
        <f t="shared" si="10"/>
        <v>81.626858192750959</v>
      </c>
      <c r="J29" s="375">
        <f t="shared" si="10"/>
        <v>76.666109904793728</v>
      </c>
      <c r="K29" s="375">
        <f t="shared" si="10"/>
        <v>80.424252547185574</v>
      </c>
      <c r="L29" s="375">
        <f t="shared" si="10"/>
        <v>71.254384499749463</v>
      </c>
      <c r="M29" s="375">
        <f t="shared" si="10"/>
        <v>79.973275430098553</v>
      </c>
      <c r="N29" s="375">
        <f t="shared" si="10"/>
        <v>73.208618673793225</v>
      </c>
      <c r="O29" s="375">
        <f t="shared" si="10"/>
        <v>66.894939034574918</v>
      </c>
      <c r="P29" s="375">
        <f t="shared" si="10"/>
        <v>84.032069483881742</v>
      </c>
      <c r="Q29" s="375">
        <f t="shared" si="10"/>
        <v>77.868715550359113</v>
      </c>
      <c r="R29" s="376">
        <f t="shared" si="5"/>
        <v>900</v>
      </c>
      <c r="S29" s="7">
        <f t="shared" si="6"/>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41560.097000000002</v>
      </c>
      <c r="B30" s="15" t="s">
        <v>420</v>
      </c>
      <c r="C30" s="14"/>
      <c r="D30" s="13">
        <f t="shared" si="9"/>
        <v>0</v>
      </c>
      <c r="E30" s="7"/>
      <c r="F30" s="375">
        <f t="shared" si="10"/>
        <v>0</v>
      </c>
      <c r="G30" s="375">
        <f t="shared" si="10"/>
        <v>0</v>
      </c>
      <c r="H30" s="375">
        <f t="shared" si="10"/>
        <v>0</v>
      </c>
      <c r="I30" s="375">
        <f t="shared" si="10"/>
        <v>0</v>
      </c>
      <c r="J30" s="375">
        <f t="shared" si="10"/>
        <v>0</v>
      </c>
      <c r="K30" s="375">
        <f t="shared" si="10"/>
        <v>0</v>
      </c>
      <c r="L30" s="375">
        <f t="shared" si="10"/>
        <v>0</v>
      </c>
      <c r="M30" s="375">
        <f t="shared" si="10"/>
        <v>0</v>
      </c>
      <c r="N30" s="375">
        <f t="shared" si="10"/>
        <v>0</v>
      </c>
      <c r="O30" s="375">
        <f t="shared" si="10"/>
        <v>0</v>
      </c>
      <c r="P30" s="375">
        <f t="shared" si="10"/>
        <v>0</v>
      </c>
      <c r="Q30" s="375">
        <f t="shared" si="10"/>
        <v>0</v>
      </c>
      <c r="R30" s="376">
        <f t="shared" ref="R30" si="14">SUM(F30:Q30)</f>
        <v>0</v>
      </c>
      <c r="S30" s="7">
        <f t="shared" ref="S30" si="15">C30-R30</f>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12" customFormat="1" x14ac:dyDescent="0.2">
      <c r="A31" s="87">
        <v>41570.097000000002</v>
      </c>
      <c r="B31" s="15" t="s">
        <v>2</v>
      </c>
      <c r="C31" s="14">
        <f>[6]MOB!$J$25</f>
        <v>800</v>
      </c>
      <c r="D31" s="13">
        <f t="shared" si="9"/>
        <v>0.13362284950726575</v>
      </c>
      <c r="E31" s="7"/>
      <c r="F31" s="375">
        <f t="shared" si="10"/>
        <v>60.798396525805913</v>
      </c>
      <c r="G31" s="375">
        <f t="shared" si="10"/>
        <v>64.138967763487557</v>
      </c>
      <c r="H31" s="375">
        <f t="shared" si="10"/>
        <v>59.996659428762321</v>
      </c>
      <c r="I31" s="375">
        <f t="shared" si="10"/>
        <v>72.557207282445304</v>
      </c>
      <c r="J31" s="375">
        <f t="shared" si="10"/>
        <v>68.147653248705524</v>
      </c>
      <c r="K31" s="375">
        <f t="shared" si="10"/>
        <v>71.488224486387168</v>
      </c>
      <c r="L31" s="375">
        <f t="shared" si="10"/>
        <v>63.337230666443965</v>
      </c>
      <c r="M31" s="375">
        <f t="shared" si="10"/>
        <v>71.087355937865382</v>
      </c>
      <c r="N31" s="375">
        <f t="shared" si="10"/>
        <v>65.074327710038418</v>
      </c>
      <c r="O31" s="375">
        <f t="shared" si="10"/>
        <v>59.46216803073326</v>
      </c>
      <c r="P31" s="375">
        <f t="shared" si="10"/>
        <v>74.69517287456155</v>
      </c>
      <c r="Q31" s="375">
        <f t="shared" si="10"/>
        <v>69.216636044763661</v>
      </c>
      <c r="R31" s="376">
        <f t="shared" si="5"/>
        <v>800</v>
      </c>
      <c r="S31" s="7">
        <f t="shared" si="6"/>
        <v>0</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1:58" s="12" customFormat="1" x14ac:dyDescent="0.2">
      <c r="A32" s="87">
        <v>41571.097000000002</v>
      </c>
      <c r="B32" s="15" t="s">
        <v>1</v>
      </c>
      <c r="C32" s="14"/>
      <c r="D32" s="13">
        <f t="shared" si="9"/>
        <v>0</v>
      </c>
      <c r="E32" s="7"/>
      <c r="F32" s="375">
        <f t="shared" si="10"/>
        <v>0</v>
      </c>
      <c r="G32" s="375">
        <f t="shared" si="10"/>
        <v>0</v>
      </c>
      <c r="H32" s="375">
        <f t="shared" si="10"/>
        <v>0</v>
      </c>
      <c r="I32" s="375">
        <f t="shared" si="10"/>
        <v>0</v>
      </c>
      <c r="J32" s="375">
        <f t="shared" si="10"/>
        <v>0</v>
      </c>
      <c r="K32" s="375">
        <f t="shared" si="10"/>
        <v>0</v>
      </c>
      <c r="L32" s="375">
        <f t="shared" si="10"/>
        <v>0</v>
      </c>
      <c r="M32" s="375">
        <f t="shared" si="10"/>
        <v>0</v>
      </c>
      <c r="N32" s="375">
        <f t="shared" si="10"/>
        <v>0</v>
      </c>
      <c r="O32" s="375">
        <f t="shared" si="10"/>
        <v>0</v>
      </c>
      <c r="P32" s="375">
        <f t="shared" si="10"/>
        <v>0</v>
      </c>
      <c r="Q32" s="375">
        <f t="shared" si="10"/>
        <v>0</v>
      </c>
      <c r="R32" s="376">
        <f t="shared" si="5"/>
        <v>0</v>
      </c>
      <c r="S32" s="7">
        <f t="shared" si="6"/>
        <v>0</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1:58" s="5" customFormat="1" x14ac:dyDescent="0.2">
      <c r="A33" s="11"/>
      <c r="B33" s="10" t="s">
        <v>0</v>
      </c>
      <c r="C33" s="8">
        <f>SUM(C10:C32)</f>
        <v>31165.620665000002</v>
      </c>
      <c r="D33" s="9">
        <f>SUM(D10:D32)</f>
        <v>11.994555325833735</v>
      </c>
      <c r="E33" s="104"/>
      <c r="F33" s="394">
        <f t="shared" ref="F33:Q33" si="16">SUM(F10:F32)</f>
        <v>2533.7108706132713</v>
      </c>
      <c r="G33" s="394">
        <f t="shared" si="16"/>
        <v>2535.9788114616599</v>
      </c>
      <c r="H33" s="394">
        <f t="shared" si="16"/>
        <v>2521.0083484819879</v>
      </c>
      <c r="I33" s="394">
        <f t="shared" si="16"/>
        <v>2720.0145285387771</v>
      </c>
      <c r="J33" s="394">
        <f t="shared" si="16"/>
        <v>2498.1729527208222</v>
      </c>
      <c r="K33" s="394">
        <f t="shared" si="16"/>
        <v>2703.077832363731</v>
      </c>
      <c r="L33" s="394">
        <f t="shared" si="16"/>
        <v>2523.2762893303761</v>
      </c>
      <c r="M33" s="394">
        <f t="shared" si="16"/>
        <v>2696.7265712980893</v>
      </c>
      <c r="N33" s="394">
        <f t="shared" si="16"/>
        <v>2550.7984206148258</v>
      </c>
      <c r="O33" s="394">
        <f t="shared" si="16"/>
        <v>2512.5400003944646</v>
      </c>
      <c r="P33" s="394">
        <f t="shared" si="16"/>
        <v>2753.8879208888693</v>
      </c>
      <c r="Q33" s="394">
        <f t="shared" si="16"/>
        <v>2616.4281182931286</v>
      </c>
      <c r="R33" s="109">
        <f t="shared" si="5"/>
        <v>31165.620665000002</v>
      </c>
      <c r="S33" s="7">
        <f t="shared" si="6"/>
        <v>0</v>
      </c>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row>
    <row r="34" spans="1:58" x14ac:dyDescent="0.2">
      <c r="F34" s="3"/>
    </row>
    <row r="35" spans="1:58" x14ac:dyDescent="0.2">
      <c r="A35" s="4"/>
      <c r="C35" s="3"/>
      <c r="F35" s="3"/>
      <c r="G35" s="3"/>
      <c r="H35" s="3"/>
      <c r="I35" s="3"/>
      <c r="J35" s="3"/>
      <c r="K35" s="3"/>
      <c r="L35" s="3"/>
      <c r="M35" s="3"/>
      <c r="N35" s="3"/>
      <c r="O35" s="3"/>
      <c r="P35" s="3"/>
      <c r="Q35" s="3"/>
    </row>
    <row r="36" spans="1:58" x14ac:dyDescent="0.2">
      <c r="A36" s="4"/>
      <c r="C36" s="3"/>
      <c r="F36" s="3"/>
      <c r="G36" s="3"/>
      <c r="H36" s="3"/>
      <c r="I36" s="3"/>
      <c r="J36" s="3"/>
      <c r="K36" s="3"/>
      <c r="L36" s="3"/>
      <c r="M36" s="3"/>
      <c r="N36" s="3"/>
      <c r="O36" s="3"/>
      <c r="P36" s="3"/>
      <c r="Q36" s="3"/>
    </row>
    <row r="37" spans="1:58" x14ac:dyDescent="0.2">
      <c r="C37" s="3"/>
      <c r="F37" s="3"/>
      <c r="G37" s="3"/>
      <c r="H37" s="3"/>
      <c r="I37" s="3"/>
      <c r="J37" s="3"/>
      <c r="K37" s="3"/>
      <c r="L37" s="3"/>
      <c r="M37" s="3"/>
      <c r="N37" s="3"/>
      <c r="O37" s="3"/>
      <c r="P37" s="3"/>
      <c r="Q37" s="3"/>
    </row>
  </sheetData>
  <mergeCells count="1">
    <mergeCell ref="A8:D8"/>
  </mergeCells>
  <printOptions gridLines="1"/>
  <pageMargins left="0.25" right="0.25" top="0.75" bottom="0.75" header="0.3" footer="0.3"/>
  <pageSetup scale="62" orientation="landscape" r:id="rId1"/>
  <headerFooter alignWithMargins="0">
    <oddHeader xml:space="preserve">&amp;C&amp;"Arial,Bold"&amp;14DOCTORS MEMORIAL HOSPITAL
FY 2017 BUDGET
</oddHeader>
    <oddFooter xml:space="preserve">&amp;R&amp;A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22"/>
  <sheetViews>
    <sheetView zoomScale="80" zoomScaleNormal="80" workbookViewId="0">
      <pane xSplit="2" ySplit="6" topLeftCell="C7" activePane="bottomRight" state="frozen"/>
      <selection pane="topRight" activeCell="C1" sqref="C1"/>
      <selection pane="bottomLeft" activeCell="A7" sqref="A7"/>
      <selection pane="bottomRight" activeCell="H37" sqref="H36:H37"/>
    </sheetView>
  </sheetViews>
  <sheetFormatPr defaultRowHeight="12.75" x14ac:dyDescent="0.2"/>
  <cols>
    <col min="1" max="1" width="11" style="2" bestFit="1" customWidth="1"/>
    <col min="2" max="2" width="21.7109375" style="2" customWidth="1"/>
    <col min="3" max="3" width="16.140625" style="2" customWidth="1"/>
    <col min="4" max="4" width="9.42578125" style="4" customWidth="1"/>
    <col min="5" max="5" width="4.140625" style="4" customWidth="1"/>
    <col min="6" max="6" width="12.85546875" style="2" bestFit="1" customWidth="1"/>
    <col min="7" max="7" width="13.85546875" style="2" bestFit="1" customWidth="1"/>
    <col min="8" max="16" width="11.28515625" style="2" bestFit="1" customWidth="1"/>
    <col min="17" max="17" width="12.7109375" style="2" bestFit="1" customWidth="1"/>
    <col min="18" max="18" width="12.7109375" style="3" bestFit="1" customWidth="1"/>
    <col min="19" max="19" width="11.7109375" style="2" bestFit="1" customWidth="1"/>
    <col min="20" max="58" width="9.140625" style="2"/>
    <col min="59" max="16384" width="9.140625" style="1"/>
  </cols>
  <sheetData>
    <row r="1" spans="1:58" ht="12.75" customHeight="1" x14ac:dyDescent="0.2">
      <c r="C1" s="197"/>
      <c r="D1" s="199"/>
      <c r="E1" s="199"/>
      <c r="F1" s="197" t="s">
        <v>49</v>
      </c>
      <c r="G1" s="197" t="s">
        <v>48</v>
      </c>
      <c r="H1" s="197" t="s">
        <v>47</v>
      </c>
      <c r="I1" s="197" t="s">
        <v>46</v>
      </c>
      <c r="J1" s="197" t="s">
        <v>45</v>
      </c>
      <c r="K1" s="197" t="s">
        <v>44</v>
      </c>
      <c r="L1" s="197" t="s">
        <v>43</v>
      </c>
      <c r="M1" s="197" t="s">
        <v>42</v>
      </c>
      <c r="N1" s="197" t="s">
        <v>41</v>
      </c>
      <c r="O1" s="197" t="s">
        <v>40</v>
      </c>
      <c r="P1" s="197" t="s">
        <v>39</v>
      </c>
      <c r="Q1" s="197" t="s">
        <v>38</v>
      </c>
      <c r="R1" s="198"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208"/>
      <c r="C2" s="38"/>
      <c r="D2" s="199"/>
      <c r="E2" s="199"/>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303" t="s">
        <v>198</v>
      </c>
      <c r="C3" s="38">
        <f>STATS!D96</f>
        <v>101144</v>
      </c>
      <c r="D3" s="199"/>
      <c r="E3" s="199"/>
      <c r="F3" s="309">
        <f>'MO STATS'!E92</f>
        <v>8362</v>
      </c>
      <c r="G3" s="309">
        <f>'MO STATS'!F92</f>
        <v>8626</v>
      </c>
      <c r="H3" s="309">
        <f>'MO STATS'!G92</f>
        <v>7833</v>
      </c>
      <c r="I3" s="309">
        <f>'MO STATS'!H92</f>
        <v>7704</v>
      </c>
      <c r="J3" s="309">
        <f>'MO STATS'!I92</f>
        <v>8583</v>
      </c>
      <c r="K3" s="309">
        <f>'MO STATS'!J92</f>
        <v>8908</v>
      </c>
      <c r="L3" s="309">
        <f>'MO STATS'!K92</f>
        <v>8666</v>
      </c>
      <c r="M3" s="309">
        <f>'MO STATS'!L92</f>
        <v>8337</v>
      </c>
      <c r="N3" s="309">
        <f>'MO STATS'!M92</f>
        <v>7316</v>
      </c>
      <c r="O3" s="309">
        <f>'MO STATS'!N92</f>
        <v>8516</v>
      </c>
      <c r="P3" s="309">
        <f>'MO STATS'!O92</f>
        <v>9155</v>
      </c>
      <c r="Q3" s="309">
        <f>'MO STATS'!P92</f>
        <v>9138</v>
      </c>
      <c r="R3" s="3">
        <f>SUM(F3:Q3)</f>
        <v>101144</v>
      </c>
      <c r="S3" s="3">
        <f>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199"/>
    </row>
    <row r="9" spans="1:58" x14ac:dyDescent="0.2">
      <c r="A9" s="21"/>
      <c r="B9" s="10" t="s">
        <v>597</v>
      </c>
      <c r="C9" s="20"/>
      <c r="D9" s="19" t="s">
        <v>596</v>
      </c>
      <c r="E9" s="111"/>
    </row>
    <row r="10" spans="1:58" s="12" customFormat="1" x14ac:dyDescent="0.2">
      <c r="A10" s="87">
        <v>41101.321000000004</v>
      </c>
      <c r="B10" s="15" t="s">
        <v>22</v>
      </c>
      <c r="C10" s="14"/>
      <c r="D10" s="13">
        <f>$C10/C$3</f>
        <v>0</v>
      </c>
      <c r="E10" s="7"/>
      <c r="F10" s="375">
        <f>$D10*F$3</f>
        <v>0</v>
      </c>
      <c r="G10" s="375">
        <f t="shared" ref="G10:Q17" si="0">$D10*G$3</f>
        <v>0</v>
      </c>
      <c r="H10" s="375">
        <f t="shared" si="0"/>
        <v>0</v>
      </c>
      <c r="I10" s="375">
        <f t="shared" si="0"/>
        <v>0</v>
      </c>
      <c r="J10" s="375">
        <f t="shared" si="0"/>
        <v>0</v>
      </c>
      <c r="K10" s="375">
        <f t="shared" si="0"/>
        <v>0</v>
      </c>
      <c r="L10" s="375">
        <f t="shared" si="0"/>
        <v>0</v>
      </c>
      <c r="M10" s="375">
        <f t="shared" si="0"/>
        <v>0</v>
      </c>
      <c r="N10" s="375">
        <f t="shared" si="0"/>
        <v>0</v>
      </c>
      <c r="O10" s="375">
        <f t="shared" si="0"/>
        <v>0</v>
      </c>
      <c r="P10" s="375">
        <f t="shared" si="0"/>
        <v>0</v>
      </c>
      <c r="Q10" s="375">
        <f t="shared" si="0"/>
        <v>0</v>
      </c>
      <c r="R10" s="376">
        <f t="shared" ref="R10:R18" si="1">SUM(F10:Q10)</f>
        <v>0</v>
      </c>
      <c r="S10" s="7">
        <f t="shared" ref="S10:S18" si="2">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41110.321000000004</v>
      </c>
      <c r="B11" s="15" t="s">
        <v>21</v>
      </c>
      <c r="C11" s="14"/>
      <c r="D11" s="13">
        <f t="shared" ref="D11:D17" si="3">$C11/C$3</f>
        <v>0</v>
      </c>
      <c r="E11" s="7"/>
      <c r="F11" s="375">
        <f t="shared" ref="F11:F17" si="4">$D11*F$3</f>
        <v>0</v>
      </c>
      <c r="G11" s="375">
        <f t="shared" si="0"/>
        <v>0</v>
      </c>
      <c r="H11" s="375">
        <f t="shared" si="0"/>
        <v>0</v>
      </c>
      <c r="I11" s="375">
        <f t="shared" si="0"/>
        <v>0</v>
      </c>
      <c r="J11" s="375">
        <f t="shared" si="0"/>
        <v>0</v>
      </c>
      <c r="K11" s="375">
        <f t="shared" si="0"/>
        <v>0</v>
      </c>
      <c r="L11" s="375">
        <f t="shared" si="0"/>
        <v>0</v>
      </c>
      <c r="M11" s="375">
        <f t="shared" si="0"/>
        <v>0</v>
      </c>
      <c r="N11" s="375">
        <f t="shared" si="0"/>
        <v>0</v>
      </c>
      <c r="O11" s="375">
        <f t="shared" si="0"/>
        <v>0</v>
      </c>
      <c r="P11" s="375">
        <f t="shared" si="0"/>
        <v>0</v>
      </c>
      <c r="Q11" s="375">
        <f t="shared" si="0"/>
        <v>0</v>
      </c>
      <c r="R11" s="376">
        <f t="shared" si="1"/>
        <v>0</v>
      </c>
      <c r="S11" s="7">
        <f t="shared" si="2"/>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41115.321000000004</v>
      </c>
      <c r="B12" s="15" t="s">
        <v>20</v>
      </c>
      <c r="C12" s="14"/>
      <c r="D12" s="13">
        <f t="shared" si="3"/>
        <v>0</v>
      </c>
      <c r="E12" s="7"/>
      <c r="F12" s="375">
        <f t="shared" si="4"/>
        <v>0</v>
      </c>
      <c r="G12" s="375">
        <f t="shared" si="0"/>
        <v>0</v>
      </c>
      <c r="H12" s="375">
        <f t="shared" si="0"/>
        <v>0</v>
      </c>
      <c r="I12" s="375">
        <f t="shared" si="0"/>
        <v>0</v>
      </c>
      <c r="J12" s="375">
        <f t="shared" si="0"/>
        <v>0</v>
      </c>
      <c r="K12" s="375">
        <f t="shared" si="0"/>
        <v>0</v>
      </c>
      <c r="L12" s="375">
        <f t="shared" si="0"/>
        <v>0</v>
      </c>
      <c r="M12" s="375">
        <f t="shared" si="0"/>
        <v>0</v>
      </c>
      <c r="N12" s="375">
        <f t="shared" si="0"/>
        <v>0</v>
      </c>
      <c r="O12" s="375">
        <f t="shared" si="0"/>
        <v>0</v>
      </c>
      <c r="P12" s="375">
        <f t="shared" si="0"/>
        <v>0</v>
      </c>
      <c r="Q12" s="375">
        <f t="shared" si="0"/>
        <v>0</v>
      </c>
      <c r="R12" s="376">
        <f t="shared" si="1"/>
        <v>0</v>
      </c>
      <c r="S12" s="7">
        <f t="shared" si="2"/>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41150.321000000004</v>
      </c>
      <c r="B13" s="15" t="s">
        <v>19</v>
      </c>
      <c r="C13" s="18"/>
      <c r="D13" s="13">
        <f t="shared" si="3"/>
        <v>0</v>
      </c>
      <c r="E13" s="7"/>
      <c r="F13" s="375">
        <f t="shared" si="4"/>
        <v>0</v>
      </c>
      <c r="G13" s="375">
        <f t="shared" si="0"/>
        <v>0</v>
      </c>
      <c r="H13" s="375">
        <f t="shared" si="0"/>
        <v>0</v>
      </c>
      <c r="I13" s="375">
        <f t="shared" si="0"/>
        <v>0</v>
      </c>
      <c r="J13" s="375">
        <f t="shared" si="0"/>
        <v>0</v>
      </c>
      <c r="K13" s="375">
        <f t="shared" si="0"/>
        <v>0</v>
      </c>
      <c r="L13" s="375">
        <f t="shared" si="0"/>
        <v>0</v>
      </c>
      <c r="M13" s="375">
        <f t="shared" si="0"/>
        <v>0</v>
      </c>
      <c r="N13" s="375">
        <f t="shared" si="0"/>
        <v>0</v>
      </c>
      <c r="O13" s="375">
        <f t="shared" si="0"/>
        <v>0</v>
      </c>
      <c r="P13" s="375">
        <f t="shared" si="0"/>
        <v>0</v>
      </c>
      <c r="Q13" s="375">
        <f t="shared" si="0"/>
        <v>0</v>
      </c>
      <c r="R13" s="376">
        <f t="shared" si="1"/>
        <v>0</v>
      </c>
      <c r="S13" s="7">
        <f t="shared" si="2"/>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41152.321000000004</v>
      </c>
      <c r="B14" s="15" t="s">
        <v>18</v>
      </c>
      <c r="C14" s="17"/>
      <c r="D14" s="13">
        <f t="shared" si="3"/>
        <v>0</v>
      </c>
      <c r="E14" s="7"/>
      <c r="F14" s="375">
        <f t="shared" si="4"/>
        <v>0</v>
      </c>
      <c r="G14" s="375">
        <f t="shared" si="0"/>
        <v>0</v>
      </c>
      <c r="H14" s="375">
        <f t="shared" si="0"/>
        <v>0</v>
      </c>
      <c r="I14" s="375">
        <f t="shared" si="0"/>
        <v>0</v>
      </c>
      <c r="J14" s="375">
        <f t="shared" si="0"/>
        <v>0</v>
      </c>
      <c r="K14" s="375">
        <f t="shared" si="0"/>
        <v>0</v>
      </c>
      <c r="L14" s="375">
        <f t="shared" si="0"/>
        <v>0</v>
      </c>
      <c r="M14" s="375">
        <f t="shared" si="0"/>
        <v>0</v>
      </c>
      <c r="N14" s="375">
        <f t="shared" si="0"/>
        <v>0</v>
      </c>
      <c r="O14" s="375">
        <f t="shared" si="0"/>
        <v>0</v>
      </c>
      <c r="P14" s="375">
        <f t="shared" si="0"/>
        <v>0</v>
      </c>
      <c r="Q14" s="375">
        <f t="shared" si="0"/>
        <v>0</v>
      </c>
      <c r="R14" s="376">
        <f t="shared" si="1"/>
        <v>0</v>
      </c>
      <c r="S14" s="7">
        <f t="shared" si="2"/>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41237.321000000004</v>
      </c>
      <c r="B15" s="15" t="s">
        <v>17</v>
      </c>
      <c r="C15" s="17"/>
      <c r="D15" s="13">
        <f t="shared" si="3"/>
        <v>0</v>
      </c>
      <c r="E15" s="7"/>
      <c r="F15" s="375">
        <f t="shared" si="4"/>
        <v>0</v>
      </c>
      <c r="G15" s="375">
        <f t="shared" si="0"/>
        <v>0</v>
      </c>
      <c r="H15" s="375">
        <f t="shared" si="0"/>
        <v>0</v>
      </c>
      <c r="I15" s="375">
        <f t="shared" si="0"/>
        <v>0</v>
      </c>
      <c r="J15" s="375">
        <f t="shared" si="0"/>
        <v>0</v>
      </c>
      <c r="K15" s="375">
        <f t="shared" si="0"/>
        <v>0</v>
      </c>
      <c r="L15" s="375">
        <f t="shared" si="0"/>
        <v>0</v>
      </c>
      <c r="M15" s="375">
        <f t="shared" si="0"/>
        <v>0</v>
      </c>
      <c r="N15" s="375">
        <f t="shared" si="0"/>
        <v>0</v>
      </c>
      <c r="O15" s="375">
        <f t="shared" si="0"/>
        <v>0</v>
      </c>
      <c r="P15" s="375">
        <f t="shared" si="0"/>
        <v>0</v>
      </c>
      <c r="Q15" s="375">
        <f t="shared" si="0"/>
        <v>0</v>
      </c>
      <c r="R15" s="376">
        <f t="shared" si="1"/>
        <v>0</v>
      </c>
      <c r="S15" s="7">
        <f t="shared" si="2"/>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41248.321000000004</v>
      </c>
      <c r="B16" s="15" t="s">
        <v>598</v>
      </c>
      <c r="C16" s="14"/>
      <c r="D16" s="13">
        <f t="shared" si="3"/>
        <v>0</v>
      </c>
      <c r="E16" s="7"/>
      <c r="F16" s="375">
        <f t="shared" si="4"/>
        <v>0</v>
      </c>
      <c r="G16" s="375">
        <f t="shared" si="0"/>
        <v>0</v>
      </c>
      <c r="H16" s="375">
        <f t="shared" si="0"/>
        <v>0</v>
      </c>
      <c r="I16" s="375">
        <f t="shared" si="0"/>
        <v>0</v>
      </c>
      <c r="J16" s="375">
        <f t="shared" si="0"/>
        <v>0</v>
      </c>
      <c r="K16" s="375">
        <f t="shared" si="0"/>
        <v>0</v>
      </c>
      <c r="L16" s="375">
        <f t="shared" si="0"/>
        <v>0</v>
      </c>
      <c r="M16" s="375">
        <f t="shared" si="0"/>
        <v>0</v>
      </c>
      <c r="N16" s="375">
        <f t="shared" si="0"/>
        <v>0</v>
      </c>
      <c r="O16" s="375">
        <f t="shared" si="0"/>
        <v>0</v>
      </c>
      <c r="P16" s="375">
        <f t="shared" si="0"/>
        <v>0</v>
      </c>
      <c r="Q16" s="375">
        <f t="shared" si="0"/>
        <v>0</v>
      </c>
      <c r="R16" s="376">
        <f t="shared" si="1"/>
        <v>0</v>
      </c>
      <c r="S16" s="7">
        <f t="shared" si="2"/>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41328.321000000004</v>
      </c>
      <c r="B17" s="15" t="s">
        <v>599</v>
      </c>
      <c r="C17" s="14">
        <f>[6]Laundry!$I$15</f>
        <v>80700</v>
      </c>
      <c r="D17" s="13">
        <f t="shared" si="3"/>
        <v>0.7978723404255319</v>
      </c>
      <c r="E17" s="7"/>
      <c r="F17" s="375">
        <f t="shared" si="4"/>
        <v>6671.8085106382978</v>
      </c>
      <c r="G17" s="375">
        <f t="shared" si="0"/>
        <v>6882.4468085106382</v>
      </c>
      <c r="H17" s="375">
        <f t="shared" si="0"/>
        <v>6249.7340425531911</v>
      </c>
      <c r="I17" s="375">
        <f t="shared" si="0"/>
        <v>6146.8085106382978</v>
      </c>
      <c r="J17" s="375">
        <f t="shared" si="0"/>
        <v>6848.1382978723404</v>
      </c>
      <c r="K17" s="375">
        <f t="shared" si="0"/>
        <v>7107.4468085106382</v>
      </c>
      <c r="L17" s="375">
        <f t="shared" si="0"/>
        <v>6914.3617021276596</v>
      </c>
      <c r="M17" s="375">
        <f t="shared" si="0"/>
        <v>6651.8617021276596</v>
      </c>
      <c r="N17" s="375">
        <f t="shared" si="0"/>
        <v>5837.2340425531911</v>
      </c>
      <c r="O17" s="375">
        <f t="shared" si="0"/>
        <v>6794.6808510638293</v>
      </c>
      <c r="P17" s="375">
        <f t="shared" si="0"/>
        <v>7304.5212765957449</v>
      </c>
      <c r="Q17" s="375">
        <f t="shared" si="0"/>
        <v>7290.9574468085102</v>
      </c>
      <c r="R17" s="376">
        <f t="shared" si="1"/>
        <v>80699.999999999985</v>
      </c>
      <c r="S17" s="7">
        <f t="shared" si="2"/>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5" customFormat="1" x14ac:dyDescent="0.2">
      <c r="A18" s="11"/>
      <c r="B18" s="10" t="s">
        <v>0</v>
      </c>
      <c r="C18" s="8">
        <f>SUM(C10:C17)</f>
        <v>80700</v>
      </c>
      <c r="D18" s="9">
        <f>SUM(D10:D17)</f>
        <v>0.7978723404255319</v>
      </c>
      <c r="E18" s="104"/>
      <c r="F18" s="394">
        <f t="shared" ref="F18:Q18" si="5">SUM(F10:F17)</f>
        <v>6671.8085106382978</v>
      </c>
      <c r="G18" s="394">
        <f t="shared" si="5"/>
        <v>6882.4468085106382</v>
      </c>
      <c r="H18" s="394">
        <f t="shared" si="5"/>
        <v>6249.7340425531911</v>
      </c>
      <c r="I18" s="394">
        <f t="shared" si="5"/>
        <v>6146.8085106382978</v>
      </c>
      <c r="J18" s="394">
        <f t="shared" si="5"/>
        <v>6848.1382978723404</v>
      </c>
      <c r="K18" s="394">
        <f t="shared" si="5"/>
        <v>7107.4468085106382</v>
      </c>
      <c r="L18" s="394">
        <f t="shared" si="5"/>
        <v>6914.3617021276596</v>
      </c>
      <c r="M18" s="394">
        <f t="shared" si="5"/>
        <v>6651.8617021276596</v>
      </c>
      <c r="N18" s="394">
        <f t="shared" si="5"/>
        <v>5837.2340425531911</v>
      </c>
      <c r="O18" s="394">
        <f t="shared" si="5"/>
        <v>6794.6808510638293</v>
      </c>
      <c r="P18" s="394">
        <f t="shared" si="5"/>
        <v>7304.5212765957449</v>
      </c>
      <c r="Q18" s="394">
        <f t="shared" si="5"/>
        <v>7290.9574468085102</v>
      </c>
      <c r="R18" s="109">
        <f t="shared" si="1"/>
        <v>80699.999999999985</v>
      </c>
      <c r="S18" s="7">
        <f t="shared" si="2"/>
        <v>0</v>
      </c>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row>
    <row r="19" spans="1:58" x14ac:dyDescent="0.2">
      <c r="F19" s="3"/>
    </row>
    <row r="20" spans="1:58" x14ac:dyDescent="0.2">
      <c r="A20" s="4"/>
      <c r="C20" s="3"/>
      <c r="F20" s="3"/>
      <c r="G20" s="3"/>
      <c r="H20" s="3"/>
      <c r="I20" s="3"/>
      <c r="J20" s="3"/>
      <c r="K20" s="3"/>
      <c r="L20" s="3"/>
      <c r="M20" s="3"/>
      <c r="N20" s="3"/>
      <c r="O20" s="3"/>
      <c r="P20" s="3"/>
      <c r="Q20" s="3"/>
    </row>
    <row r="21" spans="1:58" x14ac:dyDescent="0.2">
      <c r="A21" s="4"/>
      <c r="C21" s="3"/>
      <c r="F21" s="3"/>
      <c r="G21" s="3"/>
      <c r="H21" s="3"/>
      <c r="I21" s="3"/>
      <c r="J21" s="3"/>
      <c r="K21" s="3"/>
      <c r="L21" s="3"/>
      <c r="M21" s="3"/>
      <c r="N21" s="3"/>
      <c r="O21" s="3"/>
      <c r="P21" s="3"/>
      <c r="Q21" s="3"/>
    </row>
    <row r="22" spans="1:58" x14ac:dyDescent="0.2">
      <c r="C22" s="3"/>
      <c r="F22" s="3"/>
      <c r="G22" s="3"/>
      <c r="H22" s="3"/>
      <c r="I22" s="3"/>
      <c r="J22" s="3"/>
      <c r="K22" s="3"/>
      <c r="L22" s="3"/>
      <c r="M22" s="3"/>
      <c r="N22" s="3"/>
      <c r="O22" s="3"/>
      <c r="P22" s="3"/>
      <c r="Q22" s="3"/>
    </row>
  </sheetData>
  <mergeCells count="1">
    <mergeCell ref="A8:D8"/>
  </mergeCells>
  <printOptions gridLines="1"/>
  <pageMargins left="0.25" right="0.25" top="0.75" bottom="0.75" header="0.3" footer="0.3"/>
  <pageSetup scale="63" orientation="landscape" r:id="rId1"/>
  <headerFooter alignWithMargins="0">
    <oddHeader xml:space="preserve">&amp;C&amp;"Arial,Bold"&amp;14DOCTORS MEMORIAL HOSPITAL
FY 2017 BUDGET
</oddHeader>
    <oddFooter xml:space="preserve">&amp;R&amp;A
</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1"/>
  <sheetViews>
    <sheetView zoomScale="80" zoomScaleNormal="80" workbookViewId="0">
      <pane xSplit="2" ySplit="6" topLeftCell="C7" activePane="bottomRight" state="frozen"/>
      <selection pane="topRight" activeCell="C1" sqref="C1"/>
      <selection pane="bottomLeft" activeCell="A7" sqref="A7"/>
      <selection pane="bottomRight" activeCell="O44" sqref="O44"/>
    </sheetView>
  </sheetViews>
  <sheetFormatPr defaultRowHeight="12.75" x14ac:dyDescent="0.2"/>
  <cols>
    <col min="1" max="1" width="11" style="2" bestFit="1" customWidth="1"/>
    <col min="2" max="2" width="22.7109375" style="2" customWidth="1"/>
    <col min="3" max="3" width="12.5703125" style="2" customWidth="1"/>
    <col min="4" max="4" width="8.28515625" style="4" customWidth="1"/>
    <col min="5" max="5" width="3.28515625" style="4" customWidth="1"/>
    <col min="6" max="6" width="14.140625" style="2" customWidth="1"/>
    <col min="7" max="7" width="14" style="2" bestFit="1" customWidth="1"/>
    <col min="8" max="8" width="14.85546875" style="2" customWidth="1"/>
    <col min="9" max="10" width="14.5703125" style="2" customWidth="1"/>
    <col min="11" max="12" width="14.42578125" style="2" customWidth="1"/>
    <col min="13" max="13" width="13.5703125" style="2" customWidth="1"/>
    <col min="14" max="14" width="14.28515625" style="2" customWidth="1"/>
    <col min="15" max="15" width="14.42578125" style="2" customWidth="1"/>
    <col min="16" max="16" width="13.5703125" style="2" customWidth="1"/>
    <col min="17" max="17" width="15" style="2" customWidth="1"/>
    <col min="18" max="18" width="15.5703125" style="3" customWidth="1"/>
    <col min="19" max="19" width="11.7109375" style="2" bestFit="1" customWidth="1"/>
    <col min="20" max="58" width="9.140625" style="2"/>
    <col min="59" max="16384" width="9.140625" style="1"/>
  </cols>
  <sheetData>
    <row r="1" spans="1:58" ht="12.75" customHeight="1" x14ac:dyDescent="0.2">
      <c r="C1" s="197"/>
      <c r="D1" s="199"/>
      <c r="E1" s="199"/>
      <c r="F1" s="197" t="s">
        <v>49</v>
      </c>
      <c r="G1" s="197" t="s">
        <v>48</v>
      </c>
      <c r="H1" s="197" t="s">
        <v>47</v>
      </c>
      <c r="I1" s="197" t="s">
        <v>46</v>
      </c>
      <c r="J1" s="197" t="s">
        <v>45</v>
      </c>
      <c r="K1" s="197" t="s">
        <v>44</v>
      </c>
      <c r="L1" s="197" t="s">
        <v>43</v>
      </c>
      <c r="M1" s="197" t="s">
        <v>42</v>
      </c>
      <c r="N1" s="197" t="s">
        <v>41</v>
      </c>
      <c r="O1" s="197" t="s">
        <v>40</v>
      </c>
      <c r="P1" s="197" t="s">
        <v>39</v>
      </c>
      <c r="Q1" s="197" t="s">
        <v>38</v>
      </c>
      <c r="R1" s="198"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89">
        <f>STATS!D91</f>
        <v>663</v>
      </c>
      <c r="D2" s="199"/>
      <c r="E2" s="199"/>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131">
        <f>'MO STATS'!P87</f>
        <v>57</v>
      </c>
      <c r="R2" s="3">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131">
        <f>'MO STATS'!P88</f>
        <v>1808</v>
      </c>
      <c r="R3" s="3">
        <f t="shared" ref="R3" si="0">SUM(F3:Q3)</f>
        <v>20375</v>
      </c>
      <c r="S3" s="3">
        <f t="shared" ref="S3"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131">
        <f>'MO STATS'!P89</f>
        <v>1865</v>
      </c>
      <c r="R4" s="3">
        <f t="shared" ref="R4" si="2">SUM(F4:Q4)</f>
        <v>21038</v>
      </c>
      <c r="S4" s="3">
        <f t="shared" ref="S4" si="3">C4-R4</f>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1">
        <f>'[4]2017 FTEs'!$AS$52</f>
        <v>5.75</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11960</v>
      </c>
      <c r="F6" s="421">
        <f>($C6/$R7)*F7</f>
        <v>1015.7808219178082</v>
      </c>
      <c r="G6" s="421">
        <f t="shared" ref="G6:Q6" si="4">($C6/$R7)*G7</f>
        <v>983.01369863013701</v>
      </c>
      <c r="H6" s="421">
        <f t="shared" si="4"/>
        <v>1015.7808219178082</v>
      </c>
      <c r="I6" s="421">
        <f t="shared" si="4"/>
        <v>1015.7808219178082</v>
      </c>
      <c r="J6" s="421">
        <f t="shared" si="4"/>
        <v>917.47945205479448</v>
      </c>
      <c r="K6" s="421">
        <f t="shared" si="4"/>
        <v>1015.7808219178082</v>
      </c>
      <c r="L6" s="421">
        <f t="shared" si="4"/>
        <v>983.01369863013701</v>
      </c>
      <c r="M6" s="421">
        <f t="shared" si="4"/>
        <v>1015.7808219178082</v>
      </c>
      <c r="N6" s="421">
        <f t="shared" si="4"/>
        <v>983.01369863013701</v>
      </c>
      <c r="O6" s="421">
        <f t="shared" si="4"/>
        <v>1015.7808219178082</v>
      </c>
      <c r="P6" s="421">
        <f t="shared" si="4"/>
        <v>1015.7808219178082</v>
      </c>
      <c r="Q6" s="421">
        <f t="shared" si="4"/>
        <v>983.01369863013701</v>
      </c>
      <c r="R6" s="6">
        <f>SUM(F6:Q6)</f>
        <v>11959.999999999998</v>
      </c>
      <c r="S6" s="3">
        <f>C6-R6</f>
        <v>0</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ref="R7" si="5">SUM(F7:Q7)</f>
        <v>365</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199"/>
    </row>
    <row r="9" spans="1:58" x14ac:dyDescent="0.2">
      <c r="A9" s="21"/>
      <c r="B9" s="10" t="s">
        <v>600</v>
      </c>
      <c r="C9" s="20"/>
      <c r="D9" s="19" t="s">
        <v>596</v>
      </c>
      <c r="E9" s="111"/>
    </row>
    <row r="10" spans="1:58" s="12" customFormat="1" x14ac:dyDescent="0.2">
      <c r="A10" s="87">
        <v>41101.322</v>
      </c>
      <c r="B10" s="15" t="s">
        <v>22</v>
      </c>
      <c r="C10" s="428">
        <f>[6]Housekeeping!$J$15</f>
        <v>100800</v>
      </c>
      <c r="D10" s="429">
        <f>$C10/C$6</f>
        <v>8.4280936454849495</v>
      </c>
      <c r="E10" s="7"/>
      <c r="F10" s="375">
        <f>$D10*F$6</f>
        <v>8561.0958904109593</v>
      </c>
      <c r="G10" s="375">
        <f t="shared" ref="G10:Q10" si="6">$D10*G$6</f>
        <v>8284.9315068493142</v>
      </c>
      <c r="H10" s="375">
        <f t="shared" si="6"/>
        <v>8561.0958904109593</v>
      </c>
      <c r="I10" s="375">
        <f t="shared" si="6"/>
        <v>8561.0958904109593</v>
      </c>
      <c r="J10" s="375">
        <f t="shared" si="6"/>
        <v>7732.6027397260268</v>
      </c>
      <c r="K10" s="375">
        <f t="shared" si="6"/>
        <v>8561.0958904109593</v>
      </c>
      <c r="L10" s="375">
        <f t="shared" si="6"/>
        <v>8284.9315068493142</v>
      </c>
      <c r="M10" s="375">
        <f t="shared" si="6"/>
        <v>8561.0958904109593</v>
      </c>
      <c r="N10" s="375">
        <f t="shared" si="6"/>
        <v>8284.9315068493142</v>
      </c>
      <c r="O10" s="375">
        <f t="shared" si="6"/>
        <v>8561.0958904109593</v>
      </c>
      <c r="P10" s="375">
        <f t="shared" si="6"/>
        <v>8561.0958904109593</v>
      </c>
      <c r="Q10" s="375">
        <f t="shared" si="6"/>
        <v>8284.9315068493142</v>
      </c>
      <c r="R10" s="376">
        <f t="shared" ref="R10:R27" si="7">SUM(F10:Q10)</f>
        <v>100800</v>
      </c>
      <c r="S10" s="7">
        <f t="shared" ref="S10:S27" si="8">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41110.322</v>
      </c>
      <c r="B11" s="15" t="s">
        <v>21</v>
      </c>
      <c r="C11" s="428">
        <f>[6]Housekeeping!$J$16</f>
        <v>11200</v>
      </c>
      <c r="D11" s="429">
        <f t="shared" ref="D11:D14" si="9">$C11/C$6</f>
        <v>0.9364548494983278</v>
      </c>
      <c r="E11" s="7"/>
      <c r="F11" s="375">
        <f t="shared" ref="F11:Q14" si="10">$D11*F$6</f>
        <v>951.23287671232879</v>
      </c>
      <c r="G11" s="375">
        <f t="shared" si="10"/>
        <v>920.54794520547955</v>
      </c>
      <c r="H11" s="375">
        <f t="shared" si="10"/>
        <v>951.23287671232879</v>
      </c>
      <c r="I11" s="375">
        <f t="shared" si="10"/>
        <v>951.23287671232879</v>
      </c>
      <c r="J11" s="375">
        <f t="shared" si="10"/>
        <v>859.17808219178085</v>
      </c>
      <c r="K11" s="375">
        <f t="shared" si="10"/>
        <v>951.23287671232879</v>
      </c>
      <c r="L11" s="375">
        <f t="shared" si="10"/>
        <v>920.54794520547955</v>
      </c>
      <c r="M11" s="375">
        <f t="shared" si="10"/>
        <v>951.23287671232879</v>
      </c>
      <c r="N11" s="375">
        <f t="shared" si="10"/>
        <v>920.54794520547955</v>
      </c>
      <c r="O11" s="375">
        <f t="shared" si="10"/>
        <v>951.23287671232879</v>
      </c>
      <c r="P11" s="375">
        <f t="shared" si="10"/>
        <v>951.23287671232879</v>
      </c>
      <c r="Q11" s="375">
        <f t="shared" si="10"/>
        <v>920.54794520547955</v>
      </c>
      <c r="R11" s="376">
        <f t="shared" si="7"/>
        <v>11200</v>
      </c>
      <c r="S11" s="7">
        <f t="shared" si="8"/>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41115.322</v>
      </c>
      <c r="B12" s="15" t="s">
        <v>20</v>
      </c>
      <c r="C12" s="428">
        <f>[6]Housekeeping!$J$17</f>
        <v>600</v>
      </c>
      <c r="D12" s="429">
        <f t="shared" si="9"/>
        <v>5.016722408026756E-2</v>
      </c>
      <c r="E12" s="7"/>
      <c r="F12" s="375">
        <f t="shared" si="10"/>
        <v>50.958904109589042</v>
      </c>
      <c r="G12" s="375">
        <f t="shared" si="10"/>
        <v>49.31506849315069</v>
      </c>
      <c r="H12" s="375">
        <f t="shared" si="10"/>
        <v>50.958904109589042</v>
      </c>
      <c r="I12" s="375">
        <f t="shared" si="10"/>
        <v>50.958904109589042</v>
      </c>
      <c r="J12" s="375">
        <f t="shared" si="10"/>
        <v>46.027397260273972</v>
      </c>
      <c r="K12" s="375">
        <f t="shared" si="10"/>
        <v>50.958904109589042</v>
      </c>
      <c r="L12" s="375">
        <f t="shared" si="10"/>
        <v>49.31506849315069</v>
      </c>
      <c r="M12" s="375">
        <f t="shared" si="10"/>
        <v>50.958904109589042</v>
      </c>
      <c r="N12" s="375">
        <f t="shared" si="10"/>
        <v>49.31506849315069</v>
      </c>
      <c r="O12" s="375">
        <f t="shared" si="10"/>
        <v>50.958904109589042</v>
      </c>
      <c r="P12" s="375">
        <f t="shared" si="10"/>
        <v>50.958904109589042</v>
      </c>
      <c r="Q12" s="375">
        <f t="shared" si="10"/>
        <v>49.31506849315069</v>
      </c>
      <c r="R12" s="376">
        <f t="shared" si="7"/>
        <v>600</v>
      </c>
      <c r="S12" s="7">
        <f t="shared" si="8"/>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41150.322</v>
      </c>
      <c r="B13" s="15" t="s">
        <v>19</v>
      </c>
      <c r="C13" s="430">
        <f>[6]Housekeeping!$J$18</f>
        <v>8613.9</v>
      </c>
      <c r="D13" s="429">
        <f t="shared" si="9"/>
        <v>0.72022575250836118</v>
      </c>
      <c r="E13" s="7"/>
      <c r="F13" s="375">
        <f t="shared" si="10"/>
        <v>731.59150684931501</v>
      </c>
      <c r="G13" s="375">
        <f t="shared" si="10"/>
        <v>707.99178082191781</v>
      </c>
      <c r="H13" s="375">
        <f t="shared" si="10"/>
        <v>731.59150684931501</v>
      </c>
      <c r="I13" s="375">
        <f t="shared" si="10"/>
        <v>731.59150684931501</v>
      </c>
      <c r="J13" s="375">
        <f t="shared" si="10"/>
        <v>660.79232876712319</v>
      </c>
      <c r="K13" s="375">
        <f t="shared" si="10"/>
        <v>731.59150684931501</v>
      </c>
      <c r="L13" s="375">
        <f t="shared" si="10"/>
        <v>707.99178082191781</v>
      </c>
      <c r="M13" s="375">
        <f t="shared" si="10"/>
        <v>731.59150684931501</v>
      </c>
      <c r="N13" s="375">
        <f t="shared" si="10"/>
        <v>707.99178082191781</v>
      </c>
      <c r="O13" s="375">
        <f t="shared" si="10"/>
        <v>731.59150684931501</v>
      </c>
      <c r="P13" s="375">
        <f t="shared" si="10"/>
        <v>731.59150684931501</v>
      </c>
      <c r="Q13" s="375">
        <f t="shared" si="10"/>
        <v>707.99178082191781</v>
      </c>
      <c r="R13" s="376">
        <f t="shared" si="7"/>
        <v>8613.9</v>
      </c>
      <c r="S13" s="7">
        <f t="shared" si="8"/>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41152.322</v>
      </c>
      <c r="B14" s="15" t="s">
        <v>18</v>
      </c>
      <c r="C14" s="431"/>
      <c r="D14" s="429">
        <f t="shared" si="9"/>
        <v>0</v>
      </c>
      <c r="E14" s="7"/>
      <c r="F14" s="375">
        <f t="shared" si="10"/>
        <v>0</v>
      </c>
      <c r="G14" s="375">
        <f t="shared" si="10"/>
        <v>0</v>
      </c>
      <c r="H14" s="375">
        <f t="shared" si="10"/>
        <v>0</v>
      </c>
      <c r="I14" s="375">
        <f t="shared" si="10"/>
        <v>0</v>
      </c>
      <c r="J14" s="375">
        <f t="shared" si="10"/>
        <v>0</v>
      </c>
      <c r="K14" s="375">
        <f t="shared" si="10"/>
        <v>0</v>
      </c>
      <c r="L14" s="375">
        <f t="shared" si="10"/>
        <v>0</v>
      </c>
      <c r="M14" s="375">
        <f t="shared" si="10"/>
        <v>0</v>
      </c>
      <c r="N14" s="375">
        <f t="shared" si="10"/>
        <v>0</v>
      </c>
      <c r="O14" s="375">
        <f t="shared" si="10"/>
        <v>0</v>
      </c>
      <c r="P14" s="375">
        <f t="shared" si="10"/>
        <v>0</v>
      </c>
      <c r="Q14" s="375">
        <f t="shared" si="10"/>
        <v>0</v>
      </c>
      <c r="R14" s="376">
        <f t="shared" si="7"/>
        <v>0</v>
      </c>
      <c r="S14" s="7">
        <f t="shared" si="8"/>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41237.322</v>
      </c>
      <c r="B15" s="15" t="s">
        <v>17</v>
      </c>
      <c r="C15" s="17">
        <f>[6]Housekeeping!$J$19</f>
        <v>10000</v>
      </c>
      <c r="D15" s="13">
        <f t="shared" ref="D15:D26" si="11">$C15/C$4</f>
        <v>0.47533035459644452</v>
      </c>
      <c r="E15" s="7"/>
      <c r="F15" s="375">
        <f t="shared" ref="F15:Q26" si="12">$D15*F$4</f>
        <v>809.96292423234149</v>
      </c>
      <c r="G15" s="375">
        <f t="shared" ref="G15:Q21" si="13">$D15*G$4</f>
        <v>773.36248692841525</v>
      </c>
      <c r="H15" s="375">
        <f t="shared" si="13"/>
        <v>743.41667458883921</v>
      </c>
      <c r="I15" s="375">
        <f t="shared" si="13"/>
        <v>829.92679912539211</v>
      </c>
      <c r="J15" s="375">
        <f t="shared" si="13"/>
        <v>842.76071869949612</v>
      </c>
      <c r="K15" s="375">
        <f t="shared" si="13"/>
        <v>920.71489685331301</v>
      </c>
      <c r="L15" s="375">
        <f t="shared" si="13"/>
        <v>850.84133472763563</v>
      </c>
      <c r="M15" s="375">
        <f t="shared" si="13"/>
        <v>902.17701302405169</v>
      </c>
      <c r="N15" s="375">
        <f t="shared" si="13"/>
        <v>825.17349557942771</v>
      </c>
      <c r="O15" s="375">
        <f t="shared" si="13"/>
        <v>745.79332636182141</v>
      </c>
      <c r="P15" s="375">
        <f t="shared" si="13"/>
        <v>869.37921855689706</v>
      </c>
      <c r="Q15" s="375">
        <f t="shared" si="13"/>
        <v>886.49111132236897</v>
      </c>
      <c r="R15" s="376">
        <f t="shared" si="7"/>
        <v>10000</v>
      </c>
      <c r="S15" s="7">
        <f t="shared" si="8"/>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41246.322</v>
      </c>
      <c r="B16" s="15" t="s">
        <v>16</v>
      </c>
      <c r="C16" s="14">
        <f>[6]Housekeeping!$J$20</f>
        <v>670</v>
      </c>
      <c r="D16" s="13">
        <f t="shared" si="11"/>
        <v>3.1847133757961783E-2</v>
      </c>
      <c r="E16" s="7"/>
      <c r="F16" s="375">
        <f t="shared" si="12"/>
        <v>54.267515923566876</v>
      </c>
      <c r="G16" s="375">
        <f t="shared" si="13"/>
        <v>51.815286624203821</v>
      </c>
      <c r="H16" s="375">
        <f t="shared" si="13"/>
        <v>49.808917197452232</v>
      </c>
      <c r="I16" s="375">
        <f t="shared" si="13"/>
        <v>55.605095541401276</v>
      </c>
      <c r="J16" s="375">
        <f t="shared" si="13"/>
        <v>56.464968152866241</v>
      </c>
      <c r="K16" s="375">
        <f t="shared" si="13"/>
        <v>61.687898089171973</v>
      </c>
      <c r="L16" s="375">
        <f t="shared" si="13"/>
        <v>57.00636942675159</v>
      </c>
      <c r="M16" s="375">
        <f t="shared" si="13"/>
        <v>60.445859872611464</v>
      </c>
      <c r="N16" s="375">
        <f t="shared" si="13"/>
        <v>55.286624203821653</v>
      </c>
      <c r="O16" s="375">
        <f t="shared" si="13"/>
        <v>49.968152866242036</v>
      </c>
      <c r="P16" s="375">
        <f t="shared" si="13"/>
        <v>58.248407643312099</v>
      </c>
      <c r="Q16" s="375">
        <f t="shared" si="13"/>
        <v>59.394904458598724</v>
      </c>
      <c r="R16" s="376">
        <f t="shared" si="7"/>
        <v>670</v>
      </c>
      <c r="S16" s="7">
        <f t="shared" si="8"/>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41250.322</v>
      </c>
      <c r="B17" s="15" t="s">
        <v>15</v>
      </c>
      <c r="C17" s="14"/>
      <c r="D17" s="13">
        <f t="shared" si="11"/>
        <v>0</v>
      </c>
      <c r="E17" s="7"/>
      <c r="F17" s="375">
        <f t="shared" si="12"/>
        <v>0</v>
      </c>
      <c r="G17" s="375">
        <f t="shared" si="13"/>
        <v>0</v>
      </c>
      <c r="H17" s="375">
        <f t="shared" si="13"/>
        <v>0</v>
      </c>
      <c r="I17" s="375">
        <f t="shared" si="13"/>
        <v>0</v>
      </c>
      <c r="J17" s="375">
        <f t="shared" si="13"/>
        <v>0</v>
      </c>
      <c r="K17" s="375">
        <f t="shared" si="13"/>
        <v>0</v>
      </c>
      <c r="L17" s="375">
        <f t="shared" si="13"/>
        <v>0</v>
      </c>
      <c r="M17" s="375">
        <f t="shared" si="13"/>
        <v>0</v>
      </c>
      <c r="N17" s="375">
        <f t="shared" si="13"/>
        <v>0</v>
      </c>
      <c r="O17" s="375">
        <f t="shared" si="13"/>
        <v>0</v>
      </c>
      <c r="P17" s="375">
        <f t="shared" si="13"/>
        <v>0</v>
      </c>
      <c r="Q17" s="375">
        <f t="shared" si="13"/>
        <v>0</v>
      </c>
      <c r="R17" s="376">
        <f t="shared" si="7"/>
        <v>0</v>
      </c>
      <c r="S17" s="7">
        <f t="shared" si="8"/>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41365.322</v>
      </c>
      <c r="B18" s="15" t="s">
        <v>10</v>
      </c>
      <c r="C18" s="14"/>
      <c r="D18" s="13">
        <f t="shared" si="11"/>
        <v>0</v>
      </c>
      <c r="E18" s="7"/>
      <c r="F18" s="375">
        <f t="shared" si="12"/>
        <v>0</v>
      </c>
      <c r="G18" s="375">
        <f t="shared" si="13"/>
        <v>0</v>
      </c>
      <c r="H18" s="375">
        <f t="shared" si="13"/>
        <v>0</v>
      </c>
      <c r="I18" s="375">
        <f t="shared" si="13"/>
        <v>0</v>
      </c>
      <c r="J18" s="375">
        <f t="shared" si="13"/>
        <v>0</v>
      </c>
      <c r="K18" s="375">
        <f t="shared" si="13"/>
        <v>0</v>
      </c>
      <c r="L18" s="375">
        <f t="shared" si="13"/>
        <v>0</v>
      </c>
      <c r="M18" s="375">
        <f t="shared" si="13"/>
        <v>0</v>
      </c>
      <c r="N18" s="375">
        <f t="shared" si="13"/>
        <v>0</v>
      </c>
      <c r="O18" s="375">
        <f t="shared" si="13"/>
        <v>0</v>
      </c>
      <c r="P18" s="375">
        <f t="shared" si="13"/>
        <v>0</v>
      </c>
      <c r="Q18" s="375">
        <f t="shared" si="13"/>
        <v>0</v>
      </c>
      <c r="R18" s="376">
        <f t="shared" si="7"/>
        <v>0</v>
      </c>
      <c r="S18" s="7">
        <f t="shared" si="8"/>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41423.322</v>
      </c>
      <c r="B19" s="15" t="s">
        <v>9</v>
      </c>
      <c r="C19" s="14"/>
      <c r="D19" s="13">
        <f t="shared" si="11"/>
        <v>0</v>
      </c>
      <c r="E19" s="7"/>
      <c r="F19" s="375">
        <f t="shared" si="12"/>
        <v>0</v>
      </c>
      <c r="G19" s="375">
        <f t="shared" si="13"/>
        <v>0</v>
      </c>
      <c r="H19" s="375">
        <f t="shared" si="13"/>
        <v>0</v>
      </c>
      <c r="I19" s="375">
        <f t="shared" si="13"/>
        <v>0</v>
      </c>
      <c r="J19" s="375">
        <f t="shared" si="13"/>
        <v>0</v>
      </c>
      <c r="K19" s="375">
        <f t="shared" si="13"/>
        <v>0</v>
      </c>
      <c r="L19" s="375">
        <f t="shared" si="13"/>
        <v>0</v>
      </c>
      <c r="M19" s="375">
        <f t="shared" si="13"/>
        <v>0</v>
      </c>
      <c r="N19" s="375">
        <f t="shared" si="13"/>
        <v>0</v>
      </c>
      <c r="O19" s="375">
        <f t="shared" si="13"/>
        <v>0</v>
      </c>
      <c r="P19" s="375">
        <f t="shared" si="13"/>
        <v>0</v>
      </c>
      <c r="Q19" s="375">
        <f t="shared" si="13"/>
        <v>0</v>
      </c>
      <c r="R19" s="376">
        <f t="shared" si="7"/>
        <v>0</v>
      </c>
      <c r="S19" s="7">
        <f t="shared" si="8"/>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41426.322</v>
      </c>
      <c r="B20" s="15" t="s">
        <v>8</v>
      </c>
      <c r="C20" s="14"/>
      <c r="D20" s="13">
        <f t="shared" si="11"/>
        <v>0</v>
      </c>
      <c r="E20" s="7"/>
      <c r="F20" s="375">
        <f t="shared" si="12"/>
        <v>0</v>
      </c>
      <c r="G20" s="375">
        <f t="shared" si="13"/>
        <v>0</v>
      </c>
      <c r="H20" s="375">
        <f t="shared" si="13"/>
        <v>0</v>
      </c>
      <c r="I20" s="375">
        <f t="shared" si="13"/>
        <v>0</v>
      </c>
      <c r="J20" s="375">
        <f t="shared" si="13"/>
        <v>0</v>
      </c>
      <c r="K20" s="375">
        <f t="shared" si="13"/>
        <v>0</v>
      </c>
      <c r="L20" s="375">
        <f t="shared" si="13"/>
        <v>0</v>
      </c>
      <c r="M20" s="375">
        <f t="shared" si="13"/>
        <v>0</v>
      </c>
      <c r="N20" s="375">
        <f t="shared" si="13"/>
        <v>0</v>
      </c>
      <c r="O20" s="375">
        <f t="shared" si="13"/>
        <v>0</v>
      </c>
      <c r="P20" s="375">
        <f t="shared" si="13"/>
        <v>0</v>
      </c>
      <c r="Q20" s="375">
        <f t="shared" si="13"/>
        <v>0</v>
      </c>
      <c r="R20" s="376">
        <f t="shared" si="7"/>
        <v>0</v>
      </c>
      <c r="S20" s="7">
        <f t="shared" si="8"/>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41440.322</v>
      </c>
      <c r="B21" s="15" t="s">
        <v>7</v>
      </c>
      <c r="C21" s="14"/>
      <c r="D21" s="13">
        <f t="shared" si="11"/>
        <v>0</v>
      </c>
      <c r="E21" s="7"/>
      <c r="F21" s="375">
        <f t="shared" si="12"/>
        <v>0</v>
      </c>
      <c r="G21" s="375">
        <f t="shared" si="13"/>
        <v>0</v>
      </c>
      <c r="H21" s="375">
        <f t="shared" si="13"/>
        <v>0</v>
      </c>
      <c r="I21" s="375">
        <f t="shared" si="13"/>
        <v>0</v>
      </c>
      <c r="J21" s="375">
        <f t="shared" si="13"/>
        <v>0</v>
      </c>
      <c r="K21" s="375">
        <f t="shared" si="13"/>
        <v>0</v>
      </c>
      <c r="L21" s="375">
        <f t="shared" si="13"/>
        <v>0</v>
      </c>
      <c r="M21" s="375">
        <f t="shared" si="13"/>
        <v>0</v>
      </c>
      <c r="N21" s="375">
        <f t="shared" si="13"/>
        <v>0</v>
      </c>
      <c r="O21" s="375">
        <f t="shared" si="13"/>
        <v>0</v>
      </c>
      <c r="P21" s="375">
        <f t="shared" si="13"/>
        <v>0</v>
      </c>
      <c r="Q21" s="375">
        <f t="shared" si="13"/>
        <v>0</v>
      </c>
      <c r="R21" s="376">
        <f t="shared" si="7"/>
        <v>0</v>
      </c>
      <c r="S21" s="7">
        <f t="shared" si="8"/>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41460.322</v>
      </c>
      <c r="B22" s="15" t="s">
        <v>6</v>
      </c>
      <c r="C22" s="14"/>
      <c r="D22" s="13">
        <f t="shared" si="11"/>
        <v>0</v>
      </c>
      <c r="E22" s="7"/>
      <c r="F22" s="375">
        <f t="shared" si="12"/>
        <v>0</v>
      </c>
      <c r="G22" s="375">
        <f t="shared" si="12"/>
        <v>0</v>
      </c>
      <c r="H22" s="375">
        <f t="shared" si="12"/>
        <v>0</v>
      </c>
      <c r="I22" s="375">
        <f t="shared" si="12"/>
        <v>0</v>
      </c>
      <c r="J22" s="375">
        <f t="shared" si="12"/>
        <v>0</v>
      </c>
      <c r="K22" s="375">
        <f t="shared" si="12"/>
        <v>0</v>
      </c>
      <c r="L22" s="375">
        <f t="shared" si="12"/>
        <v>0</v>
      </c>
      <c r="M22" s="375">
        <f t="shared" si="12"/>
        <v>0</v>
      </c>
      <c r="N22" s="375">
        <f t="shared" si="12"/>
        <v>0</v>
      </c>
      <c r="O22" s="375">
        <f t="shared" si="12"/>
        <v>0</v>
      </c>
      <c r="P22" s="375">
        <f t="shared" si="12"/>
        <v>0</v>
      </c>
      <c r="Q22" s="375">
        <f t="shared" si="12"/>
        <v>0</v>
      </c>
      <c r="R22" s="376">
        <f t="shared" si="7"/>
        <v>0</v>
      </c>
      <c r="S22" s="7">
        <f t="shared" si="8"/>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41461.322</v>
      </c>
      <c r="B23" s="15" t="s">
        <v>5</v>
      </c>
      <c r="C23" s="14"/>
      <c r="D23" s="13">
        <f t="shared" si="11"/>
        <v>0</v>
      </c>
      <c r="E23" s="7"/>
      <c r="F23" s="375">
        <f t="shared" si="12"/>
        <v>0</v>
      </c>
      <c r="G23" s="375">
        <f t="shared" si="12"/>
        <v>0</v>
      </c>
      <c r="H23" s="375">
        <f t="shared" si="12"/>
        <v>0</v>
      </c>
      <c r="I23" s="375">
        <f t="shared" si="12"/>
        <v>0</v>
      </c>
      <c r="J23" s="375">
        <f t="shared" si="12"/>
        <v>0</v>
      </c>
      <c r="K23" s="375">
        <f t="shared" si="12"/>
        <v>0</v>
      </c>
      <c r="L23" s="375">
        <f t="shared" si="12"/>
        <v>0</v>
      </c>
      <c r="M23" s="375">
        <f t="shared" si="12"/>
        <v>0</v>
      </c>
      <c r="N23" s="375">
        <f t="shared" si="12"/>
        <v>0</v>
      </c>
      <c r="O23" s="375">
        <f t="shared" si="12"/>
        <v>0</v>
      </c>
      <c r="P23" s="375">
        <f t="shared" si="12"/>
        <v>0</v>
      </c>
      <c r="Q23" s="375">
        <f t="shared" si="12"/>
        <v>0</v>
      </c>
      <c r="R23" s="376">
        <f t="shared" si="7"/>
        <v>0</v>
      </c>
      <c r="S23" s="7">
        <f t="shared" si="8"/>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41490.322</v>
      </c>
      <c r="B24" s="15" t="s">
        <v>4</v>
      </c>
      <c r="C24" s="14"/>
      <c r="D24" s="13">
        <f t="shared" si="11"/>
        <v>0</v>
      </c>
      <c r="E24" s="7"/>
      <c r="F24" s="375">
        <f t="shared" si="12"/>
        <v>0</v>
      </c>
      <c r="G24" s="375">
        <f t="shared" si="12"/>
        <v>0</v>
      </c>
      <c r="H24" s="375">
        <f t="shared" si="12"/>
        <v>0</v>
      </c>
      <c r="I24" s="375">
        <f t="shared" si="12"/>
        <v>0</v>
      </c>
      <c r="J24" s="375">
        <f t="shared" si="12"/>
        <v>0</v>
      </c>
      <c r="K24" s="375">
        <f t="shared" si="12"/>
        <v>0</v>
      </c>
      <c r="L24" s="375">
        <f t="shared" si="12"/>
        <v>0</v>
      </c>
      <c r="M24" s="375">
        <f t="shared" si="12"/>
        <v>0</v>
      </c>
      <c r="N24" s="375">
        <f t="shared" si="12"/>
        <v>0</v>
      </c>
      <c r="O24" s="375">
        <f t="shared" si="12"/>
        <v>0</v>
      </c>
      <c r="P24" s="375">
        <f t="shared" si="12"/>
        <v>0</v>
      </c>
      <c r="Q24" s="375">
        <f t="shared" si="12"/>
        <v>0</v>
      </c>
      <c r="R24" s="376">
        <f t="shared" si="7"/>
        <v>0</v>
      </c>
      <c r="S24" s="7">
        <f t="shared" si="8"/>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41509.322</v>
      </c>
      <c r="B25" s="15" t="s">
        <v>3</v>
      </c>
      <c r="C25" s="14"/>
      <c r="D25" s="13">
        <f t="shared" si="11"/>
        <v>0</v>
      </c>
      <c r="E25" s="7"/>
      <c r="F25" s="375">
        <f t="shared" si="12"/>
        <v>0</v>
      </c>
      <c r="G25" s="375">
        <f t="shared" si="12"/>
        <v>0</v>
      </c>
      <c r="H25" s="375">
        <f t="shared" si="12"/>
        <v>0</v>
      </c>
      <c r="I25" s="375">
        <f t="shared" si="12"/>
        <v>0</v>
      </c>
      <c r="J25" s="375">
        <f t="shared" si="12"/>
        <v>0</v>
      </c>
      <c r="K25" s="375">
        <f t="shared" si="12"/>
        <v>0</v>
      </c>
      <c r="L25" s="375">
        <f t="shared" si="12"/>
        <v>0</v>
      </c>
      <c r="M25" s="375">
        <f t="shared" si="12"/>
        <v>0</v>
      </c>
      <c r="N25" s="375">
        <f t="shared" si="12"/>
        <v>0</v>
      </c>
      <c r="O25" s="375">
        <f t="shared" si="12"/>
        <v>0</v>
      </c>
      <c r="P25" s="375">
        <f t="shared" si="12"/>
        <v>0</v>
      </c>
      <c r="Q25" s="375">
        <f t="shared" si="12"/>
        <v>0</v>
      </c>
      <c r="R25" s="376">
        <f t="shared" si="7"/>
        <v>0</v>
      </c>
      <c r="S25" s="7">
        <f t="shared" si="8"/>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41570.322</v>
      </c>
      <c r="B26" s="15" t="s">
        <v>2</v>
      </c>
      <c r="C26" s="14"/>
      <c r="D26" s="13">
        <f t="shared" si="11"/>
        <v>0</v>
      </c>
      <c r="E26" s="7"/>
      <c r="F26" s="375">
        <f t="shared" si="12"/>
        <v>0</v>
      </c>
      <c r="G26" s="375">
        <f t="shared" si="12"/>
        <v>0</v>
      </c>
      <c r="H26" s="375">
        <f t="shared" si="12"/>
        <v>0</v>
      </c>
      <c r="I26" s="375">
        <f t="shared" si="12"/>
        <v>0</v>
      </c>
      <c r="J26" s="375">
        <f t="shared" si="12"/>
        <v>0</v>
      </c>
      <c r="K26" s="375">
        <f t="shared" si="12"/>
        <v>0</v>
      </c>
      <c r="L26" s="375">
        <f t="shared" si="12"/>
        <v>0</v>
      </c>
      <c r="M26" s="375">
        <f t="shared" si="12"/>
        <v>0</v>
      </c>
      <c r="N26" s="375">
        <f t="shared" si="12"/>
        <v>0</v>
      </c>
      <c r="O26" s="375">
        <f t="shared" si="12"/>
        <v>0</v>
      </c>
      <c r="P26" s="375">
        <f t="shared" si="12"/>
        <v>0</v>
      </c>
      <c r="Q26" s="375">
        <f t="shared" si="12"/>
        <v>0</v>
      </c>
      <c r="R26" s="376">
        <f t="shared" si="7"/>
        <v>0</v>
      </c>
      <c r="S26" s="7">
        <f t="shared" si="8"/>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5" customFormat="1" x14ac:dyDescent="0.2">
      <c r="A27" s="11"/>
      <c r="B27" s="10" t="s">
        <v>0</v>
      </c>
      <c r="C27" s="8">
        <f>SUM(C10:C26)</f>
        <v>131883.9</v>
      </c>
      <c r="D27" s="9">
        <f>SUM(D10:D26)</f>
        <v>10.642118959926311</v>
      </c>
      <c r="E27" s="104"/>
      <c r="F27" s="397">
        <f t="shared" ref="F27:Q27" si="14">SUM(F10:F26)</f>
        <v>11159.109618238101</v>
      </c>
      <c r="G27" s="397">
        <f t="shared" si="14"/>
        <v>10787.964074922482</v>
      </c>
      <c r="H27" s="397">
        <f t="shared" si="14"/>
        <v>11088.104769868483</v>
      </c>
      <c r="I27" s="397">
        <f t="shared" si="14"/>
        <v>11180.411072748986</v>
      </c>
      <c r="J27" s="397">
        <f t="shared" si="14"/>
        <v>10197.826234797567</v>
      </c>
      <c r="K27" s="397">
        <f t="shared" si="14"/>
        <v>11277.281973024677</v>
      </c>
      <c r="L27" s="397">
        <f t="shared" si="14"/>
        <v>10870.634005524251</v>
      </c>
      <c r="M27" s="397">
        <f t="shared" si="14"/>
        <v>11257.502050978856</v>
      </c>
      <c r="N27" s="397">
        <f t="shared" si="14"/>
        <v>10843.246421153111</v>
      </c>
      <c r="O27" s="397">
        <f t="shared" si="14"/>
        <v>11090.640657310256</v>
      </c>
      <c r="P27" s="397">
        <f t="shared" si="14"/>
        <v>11222.5068042824</v>
      </c>
      <c r="Q27" s="397">
        <f t="shared" si="14"/>
        <v>10908.672317150831</v>
      </c>
      <c r="R27" s="397">
        <f t="shared" si="7"/>
        <v>131883.9</v>
      </c>
      <c r="S27" s="7">
        <f t="shared" si="8"/>
        <v>0</v>
      </c>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row>
    <row r="28" spans="1:58" x14ac:dyDescent="0.2">
      <c r="F28" s="3"/>
    </row>
    <row r="29" spans="1:58" x14ac:dyDescent="0.2">
      <c r="A29" s="4"/>
      <c r="C29" s="3"/>
      <c r="F29" s="3"/>
      <c r="G29" s="3"/>
      <c r="H29" s="3"/>
      <c r="I29" s="3"/>
      <c r="J29" s="3"/>
      <c r="K29" s="3"/>
      <c r="L29" s="3"/>
      <c r="M29" s="3"/>
      <c r="N29" s="3"/>
      <c r="O29" s="3"/>
      <c r="P29" s="3"/>
      <c r="Q29" s="3"/>
    </row>
    <row r="30" spans="1:58" x14ac:dyDescent="0.2">
      <c r="A30" s="4"/>
      <c r="C30" s="3"/>
      <c r="F30" s="3"/>
      <c r="G30" s="3"/>
      <c r="H30" s="3"/>
      <c r="I30" s="3"/>
      <c r="J30" s="3"/>
      <c r="K30" s="3"/>
      <c r="L30" s="3"/>
      <c r="M30" s="3"/>
      <c r="N30" s="3"/>
      <c r="O30" s="3"/>
      <c r="P30" s="3"/>
      <c r="Q30" s="3"/>
    </row>
    <row r="31" spans="1:58" x14ac:dyDescent="0.2">
      <c r="C31" s="3"/>
      <c r="F31" s="3"/>
      <c r="G31" s="3"/>
      <c r="H31" s="3"/>
      <c r="I31" s="3"/>
      <c r="J31" s="3"/>
      <c r="K31" s="3"/>
      <c r="L31" s="3"/>
      <c r="M31" s="3"/>
      <c r="N31" s="3"/>
      <c r="O31" s="3"/>
      <c r="P31" s="3"/>
      <c r="Q31" s="3"/>
    </row>
  </sheetData>
  <mergeCells count="1">
    <mergeCell ref="A8:D8"/>
  </mergeCells>
  <printOptions gridLines="1"/>
  <pageMargins left="0.25" right="0.25" top="0.75" bottom="0.75" header="0.3" footer="0.3"/>
  <pageSetup scale="55" orientation="landscape" r:id="rId1"/>
  <headerFooter alignWithMargins="0">
    <oddHeader xml:space="preserve">&amp;C&amp;"Arial,Bold"&amp;14DOCTORS MEMORIAL HOSPITAL
FY 2017 BUDGET
</oddHeader>
    <oddFooter xml:space="preserve">&amp;R&amp;A
</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41"/>
  <sheetViews>
    <sheetView zoomScale="80" zoomScaleNormal="80" workbookViewId="0">
      <pane xSplit="2" ySplit="6" topLeftCell="C13" activePane="bottomRight" state="frozen"/>
      <selection pane="topRight" activeCell="C1" sqref="C1"/>
      <selection pane="bottomLeft" activeCell="A7" sqref="A7"/>
      <selection pane="bottomRight" activeCell="O46" sqref="O46"/>
    </sheetView>
  </sheetViews>
  <sheetFormatPr defaultRowHeight="12.75" x14ac:dyDescent="0.2"/>
  <cols>
    <col min="1" max="1" width="11" style="2" bestFit="1" customWidth="1"/>
    <col min="2" max="2" width="22.42578125" style="2" customWidth="1"/>
    <col min="3" max="3" width="12.85546875" style="2" customWidth="1"/>
    <col min="4" max="4" width="8.42578125" style="4" customWidth="1"/>
    <col min="5" max="5" width="3.5703125" style="4" customWidth="1"/>
    <col min="6" max="17" width="12.85546875" style="2" bestFit="1" customWidth="1"/>
    <col min="18" max="18" width="12.28515625" style="3" bestFit="1" customWidth="1"/>
    <col min="19" max="19" width="11.7109375" style="2" bestFit="1" customWidth="1"/>
    <col min="20" max="58" width="9.140625" style="2"/>
    <col min="59" max="16384" width="9.140625" style="1"/>
  </cols>
  <sheetData>
    <row r="1" spans="1:58" ht="12.75" customHeight="1" x14ac:dyDescent="0.2">
      <c r="C1" s="197"/>
      <c r="D1" s="199"/>
      <c r="E1" s="199"/>
      <c r="F1" s="197" t="s">
        <v>49</v>
      </c>
      <c r="G1" s="197" t="s">
        <v>48</v>
      </c>
      <c r="H1" s="197" t="s">
        <v>47</v>
      </c>
      <c r="I1" s="197" t="s">
        <v>46</v>
      </c>
      <c r="J1" s="197" t="s">
        <v>45</v>
      </c>
      <c r="K1" s="197" t="s">
        <v>44</v>
      </c>
      <c r="L1" s="197" t="s">
        <v>43</v>
      </c>
      <c r="M1" s="197" t="s">
        <v>42</v>
      </c>
      <c r="N1" s="197" t="s">
        <v>41</v>
      </c>
      <c r="O1" s="197" t="s">
        <v>40</v>
      </c>
      <c r="P1" s="197" t="s">
        <v>39</v>
      </c>
      <c r="Q1" s="197" t="s">
        <v>38</v>
      </c>
      <c r="R1" s="198"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89">
        <f>STATS!D91</f>
        <v>663</v>
      </c>
      <c r="F2" s="308">
        <f>'MO STATS'!E87</f>
        <v>41</v>
      </c>
      <c r="G2" s="308">
        <f>'MO STATS'!F87</f>
        <v>51</v>
      </c>
      <c r="H2" s="308">
        <f>'MO STATS'!G87</f>
        <v>53</v>
      </c>
      <c r="I2" s="308">
        <f>'MO STATS'!H87</f>
        <v>59</v>
      </c>
      <c r="J2" s="308">
        <f>'MO STATS'!I87</f>
        <v>52</v>
      </c>
      <c r="K2" s="308">
        <f>'MO STATS'!J87</f>
        <v>62</v>
      </c>
      <c r="L2" s="308">
        <f>'MO STATS'!K87</f>
        <v>53</v>
      </c>
      <c r="M2" s="308">
        <f>'MO STATS'!L87</f>
        <v>43</v>
      </c>
      <c r="N2" s="308">
        <f>'MO STATS'!M87</f>
        <v>58</v>
      </c>
      <c r="O2" s="308">
        <f>'MO STATS'!N87</f>
        <v>59</v>
      </c>
      <c r="P2" s="308">
        <f>'MO STATS'!O87</f>
        <v>75</v>
      </c>
      <c r="Q2" s="308">
        <f>'MO STATS'!P87</f>
        <v>57</v>
      </c>
      <c r="R2" s="3">
        <f t="shared" ref="R2" si="0">SUM(F2:Q2)</f>
        <v>663</v>
      </c>
      <c r="S2" s="3">
        <f t="shared" ref="S2" si="1">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8">
        <f>'MO STATS'!E88</f>
        <v>1663</v>
      </c>
      <c r="G3" s="308">
        <f>'MO STATS'!F88</f>
        <v>1576</v>
      </c>
      <c r="H3" s="308">
        <f>'MO STATS'!G88</f>
        <v>1511</v>
      </c>
      <c r="I3" s="308">
        <f>'MO STATS'!H88</f>
        <v>1687</v>
      </c>
      <c r="J3" s="308">
        <f>'MO STATS'!I88</f>
        <v>1721</v>
      </c>
      <c r="K3" s="308">
        <f>'MO STATS'!J88</f>
        <v>1875</v>
      </c>
      <c r="L3" s="308">
        <f>'MO STATS'!K88</f>
        <v>1737</v>
      </c>
      <c r="M3" s="308">
        <f>'MO STATS'!L88</f>
        <v>1855</v>
      </c>
      <c r="N3" s="308">
        <f>'MO STATS'!M88</f>
        <v>1678</v>
      </c>
      <c r="O3" s="308">
        <f>'MO STATS'!N88</f>
        <v>1510</v>
      </c>
      <c r="P3" s="308">
        <f>'MO STATS'!O88</f>
        <v>1754</v>
      </c>
      <c r="Q3" s="308">
        <f>'MO STATS'!P88</f>
        <v>1808</v>
      </c>
      <c r="R3" s="3">
        <f t="shared" ref="R3:R4" si="2">SUM(F3:Q3)</f>
        <v>20375</v>
      </c>
      <c r="S3" s="3">
        <f t="shared" ref="S3:S4" si="3">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8">
        <f>'MO STATS'!E89</f>
        <v>1704</v>
      </c>
      <c r="G4" s="308">
        <f>'MO STATS'!F89</f>
        <v>1627</v>
      </c>
      <c r="H4" s="308">
        <f>'MO STATS'!G89</f>
        <v>1564</v>
      </c>
      <c r="I4" s="308">
        <f>'MO STATS'!H89</f>
        <v>1746</v>
      </c>
      <c r="J4" s="308">
        <f>'MO STATS'!I89</f>
        <v>1773</v>
      </c>
      <c r="K4" s="308">
        <f>'MO STATS'!J89</f>
        <v>1937</v>
      </c>
      <c r="L4" s="308">
        <f>'MO STATS'!K89</f>
        <v>1790</v>
      </c>
      <c r="M4" s="308">
        <f>'MO STATS'!L89</f>
        <v>1898</v>
      </c>
      <c r="N4" s="308">
        <f>'MO STATS'!M89</f>
        <v>1736</v>
      </c>
      <c r="O4" s="308">
        <f>'MO STATS'!N89</f>
        <v>1569</v>
      </c>
      <c r="P4" s="308">
        <f>'MO STATS'!O89</f>
        <v>1829</v>
      </c>
      <c r="Q4" s="308">
        <f>'MO STATS'!P89</f>
        <v>1865</v>
      </c>
      <c r="R4" s="3">
        <f t="shared" si="2"/>
        <v>21038</v>
      </c>
      <c r="S4" s="3">
        <f t="shared" si="3"/>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6">
        <f>'[4]2017 FTEs'!$AS$33</f>
        <v>3</v>
      </c>
      <c r="F5" s="308"/>
      <c r="G5" s="308"/>
      <c r="H5" s="308"/>
      <c r="I5" s="308"/>
      <c r="J5" s="308"/>
      <c r="K5" s="308"/>
      <c r="L5" s="308"/>
      <c r="M5" s="308"/>
      <c r="N5" s="308"/>
      <c r="O5" s="308"/>
      <c r="P5" s="308"/>
      <c r="Q5" s="308"/>
      <c r="S5" s="3"/>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6240</v>
      </c>
      <c r="F6" s="421">
        <f>($C6/$R7)*F7</f>
        <v>529.97260273972609</v>
      </c>
      <c r="G6" s="421">
        <f t="shared" ref="G6:Q6" si="4">($C6/$R7)*G7</f>
        <v>512.8767123287671</v>
      </c>
      <c r="H6" s="421">
        <f t="shared" si="4"/>
        <v>529.97260273972609</v>
      </c>
      <c r="I6" s="421">
        <f t="shared" si="4"/>
        <v>529.97260273972609</v>
      </c>
      <c r="J6" s="421">
        <f t="shared" si="4"/>
        <v>478.68493150684935</v>
      </c>
      <c r="K6" s="421">
        <f t="shared" si="4"/>
        <v>529.97260273972609</v>
      </c>
      <c r="L6" s="421">
        <f t="shared" si="4"/>
        <v>512.8767123287671</v>
      </c>
      <c r="M6" s="421">
        <f t="shared" si="4"/>
        <v>529.97260273972609</v>
      </c>
      <c r="N6" s="421">
        <f t="shared" si="4"/>
        <v>512.8767123287671</v>
      </c>
      <c r="O6" s="421">
        <f t="shared" si="4"/>
        <v>529.97260273972609</v>
      </c>
      <c r="P6" s="421">
        <f t="shared" si="4"/>
        <v>529.97260273972609</v>
      </c>
      <c r="Q6" s="421">
        <f t="shared" si="4"/>
        <v>512.8767123287671</v>
      </c>
      <c r="R6" s="6">
        <f>SUM(F6:Q6)</f>
        <v>6240.0000000000009</v>
      </c>
      <c r="S6" s="3">
        <f>C6-R6</f>
        <v>0</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ref="R7" si="5">SUM(F7:Q7)</f>
        <v>365</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199"/>
    </row>
    <row r="9" spans="1:58" x14ac:dyDescent="0.2">
      <c r="A9" s="21"/>
      <c r="B9" s="10" t="s">
        <v>601</v>
      </c>
      <c r="C9" s="20"/>
      <c r="D9" s="19" t="s">
        <v>596</v>
      </c>
      <c r="E9" s="111"/>
    </row>
    <row r="10" spans="1:58" s="12" customFormat="1" x14ac:dyDescent="0.2">
      <c r="A10" s="87">
        <v>41101.330999999998</v>
      </c>
      <c r="B10" s="15" t="s">
        <v>22</v>
      </c>
      <c r="C10" s="428">
        <f>[6]Maintenance!$J$15</f>
        <v>95969.619000000006</v>
      </c>
      <c r="D10" s="429">
        <f>$C10/C$6</f>
        <v>15.379746634615385</v>
      </c>
      <c r="E10" s="7"/>
      <c r="F10" s="375">
        <f>$D10*F$6</f>
        <v>8150.8443534246589</v>
      </c>
      <c r="G10" s="375">
        <f t="shared" ref="G10:Q10" si="6">$D10*G$6</f>
        <v>7887.9138904109586</v>
      </c>
      <c r="H10" s="375">
        <f t="shared" si="6"/>
        <v>8150.8443534246589</v>
      </c>
      <c r="I10" s="375">
        <f t="shared" si="6"/>
        <v>8150.8443534246589</v>
      </c>
      <c r="J10" s="375">
        <f t="shared" si="6"/>
        <v>7362.0529643835625</v>
      </c>
      <c r="K10" s="375">
        <f t="shared" si="6"/>
        <v>8150.8443534246589</v>
      </c>
      <c r="L10" s="375">
        <f t="shared" si="6"/>
        <v>7887.9138904109586</v>
      </c>
      <c r="M10" s="375">
        <f t="shared" si="6"/>
        <v>8150.8443534246589</v>
      </c>
      <c r="N10" s="375">
        <f t="shared" si="6"/>
        <v>7887.9138904109586</v>
      </c>
      <c r="O10" s="375">
        <f t="shared" si="6"/>
        <v>8150.8443534246589</v>
      </c>
      <c r="P10" s="375">
        <f t="shared" si="6"/>
        <v>8150.8443534246589</v>
      </c>
      <c r="Q10" s="375">
        <f t="shared" si="6"/>
        <v>7887.9138904109586</v>
      </c>
      <c r="R10" s="376">
        <f t="shared" ref="R10:R37" si="7">SUM(F10:Q10)</f>
        <v>95969.619000000021</v>
      </c>
      <c r="S10" s="7">
        <f t="shared" ref="S10:S37" si="8">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41110.330999999998</v>
      </c>
      <c r="B11" s="15" t="s">
        <v>21</v>
      </c>
      <c r="C11" s="428">
        <f>[6]Maintenance!$J$16</f>
        <v>10663.291000000001</v>
      </c>
      <c r="D11" s="429">
        <f t="shared" ref="D11:D14" si="9">$C11/C$6</f>
        <v>1.7088607371794873</v>
      </c>
      <c r="E11" s="7"/>
      <c r="F11" s="375">
        <f t="shared" ref="F11:Q14" si="10">$D11*F$6</f>
        <v>905.64937260273985</v>
      </c>
      <c r="G11" s="375">
        <f t="shared" si="10"/>
        <v>876.43487671232879</v>
      </c>
      <c r="H11" s="375">
        <f t="shared" si="10"/>
        <v>905.64937260273985</v>
      </c>
      <c r="I11" s="375">
        <f t="shared" si="10"/>
        <v>905.64937260273985</v>
      </c>
      <c r="J11" s="375">
        <f t="shared" si="10"/>
        <v>818.00588493150701</v>
      </c>
      <c r="K11" s="375">
        <f t="shared" si="10"/>
        <v>905.64937260273985</v>
      </c>
      <c r="L11" s="375">
        <f t="shared" si="10"/>
        <v>876.43487671232879</v>
      </c>
      <c r="M11" s="375">
        <f t="shared" si="10"/>
        <v>905.64937260273985</v>
      </c>
      <c r="N11" s="375">
        <f t="shared" si="10"/>
        <v>876.43487671232879</v>
      </c>
      <c r="O11" s="375">
        <f t="shared" si="10"/>
        <v>905.64937260273985</v>
      </c>
      <c r="P11" s="375">
        <f t="shared" si="10"/>
        <v>905.64937260273985</v>
      </c>
      <c r="Q11" s="375">
        <f t="shared" si="10"/>
        <v>876.43487671232879</v>
      </c>
      <c r="R11" s="376">
        <f t="shared" si="7"/>
        <v>10663.291000000001</v>
      </c>
      <c r="S11" s="7">
        <f t="shared" si="8"/>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41115.330999999998</v>
      </c>
      <c r="B12" s="15" t="s">
        <v>20</v>
      </c>
      <c r="C12" s="428">
        <f>[6]Maintenance!$J$17</f>
        <v>600</v>
      </c>
      <c r="D12" s="429">
        <f t="shared" si="9"/>
        <v>9.6153846153846159E-2</v>
      </c>
      <c r="E12" s="7"/>
      <c r="F12" s="375">
        <f t="shared" si="10"/>
        <v>50.958904109589049</v>
      </c>
      <c r="G12" s="375">
        <f t="shared" si="10"/>
        <v>49.315068493150683</v>
      </c>
      <c r="H12" s="375">
        <f t="shared" si="10"/>
        <v>50.958904109589049</v>
      </c>
      <c r="I12" s="375">
        <f t="shared" si="10"/>
        <v>50.958904109589049</v>
      </c>
      <c r="J12" s="375">
        <f t="shared" si="10"/>
        <v>46.027397260273979</v>
      </c>
      <c r="K12" s="375">
        <f t="shared" si="10"/>
        <v>50.958904109589049</v>
      </c>
      <c r="L12" s="375">
        <f t="shared" si="10"/>
        <v>49.315068493150683</v>
      </c>
      <c r="M12" s="375">
        <f t="shared" si="10"/>
        <v>50.958904109589049</v>
      </c>
      <c r="N12" s="375">
        <f t="shared" si="10"/>
        <v>49.315068493150683</v>
      </c>
      <c r="O12" s="375">
        <f t="shared" si="10"/>
        <v>50.958904109589049</v>
      </c>
      <c r="P12" s="375">
        <f t="shared" si="10"/>
        <v>50.958904109589049</v>
      </c>
      <c r="Q12" s="375">
        <f t="shared" si="10"/>
        <v>49.315068493150683</v>
      </c>
      <c r="R12" s="376">
        <f t="shared" si="7"/>
        <v>600.00000000000011</v>
      </c>
      <c r="S12" s="7">
        <f t="shared" si="8"/>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41150.330999999998</v>
      </c>
      <c r="B13" s="15" t="s">
        <v>19</v>
      </c>
      <c r="C13" s="430">
        <f>[6]Maintenance!$J$18</f>
        <v>8203.3176149999999</v>
      </c>
      <c r="D13" s="429">
        <f t="shared" si="9"/>
        <v>1.3146342331730769</v>
      </c>
      <c r="E13" s="7"/>
      <c r="F13" s="375">
        <f t="shared" si="10"/>
        <v>696.72012620547957</v>
      </c>
      <c r="G13" s="375">
        <f t="shared" si="10"/>
        <v>674.24528342465749</v>
      </c>
      <c r="H13" s="375">
        <f t="shared" si="10"/>
        <v>696.72012620547957</v>
      </c>
      <c r="I13" s="375">
        <f t="shared" si="10"/>
        <v>696.72012620547957</v>
      </c>
      <c r="J13" s="375">
        <f t="shared" si="10"/>
        <v>629.29559786301377</v>
      </c>
      <c r="K13" s="375">
        <f t="shared" si="10"/>
        <v>696.72012620547957</v>
      </c>
      <c r="L13" s="375">
        <f t="shared" si="10"/>
        <v>674.24528342465749</v>
      </c>
      <c r="M13" s="375">
        <f t="shared" si="10"/>
        <v>696.72012620547957</v>
      </c>
      <c r="N13" s="375">
        <f t="shared" si="10"/>
        <v>674.24528342465749</v>
      </c>
      <c r="O13" s="375">
        <f t="shared" si="10"/>
        <v>696.72012620547957</v>
      </c>
      <c r="P13" s="375">
        <f t="shared" si="10"/>
        <v>696.72012620547957</v>
      </c>
      <c r="Q13" s="375">
        <f t="shared" si="10"/>
        <v>674.24528342465749</v>
      </c>
      <c r="R13" s="376">
        <f t="shared" si="7"/>
        <v>8203.3176150000018</v>
      </c>
      <c r="S13" s="7">
        <f t="shared" si="8"/>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41152.330999999998</v>
      </c>
      <c r="B14" s="15" t="s">
        <v>18</v>
      </c>
      <c r="C14" s="431"/>
      <c r="D14" s="429">
        <f t="shared" si="9"/>
        <v>0</v>
      </c>
      <c r="E14" s="7"/>
      <c r="F14" s="375">
        <f t="shared" si="10"/>
        <v>0</v>
      </c>
      <c r="G14" s="375">
        <f t="shared" si="10"/>
        <v>0</v>
      </c>
      <c r="H14" s="375">
        <f t="shared" si="10"/>
        <v>0</v>
      </c>
      <c r="I14" s="375">
        <f t="shared" si="10"/>
        <v>0</v>
      </c>
      <c r="J14" s="375">
        <f t="shared" si="10"/>
        <v>0</v>
      </c>
      <c r="K14" s="375">
        <f t="shared" si="10"/>
        <v>0</v>
      </c>
      <c r="L14" s="375">
        <f t="shared" si="10"/>
        <v>0</v>
      </c>
      <c r="M14" s="375">
        <f t="shared" si="10"/>
        <v>0</v>
      </c>
      <c r="N14" s="375">
        <f t="shared" si="10"/>
        <v>0</v>
      </c>
      <c r="O14" s="375">
        <f t="shared" si="10"/>
        <v>0</v>
      </c>
      <c r="P14" s="375">
        <f t="shared" si="10"/>
        <v>0</v>
      </c>
      <c r="Q14" s="375">
        <f t="shared" si="10"/>
        <v>0</v>
      </c>
      <c r="R14" s="376">
        <f t="shared" si="7"/>
        <v>0</v>
      </c>
      <c r="S14" s="7">
        <f t="shared" si="8"/>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41219.330999999998</v>
      </c>
      <c r="B15" s="15" t="s">
        <v>386</v>
      </c>
      <c r="C15" s="14"/>
      <c r="D15" s="13">
        <f t="shared" ref="D15:D36" si="11">$C15/C$4</f>
        <v>0</v>
      </c>
      <c r="E15" s="7"/>
      <c r="F15" s="375">
        <f t="shared" ref="F15:Q36" si="12">$D15*F$4</f>
        <v>0</v>
      </c>
      <c r="G15" s="375">
        <f t="shared" si="12"/>
        <v>0</v>
      </c>
      <c r="H15" s="375">
        <f t="shared" si="12"/>
        <v>0</v>
      </c>
      <c r="I15" s="375">
        <f t="shared" si="12"/>
        <v>0</v>
      </c>
      <c r="J15" s="375">
        <f t="shared" si="12"/>
        <v>0</v>
      </c>
      <c r="K15" s="375">
        <f t="shared" si="12"/>
        <v>0</v>
      </c>
      <c r="L15" s="375">
        <f t="shared" si="12"/>
        <v>0</v>
      </c>
      <c r="M15" s="375">
        <f t="shared" si="12"/>
        <v>0</v>
      </c>
      <c r="N15" s="375">
        <f t="shared" si="12"/>
        <v>0</v>
      </c>
      <c r="O15" s="375">
        <f t="shared" si="12"/>
        <v>0</v>
      </c>
      <c r="P15" s="375">
        <f t="shared" si="12"/>
        <v>0</v>
      </c>
      <c r="Q15" s="375">
        <f t="shared" si="12"/>
        <v>0</v>
      </c>
      <c r="R15" s="376">
        <f t="shared" ref="R15" si="13">SUM(F15:Q15)</f>
        <v>0</v>
      </c>
      <c r="S15" s="7">
        <f t="shared" ref="S15" si="14">C15-R15</f>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41237.330999999998</v>
      </c>
      <c r="B16" s="15" t="s">
        <v>17</v>
      </c>
      <c r="C16" s="17">
        <f>[6]Maintenance!$J$19</f>
        <v>12650</v>
      </c>
      <c r="D16" s="13">
        <f t="shared" si="11"/>
        <v>0.6012928985645023</v>
      </c>
      <c r="E16" s="7"/>
      <c r="F16" s="375">
        <f t="shared" si="12"/>
        <v>1024.6030991539119</v>
      </c>
      <c r="G16" s="375">
        <f t="shared" ref="G16:Q29" si="15">$D16*G$4</f>
        <v>978.30354596444522</v>
      </c>
      <c r="H16" s="375">
        <f t="shared" si="15"/>
        <v>940.42209335488155</v>
      </c>
      <c r="I16" s="375">
        <f t="shared" si="15"/>
        <v>1049.8574008936209</v>
      </c>
      <c r="J16" s="375">
        <f t="shared" si="15"/>
        <v>1066.0923091548625</v>
      </c>
      <c r="K16" s="375">
        <f t="shared" si="15"/>
        <v>1164.7043445194411</v>
      </c>
      <c r="L16" s="375">
        <f t="shared" si="15"/>
        <v>1076.3142884304591</v>
      </c>
      <c r="M16" s="375">
        <f t="shared" si="15"/>
        <v>1141.2539214754254</v>
      </c>
      <c r="N16" s="375">
        <f t="shared" si="15"/>
        <v>1043.844471907976</v>
      </c>
      <c r="O16" s="375">
        <f t="shared" si="15"/>
        <v>943.42855784770416</v>
      </c>
      <c r="P16" s="375">
        <f t="shared" si="15"/>
        <v>1099.7647114744748</v>
      </c>
      <c r="Q16" s="375">
        <f t="shared" si="15"/>
        <v>1121.4112558227969</v>
      </c>
      <c r="R16" s="376">
        <f t="shared" si="7"/>
        <v>12650</v>
      </c>
      <c r="S16" s="7">
        <f t="shared" si="8"/>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41246.330999999998</v>
      </c>
      <c r="B17" s="15" t="s">
        <v>16</v>
      </c>
      <c r="C17" s="14"/>
      <c r="D17" s="13">
        <f t="shared" si="11"/>
        <v>0</v>
      </c>
      <c r="E17" s="7"/>
      <c r="F17" s="375">
        <f t="shared" si="12"/>
        <v>0</v>
      </c>
      <c r="G17" s="375">
        <f t="shared" si="15"/>
        <v>0</v>
      </c>
      <c r="H17" s="375">
        <f t="shared" si="15"/>
        <v>0</v>
      </c>
      <c r="I17" s="375">
        <f t="shared" si="15"/>
        <v>0</v>
      </c>
      <c r="J17" s="375">
        <f t="shared" si="15"/>
        <v>0</v>
      </c>
      <c r="K17" s="375">
        <f t="shared" si="15"/>
        <v>0</v>
      </c>
      <c r="L17" s="375">
        <f t="shared" si="15"/>
        <v>0</v>
      </c>
      <c r="M17" s="375">
        <f t="shared" si="15"/>
        <v>0</v>
      </c>
      <c r="N17" s="375">
        <f t="shared" si="15"/>
        <v>0</v>
      </c>
      <c r="O17" s="375">
        <f t="shared" si="15"/>
        <v>0</v>
      </c>
      <c r="P17" s="375">
        <f t="shared" si="15"/>
        <v>0</v>
      </c>
      <c r="Q17" s="375">
        <f t="shared" si="15"/>
        <v>0</v>
      </c>
      <c r="R17" s="376">
        <f t="shared" si="7"/>
        <v>0</v>
      </c>
      <c r="S17" s="7">
        <f t="shared" si="8"/>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41250.330999999998</v>
      </c>
      <c r="B18" s="15" t="s">
        <v>15</v>
      </c>
      <c r="C18" s="14"/>
      <c r="D18" s="13">
        <f t="shared" si="11"/>
        <v>0</v>
      </c>
      <c r="E18" s="7"/>
      <c r="F18" s="375">
        <f t="shared" si="12"/>
        <v>0</v>
      </c>
      <c r="G18" s="375">
        <f t="shared" si="15"/>
        <v>0</v>
      </c>
      <c r="H18" s="375">
        <f t="shared" si="15"/>
        <v>0</v>
      </c>
      <c r="I18" s="375">
        <f t="shared" si="15"/>
        <v>0</v>
      </c>
      <c r="J18" s="375">
        <f t="shared" si="15"/>
        <v>0</v>
      </c>
      <c r="K18" s="375">
        <f t="shared" si="15"/>
        <v>0</v>
      </c>
      <c r="L18" s="375">
        <f t="shared" si="15"/>
        <v>0</v>
      </c>
      <c r="M18" s="375">
        <f t="shared" si="15"/>
        <v>0</v>
      </c>
      <c r="N18" s="375">
        <f t="shared" si="15"/>
        <v>0</v>
      </c>
      <c r="O18" s="375">
        <f t="shared" si="15"/>
        <v>0</v>
      </c>
      <c r="P18" s="375">
        <f t="shared" si="15"/>
        <v>0</v>
      </c>
      <c r="Q18" s="375">
        <f t="shared" si="15"/>
        <v>0</v>
      </c>
      <c r="R18" s="376">
        <f t="shared" si="7"/>
        <v>0</v>
      </c>
      <c r="S18" s="7">
        <f t="shared" si="8"/>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41313.330999999998</v>
      </c>
      <c r="B19" s="15" t="s">
        <v>985</v>
      </c>
      <c r="C19" s="14"/>
      <c r="D19" s="13">
        <f t="shared" si="11"/>
        <v>0</v>
      </c>
      <c r="E19" s="7"/>
      <c r="F19" s="375">
        <f t="shared" si="12"/>
        <v>0</v>
      </c>
      <c r="G19" s="375">
        <f t="shared" si="12"/>
        <v>0</v>
      </c>
      <c r="H19" s="375">
        <f t="shared" si="12"/>
        <v>0</v>
      </c>
      <c r="I19" s="375">
        <f t="shared" si="12"/>
        <v>0</v>
      </c>
      <c r="J19" s="375">
        <f t="shared" si="12"/>
        <v>0</v>
      </c>
      <c r="K19" s="375">
        <f t="shared" si="12"/>
        <v>0</v>
      </c>
      <c r="L19" s="375">
        <f t="shared" si="12"/>
        <v>0</v>
      </c>
      <c r="M19" s="375">
        <f t="shared" si="12"/>
        <v>0</v>
      </c>
      <c r="N19" s="375">
        <f t="shared" si="12"/>
        <v>0</v>
      </c>
      <c r="O19" s="375">
        <f t="shared" si="12"/>
        <v>0</v>
      </c>
      <c r="P19" s="375">
        <f t="shared" si="12"/>
        <v>0</v>
      </c>
      <c r="Q19" s="375">
        <f t="shared" si="12"/>
        <v>0</v>
      </c>
      <c r="R19" s="375">
        <f t="shared" ref="R19" si="16">SUM(F19:Q19)</f>
        <v>0</v>
      </c>
      <c r="S19" s="7">
        <f t="shared" ref="S19" si="17">C19-R19</f>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41335.330999999998</v>
      </c>
      <c r="B20" s="15" t="s">
        <v>878</v>
      </c>
      <c r="C20" s="14"/>
      <c r="D20" s="13">
        <f t="shared" si="11"/>
        <v>0</v>
      </c>
      <c r="E20" s="7"/>
      <c r="F20" s="375">
        <f t="shared" si="12"/>
        <v>0</v>
      </c>
      <c r="G20" s="375">
        <f t="shared" si="12"/>
        <v>0</v>
      </c>
      <c r="H20" s="375">
        <f t="shared" si="12"/>
        <v>0</v>
      </c>
      <c r="I20" s="375">
        <f t="shared" si="12"/>
        <v>0</v>
      </c>
      <c r="J20" s="375">
        <f t="shared" si="12"/>
        <v>0</v>
      </c>
      <c r="K20" s="375">
        <f t="shared" si="12"/>
        <v>0</v>
      </c>
      <c r="L20" s="375">
        <f t="shared" si="12"/>
        <v>0</v>
      </c>
      <c r="M20" s="375">
        <f t="shared" si="12"/>
        <v>0</v>
      </c>
      <c r="N20" s="375">
        <f t="shared" si="12"/>
        <v>0</v>
      </c>
      <c r="O20" s="375">
        <f t="shared" si="12"/>
        <v>0</v>
      </c>
      <c r="P20" s="375">
        <f t="shared" si="12"/>
        <v>0</v>
      </c>
      <c r="Q20" s="375">
        <f t="shared" si="12"/>
        <v>0</v>
      </c>
      <c r="R20" s="376">
        <f t="shared" ref="R20" si="18">SUM(F20:Q20)</f>
        <v>0</v>
      </c>
      <c r="S20" s="7">
        <f t="shared" ref="S20" si="19">C20-R20</f>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41365.330999999998</v>
      </c>
      <c r="B21" s="15" t="s">
        <v>10</v>
      </c>
      <c r="C21" s="14">
        <f>[6]Maintenance!$J$20</f>
        <v>12700</v>
      </c>
      <c r="D21" s="13">
        <f t="shared" si="11"/>
        <v>0.6036695503374846</v>
      </c>
      <c r="E21" s="7"/>
      <c r="F21" s="375">
        <f t="shared" si="12"/>
        <v>1028.6529137750738</v>
      </c>
      <c r="G21" s="375">
        <f t="shared" si="15"/>
        <v>982.17035839908749</v>
      </c>
      <c r="H21" s="375">
        <f t="shared" si="15"/>
        <v>944.13917672782588</v>
      </c>
      <c r="I21" s="375">
        <f t="shared" si="15"/>
        <v>1054.0070348892482</v>
      </c>
      <c r="J21" s="375">
        <f t="shared" si="15"/>
        <v>1070.3061127483602</v>
      </c>
      <c r="K21" s="375">
        <f t="shared" si="15"/>
        <v>1169.3079190037076</v>
      </c>
      <c r="L21" s="375">
        <f t="shared" si="15"/>
        <v>1080.5684951040973</v>
      </c>
      <c r="M21" s="375">
        <f t="shared" si="15"/>
        <v>1145.7648065405458</v>
      </c>
      <c r="N21" s="375">
        <f t="shared" si="15"/>
        <v>1047.9703393858733</v>
      </c>
      <c r="O21" s="375">
        <f t="shared" si="15"/>
        <v>947.15752447951331</v>
      </c>
      <c r="P21" s="375">
        <f t="shared" si="15"/>
        <v>1104.1116075672594</v>
      </c>
      <c r="Q21" s="375">
        <f t="shared" si="15"/>
        <v>1125.8437113794087</v>
      </c>
      <c r="R21" s="376">
        <f t="shared" si="7"/>
        <v>12700</v>
      </c>
      <c r="S21" s="7">
        <f t="shared" si="8"/>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41400.330999999998</v>
      </c>
      <c r="B22" s="15" t="s">
        <v>593</v>
      </c>
      <c r="C22" s="14">
        <f>[6]Maintenance!$J$21</f>
        <v>278500</v>
      </c>
      <c r="D22" s="13">
        <f t="shared" si="11"/>
        <v>13.23795037551098</v>
      </c>
      <c r="E22" s="7"/>
      <c r="F22" s="375">
        <f t="shared" si="12"/>
        <v>22557.46743987071</v>
      </c>
      <c r="G22" s="375">
        <f t="shared" si="15"/>
        <v>21538.145260956364</v>
      </c>
      <c r="H22" s="375">
        <f t="shared" si="15"/>
        <v>20704.154387299172</v>
      </c>
      <c r="I22" s="375">
        <f t="shared" si="15"/>
        <v>23113.461355642172</v>
      </c>
      <c r="J22" s="375">
        <f t="shared" si="15"/>
        <v>23470.886015780969</v>
      </c>
      <c r="K22" s="375">
        <f t="shared" si="15"/>
        <v>25641.909877364767</v>
      </c>
      <c r="L22" s="375">
        <f t="shared" si="15"/>
        <v>23695.931172164655</v>
      </c>
      <c r="M22" s="375">
        <f t="shared" si="15"/>
        <v>25125.629812719839</v>
      </c>
      <c r="N22" s="375">
        <f t="shared" si="15"/>
        <v>22981.081851887062</v>
      </c>
      <c r="O22" s="375">
        <f t="shared" si="15"/>
        <v>20770.344139176726</v>
      </c>
      <c r="P22" s="375">
        <f t="shared" si="15"/>
        <v>24212.211236809584</v>
      </c>
      <c r="Q22" s="375">
        <f t="shared" si="15"/>
        <v>24688.77745032798</v>
      </c>
      <c r="R22" s="376">
        <f t="shared" si="7"/>
        <v>278499.99999999994</v>
      </c>
      <c r="S22" s="7">
        <f t="shared" si="8"/>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41401.330999999998</v>
      </c>
      <c r="B23" s="15" t="s">
        <v>594</v>
      </c>
      <c r="C23" s="14">
        <f>[6]Maintenance!$J$22</f>
        <v>2900</v>
      </c>
      <c r="D23" s="13">
        <f t="shared" si="11"/>
        <v>0.13784580283296891</v>
      </c>
      <c r="E23" s="7"/>
      <c r="F23" s="375">
        <f t="shared" si="12"/>
        <v>234.88924802737901</v>
      </c>
      <c r="G23" s="375">
        <f t="shared" si="15"/>
        <v>224.27512120924041</v>
      </c>
      <c r="H23" s="375">
        <f t="shared" si="15"/>
        <v>215.59083563076337</v>
      </c>
      <c r="I23" s="375">
        <f t="shared" si="15"/>
        <v>240.67877174636371</v>
      </c>
      <c r="J23" s="375">
        <f t="shared" si="15"/>
        <v>244.40060842285388</v>
      </c>
      <c r="K23" s="375">
        <f t="shared" si="15"/>
        <v>267.00732008746076</v>
      </c>
      <c r="L23" s="375">
        <f t="shared" si="15"/>
        <v>246.74398707101435</v>
      </c>
      <c r="M23" s="375">
        <f t="shared" si="15"/>
        <v>261.631333776975</v>
      </c>
      <c r="N23" s="375">
        <f t="shared" si="15"/>
        <v>239.30031371803403</v>
      </c>
      <c r="O23" s="375">
        <f t="shared" si="15"/>
        <v>216.28006464492822</v>
      </c>
      <c r="P23" s="375">
        <f t="shared" si="15"/>
        <v>252.11997338150013</v>
      </c>
      <c r="Q23" s="375">
        <f t="shared" si="15"/>
        <v>257.08242228348701</v>
      </c>
      <c r="R23" s="376">
        <f t="shared" si="7"/>
        <v>2900</v>
      </c>
      <c r="S23" s="7">
        <f t="shared" si="8"/>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41402.330999999998</v>
      </c>
      <c r="B24" s="15" t="s">
        <v>595</v>
      </c>
      <c r="C24" s="14">
        <f>[6]Maintenance!$J$23</f>
        <v>12350</v>
      </c>
      <c r="D24" s="13">
        <f t="shared" si="11"/>
        <v>0.58703298792660896</v>
      </c>
      <c r="E24" s="7"/>
      <c r="F24" s="375">
        <f t="shared" si="12"/>
        <v>1000.3042114269417</v>
      </c>
      <c r="G24" s="375">
        <f t="shared" si="15"/>
        <v>955.10267135659274</v>
      </c>
      <c r="H24" s="375">
        <f t="shared" si="15"/>
        <v>918.11959311721637</v>
      </c>
      <c r="I24" s="375">
        <f t="shared" si="15"/>
        <v>1024.9595969198592</v>
      </c>
      <c r="J24" s="375">
        <f t="shared" si="15"/>
        <v>1040.8094875938777</v>
      </c>
      <c r="K24" s="375">
        <f t="shared" si="15"/>
        <v>1137.0828976138416</v>
      </c>
      <c r="L24" s="375">
        <f t="shared" si="15"/>
        <v>1050.7890483886301</v>
      </c>
      <c r="M24" s="375">
        <f t="shared" si="15"/>
        <v>1114.1886110847038</v>
      </c>
      <c r="N24" s="375">
        <f t="shared" si="15"/>
        <v>1019.0892670405932</v>
      </c>
      <c r="O24" s="375">
        <f t="shared" si="15"/>
        <v>921.05475805684944</v>
      </c>
      <c r="P24" s="375">
        <f t="shared" si="15"/>
        <v>1073.6833349177678</v>
      </c>
      <c r="Q24" s="375">
        <f t="shared" si="15"/>
        <v>1094.8165224831257</v>
      </c>
      <c r="R24" s="376">
        <f t="shared" si="7"/>
        <v>12350.000000000002</v>
      </c>
      <c r="S24" s="7">
        <f t="shared" si="8"/>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41403.330999999998</v>
      </c>
      <c r="B25" s="15" t="s">
        <v>602</v>
      </c>
      <c r="C25" s="14">
        <f>[6]Maintenance!$J$24</f>
        <v>12950</v>
      </c>
      <c r="D25" s="13">
        <f t="shared" si="11"/>
        <v>0.61555280920239563</v>
      </c>
      <c r="E25" s="7"/>
      <c r="F25" s="375">
        <f t="shared" si="12"/>
        <v>1048.9019868808821</v>
      </c>
      <c r="G25" s="375">
        <f t="shared" si="15"/>
        <v>1001.5044205722977</v>
      </c>
      <c r="H25" s="375">
        <f t="shared" si="15"/>
        <v>962.72459359254674</v>
      </c>
      <c r="I25" s="375">
        <f t="shared" si="15"/>
        <v>1074.7552048673829</v>
      </c>
      <c r="J25" s="375">
        <f t="shared" si="15"/>
        <v>1091.3751307158475</v>
      </c>
      <c r="K25" s="375">
        <f t="shared" si="15"/>
        <v>1192.3257914250403</v>
      </c>
      <c r="L25" s="375">
        <f t="shared" si="15"/>
        <v>1101.8395284722883</v>
      </c>
      <c r="M25" s="375">
        <f t="shared" si="15"/>
        <v>1168.319231866147</v>
      </c>
      <c r="N25" s="375">
        <f t="shared" si="15"/>
        <v>1068.5996767753588</v>
      </c>
      <c r="O25" s="375">
        <f t="shared" si="15"/>
        <v>965.80235763855876</v>
      </c>
      <c r="P25" s="375">
        <f t="shared" si="15"/>
        <v>1125.8460880311816</v>
      </c>
      <c r="Q25" s="375">
        <f t="shared" si="15"/>
        <v>1148.0059891624678</v>
      </c>
      <c r="R25" s="376">
        <f t="shared" ref="R25" si="20">SUM(F25:Q25)</f>
        <v>12950</v>
      </c>
      <c r="S25" s="7">
        <f t="shared" ref="S25" si="21">C25-R25</f>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41423.330999999998</v>
      </c>
      <c r="B26" s="15" t="s">
        <v>9</v>
      </c>
      <c r="C26" s="14"/>
      <c r="D26" s="13">
        <f t="shared" si="11"/>
        <v>0</v>
      </c>
      <c r="E26" s="7"/>
      <c r="F26" s="375">
        <f t="shared" si="12"/>
        <v>0</v>
      </c>
      <c r="G26" s="375">
        <f t="shared" si="15"/>
        <v>0</v>
      </c>
      <c r="H26" s="375">
        <f t="shared" si="15"/>
        <v>0</v>
      </c>
      <c r="I26" s="375">
        <f t="shared" si="15"/>
        <v>0</v>
      </c>
      <c r="J26" s="375">
        <f t="shared" si="15"/>
        <v>0</v>
      </c>
      <c r="K26" s="375">
        <f t="shared" si="15"/>
        <v>0</v>
      </c>
      <c r="L26" s="375">
        <f t="shared" si="15"/>
        <v>0</v>
      </c>
      <c r="M26" s="375">
        <f t="shared" si="15"/>
        <v>0</v>
      </c>
      <c r="N26" s="375">
        <f t="shared" si="15"/>
        <v>0</v>
      </c>
      <c r="O26" s="375">
        <f t="shared" si="15"/>
        <v>0</v>
      </c>
      <c r="P26" s="375">
        <f t="shared" si="15"/>
        <v>0</v>
      </c>
      <c r="Q26" s="375">
        <f t="shared" si="15"/>
        <v>0</v>
      </c>
      <c r="R26" s="376">
        <f t="shared" si="7"/>
        <v>0</v>
      </c>
      <c r="S26" s="7">
        <f t="shared" si="8"/>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41426.330999999998</v>
      </c>
      <c r="B27" s="15" t="s">
        <v>8</v>
      </c>
      <c r="C27" s="14"/>
      <c r="D27" s="13">
        <f t="shared" si="11"/>
        <v>0</v>
      </c>
      <c r="E27" s="7"/>
      <c r="F27" s="375">
        <f t="shared" si="12"/>
        <v>0</v>
      </c>
      <c r="G27" s="375">
        <f t="shared" si="15"/>
        <v>0</v>
      </c>
      <c r="H27" s="375">
        <f t="shared" si="15"/>
        <v>0</v>
      </c>
      <c r="I27" s="375">
        <f t="shared" si="15"/>
        <v>0</v>
      </c>
      <c r="J27" s="375">
        <f t="shared" si="15"/>
        <v>0</v>
      </c>
      <c r="K27" s="375">
        <f t="shared" si="15"/>
        <v>0</v>
      </c>
      <c r="L27" s="375">
        <f t="shared" si="15"/>
        <v>0</v>
      </c>
      <c r="M27" s="375">
        <f t="shared" si="15"/>
        <v>0</v>
      </c>
      <c r="N27" s="375">
        <f t="shared" si="15"/>
        <v>0</v>
      </c>
      <c r="O27" s="375">
        <f t="shared" si="15"/>
        <v>0</v>
      </c>
      <c r="P27" s="375">
        <f t="shared" si="15"/>
        <v>0</v>
      </c>
      <c r="Q27" s="375">
        <f t="shared" si="15"/>
        <v>0</v>
      </c>
      <c r="R27" s="376">
        <f t="shared" si="7"/>
        <v>0</v>
      </c>
      <c r="S27" s="7">
        <f t="shared" si="8"/>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41439.330999999998</v>
      </c>
      <c r="B28" s="15" t="s">
        <v>603</v>
      </c>
      <c r="C28" s="14">
        <f>[6]Maintenance!$J$25</f>
        <v>180</v>
      </c>
      <c r="D28" s="13">
        <f t="shared" si="11"/>
        <v>8.5559463827360009E-3</v>
      </c>
      <c r="E28" s="7"/>
      <c r="F28" s="375">
        <f t="shared" si="12"/>
        <v>14.579332636182146</v>
      </c>
      <c r="G28" s="375">
        <f t="shared" si="15"/>
        <v>13.920524764711473</v>
      </c>
      <c r="H28" s="375">
        <f t="shared" si="15"/>
        <v>13.381500142599105</v>
      </c>
      <c r="I28" s="375">
        <f t="shared" si="15"/>
        <v>14.938682384257058</v>
      </c>
      <c r="J28" s="375">
        <f t="shared" si="15"/>
        <v>15.169692936590929</v>
      </c>
      <c r="K28" s="375">
        <f t="shared" si="15"/>
        <v>16.572868143359635</v>
      </c>
      <c r="L28" s="375">
        <f t="shared" si="15"/>
        <v>15.315144025097442</v>
      </c>
      <c r="M28" s="375">
        <f t="shared" si="15"/>
        <v>16.239186234432928</v>
      </c>
      <c r="N28" s="375">
        <f t="shared" si="15"/>
        <v>14.853122920429698</v>
      </c>
      <c r="O28" s="375">
        <f t="shared" si="15"/>
        <v>13.424279874512786</v>
      </c>
      <c r="P28" s="375">
        <f t="shared" si="15"/>
        <v>15.648825934024146</v>
      </c>
      <c r="Q28" s="375">
        <f t="shared" si="15"/>
        <v>15.956840003802641</v>
      </c>
      <c r="R28" s="376">
        <f t="shared" ref="R28" si="22">SUM(F28:Q28)</f>
        <v>180</v>
      </c>
      <c r="S28" s="7">
        <f t="shared" ref="S28" si="23">C28-R28</f>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41440.330999999998</v>
      </c>
      <c r="B29" s="15" t="s">
        <v>7</v>
      </c>
      <c r="C29" s="14"/>
      <c r="D29" s="13">
        <f t="shared" si="11"/>
        <v>0</v>
      </c>
      <c r="E29" s="7"/>
      <c r="F29" s="375">
        <f t="shared" si="12"/>
        <v>0</v>
      </c>
      <c r="G29" s="375">
        <f t="shared" si="15"/>
        <v>0</v>
      </c>
      <c r="H29" s="375">
        <f t="shared" si="15"/>
        <v>0</v>
      </c>
      <c r="I29" s="375">
        <f t="shared" si="15"/>
        <v>0</v>
      </c>
      <c r="J29" s="375">
        <f t="shared" si="15"/>
        <v>0</v>
      </c>
      <c r="K29" s="375">
        <f t="shared" si="15"/>
        <v>0</v>
      </c>
      <c r="L29" s="375">
        <f t="shared" si="15"/>
        <v>0</v>
      </c>
      <c r="M29" s="375">
        <f t="shared" si="15"/>
        <v>0</v>
      </c>
      <c r="N29" s="375">
        <f t="shared" si="15"/>
        <v>0</v>
      </c>
      <c r="O29" s="375">
        <f t="shared" si="15"/>
        <v>0</v>
      </c>
      <c r="P29" s="375">
        <f t="shared" si="15"/>
        <v>0</v>
      </c>
      <c r="Q29" s="375">
        <f t="shared" si="15"/>
        <v>0</v>
      </c>
      <c r="R29" s="376">
        <f t="shared" si="7"/>
        <v>0</v>
      </c>
      <c r="S29" s="7">
        <f t="shared" si="8"/>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41460.330999999998</v>
      </c>
      <c r="B30" s="15" t="s">
        <v>6</v>
      </c>
      <c r="C30" s="14">
        <f>[6]Maintenance!$J$26</f>
        <v>350</v>
      </c>
      <c r="D30" s="13">
        <f t="shared" si="11"/>
        <v>1.663656241087556E-2</v>
      </c>
      <c r="E30" s="7"/>
      <c r="F30" s="375">
        <f t="shared" si="12"/>
        <v>28.348702348131955</v>
      </c>
      <c r="G30" s="375">
        <f t="shared" si="12"/>
        <v>27.067687042494537</v>
      </c>
      <c r="H30" s="375">
        <f t="shared" si="12"/>
        <v>26.019583610609377</v>
      </c>
      <c r="I30" s="375">
        <f t="shared" si="12"/>
        <v>29.047437969388728</v>
      </c>
      <c r="J30" s="375">
        <f t="shared" si="12"/>
        <v>29.496625154482366</v>
      </c>
      <c r="K30" s="375">
        <f t="shared" si="12"/>
        <v>32.225021389865958</v>
      </c>
      <c r="L30" s="375">
        <f t="shared" si="12"/>
        <v>29.779446715467252</v>
      </c>
      <c r="M30" s="375">
        <f t="shared" si="12"/>
        <v>31.576195455841813</v>
      </c>
      <c r="N30" s="375">
        <f t="shared" si="12"/>
        <v>28.881072345279971</v>
      </c>
      <c r="O30" s="375">
        <f t="shared" si="12"/>
        <v>26.102766422663752</v>
      </c>
      <c r="P30" s="375">
        <f t="shared" si="12"/>
        <v>30.428272649491397</v>
      </c>
      <c r="Q30" s="375">
        <f t="shared" si="12"/>
        <v>31.027188896282919</v>
      </c>
      <c r="R30" s="376">
        <f t="shared" si="7"/>
        <v>350</v>
      </c>
      <c r="S30" s="7">
        <f t="shared" si="8"/>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12" customFormat="1" x14ac:dyDescent="0.2">
      <c r="A31" s="87">
        <v>41461.330999999998</v>
      </c>
      <c r="B31" s="15" t="s">
        <v>5</v>
      </c>
      <c r="C31" s="14"/>
      <c r="D31" s="13">
        <f t="shared" si="11"/>
        <v>0</v>
      </c>
      <c r="E31" s="7"/>
      <c r="F31" s="375">
        <f t="shared" si="12"/>
        <v>0</v>
      </c>
      <c r="G31" s="375">
        <f t="shared" si="12"/>
        <v>0</v>
      </c>
      <c r="H31" s="375">
        <f t="shared" si="12"/>
        <v>0</v>
      </c>
      <c r="I31" s="375">
        <f t="shared" si="12"/>
        <v>0</v>
      </c>
      <c r="J31" s="375">
        <f t="shared" si="12"/>
        <v>0</v>
      </c>
      <c r="K31" s="375">
        <f t="shared" si="12"/>
        <v>0</v>
      </c>
      <c r="L31" s="375">
        <f t="shared" si="12"/>
        <v>0</v>
      </c>
      <c r="M31" s="375">
        <f t="shared" si="12"/>
        <v>0</v>
      </c>
      <c r="N31" s="375">
        <f t="shared" si="12"/>
        <v>0</v>
      </c>
      <c r="O31" s="375">
        <f t="shared" si="12"/>
        <v>0</v>
      </c>
      <c r="P31" s="375">
        <f t="shared" si="12"/>
        <v>0</v>
      </c>
      <c r="Q31" s="375">
        <f t="shared" si="12"/>
        <v>0</v>
      </c>
      <c r="R31" s="376">
        <f t="shared" si="7"/>
        <v>0</v>
      </c>
      <c r="S31" s="7">
        <f t="shared" si="8"/>
        <v>0</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1:58" s="12" customFormat="1" x14ac:dyDescent="0.2">
      <c r="A32" s="87">
        <v>41490.330999999998</v>
      </c>
      <c r="B32" s="15" t="s">
        <v>4</v>
      </c>
      <c r="C32" s="14"/>
      <c r="D32" s="13">
        <f t="shared" si="11"/>
        <v>0</v>
      </c>
      <c r="E32" s="7"/>
      <c r="F32" s="375">
        <f t="shared" si="12"/>
        <v>0</v>
      </c>
      <c r="G32" s="375">
        <f t="shared" si="12"/>
        <v>0</v>
      </c>
      <c r="H32" s="375">
        <f t="shared" si="12"/>
        <v>0</v>
      </c>
      <c r="I32" s="375">
        <f t="shared" si="12"/>
        <v>0</v>
      </c>
      <c r="J32" s="375">
        <f t="shared" si="12"/>
        <v>0</v>
      </c>
      <c r="K32" s="375">
        <f t="shared" si="12"/>
        <v>0</v>
      </c>
      <c r="L32" s="375">
        <f t="shared" si="12"/>
        <v>0</v>
      </c>
      <c r="M32" s="375">
        <f t="shared" si="12"/>
        <v>0</v>
      </c>
      <c r="N32" s="375">
        <f t="shared" si="12"/>
        <v>0</v>
      </c>
      <c r="O32" s="375">
        <f t="shared" si="12"/>
        <v>0</v>
      </c>
      <c r="P32" s="375">
        <f t="shared" si="12"/>
        <v>0</v>
      </c>
      <c r="Q32" s="375">
        <f t="shared" si="12"/>
        <v>0</v>
      </c>
      <c r="R32" s="376">
        <f t="shared" si="7"/>
        <v>0</v>
      </c>
      <c r="S32" s="7">
        <f t="shared" si="8"/>
        <v>0</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1:58" s="12" customFormat="1" x14ac:dyDescent="0.2">
      <c r="A33" s="87">
        <v>41509.330999999998</v>
      </c>
      <c r="B33" s="15" t="s">
        <v>3</v>
      </c>
      <c r="C33" s="14">
        <f>[6]Maintenance!$J$27</f>
        <v>1950</v>
      </c>
      <c r="D33" s="13">
        <f t="shared" si="11"/>
        <v>9.2689419146306684E-2</v>
      </c>
      <c r="E33" s="7"/>
      <c r="F33" s="375">
        <f t="shared" si="12"/>
        <v>157.94277022530659</v>
      </c>
      <c r="G33" s="375">
        <f t="shared" si="12"/>
        <v>150.80568495104097</v>
      </c>
      <c r="H33" s="375">
        <f t="shared" si="12"/>
        <v>144.96625154482365</v>
      </c>
      <c r="I33" s="375">
        <f t="shared" si="12"/>
        <v>161.83572582945146</v>
      </c>
      <c r="J33" s="375">
        <f t="shared" si="12"/>
        <v>164.33834014640175</v>
      </c>
      <c r="K33" s="375">
        <f t="shared" si="12"/>
        <v>179.53940488639606</v>
      </c>
      <c r="L33" s="375">
        <f t="shared" si="12"/>
        <v>165.91406027188896</v>
      </c>
      <c r="M33" s="375">
        <f t="shared" si="12"/>
        <v>175.9245175396901</v>
      </c>
      <c r="N33" s="375">
        <f t="shared" si="12"/>
        <v>160.90883163798841</v>
      </c>
      <c r="O33" s="375">
        <f t="shared" si="12"/>
        <v>145.42969864055519</v>
      </c>
      <c r="P33" s="375">
        <f t="shared" si="12"/>
        <v>169.52894761859491</v>
      </c>
      <c r="Q33" s="375">
        <f t="shared" si="12"/>
        <v>172.86576670786198</v>
      </c>
      <c r="R33" s="376">
        <f t="shared" si="7"/>
        <v>1950</v>
      </c>
      <c r="S33" s="7">
        <f t="shared" si="8"/>
        <v>0</v>
      </c>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1:58" s="12" customFormat="1" x14ac:dyDescent="0.2">
      <c r="A34" s="87">
        <v>41560.330999999998</v>
      </c>
      <c r="B34" s="15" t="s">
        <v>420</v>
      </c>
      <c r="C34" s="14">
        <f>[6]Maintenance!$J$28</f>
        <v>100</v>
      </c>
      <c r="D34" s="13">
        <f t="shared" si="11"/>
        <v>4.753303545964445E-3</v>
      </c>
      <c r="E34" s="7"/>
      <c r="F34" s="375">
        <f t="shared" si="12"/>
        <v>8.0996292423234149</v>
      </c>
      <c r="G34" s="375">
        <f t="shared" si="12"/>
        <v>7.733624869284152</v>
      </c>
      <c r="H34" s="375">
        <f t="shared" si="12"/>
        <v>7.4341667458883922</v>
      </c>
      <c r="I34" s="375">
        <f t="shared" si="12"/>
        <v>8.2992679912539202</v>
      </c>
      <c r="J34" s="375">
        <f t="shared" si="12"/>
        <v>8.4276071869949618</v>
      </c>
      <c r="K34" s="375">
        <f t="shared" si="12"/>
        <v>9.2071489685331294</v>
      </c>
      <c r="L34" s="375">
        <f t="shared" si="12"/>
        <v>8.5084133472763561</v>
      </c>
      <c r="M34" s="375">
        <f t="shared" si="12"/>
        <v>9.0217701302405171</v>
      </c>
      <c r="N34" s="375">
        <f t="shared" si="12"/>
        <v>8.2517349557942765</v>
      </c>
      <c r="O34" s="375">
        <f t="shared" si="12"/>
        <v>7.4579332636182141</v>
      </c>
      <c r="P34" s="375">
        <f t="shared" si="12"/>
        <v>8.6937921855689702</v>
      </c>
      <c r="Q34" s="375">
        <f t="shared" si="12"/>
        <v>8.8649111132236893</v>
      </c>
      <c r="R34" s="376">
        <f t="shared" ref="R34" si="24">SUM(F34:Q34)</f>
        <v>99.999999999999986</v>
      </c>
      <c r="S34" s="7">
        <f t="shared" ref="S34" si="25">C34-R34</f>
        <v>0</v>
      </c>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1:58" s="12" customFormat="1" x14ac:dyDescent="0.2">
      <c r="A35" s="87">
        <v>41570.330999999998</v>
      </c>
      <c r="B35" s="15" t="s">
        <v>2</v>
      </c>
      <c r="C35" s="14">
        <f>[6]Maintenance!$J$29</f>
        <v>36500</v>
      </c>
      <c r="D35" s="13">
        <f t="shared" si="11"/>
        <v>1.7349557942770226</v>
      </c>
      <c r="E35" s="7"/>
      <c r="F35" s="375">
        <f t="shared" si="12"/>
        <v>2956.3646734480467</v>
      </c>
      <c r="G35" s="375">
        <f t="shared" si="12"/>
        <v>2822.7730772887157</v>
      </c>
      <c r="H35" s="375">
        <f t="shared" si="12"/>
        <v>2713.4708622492635</v>
      </c>
      <c r="I35" s="375">
        <f t="shared" si="12"/>
        <v>3029.2328168076815</v>
      </c>
      <c r="J35" s="375">
        <f t="shared" si="12"/>
        <v>3076.076623253161</v>
      </c>
      <c r="K35" s="375">
        <f t="shared" si="12"/>
        <v>3360.6093735145928</v>
      </c>
      <c r="L35" s="375">
        <f t="shared" si="12"/>
        <v>3105.5708717558705</v>
      </c>
      <c r="M35" s="375">
        <f t="shared" si="12"/>
        <v>3292.9460975377888</v>
      </c>
      <c r="N35" s="375">
        <f t="shared" si="12"/>
        <v>3011.8832588649111</v>
      </c>
      <c r="O35" s="375">
        <f t="shared" si="12"/>
        <v>2722.1456412206485</v>
      </c>
      <c r="P35" s="375">
        <f t="shared" si="12"/>
        <v>3173.2341477326745</v>
      </c>
      <c r="Q35" s="375">
        <f t="shared" si="12"/>
        <v>3235.6925563266473</v>
      </c>
      <c r="R35" s="376">
        <f t="shared" si="7"/>
        <v>36500</v>
      </c>
      <c r="S35" s="7">
        <f t="shared" si="8"/>
        <v>0</v>
      </c>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1:58" s="12" customFormat="1" x14ac:dyDescent="0.2">
      <c r="A36" s="87">
        <v>41571.330999999998</v>
      </c>
      <c r="B36" s="15" t="s">
        <v>1</v>
      </c>
      <c r="C36" s="14">
        <f>[6]Maintenance!$J$30</f>
        <v>23100</v>
      </c>
      <c r="D36" s="13">
        <f t="shared" si="11"/>
        <v>1.0980131191177869</v>
      </c>
      <c r="E36" s="7"/>
      <c r="F36" s="375">
        <f t="shared" si="12"/>
        <v>1871.0143549767088</v>
      </c>
      <c r="G36" s="375">
        <f t="shared" si="12"/>
        <v>1786.4673448046392</v>
      </c>
      <c r="H36" s="375">
        <f t="shared" si="12"/>
        <v>1717.2925183002187</v>
      </c>
      <c r="I36" s="375">
        <f t="shared" si="12"/>
        <v>1917.1309059796558</v>
      </c>
      <c r="J36" s="375">
        <f t="shared" si="12"/>
        <v>1946.7772601958361</v>
      </c>
      <c r="K36" s="375">
        <f t="shared" si="12"/>
        <v>2126.8514117311533</v>
      </c>
      <c r="L36" s="375">
        <f t="shared" si="12"/>
        <v>1965.4434832208385</v>
      </c>
      <c r="M36" s="375">
        <f t="shared" si="12"/>
        <v>2084.0289000855596</v>
      </c>
      <c r="N36" s="375">
        <f t="shared" si="12"/>
        <v>1906.150774788478</v>
      </c>
      <c r="O36" s="375">
        <f t="shared" si="12"/>
        <v>1722.7825838958076</v>
      </c>
      <c r="P36" s="375">
        <f t="shared" si="12"/>
        <v>2008.2659948664323</v>
      </c>
      <c r="Q36" s="375">
        <f t="shared" si="12"/>
        <v>2047.7944671546725</v>
      </c>
      <c r="R36" s="376">
        <f t="shared" si="7"/>
        <v>23100.000000000004</v>
      </c>
      <c r="S36" s="7">
        <f t="shared" si="8"/>
        <v>0</v>
      </c>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1:58" s="5" customFormat="1" x14ac:dyDescent="0.2">
      <c r="A37" s="11"/>
      <c r="B37" s="10" t="s">
        <v>0</v>
      </c>
      <c r="C37" s="8">
        <f>SUM(C10:C36)</f>
        <v>509666.22761499998</v>
      </c>
      <c r="D37" s="9">
        <f>SUM(D10:D36)</f>
        <v>37.238344020377433</v>
      </c>
      <c r="E37" s="104"/>
      <c r="F37" s="394">
        <f t="shared" ref="F37:Q37" si="26">SUM(F10:F36)</f>
        <v>41735.341118354067</v>
      </c>
      <c r="G37" s="394">
        <f t="shared" si="26"/>
        <v>39976.17844122</v>
      </c>
      <c r="H37" s="394">
        <f t="shared" si="26"/>
        <v>39111.888318658261</v>
      </c>
      <c r="I37" s="394">
        <f t="shared" si="26"/>
        <v>42522.376958262801</v>
      </c>
      <c r="J37" s="394">
        <f t="shared" si="26"/>
        <v>42079.537657728593</v>
      </c>
      <c r="K37" s="394">
        <f t="shared" si="26"/>
        <v>46101.516134990641</v>
      </c>
      <c r="L37" s="394">
        <f t="shared" si="26"/>
        <v>43030.627058008678</v>
      </c>
      <c r="M37" s="394">
        <f t="shared" si="26"/>
        <v>45370.697140789656</v>
      </c>
      <c r="N37" s="394">
        <f t="shared" si="26"/>
        <v>42018.723835268873</v>
      </c>
      <c r="O37" s="394">
        <f t="shared" si="26"/>
        <v>39205.583061504556</v>
      </c>
      <c r="P37" s="394">
        <f t="shared" si="26"/>
        <v>44077.70968951103</v>
      </c>
      <c r="Q37" s="394">
        <f t="shared" si="26"/>
        <v>44436.048200702848</v>
      </c>
      <c r="R37" s="109">
        <f t="shared" si="7"/>
        <v>509666.22761499998</v>
      </c>
      <c r="S37" s="104">
        <f t="shared" si="8"/>
        <v>0</v>
      </c>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row>
    <row r="38" spans="1:58" x14ac:dyDescent="0.2">
      <c r="F38" s="3"/>
    </row>
    <row r="39" spans="1:58" x14ac:dyDescent="0.2">
      <c r="A39" s="4"/>
      <c r="C39" s="3"/>
      <c r="F39" s="3"/>
      <c r="G39" s="3"/>
      <c r="H39" s="3"/>
      <c r="I39" s="3"/>
      <c r="J39" s="3"/>
      <c r="K39" s="3"/>
      <c r="L39" s="3"/>
      <c r="M39" s="3"/>
      <c r="N39" s="3"/>
      <c r="O39" s="3"/>
      <c r="P39" s="3"/>
      <c r="Q39" s="3"/>
    </row>
    <row r="40" spans="1:58" x14ac:dyDescent="0.2">
      <c r="A40" s="4"/>
      <c r="C40" s="3"/>
      <c r="F40" s="3"/>
      <c r="G40" s="3"/>
      <c r="H40" s="3"/>
      <c r="I40" s="3"/>
      <c r="J40" s="3"/>
      <c r="K40" s="3"/>
      <c r="L40" s="3"/>
      <c r="M40" s="3"/>
      <c r="N40" s="3"/>
      <c r="O40" s="3"/>
      <c r="P40" s="3"/>
      <c r="Q40" s="3"/>
    </row>
    <row r="41" spans="1:58" x14ac:dyDescent="0.2">
      <c r="C41" s="3"/>
      <c r="F41" s="3"/>
      <c r="G41" s="3"/>
      <c r="H41" s="3"/>
      <c r="I41" s="3"/>
      <c r="J41" s="3"/>
      <c r="K41" s="3"/>
      <c r="L41" s="3"/>
      <c r="M41" s="3"/>
      <c r="N41" s="3"/>
      <c r="O41" s="3"/>
      <c r="P41" s="3"/>
      <c r="Q41" s="3"/>
    </row>
  </sheetData>
  <mergeCells count="1">
    <mergeCell ref="A8:D8"/>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 xml:space="preserve">&amp;R&amp;A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F33"/>
  <sheetViews>
    <sheetView zoomScaleNormal="100" workbookViewId="0">
      <selection activeCell="C2" sqref="C2"/>
    </sheetView>
  </sheetViews>
  <sheetFormatPr defaultRowHeight="12.75" x14ac:dyDescent="0.2"/>
  <cols>
    <col min="1" max="1" width="11" style="2" bestFit="1" customWidth="1"/>
    <col min="2" max="2" width="28.28515625" style="2" bestFit="1" customWidth="1"/>
    <col min="3" max="3" width="16.140625" style="2" customWidth="1"/>
    <col min="4" max="5" width="11" style="4" customWidth="1"/>
    <col min="6" max="6" width="12.85546875" style="2" bestFit="1" customWidth="1"/>
    <col min="7" max="7" width="13.85546875" style="2" bestFit="1" customWidth="1"/>
    <col min="8" max="16" width="11.28515625" style="2" bestFit="1" customWidth="1"/>
    <col min="17" max="17" width="12.7109375" style="2" bestFit="1" customWidth="1"/>
    <col min="18" max="18" width="12.710937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89">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306">
        <f>'MO STATS'!P87</f>
        <v>57</v>
      </c>
      <c r="R2" s="3">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306">
        <f>'MO STATS'!P88</f>
        <v>1808</v>
      </c>
      <c r="R3" s="3">
        <f t="shared" ref="R3:R4" si="0">SUM(F3:Q3)</f>
        <v>20375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306">
        <f>'MO STATS'!P89</f>
        <v>1865</v>
      </c>
      <c r="R4" s="3">
        <f t="shared" si="0"/>
        <v>21038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row>
    <row r="9" spans="1:58" x14ac:dyDescent="0.2">
      <c r="A9" s="21"/>
      <c r="B9" s="10" t="s">
        <v>604</v>
      </c>
      <c r="C9" s="20"/>
      <c r="D9" s="19" t="s">
        <v>596</v>
      </c>
      <c r="E9" s="111"/>
    </row>
    <row r="10" spans="1:58" s="12" customFormat="1" x14ac:dyDescent="0.2">
      <c r="A10" s="87">
        <v>41101.332000000002</v>
      </c>
      <c r="B10" s="15" t="s">
        <v>22</v>
      </c>
      <c r="C10" s="14"/>
      <c r="D10" s="13">
        <f>$C10/C$4</f>
        <v>0</v>
      </c>
      <c r="E10" s="7"/>
      <c r="F10" s="375">
        <f>$D10*F$4</f>
        <v>0</v>
      </c>
      <c r="G10" s="375">
        <f t="shared" ref="G10:Q23" si="2">$D10*G$4</f>
        <v>0</v>
      </c>
      <c r="H10" s="375">
        <f t="shared" si="2"/>
        <v>0</v>
      </c>
      <c r="I10" s="375">
        <f t="shared" si="2"/>
        <v>0</v>
      </c>
      <c r="J10" s="375">
        <f t="shared" si="2"/>
        <v>0</v>
      </c>
      <c r="K10" s="375">
        <f t="shared" si="2"/>
        <v>0</v>
      </c>
      <c r="L10" s="375">
        <f t="shared" si="2"/>
        <v>0</v>
      </c>
      <c r="M10" s="375">
        <f t="shared" si="2"/>
        <v>0</v>
      </c>
      <c r="N10" s="375">
        <f t="shared" si="2"/>
        <v>0</v>
      </c>
      <c r="O10" s="375">
        <f t="shared" si="2"/>
        <v>0</v>
      </c>
      <c r="P10" s="375">
        <f t="shared" si="2"/>
        <v>0</v>
      </c>
      <c r="Q10" s="375">
        <f t="shared" si="2"/>
        <v>0</v>
      </c>
      <c r="R10" s="376">
        <f t="shared" ref="R10:R29" si="3">SUM(F10:Q10)</f>
        <v>0</v>
      </c>
      <c r="S10" s="7">
        <f t="shared" ref="S10:S29" si="4">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41110.332000000002</v>
      </c>
      <c r="B11" s="15" t="s">
        <v>21</v>
      </c>
      <c r="C11" s="14"/>
      <c r="D11" s="13">
        <f t="shared" ref="D11:D28" si="5">$C11/C$4</f>
        <v>0</v>
      </c>
      <c r="E11" s="7"/>
      <c r="F11" s="375">
        <f t="shared" ref="F11:Q28" si="6">$D11*F$4</f>
        <v>0</v>
      </c>
      <c r="G11" s="375">
        <f t="shared" si="2"/>
        <v>0</v>
      </c>
      <c r="H11" s="375">
        <f t="shared" si="2"/>
        <v>0</v>
      </c>
      <c r="I11" s="375">
        <f t="shared" si="2"/>
        <v>0</v>
      </c>
      <c r="J11" s="375">
        <f t="shared" si="2"/>
        <v>0</v>
      </c>
      <c r="K11" s="375">
        <f t="shared" si="2"/>
        <v>0</v>
      </c>
      <c r="L11" s="375">
        <f t="shared" si="2"/>
        <v>0</v>
      </c>
      <c r="M11" s="375">
        <f t="shared" si="2"/>
        <v>0</v>
      </c>
      <c r="N11" s="375">
        <f t="shared" si="2"/>
        <v>0</v>
      </c>
      <c r="O11" s="375">
        <f t="shared" si="2"/>
        <v>0</v>
      </c>
      <c r="P11" s="375">
        <f t="shared" si="2"/>
        <v>0</v>
      </c>
      <c r="Q11" s="375">
        <f t="shared" si="2"/>
        <v>0</v>
      </c>
      <c r="R11" s="376">
        <f t="shared" si="3"/>
        <v>0</v>
      </c>
      <c r="S11" s="7">
        <f t="shared" si="4"/>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41115.332000000002</v>
      </c>
      <c r="B12" s="15" t="s">
        <v>20</v>
      </c>
      <c r="C12" s="14"/>
      <c r="D12" s="13">
        <f t="shared" si="5"/>
        <v>0</v>
      </c>
      <c r="E12" s="7"/>
      <c r="F12" s="375">
        <f t="shared" si="6"/>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376">
        <f t="shared" si="3"/>
        <v>0</v>
      </c>
      <c r="S12" s="7">
        <f t="shared" si="4"/>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41150.332000000002</v>
      </c>
      <c r="B13" s="15" t="s">
        <v>19</v>
      </c>
      <c r="C13" s="18"/>
      <c r="D13" s="13">
        <f t="shared" si="5"/>
        <v>0</v>
      </c>
      <c r="E13" s="7"/>
      <c r="F13" s="375">
        <f t="shared" si="6"/>
        <v>0</v>
      </c>
      <c r="G13" s="375">
        <f t="shared" si="2"/>
        <v>0</v>
      </c>
      <c r="H13" s="375">
        <f t="shared" si="2"/>
        <v>0</v>
      </c>
      <c r="I13" s="375">
        <f t="shared" si="2"/>
        <v>0</v>
      </c>
      <c r="J13" s="375">
        <f t="shared" si="2"/>
        <v>0</v>
      </c>
      <c r="K13" s="375">
        <f t="shared" si="2"/>
        <v>0</v>
      </c>
      <c r="L13" s="375">
        <f t="shared" si="2"/>
        <v>0</v>
      </c>
      <c r="M13" s="375">
        <f t="shared" si="2"/>
        <v>0</v>
      </c>
      <c r="N13" s="375">
        <f t="shared" si="2"/>
        <v>0</v>
      </c>
      <c r="O13" s="375">
        <f t="shared" si="2"/>
        <v>0</v>
      </c>
      <c r="P13" s="375">
        <f t="shared" si="2"/>
        <v>0</v>
      </c>
      <c r="Q13" s="375">
        <f t="shared" si="2"/>
        <v>0</v>
      </c>
      <c r="R13" s="376">
        <f t="shared" si="3"/>
        <v>0</v>
      </c>
      <c r="S13" s="7">
        <f t="shared" si="4"/>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41152.332000000002</v>
      </c>
      <c r="B14" s="15" t="s">
        <v>18</v>
      </c>
      <c r="C14" s="17"/>
      <c r="D14" s="13">
        <f t="shared" si="5"/>
        <v>0</v>
      </c>
      <c r="E14" s="7"/>
      <c r="F14" s="375">
        <f t="shared" si="6"/>
        <v>0</v>
      </c>
      <c r="G14" s="375">
        <f t="shared" si="2"/>
        <v>0</v>
      </c>
      <c r="H14" s="375">
        <f t="shared" si="2"/>
        <v>0</v>
      </c>
      <c r="I14" s="375">
        <f t="shared" si="2"/>
        <v>0</v>
      </c>
      <c r="J14" s="375">
        <f t="shared" si="2"/>
        <v>0</v>
      </c>
      <c r="K14" s="375">
        <f t="shared" si="2"/>
        <v>0</v>
      </c>
      <c r="L14" s="375">
        <f t="shared" si="2"/>
        <v>0</v>
      </c>
      <c r="M14" s="375">
        <f t="shared" si="2"/>
        <v>0</v>
      </c>
      <c r="N14" s="375">
        <f t="shared" si="2"/>
        <v>0</v>
      </c>
      <c r="O14" s="375">
        <f t="shared" si="2"/>
        <v>0</v>
      </c>
      <c r="P14" s="375">
        <f t="shared" si="2"/>
        <v>0</v>
      </c>
      <c r="Q14" s="375">
        <f t="shared" si="2"/>
        <v>0</v>
      </c>
      <c r="R14" s="376">
        <f t="shared" si="3"/>
        <v>0</v>
      </c>
      <c r="S14" s="7">
        <f t="shared" si="4"/>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41237.332000000002</v>
      </c>
      <c r="B15" s="15" t="s">
        <v>17</v>
      </c>
      <c r="C15" s="17"/>
      <c r="D15" s="13">
        <f t="shared" si="5"/>
        <v>0</v>
      </c>
      <c r="E15" s="7"/>
      <c r="F15" s="375">
        <f t="shared" si="6"/>
        <v>0</v>
      </c>
      <c r="G15" s="375">
        <f t="shared" si="2"/>
        <v>0</v>
      </c>
      <c r="H15" s="375">
        <f t="shared" si="2"/>
        <v>0</v>
      </c>
      <c r="I15" s="375">
        <f t="shared" si="2"/>
        <v>0</v>
      </c>
      <c r="J15" s="375">
        <f t="shared" si="2"/>
        <v>0</v>
      </c>
      <c r="K15" s="375">
        <f t="shared" si="2"/>
        <v>0</v>
      </c>
      <c r="L15" s="375">
        <f t="shared" si="2"/>
        <v>0</v>
      </c>
      <c r="M15" s="375">
        <f t="shared" si="2"/>
        <v>0</v>
      </c>
      <c r="N15" s="375">
        <f t="shared" si="2"/>
        <v>0</v>
      </c>
      <c r="O15" s="375">
        <f t="shared" si="2"/>
        <v>0</v>
      </c>
      <c r="P15" s="375">
        <f t="shared" si="2"/>
        <v>0</v>
      </c>
      <c r="Q15" s="375">
        <f t="shared" si="2"/>
        <v>0</v>
      </c>
      <c r="R15" s="376">
        <f t="shared" si="3"/>
        <v>0</v>
      </c>
      <c r="S15" s="7">
        <f t="shared" si="4"/>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41246.332000000002</v>
      </c>
      <c r="B16" s="15" t="s">
        <v>16</v>
      </c>
      <c r="C16" s="14"/>
      <c r="D16" s="13">
        <f t="shared" si="5"/>
        <v>0</v>
      </c>
      <c r="E16" s="7"/>
      <c r="F16" s="375">
        <f t="shared" si="6"/>
        <v>0</v>
      </c>
      <c r="G16" s="375">
        <f t="shared" si="2"/>
        <v>0</v>
      </c>
      <c r="H16" s="375">
        <f t="shared" si="2"/>
        <v>0</v>
      </c>
      <c r="I16" s="375">
        <f t="shared" si="2"/>
        <v>0</v>
      </c>
      <c r="J16" s="375">
        <f t="shared" si="2"/>
        <v>0</v>
      </c>
      <c r="K16" s="375">
        <f t="shared" si="2"/>
        <v>0</v>
      </c>
      <c r="L16" s="375">
        <f t="shared" si="2"/>
        <v>0</v>
      </c>
      <c r="M16" s="375">
        <f t="shared" si="2"/>
        <v>0</v>
      </c>
      <c r="N16" s="375">
        <f t="shared" si="2"/>
        <v>0</v>
      </c>
      <c r="O16" s="375">
        <f t="shared" si="2"/>
        <v>0</v>
      </c>
      <c r="P16" s="375">
        <f t="shared" si="2"/>
        <v>0</v>
      </c>
      <c r="Q16" s="375">
        <f t="shared" si="2"/>
        <v>0</v>
      </c>
      <c r="R16" s="376">
        <f t="shared" si="3"/>
        <v>0</v>
      </c>
      <c r="S16" s="7">
        <f t="shared" si="4"/>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41250.332000000002</v>
      </c>
      <c r="B17" s="15" t="s">
        <v>15</v>
      </c>
      <c r="C17" s="14"/>
      <c r="D17" s="13">
        <f t="shared" si="5"/>
        <v>0</v>
      </c>
      <c r="E17" s="7"/>
      <c r="F17" s="375">
        <f t="shared" si="6"/>
        <v>0</v>
      </c>
      <c r="G17" s="375">
        <f t="shared" si="2"/>
        <v>0</v>
      </c>
      <c r="H17" s="375">
        <f t="shared" si="2"/>
        <v>0</v>
      </c>
      <c r="I17" s="375">
        <f t="shared" si="2"/>
        <v>0</v>
      </c>
      <c r="J17" s="375">
        <f t="shared" si="2"/>
        <v>0</v>
      </c>
      <c r="K17" s="375">
        <f t="shared" si="2"/>
        <v>0</v>
      </c>
      <c r="L17" s="375">
        <f t="shared" si="2"/>
        <v>0</v>
      </c>
      <c r="M17" s="375">
        <f t="shared" si="2"/>
        <v>0</v>
      </c>
      <c r="N17" s="375">
        <f t="shared" si="2"/>
        <v>0</v>
      </c>
      <c r="O17" s="375">
        <f t="shared" si="2"/>
        <v>0</v>
      </c>
      <c r="P17" s="375">
        <f t="shared" si="2"/>
        <v>0</v>
      </c>
      <c r="Q17" s="375">
        <f t="shared" si="2"/>
        <v>0</v>
      </c>
      <c r="R17" s="376">
        <f t="shared" si="3"/>
        <v>0</v>
      </c>
      <c r="S17" s="7">
        <f t="shared" si="4"/>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41365.332000000002</v>
      </c>
      <c r="B18" s="15" t="s">
        <v>10</v>
      </c>
      <c r="C18" s="14"/>
      <c r="D18" s="13">
        <f t="shared" si="5"/>
        <v>0</v>
      </c>
      <c r="E18" s="7"/>
      <c r="F18" s="375">
        <f t="shared" si="6"/>
        <v>0</v>
      </c>
      <c r="G18" s="375">
        <f t="shared" si="2"/>
        <v>0</v>
      </c>
      <c r="H18" s="375">
        <f t="shared" si="2"/>
        <v>0</v>
      </c>
      <c r="I18" s="375">
        <f t="shared" si="2"/>
        <v>0</v>
      </c>
      <c r="J18" s="375">
        <f t="shared" si="2"/>
        <v>0</v>
      </c>
      <c r="K18" s="375">
        <f t="shared" si="2"/>
        <v>0</v>
      </c>
      <c r="L18" s="375">
        <f t="shared" si="2"/>
        <v>0</v>
      </c>
      <c r="M18" s="375">
        <f t="shared" si="2"/>
        <v>0</v>
      </c>
      <c r="N18" s="375">
        <f t="shared" si="2"/>
        <v>0</v>
      </c>
      <c r="O18" s="375">
        <f t="shared" si="2"/>
        <v>0</v>
      </c>
      <c r="P18" s="375">
        <f t="shared" si="2"/>
        <v>0</v>
      </c>
      <c r="Q18" s="375">
        <f t="shared" si="2"/>
        <v>0</v>
      </c>
      <c r="R18" s="376">
        <f t="shared" si="3"/>
        <v>0</v>
      </c>
      <c r="S18" s="7">
        <f t="shared" si="4"/>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41423.332000000002</v>
      </c>
      <c r="B19" s="15" t="s">
        <v>9</v>
      </c>
      <c r="C19" s="14"/>
      <c r="D19" s="13">
        <f t="shared" si="5"/>
        <v>0</v>
      </c>
      <c r="E19" s="7"/>
      <c r="F19" s="375">
        <f t="shared" si="6"/>
        <v>0</v>
      </c>
      <c r="G19" s="375">
        <f t="shared" si="2"/>
        <v>0</v>
      </c>
      <c r="H19" s="375">
        <f t="shared" si="2"/>
        <v>0</v>
      </c>
      <c r="I19" s="375">
        <f t="shared" si="2"/>
        <v>0</v>
      </c>
      <c r="J19" s="375">
        <f t="shared" si="2"/>
        <v>0</v>
      </c>
      <c r="K19" s="375">
        <f t="shared" si="2"/>
        <v>0</v>
      </c>
      <c r="L19" s="375">
        <f t="shared" si="2"/>
        <v>0</v>
      </c>
      <c r="M19" s="375">
        <f t="shared" si="2"/>
        <v>0</v>
      </c>
      <c r="N19" s="375">
        <f t="shared" si="2"/>
        <v>0</v>
      </c>
      <c r="O19" s="375">
        <f t="shared" si="2"/>
        <v>0</v>
      </c>
      <c r="P19" s="375">
        <f t="shared" si="2"/>
        <v>0</v>
      </c>
      <c r="Q19" s="375">
        <f t="shared" si="2"/>
        <v>0</v>
      </c>
      <c r="R19" s="376">
        <f t="shared" si="3"/>
        <v>0</v>
      </c>
      <c r="S19" s="7">
        <f t="shared" si="4"/>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41424.332000000002</v>
      </c>
      <c r="B20" s="15" t="s">
        <v>420</v>
      </c>
      <c r="C20" s="14"/>
      <c r="D20" s="13">
        <f t="shared" si="5"/>
        <v>0</v>
      </c>
      <c r="E20" s="7"/>
      <c r="F20" s="375">
        <f t="shared" si="6"/>
        <v>0</v>
      </c>
      <c r="G20" s="375">
        <f t="shared" si="6"/>
        <v>0</v>
      </c>
      <c r="H20" s="375">
        <f t="shared" si="6"/>
        <v>0</v>
      </c>
      <c r="I20" s="375">
        <f t="shared" si="6"/>
        <v>0</v>
      </c>
      <c r="J20" s="375">
        <f t="shared" si="6"/>
        <v>0</v>
      </c>
      <c r="K20" s="375">
        <f t="shared" si="6"/>
        <v>0</v>
      </c>
      <c r="L20" s="375">
        <f t="shared" si="6"/>
        <v>0</v>
      </c>
      <c r="M20" s="375">
        <f t="shared" si="6"/>
        <v>0</v>
      </c>
      <c r="N20" s="375">
        <f t="shared" si="6"/>
        <v>0</v>
      </c>
      <c r="O20" s="375">
        <f t="shared" si="6"/>
        <v>0</v>
      </c>
      <c r="P20" s="375">
        <f t="shared" si="6"/>
        <v>0</v>
      </c>
      <c r="Q20" s="375">
        <f t="shared" si="6"/>
        <v>0</v>
      </c>
      <c r="R20" s="376">
        <f t="shared" ref="R20" si="7">SUM(F20:Q20)</f>
        <v>0</v>
      </c>
      <c r="S20" s="7">
        <f t="shared" ref="S20" si="8">C20-R20</f>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41426.332000000002</v>
      </c>
      <c r="B21" s="15" t="s">
        <v>8</v>
      </c>
      <c r="C21" s="14"/>
      <c r="D21" s="13">
        <f t="shared" si="5"/>
        <v>0</v>
      </c>
      <c r="E21" s="7"/>
      <c r="F21" s="375">
        <f t="shared" si="6"/>
        <v>0</v>
      </c>
      <c r="G21" s="375">
        <f t="shared" si="2"/>
        <v>0</v>
      </c>
      <c r="H21" s="375">
        <f t="shared" si="2"/>
        <v>0</v>
      </c>
      <c r="I21" s="375">
        <f t="shared" si="2"/>
        <v>0</v>
      </c>
      <c r="J21" s="375">
        <f t="shared" si="2"/>
        <v>0</v>
      </c>
      <c r="K21" s="375">
        <f t="shared" si="2"/>
        <v>0</v>
      </c>
      <c r="L21" s="375">
        <f t="shared" si="2"/>
        <v>0</v>
      </c>
      <c r="M21" s="375">
        <f t="shared" si="2"/>
        <v>0</v>
      </c>
      <c r="N21" s="375">
        <f t="shared" si="2"/>
        <v>0</v>
      </c>
      <c r="O21" s="375">
        <f t="shared" si="2"/>
        <v>0</v>
      </c>
      <c r="P21" s="375">
        <f t="shared" si="2"/>
        <v>0</v>
      </c>
      <c r="Q21" s="375">
        <f t="shared" si="2"/>
        <v>0</v>
      </c>
      <c r="R21" s="376">
        <f t="shared" si="3"/>
        <v>0</v>
      </c>
      <c r="S21" s="7">
        <f t="shared" si="4"/>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41439.332000000002</v>
      </c>
      <c r="B22" s="15" t="s">
        <v>603</v>
      </c>
      <c r="C22" s="14"/>
      <c r="D22" s="13">
        <f t="shared" si="5"/>
        <v>0</v>
      </c>
      <c r="E22" s="7"/>
      <c r="F22" s="375">
        <f t="shared" si="6"/>
        <v>0</v>
      </c>
      <c r="G22" s="375">
        <f t="shared" si="2"/>
        <v>0</v>
      </c>
      <c r="H22" s="375">
        <f t="shared" si="2"/>
        <v>0</v>
      </c>
      <c r="I22" s="375">
        <f t="shared" si="2"/>
        <v>0</v>
      </c>
      <c r="J22" s="375">
        <f t="shared" si="2"/>
        <v>0</v>
      </c>
      <c r="K22" s="375">
        <f t="shared" si="2"/>
        <v>0</v>
      </c>
      <c r="L22" s="375">
        <f t="shared" si="2"/>
        <v>0</v>
      </c>
      <c r="M22" s="375">
        <f t="shared" si="2"/>
        <v>0</v>
      </c>
      <c r="N22" s="375">
        <f t="shared" si="2"/>
        <v>0</v>
      </c>
      <c r="O22" s="375">
        <f t="shared" si="2"/>
        <v>0</v>
      </c>
      <c r="P22" s="375">
        <f t="shared" si="2"/>
        <v>0</v>
      </c>
      <c r="Q22" s="375">
        <f t="shared" si="2"/>
        <v>0</v>
      </c>
      <c r="R22" s="376">
        <f t="shared" ref="R22" si="9">SUM(F22:Q22)</f>
        <v>0</v>
      </c>
      <c r="S22" s="7">
        <f t="shared" ref="S22" si="10">C22-R22</f>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41440.332000000002</v>
      </c>
      <c r="B23" s="15" t="s">
        <v>7</v>
      </c>
      <c r="C23" s="14"/>
      <c r="D23" s="13">
        <f t="shared" si="5"/>
        <v>0</v>
      </c>
      <c r="E23" s="7"/>
      <c r="F23" s="375">
        <f t="shared" si="6"/>
        <v>0</v>
      </c>
      <c r="G23" s="375">
        <f t="shared" si="2"/>
        <v>0</v>
      </c>
      <c r="H23" s="375">
        <f t="shared" si="2"/>
        <v>0</v>
      </c>
      <c r="I23" s="375">
        <f t="shared" si="2"/>
        <v>0</v>
      </c>
      <c r="J23" s="375">
        <f t="shared" si="2"/>
        <v>0</v>
      </c>
      <c r="K23" s="375">
        <f t="shared" si="2"/>
        <v>0</v>
      </c>
      <c r="L23" s="375">
        <f t="shared" si="2"/>
        <v>0</v>
      </c>
      <c r="M23" s="375">
        <f t="shared" si="2"/>
        <v>0</v>
      </c>
      <c r="N23" s="375">
        <f t="shared" si="2"/>
        <v>0</v>
      </c>
      <c r="O23" s="375">
        <f t="shared" si="2"/>
        <v>0</v>
      </c>
      <c r="P23" s="375">
        <f t="shared" si="2"/>
        <v>0</v>
      </c>
      <c r="Q23" s="375">
        <f t="shared" si="2"/>
        <v>0</v>
      </c>
      <c r="R23" s="376">
        <f t="shared" si="3"/>
        <v>0</v>
      </c>
      <c r="S23" s="7">
        <f t="shared" si="4"/>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41460.332000000002</v>
      </c>
      <c r="B24" s="15" t="s">
        <v>6</v>
      </c>
      <c r="C24" s="14"/>
      <c r="D24" s="13">
        <f t="shared" si="5"/>
        <v>0</v>
      </c>
      <c r="E24" s="7"/>
      <c r="F24" s="375">
        <f t="shared" si="6"/>
        <v>0</v>
      </c>
      <c r="G24" s="375">
        <f t="shared" si="6"/>
        <v>0</v>
      </c>
      <c r="H24" s="375">
        <f t="shared" si="6"/>
        <v>0</v>
      </c>
      <c r="I24" s="375">
        <f t="shared" si="6"/>
        <v>0</v>
      </c>
      <c r="J24" s="375">
        <f t="shared" si="6"/>
        <v>0</v>
      </c>
      <c r="K24" s="375">
        <f t="shared" si="6"/>
        <v>0</v>
      </c>
      <c r="L24" s="375">
        <f t="shared" si="6"/>
        <v>0</v>
      </c>
      <c r="M24" s="375">
        <f t="shared" si="6"/>
        <v>0</v>
      </c>
      <c r="N24" s="375">
        <f t="shared" si="6"/>
        <v>0</v>
      </c>
      <c r="O24" s="375">
        <f t="shared" si="6"/>
        <v>0</v>
      </c>
      <c r="P24" s="375">
        <f t="shared" si="6"/>
        <v>0</v>
      </c>
      <c r="Q24" s="375">
        <f t="shared" si="6"/>
        <v>0</v>
      </c>
      <c r="R24" s="376">
        <f t="shared" si="3"/>
        <v>0</v>
      </c>
      <c r="S24" s="7">
        <f t="shared" si="4"/>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41461.332000000002</v>
      </c>
      <c r="B25" s="15" t="s">
        <v>5</v>
      </c>
      <c r="C25" s="14"/>
      <c r="D25" s="13">
        <f t="shared" si="5"/>
        <v>0</v>
      </c>
      <c r="E25" s="7"/>
      <c r="F25" s="375">
        <f t="shared" si="6"/>
        <v>0</v>
      </c>
      <c r="G25" s="375">
        <f t="shared" si="6"/>
        <v>0</v>
      </c>
      <c r="H25" s="375">
        <f t="shared" si="6"/>
        <v>0</v>
      </c>
      <c r="I25" s="375">
        <f t="shared" si="6"/>
        <v>0</v>
      </c>
      <c r="J25" s="375">
        <f t="shared" si="6"/>
        <v>0</v>
      </c>
      <c r="K25" s="375">
        <f t="shared" si="6"/>
        <v>0</v>
      </c>
      <c r="L25" s="375">
        <f t="shared" si="6"/>
        <v>0</v>
      </c>
      <c r="M25" s="375">
        <f t="shared" si="6"/>
        <v>0</v>
      </c>
      <c r="N25" s="375">
        <f t="shared" si="6"/>
        <v>0</v>
      </c>
      <c r="O25" s="375">
        <f t="shared" si="6"/>
        <v>0</v>
      </c>
      <c r="P25" s="375">
        <f t="shared" si="6"/>
        <v>0</v>
      </c>
      <c r="Q25" s="375">
        <f t="shared" si="6"/>
        <v>0</v>
      </c>
      <c r="R25" s="376">
        <f t="shared" si="3"/>
        <v>0</v>
      </c>
      <c r="S25" s="7">
        <f t="shared" si="4"/>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41490.332000000002</v>
      </c>
      <c r="B26" s="15" t="s">
        <v>4</v>
      </c>
      <c r="C26" s="14"/>
      <c r="D26" s="13">
        <f t="shared" si="5"/>
        <v>0</v>
      </c>
      <c r="E26" s="7"/>
      <c r="F26" s="375">
        <f t="shared" si="6"/>
        <v>0</v>
      </c>
      <c r="G26" s="375">
        <f t="shared" si="6"/>
        <v>0</v>
      </c>
      <c r="H26" s="375">
        <f t="shared" si="6"/>
        <v>0</v>
      </c>
      <c r="I26" s="375">
        <f t="shared" si="6"/>
        <v>0</v>
      </c>
      <c r="J26" s="375">
        <f t="shared" si="6"/>
        <v>0</v>
      </c>
      <c r="K26" s="375">
        <f t="shared" si="6"/>
        <v>0</v>
      </c>
      <c r="L26" s="375">
        <f t="shared" si="6"/>
        <v>0</v>
      </c>
      <c r="M26" s="375">
        <f t="shared" si="6"/>
        <v>0</v>
      </c>
      <c r="N26" s="375">
        <f t="shared" si="6"/>
        <v>0</v>
      </c>
      <c r="O26" s="375">
        <f t="shared" si="6"/>
        <v>0</v>
      </c>
      <c r="P26" s="375">
        <f t="shared" si="6"/>
        <v>0</v>
      </c>
      <c r="Q26" s="375">
        <f t="shared" si="6"/>
        <v>0</v>
      </c>
      <c r="R26" s="376">
        <f t="shared" si="3"/>
        <v>0</v>
      </c>
      <c r="S26" s="7">
        <f t="shared" si="4"/>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41509.332000000002</v>
      </c>
      <c r="B27" s="15" t="s">
        <v>3</v>
      </c>
      <c r="C27" s="14"/>
      <c r="D27" s="13">
        <f t="shared" si="5"/>
        <v>0</v>
      </c>
      <c r="E27" s="7"/>
      <c r="F27" s="375">
        <f t="shared" si="6"/>
        <v>0</v>
      </c>
      <c r="G27" s="375">
        <f t="shared" si="6"/>
        <v>0</v>
      </c>
      <c r="H27" s="375">
        <f t="shared" si="6"/>
        <v>0</v>
      </c>
      <c r="I27" s="375">
        <f t="shared" si="6"/>
        <v>0</v>
      </c>
      <c r="J27" s="375">
        <f t="shared" si="6"/>
        <v>0</v>
      </c>
      <c r="K27" s="375">
        <f t="shared" si="6"/>
        <v>0</v>
      </c>
      <c r="L27" s="375">
        <f t="shared" si="6"/>
        <v>0</v>
      </c>
      <c r="M27" s="375">
        <f t="shared" si="6"/>
        <v>0</v>
      </c>
      <c r="N27" s="375">
        <f t="shared" si="6"/>
        <v>0</v>
      </c>
      <c r="O27" s="375">
        <f t="shared" si="6"/>
        <v>0</v>
      </c>
      <c r="P27" s="375">
        <f t="shared" si="6"/>
        <v>0</v>
      </c>
      <c r="Q27" s="375">
        <f t="shared" si="6"/>
        <v>0</v>
      </c>
      <c r="R27" s="376">
        <f t="shared" si="3"/>
        <v>0</v>
      </c>
      <c r="S27" s="7">
        <f t="shared" si="4"/>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41570.332000000002</v>
      </c>
      <c r="B28" s="15" t="s">
        <v>2</v>
      </c>
      <c r="C28" s="14"/>
      <c r="D28" s="13">
        <f t="shared" si="5"/>
        <v>0</v>
      </c>
      <c r="E28" s="7"/>
      <c r="F28" s="375">
        <f t="shared" si="6"/>
        <v>0</v>
      </c>
      <c r="G28" s="375">
        <f t="shared" si="6"/>
        <v>0</v>
      </c>
      <c r="H28" s="375">
        <f t="shared" si="6"/>
        <v>0</v>
      </c>
      <c r="I28" s="375">
        <f t="shared" si="6"/>
        <v>0</v>
      </c>
      <c r="J28" s="375">
        <f t="shared" si="6"/>
        <v>0</v>
      </c>
      <c r="K28" s="375">
        <f t="shared" si="6"/>
        <v>0</v>
      </c>
      <c r="L28" s="375">
        <f t="shared" si="6"/>
        <v>0</v>
      </c>
      <c r="M28" s="375">
        <f t="shared" si="6"/>
        <v>0</v>
      </c>
      <c r="N28" s="375">
        <f t="shared" si="6"/>
        <v>0</v>
      </c>
      <c r="O28" s="375">
        <f t="shared" si="6"/>
        <v>0</v>
      </c>
      <c r="P28" s="375">
        <f t="shared" si="6"/>
        <v>0</v>
      </c>
      <c r="Q28" s="375">
        <f t="shared" si="6"/>
        <v>0</v>
      </c>
      <c r="R28" s="376">
        <f t="shared" si="3"/>
        <v>0</v>
      </c>
      <c r="S28" s="7">
        <f t="shared" si="4"/>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5" customFormat="1" x14ac:dyDescent="0.2">
      <c r="A29" s="11"/>
      <c r="B29" s="10" t="s">
        <v>0</v>
      </c>
      <c r="C29" s="8">
        <f>SUM(C10:C28)</f>
        <v>0</v>
      </c>
      <c r="D29" s="9">
        <f>SUM(D10:D28)</f>
        <v>0</v>
      </c>
      <c r="E29" s="104"/>
      <c r="F29" s="395">
        <f t="shared" ref="F29:Q29" si="11">SUM(F10:F28)</f>
        <v>0</v>
      </c>
      <c r="G29" s="395">
        <f t="shared" si="11"/>
        <v>0</v>
      </c>
      <c r="H29" s="395">
        <f t="shared" si="11"/>
        <v>0</v>
      </c>
      <c r="I29" s="395">
        <f t="shared" si="11"/>
        <v>0</v>
      </c>
      <c r="J29" s="395">
        <f t="shared" si="11"/>
        <v>0</v>
      </c>
      <c r="K29" s="395">
        <f t="shared" si="11"/>
        <v>0</v>
      </c>
      <c r="L29" s="395">
        <f t="shared" si="11"/>
        <v>0</v>
      </c>
      <c r="M29" s="395">
        <f t="shared" si="11"/>
        <v>0</v>
      </c>
      <c r="N29" s="395">
        <f t="shared" si="11"/>
        <v>0</v>
      </c>
      <c r="O29" s="395">
        <f t="shared" si="11"/>
        <v>0</v>
      </c>
      <c r="P29" s="395">
        <f t="shared" si="11"/>
        <v>0</v>
      </c>
      <c r="Q29" s="395">
        <f t="shared" si="11"/>
        <v>0</v>
      </c>
      <c r="R29" s="109">
        <f t="shared" si="3"/>
        <v>0</v>
      </c>
      <c r="S29" s="104">
        <f t="shared" si="4"/>
        <v>0</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row>
    <row r="30" spans="1:58" x14ac:dyDescent="0.2">
      <c r="F30" s="376"/>
      <c r="G30" s="160"/>
      <c r="H30" s="160"/>
      <c r="I30" s="160"/>
      <c r="J30" s="160"/>
      <c r="K30" s="160"/>
      <c r="L30" s="160"/>
      <c r="M30" s="160"/>
      <c r="N30" s="160"/>
      <c r="O30" s="160"/>
      <c r="P30" s="160"/>
      <c r="Q30" s="160"/>
      <c r="R30" s="376"/>
    </row>
    <row r="31" spans="1:58" x14ac:dyDescent="0.2">
      <c r="A31" s="4"/>
      <c r="C31" s="3"/>
      <c r="F31" s="3"/>
      <c r="G31" s="3"/>
      <c r="H31" s="3"/>
      <c r="I31" s="3"/>
      <c r="J31" s="3"/>
      <c r="K31" s="3"/>
      <c r="L31" s="3"/>
      <c r="M31" s="3"/>
      <c r="N31" s="3"/>
      <c r="O31" s="3"/>
      <c r="P31" s="3"/>
      <c r="Q31" s="3"/>
    </row>
    <row r="32" spans="1:58" x14ac:dyDescent="0.2">
      <c r="A32" s="4"/>
      <c r="C32" s="3"/>
      <c r="F32" s="3"/>
      <c r="G32" s="3"/>
      <c r="H32" s="3"/>
      <c r="I32" s="3"/>
      <c r="J32" s="3"/>
      <c r="K32" s="3"/>
      <c r="L32" s="3"/>
      <c r="M32" s="3"/>
      <c r="N32" s="3"/>
      <c r="O32" s="3"/>
      <c r="P32" s="3"/>
      <c r="Q32" s="3"/>
    </row>
    <row r="33" spans="3:17" x14ac:dyDescent="0.2">
      <c r="C33" s="3"/>
      <c r="F33" s="3"/>
      <c r="G33" s="3"/>
      <c r="H33" s="3"/>
      <c r="I33" s="3"/>
      <c r="J33" s="3"/>
      <c r="K33" s="3"/>
      <c r="L33" s="3"/>
      <c r="M33" s="3"/>
      <c r="N33" s="3"/>
      <c r="O33" s="3"/>
      <c r="P33" s="3"/>
      <c r="Q33" s="3"/>
    </row>
  </sheetData>
  <mergeCells count="1">
    <mergeCell ref="A8:D8"/>
  </mergeCells>
  <printOptions gridLines="1"/>
  <pageMargins left="0.75" right="0.75" top="1.25" bottom="0" header="0.25" footer="0.36"/>
  <pageSetup scale="53" orientation="landscape" horizontalDpi="4294967293" r:id="rId1"/>
  <headerFooter alignWithMargins="0">
    <oddHeader xml:space="preserve">&amp;C&amp;"Arial,Bold"&amp;14DOCTORS MEMORIAL HOSPITAL
FY 2017 BUDGET
</oddHeader>
    <oddFooter xml:space="preserve">&amp;R&amp;A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2"/>
  <sheetViews>
    <sheetView zoomScale="80" zoomScaleNormal="80" workbookViewId="0">
      <pane xSplit="2" ySplit="7" topLeftCell="C8" activePane="bottomRight" state="frozen"/>
      <selection pane="topRight" activeCell="C1" sqref="C1"/>
      <selection pane="bottomLeft" activeCell="A8" sqref="A8"/>
      <selection pane="bottomRight" activeCell="P43" sqref="P43"/>
    </sheetView>
  </sheetViews>
  <sheetFormatPr defaultRowHeight="12.75" x14ac:dyDescent="0.2"/>
  <cols>
    <col min="1" max="1" width="11" style="2" bestFit="1" customWidth="1"/>
    <col min="2" max="2" width="22.85546875" style="2" customWidth="1"/>
    <col min="3" max="3" width="13" style="2" customWidth="1"/>
    <col min="4" max="4" width="9.42578125" style="4" customWidth="1"/>
    <col min="5" max="5" width="4.140625" style="4" customWidth="1"/>
    <col min="6" max="17" width="12.42578125" style="2" customWidth="1"/>
    <col min="18" max="18" width="12.42578125" style="3"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211" t="s">
        <v>161</v>
      </c>
      <c r="C2" s="189"/>
      <c r="D2" s="207"/>
      <c r="E2" s="207"/>
      <c r="R2" s="34"/>
      <c r="S2" s="3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211" t="s">
        <v>162</v>
      </c>
      <c r="C3" s="4">
        <f>STATS!D97</f>
        <v>8425</v>
      </c>
      <c r="F3" s="306">
        <f>'MO STATS'!E93</f>
        <v>669</v>
      </c>
      <c r="G3" s="306">
        <f>'MO STATS'!F93</f>
        <v>670</v>
      </c>
      <c r="H3" s="306">
        <f>'MO STATS'!G93</f>
        <v>675</v>
      </c>
      <c r="I3" s="306">
        <f>'MO STATS'!H93</f>
        <v>696</v>
      </c>
      <c r="J3" s="306">
        <f>'MO STATS'!I93</f>
        <v>686</v>
      </c>
      <c r="K3" s="306">
        <f>'MO STATS'!J93</f>
        <v>742</v>
      </c>
      <c r="L3" s="306">
        <f>'MO STATS'!K93</f>
        <v>719</v>
      </c>
      <c r="M3" s="306">
        <f>'MO STATS'!L93</f>
        <v>759</v>
      </c>
      <c r="N3" s="306">
        <f>'MO STATS'!M93</f>
        <v>694</v>
      </c>
      <c r="O3" s="306">
        <f>'MO STATS'!N93</f>
        <v>648</v>
      </c>
      <c r="P3" s="306">
        <f>'MO STATS'!O93</f>
        <v>735</v>
      </c>
      <c r="Q3" s="306">
        <f>'MO STATS'!P93</f>
        <v>732</v>
      </c>
      <c r="R3" s="314">
        <f t="shared" ref="R3:R4" si="0">SUM(F3:Q3)</f>
        <v>8425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211" t="s">
        <v>164</v>
      </c>
      <c r="C4" s="4">
        <f>STATS!D98</f>
        <v>13348</v>
      </c>
      <c r="F4" s="306">
        <f>'MO STATS'!E94</f>
        <v>1077</v>
      </c>
      <c r="G4" s="306">
        <f>'MO STATS'!F94</f>
        <v>1025</v>
      </c>
      <c r="H4" s="306">
        <f>'MO STATS'!G94</f>
        <v>940</v>
      </c>
      <c r="I4" s="306">
        <f>'MO STATS'!H94</f>
        <v>1102</v>
      </c>
      <c r="J4" s="306">
        <f>'MO STATS'!I94</f>
        <v>1151</v>
      </c>
      <c r="K4" s="306">
        <f>'MO STATS'!J94</f>
        <v>1250</v>
      </c>
      <c r="L4" s="306">
        <f>'MO STATS'!K94</f>
        <v>1141</v>
      </c>
      <c r="M4" s="306">
        <f>'MO STATS'!L94</f>
        <v>1210</v>
      </c>
      <c r="N4" s="306">
        <f>'MO STATS'!M94</f>
        <v>1108</v>
      </c>
      <c r="O4" s="306">
        <f>'MO STATS'!N94</f>
        <v>979</v>
      </c>
      <c r="P4" s="306">
        <f>'MO STATS'!O94</f>
        <v>1180</v>
      </c>
      <c r="Q4" s="306">
        <f>'MO STATS'!P94</f>
        <v>1185</v>
      </c>
      <c r="R4" s="314">
        <f t="shared" si="0"/>
        <v>13348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211" t="s">
        <v>166</v>
      </c>
      <c r="C5" s="4">
        <f>STATS!D99</f>
        <v>12057</v>
      </c>
      <c r="F5" s="306">
        <f>'MO STATS'!E95</f>
        <v>985</v>
      </c>
      <c r="G5" s="306">
        <f>'MO STATS'!F95</f>
        <v>915</v>
      </c>
      <c r="H5" s="306">
        <f>'MO STATS'!G95</f>
        <v>849</v>
      </c>
      <c r="I5" s="306">
        <f>'MO STATS'!H95</f>
        <v>1002</v>
      </c>
      <c r="J5" s="306">
        <f>'MO STATS'!I95</f>
        <v>1040</v>
      </c>
      <c r="K5" s="306">
        <f>'MO STATS'!J95</f>
        <v>1139</v>
      </c>
      <c r="L5" s="306">
        <f>'MO STATS'!K95</f>
        <v>1032</v>
      </c>
      <c r="M5" s="306">
        <f>'MO STATS'!L95</f>
        <v>1097</v>
      </c>
      <c r="N5" s="306">
        <f>'MO STATS'!M95</f>
        <v>997</v>
      </c>
      <c r="O5" s="306">
        <f>'MO STATS'!N95</f>
        <v>875</v>
      </c>
      <c r="P5" s="306">
        <f>'MO STATS'!O95</f>
        <v>1045</v>
      </c>
      <c r="Q5" s="306">
        <f>'MO STATS'!P95</f>
        <v>1081</v>
      </c>
      <c r="R5" s="314">
        <f t="shared" ref="R5" si="2">SUM(F5:Q5)</f>
        <v>12057</v>
      </c>
      <c r="S5" s="3">
        <f t="shared" ref="S5" si="3">C5-R5</f>
        <v>0</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940</v>
      </c>
      <c r="C6" s="421">
        <f>'[4]2017 FTEs'!$AS$39</f>
        <v>4.75</v>
      </c>
      <c r="R6" s="6"/>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B7" s="38" t="s">
        <v>939</v>
      </c>
      <c r="C7" s="2">
        <f>C6*2080</f>
        <v>9880</v>
      </c>
      <c r="F7" s="421">
        <f>($C7/$R8)*F8</f>
        <v>839.1232876712329</v>
      </c>
      <c r="G7" s="421">
        <f t="shared" ref="G7:Q7" si="4">($C7/$R8)*G8</f>
        <v>812.05479452054794</v>
      </c>
      <c r="H7" s="421">
        <f t="shared" si="4"/>
        <v>839.1232876712329</v>
      </c>
      <c r="I7" s="421">
        <f t="shared" si="4"/>
        <v>839.1232876712329</v>
      </c>
      <c r="J7" s="421">
        <f t="shared" si="4"/>
        <v>757.91780821917814</v>
      </c>
      <c r="K7" s="421">
        <f t="shared" si="4"/>
        <v>839.1232876712329</v>
      </c>
      <c r="L7" s="421">
        <f t="shared" si="4"/>
        <v>812.05479452054794</v>
      </c>
      <c r="M7" s="421">
        <f t="shared" si="4"/>
        <v>839.1232876712329</v>
      </c>
      <c r="N7" s="421">
        <f t="shared" si="4"/>
        <v>812.05479452054794</v>
      </c>
      <c r="O7" s="421">
        <f t="shared" si="4"/>
        <v>839.1232876712329</v>
      </c>
      <c r="P7" s="421">
        <f t="shared" si="4"/>
        <v>839.1232876712329</v>
      </c>
      <c r="Q7" s="421">
        <f t="shared" si="4"/>
        <v>812.05479452054794</v>
      </c>
      <c r="R7" s="6">
        <f>SUM(F7:Q7)</f>
        <v>9880</v>
      </c>
      <c r="S7" s="7">
        <f>C7-R7</f>
        <v>0</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ht="12.75" customHeight="1" x14ac:dyDescent="0.2">
      <c r="F8" s="2">
        <v>31</v>
      </c>
      <c r="G8" s="2">
        <v>30</v>
      </c>
      <c r="H8" s="2">
        <v>31</v>
      </c>
      <c r="I8" s="2">
        <v>31</v>
      </c>
      <c r="J8" s="2">
        <v>28</v>
      </c>
      <c r="K8" s="2">
        <v>31</v>
      </c>
      <c r="L8" s="2">
        <v>30</v>
      </c>
      <c r="M8" s="2">
        <v>31</v>
      </c>
      <c r="N8" s="2">
        <v>30</v>
      </c>
      <c r="O8" s="2">
        <v>31</v>
      </c>
      <c r="P8" s="2">
        <v>31</v>
      </c>
      <c r="Q8" s="2">
        <v>30</v>
      </c>
      <c r="R8" s="6">
        <f t="shared" ref="R8" si="5">SUM(F8:Q8)</f>
        <v>365</v>
      </c>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row>
    <row r="9" spans="1:58" x14ac:dyDescent="0.2">
      <c r="A9" s="711" t="s">
        <v>25</v>
      </c>
      <c r="B9" s="711"/>
      <c r="C9" s="711"/>
      <c r="D9" s="711"/>
      <c r="E9" s="207"/>
    </row>
    <row r="10" spans="1:58" x14ac:dyDescent="0.2">
      <c r="A10" s="21"/>
      <c r="B10" s="10" t="s">
        <v>605</v>
      </c>
      <c r="C10" s="20"/>
      <c r="D10" s="19" t="s">
        <v>596</v>
      </c>
      <c r="E10" s="111"/>
    </row>
    <row r="11" spans="1:58" s="12" customFormat="1" x14ac:dyDescent="0.2">
      <c r="A11" s="87">
        <v>41101.341</v>
      </c>
      <c r="B11" s="15" t="s">
        <v>22</v>
      </c>
      <c r="C11" s="428">
        <f>[6]Admitting!$J$15</f>
        <v>87896.088000000003</v>
      </c>
      <c r="D11" s="429">
        <f>$C11/C$7</f>
        <v>8.8963651821862353</v>
      </c>
      <c r="E11" s="7"/>
      <c r="F11" s="375">
        <f>$D11*F$7</f>
        <v>7465.1472000000003</v>
      </c>
      <c r="G11" s="375">
        <f t="shared" ref="G11:Q11" si="6">$D11*G$7</f>
        <v>7224.3360000000002</v>
      </c>
      <c r="H11" s="375">
        <f t="shared" si="6"/>
        <v>7465.1472000000003</v>
      </c>
      <c r="I11" s="375">
        <f t="shared" si="6"/>
        <v>7465.1472000000003</v>
      </c>
      <c r="J11" s="375">
        <f t="shared" si="6"/>
        <v>6742.713600000001</v>
      </c>
      <c r="K11" s="375">
        <f t="shared" si="6"/>
        <v>7465.1472000000003</v>
      </c>
      <c r="L11" s="375">
        <f t="shared" si="6"/>
        <v>7224.3360000000002</v>
      </c>
      <c r="M11" s="375">
        <f t="shared" si="6"/>
        <v>7465.1472000000003</v>
      </c>
      <c r="N11" s="375">
        <f t="shared" si="6"/>
        <v>7224.3360000000002</v>
      </c>
      <c r="O11" s="375">
        <f t="shared" si="6"/>
        <v>7465.1472000000003</v>
      </c>
      <c r="P11" s="375">
        <f t="shared" si="6"/>
        <v>7465.1472000000003</v>
      </c>
      <c r="Q11" s="375">
        <f t="shared" si="6"/>
        <v>7224.3360000000002</v>
      </c>
      <c r="R11" s="109">
        <f t="shared" ref="R11:R28" si="7">SUM(F11:Q11)</f>
        <v>87896.088000000018</v>
      </c>
      <c r="S11" s="7">
        <f t="shared" ref="S11:S28" si="8">C11-R11</f>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41110.341</v>
      </c>
      <c r="B12" s="15" t="s">
        <v>21</v>
      </c>
      <c r="C12" s="428">
        <f>[6]Admitting!$J$16</f>
        <v>9766.2320000000018</v>
      </c>
      <c r="D12" s="429">
        <f t="shared" ref="D12:D15" si="9">$C12/C$7</f>
        <v>0.98848502024291518</v>
      </c>
      <c r="E12" s="7"/>
      <c r="F12" s="375">
        <f t="shared" ref="F12:Q15" si="10">$D12*F$7</f>
        <v>829.46080000000018</v>
      </c>
      <c r="G12" s="375">
        <f t="shared" si="10"/>
        <v>802.70400000000018</v>
      </c>
      <c r="H12" s="375">
        <f t="shared" si="10"/>
        <v>829.46080000000018</v>
      </c>
      <c r="I12" s="375">
        <f t="shared" si="10"/>
        <v>829.46080000000018</v>
      </c>
      <c r="J12" s="375">
        <f t="shared" si="10"/>
        <v>749.19040000000018</v>
      </c>
      <c r="K12" s="375">
        <f t="shared" si="10"/>
        <v>829.46080000000018</v>
      </c>
      <c r="L12" s="375">
        <f t="shared" si="10"/>
        <v>802.70400000000018</v>
      </c>
      <c r="M12" s="375">
        <f t="shared" si="10"/>
        <v>829.46080000000018</v>
      </c>
      <c r="N12" s="375">
        <f t="shared" si="10"/>
        <v>802.70400000000018</v>
      </c>
      <c r="O12" s="375">
        <f t="shared" si="10"/>
        <v>829.46080000000018</v>
      </c>
      <c r="P12" s="375">
        <f t="shared" si="10"/>
        <v>829.46080000000018</v>
      </c>
      <c r="Q12" s="375">
        <f t="shared" si="10"/>
        <v>802.70400000000018</v>
      </c>
      <c r="R12" s="109">
        <f t="shared" si="7"/>
        <v>9766.2320000000018</v>
      </c>
      <c r="S12" s="7">
        <f t="shared" si="8"/>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41115.341</v>
      </c>
      <c r="B13" s="15" t="s">
        <v>20</v>
      </c>
      <c r="C13" s="428">
        <f>[6]Admitting!$J$17</f>
        <v>500</v>
      </c>
      <c r="D13" s="429">
        <f t="shared" si="9"/>
        <v>5.0607287449392711E-2</v>
      </c>
      <c r="E13" s="7"/>
      <c r="F13" s="375">
        <f t="shared" si="10"/>
        <v>42.465753424657535</v>
      </c>
      <c r="G13" s="375">
        <f t="shared" si="10"/>
        <v>41.095890410958901</v>
      </c>
      <c r="H13" s="375">
        <f t="shared" si="10"/>
        <v>42.465753424657535</v>
      </c>
      <c r="I13" s="375">
        <f t="shared" si="10"/>
        <v>42.465753424657535</v>
      </c>
      <c r="J13" s="375">
        <f t="shared" si="10"/>
        <v>38.356164383561648</v>
      </c>
      <c r="K13" s="375">
        <f t="shared" si="10"/>
        <v>42.465753424657535</v>
      </c>
      <c r="L13" s="375">
        <f t="shared" si="10"/>
        <v>41.095890410958901</v>
      </c>
      <c r="M13" s="375">
        <f t="shared" si="10"/>
        <v>42.465753424657535</v>
      </c>
      <c r="N13" s="375">
        <f t="shared" si="10"/>
        <v>41.095890410958901</v>
      </c>
      <c r="O13" s="375">
        <f t="shared" si="10"/>
        <v>42.465753424657535</v>
      </c>
      <c r="P13" s="375">
        <f t="shared" si="10"/>
        <v>42.465753424657535</v>
      </c>
      <c r="Q13" s="375">
        <f t="shared" si="10"/>
        <v>41.095890410958901</v>
      </c>
      <c r="R13" s="109">
        <f t="shared" si="7"/>
        <v>499.99999999999989</v>
      </c>
      <c r="S13" s="7">
        <f t="shared" si="8"/>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41150.341</v>
      </c>
      <c r="B14" s="15" t="s">
        <v>19</v>
      </c>
      <c r="C14" s="430">
        <f>[6]Admitting!$J$18</f>
        <v>7509.4174800000001</v>
      </c>
      <c r="D14" s="429">
        <f t="shared" si="9"/>
        <v>0.76006249797570846</v>
      </c>
      <c r="E14" s="7"/>
      <c r="F14" s="375">
        <f t="shared" si="10"/>
        <v>637.78614213698631</v>
      </c>
      <c r="G14" s="375">
        <f t="shared" si="10"/>
        <v>617.21239561643836</v>
      </c>
      <c r="H14" s="375">
        <f t="shared" si="10"/>
        <v>637.78614213698631</v>
      </c>
      <c r="I14" s="375">
        <f t="shared" si="10"/>
        <v>637.78614213698631</v>
      </c>
      <c r="J14" s="375">
        <f t="shared" si="10"/>
        <v>576.06490257534244</v>
      </c>
      <c r="K14" s="375">
        <f t="shared" si="10"/>
        <v>637.78614213698631</v>
      </c>
      <c r="L14" s="375">
        <f t="shared" si="10"/>
        <v>617.21239561643836</v>
      </c>
      <c r="M14" s="375">
        <f t="shared" si="10"/>
        <v>637.78614213698631</v>
      </c>
      <c r="N14" s="375">
        <f t="shared" si="10"/>
        <v>617.21239561643836</v>
      </c>
      <c r="O14" s="375">
        <f t="shared" si="10"/>
        <v>637.78614213698631</v>
      </c>
      <c r="P14" s="375">
        <f t="shared" si="10"/>
        <v>637.78614213698631</v>
      </c>
      <c r="Q14" s="375">
        <f t="shared" si="10"/>
        <v>617.21239561643836</v>
      </c>
      <c r="R14" s="109">
        <f t="shared" si="7"/>
        <v>7509.4174800000001</v>
      </c>
      <c r="S14" s="7">
        <f t="shared" si="8"/>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41152.341</v>
      </c>
      <c r="B15" s="15" t="s">
        <v>18</v>
      </c>
      <c r="C15" s="431"/>
      <c r="D15" s="429">
        <f t="shared" si="9"/>
        <v>0</v>
      </c>
      <c r="E15" s="7"/>
      <c r="F15" s="375">
        <f t="shared" si="10"/>
        <v>0</v>
      </c>
      <c r="G15" s="375">
        <f t="shared" si="10"/>
        <v>0</v>
      </c>
      <c r="H15" s="375">
        <f t="shared" si="10"/>
        <v>0</v>
      </c>
      <c r="I15" s="375">
        <f t="shared" si="10"/>
        <v>0</v>
      </c>
      <c r="J15" s="375">
        <f t="shared" si="10"/>
        <v>0</v>
      </c>
      <c r="K15" s="375">
        <f t="shared" si="10"/>
        <v>0</v>
      </c>
      <c r="L15" s="375">
        <f t="shared" si="10"/>
        <v>0</v>
      </c>
      <c r="M15" s="375">
        <f t="shared" si="10"/>
        <v>0</v>
      </c>
      <c r="N15" s="375">
        <f t="shared" si="10"/>
        <v>0</v>
      </c>
      <c r="O15" s="375">
        <f t="shared" si="10"/>
        <v>0</v>
      </c>
      <c r="P15" s="375">
        <f t="shared" si="10"/>
        <v>0</v>
      </c>
      <c r="Q15" s="375">
        <f t="shared" si="10"/>
        <v>0</v>
      </c>
      <c r="R15" s="109">
        <f t="shared" si="7"/>
        <v>0</v>
      </c>
      <c r="S15" s="7">
        <f t="shared" si="8"/>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41237.341</v>
      </c>
      <c r="B16" s="15" t="s">
        <v>17</v>
      </c>
      <c r="C16" s="17">
        <f>[6]Admitting!$J$19</f>
        <v>5600</v>
      </c>
      <c r="D16" s="13">
        <f t="shared" ref="D16:D27" si="11">$C16/C$3</f>
        <v>0.66468842729970323</v>
      </c>
      <c r="E16" s="7"/>
      <c r="F16" s="375">
        <f t="shared" ref="F16:Q27" si="12">$D16*F$3</f>
        <v>444.67655786350144</v>
      </c>
      <c r="G16" s="375">
        <f t="shared" ref="G16:Q26" si="13">$D16*G$3</f>
        <v>445.34124629080117</v>
      </c>
      <c r="H16" s="375">
        <f t="shared" si="13"/>
        <v>448.66468842729967</v>
      </c>
      <c r="I16" s="375">
        <f t="shared" si="13"/>
        <v>462.62314540059344</v>
      </c>
      <c r="J16" s="375">
        <f t="shared" si="13"/>
        <v>455.97626112759644</v>
      </c>
      <c r="K16" s="375">
        <f t="shared" si="13"/>
        <v>493.19881305637978</v>
      </c>
      <c r="L16" s="375">
        <f t="shared" si="13"/>
        <v>477.91097922848661</v>
      </c>
      <c r="M16" s="375">
        <f t="shared" si="13"/>
        <v>504.49851632047478</v>
      </c>
      <c r="N16" s="375">
        <f t="shared" si="13"/>
        <v>461.29376854599406</v>
      </c>
      <c r="O16" s="375">
        <f t="shared" si="13"/>
        <v>430.71810089020772</v>
      </c>
      <c r="P16" s="375">
        <f t="shared" si="13"/>
        <v>488.54599406528189</v>
      </c>
      <c r="Q16" s="375">
        <f t="shared" si="13"/>
        <v>486.55192878338278</v>
      </c>
      <c r="R16" s="109">
        <f t="shared" si="7"/>
        <v>5600</v>
      </c>
      <c r="S16" s="7">
        <f t="shared" si="8"/>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41246.341</v>
      </c>
      <c r="B17" s="15" t="s">
        <v>16</v>
      </c>
      <c r="C17" s="14"/>
      <c r="D17" s="13">
        <f t="shared" si="11"/>
        <v>0</v>
      </c>
      <c r="E17" s="7"/>
      <c r="F17" s="375">
        <f t="shared" si="12"/>
        <v>0</v>
      </c>
      <c r="G17" s="375">
        <f t="shared" si="13"/>
        <v>0</v>
      </c>
      <c r="H17" s="375">
        <f t="shared" si="13"/>
        <v>0</v>
      </c>
      <c r="I17" s="375">
        <f t="shared" si="13"/>
        <v>0</v>
      </c>
      <c r="J17" s="375">
        <f t="shared" si="13"/>
        <v>0</v>
      </c>
      <c r="K17" s="375">
        <f t="shared" si="13"/>
        <v>0</v>
      </c>
      <c r="L17" s="375">
        <f t="shared" si="13"/>
        <v>0</v>
      </c>
      <c r="M17" s="375">
        <f t="shared" si="13"/>
        <v>0</v>
      </c>
      <c r="N17" s="375">
        <f t="shared" si="13"/>
        <v>0</v>
      </c>
      <c r="O17" s="375">
        <f t="shared" si="13"/>
        <v>0</v>
      </c>
      <c r="P17" s="375">
        <f t="shared" si="13"/>
        <v>0</v>
      </c>
      <c r="Q17" s="375">
        <f t="shared" si="13"/>
        <v>0</v>
      </c>
      <c r="R17" s="109">
        <f t="shared" si="7"/>
        <v>0</v>
      </c>
      <c r="S17" s="7">
        <f t="shared" si="8"/>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41250.341</v>
      </c>
      <c r="B18" s="15" t="s">
        <v>15</v>
      </c>
      <c r="C18" s="14"/>
      <c r="D18" s="13">
        <f t="shared" si="11"/>
        <v>0</v>
      </c>
      <c r="E18" s="7"/>
      <c r="F18" s="375">
        <f t="shared" si="12"/>
        <v>0</v>
      </c>
      <c r="G18" s="375">
        <f t="shared" si="13"/>
        <v>0</v>
      </c>
      <c r="H18" s="375">
        <f t="shared" si="13"/>
        <v>0</v>
      </c>
      <c r="I18" s="375">
        <f t="shared" si="13"/>
        <v>0</v>
      </c>
      <c r="J18" s="375">
        <f t="shared" si="13"/>
        <v>0</v>
      </c>
      <c r="K18" s="375">
        <f t="shared" si="13"/>
        <v>0</v>
      </c>
      <c r="L18" s="375">
        <f t="shared" si="13"/>
        <v>0</v>
      </c>
      <c r="M18" s="375">
        <f t="shared" si="13"/>
        <v>0</v>
      </c>
      <c r="N18" s="375">
        <f t="shared" si="13"/>
        <v>0</v>
      </c>
      <c r="O18" s="375">
        <f t="shared" si="13"/>
        <v>0</v>
      </c>
      <c r="P18" s="375">
        <f t="shared" si="13"/>
        <v>0</v>
      </c>
      <c r="Q18" s="375">
        <f t="shared" si="13"/>
        <v>0</v>
      </c>
      <c r="R18" s="109">
        <f t="shared" si="7"/>
        <v>0</v>
      </c>
      <c r="S18" s="7">
        <f t="shared" si="8"/>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41365.341</v>
      </c>
      <c r="B19" s="15" t="s">
        <v>10</v>
      </c>
      <c r="C19" s="14">
        <f>[6]Admitting!$J$20</f>
        <v>485</v>
      </c>
      <c r="D19" s="13">
        <f t="shared" si="11"/>
        <v>5.7566765578635014E-2</v>
      </c>
      <c r="E19" s="7"/>
      <c r="F19" s="375">
        <f t="shared" si="12"/>
        <v>38.512166172106824</v>
      </c>
      <c r="G19" s="375">
        <f t="shared" si="13"/>
        <v>38.569732937685458</v>
      </c>
      <c r="H19" s="375">
        <f t="shared" si="13"/>
        <v>38.857566765578632</v>
      </c>
      <c r="I19" s="375">
        <f t="shared" si="13"/>
        <v>40.066468842729968</v>
      </c>
      <c r="J19" s="375">
        <f t="shared" si="13"/>
        <v>39.490801186943621</v>
      </c>
      <c r="K19" s="375">
        <f t="shared" si="13"/>
        <v>42.714540059347179</v>
      </c>
      <c r="L19" s="375">
        <f t="shared" si="13"/>
        <v>41.390504451038574</v>
      </c>
      <c r="M19" s="375">
        <f t="shared" si="13"/>
        <v>43.693175074183976</v>
      </c>
      <c r="N19" s="375">
        <f t="shared" si="13"/>
        <v>39.951335311572699</v>
      </c>
      <c r="O19" s="375">
        <f t="shared" si="13"/>
        <v>37.303264094955487</v>
      </c>
      <c r="P19" s="375">
        <f t="shared" si="13"/>
        <v>42.311572700296736</v>
      </c>
      <c r="Q19" s="375">
        <f t="shared" si="13"/>
        <v>42.138872403560832</v>
      </c>
      <c r="R19" s="109">
        <f t="shared" si="7"/>
        <v>484.99999999999989</v>
      </c>
      <c r="S19" s="7">
        <f t="shared" si="8"/>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41423.341</v>
      </c>
      <c r="B20" s="15" t="s">
        <v>9</v>
      </c>
      <c r="C20" s="14"/>
      <c r="D20" s="13">
        <f t="shared" si="11"/>
        <v>0</v>
      </c>
      <c r="E20" s="7"/>
      <c r="F20" s="375">
        <f t="shared" si="12"/>
        <v>0</v>
      </c>
      <c r="G20" s="375">
        <f t="shared" si="13"/>
        <v>0</v>
      </c>
      <c r="H20" s="375">
        <f t="shared" si="13"/>
        <v>0</v>
      </c>
      <c r="I20" s="375">
        <f t="shared" si="13"/>
        <v>0</v>
      </c>
      <c r="J20" s="375">
        <f t="shared" si="13"/>
        <v>0</v>
      </c>
      <c r="K20" s="375">
        <f t="shared" si="13"/>
        <v>0</v>
      </c>
      <c r="L20" s="375">
        <f t="shared" si="13"/>
        <v>0</v>
      </c>
      <c r="M20" s="375">
        <f t="shared" si="13"/>
        <v>0</v>
      </c>
      <c r="N20" s="375">
        <f t="shared" si="13"/>
        <v>0</v>
      </c>
      <c r="O20" s="375">
        <f t="shared" si="13"/>
        <v>0</v>
      </c>
      <c r="P20" s="375">
        <f t="shared" si="13"/>
        <v>0</v>
      </c>
      <c r="Q20" s="375">
        <f t="shared" si="13"/>
        <v>0</v>
      </c>
      <c r="R20" s="109">
        <f t="shared" si="7"/>
        <v>0</v>
      </c>
      <c r="S20" s="7">
        <f t="shared" si="8"/>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41426.341</v>
      </c>
      <c r="B21" s="15" t="s">
        <v>8</v>
      </c>
      <c r="C21" s="14"/>
      <c r="D21" s="13">
        <f t="shared" si="11"/>
        <v>0</v>
      </c>
      <c r="E21" s="7"/>
      <c r="F21" s="375">
        <f t="shared" si="12"/>
        <v>0</v>
      </c>
      <c r="G21" s="375">
        <f t="shared" si="13"/>
        <v>0</v>
      </c>
      <c r="H21" s="375">
        <f t="shared" si="13"/>
        <v>0</v>
      </c>
      <c r="I21" s="375">
        <f t="shared" si="13"/>
        <v>0</v>
      </c>
      <c r="J21" s="375">
        <f t="shared" si="13"/>
        <v>0</v>
      </c>
      <c r="K21" s="375">
        <f t="shared" si="13"/>
        <v>0</v>
      </c>
      <c r="L21" s="375">
        <f t="shared" si="13"/>
        <v>0</v>
      </c>
      <c r="M21" s="375">
        <f t="shared" si="13"/>
        <v>0</v>
      </c>
      <c r="N21" s="375">
        <f t="shared" si="13"/>
        <v>0</v>
      </c>
      <c r="O21" s="375">
        <f t="shared" si="13"/>
        <v>0</v>
      </c>
      <c r="P21" s="375">
        <f t="shared" si="13"/>
        <v>0</v>
      </c>
      <c r="Q21" s="375">
        <f t="shared" si="13"/>
        <v>0</v>
      </c>
      <c r="R21" s="109">
        <f t="shared" si="7"/>
        <v>0</v>
      </c>
      <c r="S21" s="7">
        <f t="shared" si="8"/>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41440.341</v>
      </c>
      <c r="B22" s="15" t="s">
        <v>7</v>
      </c>
      <c r="C22" s="14"/>
      <c r="D22" s="13">
        <f t="shared" si="11"/>
        <v>0</v>
      </c>
      <c r="E22" s="7"/>
      <c r="F22" s="375">
        <f t="shared" si="12"/>
        <v>0</v>
      </c>
      <c r="G22" s="375">
        <f t="shared" si="13"/>
        <v>0</v>
      </c>
      <c r="H22" s="375">
        <f t="shared" si="13"/>
        <v>0</v>
      </c>
      <c r="I22" s="375">
        <f t="shared" si="13"/>
        <v>0</v>
      </c>
      <c r="J22" s="375">
        <f t="shared" si="13"/>
        <v>0</v>
      </c>
      <c r="K22" s="375">
        <f t="shared" si="13"/>
        <v>0</v>
      </c>
      <c r="L22" s="375">
        <f t="shared" si="13"/>
        <v>0</v>
      </c>
      <c r="M22" s="375">
        <f t="shared" si="13"/>
        <v>0</v>
      </c>
      <c r="N22" s="375">
        <f t="shared" si="13"/>
        <v>0</v>
      </c>
      <c r="O22" s="375">
        <f t="shared" si="13"/>
        <v>0</v>
      </c>
      <c r="P22" s="375">
        <f t="shared" si="13"/>
        <v>0</v>
      </c>
      <c r="Q22" s="375">
        <f t="shared" si="13"/>
        <v>0</v>
      </c>
      <c r="R22" s="109">
        <f t="shared" si="7"/>
        <v>0</v>
      </c>
      <c r="S22" s="7">
        <f t="shared" si="8"/>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41460.341</v>
      </c>
      <c r="B23" s="15" t="s">
        <v>6</v>
      </c>
      <c r="C23" s="14"/>
      <c r="D23" s="13">
        <f t="shared" si="11"/>
        <v>0</v>
      </c>
      <c r="E23" s="7"/>
      <c r="F23" s="375">
        <f t="shared" si="12"/>
        <v>0</v>
      </c>
      <c r="G23" s="375">
        <f t="shared" si="13"/>
        <v>0</v>
      </c>
      <c r="H23" s="375">
        <f t="shared" si="13"/>
        <v>0</v>
      </c>
      <c r="I23" s="375">
        <f t="shared" si="13"/>
        <v>0</v>
      </c>
      <c r="J23" s="375">
        <f t="shared" si="13"/>
        <v>0</v>
      </c>
      <c r="K23" s="375">
        <f t="shared" si="13"/>
        <v>0</v>
      </c>
      <c r="L23" s="375">
        <f t="shared" si="13"/>
        <v>0</v>
      </c>
      <c r="M23" s="375">
        <f t="shared" si="13"/>
        <v>0</v>
      </c>
      <c r="N23" s="375">
        <f t="shared" si="13"/>
        <v>0</v>
      </c>
      <c r="O23" s="375">
        <f t="shared" si="13"/>
        <v>0</v>
      </c>
      <c r="P23" s="375">
        <f t="shared" si="13"/>
        <v>0</v>
      </c>
      <c r="Q23" s="375">
        <f t="shared" si="13"/>
        <v>0</v>
      </c>
      <c r="R23" s="109">
        <f t="shared" si="7"/>
        <v>0</v>
      </c>
      <c r="S23" s="7">
        <f t="shared" si="8"/>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41461.341</v>
      </c>
      <c r="B24" s="15" t="s">
        <v>5</v>
      </c>
      <c r="C24" s="14"/>
      <c r="D24" s="13">
        <f t="shared" si="11"/>
        <v>0</v>
      </c>
      <c r="E24" s="7"/>
      <c r="F24" s="375">
        <f t="shared" si="12"/>
        <v>0</v>
      </c>
      <c r="G24" s="375">
        <f t="shared" si="13"/>
        <v>0</v>
      </c>
      <c r="H24" s="375">
        <f t="shared" si="13"/>
        <v>0</v>
      </c>
      <c r="I24" s="375">
        <f t="shared" si="13"/>
        <v>0</v>
      </c>
      <c r="J24" s="375">
        <f t="shared" si="13"/>
        <v>0</v>
      </c>
      <c r="K24" s="375">
        <f t="shared" si="13"/>
        <v>0</v>
      </c>
      <c r="L24" s="375">
        <f t="shared" si="13"/>
        <v>0</v>
      </c>
      <c r="M24" s="375">
        <f t="shared" si="13"/>
        <v>0</v>
      </c>
      <c r="N24" s="375">
        <f t="shared" si="13"/>
        <v>0</v>
      </c>
      <c r="O24" s="375">
        <f t="shared" si="13"/>
        <v>0</v>
      </c>
      <c r="P24" s="375">
        <f t="shared" si="13"/>
        <v>0</v>
      </c>
      <c r="Q24" s="375">
        <f t="shared" si="13"/>
        <v>0</v>
      </c>
      <c r="R24" s="109">
        <f t="shared" si="7"/>
        <v>0</v>
      </c>
      <c r="S24" s="7">
        <f t="shared" si="8"/>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41490.341</v>
      </c>
      <c r="B25" s="15" t="s">
        <v>4</v>
      </c>
      <c r="C25" s="14"/>
      <c r="D25" s="13">
        <f t="shared" si="11"/>
        <v>0</v>
      </c>
      <c r="E25" s="7"/>
      <c r="F25" s="375">
        <f t="shared" si="12"/>
        <v>0</v>
      </c>
      <c r="G25" s="375">
        <f t="shared" si="13"/>
        <v>0</v>
      </c>
      <c r="H25" s="375">
        <f t="shared" si="13"/>
        <v>0</v>
      </c>
      <c r="I25" s="375">
        <f t="shared" si="13"/>
        <v>0</v>
      </c>
      <c r="J25" s="375">
        <f t="shared" si="13"/>
        <v>0</v>
      </c>
      <c r="K25" s="375">
        <f t="shared" si="13"/>
        <v>0</v>
      </c>
      <c r="L25" s="375">
        <f t="shared" si="13"/>
        <v>0</v>
      </c>
      <c r="M25" s="375">
        <f t="shared" si="13"/>
        <v>0</v>
      </c>
      <c r="N25" s="375">
        <f t="shared" si="13"/>
        <v>0</v>
      </c>
      <c r="O25" s="375">
        <f t="shared" si="13"/>
        <v>0</v>
      </c>
      <c r="P25" s="375">
        <f t="shared" si="13"/>
        <v>0</v>
      </c>
      <c r="Q25" s="375">
        <f t="shared" si="13"/>
        <v>0</v>
      </c>
      <c r="R25" s="109">
        <f t="shared" si="7"/>
        <v>0</v>
      </c>
      <c r="S25" s="7">
        <f t="shared" si="8"/>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41509.341</v>
      </c>
      <c r="B26" s="15" t="s">
        <v>3</v>
      </c>
      <c r="C26" s="14">
        <f>[6]Admitting!$J$21</f>
        <v>1625</v>
      </c>
      <c r="D26" s="13">
        <f t="shared" si="11"/>
        <v>0.19287833827893175</v>
      </c>
      <c r="E26" s="7"/>
      <c r="F26" s="375">
        <f t="shared" si="12"/>
        <v>129.03560830860533</v>
      </c>
      <c r="G26" s="375">
        <f t="shared" si="13"/>
        <v>129.22848664688428</v>
      </c>
      <c r="H26" s="375">
        <f t="shared" si="13"/>
        <v>130.19287833827894</v>
      </c>
      <c r="I26" s="375">
        <f t="shared" si="13"/>
        <v>134.2433234421365</v>
      </c>
      <c r="J26" s="375">
        <f t="shared" si="13"/>
        <v>132.31454005934717</v>
      </c>
      <c r="K26" s="375">
        <f t="shared" si="13"/>
        <v>143.11572700296736</v>
      </c>
      <c r="L26" s="375">
        <f t="shared" si="13"/>
        <v>138.67952522255192</v>
      </c>
      <c r="M26" s="375">
        <f t="shared" si="13"/>
        <v>146.39465875370919</v>
      </c>
      <c r="N26" s="375">
        <f t="shared" si="13"/>
        <v>133.85756676557864</v>
      </c>
      <c r="O26" s="375">
        <f t="shared" si="13"/>
        <v>124.98516320474778</v>
      </c>
      <c r="P26" s="375">
        <f t="shared" si="13"/>
        <v>141.76557863501483</v>
      </c>
      <c r="Q26" s="375">
        <f t="shared" si="13"/>
        <v>141.18694362017803</v>
      </c>
      <c r="R26" s="109">
        <f t="shared" si="7"/>
        <v>1625</v>
      </c>
      <c r="S26" s="7">
        <f t="shared" si="8"/>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41570.341</v>
      </c>
      <c r="B27" s="15" t="s">
        <v>2</v>
      </c>
      <c r="C27" s="14"/>
      <c r="D27" s="13">
        <f t="shared" si="11"/>
        <v>0</v>
      </c>
      <c r="E27" s="7"/>
      <c r="F27" s="375">
        <f t="shared" si="12"/>
        <v>0</v>
      </c>
      <c r="G27" s="375">
        <f t="shared" si="12"/>
        <v>0</v>
      </c>
      <c r="H27" s="375">
        <f t="shared" si="12"/>
        <v>0</v>
      </c>
      <c r="I27" s="375">
        <f t="shared" si="12"/>
        <v>0</v>
      </c>
      <c r="J27" s="375">
        <f t="shared" si="12"/>
        <v>0</v>
      </c>
      <c r="K27" s="375">
        <f t="shared" si="12"/>
        <v>0</v>
      </c>
      <c r="L27" s="375">
        <f t="shared" si="12"/>
        <v>0</v>
      </c>
      <c r="M27" s="375">
        <f t="shared" si="12"/>
        <v>0</v>
      </c>
      <c r="N27" s="375">
        <f t="shared" si="12"/>
        <v>0</v>
      </c>
      <c r="O27" s="375">
        <f t="shared" si="12"/>
        <v>0</v>
      </c>
      <c r="P27" s="375">
        <f t="shared" si="12"/>
        <v>0</v>
      </c>
      <c r="Q27" s="375">
        <f t="shared" si="12"/>
        <v>0</v>
      </c>
      <c r="R27" s="109">
        <f t="shared" si="7"/>
        <v>0</v>
      </c>
      <c r="S27" s="7">
        <f t="shared" si="8"/>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5" customFormat="1" x14ac:dyDescent="0.2">
      <c r="A28" s="11"/>
      <c r="B28" s="10" t="s">
        <v>0</v>
      </c>
      <c r="C28" s="8">
        <f>SUM(C11:C27)</f>
        <v>113381.73748000001</v>
      </c>
      <c r="D28" s="9">
        <f>SUM(D11:D27)</f>
        <v>11.610653519011523</v>
      </c>
      <c r="E28" s="104"/>
      <c r="F28" s="394">
        <f t="shared" ref="F28:Q28" si="14">SUM(F11:F27)</f>
        <v>9587.0842279058597</v>
      </c>
      <c r="G28" s="394">
        <f t="shared" si="14"/>
        <v>9298.4877519027687</v>
      </c>
      <c r="H28" s="394">
        <f t="shared" si="14"/>
        <v>9592.5750290928027</v>
      </c>
      <c r="I28" s="394">
        <f t="shared" si="14"/>
        <v>9611.7928332471056</v>
      </c>
      <c r="J28" s="394">
        <f t="shared" si="14"/>
        <v>8734.1066693327921</v>
      </c>
      <c r="K28" s="394">
        <f t="shared" si="14"/>
        <v>9653.8889756803401</v>
      </c>
      <c r="L28" s="394">
        <f t="shared" si="14"/>
        <v>9343.3292949294755</v>
      </c>
      <c r="M28" s="394">
        <f t="shared" si="14"/>
        <v>9669.4462457100126</v>
      </c>
      <c r="N28" s="394">
        <f t="shared" si="14"/>
        <v>9320.450956650544</v>
      </c>
      <c r="O28" s="394">
        <f t="shared" si="14"/>
        <v>9567.8664237515568</v>
      </c>
      <c r="P28" s="394">
        <f t="shared" si="14"/>
        <v>9647.4830409622391</v>
      </c>
      <c r="Q28" s="394">
        <f t="shared" si="14"/>
        <v>9355.2260308345194</v>
      </c>
      <c r="R28" s="109">
        <f t="shared" si="7"/>
        <v>113381.73748000001</v>
      </c>
      <c r="S28" s="7">
        <f t="shared" si="8"/>
        <v>0</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row>
    <row r="29" spans="1:58" x14ac:dyDescent="0.2">
      <c r="F29" s="3"/>
    </row>
    <row r="30" spans="1:58" x14ac:dyDescent="0.2">
      <c r="A30" s="4"/>
      <c r="C30" s="3"/>
      <c r="F30" s="3"/>
      <c r="G30" s="3"/>
      <c r="H30" s="3"/>
      <c r="I30" s="3"/>
      <c r="J30" s="3"/>
      <c r="K30" s="3"/>
      <c r="L30" s="3"/>
      <c r="M30" s="3"/>
      <c r="N30" s="3"/>
      <c r="O30" s="3"/>
      <c r="P30" s="3"/>
      <c r="Q30" s="3"/>
    </row>
    <row r="31" spans="1:58" x14ac:dyDescent="0.2">
      <c r="A31" s="4"/>
      <c r="C31" s="3"/>
      <c r="F31" s="3"/>
      <c r="G31" s="3"/>
      <c r="H31" s="3"/>
      <c r="I31" s="3"/>
      <c r="J31" s="3"/>
      <c r="K31" s="3"/>
      <c r="L31" s="3"/>
      <c r="M31" s="3"/>
      <c r="N31" s="3"/>
      <c r="O31" s="3"/>
      <c r="P31" s="3"/>
      <c r="Q31" s="3"/>
    </row>
    <row r="32" spans="1:58" x14ac:dyDescent="0.2">
      <c r="C32" s="3"/>
      <c r="F32" s="3"/>
      <c r="G32" s="3"/>
      <c r="H32" s="3"/>
      <c r="I32" s="3"/>
      <c r="J32" s="3"/>
      <c r="K32" s="3"/>
      <c r="L32" s="3"/>
      <c r="M32" s="3"/>
      <c r="N32" s="3"/>
      <c r="O32" s="3"/>
      <c r="P32" s="3"/>
      <c r="Q32" s="3"/>
    </row>
  </sheetData>
  <mergeCells count="1">
    <mergeCell ref="A9:D9"/>
  </mergeCells>
  <printOptions gridLines="1"/>
  <pageMargins left="0.25" right="0.25" top="0.75" bottom="0.75" header="0.3" footer="0.3"/>
  <pageSetup scale="61" orientation="landscape" r:id="rId1"/>
  <headerFooter alignWithMargins="0">
    <oddHeader xml:space="preserve">&amp;C&amp;"Arial,Bold"&amp;14DOCTORS MEMORIAL HOSPITAL
FY 2017 BUDGET
</oddHeader>
    <oddFooter xml:space="preserve">&amp;R&amp;A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09"/>
  <sheetViews>
    <sheetView zoomScaleNormal="100" workbookViewId="0">
      <pane xSplit="1" ySplit="5" topLeftCell="B6" activePane="bottomRight" state="frozen"/>
      <selection pane="topRight" activeCell="B1" sqref="B1"/>
      <selection pane="bottomLeft" activeCell="A6" sqref="A6"/>
      <selection pane="bottomRight" activeCell="I8" sqref="I8"/>
    </sheetView>
  </sheetViews>
  <sheetFormatPr defaultRowHeight="12.75" x14ac:dyDescent="0.2"/>
  <cols>
    <col min="1" max="1" width="27.7109375" style="160" bestFit="1" customWidth="1"/>
    <col min="2" max="2" width="8.7109375" style="310" customWidth="1"/>
    <col min="3" max="3" width="9" style="419" bestFit="1" customWidth="1"/>
    <col min="4" max="4" width="9" style="585" bestFit="1" customWidth="1"/>
    <col min="5" max="5" width="9.140625" style="472" customWidth="1"/>
    <col min="6" max="6" width="12" style="579" customWidth="1"/>
    <col min="7" max="7" width="13.7109375" style="579" customWidth="1"/>
    <col min="8" max="8" width="3.85546875" style="579" customWidth="1"/>
    <col min="9" max="9" width="9" style="585" customWidth="1"/>
    <col min="10" max="10" width="5.28515625" style="579" customWidth="1"/>
    <col min="11" max="11" width="9" style="268" customWidth="1"/>
    <col min="12" max="12" width="10.5703125" style="268" customWidth="1"/>
    <col min="13" max="13" width="10.85546875" style="268" customWidth="1"/>
    <col min="14" max="225" width="9.140625" style="1"/>
    <col min="226" max="226" width="27.7109375" style="1" bestFit="1" customWidth="1"/>
    <col min="227" max="227" width="8.7109375" style="1" customWidth="1"/>
    <col min="228" max="229" width="8.85546875" style="1" bestFit="1" customWidth="1"/>
    <col min="230" max="241" width="5.28515625" style="1" bestFit="1" customWidth="1"/>
    <col min="242" max="242" width="7.7109375" style="1" bestFit="1" customWidth="1"/>
    <col min="243" max="481" width="9.140625" style="1"/>
    <col min="482" max="482" width="27.7109375" style="1" bestFit="1" customWidth="1"/>
    <col min="483" max="483" width="8.7109375" style="1" customWidth="1"/>
    <col min="484" max="485" width="8.85546875" style="1" bestFit="1" customWidth="1"/>
    <col min="486" max="497" width="5.28515625" style="1" bestFit="1" customWidth="1"/>
    <col min="498" max="498" width="7.7109375" style="1" bestFit="1" customWidth="1"/>
    <col min="499" max="737" width="9.140625" style="1"/>
    <col min="738" max="738" width="27.7109375" style="1" bestFit="1" customWidth="1"/>
    <col min="739" max="739" width="8.7109375" style="1" customWidth="1"/>
    <col min="740" max="741" width="8.85546875" style="1" bestFit="1" customWidth="1"/>
    <col min="742" max="753" width="5.28515625" style="1" bestFit="1" customWidth="1"/>
    <col min="754" max="754" width="7.7109375" style="1" bestFit="1" customWidth="1"/>
    <col min="755" max="993" width="9.140625" style="1"/>
    <col min="994" max="994" width="27.7109375" style="1" bestFit="1" customWidth="1"/>
    <col min="995" max="995" width="8.7109375" style="1" customWidth="1"/>
    <col min="996" max="997" width="8.85546875" style="1" bestFit="1" customWidth="1"/>
    <col min="998" max="1009" width="5.28515625" style="1" bestFit="1" customWidth="1"/>
    <col min="1010" max="1010" width="7.7109375" style="1" bestFit="1" customWidth="1"/>
    <col min="1011" max="1249" width="9.140625" style="1"/>
    <col min="1250" max="1250" width="27.7109375" style="1" bestFit="1" customWidth="1"/>
    <col min="1251" max="1251" width="8.7109375" style="1" customWidth="1"/>
    <col min="1252" max="1253" width="8.85546875" style="1" bestFit="1" customWidth="1"/>
    <col min="1254" max="1265" width="5.28515625" style="1" bestFit="1" customWidth="1"/>
    <col min="1266" max="1266" width="7.7109375" style="1" bestFit="1" customWidth="1"/>
    <col min="1267" max="1505" width="9.140625" style="1"/>
    <col min="1506" max="1506" width="27.7109375" style="1" bestFit="1" customWidth="1"/>
    <col min="1507" max="1507" width="8.7109375" style="1" customWidth="1"/>
    <col min="1508" max="1509" width="8.85546875" style="1" bestFit="1" customWidth="1"/>
    <col min="1510" max="1521" width="5.28515625" style="1" bestFit="1" customWidth="1"/>
    <col min="1522" max="1522" width="7.7109375" style="1" bestFit="1" customWidth="1"/>
    <col min="1523" max="1761" width="9.140625" style="1"/>
    <col min="1762" max="1762" width="27.7109375" style="1" bestFit="1" customWidth="1"/>
    <col min="1763" max="1763" width="8.7109375" style="1" customWidth="1"/>
    <col min="1764" max="1765" width="8.85546875" style="1" bestFit="1" customWidth="1"/>
    <col min="1766" max="1777" width="5.28515625" style="1" bestFit="1" customWidth="1"/>
    <col min="1778" max="1778" width="7.7109375" style="1" bestFit="1" customWidth="1"/>
    <col min="1779" max="2017" width="9.140625" style="1"/>
    <col min="2018" max="2018" width="27.7109375" style="1" bestFit="1" customWidth="1"/>
    <col min="2019" max="2019" width="8.7109375" style="1" customWidth="1"/>
    <col min="2020" max="2021" width="8.85546875" style="1" bestFit="1" customWidth="1"/>
    <col min="2022" max="2033" width="5.28515625" style="1" bestFit="1" customWidth="1"/>
    <col min="2034" max="2034" width="7.7109375" style="1" bestFit="1" customWidth="1"/>
    <col min="2035" max="2273" width="9.140625" style="1"/>
    <col min="2274" max="2274" width="27.7109375" style="1" bestFit="1" customWidth="1"/>
    <col min="2275" max="2275" width="8.7109375" style="1" customWidth="1"/>
    <col min="2276" max="2277" width="8.85546875" style="1" bestFit="1" customWidth="1"/>
    <col min="2278" max="2289" width="5.28515625" style="1" bestFit="1" customWidth="1"/>
    <col min="2290" max="2290" width="7.7109375" style="1" bestFit="1" customWidth="1"/>
    <col min="2291" max="2529" width="9.140625" style="1"/>
    <col min="2530" max="2530" width="27.7109375" style="1" bestFit="1" customWidth="1"/>
    <col min="2531" max="2531" width="8.7109375" style="1" customWidth="1"/>
    <col min="2532" max="2533" width="8.85546875" style="1" bestFit="1" customWidth="1"/>
    <col min="2534" max="2545" width="5.28515625" style="1" bestFit="1" customWidth="1"/>
    <col min="2546" max="2546" width="7.7109375" style="1" bestFit="1" customWidth="1"/>
    <col min="2547" max="2785" width="9.140625" style="1"/>
    <col min="2786" max="2786" width="27.7109375" style="1" bestFit="1" customWidth="1"/>
    <col min="2787" max="2787" width="8.7109375" style="1" customWidth="1"/>
    <col min="2788" max="2789" width="8.85546875" style="1" bestFit="1" customWidth="1"/>
    <col min="2790" max="2801" width="5.28515625" style="1" bestFit="1" customWidth="1"/>
    <col min="2802" max="2802" width="7.7109375" style="1" bestFit="1" customWidth="1"/>
    <col min="2803" max="3041" width="9.140625" style="1"/>
    <col min="3042" max="3042" width="27.7109375" style="1" bestFit="1" customWidth="1"/>
    <col min="3043" max="3043" width="8.7109375" style="1" customWidth="1"/>
    <col min="3044" max="3045" width="8.85546875" style="1" bestFit="1" customWidth="1"/>
    <col min="3046" max="3057" width="5.28515625" style="1" bestFit="1" customWidth="1"/>
    <col min="3058" max="3058" width="7.7109375" style="1" bestFit="1" customWidth="1"/>
    <col min="3059" max="3297" width="9.140625" style="1"/>
    <col min="3298" max="3298" width="27.7109375" style="1" bestFit="1" customWidth="1"/>
    <col min="3299" max="3299" width="8.7109375" style="1" customWidth="1"/>
    <col min="3300" max="3301" width="8.85546875" style="1" bestFit="1" customWidth="1"/>
    <col min="3302" max="3313" width="5.28515625" style="1" bestFit="1" customWidth="1"/>
    <col min="3314" max="3314" width="7.7109375" style="1" bestFit="1" customWidth="1"/>
    <col min="3315" max="3553" width="9.140625" style="1"/>
    <col min="3554" max="3554" width="27.7109375" style="1" bestFit="1" customWidth="1"/>
    <col min="3555" max="3555" width="8.7109375" style="1" customWidth="1"/>
    <col min="3556" max="3557" width="8.85546875" style="1" bestFit="1" customWidth="1"/>
    <col min="3558" max="3569" width="5.28515625" style="1" bestFit="1" customWidth="1"/>
    <col min="3570" max="3570" width="7.7109375" style="1" bestFit="1" customWidth="1"/>
    <col min="3571" max="3809" width="9.140625" style="1"/>
    <col min="3810" max="3810" width="27.7109375" style="1" bestFit="1" customWidth="1"/>
    <col min="3811" max="3811" width="8.7109375" style="1" customWidth="1"/>
    <col min="3812" max="3813" width="8.85546875" style="1" bestFit="1" customWidth="1"/>
    <col min="3814" max="3825" width="5.28515625" style="1" bestFit="1" customWidth="1"/>
    <col min="3826" max="3826" width="7.7109375" style="1" bestFit="1" customWidth="1"/>
    <col min="3827" max="4065" width="9.140625" style="1"/>
    <col min="4066" max="4066" width="27.7109375" style="1" bestFit="1" customWidth="1"/>
    <col min="4067" max="4067" width="8.7109375" style="1" customWidth="1"/>
    <col min="4068" max="4069" width="8.85546875" style="1" bestFit="1" customWidth="1"/>
    <col min="4070" max="4081" width="5.28515625" style="1" bestFit="1" customWidth="1"/>
    <col min="4082" max="4082" width="7.7109375" style="1" bestFit="1" customWidth="1"/>
    <col min="4083" max="4321" width="9.140625" style="1"/>
    <col min="4322" max="4322" width="27.7109375" style="1" bestFit="1" customWidth="1"/>
    <col min="4323" max="4323" width="8.7109375" style="1" customWidth="1"/>
    <col min="4324" max="4325" width="8.85546875" style="1" bestFit="1" customWidth="1"/>
    <col min="4326" max="4337" width="5.28515625" style="1" bestFit="1" customWidth="1"/>
    <col min="4338" max="4338" width="7.7109375" style="1" bestFit="1" customWidth="1"/>
    <col min="4339" max="4577" width="9.140625" style="1"/>
    <col min="4578" max="4578" width="27.7109375" style="1" bestFit="1" customWidth="1"/>
    <col min="4579" max="4579" width="8.7109375" style="1" customWidth="1"/>
    <col min="4580" max="4581" width="8.85546875" style="1" bestFit="1" customWidth="1"/>
    <col min="4582" max="4593" width="5.28515625" style="1" bestFit="1" customWidth="1"/>
    <col min="4594" max="4594" width="7.7109375" style="1" bestFit="1" customWidth="1"/>
    <col min="4595" max="4833" width="9.140625" style="1"/>
    <col min="4834" max="4834" width="27.7109375" style="1" bestFit="1" customWidth="1"/>
    <col min="4835" max="4835" width="8.7109375" style="1" customWidth="1"/>
    <col min="4836" max="4837" width="8.85546875" style="1" bestFit="1" customWidth="1"/>
    <col min="4838" max="4849" width="5.28515625" style="1" bestFit="1" customWidth="1"/>
    <col min="4850" max="4850" width="7.7109375" style="1" bestFit="1" customWidth="1"/>
    <col min="4851" max="5089" width="9.140625" style="1"/>
    <col min="5090" max="5090" width="27.7109375" style="1" bestFit="1" customWidth="1"/>
    <col min="5091" max="5091" width="8.7109375" style="1" customWidth="1"/>
    <col min="5092" max="5093" width="8.85546875" style="1" bestFit="1" customWidth="1"/>
    <col min="5094" max="5105" width="5.28515625" style="1" bestFit="1" customWidth="1"/>
    <col min="5106" max="5106" width="7.7109375" style="1" bestFit="1" customWidth="1"/>
    <col min="5107" max="5345" width="9.140625" style="1"/>
    <col min="5346" max="5346" width="27.7109375" style="1" bestFit="1" customWidth="1"/>
    <col min="5347" max="5347" width="8.7109375" style="1" customWidth="1"/>
    <col min="5348" max="5349" width="8.85546875" style="1" bestFit="1" customWidth="1"/>
    <col min="5350" max="5361" width="5.28515625" style="1" bestFit="1" customWidth="1"/>
    <col min="5362" max="5362" width="7.7109375" style="1" bestFit="1" customWidth="1"/>
    <col min="5363" max="5601" width="9.140625" style="1"/>
    <col min="5602" max="5602" width="27.7109375" style="1" bestFit="1" customWidth="1"/>
    <col min="5603" max="5603" width="8.7109375" style="1" customWidth="1"/>
    <col min="5604" max="5605" width="8.85546875" style="1" bestFit="1" customWidth="1"/>
    <col min="5606" max="5617" width="5.28515625" style="1" bestFit="1" customWidth="1"/>
    <col min="5618" max="5618" width="7.7109375" style="1" bestFit="1" customWidth="1"/>
    <col min="5619" max="5857" width="9.140625" style="1"/>
    <col min="5858" max="5858" width="27.7109375" style="1" bestFit="1" customWidth="1"/>
    <col min="5859" max="5859" width="8.7109375" style="1" customWidth="1"/>
    <col min="5860" max="5861" width="8.85546875" style="1" bestFit="1" customWidth="1"/>
    <col min="5862" max="5873" width="5.28515625" style="1" bestFit="1" customWidth="1"/>
    <col min="5874" max="5874" width="7.7109375" style="1" bestFit="1" customWidth="1"/>
    <col min="5875" max="6113" width="9.140625" style="1"/>
    <col min="6114" max="6114" width="27.7109375" style="1" bestFit="1" customWidth="1"/>
    <col min="6115" max="6115" width="8.7109375" style="1" customWidth="1"/>
    <col min="6116" max="6117" width="8.85546875" style="1" bestFit="1" customWidth="1"/>
    <col min="6118" max="6129" width="5.28515625" style="1" bestFit="1" customWidth="1"/>
    <col min="6130" max="6130" width="7.7109375" style="1" bestFit="1" customWidth="1"/>
    <col min="6131" max="6369" width="9.140625" style="1"/>
    <col min="6370" max="6370" width="27.7109375" style="1" bestFit="1" customWidth="1"/>
    <col min="6371" max="6371" width="8.7109375" style="1" customWidth="1"/>
    <col min="6372" max="6373" width="8.85546875" style="1" bestFit="1" customWidth="1"/>
    <col min="6374" max="6385" width="5.28515625" style="1" bestFit="1" customWidth="1"/>
    <col min="6386" max="6386" width="7.7109375" style="1" bestFit="1" customWidth="1"/>
    <col min="6387" max="6625" width="9.140625" style="1"/>
    <col min="6626" max="6626" width="27.7109375" style="1" bestFit="1" customWidth="1"/>
    <col min="6627" max="6627" width="8.7109375" style="1" customWidth="1"/>
    <col min="6628" max="6629" width="8.85546875" style="1" bestFit="1" customWidth="1"/>
    <col min="6630" max="6641" width="5.28515625" style="1" bestFit="1" customWidth="1"/>
    <col min="6642" max="6642" width="7.7109375" style="1" bestFit="1" customWidth="1"/>
    <col min="6643" max="6881" width="9.140625" style="1"/>
    <col min="6882" max="6882" width="27.7109375" style="1" bestFit="1" customWidth="1"/>
    <col min="6883" max="6883" width="8.7109375" style="1" customWidth="1"/>
    <col min="6884" max="6885" width="8.85546875" style="1" bestFit="1" customWidth="1"/>
    <col min="6886" max="6897" width="5.28515625" style="1" bestFit="1" customWidth="1"/>
    <col min="6898" max="6898" width="7.7109375" style="1" bestFit="1" customWidth="1"/>
    <col min="6899" max="7137" width="9.140625" style="1"/>
    <col min="7138" max="7138" width="27.7109375" style="1" bestFit="1" customWidth="1"/>
    <col min="7139" max="7139" width="8.7109375" style="1" customWidth="1"/>
    <col min="7140" max="7141" width="8.85546875" style="1" bestFit="1" customWidth="1"/>
    <col min="7142" max="7153" width="5.28515625" style="1" bestFit="1" customWidth="1"/>
    <col min="7154" max="7154" width="7.7109375" style="1" bestFit="1" customWidth="1"/>
    <col min="7155" max="7393" width="9.140625" style="1"/>
    <col min="7394" max="7394" width="27.7109375" style="1" bestFit="1" customWidth="1"/>
    <col min="7395" max="7395" width="8.7109375" style="1" customWidth="1"/>
    <col min="7396" max="7397" width="8.85546875" style="1" bestFit="1" customWidth="1"/>
    <col min="7398" max="7409" width="5.28515625" style="1" bestFit="1" customWidth="1"/>
    <col min="7410" max="7410" width="7.7109375" style="1" bestFit="1" customWidth="1"/>
    <col min="7411" max="7649" width="9.140625" style="1"/>
    <col min="7650" max="7650" width="27.7109375" style="1" bestFit="1" customWidth="1"/>
    <col min="7651" max="7651" width="8.7109375" style="1" customWidth="1"/>
    <col min="7652" max="7653" width="8.85546875" style="1" bestFit="1" customWidth="1"/>
    <col min="7654" max="7665" width="5.28515625" style="1" bestFit="1" customWidth="1"/>
    <col min="7666" max="7666" width="7.7109375" style="1" bestFit="1" customWidth="1"/>
    <col min="7667" max="7905" width="9.140625" style="1"/>
    <col min="7906" max="7906" width="27.7109375" style="1" bestFit="1" customWidth="1"/>
    <col min="7907" max="7907" width="8.7109375" style="1" customWidth="1"/>
    <col min="7908" max="7909" width="8.85546875" style="1" bestFit="1" customWidth="1"/>
    <col min="7910" max="7921" width="5.28515625" style="1" bestFit="1" customWidth="1"/>
    <col min="7922" max="7922" width="7.7109375" style="1" bestFit="1" customWidth="1"/>
    <col min="7923" max="8161" width="9.140625" style="1"/>
    <col min="8162" max="8162" width="27.7109375" style="1" bestFit="1" customWidth="1"/>
    <col min="8163" max="8163" width="8.7109375" style="1" customWidth="1"/>
    <col min="8164" max="8165" width="8.85546875" style="1" bestFit="1" customWidth="1"/>
    <col min="8166" max="8177" width="5.28515625" style="1" bestFit="1" customWidth="1"/>
    <col min="8178" max="8178" width="7.7109375" style="1" bestFit="1" customWidth="1"/>
    <col min="8179" max="8417" width="9.140625" style="1"/>
    <col min="8418" max="8418" width="27.7109375" style="1" bestFit="1" customWidth="1"/>
    <col min="8419" max="8419" width="8.7109375" style="1" customWidth="1"/>
    <col min="8420" max="8421" width="8.85546875" style="1" bestFit="1" customWidth="1"/>
    <col min="8422" max="8433" width="5.28515625" style="1" bestFit="1" customWidth="1"/>
    <col min="8434" max="8434" width="7.7109375" style="1" bestFit="1" customWidth="1"/>
    <col min="8435" max="8673" width="9.140625" style="1"/>
    <col min="8674" max="8674" width="27.7109375" style="1" bestFit="1" customWidth="1"/>
    <col min="8675" max="8675" width="8.7109375" style="1" customWidth="1"/>
    <col min="8676" max="8677" width="8.85546875" style="1" bestFit="1" customWidth="1"/>
    <col min="8678" max="8689" width="5.28515625" style="1" bestFit="1" customWidth="1"/>
    <col min="8690" max="8690" width="7.7109375" style="1" bestFit="1" customWidth="1"/>
    <col min="8691" max="8929" width="9.140625" style="1"/>
    <col min="8930" max="8930" width="27.7109375" style="1" bestFit="1" customWidth="1"/>
    <col min="8931" max="8931" width="8.7109375" style="1" customWidth="1"/>
    <col min="8932" max="8933" width="8.85546875" style="1" bestFit="1" customWidth="1"/>
    <col min="8934" max="8945" width="5.28515625" style="1" bestFit="1" customWidth="1"/>
    <col min="8946" max="8946" width="7.7109375" style="1" bestFit="1" customWidth="1"/>
    <col min="8947" max="9185" width="9.140625" style="1"/>
    <col min="9186" max="9186" width="27.7109375" style="1" bestFit="1" customWidth="1"/>
    <col min="9187" max="9187" width="8.7109375" style="1" customWidth="1"/>
    <col min="9188" max="9189" width="8.85546875" style="1" bestFit="1" customWidth="1"/>
    <col min="9190" max="9201" width="5.28515625" style="1" bestFit="1" customWidth="1"/>
    <col min="9202" max="9202" width="7.7109375" style="1" bestFit="1" customWidth="1"/>
    <col min="9203" max="9441" width="9.140625" style="1"/>
    <col min="9442" max="9442" width="27.7109375" style="1" bestFit="1" customWidth="1"/>
    <col min="9443" max="9443" width="8.7109375" style="1" customWidth="1"/>
    <col min="9444" max="9445" width="8.85546875" style="1" bestFit="1" customWidth="1"/>
    <col min="9446" max="9457" width="5.28515625" style="1" bestFit="1" customWidth="1"/>
    <col min="9458" max="9458" width="7.7109375" style="1" bestFit="1" customWidth="1"/>
    <col min="9459" max="9697" width="9.140625" style="1"/>
    <col min="9698" max="9698" width="27.7109375" style="1" bestFit="1" customWidth="1"/>
    <col min="9699" max="9699" width="8.7109375" style="1" customWidth="1"/>
    <col min="9700" max="9701" width="8.85546875" style="1" bestFit="1" customWidth="1"/>
    <col min="9702" max="9713" width="5.28515625" style="1" bestFit="1" customWidth="1"/>
    <col min="9714" max="9714" width="7.7109375" style="1" bestFit="1" customWidth="1"/>
    <col min="9715" max="9953" width="9.140625" style="1"/>
    <col min="9954" max="9954" width="27.7109375" style="1" bestFit="1" customWidth="1"/>
    <col min="9955" max="9955" width="8.7109375" style="1" customWidth="1"/>
    <col min="9956" max="9957" width="8.85546875" style="1" bestFit="1" customWidth="1"/>
    <col min="9958" max="9969" width="5.28515625" style="1" bestFit="1" customWidth="1"/>
    <col min="9970" max="9970" width="7.7109375" style="1" bestFit="1" customWidth="1"/>
    <col min="9971" max="10209" width="9.140625" style="1"/>
    <col min="10210" max="10210" width="27.7109375" style="1" bestFit="1" customWidth="1"/>
    <col min="10211" max="10211" width="8.7109375" style="1" customWidth="1"/>
    <col min="10212" max="10213" width="8.85546875" style="1" bestFit="1" customWidth="1"/>
    <col min="10214" max="10225" width="5.28515625" style="1" bestFit="1" customWidth="1"/>
    <col min="10226" max="10226" width="7.7109375" style="1" bestFit="1" customWidth="1"/>
    <col min="10227" max="10465" width="9.140625" style="1"/>
    <col min="10466" max="10466" width="27.7109375" style="1" bestFit="1" customWidth="1"/>
    <col min="10467" max="10467" width="8.7109375" style="1" customWidth="1"/>
    <col min="10468" max="10469" width="8.85546875" style="1" bestFit="1" customWidth="1"/>
    <col min="10470" max="10481" width="5.28515625" style="1" bestFit="1" customWidth="1"/>
    <col min="10482" max="10482" width="7.7109375" style="1" bestFit="1" customWidth="1"/>
    <col min="10483" max="10721" width="9.140625" style="1"/>
    <col min="10722" max="10722" width="27.7109375" style="1" bestFit="1" customWidth="1"/>
    <col min="10723" max="10723" width="8.7109375" style="1" customWidth="1"/>
    <col min="10724" max="10725" width="8.85546875" style="1" bestFit="1" customWidth="1"/>
    <col min="10726" max="10737" width="5.28515625" style="1" bestFit="1" customWidth="1"/>
    <col min="10738" max="10738" width="7.7109375" style="1" bestFit="1" customWidth="1"/>
    <col min="10739" max="10977" width="9.140625" style="1"/>
    <col min="10978" max="10978" width="27.7109375" style="1" bestFit="1" customWidth="1"/>
    <col min="10979" max="10979" width="8.7109375" style="1" customWidth="1"/>
    <col min="10980" max="10981" width="8.85546875" style="1" bestFit="1" customWidth="1"/>
    <col min="10982" max="10993" width="5.28515625" style="1" bestFit="1" customWidth="1"/>
    <col min="10994" max="10994" width="7.7109375" style="1" bestFit="1" customWidth="1"/>
    <col min="10995" max="11233" width="9.140625" style="1"/>
    <col min="11234" max="11234" width="27.7109375" style="1" bestFit="1" customWidth="1"/>
    <col min="11235" max="11235" width="8.7109375" style="1" customWidth="1"/>
    <col min="11236" max="11237" width="8.85546875" style="1" bestFit="1" customWidth="1"/>
    <col min="11238" max="11249" width="5.28515625" style="1" bestFit="1" customWidth="1"/>
    <col min="11250" max="11250" width="7.7109375" style="1" bestFit="1" customWidth="1"/>
    <col min="11251" max="11489" width="9.140625" style="1"/>
    <col min="11490" max="11490" width="27.7109375" style="1" bestFit="1" customWidth="1"/>
    <col min="11491" max="11491" width="8.7109375" style="1" customWidth="1"/>
    <col min="11492" max="11493" width="8.85546875" style="1" bestFit="1" customWidth="1"/>
    <col min="11494" max="11505" width="5.28515625" style="1" bestFit="1" customWidth="1"/>
    <col min="11506" max="11506" width="7.7109375" style="1" bestFit="1" customWidth="1"/>
    <col min="11507" max="11745" width="9.140625" style="1"/>
    <col min="11746" max="11746" width="27.7109375" style="1" bestFit="1" customWidth="1"/>
    <col min="11747" max="11747" width="8.7109375" style="1" customWidth="1"/>
    <col min="11748" max="11749" width="8.85546875" style="1" bestFit="1" customWidth="1"/>
    <col min="11750" max="11761" width="5.28515625" style="1" bestFit="1" customWidth="1"/>
    <col min="11762" max="11762" width="7.7109375" style="1" bestFit="1" customWidth="1"/>
    <col min="11763" max="12001" width="9.140625" style="1"/>
    <col min="12002" max="12002" width="27.7109375" style="1" bestFit="1" customWidth="1"/>
    <col min="12003" max="12003" width="8.7109375" style="1" customWidth="1"/>
    <col min="12004" max="12005" width="8.85546875" style="1" bestFit="1" customWidth="1"/>
    <col min="12006" max="12017" width="5.28515625" style="1" bestFit="1" customWidth="1"/>
    <col min="12018" max="12018" width="7.7109375" style="1" bestFit="1" customWidth="1"/>
    <col min="12019" max="12257" width="9.140625" style="1"/>
    <col min="12258" max="12258" width="27.7109375" style="1" bestFit="1" customWidth="1"/>
    <col min="12259" max="12259" width="8.7109375" style="1" customWidth="1"/>
    <col min="12260" max="12261" width="8.85546875" style="1" bestFit="1" customWidth="1"/>
    <col min="12262" max="12273" width="5.28515625" style="1" bestFit="1" customWidth="1"/>
    <col min="12274" max="12274" width="7.7109375" style="1" bestFit="1" customWidth="1"/>
    <col min="12275" max="12513" width="9.140625" style="1"/>
    <col min="12514" max="12514" width="27.7109375" style="1" bestFit="1" customWidth="1"/>
    <col min="12515" max="12515" width="8.7109375" style="1" customWidth="1"/>
    <col min="12516" max="12517" width="8.85546875" style="1" bestFit="1" customWidth="1"/>
    <col min="12518" max="12529" width="5.28515625" style="1" bestFit="1" customWidth="1"/>
    <col min="12530" max="12530" width="7.7109375" style="1" bestFit="1" customWidth="1"/>
    <col min="12531" max="12769" width="9.140625" style="1"/>
    <col min="12770" max="12770" width="27.7109375" style="1" bestFit="1" customWidth="1"/>
    <col min="12771" max="12771" width="8.7109375" style="1" customWidth="1"/>
    <col min="12772" max="12773" width="8.85546875" style="1" bestFit="1" customWidth="1"/>
    <col min="12774" max="12785" width="5.28515625" style="1" bestFit="1" customWidth="1"/>
    <col min="12786" max="12786" width="7.7109375" style="1" bestFit="1" customWidth="1"/>
    <col min="12787" max="13025" width="9.140625" style="1"/>
    <col min="13026" max="13026" width="27.7109375" style="1" bestFit="1" customWidth="1"/>
    <col min="13027" max="13027" width="8.7109375" style="1" customWidth="1"/>
    <col min="13028" max="13029" width="8.85546875" style="1" bestFit="1" customWidth="1"/>
    <col min="13030" max="13041" width="5.28515625" style="1" bestFit="1" customWidth="1"/>
    <col min="13042" max="13042" width="7.7109375" style="1" bestFit="1" customWidth="1"/>
    <col min="13043" max="13281" width="9.140625" style="1"/>
    <col min="13282" max="13282" width="27.7109375" style="1" bestFit="1" customWidth="1"/>
    <col min="13283" max="13283" width="8.7109375" style="1" customWidth="1"/>
    <col min="13284" max="13285" width="8.85546875" style="1" bestFit="1" customWidth="1"/>
    <col min="13286" max="13297" width="5.28515625" style="1" bestFit="1" customWidth="1"/>
    <col min="13298" max="13298" width="7.7109375" style="1" bestFit="1" customWidth="1"/>
    <col min="13299" max="13537" width="9.140625" style="1"/>
    <col min="13538" max="13538" width="27.7109375" style="1" bestFit="1" customWidth="1"/>
    <col min="13539" max="13539" width="8.7109375" style="1" customWidth="1"/>
    <col min="13540" max="13541" width="8.85546875" style="1" bestFit="1" customWidth="1"/>
    <col min="13542" max="13553" width="5.28515625" style="1" bestFit="1" customWidth="1"/>
    <col min="13554" max="13554" width="7.7109375" style="1" bestFit="1" customWidth="1"/>
    <col min="13555" max="13793" width="9.140625" style="1"/>
    <col min="13794" max="13794" width="27.7109375" style="1" bestFit="1" customWidth="1"/>
    <col min="13795" max="13795" width="8.7109375" style="1" customWidth="1"/>
    <col min="13796" max="13797" width="8.85546875" style="1" bestFit="1" customWidth="1"/>
    <col min="13798" max="13809" width="5.28515625" style="1" bestFit="1" customWidth="1"/>
    <col min="13810" max="13810" width="7.7109375" style="1" bestFit="1" customWidth="1"/>
    <col min="13811" max="14049" width="9.140625" style="1"/>
    <col min="14050" max="14050" width="27.7109375" style="1" bestFit="1" customWidth="1"/>
    <col min="14051" max="14051" width="8.7109375" style="1" customWidth="1"/>
    <col min="14052" max="14053" width="8.85546875" style="1" bestFit="1" customWidth="1"/>
    <col min="14054" max="14065" width="5.28515625" style="1" bestFit="1" customWidth="1"/>
    <col min="14066" max="14066" width="7.7109375" style="1" bestFit="1" customWidth="1"/>
    <col min="14067" max="14305" width="9.140625" style="1"/>
    <col min="14306" max="14306" width="27.7109375" style="1" bestFit="1" customWidth="1"/>
    <col min="14307" max="14307" width="8.7109375" style="1" customWidth="1"/>
    <col min="14308" max="14309" width="8.85546875" style="1" bestFit="1" customWidth="1"/>
    <col min="14310" max="14321" width="5.28515625" style="1" bestFit="1" customWidth="1"/>
    <col min="14322" max="14322" width="7.7109375" style="1" bestFit="1" customWidth="1"/>
    <col min="14323" max="14561" width="9.140625" style="1"/>
    <col min="14562" max="14562" width="27.7109375" style="1" bestFit="1" customWidth="1"/>
    <col min="14563" max="14563" width="8.7109375" style="1" customWidth="1"/>
    <col min="14564" max="14565" width="8.85546875" style="1" bestFit="1" customWidth="1"/>
    <col min="14566" max="14577" width="5.28515625" style="1" bestFit="1" customWidth="1"/>
    <col min="14578" max="14578" width="7.7109375" style="1" bestFit="1" customWidth="1"/>
    <col min="14579" max="14817" width="9.140625" style="1"/>
    <col min="14818" max="14818" width="27.7109375" style="1" bestFit="1" customWidth="1"/>
    <col min="14819" max="14819" width="8.7109375" style="1" customWidth="1"/>
    <col min="14820" max="14821" width="8.85546875" style="1" bestFit="1" customWidth="1"/>
    <col min="14822" max="14833" width="5.28515625" style="1" bestFit="1" customWidth="1"/>
    <col min="14834" max="14834" width="7.7109375" style="1" bestFit="1" customWidth="1"/>
    <col min="14835" max="15073" width="9.140625" style="1"/>
    <col min="15074" max="15074" width="27.7109375" style="1" bestFit="1" customWidth="1"/>
    <col min="15075" max="15075" width="8.7109375" style="1" customWidth="1"/>
    <col min="15076" max="15077" width="8.85546875" style="1" bestFit="1" customWidth="1"/>
    <col min="15078" max="15089" width="5.28515625" style="1" bestFit="1" customWidth="1"/>
    <col min="15090" max="15090" width="7.7109375" style="1" bestFit="1" customWidth="1"/>
    <col min="15091" max="15329" width="9.140625" style="1"/>
    <col min="15330" max="15330" width="27.7109375" style="1" bestFit="1" customWidth="1"/>
    <col min="15331" max="15331" width="8.7109375" style="1" customWidth="1"/>
    <col min="15332" max="15333" width="8.85546875" style="1" bestFit="1" customWidth="1"/>
    <col min="15334" max="15345" width="5.28515625" style="1" bestFit="1" customWidth="1"/>
    <col min="15346" max="15346" width="7.7109375" style="1" bestFit="1" customWidth="1"/>
    <col min="15347" max="15585" width="9.140625" style="1"/>
    <col min="15586" max="15586" width="27.7109375" style="1" bestFit="1" customWidth="1"/>
    <col min="15587" max="15587" width="8.7109375" style="1" customWidth="1"/>
    <col min="15588" max="15589" width="8.85546875" style="1" bestFit="1" customWidth="1"/>
    <col min="15590" max="15601" width="5.28515625" style="1" bestFit="1" customWidth="1"/>
    <col min="15602" max="15602" width="7.7109375" style="1" bestFit="1" customWidth="1"/>
    <col min="15603" max="15841" width="9.140625" style="1"/>
    <col min="15842" max="15842" width="27.7109375" style="1" bestFit="1" customWidth="1"/>
    <col min="15843" max="15843" width="8.7109375" style="1" customWidth="1"/>
    <col min="15844" max="15845" width="8.85546875" style="1" bestFit="1" customWidth="1"/>
    <col min="15846" max="15857" width="5.28515625" style="1" bestFit="1" customWidth="1"/>
    <col min="15858" max="15858" width="7.7109375" style="1" bestFit="1" customWidth="1"/>
    <col min="15859" max="16097" width="9.140625" style="1"/>
    <col min="16098" max="16098" width="27.7109375" style="1" bestFit="1" customWidth="1"/>
    <col min="16099" max="16099" width="8.7109375" style="1" customWidth="1"/>
    <col min="16100" max="16101" width="8.85546875" style="1" bestFit="1" customWidth="1"/>
    <col min="16102" max="16113" width="5.28515625" style="1" bestFit="1" customWidth="1"/>
    <col min="16114" max="16114" width="7.7109375" style="1" bestFit="1" customWidth="1"/>
    <col min="16115" max="16384" width="9.140625" style="1"/>
  </cols>
  <sheetData>
    <row r="1" spans="1:21" x14ac:dyDescent="0.2">
      <c r="B1" s="310">
        <f>B6+B7</f>
        <v>3986</v>
      </c>
      <c r="D1" s="607">
        <f>D6+D7</f>
        <v>4086</v>
      </c>
      <c r="F1" s="609"/>
      <c r="G1" s="609" t="s">
        <v>1031</v>
      </c>
      <c r="I1" s="604" t="s">
        <v>1034</v>
      </c>
      <c r="K1" s="608">
        <f>K6+K7</f>
        <v>4535</v>
      </c>
      <c r="L1" s="608"/>
      <c r="M1" s="608"/>
    </row>
    <row r="2" spans="1:21" x14ac:dyDescent="0.2">
      <c r="F2" s="609"/>
      <c r="G2" s="610" t="s">
        <v>1032</v>
      </c>
      <c r="H2" s="597"/>
      <c r="I2" s="604" t="s">
        <v>1035</v>
      </c>
      <c r="L2" s="268" t="s">
        <v>1094</v>
      </c>
      <c r="M2" s="268" t="s">
        <v>1097</v>
      </c>
    </row>
    <row r="3" spans="1:21" x14ac:dyDescent="0.2">
      <c r="F3" s="609" t="s">
        <v>1031</v>
      </c>
      <c r="G3" s="609" t="s">
        <v>1033</v>
      </c>
      <c r="I3" s="604" t="s">
        <v>1037</v>
      </c>
      <c r="L3" s="268" t="s">
        <v>1096</v>
      </c>
      <c r="M3" s="268" t="s">
        <v>1098</v>
      </c>
    </row>
    <row r="4" spans="1:21" x14ac:dyDescent="0.2">
      <c r="B4" s="310" t="s">
        <v>1028</v>
      </c>
      <c r="C4" s="419" t="s">
        <v>1038</v>
      </c>
      <c r="D4" s="585" t="s">
        <v>1030</v>
      </c>
      <c r="F4" s="609" t="s">
        <v>1027</v>
      </c>
      <c r="G4" s="609" t="s">
        <v>1029</v>
      </c>
      <c r="I4" s="604" t="s">
        <v>1036</v>
      </c>
      <c r="J4" s="597" t="s">
        <v>1040</v>
      </c>
      <c r="L4" s="268" t="s">
        <v>1096</v>
      </c>
      <c r="M4" s="268" t="s">
        <v>1099</v>
      </c>
    </row>
    <row r="5" spans="1:21" ht="34.5" customHeight="1" x14ac:dyDescent="0.2">
      <c r="A5" s="414"/>
      <c r="B5" s="519" t="s">
        <v>1065</v>
      </c>
      <c r="C5" s="570" t="s">
        <v>722</v>
      </c>
      <c r="D5" s="571" t="s">
        <v>1073</v>
      </c>
      <c r="F5" s="611" t="s">
        <v>1027</v>
      </c>
      <c r="G5" s="612"/>
      <c r="H5" s="573"/>
      <c r="I5" s="571" t="s">
        <v>1100</v>
      </c>
      <c r="J5" s="572"/>
      <c r="K5" s="267" t="s">
        <v>1026</v>
      </c>
      <c r="L5" s="267" t="s">
        <v>1095</v>
      </c>
      <c r="M5" s="267" t="s">
        <v>1095</v>
      </c>
    </row>
    <row r="6" spans="1:21" ht="12.75" customHeight="1" x14ac:dyDescent="0.2">
      <c r="A6" s="263" t="s">
        <v>724</v>
      </c>
      <c r="B6" s="474">
        <f>'STATS 2017'!O84</f>
        <v>2002</v>
      </c>
      <c r="C6" s="575">
        <f>(I6-B6)/B6</f>
        <v>2.3976023976023976E-2</v>
      </c>
      <c r="D6" s="577">
        <f t="shared" ref="D6:D70" si="0">ROUND(((B6*C6)+B6),0)</f>
        <v>2050</v>
      </c>
      <c r="F6" s="605">
        <f t="shared" ref="F6:F12" si="1">B6/(B$9+B$92)</f>
        <v>9.7429616591910059E-2</v>
      </c>
      <c r="G6" s="613">
        <f t="shared" ref="G6:G12" si="2">F6*(I$9+I$92)</f>
        <v>2004.5354253465882</v>
      </c>
      <c r="H6" s="576"/>
      <c r="I6" s="601">
        <v>2050</v>
      </c>
      <c r="J6" s="578">
        <f t="shared" ref="J6:J11" si="3">D6-I6</f>
        <v>0</v>
      </c>
      <c r="K6" s="602">
        <v>2568</v>
      </c>
      <c r="L6" s="602">
        <f>D6-K6</f>
        <v>-518</v>
      </c>
      <c r="M6" s="602">
        <f>D6-B6</f>
        <v>48</v>
      </c>
    </row>
    <row r="7" spans="1:21" x14ac:dyDescent="0.2">
      <c r="A7" s="263" t="s">
        <v>725</v>
      </c>
      <c r="B7" s="474">
        <f>'STATS 2017'!O87</f>
        <v>1984</v>
      </c>
      <c r="C7" s="575">
        <f>(I7-B7)/B7</f>
        <v>2.620967741935484E-2</v>
      </c>
      <c r="D7" s="577">
        <f t="shared" si="0"/>
        <v>2036</v>
      </c>
      <c r="F7" s="605">
        <f t="shared" si="1"/>
        <v>9.6553626033141632E-2</v>
      </c>
      <c r="G7" s="613">
        <f t="shared" si="2"/>
        <v>1986.5126293145011</v>
      </c>
      <c r="H7" s="576"/>
      <c r="I7" s="601">
        <f>2075-39</f>
        <v>2036</v>
      </c>
      <c r="J7" s="578">
        <f t="shared" si="3"/>
        <v>0</v>
      </c>
      <c r="K7" s="602">
        <v>1967</v>
      </c>
      <c r="L7" s="602">
        <f t="shared" ref="L7:L70" si="4">D7-K7</f>
        <v>69</v>
      </c>
      <c r="M7" s="602">
        <f t="shared" ref="M7:M70" si="5">D7-B7</f>
        <v>52</v>
      </c>
    </row>
    <row r="8" spans="1:21" s="5" customFormat="1" x14ac:dyDescent="0.2">
      <c r="A8" s="263" t="s">
        <v>726</v>
      </c>
      <c r="B8" s="474">
        <v>0</v>
      </c>
      <c r="C8" s="575">
        <f>IF(B8=0,0,(I8-B8)/B8)</f>
        <v>0</v>
      </c>
      <c r="D8" s="577">
        <f t="shared" si="0"/>
        <v>0</v>
      </c>
      <c r="E8" s="580"/>
      <c r="F8" s="605">
        <f t="shared" si="1"/>
        <v>0</v>
      </c>
      <c r="G8" s="613">
        <f t="shared" si="2"/>
        <v>0</v>
      </c>
      <c r="H8" s="576"/>
      <c r="I8" s="577"/>
      <c r="J8" s="578"/>
      <c r="K8" s="593"/>
      <c r="L8" s="593"/>
      <c r="M8" s="593"/>
    </row>
    <row r="9" spans="1:21" x14ac:dyDescent="0.2">
      <c r="A9" s="598" t="s">
        <v>727</v>
      </c>
      <c r="B9" s="474">
        <f>'STATS 2017'!O259</f>
        <v>196.16666666666666</v>
      </c>
      <c r="C9" s="575">
        <f t="shared" ref="C9:C14" si="6">(I9-B9)/B9</f>
        <v>1.541112055130749E-2</v>
      </c>
      <c r="D9" s="577">
        <f t="shared" si="0"/>
        <v>199</v>
      </c>
      <c r="F9" s="605">
        <f t="shared" si="1"/>
        <v>9.5466748858373408E-3</v>
      </c>
      <c r="G9" s="613">
        <f t="shared" si="2"/>
        <v>196.415101201543</v>
      </c>
      <c r="H9" s="576"/>
      <c r="I9" s="600">
        <f>'[3]Compare for Budget Stats'!$G$183</f>
        <v>199.18981481481481</v>
      </c>
      <c r="J9" s="578">
        <f t="shared" si="3"/>
        <v>-0.18981481481480955</v>
      </c>
      <c r="K9" s="603">
        <v>197</v>
      </c>
      <c r="L9" s="603">
        <f t="shared" si="4"/>
        <v>2</v>
      </c>
      <c r="M9" s="603">
        <f t="shared" si="5"/>
        <v>2.8333333333333428</v>
      </c>
    </row>
    <row r="10" spans="1:21" s="5" customFormat="1" x14ac:dyDescent="0.2">
      <c r="A10" s="263" t="s">
        <v>728</v>
      </c>
      <c r="B10" s="474">
        <f>'STATS 2017'!O258</f>
        <v>4708</v>
      </c>
      <c r="C10" s="575">
        <f t="shared" si="6"/>
        <v>1.5411120551307488E-2</v>
      </c>
      <c r="D10" s="577">
        <f t="shared" si="0"/>
        <v>4781</v>
      </c>
      <c r="E10" s="580"/>
      <c r="F10" s="605">
        <f t="shared" si="1"/>
        <v>0.22912019726009619</v>
      </c>
      <c r="G10" s="613">
        <f t="shared" si="2"/>
        <v>4713.9624288370323</v>
      </c>
      <c r="H10" s="576"/>
      <c r="I10" s="577">
        <f>'[3]Compare for Budget Stats'!$G$182</f>
        <v>4780.5555555555557</v>
      </c>
      <c r="J10" s="578">
        <f t="shared" si="3"/>
        <v>0.44444444444434339</v>
      </c>
      <c r="K10" s="593">
        <v>4740</v>
      </c>
      <c r="L10" s="593">
        <f t="shared" si="4"/>
        <v>41</v>
      </c>
      <c r="M10" s="593">
        <f t="shared" si="5"/>
        <v>73</v>
      </c>
    </row>
    <row r="11" spans="1:21" x14ac:dyDescent="0.2">
      <c r="A11" s="263" t="s">
        <v>729</v>
      </c>
      <c r="B11" s="474">
        <f>'STATS 2017'!O256</f>
        <v>157</v>
      </c>
      <c r="C11" s="575">
        <f t="shared" si="6"/>
        <v>6.9355980184005642E-2</v>
      </c>
      <c r="D11" s="577">
        <f t="shared" si="0"/>
        <v>168</v>
      </c>
      <c r="F11" s="605">
        <f t="shared" si="1"/>
        <v>7.6405843181467925E-3</v>
      </c>
      <c r="G11" s="613">
        <f t="shared" si="2"/>
        <v>157.19883205764953</v>
      </c>
      <c r="H11" s="576"/>
      <c r="I11" s="577">
        <f>'[3]Compare for Budget Stats'!$G$180</f>
        <v>167.88888888888889</v>
      </c>
      <c r="J11" s="578">
        <f t="shared" si="3"/>
        <v>0.11111111111111427</v>
      </c>
      <c r="K11" s="593">
        <v>175</v>
      </c>
      <c r="L11" s="593">
        <f t="shared" si="4"/>
        <v>-7</v>
      </c>
      <c r="M11" s="593">
        <f t="shared" si="5"/>
        <v>11</v>
      </c>
    </row>
    <row r="12" spans="1:21" x14ac:dyDescent="0.2">
      <c r="A12" s="263" t="s">
        <v>149</v>
      </c>
      <c r="B12" s="474">
        <f>'STATS 2017'!O270</f>
        <v>32</v>
      </c>
      <c r="C12" s="575">
        <f t="shared" si="6"/>
        <v>-7.291666666666663E-2</v>
      </c>
      <c r="D12" s="577">
        <f t="shared" si="0"/>
        <v>30</v>
      </c>
      <c r="F12" s="605">
        <f t="shared" si="1"/>
        <v>1.5573165489216393E-3</v>
      </c>
      <c r="G12" s="613">
        <f t="shared" si="2"/>
        <v>32.040526279266146</v>
      </c>
      <c r="H12" s="576"/>
      <c r="I12" s="577">
        <f>'[3]Compare for Budget Stats'!$G$194</f>
        <v>29.666666666666668</v>
      </c>
      <c r="J12" s="578"/>
      <c r="K12" s="593">
        <v>25</v>
      </c>
      <c r="L12" s="593">
        <f t="shared" si="4"/>
        <v>5</v>
      </c>
      <c r="M12" s="593">
        <f t="shared" si="5"/>
        <v>-2</v>
      </c>
      <c r="O12" s="700" t="s">
        <v>1145</v>
      </c>
      <c r="P12" s="700"/>
      <c r="Q12" s="700"/>
      <c r="R12" s="700"/>
      <c r="S12" s="700"/>
      <c r="T12" s="700"/>
      <c r="U12" s="700"/>
    </row>
    <row r="13" spans="1:21" x14ac:dyDescent="0.2">
      <c r="A13" s="263" t="s">
        <v>730</v>
      </c>
      <c r="B13" s="474">
        <f>'STATS 2017'!O359</f>
        <v>44</v>
      </c>
      <c r="C13" s="575">
        <f t="shared" si="6"/>
        <v>0.35353535353535342</v>
      </c>
      <c r="D13" s="577">
        <f t="shared" si="0"/>
        <v>60</v>
      </c>
      <c r="E13" s="606" t="s">
        <v>1039</v>
      </c>
      <c r="F13" s="605">
        <f>B13/(B$6)</f>
        <v>2.197802197802198E-2</v>
      </c>
      <c r="G13" s="613">
        <f>F13*(I$6)</f>
        <v>45.054945054945058</v>
      </c>
      <c r="H13" s="578"/>
      <c r="I13" s="577">
        <f>'[3]Compare for Budget Stats'!$G$283</f>
        <v>59.55555555555555</v>
      </c>
      <c r="J13" s="578">
        <f t="shared" ref="J13:J44" si="7">D13-I13</f>
        <v>0.44444444444444997</v>
      </c>
      <c r="K13" s="593">
        <v>32</v>
      </c>
      <c r="L13" s="593">
        <f t="shared" si="4"/>
        <v>28</v>
      </c>
      <c r="M13" s="593">
        <f t="shared" si="5"/>
        <v>16</v>
      </c>
    </row>
    <row r="14" spans="1:21" s="5" customFormat="1" x14ac:dyDescent="0.2">
      <c r="A14" s="263" t="s">
        <v>731</v>
      </c>
      <c r="B14" s="474">
        <f>'STATS 2017'!O360</f>
        <v>211</v>
      </c>
      <c r="C14" s="575">
        <f t="shared" si="6"/>
        <v>1.8957345971563982E-2</v>
      </c>
      <c r="D14" s="577">
        <f t="shared" si="0"/>
        <v>215</v>
      </c>
      <c r="E14" s="580"/>
      <c r="F14" s="605">
        <f>B14/(B$9+B$92)</f>
        <v>1.0268555994452059E-2</v>
      </c>
      <c r="G14" s="613">
        <f>F14*(I$9+I$92)</f>
        <v>211.26722015391115</v>
      </c>
      <c r="H14" s="578"/>
      <c r="I14" s="701">
        <v>215</v>
      </c>
      <c r="J14" s="578">
        <f t="shared" si="7"/>
        <v>0</v>
      </c>
      <c r="K14" s="593">
        <v>233</v>
      </c>
      <c r="L14" s="593">
        <f t="shared" si="4"/>
        <v>-18</v>
      </c>
      <c r="M14" s="593">
        <f t="shared" si="5"/>
        <v>4</v>
      </c>
    </row>
    <row r="15" spans="1:21" x14ac:dyDescent="0.2">
      <c r="A15" s="139" t="s">
        <v>218</v>
      </c>
      <c r="B15" s="520">
        <f>B13+B14</f>
        <v>255</v>
      </c>
      <c r="C15" s="575">
        <f t="shared" ref="C15:C38" si="8">(I15-B15)/B15</f>
        <v>7.6688453159041339E-2</v>
      </c>
      <c r="D15" s="582">
        <f>D13+D14</f>
        <v>275</v>
      </c>
      <c r="F15" s="614"/>
      <c r="G15" s="615"/>
      <c r="H15" s="595"/>
      <c r="I15" s="582">
        <f>I13+I14</f>
        <v>274.55555555555554</v>
      </c>
      <c r="J15" s="578">
        <f t="shared" si="7"/>
        <v>0.44444444444445708</v>
      </c>
      <c r="K15" s="594">
        <v>290</v>
      </c>
      <c r="L15" s="594">
        <f t="shared" si="4"/>
        <v>-15</v>
      </c>
      <c r="M15" s="594">
        <f t="shared" si="5"/>
        <v>20</v>
      </c>
    </row>
    <row r="16" spans="1:21" x14ac:dyDescent="0.2">
      <c r="A16" s="263" t="s">
        <v>732</v>
      </c>
      <c r="B16" s="474">
        <f>'STATS 2017'!O363</f>
        <v>6</v>
      </c>
      <c r="C16" s="575">
        <f t="shared" si="8"/>
        <v>-9.2592592592592407E-2</v>
      </c>
      <c r="D16" s="577">
        <f t="shared" si="0"/>
        <v>5</v>
      </c>
      <c r="F16" s="605">
        <f>B16/(B$6)</f>
        <v>2.997002997002997E-3</v>
      </c>
      <c r="G16" s="613">
        <f>F16*(I$6)</f>
        <v>6.1438561438561434</v>
      </c>
      <c r="H16" s="578"/>
      <c r="I16" s="577">
        <f>'[3]Compare for Budget Stats'!$G$287</f>
        <v>5.4444444444444455</v>
      </c>
      <c r="J16" s="578">
        <f t="shared" si="7"/>
        <v>-0.44444444444444553</v>
      </c>
      <c r="K16" s="593">
        <v>9</v>
      </c>
      <c r="L16" s="593">
        <f t="shared" si="4"/>
        <v>-4</v>
      </c>
      <c r="M16" s="593">
        <f t="shared" si="5"/>
        <v>-1</v>
      </c>
    </row>
    <row r="17" spans="1:16" s="5" customFormat="1" x14ac:dyDescent="0.2">
      <c r="A17" s="263" t="s">
        <v>733</v>
      </c>
      <c r="B17" s="474">
        <f>'STATS 2017'!O364</f>
        <v>15</v>
      </c>
      <c r="C17" s="575">
        <f t="shared" si="8"/>
        <v>-0.28888888888888892</v>
      </c>
      <c r="D17" s="577">
        <f t="shared" si="0"/>
        <v>11</v>
      </c>
      <c r="E17" s="580"/>
      <c r="F17" s="605">
        <f>B17/(B$9+B$92)</f>
        <v>7.2999213230701848E-4</v>
      </c>
      <c r="G17" s="613">
        <f>F17*(I$9+I$92)</f>
        <v>15.018996693406008</v>
      </c>
      <c r="H17" s="578"/>
      <c r="I17" s="577">
        <f>'[3]Compare for Budget Stats'!$G$288</f>
        <v>10.666666666666666</v>
      </c>
      <c r="J17" s="578">
        <f t="shared" si="7"/>
        <v>0.33333333333333393</v>
      </c>
      <c r="K17" s="593">
        <v>5</v>
      </c>
      <c r="L17" s="593">
        <f t="shared" si="4"/>
        <v>6</v>
      </c>
      <c r="M17" s="593">
        <f t="shared" si="5"/>
        <v>-4</v>
      </c>
    </row>
    <row r="18" spans="1:16" x14ac:dyDescent="0.2">
      <c r="A18" s="139" t="s">
        <v>734</v>
      </c>
      <c r="B18" s="520">
        <f>B16+B17</f>
        <v>21</v>
      </c>
      <c r="C18" s="575">
        <f t="shared" si="8"/>
        <v>-0.23280423280423282</v>
      </c>
      <c r="D18" s="582">
        <f>D16+D17</f>
        <v>16</v>
      </c>
      <c r="F18" s="616"/>
      <c r="G18" s="617">
        <f>SUM(G16:G17)</f>
        <v>21.16285283726215</v>
      </c>
      <c r="H18" s="596"/>
      <c r="I18" s="596">
        <f>SUM(I16:I17)</f>
        <v>16.111111111111111</v>
      </c>
      <c r="J18" s="578">
        <f t="shared" si="7"/>
        <v>-0.11111111111111072</v>
      </c>
      <c r="K18" s="594">
        <v>14</v>
      </c>
      <c r="L18" s="594">
        <f t="shared" si="4"/>
        <v>2</v>
      </c>
      <c r="M18" s="594">
        <f t="shared" si="5"/>
        <v>-5</v>
      </c>
    </row>
    <row r="19" spans="1:16" x14ac:dyDescent="0.2">
      <c r="A19" s="263" t="s">
        <v>735</v>
      </c>
      <c r="B19" s="474">
        <f>'STATS 2017'!O367</f>
        <v>23</v>
      </c>
      <c r="C19" s="575">
        <f t="shared" si="8"/>
        <v>9.1787439613526714E-2</v>
      </c>
      <c r="D19" s="577">
        <f t="shared" si="0"/>
        <v>25</v>
      </c>
      <c r="E19" s="580" t="s">
        <v>1015</v>
      </c>
      <c r="F19" s="605">
        <f>B19/(B$6)</f>
        <v>1.1488511488511488E-2</v>
      </c>
      <c r="G19" s="613">
        <f>F19*(I$6)</f>
        <v>23.551448551448551</v>
      </c>
      <c r="H19" s="578"/>
      <c r="I19" s="577">
        <f>'[3]Compare for Budget Stats'!$G$291</f>
        <v>25.111111111111114</v>
      </c>
      <c r="J19" s="578">
        <f t="shared" si="7"/>
        <v>-0.11111111111111427</v>
      </c>
      <c r="K19" s="593">
        <v>26</v>
      </c>
      <c r="L19" s="593">
        <f t="shared" si="4"/>
        <v>-1</v>
      </c>
      <c r="M19" s="593">
        <f t="shared" si="5"/>
        <v>2</v>
      </c>
    </row>
    <row r="20" spans="1:16" s="5" customFormat="1" x14ac:dyDescent="0.2">
      <c r="A20" s="263" t="s">
        <v>736</v>
      </c>
      <c r="B20" s="474">
        <f>'STATS 2017'!O368</f>
        <v>275</v>
      </c>
      <c r="C20" s="575">
        <f t="shared" si="8"/>
        <v>8.0808080808083107E-4</v>
      </c>
      <c r="D20" s="577">
        <f t="shared" si="0"/>
        <v>275</v>
      </c>
      <c r="E20" s="580"/>
      <c r="F20" s="605">
        <f>B20/(B$9+B$92)</f>
        <v>1.3383189092295338E-2</v>
      </c>
      <c r="G20" s="613">
        <f>F20*(I$9+I$92)</f>
        <v>275.34827271244347</v>
      </c>
      <c r="H20" s="578"/>
      <c r="I20" s="577">
        <f>'[3]Compare for Budget Stats'!$G$292</f>
        <v>275.22222222222223</v>
      </c>
      <c r="J20" s="578">
        <f t="shared" si="7"/>
        <v>-0.22222222222222854</v>
      </c>
      <c r="K20" s="593">
        <v>242</v>
      </c>
      <c r="L20" s="593">
        <f t="shared" si="4"/>
        <v>33</v>
      </c>
      <c r="M20" s="593">
        <f t="shared" si="5"/>
        <v>0</v>
      </c>
    </row>
    <row r="21" spans="1:16" x14ac:dyDescent="0.2">
      <c r="A21" s="139" t="s">
        <v>737</v>
      </c>
      <c r="B21" s="520">
        <f>B19+B20</f>
        <v>298</v>
      </c>
      <c r="C21" s="575">
        <f t="shared" si="8"/>
        <v>7.8299776286354737E-3</v>
      </c>
      <c r="D21" s="582">
        <f>D19+D20</f>
        <v>300</v>
      </c>
      <c r="F21" s="616"/>
      <c r="G21" s="617"/>
      <c r="H21" s="596"/>
      <c r="I21" s="582">
        <f>I19+I20</f>
        <v>300.33333333333337</v>
      </c>
      <c r="J21" s="578">
        <f t="shared" si="7"/>
        <v>-0.33333333333337123</v>
      </c>
      <c r="K21" s="594">
        <v>264</v>
      </c>
      <c r="L21" s="594">
        <f t="shared" si="4"/>
        <v>36</v>
      </c>
      <c r="M21" s="594">
        <f t="shared" si="5"/>
        <v>2</v>
      </c>
    </row>
    <row r="22" spans="1:16" x14ac:dyDescent="0.2">
      <c r="A22" s="263" t="s">
        <v>738</v>
      </c>
      <c r="B22" s="474">
        <f>'STATS 2017'!O374</f>
        <v>73</v>
      </c>
      <c r="C22" s="575">
        <f t="shared" si="8"/>
        <v>0.23439878234398787</v>
      </c>
      <c r="D22" s="577">
        <f t="shared" si="0"/>
        <v>90</v>
      </c>
      <c r="F22" s="605">
        <f>B22/(B$6)</f>
        <v>3.6463536463536464E-2</v>
      </c>
      <c r="G22" s="613">
        <f>F22*(I$6)</f>
        <v>74.75024975024975</v>
      </c>
      <c r="H22" s="578"/>
      <c r="I22" s="577">
        <f>I13+I16+I19</f>
        <v>90.111111111111114</v>
      </c>
      <c r="J22" s="578">
        <f t="shared" si="7"/>
        <v>-0.11111111111111427</v>
      </c>
      <c r="K22" s="593">
        <v>76</v>
      </c>
      <c r="L22" s="593">
        <f t="shared" si="4"/>
        <v>14</v>
      </c>
      <c r="M22" s="593">
        <f t="shared" si="5"/>
        <v>17</v>
      </c>
      <c r="N22" s="703">
        <f>O22/O24</f>
        <v>0.14727483571704678</v>
      </c>
      <c r="O22" s="702">
        <f>I22-I16</f>
        <v>84.666666666666671</v>
      </c>
    </row>
    <row r="23" spans="1:16" s="5" customFormat="1" x14ac:dyDescent="0.2">
      <c r="A23" s="263" t="s">
        <v>739</v>
      </c>
      <c r="B23" s="474">
        <f>'STATS 2017'!O375</f>
        <v>504</v>
      </c>
      <c r="C23" s="575">
        <f t="shared" si="8"/>
        <v>-6.1728395061727897E-3</v>
      </c>
      <c r="D23" s="577">
        <f t="shared" si="0"/>
        <v>501</v>
      </c>
      <c r="E23" s="580"/>
      <c r="F23" s="605">
        <f>B23/(B$9+B$92)</f>
        <v>2.452773564551582E-2</v>
      </c>
      <c r="G23" s="613">
        <f>F23*(I$9+I$92)</f>
        <v>504.63828889844183</v>
      </c>
      <c r="H23" s="578"/>
      <c r="I23" s="577">
        <f>I14+I17+I20</f>
        <v>500.88888888888891</v>
      </c>
      <c r="J23" s="578">
        <f t="shared" si="7"/>
        <v>0.11111111111108585</v>
      </c>
      <c r="K23" s="593">
        <v>434</v>
      </c>
      <c r="L23" s="593">
        <f t="shared" si="4"/>
        <v>67</v>
      </c>
      <c r="M23" s="593">
        <f t="shared" si="5"/>
        <v>-3</v>
      </c>
      <c r="N23" s="703">
        <f>O23/O24</f>
        <v>0.8527251642829532</v>
      </c>
      <c r="O23" s="702">
        <f>I23-I17</f>
        <v>490.22222222222223</v>
      </c>
    </row>
    <row r="24" spans="1:16" x14ac:dyDescent="0.2">
      <c r="A24" s="139" t="s">
        <v>740</v>
      </c>
      <c r="B24" s="520">
        <f>B22+B23</f>
        <v>577</v>
      </c>
      <c r="C24" s="575">
        <f t="shared" si="8"/>
        <v>2.4263431542461005E-2</v>
      </c>
      <c r="D24" s="582">
        <f>D22+D23</f>
        <v>591</v>
      </c>
      <c r="F24" s="616"/>
      <c r="G24" s="617">
        <f>SUM(G22:G23)</f>
        <v>579.38853864869156</v>
      </c>
      <c r="H24" s="596"/>
      <c r="I24" s="582">
        <f>I22+I23</f>
        <v>591</v>
      </c>
      <c r="J24" s="578">
        <f t="shared" si="7"/>
        <v>0</v>
      </c>
      <c r="K24" s="594">
        <v>568</v>
      </c>
      <c r="L24" s="594">
        <f t="shared" si="4"/>
        <v>23</v>
      </c>
      <c r="M24" s="594">
        <f t="shared" si="5"/>
        <v>14</v>
      </c>
      <c r="N24" s="703">
        <f>SUM(N22:N23)</f>
        <v>1</v>
      </c>
      <c r="O24" s="702">
        <f>I24-I18</f>
        <v>574.88888888888891</v>
      </c>
      <c r="P24" s="1" t="s">
        <v>1146</v>
      </c>
    </row>
    <row r="25" spans="1:16" x14ac:dyDescent="0.2">
      <c r="A25" s="263" t="s">
        <v>741</v>
      </c>
      <c r="B25" s="474">
        <f>'STATS 2017'!O383</f>
        <v>61</v>
      </c>
      <c r="C25" s="575">
        <f t="shared" si="8"/>
        <v>0.39344262295081966</v>
      </c>
      <c r="D25" s="577">
        <f t="shared" si="0"/>
        <v>85</v>
      </c>
      <c r="F25" s="605">
        <f>B25/(B$6)</f>
        <v>3.0469530469530468E-2</v>
      </c>
      <c r="G25" s="613">
        <f>F25*(I$6)</f>
        <v>62.462537462537462</v>
      </c>
      <c r="H25" s="578"/>
      <c r="I25" s="701">
        <v>85</v>
      </c>
      <c r="J25" s="578">
        <f t="shared" si="7"/>
        <v>0</v>
      </c>
      <c r="K25" s="593">
        <v>127</v>
      </c>
      <c r="L25" s="593">
        <f t="shared" si="4"/>
        <v>-42</v>
      </c>
      <c r="M25" s="593">
        <f t="shared" si="5"/>
        <v>24</v>
      </c>
    </row>
    <row r="26" spans="1:16" x14ac:dyDescent="0.2">
      <c r="A26" s="263" t="s">
        <v>742</v>
      </c>
      <c r="B26" s="474">
        <f>'STATS 2017'!O384</f>
        <v>460</v>
      </c>
      <c r="C26" s="575">
        <f t="shared" si="8"/>
        <v>6.5217391304347824E-2</v>
      </c>
      <c r="D26" s="577">
        <f t="shared" si="0"/>
        <v>490</v>
      </c>
      <c r="F26" s="605">
        <f>B26/(B$9+B$92)</f>
        <v>2.2386425390748563E-2</v>
      </c>
      <c r="G26" s="613">
        <f>F26*(I$9+I$92)</f>
        <v>460.58256526445081</v>
      </c>
      <c r="H26" s="578"/>
      <c r="I26" s="701">
        <v>490</v>
      </c>
      <c r="J26" s="578">
        <f t="shared" si="7"/>
        <v>0</v>
      </c>
      <c r="K26" s="593">
        <v>404</v>
      </c>
      <c r="L26" s="593">
        <f t="shared" si="4"/>
        <v>86</v>
      </c>
      <c r="M26" s="593">
        <f t="shared" si="5"/>
        <v>30</v>
      </c>
    </row>
    <row r="27" spans="1:16" x14ac:dyDescent="0.2">
      <c r="A27" s="139" t="s">
        <v>743</v>
      </c>
      <c r="B27" s="520">
        <f>B25+B26</f>
        <v>521</v>
      </c>
      <c r="C27" s="575">
        <f t="shared" si="8"/>
        <v>0.1036468330134357</v>
      </c>
      <c r="D27" s="582">
        <f>D25+D26</f>
        <v>575</v>
      </c>
      <c r="F27" s="616"/>
      <c r="G27" s="617"/>
      <c r="H27" s="596"/>
      <c r="I27" s="582">
        <f>I25+I26</f>
        <v>575</v>
      </c>
      <c r="J27" s="578">
        <f t="shared" si="7"/>
        <v>0</v>
      </c>
      <c r="K27" s="594">
        <v>531</v>
      </c>
      <c r="L27" s="594">
        <f t="shared" si="4"/>
        <v>44</v>
      </c>
      <c r="M27" s="594">
        <f t="shared" si="5"/>
        <v>54</v>
      </c>
    </row>
    <row r="28" spans="1:16" x14ac:dyDescent="0.2">
      <c r="A28" s="263" t="s">
        <v>744</v>
      </c>
      <c r="B28" s="474">
        <f>'STATS 2017'!O387</f>
        <v>27687</v>
      </c>
      <c r="C28" s="575">
        <f t="shared" si="8"/>
        <v>3.9031555122139197E-2</v>
      </c>
      <c r="D28" s="577">
        <f t="shared" si="0"/>
        <v>28768</v>
      </c>
      <c r="F28" s="605">
        <f>B28/B24</f>
        <v>47.984402079722706</v>
      </c>
      <c r="G28" s="613">
        <f>F28*(G24)</f>
        <v>27801.612598901775</v>
      </c>
      <c r="H28" s="578"/>
      <c r="I28" s="577">
        <f>'[3]Compare for Budget Stats'!$G$312</f>
        <v>28767.666666666668</v>
      </c>
      <c r="J28" s="578">
        <f t="shared" si="7"/>
        <v>0.33333333333212067</v>
      </c>
      <c r="K28" s="593">
        <v>30881</v>
      </c>
      <c r="L28" s="593">
        <f t="shared" si="4"/>
        <v>-2113</v>
      </c>
      <c r="M28" s="593">
        <f t="shared" si="5"/>
        <v>1081</v>
      </c>
    </row>
    <row r="29" spans="1:16" x14ac:dyDescent="0.2">
      <c r="A29" s="521" t="s">
        <v>745</v>
      </c>
      <c r="B29" s="474">
        <f>'STATS 2017'!O389</f>
        <v>503</v>
      </c>
      <c r="C29" s="575">
        <f t="shared" si="8"/>
        <v>0.14314115308151093</v>
      </c>
      <c r="D29" s="577">
        <f t="shared" si="0"/>
        <v>575</v>
      </c>
      <c r="F29" s="605">
        <f>B29/B24</f>
        <v>0.87175043327556323</v>
      </c>
      <c r="G29" s="613">
        <f>F29*I24</f>
        <v>515.20450606585791</v>
      </c>
      <c r="H29" s="578"/>
      <c r="I29" s="577">
        <v>575</v>
      </c>
      <c r="J29" s="578">
        <f t="shared" si="7"/>
        <v>0</v>
      </c>
      <c r="K29" s="593">
        <v>514</v>
      </c>
      <c r="L29" s="593">
        <f t="shared" si="4"/>
        <v>61</v>
      </c>
      <c r="M29" s="593">
        <f t="shared" si="5"/>
        <v>72</v>
      </c>
      <c r="O29" s="1">
        <f>575*O30</f>
        <v>26058.005893909627</v>
      </c>
    </row>
    <row r="30" spans="1:16" x14ac:dyDescent="0.2">
      <c r="A30" s="521" t="s">
        <v>746</v>
      </c>
      <c r="B30" s="474">
        <f>'STATS 2017'!O390</f>
        <v>21395</v>
      </c>
      <c r="C30" s="575">
        <f t="shared" si="8"/>
        <v>0.21794811871932696</v>
      </c>
      <c r="D30" s="577">
        <f t="shared" si="0"/>
        <v>26058</v>
      </c>
      <c r="F30" s="605">
        <f>B30/B24</f>
        <v>37.079722703639511</v>
      </c>
      <c r="G30" s="613">
        <f>F30*I24</f>
        <v>21914.11611785095</v>
      </c>
      <c r="H30" s="578"/>
      <c r="I30" s="577">
        <v>26058</v>
      </c>
      <c r="J30" s="578">
        <f t="shared" si="7"/>
        <v>0</v>
      </c>
      <c r="K30" s="593">
        <v>24903</v>
      </c>
      <c r="L30" s="593">
        <f t="shared" si="4"/>
        <v>1155</v>
      </c>
      <c r="M30" s="593">
        <f t="shared" si="5"/>
        <v>4663</v>
      </c>
      <c r="O30" s="1">
        <f>23067/509</f>
        <v>45.318271119842827</v>
      </c>
    </row>
    <row r="31" spans="1:16" x14ac:dyDescent="0.2">
      <c r="A31" s="263" t="s">
        <v>747</v>
      </c>
      <c r="B31" s="474">
        <f>'STATS 2017'!O396</f>
        <v>72724.100000000006</v>
      </c>
      <c r="C31" s="575">
        <f t="shared" si="8"/>
        <v>-5.1350392938669942E-2</v>
      </c>
      <c r="D31" s="577">
        <f t="shared" si="0"/>
        <v>68990</v>
      </c>
      <c r="E31" s="1"/>
      <c r="F31" s="605">
        <f>B31/(B$6+B$7)</f>
        <v>18.244882087305569</v>
      </c>
      <c r="G31" s="613">
        <f>F31*(I$6+I$7)</f>
        <v>74548.588208730551</v>
      </c>
      <c r="H31" s="578"/>
      <c r="I31" s="577">
        <f>'[3]Compare for Budget Stats'!$G$321</f>
        <v>68989.688888888879</v>
      </c>
      <c r="J31" s="578">
        <f t="shared" si="7"/>
        <v>0.31111111112113576</v>
      </c>
      <c r="K31" s="593">
        <v>60771</v>
      </c>
      <c r="L31" s="593">
        <f t="shared" si="4"/>
        <v>8219</v>
      </c>
      <c r="M31" s="593">
        <f t="shared" si="5"/>
        <v>-3734.1000000000058</v>
      </c>
    </row>
    <row r="32" spans="1:16" x14ac:dyDescent="0.2">
      <c r="A32" s="263" t="s">
        <v>748</v>
      </c>
      <c r="B32" s="474">
        <f>'STATS 2017'!O397</f>
        <v>21236</v>
      </c>
      <c r="C32" s="575">
        <f t="shared" si="8"/>
        <v>0</v>
      </c>
      <c r="D32" s="577">
        <f t="shared" si="0"/>
        <v>21236</v>
      </c>
      <c r="E32" s="1"/>
      <c r="F32" s="605">
        <f>B32/(B$9+B$92)</f>
        <v>1.033474194778123</v>
      </c>
      <c r="G32" s="613">
        <f>F32*(I$9+I$92)</f>
        <v>21262.894252078</v>
      </c>
      <c r="H32" s="578"/>
      <c r="I32" s="577">
        <v>21236</v>
      </c>
      <c r="J32" s="578">
        <f t="shared" si="7"/>
        <v>0</v>
      </c>
      <c r="K32" s="593">
        <v>17730</v>
      </c>
      <c r="L32" s="593">
        <f t="shared" si="4"/>
        <v>3506</v>
      </c>
      <c r="M32" s="593">
        <f t="shared" si="5"/>
        <v>0</v>
      </c>
    </row>
    <row r="33" spans="1:15" x14ac:dyDescent="0.2">
      <c r="A33" s="139" t="s">
        <v>749</v>
      </c>
      <c r="B33" s="520">
        <f>B31+B32</f>
        <v>93960.1</v>
      </c>
      <c r="C33" s="575">
        <f t="shared" si="8"/>
        <v>-3.9744648112455462E-2</v>
      </c>
      <c r="D33" s="582">
        <f>D31+D32</f>
        <v>90226</v>
      </c>
      <c r="E33" s="1"/>
      <c r="F33" s="616"/>
      <c r="G33" s="617"/>
      <c r="H33" s="596"/>
      <c r="I33" s="582">
        <f>I31+I32</f>
        <v>90225.688888888879</v>
      </c>
      <c r="J33" s="578">
        <f t="shared" si="7"/>
        <v>0.31111111112113576</v>
      </c>
      <c r="K33" s="594">
        <v>78501</v>
      </c>
      <c r="L33" s="594">
        <f t="shared" si="4"/>
        <v>11725</v>
      </c>
      <c r="M33" s="594">
        <f t="shared" si="5"/>
        <v>-3734.1000000000058</v>
      </c>
    </row>
    <row r="34" spans="1:15" s="5" customFormat="1" x14ac:dyDescent="0.2">
      <c r="A34" s="263" t="s">
        <v>750</v>
      </c>
      <c r="B34" s="474">
        <f>'STATS 2017'!O392</f>
        <v>6263</v>
      </c>
      <c r="C34" s="575">
        <f t="shared" si="8"/>
        <v>0.13400571256231492</v>
      </c>
      <c r="D34" s="577">
        <f t="shared" si="0"/>
        <v>7102</v>
      </c>
      <c r="F34" s="605">
        <f>B34/B$6</f>
        <v>3.1283716283716285</v>
      </c>
      <c r="G34" s="613">
        <f>F34*I$6</f>
        <v>6413.1618381618382</v>
      </c>
      <c r="H34" s="578"/>
      <c r="I34" s="577">
        <f>'[3]Compare for Budget Stats'!$G$317</f>
        <v>7102.2777777777783</v>
      </c>
      <c r="J34" s="578">
        <f t="shared" si="7"/>
        <v>-0.27777777777828305</v>
      </c>
      <c r="K34" s="593">
        <v>8883</v>
      </c>
      <c r="L34" s="593">
        <f t="shared" si="4"/>
        <v>-1781</v>
      </c>
      <c r="M34" s="593">
        <f t="shared" si="5"/>
        <v>839</v>
      </c>
    </row>
    <row r="35" spans="1:15" x14ac:dyDescent="0.2">
      <c r="A35" s="263" t="s">
        <v>751</v>
      </c>
      <c r="B35" s="474">
        <f>'STATS 2017'!O393</f>
        <v>6239</v>
      </c>
      <c r="C35" s="575">
        <f t="shared" si="8"/>
        <v>-6.4789585225552587E-2</v>
      </c>
      <c r="D35" s="577">
        <f t="shared" si="0"/>
        <v>5835</v>
      </c>
      <c r="F35" s="605">
        <f>B35/(B$9+B$92)</f>
        <v>0.30362806089756589</v>
      </c>
      <c r="G35" s="613">
        <f>F35*(I$9+I$92)</f>
        <v>6246.9013580106721</v>
      </c>
      <c r="H35" s="578"/>
      <c r="I35" s="577">
        <f>'[3]Compare for Budget Stats'!$G$318</f>
        <v>5834.7777777777774</v>
      </c>
      <c r="J35" s="578">
        <f t="shared" si="7"/>
        <v>0.22222222222262644</v>
      </c>
      <c r="K35" s="593">
        <v>6935</v>
      </c>
      <c r="L35" s="593">
        <f t="shared" si="4"/>
        <v>-1100</v>
      </c>
      <c r="M35" s="593">
        <f t="shared" si="5"/>
        <v>-404</v>
      </c>
      <c r="O35" s="1">
        <f>12502-12937</f>
        <v>-435</v>
      </c>
    </row>
    <row r="36" spans="1:15" x14ac:dyDescent="0.2">
      <c r="A36" s="139" t="s">
        <v>752</v>
      </c>
      <c r="B36" s="520">
        <f>B34+B35</f>
        <v>12502</v>
      </c>
      <c r="C36" s="575">
        <f t="shared" si="8"/>
        <v>3.4798876624184509E-2</v>
      </c>
      <c r="D36" s="582">
        <f>D34+D35</f>
        <v>12937</v>
      </c>
      <c r="F36" s="616"/>
      <c r="G36" s="617"/>
      <c r="H36" s="596"/>
      <c r="I36" s="582">
        <f>I34+I35</f>
        <v>12937.055555555555</v>
      </c>
      <c r="J36" s="578">
        <f t="shared" si="7"/>
        <v>-5.5555555554747116E-2</v>
      </c>
      <c r="K36" s="594">
        <v>17033</v>
      </c>
      <c r="L36" s="594">
        <f t="shared" si="4"/>
        <v>-4096</v>
      </c>
      <c r="M36" s="594">
        <f t="shared" si="5"/>
        <v>435</v>
      </c>
    </row>
    <row r="37" spans="1:15" s="5" customFormat="1" x14ac:dyDescent="0.2">
      <c r="A37" s="263" t="s">
        <v>753</v>
      </c>
      <c r="B37" s="474">
        <f>'STATS 2017'!O404</f>
        <v>13953</v>
      </c>
      <c r="C37" s="575">
        <f t="shared" si="8"/>
        <v>1.918344919849968E-2</v>
      </c>
      <c r="D37" s="577">
        <f t="shared" si="0"/>
        <v>14221</v>
      </c>
      <c r="E37" s="580"/>
      <c r="F37" s="605">
        <f>B37/(B$6+B$7)</f>
        <v>3.5005017561465128</v>
      </c>
      <c r="G37" s="613">
        <f>F37*(I$6+I$7)</f>
        <v>14303.050175614651</v>
      </c>
      <c r="H37" s="578"/>
      <c r="I37" s="577">
        <f>'[3]Compare for Budget Stats'!$G$329</f>
        <v>14220.666666666666</v>
      </c>
      <c r="J37" s="578">
        <f t="shared" si="7"/>
        <v>0.33333333333393966</v>
      </c>
      <c r="K37" s="593">
        <v>15274</v>
      </c>
      <c r="L37" s="593">
        <f t="shared" si="4"/>
        <v>-1053</v>
      </c>
      <c r="M37" s="593">
        <f t="shared" si="5"/>
        <v>268</v>
      </c>
    </row>
    <row r="38" spans="1:15" x14ac:dyDescent="0.2">
      <c r="A38" s="263" t="s">
        <v>754</v>
      </c>
      <c r="B38" s="474">
        <f>'STATS 2017'!O405</f>
        <v>64444</v>
      </c>
      <c r="C38" s="575">
        <f t="shared" si="8"/>
        <v>-0.11087145428589162</v>
      </c>
      <c r="D38" s="577">
        <f t="shared" si="0"/>
        <v>57299</v>
      </c>
      <c r="F38" s="605">
        <f>B38/(B$9+B$92)</f>
        <v>3.1362408649595666</v>
      </c>
      <c r="G38" s="613" t="e">
        <f>F38*(I$9+I$92)-#REF!</f>
        <v>#REF!</v>
      </c>
      <c r="H38" s="578"/>
      <c r="I38" s="577">
        <f>'[3]Compare for Budget Stats'!$G$330</f>
        <v>57299</v>
      </c>
      <c r="J38" s="578">
        <f t="shared" si="7"/>
        <v>0</v>
      </c>
      <c r="K38" s="593">
        <v>49090</v>
      </c>
      <c r="L38" s="593">
        <f t="shared" si="4"/>
        <v>8209</v>
      </c>
      <c r="M38" s="593">
        <f t="shared" si="5"/>
        <v>-7145</v>
      </c>
    </row>
    <row r="39" spans="1:15" x14ac:dyDescent="0.2">
      <c r="A39" s="139" t="s">
        <v>755</v>
      </c>
      <c r="B39" s="520">
        <f>B37+B38</f>
        <v>78397</v>
      </c>
      <c r="C39" s="575"/>
      <c r="D39" s="582">
        <f>D37+D38</f>
        <v>71520</v>
      </c>
      <c r="F39" s="616"/>
      <c r="G39" s="617"/>
      <c r="H39" s="596"/>
      <c r="I39" s="582">
        <f>I37+I38</f>
        <v>71519.666666666672</v>
      </c>
      <c r="J39" s="578">
        <f t="shared" si="7"/>
        <v>0.33333333332848269</v>
      </c>
      <c r="K39" s="594">
        <v>64364</v>
      </c>
      <c r="L39" s="594">
        <f t="shared" si="4"/>
        <v>7156</v>
      </c>
      <c r="M39" s="594">
        <f t="shared" si="5"/>
        <v>-6877</v>
      </c>
    </row>
    <row r="40" spans="1:15" x14ac:dyDescent="0.2">
      <c r="A40" s="263" t="s">
        <v>756</v>
      </c>
      <c r="B40" s="474">
        <f>'STATS 2017'!O408</f>
        <v>5</v>
      </c>
      <c r="C40" s="575">
        <f>IF(B40=0,0,(I40-B40)/B40)</f>
        <v>-1</v>
      </c>
      <c r="D40" s="577">
        <f t="shared" si="0"/>
        <v>0</v>
      </c>
      <c r="F40" s="605">
        <f>B40/B22</f>
        <v>6.8493150684931503E-2</v>
      </c>
      <c r="G40" s="613"/>
      <c r="H40" s="578"/>
      <c r="I40" s="577">
        <v>0</v>
      </c>
      <c r="J40" s="578">
        <f t="shared" si="7"/>
        <v>0</v>
      </c>
      <c r="K40" s="593">
        <v>0</v>
      </c>
      <c r="L40" s="593">
        <f t="shared" si="4"/>
        <v>0</v>
      </c>
      <c r="M40" s="593">
        <f t="shared" si="5"/>
        <v>-5</v>
      </c>
    </row>
    <row r="41" spans="1:15" s="5" customFormat="1" x14ac:dyDescent="0.2">
      <c r="A41" s="263" t="s">
        <v>757</v>
      </c>
      <c r="B41" s="474">
        <f>'STATS 2017'!O409</f>
        <v>3</v>
      </c>
      <c r="C41" s="575">
        <f>IF(B41=0,0,(I41-B41)/B41)</f>
        <v>-1</v>
      </c>
      <c r="D41" s="577">
        <f t="shared" si="0"/>
        <v>0</v>
      </c>
      <c r="E41" s="580"/>
      <c r="F41" s="605">
        <f>B41/B23</f>
        <v>5.9523809523809521E-3</v>
      </c>
      <c r="G41" s="613"/>
      <c r="H41" s="578"/>
      <c r="I41" s="577">
        <v>0</v>
      </c>
      <c r="J41" s="578">
        <f t="shared" si="7"/>
        <v>0</v>
      </c>
      <c r="K41" s="593">
        <v>0</v>
      </c>
      <c r="L41" s="593">
        <f t="shared" si="4"/>
        <v>0</v>
      </c>
      <c r="M41" s="593">
        <f t="shared" si="5"/>
        <v>-3</v>
      </c>
    </row>
    <row r="42" spans="1:15" x14ac:dyDescent="0.2">
      <c r="A42" s="139" t="s">
        <v>758</v>
      </c>
      <c r="B42" s="520">
        <f>B40+B41</f>
        <v>8</v>
      </c>
      <c r="C42" s="624">
        <f>IF(B42=0,0,(I42-B42)/B42)</f>
        <v>-1</v>
      </c>
      <c r="D42" s="582">
        <f>D40+D41</f>
        <v>0</v>
      </c>
      <c r="F42" s="616"/>
      <c r="G42" s="617"/>
      <c r="H42" s="596"/>
      <c r="I42" s="581">
        <f>I40+I41</f>
        <v>0</v>
      </c>
      <c r="J42" s="578">
        <f t="shared" si="7"/>
        <v>0</v>
      </c>
      <c r="K42" s="594">
        <v>0</v>
      </c>
      <c r="L42" s="594">
        <f t="shared" si="4"/>
        <v>0</v>
      </c>
      <c r="M42" s="594">
        <f t="shared" si="5"/>
        <v>-8</v>
      </c>
    </row>
    <row r="43" spans="1:15" x14ac:dyDescent="0.2">
      <c r="A43" s="263" t="s">
        <v>759</v>
      </c>
      <c r="B43" s="474">
        <f>'STATS 2017'!O412</f>
        <v>791</v>
      </c>
      <c r="C43" s="575">
        <f t="shared" ref="C43:C49" si="9">(I43-B43)/B43</f>
        <v>0.1486163787048744</v>
      </c>
      <c r="D43" s="577">
        <f t="shared" si="0"/>
        <v>909</v>
      </c>
      <c r="F43" s="605">
        <f>B43/(B6+B8+B9)</f>
        <v>0.35984532565016303</v>
      </c>
      <c r="G43" s="613"/>
      <c r="H43" s="578"/>
      <c r="I43" s="577">
        <f>'[3]Compare for Budget Stats'!$G$337</f>
        <v>908.55555555555566</v>
      </c>
      <c r="J43" s="578">
        <f t="shared" si="7"/>
        <v>0.44444444444434339</v>
      </c>
      <c r="K43" s="593">
        <v>930</v>
      </c>
      <c r="L43" s="593">
        <f t="shared" si="4"/>
        <v>-21</v>
      </c>
      <c r="M43" s="593">
        <f t="shared" si="5"/>
        <v>118</v>
      </c>
    </row>
    <row r="44" spans="1:15" s="5" customFormat="1" x14ac:dyDescent="0.2">
      <c r="A44" s="263" t="s">
        <v>760</v>
      </c>
      <c r="B44" s="474">
        <f>'STATS 2017'!O400</f>
        <v>20070</v>
      </c>
      <c r="C44" s="575">
        <f t="shared" si="9"/>
        <v>9.2952444222997435E-2</v>
      </c>
      <c r="D44" s="577">
        <f t="shared" si="0"/>
        <v>21936</v>
      </c>
      <c r="F44" s="605">
        <f>B44/(B$6+B$7)</f>
        <v>5.0351229302558957</v>
      </c>
      <c r="G44" s="613">
        <f>F44*(I$6+I$7)</f>
        <v>20573.512293025589</v>
      </c>
      <c r="H44" s="578"/>
      <c r="I44" s="577">
        <f>'[3]Compare for Budget Stats'!$G$325</f>
        <v>21935.555555555558</v>
      </c>
      <c r="J44" s="578">
        <f t="shared" si="7"/>
        <v>0.44444444444161491</v>
      </c>
      <c r="K44" s="593">
        <v>25819</v>
      </c>
      <c r="L44" s="593">
        <f t="shared" si="4"/>
        <v>-3883</v>
      </c>
      <c r="M44" s="593">
        <f t="shared" si="5"/>
        <v>1866</v>
      </c>
    </row>
    <row r="45" spans="1:15" x14ac:dyDescent="0.2">
      <c r="A45" s="263" t="s">
        <v>761</v>
      </c>
      <c r="B45" s="474">
        <f>'STATS 2017'!O401</f>
        <v>39937</v>
      </c>
      <c r="C45" s="575">
        <f t="shared" si="9"/>
        <v>-3.4315157484148665E-2</v>
      </c>
      <c r="D45" s="577">
        <f t="shared" si="0"/>
        <v>38567</v>
      </c>
      <c r="E45" s="1"/>
      <c r="F45" s="605">
        <f>B45/(B$9+B$92)</f>
        <v>1.9435797191963597</v>
      </c>
      <c r="G45" s="613" t="e">
        <f>F45*(I$9+I$92)-#REF!</f>
        <v>#REF!</v>
      </c>
      <c r="H45" s="578"/>
      <c r="I45" s="577">
        <f>'[3]Compare for Budget Stats'!$G$326</f>
        <v>38566.555555555555</v>
      </c>
      <c r="J45" s="578">
        <f t="shared" ref="J45:J76" si="10">D45-I45</f>
        <v>0.44444444444525288</v>
      </c>
      <c r="K45" s="593">
        <v>35874</v>
      </c>
      <c r="L45" s="593">
        <f t="shared" si="4"/>
        <v>2693</v>
      </c>
      <c r="M45" s="593">
        <f t="shared" si="5"/>
        <v>-1370</v>
      </c>
    </row>
    <row r="46" spans="1:15" x14ac:dyDescent="0.2">
      <c r="A46" s="139" t="s">
        <v>762</v>
      </c>
      <c r="B46" s="520">
        <f>B44+B45</f>
        <v>60007</v>
      </c>
      <c r="C46" s="575">
        <f t="shared" si="9"/>
        <v>8.2508892481062118E-3</v>
      </c>
      <c r="D46" s="582">
        <f>D44+D45</f>
        <v>60503</v>
      </c>
      <c r="E46" s="1"/>
      <c r="F46" s="616"/>
      <c r="G46" s="617"/>
      <c r="H46" s="596"/>
      <c r="I46" s="582">
        <f>I44+I45</f>
        <v>60502.111111111109</v>
      </c>
      <c r="J46" s="578">
        <f t="shared" si="10"/>
        <v>0.88888888889050577</v>
      </c>
      <c r="K46" s="594">
        <v>61693</v>
      </c>
      <c r="L46" s="594">
        <f t="shared" si="4"/>
        <v>-1190</v>
      </c>
      <c r="M46" s="594">
        <f t="shared" si="5"/>
        <v>496</v>
      </c>
    </row>
    <row r="47" spans="1:15" x14ac:dyDescent="0.2">
      <c r="A47" s="263" t="s">
        <v>763</v>
      </c>
      <c r="B47" s="474">
        <f>'STATS 2017'!O418</f>
        <v>533</v>
      </c>
      <c r="C47" s="575">
        <f t="shared" si="9"/>
        <v>-9.8394830102147099E-2</v>
      </c>
      <c r="D47" s="577">
        <f t="shared" si="0"/>
        <v>481</v>
      </c>
      <c r="E47" s="1"/>
      <c r="F47" s="605">
        <f>B47/(B$6+B$7)</f>
        <v>0.13371801304565981</v>
      </c>
      <c r="G47" s="613">
        <f>F47*(I$6+I$7)</f>
        <v>546.37180130456602</v>
      </c>
      <c r="H47" s="578"/>
      <c r="I47" s="577">
        <f>'[3]Compare for Budget Stats'!$G$343</f>
        <v>480.5555555555556</v>
      </c>
      <c r="J47" s="578">
        <f t="shared" si="10"/>
        <v>0.44444444444440023</v>
      </c>
      <c r="K47" s="593">
        <v>384</v>
      </c>
      <c r="L47" s="593">
        <f t="shared" si="4"/>
        <v>97</v>
      </c>
      <c r="M47" s="593">
        <f t="shared" si="5"/>
        <v>-52</v>
      </c>
    </row>
    <row r="48" spans="1:15" s="5" customFormat="1" x14ac:dyDescent="0.2">
      <c r="A48" s="263" t="s">
        <v>764</v>
      </c>
      <c r="B48" s="474">
        <f>'STATS 2017'!O419</f>
        <v>1860</v>
      </c>
      <c r="C48" s="575">
        <f t="shared" si="9"/>
        <v>9.8566308243727193E-3</v>
      </c>
      <c r="D48" s="577">
        <f t="shared" si="0"/>
        <v>1878</v>
      </c>
      <c r="F48" s="605">
        <f>B48/(B$9+B$92)</f>
        <v>9.0519024406070278E-2</v>
      </c>
      <c r="G48" s="613">
        <f>F48*(I$9+I$92)</f>
        <v>1862.3555899823448</v>
      </c>
      <c r="H48" s="578"/>
      <c r="I48" s="577">
        <f>'[3]Compare for Budget Stats'!$G$344</f>
        <v>1878.3333333333333</v>
      </c>
      <c r="J48" s="578">
        <f t="shared" si="10"/>
        <v>-0.33333333333325754</v>
      </c>
      <c r="K48" s="593">
        <v>1723</v>
      </c>
      <c r="L48" s="593">
        <f t="shared" si="4"/>
        <v>155</v>
      </c>
      <c r="M48" s="593">
        <f t="shared" si="5"/>
        <v>18</v>
      </c>
    </row>
    <row r="49" spans="1:13" x14ac:dyDescent="0.2">
      <c r="A49" s="139" t="s">
        <v>765</v>
      </c>
      <c r="B49" s="520">
        <f>B47+B48</f>
        <v>2393</v>
      </c>
      <c r="C49" s="575">
        <f t="shared" si="9"/>
        <v>-1.4254538700840499E-2</v>
      </c>
      <c r="D49" s="582">
        <f>D47+D48</f>
        <v>2359</v>
      </c>
      <c r="E49" s="1"/>
      <c r="F49" s="616"/>
      <c r="G49" s="617"/>
      <c r="H49" s="596"/>
      <c r="I49" s="582">
        <f>I47+I48</f>
        <v>2358.8888888888887</v>
      </c>
      <c r="J49" s="578">
        <f t="shared" si="10"/>
        <v>0.11111111111131322</v>
      </c>
      <c r="K49" s="594">
        <v>2107</v>
      </c>
      <c r="L49" s="594">
        <f t="shared" si="4"/>
        <v>252</v>
      </c>
      <c r="M49" s="594">
        <f t="shared" si="5"/>
        <v>-34</v>
      </c>
    </row>
    <row r="50" spans="1:13" x14ac:dyDescent="0.2">
      <c r="A50" s="263" t="s">
        <v>885</v>
      </c>
      <c r="B50" s="474">
        <f>'STATS 2017'!O458</f>
        <v>0</v>
      </c>
      <c r="C50" s="575">
        <f>IF(B50=0,0,(I50-B50)/B50)</f>
        <v>0</v>
      </c>
      <c r="D50" s="577">
        <f t="shared" si="0"/>
        <v>0</v>
      </c>
      <c r="E50" s="1"/>
      <c r="F50" s="605">
        <f>B50/(B$6+B$7)</f>
        <v>0</v>
      </c>
      <c r="G50" s="613"/>
      <c r="H50" s="578"/>
      <c r="I50" s="574">
        <f>'[3]Compare for Budget Stats'!$G$383</f>
        <v>0</v>
      </c>
      <c r="J50" s="578">
        <f t="shared" si="10"/>
        <v>0</v>
      </c>
      <c r="K50" s="593">
        <v>0</v>
      </c>
      <c r="L50" s="593">
        <f t="shared" si="4"/>
        <v>0</v>
      </c>
      <c r="M50" s="593">
        <f t="shared" si="5"/>
        <v>0</v>
      </c>
    </row>
    <row r="51" spans="1:13" s="5" customFormat="1" x14ac:dyDescent="0.2">
      <c r="A51" s="263" t="s">
        <v>886</v>
      </c>
      <c r="B51" s="474">
        <f>'STATS 2017'!O459</f>
        <v>18</v>
      </c>
      <c r="C51" s="575">
        <f t="shared" ref="C51:C64" si="11">(I51-B51)/B51</f>
        <v>-0.15432098765432092</v>
      </c>
      <c r="D51" s="577">
        <f t="shared" si="0"/>
        <v>15</v>
      </c>
      <c r="F51" s="605">
        <f>B51/(B$9+B$92)</f>
        <v>8.7599055876842215E-4</v>
      </c>
      <c r="G51" s="613"/>
      <c r="H51" s="578"/>
      <c r="I51" s="577">
        <f>'[3]Compare for Budget Stats'!$G$384</f>
        <v>15.222222222222223</v>
      </c>
      <c r="J51" s="578">
        <f t="shared" si="10"/>
        <v>-0.22222222222222321</v>
      </c>
      <c r="K51" s="593">
        <v>2</v>
      </c>
      <c r="L51" s="593">
        <f t="shared" si="4"/>
        <v>13</v>
      </c>
      <c r="M51" s="593">
        <f t="shared" si="5"/>
        <v>-3</v>
      </c>
    </row>
    <row r="52" spans="1:13" x14ac:dyDescent="0.2">
      <c r="A52" s="139" t="s">
        <v>887</v>
      </c>
      <c r="B52" s="520">
        <f>B50+B51</f>
        <v>18</v>
      </c>
      <c r="C52" s="575">
        <f t="shared" si="11"/>
        <v>-0.15432098765432092</v>
      </c>
      <c r="D52" s="582">
        <f>D50+D51</f>
        <v>15</v>
      </c>
      <c r="E52" s="1"/>
      <c r="F52" s="616"/>
      <c r="G52" s="617"/>
      <c r="H52" s="596"/>
      <c r="I52" s="582">
        <f>I50+I51</f>
        <v>15.222222222222223</v>
      </c>
      <c r="J52" s="578">
        <f t="shared" si="10"/>
        <v>-0.22222222222222321</v>
      </c>
      <c r="K52" s="594">
        <v>2</v>
      </c>
      <c r="L52" s="594">
        <f t="shared" si="4"/>
        <v>13</v>
      </c>
      <c r="M52" s="594">
        <f t="shared" si="5"/>
        <v>-3</v>
      </c>
    </row>
    <row r="53" spans="1:13" x14ac:dyDescent="0.2">
      <c r="A53" s="263" t="s">
        <v>769</v>
      </c>
      <c r="B53" s="474">
        <f>'STATS 2017'!O432</f>
        <v>593</v>
      </c>
      <c r="C53" s="575">
        <f t="shared" si="11"/>
        <v>0.18961963649990615</v>
      </c>
      <c r="D53" s="577">
        <f t="shared" si="0"/>
        <v>705</v>
      </c>
      <c r="E53" s="1"/>
      <c r="F53" s="605">
        <f>B53/(B$6+B$7)</f>
        <v>0.14877069744104365</v>
      </c>
      <c r="G53" s="613">
        <f>F53*(I$6+I$7+I$8)</f>
        <v>607.87706974410435</v>
      </c>
      <c r="H53" s="578"/>
      <c r="I53" s="577">
        <f>'[3]Compare for Budget Stats'!$G$357</f>
        <v>705.44444444444434</v>
      </c>
      <c r="J53" s="578">
        <f t="shared" si="10"/>
        <v>-0.44444444444434339</v>
      </c>
      <c r="K53" s="593">
        <v>860</v>
      </c>
      <c r="L53" s="593">
        <f t="shared" si="4"/>
        <v>-155</v>
      </c>
      <c r="M53" s="593">
        <f t="shared" si="5"/>
        <v>112</v>
      </c>
    </row>
    <row r="54" spans="1:13" s="5" customFormat="1" x14ac:dyDescent="0.2">
      <c r="A54" s="263" t="s">
        <v>770</v>
      </c>
      <c r="B54" s="474">
        <f>'STATS 2017'!O433</f>
        <v>5340</v>
      </c>
      <c r="C54" s="575">
        <f t="shared" si="11"/>
        <v>-1.1610486891385767E-2</v>
      </c>
      <c r="D54" s="577">
        <f t="shared" si="0"/>
        <v>5278</v>
      </c>
      <c r="F54" s="605">
        <f>B54/(B$9+B$92)</f>
        <v>0.25987719910129858</v>
      </c>
      <c r="G54" s="613">
        <f>F54*(I$9+I$92)</f>
        <v>5346.7628228525391</v>
      </c>
      <c r="H54" s="578"/>
      <c r="I54" s="577">
        <f>'[3]Compare for Budget Stats'!$G$358</f>
        <v>5278</v>
      </c>
      <c r="J54" s="578">
        <f t="shared" si="10"/>
        <v>0</v>
      </c>
      <c r="K54" s="593">
        <v>5869</v>
      </c>
      <c r="L54" s="593">
        <f t="shared" si="4"/>
        <v>-591</v>
      </c>
      <c r="M54" s="593">
        <f t="shared" si="5"/>
        <v>-62</v>
      </c>
    </row>
    <row r="55" spans="1:13" s="160" customFormat="1" x14ac:dyDescent="0.2">
      <c r="A55" s="263" t="s">
        <v>771</v>
      </c>
      <c r="B55" s="474">
        <f>B53+B54</f>
        <v>5933</v>
      </c>
      <c r="C55" s="575">
        <f t="shared" si="11"/>
        <v>8.5023503193063111E-3</v>
      </c>
      <c r="D55" s="577">
        <f>D53+D54</f>
        <v>5983</v>
      </c>
      <c r="F55" s="605"/>
      <c r="G55" s="613"/>
      <c r="H55" s="578"/>
      <c r="I55" s="577">
        <f>I53+I54</f>
        <v>5983.4444444444443</v>
      </c>
      <c r="J55" s="578">
        <f t="shared" si="10"/>
        <v>-0.44444444444434339</v>
      </c>
      <c r="K55" s="594">
        <v>6729</v>
      </c>
      <c r="L55" s="594">
        <f t="shared" si="4"/>
        <v>-746</v>
      </c>
      <c r="M55" s="594">
        <f t="shared" si="5"/>
        <v>50</v>
      </c>
    </row>
    <row r="56" spans="1:13" x14ac:dyDescent="0.2">
      <c r="A56" s="263" t="s">
        <v>772</v>
      </c>
      <c r="B56" s="474">
        <f>'STATS 2017'!O436</f>
        <v>116</v>
      </c>
      <c r="C56" s="575">
        <f t="shared" si="11"/>
        <v>5.3639846743295076E-2</v>
      </c>
      <c r="D56" s="577">
        <f t="shared" si="0"/>
        <v>122</v>
      </c>
      <c r="E56" s="1"/>
      <c r="F56" s="605">
        <f>B56/(B$6+B$7)</f>
        <v>2.9101856497742096E-2</v>
      </c>
      <c r="G56" s="613">
        <f>F56*(I$6+I$7+I$8)</f>
        <v>118.91018564977421</v>
      </c>
      <c r="H56" s="578"/>
      <c r="I56" s="577">
        <f>'[3]Compare for Budget Stats'!$G$361</f>
        <v>122.22222222222223</v>
      </c>
      <c r="J56" s="578">
        <f t="shared" si="10"/>
        <v>-0.22222222222222854</v>
      </c>
      <c r="K56" s="593">
        <v>154</v>
      </c>
      <c r="L56" s="593">
        <f t="shared" si="4"/>
        <v>-32</v>
      </c>
      <c r="M56" s="593">
        <f t="shared" si="5"/>
        <v>6</v>
      </c>
    </row>
    <row r="57" spans="1:13" s="5" customFormat="1" x14ac:dyDescent="0.2">
      <c r="A57" s="263" t="s">
        <v>773</v>
      </c>
      <c r="B57" s="474">
        <f>'STATS 2017'!O437</f>
        <v>999</v>
      </c>
      <c r="C57" s="575">
        <f t="shared" si="11"/>
        <v>2.0754087420753988E-2</v>
      </c>
      <c r="D57" s="577">
        <f t="shared" si="0"/>
        <v>1020</v>
      </c>
      <c r="F57" s="605">
        <f>B57/(B$9+B$92)</f>
        <v>4.8617476011647426E-2</v>
      </c>
      <c r="G57" s="613">
        <f>F57*(I$9+I$92)</f>
        <v>1000.26517978084</v>
      </c>
      <c r="H57" s="578"/>
      <c r="I57" s="577">
        <f>'[3]Compare for Budget Stats'!$G$362</f>
        <v>1019.7333333333332</v>
      </c>
      <c r="J57" s="578">
        <f t="shared" si="10"/>
        <v>0.2666666666667652</v>
      </c>
      <c r="K57" s="593">
        <v>1013</v>
      </c>
      <c r="L57" s="593">
        <f t="shared" si="4"/>
        <v>7</v>
      </c>
      <c r="M57" s="593">
        <f t="shared" si="5"/>
        <v>21</v>
      </c>
    </row>
    <row r="58" spans="1:13" x14ac:dyDescent="0.2">
      <c r="A58" s="139" t="s">
        <v>774</v>
      </c>
      <c r="B58" s="520">
        <f>B56+B57</f>
        <v>1115</v>
      </c>
      <c r="C58" s="575">
        <f t="shared" si="11"/>
        <v>2.4175386148480287E-2</v>
      </c>
      <c r="D58" s="582">
        <f>D56+D57</f>
        <v>1142</v>
      </c>
      <c r="F58" s="616"/>
      <c r="G58" s="617"/>
      <c r="H58" s="596"/>
      <c r="I58" s="582">
        <f>I56+I57</f>
        <v>1141.9555555555555</v>
      </c>
      <c r="J58" s="578">
        <f t="shared" si="10"/>
        <v>4.4444444444479814E-2</v>
      </c>
      <c r="K58" s="594">
        <v>1167</v>
      </c>
      <c r="L58" s="594">
        <f t="shared" si="4"/>
        <v>-25</v>
      </c>
      <c r="M58" s="594">
        <f t="shared" si="5"/>
        <v>27</v>
      </c>
    </row>
    <row r="59" spans="1:13" x14ac:dyDescent="0.2">
      <c r="A59" s="263" t="s">
        <v>775</v>
      </c>
      <c r="B59" s="474">
        <f>'STATS 2017'!O440</f>
        <v>192</v>
      </c>
      <c r="C59" s="575">
        <f t="shared" si="11"/>
        <v>3.9351851851851936E-2</v>
      </c>
      <c r="D59" s="577">
        <f t="shared" si="0"/>
        <v>200</v>
      </c>
      <c r="E59" s="1"/>
      <c r="F59" s="605">
        <f>B59/(B$6+B$7)</f>
        <v>4.8168590065228299E-2</v>
      </c>
      <c r="G59" s="613">
        <f>F59*(I$6+I$7+I$8)</f>
        <v>196.81685900652283</v>
      </c>
      <c r="H59" s="578"/>
      <c r="I59" s="577">
        <f>'[3]Compare for Budget Stats'!$G$365</f>
        <v>199.55555555555557</v>
      </c>
      <c r="J59" s="578">
        <f t="shared" si="10"/>
        <v>0.44444444444442865</v>
      </c>
      <c r="K59" s="593">
        <v>227</v>
      </c>
      <c r="L59" s="593">
        <f t="shared" si="4"/>
        <v>-27</v>
      </c>
      <c r="M59" s="593">
        <f t="shared" si="5"/>
        <v>8</v>
      </c>
    </row>
    <row r="60" spans="1:13" s="5" customFormat="1" x14ac:dyDescent="0.2">
      <c r="A60" s="263" t="s">
        <v>776</v>
      </c>
      <c r="B60" s="474">
        <f>'STATS 2017'!O441</f>
        <v>2196</v>
      </c>
      <c r="C60" s="575">
        <f t="shared" si="11"/>
        <v>1.8214936247723133E-3</v>
      </c>
      <c r="D60" s="577">
        <f t="shared" si="0"/>
        <v>2200</v>
      </c>
      <c r="F60" s="605">
        <f>B60/(B$9+B$92)</f>
        <v>0.1068708481697475</v>
      </c>
      <c r="G60" s="613">
        <f>F60*(I$9+I$92)</f>
        <v>2198.7811159146395</v>
      </c>
      <c r="H60" s="578"/>
      <c r="I60" s="701">
        <v>2200</v>
      </c>
      <c r="J60" s="578">
        <f t="shared" si="10"/>
        <v>0</v>
      </c>
      <c r="K60" s="593">
        <v>1857</v>
      </c>
      <c r="L60" s="593">
        <f t="shared" si="4"/>
        <v>343</v>
      </c>
      <c r="M60" s="593">
        <f t="shared" si="5"/>
        <v>4</v>
      </c>
    </row>
    <row r="61" spans="1:13" x14ac:dyDescent="0.2">
      <c r="A61" s="139" t="s">
        <v>777</v>
      </c>
      <c r="B61" s="520">
        <f>B59+B60</f>
        <v>2388</v>
      </c>
      <c r="C61" s="575">
        <f t="shared" si="11"/>
        <v>4.8390098641355348E-3</v>
      </c>
      <c r="D61" s="582">
        <f>D59+D60</f>
        <v>2400</v>
      </c>
      <c r="F61" s="616"/>
      <c r="G61" s="617"/>
      <c r="H61" s="596"/>
      <c r="I61" s="582">
        <f>I59+I60</f>
        <v>2399.5555555555557</v>
      </c>
      <c r="J61" s="578">
        <f t="shared" si="10"/>
        <v>0.44444444444434339</v>
      </c>
      <c r="K61" s="594">
        <v>2084</v>
      </c>
      <c r="L61" s="594">
        <f t="shared" si="4"/>
        <v>316</v>
      </c>
      <c r="M61" s="594">
        <f t="shared" si="5"/>
        <v>12</v>
      </c>
    </row>
    <row r="62" spans="1:13" x14ac:dyDescent="0.2">
      <c r="A62" s="263" t="s">
        <v>778</v>
      </c>
      <c r="B62" s="474">
        <f>'STATS 2017'!O444</f>
        <v>1</v>
      </c>
      <c r="C62" s="575">
        <f t="shared" si="11"/>
        <v>-1</v>
      </c>
      <c r="D62" s="577">
        <f t="shared" si="0"/>
        <v>0</v>
      </c>
      <c r="F62" s="605">
        <f>B62/(B$6+B$7)</f>
        <v>2.5087807325639737E-4</v>
      </c>
      <c r="G62" s="613">
        <f>F62*(I$6+I$7)</f>
        <v>1.0250878073256398</v>
      </c>
      <c r="H62" s="578"/>
      <c r="I62" s="574">
        <f>'[3]Compare for Budget Stats'!$G$369</f>
        <v>0</v>
      </c>
      <c r="J62" s="578">
        <f t="shared" si="10"/>
        <v>0</v>
      </c>
      <c r="K62" s="593">
        <v>0</v>
      </c>
      <c r="L62" s="593">
        <f t="shared" si="4"/>
        <v>0</v>
      </c>
      <c r="M62" s="593">
        <f t="shared" si="5"/>
        <v>-1</v>
      </c>
    </row>
    <row r="63" spans="1:13" s="5" customFormat="1" x14ac:dyDescent="0.2">
      <c r="A63" s="263" t="s">
        <v>779</v>
      </c>
      <c r="B63" s="474">
        <f>'STATS 2017'!O445</f>
        <v>93</v>
      </c>
      <c r="C63" s="575">
        <f t="shared" si="11"/>
        <v>2.870967741935484</v>
      </c>
      <c r="D63" s="577">
        <f t="shared" si="0"/>
        <v>360</v>
      </c>
      <c r="E63" s="580" t="s">
        <v>1015</v>
      </c>
      <c r="F63" s="605">
        <f>B63/(B$9+B$92)</f>
        <v>4.5259512203035144E-3</v>
      </c>
      <c r="G63" s="613">
        <f>F63*(I$9+I$92)</f>
        <v>93.117779499117248</v>
      </c>
      <c r="H63" s="578"/>
      <c r="I63" s="670">
        <v>360</v>
      </c>
      <c r="J63" s="578">
        <f t="shared" si="10"/>
        <v>0</v>
      </c>
      <c r="K63" s="593">
        <v>1040</v>
      </c>
      <c r="L63" s="593">
        <f t="shared" si="4"/>
        <v>-680</v>
      </c>
      <c r="M63" s="593">
        <f t="shared" si="5"/>
        <v>267</v>
      </c>
    </row>
    <row r="64" spans="1:13" x14ac:dyDescent="0.2">
      <c r="A64" s="139" t="s">
        <v>780</v>
      </c>
      <c r="B64" s="520">
        <f>B62+B63</f>
        <v>94</v>
      </c>
      <c r="C64" s="575">
        <f t="shared" si="11"/>
        <v>2.8297872340425534</v>
      </c>
      <c r="D64" s="672">
        <f>D62+D63</f>
        <v>360</v>
      </c>
      <c r="F64" s="616"/>
      <c r="G64" s="617"/>
      <c r="H64" s="596"/>
      <c r="I64" s="671">
        <f>I62+I63</f>
        <v>360</v>
      </c>
      <c r="J64" s="578">
        <f t="shared" si="10"/>
        <v>0</v>
      </c>
      <c r="K64" s="594">
        <f>K62+K63</f>
        <v>1040</v>
      </c>
      <c r="L64" s="594">
        <f t="shared" si="4"/>
        <v>-680</v>
      </c>
      <c r="M64" s="594">
        <f t="shared" si="5"/>
        <v>266</v>
      </c>
    </row>
    <row r="65" spans="1:16" x14ac:dyDescent="0.2">
      <c r="A65" s="263" t="s">
        <v>320</v>
      </c>
      <c r="B65" s="474">
        <f>'STATS 2017'!O452</f>
        <v>352</v>
      </c>
      <c r="C65" s="575">
        <f>(I65-B65)/B65</f>
        <v>0.11047979797979805</v>
      </c>
      <c r="D65" s="577">
        <f t="shared" si="0"/>
        <v>391</v>
      </c>
      <c r="E65" s="1"/>
      <c r="F65" s="605">
        <f>B65/(B$9+B$92)</f>
        <v>1.7130482038138033E-2</v>
      </c>
      <c r="G65" s="613">
        <f>F65*(I9+I92)</f>
        <v>352.44578907192766</v>
      </c>
      <c r="H65" s="578"/>
      <c r="I65" s="577">
        <f>'[3]Compare for Budget Stats'!$G$377</f>
        <v>390.88888888888891</v>
      </c>
      <c r="J65" s="578">
        <f t="shared" si="10"/>
        <v>0.11111111111108585</v>
      </c>
      <c r="K65" s="593">
        <v>382</v>
      </c>
      <c r="L65" s="593">
        <f t="shared" si="4"/>
        <v>9</v>
      </c>
      <c r="M65" s="593">
        <f t="shared" si="5"/>
        <v>39</v>
      </c>
    </row>
    <row r="66" spans="1:16" s="5" customFormat="1" x14ac:dyDescent="0.2">
      <c r="A66" s="263" t="s">
        <v>781</v>
      </c>
      <c r="B66" s="474">
        <f>'STATS 2017'!O448</f>
        <v>0</v>
      </c>
      <c r="C66" s="575">
        <f>IF(B66=0,0,(I66-B66)/B66)</f>
        <v>0</v>
      </c>
      <c r="D66" s="577">
        <f t="shared" si="0"/>
        <v>0</v>
      </c>
      <c r="F66" s="605">
        <f>B66/(B$6+B$7)</f>
        <v>0</v>
      </c>
      <c r="G66" s="613">
        <f>F66*(I$6+I$7)</f>
        <v>0</v>
      </c>
      <c r="H66" s="578"/>
      <c r="I66" s="574">
        <f>'[3]Compare for Budget Stats'!$G$373</f>
        <v>0</v>
      </c>
      <c r="J66" s="578">
        <f t="shared" si="10"/>
        <v>0</v>
      </c>
      <c r="K66" s="593">
        <v>0</v>
      </c>
      <c r="L66" s="593">
        <f t="shared" si="4"/>
        <v>0</v>
      </c>
      <c r="M66" s="593">
        <f t="shared" si="5"/>
        <v>0</v>
      </c>
    </row>
    <row r="67" spans="1:16" x14ac:dyDescent="0.2">
      <c r="A67" s="263" t="s">
        <v>782</v>
      </c>
      <c r="B67" s="474">
        <f>'STATS 2017'!O449</f>
        <v>1135</v>
      </c>
      <c r="C67" s="575">
        <f t="shared" ref="C67:C74" si="12">(I67-B67)/B67</f>
        <v>0.13206069505628978</v>
      </c>
      <c r="D67" s="577">
        <f t="shared" si="0"/>
        <v>1285</v>
      </c>
      <c r="E67" s="1"/>
      <c r="F67" s="605">
        <f>B67/(B$9+B$92)</f>
        <v>5.5236071344564396E-2</v>
      </c>
      <c r="G67" s="613">
        <f>F67*(I$9+I$92)</f>
        <v>1136.4374164677213</v>
      </c>
      <c r="H67" s="578"/>
      <c r="I67" s="577">
        <f>'[3]Compare for Budget Stats'!$G$374</f>
        <v>1284.8888888888889</v>
      </c>
      <c r="J67" s="578">
        <f t="shared" si="10"/>
        <v>0.11111111111108585</v>
      </c>
      <c r="K67" s="593">
        <v>1437</v>
      </c>
      <c r="L67" s="593">
        <f t="shared" si="4"/>
        <v>-152</v>
      </c>
      <c r="M67" s="593">
        <f t="shared" si="5"/>
        <v>150</v>
      </c>
    </row>
    <row r="68" spans="1:16" x14ac:dyDescent="0.2">
      <c r="A68" s="139" t="s">
        <v>783</v>
      </c>
      <c r="B68" s="520">
        <f>B66+B67</f>
        <v>1135</v>
      </c>
      <c r="C68" s="575">
        <f t="shared" si="12"/>
        <v>0.13206069505628978</v>
      </c>
      <c r="D68" s="582">
        <f>D66+D67</f>
        <v>1285</v>
      </c>
      <c r="E68" s="1"/>
      <c r="F68" s="616"/>
      <c r="G68" s="617"/>
      <c r="H68" s="596"/>
      <c r="I68" s="582">
        <f>I66+I67</f>
        <v>1284.8888888888889</v>
      </c>
      <c r="J68" s="578">
        <f t="shared" si="10"/>
        <v>0.11111111111108585</v>
      </c>
      <c r="K68" s="594">
        <v>1437</v>
      </c>
      <c r="L68" s="594">
        <f t="shared" si="4"/>
        <v>-152</v>
      </c>
      <c r="M68" s="594">
        <f t="shared" si="5"/>
        <v>150</v>
      </c>
    </row>
    <row r="69" spans="1:16" s="5" customFormat="1" x14ac:dyDescent="0.2">
      <c r="A69" s="263" t="s">
        <v>784</v>
      </c>
      <c r="B69" s="474">
        <f>'STATS 2017'!O426</f>
        <v>40967</v>
      </c>
      <c r="C69" s="575">
        <f t="shared" si="12"/>
        <v>0.11237635712212803</v>
      </c>
      <c r="D69" s="577">
        <f t="shared" si="0"/>
        <v>45571</v>
      </c>
      <c r="F69" s="605">
        <f>B69/(B$6+B$7)</f>
        <v>10.277722027094832</v>
      </c>
      <c r="G69" s="613">
        <f>F69*(I$6+I$7+I$8)</f>
        <v>41994.772202709486</v>
      </c>
      <c r="H69" s="578"/>
      <c r="I69" s="577">
        <f>'[3]Compare for Budget Stats'!$G$351</f>
        <v>45570.722222222219</v>
      </c>
      <c r="J69" s="578">
        <f t="shared" si="10"/>
        <v>0.27777777778101154</v>
      </c>
      <c r="K69" s="593">
        <v>47676</v>
      </c>
      <c r="L69" s="593">
        <f t="shared" si="4"/>
        <v>-2105</v>
      </c>
      <c r="M69" s="593">
        <f t="shared" si="5"/>
        <v>4604</v>
      </c>
    </row>
    <row r="70" spans="1:16" x14ac:dyDescent="0.2">
      <c r="A70" s="263" t="s">
        <v>785</v>
      </c>
      <c r="B70" s="474">
        <f>'STATS 2017'!O427</f>
        <v>4838</v>
      </c>
      <c r="C70" s="575">
        <f t="shared" si="12"/>
        <v>0.17594506453539102</v>
      </c>
      <c r="D70" s="577">
        <f t="shared" si="0"/>
        <v>5689</v>
      </c>
      <c r="E70" s="1"/>
      <c r="F70" s="605">
        <f>B70/(B$9+B$92)</f>
        <v>0.23544679574009034</v>
      </c>
      <c r="G70" s="613">
        <f>F70*(I$9+I$92)</f>
        <v>4844.1270668465504</v>
      </c>
      <c r="H70" s="578"/>
      <c r="I70" s="577">
        <f>'[3]Compare for Budget Stats'!$G$352</f>
        <v>5689.2222222222217</v>
      </c>
      <c r="J70" s="578">
        <f t="shared" si="10"/>
        <v>-0.22222222222171695</v>
      </c>
      <c r="K70" s="593">
        <v>6338</v>
      </c>
      <c r="L70" s="593">
        <f t="shared" si="4"/>
        <v>-649</v>
      </c>
      <c r="M70" s="593">
        <f t="shared" si="5"/>
        <v>851</v>
      </c>
    </row>
    <row r="71" spans="1:16" x14ac:dyDescent="0.2">
      <c r="A71" s="139" t="s">
        <v>786</v>
      </c>
      <c r="B71" s="520">
        <f>B69+B70</f>
        <v>45805</v>
      </c>
      <c r="C71" s="575">
        <f t="shared" si="12"/>
        <v>0.1190905893340124</v>
      </c>
      <c r="D71" s="582">
        <f>D69+D70</f>
        <v>51260</v>
      </c>
      <c r="F71" s="616"/>
      <c r="G71" s="617"/>
      <c r="H71" s="596"/>
      <c r="I71" s="582">
        <f>I69+I70</f>
        <v>51259.944444444438</v>
      </c>
      <c r="J71" s="578">
        <f t="shared" si="10"/>
        <v>5.5555555562023073E-2</v>
      </c>
      <c r="K71" s="594">
        <v>54014</v>
      </c>
      <c r="L71" s="594">
        <f t="shared" ref="L71:L103" si="13">D71-K71</f>
        <v>-2754</v>
      </c>
      <c r="M71" s="594">
        <f t="shared" ref="M71:M103" si="14">D71-B71</f>
        <v>5455</v>
      </c>
    </row>
    <row r="72" spans="1:16" x14ac:dyDescent="0.2">
      <c r="A72" s="263" t="s">
        <v>787</v>
      </c>
      <c r="B72" s="474">
        <f>'STATS 2017'!O414</f>
        <v>112</v>
      </c>
      <c r="C72" s="575">
        <f t="shared" si="12"/>
        <v>0.14583333333333343</v>
      </c>
      <c r="D72" s="577">
        <f t="shared" ref="D72:D103" si="15">ROUND(((B72*C72)+B72),0)</f>
        <v>128</v>
      </c>
      <c r="F72" s="605">
        <f>B72/(B$6+B$7)</f>
        <v>2.8098344204716508E-2</v>
      </c>
      <c r="G72" s="613">
        <f>F72*(I$6+I$7+I$8)</f>
        <v>114.80983442047166</v>
      </c>
      <c r="H72" s="578"/>
      <c r="I72" s="577">
        <f>'[3]Compare for Budget Stats'!$G$339</f>
        <v>128.33333333333334</v>
      </c>
      <c r="J72" s="578">
        <f t="shared" si="10"/>
        <v>-0.33333333333334281</v>
      </c>
      <c r="K72" s="593">
        <v>139</v>
      </c>
      <c r="L72" s="593">
        <f t="shared" si="13"/>
        <v>-11</v>
      </c>
      <c r="M72" s="593">
        <f t="shared" si="14"/>
        <v>16</v>
      </c>
    </row>
    <row r="73" spans="1:16" x14ac:dyDescent="0.2">
      <c r="A73" s="522" t="s">
        <v>788</v>
      </c>
      <c r="B73" s="474">
        <f>'STATS 2017'!O415</f>
        <v>156</v>
      </c>
      <c r="C73" s="575">
        <f t="shared" si="12"/>
        <v>3.133903133903132E-2</v>
      </c>
      <c r="D73" s="577">
        <f t="shared" si="15"/>
        <v>161</v>
      </c>
      <c r="F73" s="605">
        <f>B73/(B$9+B$92)</f>
        <v>7.5919181759929915E-3</v>
      </c>
      <c r="G73" s="613">
        <f>F73*(I$9+I$92)</f>
        <v>156.19756561142248</v>
      </c>
      <c r="H73" s="578"/>
      <c r="I73" s="577">
        <f>'[3]Compare for Budget Stats'!$G$340</f>
        <v>160.88888888888889</v>
      </c>
      <c r="J73" s="578">
        <f t="shared" si="10"/>
        <v>0.11111111111111427</v>
      </c>
      <c r="K73" s="593">
        <v>134</v>
      </c>
      <c r="L73" s="593">
        <f t="shared" si="13"/>
        <v>27</v>
      </c>
      <c r="M73" s="593">
        <f t="shared" si="14"/>
        <v>5</v>
      </c>
    </row>
    <row r="74" spans="1:16" x14ac:dyDescent="0.2">
      <c r="A74" s="139" t="s">
        <v>789</v>
      </c>
      <c r="B74" s="520">
        <f>B72+B73</f>
        <v>268</v>
      </c>
      <c r="C74" s="575">
        <f t="shared" si="12"/>
        <v>7.9187396351575484E-2</v>
      </c>
      <c r="D74" s="582">
        <f>D72+D73</f>
        <v>289</v>
      </c>
      <c r="F74" s="616"/>
      <c r="G74" s="617"/>
      <c r="H74" s="596"/>
      <c r="I74" s="582">
        <f>I72+I73</f>
        <v>289.22222222222223</v>
      </c>
      <c r="J74" s="578">
        <f t="shared" si="10"/>
        <v>-0.22222222222222854</v>
      </c>
      <c r="K74" s="594">
        <v>273</v>
      </c>
      <c r="L74" s="594">
        <f t="shared" si="13"/>
        <v>16</v>
      </c>
      <c r="M74" s="594">
        <f t="shared" si="14"/>
        <v>21</v>
      </c>
    </row>
    <row r="75" spans="1:16" x14ac:dyDescent="0.2">
      <c r="A75" s="263" t="s">
        <v>790</v>
      </c>
      <c r="B75" s="474">
        <f>'STATS 2017'!O347</f>
        <v>5575</v>
      </c>
      <c r="C75" s="575">
        <f t="shared" ref="C75:C83" si="16">(I75-B75)/B75</f>
        <v>7.300448430493274E-2</v>
      </c>
      <c r="D75" s="577">
        <f t="shared" si="15"/>
        <v>5982</v>
      </c>
      <c r="F75" s="605">
        <f>B75/(B$6+B$7)</f>
        <v>1.3986452584044156</v>
      </c>
      <c r="G75" s="613">
        <f>F75*(I$6+I$7+I$8)</f>
        <v>5714.8645258404422</v>
      </c>
      <c r="H75" s="578"/>
      <c r="I75" s="577">
        <v>5982</v>
      </c>
      <c r="J75" s="578">
        <f t="shared" si="10"/>
        <v>0</v>
      </c>
      <c r="K75" s="593">
        <v>3595</v>
      </c>
      <c r="L75" s="593">
        <f t="shared" si="13"/>
        <v>2387</v>
      </c>
      <c r="M75" s="593">
        <f t="shared" si="14"/>
        <v>407</v>
      </c>
      <c r="O75" s="1">
        <f>5575/3986</f>
        <v>1.3986452584044156</v>
      </c>
      <c r="P75" s="1">
        <f>5409/4277</f>
        <v>1.2646714987140519</v>
      </c>
    </row>
    <row r="76" spans="1:16" s="5" customFormat="1" x14ac:dyDescent="0.2">
      <c r="A76" s="263" t="s">
        <v>791</v>
      </c>
      <c r="B76" s="474">
        <f>'STATS 2017'!O348</f>
        <v>9826</v>
      </c>
      <c r="C76" s="575">
        <f t="shared" si="16"/>
        <v>4.0708324852432322E-4</v>
      </c>
      <c r="D76" s="577">
        <f t="shared" si="15"/>
        <v>9830</v>
      </c>
      <c r="E76" s="580"/>
      <c r="F76" s="605">
        <f>B76/(B$9+B$92)</f>
        <v>0.4781935128032509</v>
      </c>
      <c r="G76" s="613">
        <f>F76*(I$9+I$92)</f>
        <v>9838.4441006271627</v>
      </c>
      <c r="H76" s="578"/>
      <c r="I76" s="577">
        <v>9830</v>
      </c>
      <c r="J76" s="578">
        <f t="shared" si="10"/>
        <v>0</v>
      </c>
      <c r="K76" s="593">
        <v>7530</v>
      </c>
      <c r="L76" s="593">
        <f t="shared" si="13"/>
        <v>2300</v>
      </c>
      <c r="M76" s="593">
        <f t="shared" si="14"/>
        <v>4</v>
      </c>
      <c r="P76" s="5">
        <f>4277*O75</f>
        <v>5982.0057701956857</v>
      </c>
    </row>
    <row r="77" spans="1:16" x14ac:dyDescent="0.2">
      <c r="A77" s="139" t="s">
        <v>792</v>
      </c>
      <c r="B77" s="520">
        <f>B75+B76</f>
        <v>15401</v>
      </c>
      <c r="C77" s="575">
        <f t="shared" si="16"/>
        <v>2.6686578793584832E-2</v>
      </c>
      <c r="D77" s="582">
        <f>D75+D76</f>
        <v>15812</v>
      </c>
      <c r="F77" s="616"/>
      <c r="G77" s="617"/>
      <c r="H77" s="596"/>
      <c r="I77" s="582">
        <f>I75+I76</f>
        <v>15812</v>
      </c>
      <c r="J77" s="578">
        <f t="shared" ref="J77:J103" si="17">D77-I77</f>
        <v>0</v>
      </c>
      <c r="K77" s="594">
        <v>11125</v>
      </c>
      <c r="L77" s="594">
        <f t="shared" si="13"/>
        <v>4687</v>
      </c>
      <c r="M77" s="594">
        <f t="shared" si="14"/>
        <v>411</v>
      </c>
    </row>
    <row r="78" spans="1:16" x14ac:dyDescent="0.2">
      <c r="A78" s="263" t="s">
        <v>793</v>
      </c>
      <c r="B78" s="474">
        <f>'STATS 2017'!O355</f>
        <v>0</v>
      </c>
      <c r="C78" s="575">
        <f>IF(B78=0,0,((I78-B78)/B78))</f>
        <v>0</v>
      </c>
      <c r="D78" s="577">
        <f t="shared" si="15"/>
        <v>0</v>
      </c>
      <c r="F78" s="605">
        <f>B78/(B$6+B$7)</f>
        <v>0</v>
      </c>
      <c r="G78" s="613">
        <f>F78*(I$6+I$7+I$8)</f>
        <v>0</v>
      </c>
      <c r="H78" s="578"/>
      <c r="I78" s="577">
        <v>0</v>
      </c>
      <c r="J78" s="578">
        <f t="shared" si="17"/>
        <v>0</v>
      </c>
      <c r="K78" s="593">
        <v>28</v>
      </c>
      <c r="L78" s="593">
        <f t="shared" si="13"/>
        <v>-28</v>
      </c>
      <c r="M78" s="593">
        <f t="shared" si="14"/>
        <v>0</v>
      </c>
    </row>
    <row r="79" spans="1:16" s="5" customFormat="1" x14ac:dyDescent="0.2">
      <c r="A79" s="263" t="s">
        <v>794</v>
      </c>
      <c r="B79" s="474">
        <f>'STATS 2017'!O356</f>
        <v>0</v>
      </c>
      <c r="C79" s="575">
        <f>IF(B79=0,0,((I79-B79)/B79))</f>
        <v>0</v>
      </c>
      <c r="D79" s="577">
        <f t="shared" si="15"/>
        <v>0</v>
      </c>
      <c r="E79" s="580"/>
      <c r="F79" s="605">
        <f>B79/(B$9+B$92)</f>
        <v>0</v>
      </c>
      <c r="G79" s="613">
        <f>F79*(I$9+I$92)</f>
        <v>0</v>
      </c>
      <c r="H79" s="578"/>
      <c r="I79" s="577">
        <v>0</v>
      </c>
      <c r="J79" s="578">
        <f t="shared" si="17"/>
        <v>0</v>
      </c>
      <c r="K79" s="593">
        <v>201</v>
      </c>
      <c r="L79" s="593">
        <f t="shared" si="13"/>
        <v>-201</v>
      </c>
      <c r="M79" s="593">
        <f t="shared" si="14"/>
        <v>0</v>
      </c>
    </row>
    <row r="80" spans="1:16" x14ac:dyDescent="0.2">
      <c r="A80" s="139" t="s">
        <v>795</v>
      </c>
      <c r="B80" s="520">
        <f>B78+B79</f>
        <v>0</v>
      </c>
      <c r="C80" s="575">
        <f>IF(B80=0,0,((I80-B80)/B80))</f>
        <v>0</v>
      </c>
      <c r="D80" s="582">
        <f>D78+D79</f>
        <v>0</v>
      </c>
      <c r="F80" s="616"/>
      <c r="G80" s="617"/>
      <c r="H80" s="596"/>
      <c r="I80" s="582">
        <f>I78+I79</f>
        <v>0</v>
      </c>
      <c r="J80" s="578">
        <f t="shared" si="17"/>
        <v>0</v>
      </c>
      <c r="K80" s="594">
        <v>229</v>
      </c>
      <c r="L80" s="594">
        <f t="shared" si="13"/>
        <v>-229</v>
      </c>
      <c r="M80" s="594">
        <f t="shared" si="14"/>
        <v>0</v>
      </c>
    </row>
    <row r="81" spans="1:16" x14ac:dyDescent="0.2">
      <c r="A81" s="263" t="s">
        <v>796</v>
      </c>
      <c r="B81" s="474">
        <f>'STATS 2017'!O351</f>
        <v>12</v>
      </c>
      <c r="C81" s="575">
        <f t="shared" si="16"/>
        <v>1.0555555555555556</v>
      </c>
      <c r="D81" s="577">
        <f t="shared" si="15"/>
        <v>25</v>
      </c>
      <c r="F81" s="605">
        <f>B81/(B$6+B$7)</f>
        <v>3.0105368790767687E-3</v>
      </c>
      <c r="G81" s="613">
        <f>F81*(I$6+I$7+I$8)</f>
        <v>12.301053687907677</v>
      </c>
      <c r="H81" s="578"/>
      <c r="I81" s="577">
        <f>'[3]Compare for Budget Stats'!$G$275</f>
        <v>24.666666666666668</v>
      </c>
      <c r="J81" s="578">
        <f t="shared" si="17"/>
        <v>0.33333333333333215</v>
      </c>
      <c r="K81" s="593">
        <v>16</v>
      </c>
      <c r="L81" s="593">
        <f t="shared" si="13"/>
        <v>9</v>
      </c>
      <c r="M81" s="593">
        <f t="shared" si="14"/>
        <v>13</v>
      </c>
    </row>
    <row r="82" spans="1:16" s="5" customFormat="1" x14ac:dyDescent="0.2">
      <c r="A82" s="263" t="s">
        <v>797</v>
      </c>
      <c r="B82" s="474">
        <f>'STATS 2017'!O352</f>
        <v>17</v>
      </c>
      <c r="C82" s="575">
        <f t="shared" si="16"/>
        <v>5.2287581699346428E-2</v>
      </c>
      <c r="D82" s="577">
        <f t="shared" si="15"/>
        <v>18</v>
      </c>
      <c r="E82" s="580"/>
      <c r="F82" s="605">
        <f>B82/(B$9+B$92)</f>
        <v>8.2732441661462089E-4</v>
      </c>
      <c r="G82" s="613">
        <f>F82*(I$9+I$92)</f>
        <v>17.02152958586014</v>
      </c>
      <c r="H82" s="578"/>
      <c r="I82" s="577">
        <f>'[3]Compare for Budget Stats'!$G$276</f>
        <v>17.888888888888889</v>
      </c>
      <c r="J82" s="578">
        <f t="shared" si="17"/>
        <v>0.11111111111111072</v>
      </c>
      <c r="K82" s="593">
        <v>14</v>
      </c>
      <c r="L82" s="593">
        <f t="shared" si="13"/>
        <v>4</v>
      </c>
      <c r="M82" s="593">
        <f t="shared" si="14"/>
        <v>1</v>
      </c>
    </row>
    <row r="83" spans="1:16" x14ac:dyDescent="0.2">
      <c r="A83" s="190" t="s">
        <v>798</v>
      </c>
      <c r="B83" s="520">
        <f>B81+B82</f>
        <v>29</v>
      </c>
      <c r="C83" s="575">
        <f t="shared" si="16"/>
        <v>0.46743295019157094</v>
      </c>
      <c r="D83" s="582">
        <f>D81+D82</f>
        <v>43</v>
      </c>
      <c r="F83" s="616"/>
      <c r="G83" s="617"/>
      <c r="H83" s="596"/>
      <c r="I83" s="582">
        <f>I81+I82</f>
        <v>42.555555555555557</v>
      </c>
      <c r="J83" s="578">
        <f t="shared" si="17"/>
        <v>0.44444444444444287</v>
      </c>
      <c r="K83" s="594">
        <v>30</v>
      </c>
      <c r="L83" s="594">
        <f t="shared" si="13"/>
        <v>13</v>
      </c>
      <c r="M83" s="594">
        <f t="shared" si="14"/>
        <v>14</v>
      </c>
    </row>
    <row r="84" spans="1:16" x14ac:dyDescent="0.2">
      <c r="A84" s="523" t="s">
        <v>799</v>
      </c>
      <c r="B84" s="474">
        <f>'STATS 2017'!O454</f>
        <v>0</v>
      </c>
      <c r="C84" s="575">
        <f>IF(B84=0,0,(I84-B84)/B84)</f>
        <v>0</v>
      </c>
      <c r="D84" s="577">
        <f t="shared" si="15"/>
        <v>0</v>
      </c>
      <c r="F84" s="605">
        <f>B84/(B$6+B$7)</f>
        <v>0</v>
      </c>
      <c r="G84" s="613">
        <f>F84*(I$6+I$7)</f>
        <v>0</v>
      </c>
      <c r="H84" s="578"/>
      <c r="I84" s="577">
        <v>0</v>
      </c>
      <c r="J84" s="578">
        <f t="shared" si="17"/>
        <v>0</v>
      </c>
      <c r="K84" s="593">
        <v>0</v>
      </c>
      <c r="L84" s="593">
        <f t="shared" si="13"/>
        <v>0</v>
      </c>
      <c r="M84" s="593">
        <f t="shared" si="14"/>
        <v>0</v>
      </c>
    </row>
    <row r="85" spans="1:16" s="5" customFormat="1" x14ac:dyDescent="0.2">
      <c r="A85" s="523" t="s">
        <v>800</v>
      </c>
      <c r="B85" s="474">
        <f>'STATS 2017'!O455</f>
        <v>274</v>
      </c>
      <c r="C85" s="575">
        <f t="shared" ref="C85:C93" si="18">(I85-B85)/B85</f>
        <v>-1</v>
      </c>
      <c r="D85" s="577">
        <f t="shared" si="15"/>
        <v>0</v>
      </c>
      <c r="E85" s="580"/>
      <c r="F85" s="605">
        <f>B85/(B$9+B$92)</f>
        <v>1.3334522950141536E-2</v>
      </c>
      <c r="G85" s="613">
        <f>F85*(I$9+I$92)</f>
        <v>274.3470062662164</v>
      </c>
      <c r="H85" s="578"/>
      <c r="I85" s="577">
        <v>0</v>
      </c>
      <c r="J85" s="578">
        <f t="shared" si="17"/>
        <v>0</v>
      </c>
      <c r="K85" s="593">
        <v>1397</v>
      </c>
      <c r="L85" s="593">
        <f t="shared" si="13"/>
        <v>-1397</v>
      </c>
      <c r="M85" s="593">
        <f t="shared" si="14"/>
        <v>-274</v>
      </c>
    </row>
    <row r="86" spans="1:16" x14ac:dyDescent="0.2">
      <c r="A86" s="139" t="s">
        <v>801</v>
      </c>
      <c r="B86" s="520">
        <f>B84+B85</f>
        <v>274</v>
      </c>
      <c r="C86" s="575">
        <f t="shared" si="18"/>
        <v>-1</v>
      </c>
      <c r="D86" s="582">
        <f>D84+D85</f>
        <v>0</v>
      </c>
      <c r="F86" s="616"/>
      <c r="G86" s="617">
        <f>SUM(G84:G85)</f>
        <v>274.3470062662164</v>
      </c>
      <c r="H86" s="596"/>
      <c r="I86" s="582">
        <f>I84+I85</f>
        <v>0</v>
      </c>
      <c r="J86" s="578">
        <f t="shared" si="17"/>
        <v>0</v>
      </c>
      <c r="K86" s="594">
        <v>1397</v>
      </c>
      <c r="L86" s="594">
        <f t="shared" si="13"/>
        <v>-1397</v>
      </c>
      <c r="M86" s="594">
        <f t="shared" si="14"/>
        <v>-274</v>
      </c>
    </row>
    <row r="87" spans="1:16" x14ac:dyDescent="0.2">
      <c r="A87" s="263" t="s">
        <v>802</v>
      </c>
      <c r="B87" s="474">
        <f>'STATS 2017'!O318</f>
        <v>6926</v>
      </c>
      <c r="C87" s="575">
        <f t="shared" si="18"/>
        <v>-2.9518400872719105E-3</v>
      </c>
      <c r="D87" s="577">
        <f t="shared" si="15"/>
        <v>6906</v>
      </c>
      <c r="F87" s="605"/>
      <c r="G87" s="613"/>
      <c r="H87" s="578"/>
      <c r="I87" s="577">
        <f>'[3]Compare for Budget Stats'!$G$242</f>
        <v>6905.5555555555547</v>
      </c>
      <c r="J87" s="578">
        <f t="shared" si="17"/>
        <v>0.44444444444525288</v>
      </c>
      <c r="K87" s="593">
        <v>6658</v>
      </c>
      <c r="L87" s="593">
        <f t="shared" si="13"/>
        <v>248</v>
      </c>
      <c r="M87" s="593">
        <f t="shared" si="14"/>
        <v>-20</v>
      </c>
    </row>
    <row r="88" spans="1:16" x14ac:dyDescent="0.2">
      <c r="A88" s="263" t="s">
        <v>968</v>
      </c>
      <c r="B88" s="474">
        <f>'STATS 2017'!O319</f>
        <v>291</v>
      </c>
      <c r="C88" s="575">
        <f t="shared" si="18"/>
        <v>2.4436807941962495E-2</v>
      </c>
      <c r="D88" s="577">
        <f t="shared" si="15"/>
        <v>298</v>
      </c>
      <c r="F88" s="605"/>
      <c r="G88" s="613"/>
      <c r="H88" s="578"/>
      <c r="I88" s="577">
        <f>'[3]Compare for Budget Stats'!$G$243</f>
        <v>298.11111111111109</v>
      </c>
      <c r="J88" s="578">
        <f t="shared" si="17"/>
        <v>-0.11111111111108585</v>
      </c>
      <c r="K88" s="593">
        <v>336</v>
      </c>
      <c r="L88" s="593">
        <f t="shared" si="13"/>
        <v>-38</v>
      </c>
      <c r="M88" s="593">
        <f t="shared" si="14"/>
        <v>7</v>
      </c>
    </row>
    <row r="89" spans="1:16" x14ac:dyDescent="0.2">
      <c r="A89" s="263" t="s">
        <v>967</v>
      </c>
      <c r="B89" s="474">
        <f>'STATS 2017'!O320</f>
        <v>99</v>
      </c>
      <c r="C89" s="575">
        <f t="shared" si="18"/>
        <v>0.30303030303030304</v>
      </c>
      <c r="D89" s="577">
        <f t="shared" si="15"/>
        <v>129</v>
      </c>
      <c r="F89" s="605"/>
      <c r="G89" s="613"/>
      <c r="H89" s="578"/>
      <c r="I89" s="577">
        <f>'[3]Compare for Budget Stats'!$G$244</f>
        <v>129</v>
      </c>
      <c r="J89" s="578">
        <f t="shared" si="17"/>
        <v>0</v>
      </c>
      <c r="K89" s="593">
        <v>149</v>
      </c>
      <c r="L89" s="593">
        <f t="shared" si="13"/>
        <v>-20</v>
      </c>
      <c r="M89" s="593">
        <f t="shared" si="14"/>
        <v>30</v>
      </c>
    </row>
    <row r="90" spans="1:16" x14ac:dyDescent="0.2">
      <c r="A90" s="162" t="s">
        <v>804</v>
      </c>
      <c r="B90" s="520">
        <f>B87+B88+B89</f>
        <v>7316</v>
      </c>
      <c r="C90" s="575">
        <f t="shared" si="18"/>
        <v>2.2781119008564873E-3</v>
      </c>
      <c r="D90" s="582">
        <f>D87+D88+D89</f>
        <v>7333</v>
      </c>
      <c r="F90" s="616"/>
      <c r="G90" s="617"/>
      <c r="H90" s="596"/>
      <c r="I90" s="582">
        <f>I87+I88+I89</f>
        <v>7332.6666666666661</v>
      </c>
      <c r="J90" s="578">
        <f t="shared" si="17"/>
        <v>0.33333333333393966</v>
      </c>
      <c r="K90" s="594">
        <v>7143</v>
      </c>
      <c r="L90" s="594">
        <f t="shared" si="13"/>
        <v>190</v>
      </c>
      <c r="M90" s="594">
        <f t="shared" si="14"/>
        <v>17</v>
      </c>
    </row>
    <row r="91" spans="1:16" x14ac:dyDescent="0.2">
      <c r="A91" s="524" t="s">
        <v>805</v>
      </c>
      <c r="B91" s="474">
        <f>'STATS 2017'!O146</f>
        <v>650</v>
      </c>
      <c r="C91" s="575">
        <f t="shared" si="18"/>
        <v>2.0683760683760703E-2</v>
      </c>
      <c r="D91" s="577">
        <f t="shared" si="15"/>
        <v>663</v>
      </c>
      <c r="F91" s="605"/>
      <c r="G91" s="613"/>
      <c r="H91" s="578"/>
      <c r="I91" s="577">
        <f>'[3]Compare for Budget Stats'!$G$70</f>
        <v>663.44444444444446</v>
      </c>
      <c r="J91" s="578">
        <f t="shared" si="17"/>
        <v>-0.44444444444445708</v>
      </c>
      <c r="K91" s="593">
        <v>856</v>
      </c>
      <c r="L91" s="593">
        <f t="shared" si="13"/>
        <v>-193</v>
      </c>
      <c r="M91" s="593">
        <f t="shared" si="14"/>
        <v>13</v>
      </c>
    </row>
    <row r="92" spans="1:16" x14ac:dyDescent="0.2">
      <c r="A92" s="598" t="s">
        <v>806</v>
      </c>
      <c r="B92" s="474">
        <f>'STATS 2017'!O275</f>
        <v>20352</v>
      </c>
      <c r="C92" s="575">
        <f t="shared" si="18"/>
        <v>1.1301100628930817E-3</v>
      </c>
      <c r="D92" s="577">
        <f t="shared" si="15"/>
        <v>20375</v>
      </c>
      <c r="F92" s="605"/>
      <c r="G92" s="613"/>
      <c r="H92" s="578"/>
      <c r="I92" s="701">
        <v>20375</v>
      </c>
      <c r="J92" s="578">
        <f t="shared" si="17"/>
        <v>0</v>
      </c>
      <c r="K92" s="603">
        <v>18639</v>
      </c>
      <c r="L92" s="603">
        <f t="shared" si="13"/>
        <v>1736</v>
      </c>
      <c r="M92" s="603">
        <f t="shared" si="14"/>
        <v>23</v>
      </c>
    </row>
    <row r="93" spans="1:16" x14ac:dyDescent="0.2">
      <c r="A93" s="139" t="s">
        <v>807</v>
      </c>
      <c r="B93" s="520">
        <f>B91+B92</f>
        <v>21002</v>
      </c>
      <c r="C93" s="575">
        <f t="shared" si="18"/>
        <v>1.7352844702621299E-3</v>
      </c>
      <c r="D93" s="582">
        <f>D91+D92</f>
        <v>21038</v>
      </c>
      <c r="F93" s="616"/>
      <c r="G93" s="617"/>
      <c r="H93" s="596"/>
      <c r="I93" s="582">
        <f>I91+I92</f>
        <v>21038.444444444445</v>
      </c>
      <c r="J93" s="578">
        <f t="shared" si="17"/>
        <v>-0.44444444444525288</v>
      </c>
      <c r="K93" s="594">
        <v>19495</v>
      </c>
      <c r="L93" s="594">
        <f t="shared" si="13"/>
        <v>1543</v>
      </c>
      <c r="M93" s="594">
        <f t="shared" si="14"/>
        <v>36</v>
      </c>
    </row>
    <row r="94" spans="1:16" x14ac:dyDescent="0.2">
      <c r="A94" s="263" t="s">
        <v>884</v>
      </c>
      <c r="B94" s="474">
        <f>'STATS 2017'!O120</f>
        <v>3986</v>
      </c>
      <c r="C94" s="575">
        <f t="shared" ref="C94:C101" si="19">(I94-B94)/B94</f>
        <v>2.5087807325639738E-2</v>
      </c>
      <c r="D94" s="577">
        <f t="shared" si="15"/>
        <v>4086</v>
      </c>
      <c r="F94" s="605"/>
      <c r="G94" s="613"/>
      <c r="H94" s="578"/>
      <c r="I94" s="577">
        <f>I6+I7</f>
        <v>4086</v>
      </c>
      <c r="J94" s="578">
        <f t="shared" si="17"/>
        <v>0</v>
      </c>
      <c r="K94" s="593">
        <v>4585</v>
      </c>
      <c r="L94" s="593">
        <f t="shared" si="13"/>
        <v>-499</v>
      </c>
      <c r="M94" s="593">
        <f t="shared" si="14"/>
        <v>100</v>
      </c>
    </row>
    <row r="95" spans="1:16" s="5" customFormat="1" x14ac:dyDescent="0.2">
      <c r="A95" s="263" t="s">
        <v>809</v>
      </c>
      <c r="B95" s="474">
        <f>'STATS 2017'!O471</f>
        <v>5588</v>
      </c>
      <c r="C95" s="575">
        <f t="shared" si="19"/>
        <v>7.1422890320527996E-2</v>
      </c>
      <c r="D95" s="577">
        <f t="shared" si="15"/>
        <v>5987</v>
      </c>
      <c r="E95" s="580"/>
      <c r="F95" s="605"/>
      <c r="G95" s="613"/>
      <c r="H95" s="578"/>
      <c r="I95" s="584">
        <f>'[3]Compare for Budget Stats'!$G$404</f>
        <v>5987.1111111111104</v>
      </c>
      <c r="J95" s="578">
        <f t="shared" si="17"/>
        <v>-0.11111111111040373</v>
      </c>
      <c r="K95" s="593">
        <v>5707</v>
      </c>
      <c r="L95" s="593">
        <f t="shared" si="13"/>
        <v>280</v>
      </c>
      <c r="M95" s="593">
        <f t="shared" si="14"/>
        <v>399</v>
      </c>
    </row>
    <row r="96" spans="1:16" x14ac:dyDescent="0.2">
      <c r="A96" s="263" t="s">
        <v>810</v>
      </c>
      <c r="B96" s="474">
        <f>'STATS 2017'!O345</f>
        <v>97080</v>
      </c>
      <c r="C96" s="575">
        <f t="shared" si="19"/>
        <v>4.1862381540997119E-2</v>
      </c>
      <c r="D96" s="577">
        <f t="shared" si="15"/>
        <v>101144</v>
      </c>
      <c r="F96" s="605">
        <f>B96/(B$6+B$7+B$9)</f>
        <v>23.212848204678593</v>
      </c>
      <c r="G96" s="613">
        <f>F96*(I$6+I$7+I$9)</f>
        <v>99471.460699531061</v>
      </c>
      <c r="H96" s="578"/>
      <c r="I96" s="701">
        <v>101144</v>
      </c>
      <c r="J96" s="578">
        <f t="shared" si="17"/>
        <v>0</v>
      </c>
      <c r="K96" s="593">
        <v>122616</v>
      </c>
      <c r="L96" s="593">
        <f t="shared" si="13"/>
        <v>-21472</v>
      </c>
      <c r="M96" s="593">
        <f t="shared" si="14"/>
        <v>4064</v>
      </c>
      <c r="N96" s="1">
        <f>B96/(B6+B7+B10)</f>
        <v>11.16632160110421</v>
      </c>
      <c r="O96" s="1">
        <f>D96/(D6+D7+D10)</f>
        <v>11.406789218450434</v>
      </c>
      <c r="P96" s="1">
        <f>(D6+D7+D10)*N96</f>
        <v>99011.773636991027</v>
      </c>
    </row>
    <row r="97" spans="1:16" x14ac:dyDescent="0.2">
      <c r="A97" s="263" t="s">
        <v>162</v>
      </c>
      <c r="B97" s="474">
        <f>'STATS 2017'!O287</f>
        <v>8591</v>
      </c>
      <c r="C97" s="575">
        <f t="shared" si="19"/>
        <v>-1.928374655647376E-2</v>
      </c>
      <c r="D97" s="577">
        <f t="shared" si="15"/>
        <v>8425</v>
      </c>
      <c r="F97" s="605">
        <f>B97/(B87+B11+B14+B6+B7)</f>
        <v>0.76161347517730493</v>
      </c>
      <c r="G97" s="613">
        <f>F97*(I87+I11+I14+I6+I7)</f>
        <v>8662.930161544522</v>
      </c>
      <c r="H97" s="578"/>
      <c r="I97" s="577">
        <f>'[3]Compare for Budget Stats'!$G$211</f>
        <v>8425.3333333333339</v>
      </c>
      <c r="J97" s="578">
        <f t="shared" si="17"/>
        <v>-0.33333333333393966</v>
      </c>
      <c r="K97" s="593">
        <v>9969</v>
      </c>
      <c r="L97" s="593">
        <f t="shared" si="13"/>
        <v>-1544</v>
      </c>
      <c r="M97" s="593">
        <f t="shared" si="14"/>
        <v>-166</v>
      </c>
    </row>
    <row r="98" spans="1:16" x14ac:dyDescent="0.2">
      <c r="A98" s="263" t="s">
        <v>164</v>
      </c>
      <c r="B98" s="474">
        <f>'STATS 2017'!O288</f>
        <v>13838</v>
      </c>
      <c r="C98" s="575">
        <f t="shared" si="19"/>
        <v>-3.5409741292094232E-2</v>
      </c>
      <c r="D98" s="577">
        <f t="shared" si="15"/>
        <v>13348</v>
      </c>
      <c r="F98" s="605">
        <f>B98/(B11+B6+B7+B92)</f>
        <v>0.56493161869769337</v>
      </c>
      <c r="G98" s="613">
        <f>F98*(I11+I6+I7+I92)</f>
        <v>13913.638066725636</v>
      </c>
      <c r="H98" s="578"/>
      <c r="I98" s="577">
        <f>'[3]Compare for Budget Stats'!$G$212</f>
        <v>13348</v>
      </c>
      <c r="J98" s="578">
        <f t="shared" si="17"/>
        <v>0</v>
      </c>
      <c r="K98" s="593">
        <v>13779</v>
      </c>
      <c r="L98" s="593">
        <f t="shared" si="13"/>
        <v>-431</v>
      </c>
      <c r="M98" s="593">
        <f t="shared" si="14"/>
        <v>-490</v>
      </c>
    </row>
    <row r="99" spans="1:16" x14ac:dyDescent="0.2">
      <c r="A99" s="263" t="s">
        <v>166</v>
      </c>
      <c r="B99" s="474">
        <f>'STATS 2017'!O289</f>
        <v>12552</v>
      </c>
      <c r="C99" s="575">
        <f t="shared" si="19"/>
        <v>-3.9444798527016371E-2</v>
      </c>
      <c r="D99" s="577">
        <f t="shared" si="15"/>
        <v>12057</v>
      </c>
      <c r="F99" s="605">
        <f>B99/(B92+B11+B6+B7)</f>
        <v>0.51243110838946726</v>
      </c>
      <c r="G99" s="613">
        <f>F99*(I92+I11+I6+I7+I8)</f>
        <v>12620.608831734369</v>
      </c>
      <c r="H99" s="578"/>
      <c r="I99" s="577">
        <f>'[3]Compare for Budget Stats'!$G$213</f>
        <v>12056.888888888891</v>
      </c>
      <c r="J99" s="578">
        <f t="shared" si="17"/>
        <v>0.11111111110949423</v>
      </c>
      <c r="K99" s="593">
        <v>12163</v>
      </c>
      <c r="L99" s="593">
        <f t="shared" si="13"/>
        <v>-106</v>
      </c>
      <c r="M99" s="593">
        <f t="shared" si="14"/>
        <v>-495</v>
      </c>
    </row>
    <row r="100" spans="1:16" x14ac:dyDescent="0.2">
      <c r="A100" s="263" t="s">
        <v>811</v>
      </c>
      <c r="B100" s="474">
        <f>'STATS 2017'!O339</f>
        <v>12660</v>
      </c>
      <c r="C100" s="575">
        <f t="shared" si="19"/>
        <v>4.1864139020537122E-2</v>
      </c>
      <c r="D100" s="577">
        <f t="shared" si="15"/>
        <v>13190</v>
      </c>
      <c r="F100" s="605">
        <f>B100/(B$6+B$7+B$9)</f>
        <v>3.027139042760929</v>
      </c>
      <c r="G100" s="613">
        <f>F100*(I$6+I$7+I$9)</f>
        <v>12971.865394067401</v>
      </c>
      <c r="H100" s="578"/>
      <c r="I100" s="701">
        <v>13190</v>
      </c>
      <c r="J100" s="578">
        <f t="shared" si="17"/>
        <v>0</v>
      </c>
      <c r="K100" s="593">
        <v>14242</v>
      </c>
      <c r="L100" s="593">
        <f t="shared" si="13"/>
        <v>-1052</v>
      </c>
      <c r="M100" s="593">
        <f t="shared" si="14"/>
        <v>530</v>
      </c>
      <c r="N100" s="1">
        <f>B100/(B6+B7+B10)</f>
        <v>1.456176673567978</v>
      </c>
      <c r="O100" s="1">
        <f>D100/(D6+D7+D10)</f>
        <v>1.4875380624788541</v>
      </c>
      <c r="P100" s="1">
        <f>(D6+D7+D10)*N100</f>
        <v>12911.918564527261</v>
      </c>
    </row>
    <row r="101" spans="1:16" x14ac:dyDescent="0.2">
      <c r="A101" s="263" t="s">
        <v>812</v>
      </c>
      <c r="B101" s="474">
        <f>'STATS 2017'!O340</f>
        <v>14069</v>
      </c>
      <c r="C101" s="575">
        <f t="shared" si="19"/>
        <v>4.186509346790817E-2</v>
      </c>
      <c r="D101" s="577">
        <f t="shared" si="15"/>
        <v>14658</v>
      </c>
      <c r="F101" s="605"/>
      <c r="G101" s="613"/>
      <c r="H101" s="578"/>
      <c r="I101" s="701">
        <v>14658</v>
      </c>
      <c r="J101" s="578">
        <f t="shared" si="17"/>
        <v>0</v>
      </c>
      <c r="K101" s="593">
        <v>12558</v>
      </c>
      <c r="L101" s="593">
        <f t="shared" si="13"/>
        <v>2100</v>
      </c>
      <c r="M101" s="593">
        <f t="shared" si="14"/>
        <v>589</v>
      </c>
      <c r="N101" s="1">
        <f>B101/(B6+B7+B10)</f>
        <v>1.618242466068553</v>
      </c>
      <c r="O101" s="1">
        <f>D101/(D6+D7+D10)</f>
        <v>1.6530957482801398</v>
      </c>
      <c r="P101" s="1">
        <f>(D6+D7+D10)*N101</f>
        <v>14348.95594662986</v>
      </c>
    </row>
    <row r="102" spans="1:16" x14ac:dyDescent="0.2">
      <c r="A102" s="139" t="s">
        <v>813</v>
      </c>
      <c r="B102" s="520">
        <f>B100+B101</f>
        <v>26729</v>
      </c>
      <c r="C102" s="575">
        <f>(I102-B102)/B102</f>
        <v>4.1864641400725801E-2</v>
      </c>
      <c r="D102" s="582">
        <f>D100+D101</f>
        <v>27848</v>
      </c>
      <c r="F102" s="616"/>
      <c r="G102" s="617"/>
      <c r="H102" s="596"/>
      <c r="I102" s="582">
        <f>I100+I101</f>
        <v>27848</v>
      </c>
      <c r="J102" s="578">
        <f t="shared" si="17"/>
        <v>0</v>
      </c>
      <c r="K102" s="594">
        <f>K100+K101</f>
        <v>26800</v>
      </c>
      <c r="L102" s="594">
        <f t="shared" si="13"/>
        <v>1048</v>
      </c>
      <c r="M102" s="594">
        <f t="shared" si="14"/>
        <v>1119</v>
      </c>
    </row>
    <row r="103" spans="1:16" x14ac:dyDescent="0.2">
      <c r="A103" s="263" t="s">
        <v>973</v>
      </c>
      <c r="B103" s="474">
        <f>'STATS 2017'!O337</f>
        <v>106</v>
      </c>
      <c r="C103" s="575">
        <f>(I103-B103)/B103</f>
        <v>-4.716981132075472E-2</v>
      </c>
      <c r="D103" s="577">
        <f t="shared" si="15"/>
        <v>101</v>
      </c>
      <c r="F103" s="609"/>
      <c r="G103" s="618"/>
      <c r="H103" s="583"/>
      <c r="I103" s="577">
        <f>'[3]Compare for Budget Stats'!$G$261</f>
        <v>101</v>
      </c>
      <c r="J103" s="578">
        <f t="shared" si="17"/>
        <v>0</v>
      </c>
      <c r="K103" s="593">
        <v>107</v>
      </c>
      <c r="L103" s="593">
        <f t="shared" si="13"/>
        <v>-6</v>
      </c>
      <c r="M103" s="593">
        <f t="shared" si="14"/>
        <v>-5</v>
      </c>
    </row>
    <row r="104" spans="1:16" x14ac:dyDescent="0.2">
      <c r="D104" s="585">
        <f>SUM(D6:D103)</f>
        <v>959333</v>
      </c>
      <c r="F104" s="609"/>
      <c r="G104" s="609"/>
      <c r="I104" s="607">
        <f>SUM(I6:I103)</f>
        <v>959328.36759259261</v>
      </c>
      <c r="J104" s="583"/>
      <c r="K104" s="268">
        <f>SUM(K6:K103)</f>
        <v>951574</v>
      </c>
    </row>
    <row r="105" spans="1:16" x14ac:dyDescent="0.2">
      <c r="F105" s="609"/>
      <c r="G105" s="609"/>
    </row>
    <row r="107" spans="1:16" ht="15.75" x14ac:dyDescent="0.25">
      <c r="C107" s="587" t="s">
        <v>1068</v>
      </c>
      <c r="D107" s="588"/>
      <c r="E107" s="589"/>
      <c r="F107" s="590"/>
      <c r="G107" s="591"/>
      <c r="H107" s="591"/>
      <c r="I107" s="588"/>
      <c r="J107" s="586"/>
    </row>
    <row r="108" spans="1:16" ht="15.75" x14ac:dyDescent="0.25">
      <c r="C108" s="587" t="s">
        <v>1069</v>
      </c>
      <c r="D108" s="588"/>
      <c r="E108" s="589"/>
      <c r="F108" s="592"/>
      <c r="G108" s="591"/>
      <c r="H108" s="591"/>
      <c r="I108" s="588"/>
    </row>
    <row r="109" spans="1:16" ht="15.75" x14ac:dyDescent="0.25">
      <c r="C109" s="587" t="s">
        <v>1070</v>
      </c>
    </row>
  </sheetData>
  <printOptions horizontalCentered="1" headings="1" gridLines="1"/>
  <pageMargins left="0.5" right="0.5" top="1.1299999999999999" bottom="0.25" header="0.34" footer="0.49"/>
  <pageSetup fitToWidth="2" orientation="portrait" r:id="rId1"/>
  <headerFooter alignWithMargins="0">
    <oddHeader>&amp;C&amp;"Arial,Bold"&amp;14DOCTORS MEMORIAL HOSPITAL
FY 2017 BUDGET</oddHeader>
    <oddFooter>&amp;L&amp;A&amp;R&amp;F</oddFooter>
  </headerFooter>
  <rowBreaks count="1" manualBreakCount="1">
    <brk id="52" max="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4"/>
  <sheetViews>
    <sheetView zoomScale="80" zoomScaleNormal="80" workbookViewId="0">
      <pane xSplit="2" ySplit="7" topLeftCell="C8" activePane="bottomRight" state="frozen"/>
      <selection pane="topRight" activeCell="C1" sqref="C1"/>
      <selection pane="bottomLeft" activeCell="A8" sqref="A8"/>
      <selection pane="bottomRight" activeCell="O43" sqref="O43"/>
    </sheetView>
  </sheetViews>
  <sheetFormatPr defaultRowHeight="12.75" x14ac:dyDescent="0.2"/>
  <cols>
    <col min="1" max="1" width="11" style="2" bestFit="1" customWidth="1"/>
    <col min="2" max="2" width="22.42578125" style="2" customWidth="1"/>
    <col min="3" max="3" width="13.5703125" style="2" customWidth="1"/>
    <col min="4" max="4" width="7.7109375" style="4" customWidth="1"/>
    <col min="5" max="5" width="3.7109375" style="4" customWidth="1"/>
    <col min="6" max="17" width="12.85546875" style="2" bestFit="1" customWidth="1"/>
    <col min="18" max="18" width="12.2851562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211" t="s">
        <v>161</v>
      </c>
      <c r="C2" s="189"/>
      <c r="D2" s="207"/>
      <c r="E2" s="207"/>
      <c r="R2" s="34"/>
      <c r="S2" s="3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211" t="s">
        <v>162</v>
      </c>
      <c r="C3" s="4">
        <f>STATS!D97</f>
        <v>8425</v>
      </c>
      <c r="F3" s="306">
        <f>'MO STATS'!E93</f>
        <v>669</v>
      </c>
      <c r="G3" s="306">
        <f>'MO STATS'!F93</f>
        <v>670</v>
      </c>
      <c r="H3" s="306">
        <f>'MO STATS'!G93</f>
        <v>675</v>
      </c>
      <c r="I3" s="306">
        <f>'MO STATS'!H93</f>
        <v>696</v>
      </c>
      <c r="J3" s="306">
        <f>'MO STATS'!I93</f>
        <v>686</v>
      </c>
      <c r="K3" s="306">
        <f>'MO STATS'!J93</f>
        <v>742</v>
      </c>
      <c r="L3" s="306">
        <f>'MO STATS'!K93</f>
        <v>719</v>
      </c>
      <c r="M3" s="306">
        <f>'MO STATS'!L93</f>
        <v>759</v>
      </c>
      <c r="N3" s="306">
        <f>'MO STATS'!M93</f>
        <v>694</v>
      </c>
      <c r="O3" s="306">
        <f>'MO STATS'!N93</f>
        <v>648</v>
      </c>
      <c r="P3" s="306">
        <f>'MO STATS'!O93</f>
        <v>735</v>
      </c>
      <c r="Q3" s="306">
        <f>'MO STATS'!P93</f>
        <v>732</v>
      </c>
      <c r="R3" s="314">
        <f t="shared" ref="R3:R4" si="0">SUM(F3:Q3)</f>
        <v>8425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211" t="s">
        <v>164</v>
      </c>
      <c r="C4" s="4">
        <f>STATS!D98</f>
        <v>13348</v>
      </c>
      <c r="F4" s="306">
        <f>'MO STATS'!E94</f>
        <v>1077</v>
      </c>
      <c r="G4" s="306">
        <f>'MO STATS'!F94</f>
        <v>1025</v>
      </c>
      <c r="H4" s="306">
        <f>'MO STATS'!G94</f>
        <v>940</v>
      </c>
      <c r="I4" s="306">
        <f>'MO STATS'!H94</f>
        <v>1102</v>
      </c>
      <c r="J4" s="306">
        <f>'MO STATS'!I94</f>
        <v>1151</v>
      </c>
      <c r="K4" s="306">
        <f>'MO STATS'!J94</f>
        <v>1250</v>
      </c>
      <c r="L4" s="306">
        <f>'MO STATS'!K94</f>
        <v>1141</v>
      </c>
      <c r="M4" s="306">
        <f>'MO STATS'!L94</f>
        <v>1210</v>
      </c>
      <c r="N4" s="306">
        <f>'MO STATS'!M94</f>
        <v>1108</v>
      </c>
      <c r="O4" s="306">
        <f>'MO STATS'!N94</f>
        <v>979</v>
      </c>
      <c r="P4" s="306">
        <f>'MO STATS'!O94</f>
        <v>1180</v>
      </c>
      <c r="Q4" s="306">
        <f>'MO STATS'!P94</f>
        <v>1185</v>
      </c>
      <c r="R4" s="314">
        <f t="shared" si="0"/>
        <v>13348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211" t="s">
        <v>166</v>
      </c>
      <c r="C5" s="4">
        <f>STATS!D99</f>
        <v>12057</v>
      </c>
      <c r="F5" s="306">
        <f>'MO STATS'!E95</f>
        <v>985</v>
      </c>
      <c r="G5" s="306">
        <f>'MO STATS'!F95</f>
        <v>915</v>
      </c>
      <c r="H5" s="306">
        <f>'MO STATS'!G95</f>
        <v>849</v>
      </c>
      <c r="I5" s="306">
        <f>'MO STATS'!H95</f>
        <v>1002</v>
      </c>
      <c r="J5" s="306">
        <f>'MO STATS'!I95</f>
        <v>1040</v>
      </c>
      <c r="K5" s="306">
        <f>'MO STATS'!J95</f>
        <v>1139</v>
      </c>
      <c r="L5" s="306">
        <f>'MO STATS'!K95</f>
        <v>1032</v>
      </c>
      <c r="M5" s="306">
        <f>'MO STATS'!L95</f>
        <v>1097</v>
      </c>
      <c r="N5" s="306">
        <f>'MO STATS'!M95</f>
        <v>997</v>
      </c>
      <c r="O5" s="306">
        <f>'MO STATS'!N95</f>
        <v>875</v>
      </c>
      <c r="P5" s="306">
        <f>'MO STATS'!O95</f>
        <v>1045</v>
      </c>
      <c r="Q5" s="306">
        <f>'MO STATS'!P95</f>
        <v>1081</v>
      </c>
      <c r="R5" s="314">
        <f t="shared" ref="R5" si="2">SUM(F5:Q5)</f>
        <v>12057</v>
      </c>
      <c r="S5" s="3">
        <f t="shared" ref="S5" si="3">C5-R5</f>
        <v>0</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940</v>
      </c>
      <c r="C6" s="426">
        <f>'[4]2017 FTEs'!$AS$40</f>
        <v>6.68</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B7" s="38" t="s">
        <v>939</v>
      </c>
      <c r="C7" s="2">
        <f>C6*2080</f>
        <v>13894.4</v>
      </c>
      <c r="F7" s="421">
        <f>($C7/$R8)*F8</f>
        <v>1180.0723287671233</v>
      </c>
      <c r="G7" s="421">
        <f t="shared" ref="G7:Q7" si="4">($C7/$R8)*G8</f>
        <v>1142.0054794520549</v>
      </c>
      <c r="H7" s="421">
        <f t="shared" si="4"/>
        <v>1180.0723287671233</v>
      </c>
      <c r="I7" s="421">
        <f t="shared" si="4"/>
        <v>1180.0723287671233</v>
      </c>
      <c r="J7" s="421">
        <f t="shared" si="4"/>
        <v>1065.8717808219178</v>
      </c>
      <c r="K7" s="421">
        <f t="shared" si="4"/>
        <v>1180.0723287671233</v>
      </c>
      <c r="L7" s="421">
        <f t="shared" si="4"/>
        <v>1142.0054794520549</v>
      </c>
      <c r="M7" s="421">
        <f t="shared" si="4"/>
        <v>1180.0723287671233</v>
      </c>
      <c r="N7" s="421">
        <f t="shared" si="4"/>
        <v>1142.0054794520549</v>
      </c>
      <c r="O7" s="421">
        <f t="shared" si="4"/>
        <v>1180.0723287671233</v>
      </c>
      <c r="P7" s="421">
        <f t="shared" si="4"/>
        <v>1180.0723287671233</v>
      </c>
      <c r="Q7" s="421">
        <f t="shared" si="4"/>
        <v>1142.0054794520549</v>
      </c>
      <c r="R7" s="6">
        <f>SUM(F7:Q7)</f>
        <v>13894.4</v>
      </c>
      <c r="S7" s="3">
        <f>C7-R7</f>
        <v>0</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ht="12.75" customHeight="1" x14ac:dyDescent="0.2">
      <c r="F8" s="2">
        <v>31</v>
      </c>
      <c r="G8" s="2">
        <v>30</v>
      </c>
      <c r="H8" s="2">
        <v>31</v>
      </c>
      <c r="I8" s="2">
        <v>31</v>
      </c>
      <c r="J8" s="2">
        <v>28</v>
      </c>
      <c r="K8" s="2">
        <v>31</v>
      </c>
      <c r="L8" s="2">
        <v>30</v>
      </c>
      <c r="M8" s="2">
        <v>31</v>
      </c>
      <c r="N8" s="2">
        <v>30</v>
      </c>
      <c r="O8" s="2">
        <v>31</v>
      </c>
      <c r="P8" s="2">
        <v>31</v>
      </c>
      <c r="Q8" s="2">
        <v>30</v>
      </c>
      <c r="R8" s="6">
        <f t="shared" ref="R8" si="5">SUM(F8:Q8)</f>
        <v>365</v>
      </c>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row>
    <row r="9" spans="1:58" x14ac:dyDescent="0.2">
      <c r="A9" s="711" t="s">
        <v>25</v>
      </c>
      <c r="B9" s="711"/>
      <c r="C9" s="711"/>
      <c r="D9" s="711"/>
      <c r="E9" s="207"/>
    </row>
    <row r="10" spans="1:58" x14ac:dyDescent="0.2">
      <c r="A10" s="21"/>
      <c r="B10" s="10" t="s">
        <v>606</v>
      </c>
      <c r="C10" s="20"/>
      <c r="D10" s="19" t="s">
        <v>596</v>
      </c>
      <c r="E10" s="111"/>
    </row>
    <row r="11" spans="1:58" s="12" customFormat="1" x14ac:dyDescent="0.2">
      <c r="A11" s="87">
        <v>41101.343000000001</v>
      </c>
      <c r="B11" s="15" t="s">
        <v>22</v>
      </c>
      <c r="C11" s="428">
        <f>'[6]Business Office'!$J$15</f>
        <v>181412.75700000001</v>
      </c>
      <c r="D11" s="429">
        <f>$C11/C$7</f>
        <v>13.056537669852604</v>
      </c>
      <c r="E11" s="7"/>
      <c r="F11" s="375">
        <f>$D11*F$7</f>
        <v>15407.658813698632</v>
      </c>
      <c r="G11" s="375">
        <f t="shared" ref="G11:Q11" si="6">$D11*G$7</f>
        <v>14910.63756164384</v>
      </c>
      <c r="H11" s="375">
        <f t="shared" si="6"/>
        <v>15407.658813698632</v>
      </c>
      <c r="I11" s="375">
        <f t="shared" si="6"/>
        <v>15407.658813698632</v>
      </c>
      <c r="J11" s="375">
        <f t="shared" si="6"/>
        <v>13916.595057534249</v>
      </c>
      <c r="K11" s="375">
        <f t="shared" si="6"/>
        <v>15407.658813698632</v>
      </c>
      <c r="L11" s="375">
        <f t="shared" si="6"/>
        <v>14910.63756164384</v>
      </c>
      <c r="M11" s="375">
        <f t="shared" si="6"/>
        <v>15407.658813698632</v>
      </c>
      <c r="N11" s="375">
        <f t="shared" si="6"/>
        <v>14910.63756164384</v>
      </c>
      <c r="O11" s="375">
        <f t="shared" si="6"/>
        <v>15407.658813698632</v>
      </c>
      <c r="P11" s="375">
        <f t="shared" si="6"/>
        <v>15407.658813698632</v>
      </c>
      <c r="Q11" s="375">
        <f t="shared" si="6"/>
        <v>14910.63756164384</v>
      </c>
      <c r="R11" s="109">
        <f t="shared" ref="R11:R30" si="7">SUM(F11:Q11)</f>
        <v>181412.75700000001</v>
      </c>
      <c r="S11" s="7">
        <f t="shared" ref="S11:S30" si="8">C11-R11</f>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41110.343000000001</v>
      </c>
      <c r="B12" s="15" t="s">
        <v>21</v>
      </c>
      <c r="C12" s="428">
        <f>'[6]Business Office'!$J$16</f>
        <v>20156.973000000002</v>
      </c>
      <c r="D12" s="429">
        <f t="shared" ref="D12:D15" si="9">$C12/C$7</f>
        <v>1.4507264077614004</v>
      </c>
      <c r="E12" s="7"/>
      <c r="F12" s="375">
        <f t="shared" ref="F12:Q15" si="10">$D12*F$7</f>
        <v>1711.962090410959</v>
      </c>
      <c r="G12" s="375">
        <f t="shared" si="10"/>
        <v>1656.7375068493154</v>
      </c>
      <c r="H12" s="375">
        <f t="shared" si="10"/>
        <v>1711.962090410959</v>
      </c>
      <c r="I12" s="375">
        <f t="shared" si="10"/>
        <v>1711.962090410959</v>
      </c>
      <c r="J12" s="375">
        <f t="shared" si="10"/>
        <v>1546.2883397260275</v>
      </c>
      <c r="K12" s="375">
        <f t="shared" si="10"/>
        <v>1711.962090410959</v>
      </c>
      <c r="L12" s="375">
        <f t="shared" si="10"/>
        <v>1656.7375068493154</v>
      </c>
      <c r="M12" s="375">
        <f t="shared" si="10"/>
        <v>1711.962090410959</v>
      </c>
      <c r="N12" s="375">
        <f t="shared" si="10"/>
        <v>1656.7375068493154</v>
      </c>
      <c r="O12" s="375">
        <f t="shared" si="10"/>
        <v>1711.962090410959</v>
      </c>
      <c r="P12" s="375">
        <f t="shared" si="10"/>
        <v>1711.962090410959</v>
      </c>
      <c r="Q12" s="375">
        <f t="shared" si="10"/>
        <v>1656.7375068493154</v>
      </c>
      <c r="R12" s="109">
        <f t="shared" si="7"/>
        <v>20156.973000000002</v>
      </c>
      <c r="S12" s="7">
        <f t="shared" si="8"/>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41115.343000000001</v>
      </c>
      <c r="B13" s="15" t="s">
        <v>20</v>
      </c>
      <c r="C13" s="428">
        <f>'[6]Business Office'!$J$17</f>
        <v>1100</v>
      </c>
      <c r="D13" s="429">
        <f t="shared" si="9"/>
        <v>7.9168585905112859E-2</v>
      </c>
      <c r="E13" s="7"/>
      <c r="F13" s="375">
        <f t="shared" si="10"/>
        <v>93.424657534246577</v>
      </c>
      <c r="G13" s="375">
        <f t="shared" si="10"/>
        <v>90.410958904109606</v>
      </c>
      <c r="H13" s="375">
        <f t="shared" si="10"/>
        <v>93.424657534246577</v>
      </c>
      <c r="I13" s="375">
        <f t="shared" si="10"/>
        <v>93.424657534246577</v>
      </c>
      <c r="J13" s="375">
        <f t="shared" si="10"/>
        <v>84.38356164383562</v>
      </c>
      <c r="K13" s="375">
        <f t="shared" si="10"/>
        <v>93.424657534246577</v>
      </c>
      <c r="L13" s="375">
        <f t="shared" si="10"/>
        <v>90.410958904109606</v>
      </c>
      <c r="M13" s="375">
        <f t="shared" si="10"/>
        <v>93.424657534246577</v>
      </c>
      <c r="N13" s="375">
        <f t="shared" si="10"/>
        <v>90.410958904109606</v>
      </c>
      <c r="O13" s="375">
        <f t="shared" si="10"/>
        <v>93.424657534246577</v>
      </c>
      <c r="P13" s="375">
        <f t="shared" si="10"/>
        <v>93.424657534246577</v>
      </c>
      <c r="Q13" s="375">
        <f t="shared" si="10"/>
        <v>90.410958904109606</v>
      </c>
      <c r="R13" s="109">
        <f t="shared" si="7"/>
        <v>1100</v>
      </c>
      <c r="S13" s="7">
        <f t="shared" si="8"/>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41150.343000000001</v>
      </c>
      <c r="B14" s="15" t="s">
        <v>19</v>
      </c>
      <c r="C14" s="430">
        <f>'[6]Business Office'!$J$18</f>
        <v>15504.234345000001</v>
      </c>
      <c r="D14" s="429">
        <f t="shared" si="9"/>
        <v>1.1158620987592125</v>
      </c>
      <c r="E14" s="7"/>
      <c r="F14" s="375">
        <f t="shared" si="10"/>
        <v>1316.7979854657535</v>
      </c>
      <c r="G14" s="375">
        <f t="shared" si="10"/>
        <v>1274.3206310958908</v>
      </c>
      <c r="H14" s="375">
        <f t="shared" si="10"/>
        <v>1316.7979854657535</v>
      </c>
      <c r="I14" s="375">
        <f t="shared" si="10"/>
        <v>1316.7979854657535</v>
      </c>
      <c r="J14" s="375">
        <f t="shared" si="10"/>
        <v>1189.3659223561644</v>
      </c>
      <c r="K14" s="375">
        <f t="shared" si="10"/>
        <v>1316.7979854657535</v>
      </c>
      <c r="L14" s="375">
        <f t="shared" si="10"/>
        <v>1274.3206310958908</v>
      </c>
      <c r="M14" s="375">
        <f t="shared" si="10"/>
        <v>1316.7979854657535</v>
      </c>
      <c r="N14" s="375">
        <f t="shared" si="10"/>
        <v>1274.3206310958908</v>
      </c>
      <c r="O14" s="375">
        <f t="shared" si="10"/>
        <v>1316.7979854657535</v>
      </c>
      <c r="P14" s="375">
        <f t="shared" si="10"/>
        <v>1316.7979854657535</v>
      </c>
      <c r="Q14" s="375">
        <f t="shared" si="10"/>
        <v>1274.3206310958908</v>
      </c>
      <c r="R14" s="109">
        <f t="shared" si="7"/>
        <v>15504.234345000001</v>
      </c>
      <c r="S14" s="7">
        <f t="shared" si="8"/>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41152.343000000001</v>
      </c>
      <c r="B15" s="15" t="s">
        <v>18</v>
      </c>
      <c r="C15" s="431"/>
      <c r="D15" s="429">
        <f t="shared" si="9"/>
        <v>0</v>
      </c>
      <c r="E15" s="7"/>
      <c r="F15" s="375">
        <f t="shared" si="10"/>
        <v>0</v>
      </c>
      <c r="G15" s="375">
        <f t="shared" si="10"/>
        <v>0</v>
      </c>
      <c r="H15" s="375">
        <f t="shared" si="10"/>
        <v>0</v>
      </c>
      <c r="I15" s="375">
        <f t="shared" si="10"/>
        <v>0</v>
      </c>
      <c r="J15" s="375">
        <f t="shared" si="10"/>
        <v>0</v>
      </c>
      <c r="K15" s="375">
        <f t="shared" si="10"/>
        <v>0</v>
      </c>
      <c r="L15" s="375">
        <f t="shared" si="10"/>
        <v>0</v>
      </c>
      <c r="M15" s="375">
        <f t="shared" si="10"/>
        <v>0</v>
      </c>
      <c r="N15" s="375">
        <f t="shared" si="10"/>
        <v>0</v>
      </c>
      <c r="O15" s="375">
        <f t="shared" si="10"/>
        <v>0</v>
      </c>
      <c r="P15" s="375">
        <f t="shared" si="10"/>
        <v>0</v>
      </c>
      <c r="Q15" s="375">
        <f t="shared" si="10"/>
        <v>0</v>
      </c>
      <c r="R15" s="109">
        <f t="shared" si="7"/>
        <v>0</v>
      </c>
      <c r="S15" s="7">
        <f t="shared" si="8"/>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41237.343000000001</v>
      </c>
      <c r="B16" s="15" t="s">
        <v>17</v>
      </c>
      <c r="C16" s="17">
        <f>'[6]Business Office'!$J$19</f>
        <v>4000</v>
      </c>
      <c r="D16" s="13">
        <f t="shared" ref="D16:D29" si="11">$C16/C$4</f>
        <v>0.29967036260113877</v>
      </c>
      <c r="E16" s="7"/>
      <c r="F16" s="375">
        <f t="shared" ref="F16:Q29" si="12">$D16*F$4</f>
        <v>322.74498052142644</v>
      </c>
      <c r="G16" s="375">
        <f t="shared" ref="G16:Q28" si="13">$D16*G$4</f>
        <v>307.16212166616725</v>
      </c>
      <c r="H16" s="375">
        <f t="shared" si="13"/>
        <v>281.69014084507046</v>
      </c>
      <c r="I16" s="375">
        <f t="shared" si="13"/>
        <v>330.23673958645492</v>
      </c>
      <c r="J16" s="375">
        <f t="shared" si="13"/>
        <v>344.92058735391072</v>
      </c>
      <c r="K16" s="375">
        <f t="shared" si="13"/>
        <v>374.58795325142347</v>
      </c>
      <c r="L16" s="375">
        <f t="shared" si="13"/>
        <v>341.92388372789935</v>
      </c>
      <c r="M16" s="375">
        <f t="shared" si="13"/>
        <v>362.60113874737789</v>
      </c>
      <c r="N16" s="375">
        <f t="shared" si="13"/>
        <v>332.03476176206175</v>
      </c>
      <c r="O16" s="375">
        <f t="shared" si="13"/>
        <v>293.37728498651484</v>
      </c>
      <c r="P16" s="375">
        <f t="shared" si="13"/>
        <v>353.61102786934373</v>
      </c>
      <c r="Q16" s="375">
        <f t="shared" si="13"/>
        <v>355.10937968234947</v>
      </c>
      <c r="R16" s="109">
        <f t="shared" si="7"/>
        <v>4000</v>
      </c>
      <c r="S16" s="7">
        <f t="shared" si="8"/>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41246.343000000001</v>
      </c>
      <c r="B17" s="15" t="s">
        <v>16</v>
      </c>
      <c r="C17" s="14">
        <f>'[6]Business Office'!$J$20</f>
        <v>400</v>
      </c>
      <c r="D17" s="13">
        <f t="shared" si="11"/>
        <v>2.9967036260113874E-2</v>
      </c>
      <c r="E17" s="7"/>
      <c r="F17" s="375">
        <f t="shared" si="12"/>
        <v>32.27449805214264</v>
      </c>
      <c r="G17" s="375">
        <f t="shared" si="13"/>
        <v>30.716212166616721</v>
      </c>
      <c r="H17" s="375">
        <f t="shared" si="13"/>
        <v>28.16901408450704</v>
      </c>
      <c r="I17" s="375">
        <f t="shared" si="13"/>
        <v>33.023673958645489</v>
      </c>
      <c r="J17" s="375">
        <f t="shared" si="13"/>
        <v>34.492058735391069</v>
      </c>
      <c r="K17" s="375">
        <f t="shared" si="13"/>
        <v>37.45879532514234</v>
      </c>
      <c r="L17" s="375">
        <f t="shared" si="13"/>
        <v>34.192388372789928</v>
      </c>
      <c r="M17" s="375">
        <f t="shared" si="13"/>
        <v>36.26011387473779</v>
      </c>
      <c r="N17" s="375">
        <f t="shared" si="13"/>
        <v>33.203476176206173</v>
      </c>
      <c r="O17" s="375">
        <f t="shared" si="13"/>
        <v>29.337728498651483</v>
      </c>
      <c r="P17" s="375">
        <f t="shared" si="13"/>
        <v>35.361102786934374</v>
      </c>
      <c r="Q17" s="375">
        <f t="shared" si="13"/>
        <v>35.510937968234941</v>
      </c>
      <c r="R17" s="109">
        <f t="shared" si="7"/>
        <v>400</v>
      </c>
      <c r="S17" s="7">
        <f t="shared" si="8"/>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41250.343000000001</v>
      </c>
      <c r="B18" s="15" t="s">
        <v>15</v>
      </c>
      <c r="C18" s="14"/>
      <c r="D18" s="13">
        <f t="shared" si="11"/>
        <v>0</v>
      </c>
      <c r="E18" s="7"/>
      <c r="F18" s="375">
        <f t="shared" si="12"/>
        <v>0</v>
      </c>
      <c r="G18" s="375">
        <f t="shared" si="13"/>
        <v>0</v>
      </c>
      <c r="H18" s="375">
        <f t="shared" si="13"/>
        <v>0</v>
      </c>
      <c r="I18" s="375">
        <f t="shared" si="13"/>
        <v>0</v>
      </c>
      <c r="J18" s="375">
        <f t="shared" si="13"/>
        <v>0</v>
      </c>
      <c r="K18" s="375">
        <f t="shared" si="13"/>
        <v>0</v>
      </c>
      <c r="L18" s="375">
        <f t="shared" si="13"/>
        <v>0</v>
      </c>
      <c r="M18" s="375">
        <f t="shared" si="13"/>
        <v>0</v>
      </c>
      <c r="N18" s="375">
        <f t="shared" si="13"/>
        <v>0</v>
      </c>
      <c r="O18" s="375">
        <f t="shared" si="13"/>
        <v>0</v>
      </c>
      <c r="P18" s="375">
        <f t="shared" si="13"/>
        <v>0</v>
      </c>
      <c r="Q18" s="375">
        <f t="shared" si="13"/>
        <v>0</v>
      </c>
      <c r="R18" s="109">
        <f t="shared" si="7"/>
        <v>0</v>
      </c>
      <c r="S18" s="7">
        <f t="shared" si="8"/>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41342.343000000001</v>
      </c>
      <c r="B19" s="15" t="s">
        <v>11</v>
      </c>
      <c r="C19" s="14">
        <v>6000</v>
      </c>
      <c r="D19" s="13">
        <f t="shared" si="11"/>
        <v>0.4495055439017081</v>
      </c>
      <c r="E19" s="7"/>
      <c r="F19" s="375">
        <f t="shared" si="12"/>
        <v>484.11747078213961</v>
      </c>
      <c r="G19" s="375">
        <f t="shared" si="12"/>
        <v>460.74318249925079</v>
      </c>
      <c r="H19" s="375">
        <f t="shared" si="12"/>
        <v>422.53521126760563</v>
      </c>
      <c r="I19" s="375">
        <f t="shared" si="12"/>
        <v>495.35510937968235</v>
      </c>
      <c r="J19" s="375">
        <f t="shared" si="12"/>
        <v>517.38088103086602</v>
      </c>
      <c r="K19" s="375">
        <f t="shared" si="12"/>
        <v>561.88192987713512</v>
      </c>
      <c r="L19" s="375">
        <f t="shared" si="12"/>
        <v>512.88582559184897</v>
      </c>
      <c r="M19" s="375">
        <f t="shared" si="12"/>
        <v>543.9017081210668</v>
      </c>
      <c r="N19" s="375">
        <f t="shared" si="12"/>
        <v>498.05214264309257</v>
      </c>
      <c r="O19" s="375">
        <f t="shared" si="12"/>
        <v>440.06592747977226</v>
      </c>
      <c r="P19" s="375">
        <f t="shared" si="12"/>
        <v>530.41654180401554</v>
      </c>
      <c r="Q19" s="375">
        <f t="shared" si="12"/>
        <v>532.66406952352406</v>
      </c>
      <c r="R19" s="109">
        <f t="shared" ref="R19" si="14">SUM(F19:Q19)</f>
        <v>6000</v>
      </c>
      <c r="S19" s="7">
        <f t="shared" ref="S19" si="15">C19-R19</f>
        <v>0</v>
      </c>
      <c r="T19" s="4">
        <v>25000</v>
      </c>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41365.343000000001</v>
      </c>
      <c r="B20" s="15" t="s">
        <v>10</v>
      </c>
      <c r="C20" s="14">
        <f>'[6]Business Office'!$J$23</f>
        <v>70000</v>
      </c>
      <c r="D20" s="13">
        <f t="shared" si="11"/>
        <v>5.2442313455199283</v>
      </c>
      <c r="E20" s="7"/>
      <c r="F20" s="375">
        <f t="shared" si="12"/>
        <v>5648.0371591249632</v>
      </c>
      <c r="G20" s="375">
        <f t="shared" si="13"/>
        <v>5375.3371291579269</v>
      </c>
      <c r="H20" s="375">
        <f t="shared" si="13"/>
        <v>4929.5774647887329</v>
      </c>
      <c r="I20" s="375">
        <f t="shared" si="13"/>
        <v>5779.142942762961</v>
      </c>
      <c r="J20" s="375">
        <f t="shared" si="13"/>
        <v>6036.1102786934371</v>
      </c>
      <c r="K20" s="375">
        <f t="shared" si="13"/>
        <v>6555.2891818999105</v>
      </c>
      <c r="L20" s="375">
        <f t="shared" si="13"/>
        <v>5983.6679652382381</v>
      </c>
      <c r="M20" s="375">
        <f t="shared" si="13"/>
        <v>6345.519928079113</v>
      </c>
      <c r="N20" s="375">
        <f t="shared" si="13"/>
        <v>5810.6083308360803</v>
      </c>
      <c r="O20" s="375">
        <f t="shared" si="13"/>
        <v>5134.1024872640101</v>
      </c>
      <c r="P20" s="375">
        <f t="shared" si="13"/>
        <v>6188.1929877135153</v>
      </c>
      <c r="Q20" s="375">
        <f t="shared" si="13"/>
        <v>6214.4141444411152</v>
      </c>
      <c r="R20" s="109">
        <f t="shared" si="7"/>
        <v>70000.000000000015</v>
      </c>
      <c r="S20" s="7">
        <f t="shared" si="8"/>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41423.343000000001</v>
      </c>
      <c r="B21" s="15" t="s">
        <v>9</v>
      </c>
      <c r="C21" s="14">
        <f>'[6]Business Office'!$J$24</f>
        <v>750</v>
      </c>
      <c r="D21" s="13">
        <f t="shared" si="11"/>
        <v>5.6188192987713513E-2</v>
      </c>
      <c r="E21" s="7"/>
      <c r="F21" s="375">
        <f t="shared" si="12"/>
        <v>60.514683847767451</v>
      </c>
      <c r="G21" s="375">
        <f t="shared" si="13"/>
        <v>57.592897812406349</v>
      </c>
      <c r="H21" s="375">
        <f t="shared" si="13"/>
        <v>52.816901408450704</v>
      </c>
      <c r="I21" s="375">
        <f t="shared" si="13"/>
        <v>61.919388672460293</v>
      </c>
      <c r="J21" s="375">
        <f t="shared" si="13"/>
        <v>64.672610128858253</v>
      </c>
      <c r="K21" s="375">
        <f t="shared" si="13"/>
        <v>70.23524123464189</v>
      </c>
      <c r="L21" s="375">
        <f t="shared" si="13"/>
        <v>64.110728198981121</v>
      </c>
      <c r="M21" s="375">
        <f t="shared" si="13"/>
        <v>67.98771351513335</v>
      </c>
      <c r="N21" s="375">
        <f t="shared" si="13"/>
        <v>62.256517830386571</v>
      </c>
      <c r="O21" s="375">
        <f t="shared" si="13"/>
        <v>55.008240934971532</v>
      </c>
      <c r="P21" s="375">
        <f t="shared" si="13"/>
        <v>66.302067725501942</v>
      </c>
      <c r="Q21" s="375">
        <f t="shared" si="13"/>
        <v>66.583008690440508</v>
      </c>
      <c r="R21" s="109">
        <f t="shared" si="7"/>
        <v>750</v>
      </c>
      <c r="S21" s="7">
        <f t="shared" si="8"/>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41426.343000000001</v>
      </c>
      <c r="B22" s="15" t="s">
        <v>8</v>
      </c>
      <c r="C22" s="14">
        <f>'[6]Business Office'!$J$25</f>
        <v>500</v>
      </c>
      <c r="D22" s="13">
        <f t="shared" si="11"/>
        <v>3.7458795325142347E-2</v>
      </c>
      <c r="E22" s="7"/>
      <c r="F22" s="375">
        <f t="shared" si="12"/>
        <v>40.343122565178305</v>
      </c>
      <c r="G22" s="375">
        <f t="shared" si="13"/>
        <v>38.395265208270906</v>
      </c>
      <c r="H22" s="375">
        <f t="shared" si="13"/>
        <v>35.211267605633807</v>
      </c>
      <c r="I22" s="375">
        <f t="shared" si="13"/>
        <v>41.279592448306865</v>
      </c>
      <c r="J22" s="375">
        <f t="shared" si="13"/>
        <v>43.11507341923884</v>
      </c>
      <c r="K22" s="375">
        <f t="shared" si="13"/>
        <v>46.823494156427934</v>
      </c>
      <c r="L22" s="375">
        <f t="shared" si="13"/>
        <v>42.740485465987419</v>
      </c>
      <c r="M22" s="375">
        <f t="shared" si="13"/>
        <v>45.325142343422236</v>
      </c>
      <c r="N22" s="375">
        <f t="shared" si="13"/>
        <v>41.504345220257719</v>
      </c>
      <c r="O22" s="375">
        <f t="shared" si="13"/>
        <v>36.672160623314355</v>
      </c>
      <c r="P22" s="375">
        <f t="shared" si="13"/>
        <v>44.201378483667966</v>
      </c>
      <c r="Q22" s="375">
        <f t="shared" si="13"/>
        <v>44.388672460293684</v>
      </c>
      <c r="R22" s="109">
        <f t="shared" si="7"/>
        <v>500</v>
      </c>
      <c r="S22" s="7">
        <f t="shared" si="8"/>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41439.343000000001</v>
      </c>
      <c r="B23" s="15" t="s">
        <v>603</v>
      </c>
      <c r="C23" s="14">
        <f>'[6]Business Office'!$J$26</f>
        <v>342</v>
      </c>
      <c r="D23" s="13">
        <f t="shared" si="11"/>
        <v>2.5621816002397362E-2</v>
      </c>
      <c r="E23" s="7"/>
      <c r="F23" s="375">
        <f t="shared" si="12"/>
        <v>27.594695834581959</v>
      </c>
      <c r="G23" s="375">
        <f t="shared" si="13"/>
        <v>26.262361402457298</v>
      </c>
      <c r="H23" s="375">
        <f t="shared" si="13"/>
        <v>24.08450704225352</v>
      </c>
      <c r="I23" s="375">
        <f t="shared" si="13"/>
        <v>28.235241234641894</v>
      </c>
      <c r="J23" s="375">
        <f t="shared" si="13"/>
        <v>29.490710218759364</v>
      </c>
      <c r="K23" s="375">
        <f t="shared" si="13"/>
        <v>32.027270002996701</v>
      </c>
      <c r="L23" s="375">
        <f t="shared" si="13"/>
        <v>29.234492058735391</v>
      </c>
      <c r="M23" s="375">
        <f t="shared" si="13"/>
        <v>31.002397362900808</v>
      </c>
      <c r="N23" s="375">
        <f t="shared" si="13"/>
        <v>28.388972130656278</v>
      </c>
      <c r="O23" s="375">
        <f t="shared" si="13"/>
        <v>25.083757866347018</v>
      </c>
      <c r="P23" s="375">
        <f t="shared" si="13"/>
        <v>30.233742882828889</v>
      </c>
      <c r="Q23" s="375">
        <f t="shared" si="13"/>
        <v>30.361851962840873</v>
      </c>
      <c r="R23" s="109">
        <f t="shared" ref="R23" si="16">SUM(F23:Q23)</f>
        <v>342</v>
      </c>
      <c r="S23" s="7">
        <f t="shared" ref="S23" si="17">C23-R23</f>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41440.343000000001</v>
      </c>
      <c r="B24" s="15" t="s">
        <v>7</v>
      </c>
      <c r="C24" s="14">
        <f>'[6]Business Office'!$J$27</f>
        <v>220</v>
      </c>
      <c r="D24" s="13">
        <f t="shared" si="11"/>
        <v>1.6481869943062631E-2</v>
      </c>
      <c r="E24" s="7"/>
      <c r="F24" s="375">
        <f t="shared" si="12"/>
        <v>17.750973928678455</v>
      </c>
      <c r="G24" s="375">
        <f t="shared" si="13"/>
        <v>16.893916691639198</v>
      </c>
      <c r="H24" s="375">
        <f t="shared" si="13"/>
        <v>15.492957746478874</v>
      </c>
      <c r="I24" s="375">
        <f t="shared" si="13"/>
        <v>18.16302067725502</v>
      </c>
      <c r="J24" s="375">
        <f t="shared" si="13"/>
        <v>18.970632304465088</v>
      </c>
      <c r="K24" s="375">
        <f t="shared" si="13"/>
        <v>20.602337428828289</v>
      </c>
      <c r="L24" s="375">
        <f t="shared" si="13"/>
        <v>18.805813605034462</v>
      </c>
      <c r="M24" s="375">
        <f t="shared" si="13"/>
        <v>19.943062631105782</v>
      </c>
      <c r="N24" s="375">
        <f t="shared" si="13"/>
        <v>18.261911896913396</v>
      </c>
      <c r="O24" s="375">
        <f t="shared" si="13"/>
        <v>16.135750674258315</v>
      </c>
      <c r="P24" s="375">
        <f t="shared" si="13"/>
        <v>19.448606532813905</v>
      </c>
      <c r="Q24" s="375">
        <f t="shared" si="13"/>
        <v>19.531015882529218</v>
      </c>
      <c r="R24" s="109">
        <f t="shared" si="7"/>
        <v>220</v>
      </c>
      <c r="S24" s="7">
        <f t="shared" si="8"/>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41460.343000000001</v>
      </c>
      <c r="B25" s="15" t="s">
        <v>6</v>
      </c>
      <c r="C25" s="14">
        <f>'[6]Business Office'!$J$28</f>
        <v>1000</v>
      </c>
      <c r="D25" s="13">
        <f t="shared" si="11"/>
        <v>7.4917590650284693E-2</v>
      </c>
      <c r="E25" s="7"/>
      <c r="F25" s="375">
        <f t="shared" si="12"/>
        <v>80.68624513035661</v>
      </c>
      <c r="G25" s="375">
        <f t="shared" si="13"/>
        <v>76.790530416541813</v>
      </c>
      <c r="H25" s="375">
        <f t="shared" si="13"/>
        <v>70.422535211267615</v>
      </c>
      <c r="I25" s="375">
        <f t="shared" si="13"/>
        <v>82.559184896613729</v>
      </c>
      <c r="J25" s="375">
        <f t="shared" si="13"/>
        <v>86.23014683847768</v>
      </c>
      <c r="K25" s="375">
        <f t="shared" si="13"/>
        <v>93.646988312855868</v>
      </c>
      <c r="L25" s="375">
        <f t="shared" si="13"/>
        <v>85.480970931974838</v>
      </c>
      <c r="M25" s="375">
        <f t="shared" si="13"/>
        <v>90.650284686844472</v>
      </c>
      <c r="N25" s="375">
        <f t="shared" si="13"/>
        <v>83.008690440515437</v>
      </c>
      <c r="O25" s="375">
        <f t="shared" si="13"/>
        <v>73.344321246628709</v>
      </c>
      <c r="P25" s="375">
        <f t="shared" si="13"/>
        <v>88.402756967335932</v>
      </c>
      <c r="Q25" s="375">
        <f t="shared" si="13"/>
        <v>88.777344920587367</v>
      </c>
      <c r="R25" s="109">
        <f t="shared" si="7"/>
        <v>1000</v>
      </c>
      <c r="S25" s="7">
        <f t="shared" si="8"/>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41461.343000000001</v>
      </c>
      <c r="B26" s="15" t="s">
        <v>5</v>
      </c>
      <c r="C26" s="14"/>
      <c r="D26" s="13">
        <f t="shared" si="11"/>
        <v>0</v>
      </c>
      <c r="E26" s="7"/>
      <c r="F26" s="375">
        <f t="shared" si="12"/>
        <v>0</v>
      </c>
      <c r="G26" s="375">
        <f t="shared" si="13"/>
        <v>0</v>
      </c>
      <c r="H26" s="375">
        <f t="shared" si="13"/>
        <v>0</v>
      </c>
      <c r="I26" s="375">
        <f t="shared" si="13"/>
        <v>0</v>
      </c>
      <c r="J26" s="375">
        <f t="shared" si="13"/>
        <v>0</v>
      </c>
      <c r="K26" s="375">
        <f t="shared" si="13"/>
        <v>0</v>
      </c>
      <c r="L26" s="375">
        <f t="shared" si="13"/>
        <v>0</v>
      </c>
      <c r="M26" s="375">
        <f t="shared" si="13"/>
        <v>0</v>
      </c>
      <c r="N26" s="375">
        <f t="shared" si="13"/>
        <v>0</v>
      </c>
      <c r="O26" s="375">
        <f t="shared" si="13"/>
        <v>0</v>
      </c>
      <c r="P26" s="375">
        <f t="shared" si="13"/>
        <v>0</v>
      </c>
      <c r="Q26" s="375">
        <f t="shared" si="13"/>
        <v>0</v>
      </c>
      <c r="R26" s="109">
        <f t="shared" si="7"/>
        <v>0</v>
      </c>
      <c r="S26" s="7">
        <f t="shared" si="8"/>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41490.343000000001</v>
      </c>
      <c r="B27" s="15" t="s">
        <v>4</v>
      </c>
      <c r="C27" s="14">
        <f>'[6]Business Office'!$J$29</f>
        <v>35</v>
      </c>
      <c r="D27" s="13">
        <f t="shared" si="11"/>
        <v>2.622115672759964E-3</v>
      </c>
      <c r="E27" s="7"/>
      <c r="F27" s="375">
        <f t="shared" si="12"/>
        <v>2.8240185795624813</v>
      </c>
      <c r="G27" s="375">
        <f t="shared" si="13"/>
        <v>2.6876685645789631</v>
      </c>
      <c r="H27" s="375">
        <f t="shared" si="13"/>
        <v>2.464788732394366</v>
      </c>
      <c r="I27" s="375">
        <f t="shared" si="13"/>
        <v>2.8895714713814802</v>
      </c>
      <c r="J27" s="375">
        <f t="shared" si="13"/>
        <v>3.0180551393467185</v>
      </c>
      <c r="K27" s="375">
        <f t="shared" si="13"/>
        <v>3.2776445909499552</v>
      </c>
      <c r="L27" s="375">
        <f t="shared" si="13"/>
        <v>2.9918339826191191</v>
      </c>
      <c r="M27" s="375">
        <f t="shared" si="13"/>
        <v>3.1727599640395563</v>
      </c>
      <c r="N27" s="375">
        <f t="shared" si="13"/>
        <v>2.9053041654180403</v>
      </c>
      <c r="O27" s="375">
        <f t="shared" si="13"/>
        <v>2.5670512436320045</v>
      </c>
      <c r="P27" s="375">
        <f t="shared" si="13"/>
        <v>3.0940964938567577</v>
      </c>
      <c r="Q27" s="375">
        <f t="shared" si="13"/>
        <v>3.1072070722205574</v>
      </c>
      <c r="R27" s="109">
        <f t="shared" si="7"/>
        <v>35</v>
      </c>
      <c r="S27" s="7">
        <f t="shared" si="8"/>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41509.343000000001</v>
      </c>
      <c r="B28" s="15" t="s">
        <v>3</v>
      </c>
      <c r="C28" s="14">
        <f>'[6]Business Office'!$J$30</f>
        <v>7800</v>
      </c>
      <c r="D28" s="13">
        <f t="shared" si="11"/>
        <v>0.58435720707222061</v>
      </c>
      <c r="E28" s="7"/>
      <c r="F28" s="375">
        <f t="shared" si="12"/>
        <v>629.35271201678154</v>
      </c>
      <c r="G28" s="375">
        <f t="shared" si="13"/>
        <v>598.96613724902613</v>
      </c>
      <c r="H28" s="375">
        <f t="shared" si="13"/>
        <v>549.29577464788736</v>
      </c>
      <c r="I28" s="375">
        <f t="shared" si="13"/>
        <v>643.96164219358707</v>
      </c>
      <c r="J28" s="375">
        <f t="shared" si="13"/>
        <v>672.5951453401259</v>
      </c>
      <c r="K28" s="375">
        <f t="shared" si="13"/>
        <v>730.44650884027578</v>
      </c>
      <c r="L28" s="375">
        <f t="shared" si="13"/>
        <v>666.75157326940371</v>
      </c>
      <c r="M28" s="375">
        <f t="shared" si="13"/>
        <v>707.07222055738691</v>
      </c>
      <c r="N28" s="375">
        <f t="shared" si="13"/>
        <v>647.46778543602045</v>
      </c>
      <c r="O28" s="375">
        <f t="shared" si="13"/>
        <v>572.085705723704</v>
      </c>
      <c r="P28" s="375">
        <f t="shared" si="13"/>
        <v>689.54150434522035</v>
      </c>
      <c r="Q28" s="375">
        <f t="shared" si="13"/>
        <v>692.46329038058138</v>
      </c>
      <c r="R28" s="109">
        <f t="shared" si="7"/>
        <v>7800.0000000000009</v>
      </c>
      <c r="S28" s="7">
        <f t="shared" si="8"/>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41570.343000000001</v>
      </c>
      <c r="B29" s="15" t="s">
        <v>2</v>
      </c>
      <c r="C29" s="14"/>
      <c r="D29" s="13">
        <f t="shared" si="11"/>
        <v>0</v>
      </c>
      <c r="E29" s="7"/>
      <c r="F29" s="375">
        <f t="shared" si="12"/>
        <v>0</v>
      </c>
      <c r="G29" s="375">
        <f t="shared" si="12"/>
        <v>0</v>
      </c>
      <c r="H29" s="375">
        <f t="shared" si="12"/>
        <v>0</v>
      </c>
      <c r="I29" s="375">
        <f t="shared" si="12"/>
        <v>0</v>
      </c>
      <c r="J29" s="375">
        <f t="shared" si="12"/>
        <v>0</v>
      </c>
      <c r="K29" s="375">
        <f t="shared" si="12"/>
        <v>0</v>
      </c>
      <c r="L29" s="375">
        <f t="shared" si="12"/>
        <v>0</v>
      </c>
      <c r="M29" s="375">
        <f t="shared" si="12"/>
        <v>0</v>
      </c>
      <c r="N29" s="375">
        <f t="shared" si="12"/>
        <v>0</v>
      </c>
      <c r="O29" s="375">
        <f t="shared" si="12"/>
        <v>0</v>
      </c>
      <c r="P29" s="375">
        <f t="shared" si="12"/>
        <v>0</v>
      </c>
      <c r="Q29" s="375">
        <f t="shared" si="12"/>
        <v>0</v>
      </c>
      <c r="R29" s="109">
        <f t="shared" si="7"/>
        <v>0</v>
      </c>
      <c r="S29" s="7">
        <f t="shared" si="8"/>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5" customFormat="1" x14ac:dyDescent="0.2">
      <c r="A30" s="11"/>
      <c r="B30" s="10" t="s">
        <v>0</v>
      </c>
      <c r="C30" s="8">
        <f>SUM(C11:C29)</f>
        <v>309220.96434499999</v>
      </c>
      <c r="D30" s="9">
        <f>SUM(D11:D29)</f>
        <v>22.523316638214805</v>
      </c>
      <c r="E30" s="104"/>
      <c r="F30" s="394">
        <f t="shared" ref="F30:Q30" si="18">SUM(F11:F29)</f>
        <v>25876.08410749317</v>
      </c>
      <c r="G30" s="394">
        <f t="shared" si="18"/>
        <v>24923.654081328037</v>
      </c>
      <c r="H30" s="394">
        <f t="shared" si="18"/>
        <v>24941.604110489876</v>
      </c>
      <c r="I30" s="394">
        <f t="shared" si="18"/>
        <v>26046.609654391581</v>
      </c>
      <c r="J30" s="394">
        <f t="shared" si="18"/>
        <v>24587.629060463154</v>
      </c>
      <c r="K30" s="394">
        <f t="shared" si="18"/>
        <v>27056.12089203018</v>
      </c>
      <c r="L30" s="394">
        <f t="shared" si="18"/>
        <v>25714.892618936672</v>
      </c>
      <c r="M30" s="394">
        <f t="shared" si="18"/>
        <v>26783.280016992718</v>
      </c>
      <c r="N30" s="394">
        <f t="shared" si="18"/>
        <v>25489.798897030763</v>
      </c>
      <c r="O30" s="394">
        <f t="shared" si="18"/>
        <v>25207.6239636514</v>
      </c>
      <c r="P30" s="394">
        <f t="shared" si="18"/>
        <v>26578.649360714619</v>
      </c>
      <c r="Q30" s="394">
        <f t="shared" si="18"/>
        <v>26015.017581477878</v>
      </c>
      <c r="R30" s="109">
        <f t="shared" si="7"/>
        <v>309220.96434499999</v>
      </c>
      <c r="S30" s="7">
        <f t="shared" si="8"/>
        <v>0</v>
      </c>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row>
    <row r="31" spans="1:58" x14ac:dyDescent="0.2">
      <c r="F31" s="3"/>
    </row>
    <row r="32" spans="1:58" x14ac:dyDescent="0.2">
      <c r="A32" s="4"/>
      <c r="C32" s="3"/>
      <c r="F32" s="3"/>
      <c r="G32" s="3"/>
      <c r="H32" s="3"/>
      <c r="I32" s="3"/>
      <c r="J32" s="3"/>
      <c r="K32" s="3"/>
      <c r="L32" s="3"/>
      <c r="M32" s="3"/>
      <c r="N32" s="3"/>
      <c r="O32" s="3"/>
      <c r="P32" s="3"/>
      <c r="Q32" s="3"/>
    </row>
    <row r="33" spans="1:17" x14ac:dyDescent="0.2">
      <c r="A33" s="4"/>
      <c r="C33" s="3"/>
      <c r="F33" s="3"/>
      <c r="G33" s="3"/>
      <c r="H33" s="3"/>
      <c r="I33" s="3"/>
      <c r="J33" s="3"/>
      <c r="K33" s="3"/>
      <c r="L33" s="3"/>
      <c r="M33" s="3"/>
      <c r="N33" s="3"/>
      <c r="O33" s="3"/>
      <c r="P33" s="3"/>
      <c r="Q33" s="3"/>
    </row>
    <row r="34" spans="1:17" x14ac:dyDescent="0.2">
      <c r="C34" s="3"/>
      <c r="F34" s="3"/>
      <c r="G34" s="3"/>
      <c r="H34" s="3"/>
      <c r="I34" s="3"/>
      <c r="J34" s="3"/>
      <c r="K34" s="3"/>
      <c r="L34" s="3"/>
      <c r="M34" s="3"/>
      <c r="N34" s="3"/>
      <c r="O34" s="3"/>
      <c r="P34" s="3"/>
      <c r="Q34" s="3"/>
    </row>
  </sheetData>
  <mergeCells count="1">
    <mergeCell ref="A9:D9"/>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 xml:space="preserve">&amp;R&amp;A
</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8"/>
  <sheetViews>
    <sheetView zoomScale="80" zoomScaleNormal="80" workbookViewId="0">
      <pane xSplit="2" ySplit="6" topLeftCell="C7" activePane="bottomRight" state="frozen"/>
      <selection pane="topRight" activeCell="C1" sqref="C1"/>
      <selection pane="bottomLeft" activeCell="A7" sqref="A7"/>
      <selection pane="bottomRight" activeCell="K37" sqref="K37"/>
    </sheetView>
  </sheetViews>
  <sheetFormatPr defaultRowHeight="12.75" x14ac:dyDescent="0.2"/>
  <cols>
    <col min="1" max="1" width="11" style="2" bestFit="1" customWidth="1"/>
    <col min="2" max="2" width="27.140625" style="2" customWidth="1"/>
    <col min="3" max="3" width="13.140625" style="2" bestFit="1" customWidth="1"/>
    <col min="4" max="4" width="8.42578125" style="4" customWidth="1"/>
    <col min="5" max="5" width="4.85546875" style="4" customWidth="1"/>
    <col min="6" max="6" width="13.140625" style="2" bestFit="1" customWidth="1"/>
    <col min="7" max="7" width="13.140625" style="2" customWidth="1"/>
    <col min="8" max="10" width="13.140625" style="2" bestFit="1" customWidth="1"/>
    <col min="11" max="11" width="14.28515625" style="2" bestFit="1" customWidth="1"/>
    <col min="12" max="12" width="12.85546875" style="2" bestFit="1" customWidth="1"/>
    <col min="13" max="13" width="14.28515625" style="2" bestFit="1" customWidth="1"/>
    <col min="14" max="16" width="12.85546875" style="2" bestFit="1" customWidth="1"/>
    <col min="17" max="17" width="14.28515625" style="2" bestFit="1" customWidth="1"/>
    <col min="18" max="18" width="13.8554687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71">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131">
        <f>'MO STATS'!P87</f>
        <v>57</v>
      </c>
      <c r="R2" s="3">
        <f>SUM(F2:Q2)</f>
        <v>663</v>
      </c>
      <c r="S2" s="34">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131">
        <f>'MO STATS'!P88</f>
        <v>1808</v>
      </c>
      <c r="R3" s="3">
        <f t="shared" ref="R3:R4" si="0">SUM(F3:Q3)</f>
        <v>20375</v>
      </c>
      <c r="S3" s="34">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131">
        <f>'MO STATS'!P89</f>
        <v>1865</v>
      </c>
      <c r="R4" s="3">
        <f t="shared" si="0"/>
        <v>21038</v>
      </c>
      <c r="S4" s="34">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row>
    <row r="9" spans="1:58" x14ac:dyDescent="0.2">
      <c r="A9" s="21"/>
      <c r="B9" s="10" t="s">
        <v>607</v>
      </c>
      <c r="C9" s="20"/>
      <c r="D9" s="19" t="s">
        <v>596</v>
      </c>
      <c r="E9" s="111"/>
    </row>
    <row r="10" spans="1:58" s="12" customFormat="1" x14ac:dyDescent="0.2">
      <c r="A10" s="87">
        <v>41101.343999999997</v>
      </c>
      <c r="B10" s="15" t="s">
        <v>22</v>
      </c>
      <c r="C10" s="14"/>
      <c r="D10" s="13">
        <f>$C10/C$4</f>
        <v>0</v>
      </c>
      <c r="E10" s="7"/>
      <c r="F10" s="375">
        <f>$D10*F$4</f>
        <v>0</v>
      </c>
      <c r="G10" s="375">
        <f t="shared" ref="G10:Q20" si="2">$D10*G$4</f>
        <v>0</v>
      </c>
      <c r="H10" s="375">
        <f t="shared" si="2"/>
        <v>0</v>
      </c>
      <c r="I10" s="375">
        <f t="shared" si="2"/>
        <v>0</v>
      </c>
      <c r="J10" s="375">
        <f t="shared" si="2"/>
        <v>0</v>
      </c>
      <c r="K10" s="375">
        <f t="shared" si="2"/>
        <v>0</v>
      </c>
      <c r="L10" s="375">
        <f t="shared" si="2"/>
        <v>0</v>
      </c>
      <c r="M10" s="375">
        <f t="shared" si="2"/>
        <v>0</v>
      </c>
      <c r="N10" s="375">
        <f t="shared" si="2"/>
        <v>0</v>
      </c>
      <c r="O10" s="375">
        <f t="shared" si="2"/>
        <v>0</v>
      </c>
      <c r="P10" s="375">
        <f t="shared" si="2"/>
        <v>0</v>
      </c>
      <c r="Q10" s="375">
        <f t="shared" si="2"/>
        <v>0</v>
      </c>
      <c r="R10" s="376">
        <f t="shared" ref="R10:R21" si="3">SUM(F10:Q10)</f>
        <v>0</v>
      </c>
      <c r="S10" s="7">
        <f t="shared" ref="S10:S21" si="4">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41110.343999999997</v>
      </c>
      <c r="B11" s="15" t="s">
        <v>21</v>
      </c>
      <c r="C11" s="14"/>
      <c r="D11" s="13">
        <f t="shared" ref="D11:D20" si="5">$C11/C$4</f>
        <v>0</v>
      </c>
      <c r="E11" s="7"/>
      <c r="F11" s="375">
        <f t="shared" ref="F11:F20" si="6">$D11*F$4</f>
        <v>0</v>
      </c>
      <c r="G11" s="375">
        <f t="shared" si="2"/>
        <v>0</v>
      </c>
      <c r="H11" s="375">
        <f t="shared" si="2"/>
        <v>0</v>
      </c>
      <c r="I11" s="375">
        <f t="shared" si="2"/>
        <v>0</v>
      </c>
      <c r="J11" s="375">
        <f t="shared" si="2"/>
        <v>0</v>
      </c>
      <c r="K11" s="375">
        <f t="shared" si="2"/>
        <v>0</v>
      </c>
      <c r="L11" s="375">
        <f t="shared" si="2"/>
        <v>0</v>
      </c>
      <c r="M11" s="375">
        <f t="shared" si="2"/>
        <v>0</v>
      </c>
      <c r="N11" s="375">
        <f t="shared" si="2"/>
        <v>0</v>
      </c>
      <c r="O11" s="375">
        <f t="shared" si="2"/>
        <v>0</v>
      </c>
      <c r="P11" s="375">
        <f t="shared" si="2"/>
        <v>0</v>
      </c>
      <c r="Q11" s="375">
        <f t="shared" si="2"/>
        <v>0</v>
      </c>
      <c r="R11" s="376">
        <f t="shared" si="3"/>
        <v>0</v>
      </c>
      <c r="S11" s="7">
        <f t="shared" si="4"/>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41115.343999999997</v>
      </c>
      <c r="B12" s="15" t="s">
        <v>20</v>
      </c>
      <c r="C12" s="14"/>
      <c r="D12" s="13">
        <f t="shared" si="5"/>
        <v>0</v>
      </c>
      <c r="E12" s="7"/>
      <c r="F12" s="375">
        <f t="shared" si="6"/>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376">
        <f t="shared" si="3"/>
        <v>0</v>
      </c>
      <c r="S12" s="7">
        <f t="shared" si="4"/>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41150.343999999997</v>
      </c>
      <c r="B13" s="15" t="s">
        <v>19</v>
      </c>
      <c r="C13" s="18"/>
      <c r="D13" s="13">
        <f t="shared" si="5"/>
        <v>0</v>
      </c>
      <c r="E13" s="7"/>
      <c r="F13" s="375">
        <f t="shared" si="6"/>
        <v>0</v>
      </c>
      <c r="G13" s="375">
        <f t="shared" si="2"/>
        <v>0</v>
      </c>
      <c r="H13" s="375">
        <f t="shared" si="2"/>
        <v>0</v>
      </c>
      <c r="I13" s="375">
        <f t="shared" si="2"/>
        <v>0</v>
      </c>
      <c r="J13" s="375">
        <f t="shared" si="2"/>
        <v>0</v>
      </c>
      <c r="K13" s="375">
        <f t="shared" si="2"/>
        <v>0</v>
      </c>
      <c r="L13" s="375">
        <f t="shared" si="2"/>
        <v>0</v>
      </c>
      <c r="M13" s="375">
        <f t="shared" si="2"/>
        <v>0</v>
      </c>
      <c r="N13" s="375">
        <f t="shared" si="2"/>
        <v>0</v>
      </c>
      <c r="O13" s="375">
        <f t="shared" si="2"/>
        <v>0</v>
      </c>
      <c r="P13" s="375">
        <f t="shared" si="2"/>
        <v>0</v>
      </c>
      <c r="Q13" s="375">
        <f t="shared" si="2"/>
        <v>0</v>
      </c>
      <c r="R13" s="376">
        <f t="shared" si="3"/>
        <v>0</v>
      </c>
      <c r="S13" s="7">
        <f t="shared" si="4"/>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41152.344299999997</v>
      </c>
      <c r="B14" s="15" t="s">
        <v>18</v>
      </c>
      <c r="C14" s="17"/>
      <c r="D14" s="13">
        <f t="shared" si="5"/>
        <v>0</v>
      </c>
      <c r="E14" s="7"/>
      <c r="F14" s="375">
        <f t="shared" si="6"/>
        <v>0</v>
      </c>
      <c r="G14" s="375">
        <f t="shared" si="2"/>
        <v>0</v>
      </c>
      <c r="H14" s="375">
        <f t="shared" si="2"/>
        <v>0</v>
      </c>
      <c r="I14" s="375">
        <f t="shared" si="2"/>
        <v>0</v>
      </c>
      <c r="J14" s="375">
        <f t="shared" si="2"/>
        <v>0</v>
      </c>
      <c r="K14" s="375">
        <f t="shared" si="2"/>
        <v>0</v>
      </c>
      <c r="L14" s="375">
        <f t="shared" si="2"/>
        <v>0</v>
      </c>
      <c r="M14" s="375">
        <f t="shared" si="2"/>
        <v>0</v>
      </c>
      <c r="N14" s="375">
        <f t="shared" si="2"/>
        <v>0</v>
      </c>
      <c r="O14" s="375">
        <f t="shared" si="2"/>
        <v>0</v>
      </c>
      <c r="P14" s="375">
        <f t="shared" si="2"/>
        <v>0</v>
      </c>
      <c r="Q14" s="375">
        <f t="shared" si="2"/>
        <v>0</v>
      </c>
      <c r="R14" s="376">
        <f t="shared" si="3"/>
        <v>0</v>
      </c>
      <c r="S14" s="7">
        <f t="shared" si="4"/>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41200.343999999997</v>
      </c>
      <c r="B15" s="15" t="s">
        <v>608</v>
      </c>
      <c r="C15" s="17">
        <f>'[6]Credit &amp; Collection'!$I$15</f>
        <v>1152960.7989712004</v>
      </c>
      <c r="D15" s="13">
        <f t="shared" si="5"/>
        <v>54.803726541078063</v>
      </c>
      <c r="E15" s="7"/>
      <c r="F15" s="375">
        <f t="shared" si="6"/>
        <v>93385.550025997014</v>
      </c>
      <c r="G15" s="375">
        <f t="shared" si="2"/>
        <v>89165.663082334009</v>
      </c>
      <c r="H15" s="375">
        <f t="shared" si="2"/>
        <v>85713.028310246096</v>
      </c>
      <c r="I15" s="375">
        <f t="shared" si="2"/>
        <v>95687.306540722304</v>
      </c>
      <c r="J15" s="375">
        <f t="shared" si="2"/>
        <v>97167.007157331405</v>
      </c>
      <c r="K15" s="375">
        <f t="shared" si="2"/>
        <v>106154.81831006821</v>
      </c>
      <c r="L15" s="375">
        <f t="shared" si="2"/>
        <v>98098.670508529729</v>
      </c>
      <c r="M15" s="375">
        <f t="shared" si="2"/>
        <v>104017.47297496616</v>
      </c>
      <c r="N15" s="375">
        <f t="shared" si="2"/>
        <v>95139.269275311512</v>
      </c>
      <c r="O15" s="375">
        <f t="shared" si="2"/>
        <v>85987.046942951478</v>
      </c>
      <c r="P15" s="375">
        <f t="shared" si="2"/>
        <v>100236.01584363177</v>
      </c>
      <c r="Q15" s="375">
        <f t="shared" si="2"/>
        <v>102208.94999911058</v>
      </c>
      <c r="R15" s="376">
        <f t="shared" ref="R15:R16" si="7">SUM(F15:Q15)</f>
        <v>1152960.7989712004</v>
      </c>
      <c r="S15" s="7">
        <f t="shared" ref="S15:S16" si="8">C15-R15</f>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41206.343999999997</v>
      </c>
      <c r="B16" s="15" t="s">
        <v>609</v>
      </c>
      <c r="C16" s="17">
        <f>'[6]Credit &amp; Collection'!$I$16</f>
        <v>-75433.788772786851</v>
      </c>
      <c r="D16" s="13">
        <f t="shared" si="5"/>
        <v>-3.585596956592207</v>
      </c>
      <c r="E16" s="7"/>
      <c r="F16" s="375">
        <f t="shared" si="6"/>
        <v>-6109.8572140331207</v>
      </c>
      <c r="G16" s="375">
        <f t="shared" si="2"/>
        <v>-5833.7662483755212</v>
      </c>
      <c r="H16" s="375">
        <f t="shared" si="2"/>
        <v>-5607.8736401102115</v>
      </c>
      <c r="I16" s="375">
        <f t="shared" si="2"/>
        <v>-6260.4522862099939</v>
      </c>
      <c r="J16" s="375">
        <f t="shared" si="2"/>
        <v>-6357.2634040379826</v>
      </c>
      <c r="K16" s="375">
        <f t="shared" si="2"/>
        <v>-6945.301304919105</v>
      </c>
      <c r="L16" s="375">
        <f t="shared" si="2"/>
        <v>-6418.2185523000508</v>
      </c>
      <c r="M16" s="375">
        <f t="shared" si="2"/>
        <v>-6805.4630236120092</v>
      </c>
      <c r="N16" s="375">
        <f t="shared" si="2"/>
        <v>-6224.5963166440715</v>
      </c>
      <c r="O16" s="375">
        <f t="shared" si="2"/>
        <v>-5625.8016248931726</v>
      </c>
      <c r="P16" s="375">
        <f t="shared" si="2"/>
        <v>-6558.0568336071465</v>
      </c>
      <c r="Q16" s="375">
        <f t="shared" si="2"/>
        <v>-6687.1383240444657</v>
      </c>
      <c r="R16" s="376">
        <f t="shared" si="7"/>
        <v>-75433.788772786851</v>
      </c>
      <c r="S16" s="7">
        <f t="shared" si="8"/>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41237.343999999997</v>
      </c>
      <c r="B17" s="15" t="s">
        <v>17</v>
      </c>
      <c r="C17" s="17"/>
      <c r="D17" s="13">
        <f t="shared" si="5"/>
        <v>0</v>
      </c>
      <c r="E17" s="7"/>
      <c r="F17" s="375">
        <f t="shared" si="6"/>
        <v>0</v>
      </c>
      <c r="G17" s="375">
        <f t="shared" si="2"/>
        <v>0</v>
      </c>
      <c r="H17" s="375">
        <f t="shared" si="2"/>
        <v>0</v>
      </c>
      <c r="I17" s="375">
        <f t="shared" si="2"/>
        <v>0</v>
      </c>
      <c r="J17" s="375">
        <f t="shared" si="2"/>
        <v>0</v>
      </c>
      <c r="K17" s="375">
        <f t="shared" si="2"/>
        <v>0</v>
      </c>
      <c r="L17" s="375">
        <f t="shared" si="2"/>
        <v>0</v>
      </c>
      <c r="M17" s="375">
        <f t="shared" si="2"/>
        <v>0</v>
      </c>
      <c r="N17" s="375">
        <f t="shared" si="2"/>
        <v>0</v>
      </c>
      <c r="O17" s="375">
        <f t="shared" si="2"/>
        <v>0</v>
      </c>
      <c r="P17" s="375">
        <f t="shared" si="2"/>
        <v>0</v>
      </c>
      <c r="Q17" s="375">
        <f t="shared" si="2"/>
        <v>0</v>
      </c>
      <c r="R17" s="376">
        <f t="shared" si="3"/>
        <v>0</v>
      </c>
      <c r="S17" s="7">
        <f t="shared" si="4"/>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41246.343999999997</v>
      </c>
      <c r="B18" s="15" t="s">
        <v>16</v>
      </c>
      <c r="C18" s="14"/>
      <c r="D18" s="13">
        <f t="shared" si="5"/>
        <v>0</v>
      </c>
      <c r="E18" s="7"/>
      <c r="F18" s="375">
        <f t="shared" si="6"/>
        <v>0</v>
      </c>
      <c r="G18" s="375">
        <f t="shared" si="2"/>
        <v>0</v>
      </c>
      <c r="H18" s="375">
        <f t="shared" si="2"/>
        <v>0</v>
      </c>
      <c r="I18" s="375">
        <f t="shared" si="2"/>
        <v>0</v>
      </c>
      <c r="J18" s="375">
        <f t="shared" si="2"/>
        <v>0</v>
      </c>
      <c r="K18" s="375">
        <f t="shared" si="2"/>
        <v>0</v>
      </c>
      <c r="L18" s="375">
        <f t="shared" si="2"/>
        <v>0</v>
      </c>
      <c r="M18" s="375">
        <f t="shared" si="2"/>
        <v>0</v>
      </c>
      <c r="N18" s="375">
        <f t="shared" si="2"/>
        <v>0</v>
      </c>
      <c r="O18" s="375">
        <f t="shared" si="2"/>
        <v>0</v>
      </c>
      <c r="P18" s="375">
        <f t="shared" si="2"/>
        <v>0</v>
      </c>
      <c r="Q18" s="375">
        <f t="shared" si="2"/>
        <v>0</v>
      </c>
      <c r="R18" s="376">
        <f t="shared" si="3"/>
        <v>0</v>
      </c>
      <c r="S18" s="7">
        <f t="shared" si="4"/>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41250.343999999997</v>
      </c>
      <c r="B19" s="15" t="s">
        <v>15</v>
      </c>
      <c r="C19" s="14"/>
      <c r="D19" s="13">
        <f t="shared" si="5"/>
        <v>0</v>
      </c>
      <c r="E19" s="7"/>
      <c r="F19" s="375">
        <f t="shared" si="6"/>
        <v>0</v>
      </c>
      <c r="G19" s="375">
        <f t="shared" si="2"/>
        <v>0</v>
      </c>
      <c r="H19" s="375">
        <f t="shared" si="2"/>
        <v>0</v>
      </c>
      <c r="I19" s="375">
        <f t="shared" si="2"/>
        <v>0</v>
      </c>
      <c r="J19" s="375">
        <f t="shared" si="2"/>
        <v>0</v>
      </c>
      <c r="K19" s="375">
        <f t="shared" si="2"/>
        <v>0</v>
      </c>
      <c r="L19" s="375">
        <f t="shared" si="2"/>
        <v>0</v>
      </c>
      <c r="M19" s="375">
        <f t="shared" si="2"/>
        <v>0</v>
      </c>
      <c r="N19" s="375">
        <f t="shared" si="2"/>
        <v>0</v>
      </c>
      <c r="O19" s="375">
        <f t="shared" si="2"/>
        <v>0</v>
      </c>
      <c r="P19" s="375">
        <f t="shared" si="2"/>
        <v>0</v>
      </c>
      <c r="Q19" s="375">
        <f t="shared" si="2"/>
        <v>0</v>
      </c>
      <c r="R19" s="376">
        <f t="shared" si="3"/>
        <v>0</v>
      </c>
      <c r="S19" s="7">
        <f t="shared" si="4"/>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41321.343999999997</v>
      </c>
      <c r="B20" s="15" t="s">
        <v>610</v>
      </c>
      <c r="C20" s="14">
        <f>'[6]Credit &amp; Collection'!$I$17</f>
        <v>60994.490432570179</v>
      </c>
      <c r="D20" s="13">
        <f t="shared" si="5"/>
        <v>2.8992532765743024</v>
      </c>
      <c r="E20" s="7"/>
      <c r="F20" s="375">
        <f t="shared" si="6"/>
        <v>4940.3275832826112</v>
      </c>
      <c r="G20" s="375">
        <f t="shared" si="2"/>
        <v>4717.0850809863905</v>
      </c>
      <c r="H20" s="375">
        <f t="shared" si="2"/>
        <v>4534.4321245622086</v>
      </c>
      <c r="I20" s="375">
        <f t="shared" si="2"/>
        <v>5062.0962208987321</v>
      </c>
      <c r="J20" s="375">
        <f t="shared" si="2"/>
        <v>5140.3760593662382</v>
      </c>
      <c r="K20" s="375">
        <f t="shared" si="2"/>
        <v>5615.8535967244234</v>
      </c>
      <c r="L20" s="375">
        <f t="shared" si="2"/>
        <v>5189.6633650680014</v>
      </c>
      <c r="M20" s="375">
        <f t="shared" si="2"/>
        <v>5502.7827189380259</v>
      </c>
      <c r="N20" s="375">
        <f t="shared" si="2"/>
        <v>5033.1036881329892</v>
      </c>
      <c r="O20" s="375">
        <f t="shared" si="2"/>
        <v>4548.9283909450805</v>
      </c>
      <c r="P20" s="375">
        <f t="shared" si="2"/>
        <v>5302.7342428543989</v>
      </c>
      <c r="Q20" s="375">
        <f t="shared" si="2"/>
        <v>5407.1073608110737</v>
      </c>
      <c r="R20" s="376">
        <f t="shared" si="3"/>
        <v>60994.490432570179</v>
      </c>
      <c r="S20" s="7">
        <f t="shared" si="4"/>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5" customFormat="1" x14ac:dyDescent="0.2">
      <c r="A21" s="11"/>
      <c r="B21" s="10" t="s">
        <v>0</v>
      </c>
      <c r="C21" s="8">
        <f>SUM(C10:C20)</f>
        <v>1138521.5006309836</v>
      </c>
      <c r="D21" s="9">
        <f>SUM(D10:D20)</f>
        <v>54.117382861060157</v>
      </c>
      <c r="E21" s="104"/>
      <c r="F21" s="395">
        <f t="shared" ref="F21:Q21" si="9">SUM(F10:F20)</f>
        <v>92216.020395246509</v>
      </c>
      <c r="G21" s="395">
        <f t="shared" si="9"/>
        <v>88048.981914944874</v>
      </c>
      <c r="H21" s="395">
        <f t="shared" si="9"/>
        <v>84639.586794698102</v>
      </c>
      <c r="I21" s="395">
        <f t="shared" si="9"/>
        <v>94488.950475411038</v>
      </c>
      <c r="J21" s="395">
        <f t="shared" si="9"/>
        <v>95950.119812659672</v>
      </c>
      <c r="K21" s="395">
        <f t="shared" si="9"/>
        <v>104825.37060187352</v>
      </c>
      <c r="L21" s="395">
        <f t="shared" si="9"/>
        <v>96870.115321297679</v>
      </c>
      <c r="M21" s="395">
        <f t="shared" si="9"/>
        <v>102714.79267029217</v>
      </c>
      <c r="N21" s="395">
        <f t="shared" si="9"/>
        <v>93947.776646800427</v>
      </c>
      <c r="O21" s="395">
        <f t="shared" si="9"/>
        <v>84910.173709003386</v>
      </c>
      <c r="P21" s="395">
        <f t="shared" si="9"/>
        <v>98980.69325287902</v>
      </c>
      <c r="Q21" s="395">
        <f t="shared" si="9"/>
        <v>100928.91903587719</v>
      </c>
      <c r="R21" s="109">
        <f t="shared" si="3"/>
        <v>1138521.5006309836</v>
      </c>
      <c r="S21" s="104">
        <f t="shared" si="4"/>
        <v>0</v>
      </c>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row>
    <row r="22" spans="1:58" x14ac:dyDescent="0.2">
      <c r="F22" s="376"/>
      <c r="G22" s="160"/>
      <c r="H22" s="160"/>
      <c r="I22" s="160"/>
      <c r="J22" s="160"/>
      <c r="K22" s="160"/>
      <c r="L22" s="160"/>
      <c r="M22" s="160"/>
      <c r="N22" s="160"/>
      <c r="O22" s="160"/>
      <c r="P22" s="160"/>
      <c r="Q22" s="160"/>
      <c r="R22" s="376"/>
    </row>
    <row r="23" spans="1:58" x14ac:dyDescent="0.2">
      <c r="A23" s="4"/>
      <c r="C23" s="3"/>
      <c r="F23" s="3"/>
      <c r="G23" s="3"/>
      <c r="H23" s="3"/>
      <c r="I23" s="3"/>
      <c r="J23" s="3"/>
      <c r="K23" s="3"/>
      <c r="L23" s="3"/>
      <c r="M23" s="3"/>
      <c r="N23" s="3"/>
      <c r="O23" s="3"/>
      <c r="P23" s="3"/>
      <c r="Q23" s="3"/>
    </row>
    <row r="24" spans="1:58" x14ac:dyDescent="0.2">
      <c r="A24" s="4"/>
      <c r="C24" s="3"/>
      <c r="F24" s="3"/>
      <c r="G24" s="3"/>
      <c r="H24" s="3"/>
      <c r="I24" s="3"/>
      <c r="J24" s="3"/>
      <c r="K24" s="3"/>
      <c r="L24" s="3"/>
      <c r="M24" s="3"/>
      <c r="N24" s="3"/>
      <c r="O24" s="3"/>
      <c r="P24" s="3"/>
      <c r="Q24" s="3"/>
    </row>
    <row r="25" spans="1:58" x14ac:dyDescent="0.2">
      <c r="B25" s="2" t="s">
        <v>1086</v>
      </c>
      <c r="C25" s="3"/>
      <c r="F25" s="3"/>
      <c r="G25" s="3"/>
      <c r="H25" s="3"/>
      <c r="I25" s="3"/>
      <c r="J25" s="3"/>
      <c r="K25" s="3"/>
      <c r="L25" s="3"/>
      <c r="M25" s="3"/>
      <c r="N25" s="3"/>
      <c r="O25" s="3"/>
      <c r="P25" s="3"/>
      <c r="Q25" s="3"/>
    </row>
    <row r="32" spans="1:58" x14ac:dyDescent="0.2">
      <c r="B32" s="2" t="s">
        <v>1105</v>
      </c>
    </row>
    <row r="33" spans="2:3" x14ac:dyDescent="0.2">
      <c r="B33" s="2" t="str">
        <f>B15</f>
        <v xml:space="preserve">          PROV BAD DEBT - PATIENT</v>
      </c>
      <c r="C33" s="3">
        <f>C15</f>
        <v>1152960.7989712004</v>
      </c>
    </row>
    <row r="34" spans="2:3" x14ac:dyDescent="0.2">
      <c r="B34" s="2" t="str">
        <f>B16</f>
        <v xml:space="preserve">          RECOVERY BAD DEBT - PATIENT</v>
      </c>
      <c r="C34" s="3">
        <f>C16</f>
        <v>-75433.788772786851</v>
      </c>
    </row>
    <row r="35" spans="2:3" x14ac:dyDescent="0.2">
      <c r="C35" s="3">
        <f>SUM(C33:C34)</f>
        <v>1077527.0101984134</v>
      </c>
    </row>
    <row r="37" spans="2:3" x14ac:dyDescent="0.2">
      <c r="B37" s="2" t="s">
        <v>1106</v>
      </c>
    </row>
    <row r="38" spans="2:3" x14ac:dyDescent="0.2">
      <c r="B38" s="2" t="str">
        <f>B20</f>
        <v xml:space="preserve">          COLLECTION FEES</v>
      </c>
      <c r="C38" s="3">
        <f>C20</f>
        <v>60994.490432570179</v>
      </c>
    </row>
  </sheetData>
  <mergeCells count="1">
    <mergeCell ref="A8:D8"/>
  </mergeCells>
  <printOptions gridLines="1"/>
  <pageMargins left="0.25" right="0.25" top="0.75" bottom="0.75" header="0.3" footer="0.3"/>
  <pageSetup scale="58" orientation="landscape" r:id="rId1"/>
  <headerFooter alignWithMargins="0">
    <oddHeader xml:space="preserve">&amp;C&amp;"Arial,Bold"&amp;14DOCTORS MEMORIAL HOSPITAL
FY 2017 BUDGET
</oddHeader>
    <oddFooter xml:space="preserve">&amp;R&amp;A
</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26"/>
  <sheetViews>
    <sheetView zoomScale="80" zoomScaleNormal="80" workbookViewId="0">
      <pane xSplit="2" ySplit="7" topLeftCell="C8" activePane="bottomRight" state="frozen"/>
      <selection pane="topRight" activeCell="C1" sqref="C1"/>
      <selection pane="bottomLeft" activeCell="A8" sqref="A8"/>
      <selection pane="bottomRight" activeCell="M39" sqref="M39"/>
    </sheetView>
  </sheetViews>
  <sheetFormatPr defaultRowHeight="12.75" x14ac:dyDescent="0.2"/>
  <cols>
    <col min="1" max="1" width="11" style="2" bestFit="1" customWidth="1"/>
    <col min="2" max="2" width="22.42578125" style="2" customWidth="1"/>
    <col min="3" max="3" width="12.28515625" style="2" customWidth="1"/>
    <col min="4" max="4" width="9" style="4" customWidth="1"/>
    <col min="5" max="5" width="4.28515625" style="4" customWidth="1"/>
    <col min="6" max="6" width="12.85546875" style="2" bestFit="1" customWidth="1"/>
    <col min="7" max="7" width="13.85546875" style="2" bestFit="1" customWidth="1"/>
    <col min="8" max="16" width="11.28515625" style="2" bestFit="1" customWidth="1"/>
    <col min="17" max="17" width="12.7109375" style="2" bestFit="1" customWidth="1"/>
    <col min="18" max="18" width="12.710937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211" t="s">
        <v>161</v>
      </c>
      <c r="C2" s="189"/>
      <c r="D2" s="207"/>
      <c r="E2" s="207"/>
      <c r="R2" s="34"/>
      <c r="S2" s="34"/>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211" t="s">
        <v>162</v>
      </c>
      <c r="C3" s="4">
        <f>STATS!D97</f>
        <v>8425</v>
      </c>
      <c r="F3" s="306">
        <f>'MO STATS'!E93</f>
        <v>669</v>
      </c>
      <c r="G3" s="306">
        <f>'MO STATS'!F93</f>
        <v>670</v>
      </c>
      <c r="H3" s="306">
        <f>'MO STATS'!G93</f>
        <v>675</v>
      </c>
      <c r="I3" s="306">
        <f>'MO STATS'!H93</f>
        <v>696</v>
      </c>
      <c r="J3" s="306">
        <f>'MO STATS'!I93</f>
        <v>686</v>
      </c>
      <c r="K3" s="306">
        <f>'MO STATS'!J93</f>
        <v>742</v>
      </c>
      <c r="L3" s="306">
        <f>'MO STATS'!K93</f>
        <v>719</v>
      </c>
      <c r="M3" s="306">
        <f>'MO STATS'!L93</f>
        <v>759</v>
      </c>
      <c r="N3" s="306">
        <f>'MO STATS'!M93</f>
        <v>694</v>
      </c>
      <c r="O3" s="306">
        <f>'MO STATS'!N93</f>
        <v>648</v>
      </c>
      <c r="P3" s="306">
        <f>'MO STATS'!O93</f>
        <v>735</v>
      </c>
      <c r="Q3" s="306">
        <f>'MO STATS'!P93</f>
        <v>732</v>
      </c>
      <c r="R3" s="314">
        <f t="shared" ref="R3:R5" si="0">SUM(F3:Q3)</f>
        <v>8425</v>
      </c>
      <c r="S3" s="3">
        <f t="shared" ref="S3:S5"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211" t="s">
        <v>164</v>
      </c>
      <c r="C4" s="4">
        <f>STATS!D98</f>
        <v>13348</v>
      </c>
      <c r="F4" s="306">
        <f>'MO STATS'!E94</f>
        <v>1077</v>
      </c>
      <c r="G4" s="306">
        <f>'MO STATS'!F94</f>
        <v>1025</v>
      </c>
      <c r="H4" s="306">
        <f>'MO STATS'!G94</f>
        <v>940</v>
      </c>
      <c r="I4" s="306">
        <f>'MO STATS'!H94</f>
        <v>1102</v>
      </c>
      <c r="J4" s="306">
        <f>'MO STATS'!I94</f>
        <v>1151</v>
      </c>
      <c r="K4" s="306">
        <f>'MO STATS'!J94</f>
        <v>1250</v>
      </c>
      <c r="L4" s="306">
        <f>'MO STATS'!K94</f>
        <v>1141</v>
      </c>
      <c r="M4" s="306">
        <f>'MO STATS'!L94</f>
        <v>1210</v>
      </c>
      <c r="N4" s="306">
        <f>'MO STATS'!M94</f>
        <v>1108</v>
      </c>
      <c r="O4" s="306">
        <f>'MO STATS'!N94</f>
        <v>979</v>
      </c>
      <c r="P4" s="306">
        <f>'MO STATS'!O94</f>
        <v>1180</v>
      </c>
      <c r="Q4" s="306">
        <f>'MO STATS'!P94</f>
        <v>1185</v>
      </c>
      <c r="R4" s="314">
        <f t="shared" si="0"/>
        <v>13348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211" t="s">
        <v>166</v>
      </c>
      <c r="C5" s="4">
        <f>STATS!D99</f>
        <v>12057</v>
      </c>
      <c r="F5" s="306">
        <f>'MO STATS'!E95</f>
        <v>985</v>
      </c>
      <c r="G5" s="306">
        <f>'MO STATS'!F95</f>
        <v>915</v>
      </c>
      <c r="H5" s="306">
        <f>'MO STATS'!G95</f>
        <v>849</v>
      </c>
      <c r="I5" s="306">
        <f>'MO STATS'!H95</f>
        <v>1002</v>
      </c>
      <c r="J5" s="306">
        <f>'MO STATS'!I95</f>
        <v>1040</v>
      </c>
      <c r="K5" s="306">
        <f>'MO STATS'!J95</f>
        <v>1139</v>
      </c>
      <c r="L5" s="306">
        <f>'MO STATS'!K95</f>
        <v>1032</v>
      </c>
      <c r="M5" s="306">
        <f>'MO STATS'!L95</f>
        <v>1097</v>
      </c>
      <c r="N5" s="306">
        <f>'MO STATS'!M95</f>
        <v>997</v>
      </c>
      <c r="O5" s="306">
        <f>'MO STATS'!N95</f>
        <v>875</v>
      </c>
      <c r="P5" s="306">
        <f>'MO STATS'!O95</f>
        <v>1045</v>
      </c>
      <c r="Q5" s="306">
        <f>'MO STATS'!P95</f>
        <v>1081</v>
      </c>
      <c r="R5" s="314">
        <f t="shared" si="0"/>
        <v>12057</v>
      </c>
      <c r="S5" s="3">
        <f t="shared" si="1"/>
        <v>0</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940</v>
      </c>
      <c r="C6" s="421">
        <f>'[4]2017 FTEs'!$AS$41</f>
        <v>3</v>
      </c>
      <c r="F6" s="3"/>
      <c r="G6" s="3"/>
      <c r="H6" s="3"/>
      <c r="I6" s="3"/>
      <c r="J6" s="3"/>
      <c r="K6" s="3"/>
      <c r="L6" s="3"/>
      <c r="M6" s="3"/>
      <c r="N6" s="3"/>
      <c r="O6" s="3"/>
      <c r="P6" s="3"/>
      <c r="Q6" s="3"/>
      <c r="S6" s="3"/>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B7" s="38" t="s">
        <v>939</v>
      </c>
      <c r="C7" s="2">
        <f>C6*2080</f>
        <v>6240</v>
      </c>
      <c r="F7" s="3">
        <f>($C7/$R8)*F8</f>
        <v>529.97260273972609</v>
      </c>
      <c r="G7" s="3">
        <f t="shared" ref="G7:Q7" si="2">($C7/$R8)*G8</f>
        <v>512.8767123287671</v>
      </c>
      <c r="H7" s="3">
        <f t="shared" si="2"/>
        <v>529.97260273972609</v>
      </c>
      <c r="I7" s="3">
        <f t="shared" si="2"/>
        <v>529.97260273972609</v>
      </c>
      <c r="J7" s="3">
        <f t="shared" si="2"/>
        <v>478.68493150684935</v>
      </c>
      <c r="K7" s="3">
        <f t="shared" si="2"/>
        <v>529.97260273972609</v>
      </c>
      <c r="L7" s="3">
        <f t="shared" si="2"/>
        <v>512.8767123287671</v>
      </c>
      <c r="M7" s="3">
        <f t="shared" si="2"/>
        <v>529.97260273972609</v>
      </c>
      <c r="N7" s="3">
        <f t="shared" si="2"/>
        <v>512.8767123287671</v>
      </c>
      <c r="O7" s="3">
        <f t="shared" si="2"/>
        <v>529.97260273972609</v>
      </c>
      <c r="P7" s="3">
        <f t="shared" si="2"/>
        <v>529.97260273972609</v>
      </c>
      <c r="Q7" s="3">
        <f t="shared" si="2"/>
        <v>512.8767123287671</v>
      </c>
      <c r="R7" s="6">
        <f>SUM(F7:Q7)</f>
        <v>6240.0000000000009</v>
      </c>
      <c r="S7" s="3">
        <f>C7-R7</f>
        <v>0</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ht="12.75" customHeight="1" x14ac:dyDescent="0.2">
      <c r="F8" s="2">
        <v>31</v>
      </c>
      <c r="G8" s="2">
        <v>30</v>
      </c>
      <c r="H8" s="2">
        <v>31</v>
      </c>
      <c r="I8" s="2">
        <v>31</v>
      </c>
      <c r="J8" s="2">
        <v>28</v>
      </c>
      <c r="K8" s="2">
        <v>31</v>
      </c>
      <c r="L8" s="2">
        <v>30</v>
      </c>
      <c r="M8" s="2">
        <v>31</v>
      </c>
      <c r="N8" s="2">
        <v>30</v>
      </c>
      <c r="O8" s="2">
        <v>31</v>
      </c>
      <c r="P8" s="2">
        <v>31</v>
      </c>
      <c r="Q8" s="2">
        <v>30</v>
      </c>
      <c r="R8" s="6">
        <f t="shared" ref="R8" si="3">SUM(F8:Q8)</f>
        <v>365</v>
      </c>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row>
    <row r="9" spans="1:58" x14ac:dyDescent="0.2">
      <c r="A9" s="711" t="s">
        <v>25</v>
      </c>
      <c r="B9" s="711"/>
      <c r="C9" s="711"/>
      <c r="D9" s="711"/>
      <c r="E9" s="207"/>
    </row>
    <row r="10" spans="1:58" x14ac:dyDescent="0.2">
      <c r="A10" s="21"/>
      <c r="B10" s="10" t="s">
        <v>611</v>
      </c>
      <c r="C10" s="20"/>
      <c r="D10" s="19" t="s">
        <v>596</v>
      </c>
      <c r="E10" s="111"/>
    </row>
    <row r="11" spans="1:58" s="12" customFormat="1" x14ac:dyDescent="0.2">
      <c r="A11" s="87">
        <v>41101.345000000001</v>
      </c>
      <c r="B11" s="15" t="s">
        <v>22</v>
      </c>
      <c r="C11" s="428">
        <f>[6]Communications!$J$15</f>
        <v>64172.807999999997</v>
      </c>
      <c r="D11" s="429">
        <f>$C11/C$7</f>
        <v>10.284103846153846</v>
      </c>
      <c r="E11" s="7"/>
      <c r="F11" s="375">
        <f>$D11*F$7</f>
        <v>5450.2932821917811</v>
      </c>
      <c r="G11" s="375">
        <f t="shared" ref="G11:Q11" si="4">$D11*G$7</f>
        <v>5274.4773698630133</v>
      </c>
      <c r="H11" s="375">
        <f t="shared" si="4"/>
        <v>5450.2932821917811</v>
      </c>
      <c r="I11" s="375">
        <f t="shared" si="4"/>
        <v>5450.2932821917811</v>
      </c>
      <c r="J11" s="375">
        <f t="shared" si="4"/>
        <v>4922.8455452054795</v>
      </c>
      <c r="K11" s="375">
        <f t="shared" si="4"/>
        <v>5450.2932821917811</v>
      </c>
      <c r="L11" s="375">
        <f t="shared" si="4"/>
        <v>5274.4773698630133</v>
      </c>
      <c r="M11" s="375">
        <f t="shared" si="4"/>
        <v>5450.2932821917811</v>
      </c>
      <c r="N11" s="375">
        <f t="shared" si="4"/>
        <v>5274.4773698630133</v>
      </c>
      <c r="O11" s="375">
        <f t="shared" si="4"/>
        <v>5450.2932821917811</v>
      </c>
      <c r="P11" s="375">
        <f t="shared" si="4"/>
        <v>5450.2932821917811</v>
      </c>
      <c r="Q11" s="375">
        <f t="shared" si="4"/>
        <v>5274.4773698630133</v>
      </c>
      <c r="R11" s="109">
        <f t="shared" ref="R11:R22" si="5">SUM(F11:Q11)</f>
        <v>64172.808000000005</v>
      </c>
      <c r="S11" s="7">
        <f t="shared" ref="S11:S22" si="6">C11-R11</f>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41110.345000000001</v>
      </c>
      <c r="B12" s="15" t="s">
        <v>21</v>
      </c>
      <c r="C12" s="428">
        <f>[6]Communications!$J$16</f>
        <v>7130.3119999999999</v>
      </c>
      <c r="D12" s="429">
        <f t="shared" ref="D12:D15" si="7">$C12/C$7</f>
        <v>1.1426782051282052</v>
      </c>
      <c r="E12" s="7"/>
      <c r="F12" s="375">
        <f t="shared" ref="F12:Q15" si="8">$D12*F$7</f>
        <v>605.58814246575355</v>
      </c>
      <c r="G12" s="375">
        <f t="shared" si="8"/>
        <v>586.05304109589042</v>
      </c>
      <c r="H12" s="375">
        <f t="shared" si="8"/>
        <v>605.58814246575355</v>
      </c>
      <c r="I12" s="375">
        <f t="shared" si="8"/>
        <v>605.58814246575355</v>
      </c>
      <c r="J12" s="375">
        <f t="shared" si="8"/>
        <v>546.98283835616439</v>
      </c>
      <c r="K12" s="375">
        <f t="shared" si="8"/>
        <v>605.58814246575355</v>
      </c>
      <c r="L12" s="375">
        <f t="shared" si="8"/>
        <v>586.05304109589042</v>
      </c>
      <c r="M12" s="375">
        <f t="shared" si="8"/>
        <v>605.58814246575355</v>
      </c>
      <c r="N12" s="375">
        <f t="shared" si="8"/>
        <v>586.05304109589042</v>
      </c>
      <c r="O12" s="375">
        <f t="shared" si="8"/>
        <v>605.58814246575355</v>
      </c>
      <c r="P12" s="375">
        <f t="shared" si="8"/>
        <v>605.58814246575355</v>
      </c>
      <c r="Q12" s="375">
        <f t="shared" si="8"/>
        <v>586.05304109589042</v>
      </c>
      <c r="R12" s="109">
        <f t="shared" si="5"/>
        <v>7130.3120000000017</v>
      </c>
      <c r="S12" s="7">
        <f t="shared" si="6"/>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41115.345000000001</v>
      </c>
      <c r="B13" s="15" t="s">
        <v>20</v>
      </c>
      <c r="C13" s="428">
        <f>[6]Communications!$J$17</f>
        <v>300</v>
      </c>
      <c r="D13" s="429">
        <f t="shared" si="7"/>
        <v>4.807692307692308E-2</v>
      </c>
      <c r="E13" s="7"/>
      <c r="F13" s="375">
        <f t="shared" si="8"/>
        <v>25.479452054794525</v>
      </c>
      <c r="G13" s="375">
        <f t="shared" si="8"/>
        <v>24.657534246575342</v>
      </c>
      <c r="H13" s="375">
        <f t="shared" si="8"/>
        <v>25.479452054794525</v>
      </c>
      <c r="I13" s="375">
        <f t="shared" si="8"/>
        <v>25.479452054794525</v>
      </c>
      <c r="J13" s="375">
        <f t="shared" si="8"/>
        <v>23.013698630136989</v>
      </c>
      <c r="K13" s="375">
        <f t="shared" si="8"/>
        <v>25.479452054794525</v>
      </c>
      <c r="L13" s="375">
        <f t="shared" si="8"/>
        <v>24.657534246575342</v>
      </c>
      <c r="M13" s="375">
        <f t="shared" si="8"/>
        <v>25.479452054794525</v>
      </c>
      <c r="N13" s="375">
        <f t="shared" si="8"/>
        <v>24.657534246575342</v>
      </c>
      <c r="O13" s="375">
        <f t="shared" si="8"/>
        <v>25.479452054794525</v>
      </c>
      <c r="P13" s="375">
        <f t="shared" si="8"/>
        <v>25.479452054794525</v>
      </c>
      <c r="Q13" s="375">
        <f t="shared" si="8"/>
        <v>24.657534246575342</v>
      </c>
      <c r="R13" s="109">
        <f t="shared" si="5"/>
        <v>300.00000000000006</v>
      </c>
      <c r="S13" s="7">
        <f t="shared" si="6"/>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41150.345000000001</v>
      </c>
      <c r="B14" s="15" t="s">
        <v>19</v>
      </c>
      <c r="C14" s="430">
        <f>[6]Communications!$J$18</f>
        <v>5477.6386799999991</v>
      </c>
      <c r="D14" s="429">
        <f t="shared" si="7"/>
        <v>0.87782671153846137</v>
      </c>
      <c r="E14" s="7"/>
      <c r="F14" s="375">
        <f t="shared" si="8"/>
        <v>465.22410706849308</v>
      </c>
      <c r="G14" s="375">
        <f t="shared" si="8"/>
        <v>450.21687780821907</v>
      </c>
      <c r="H14" s="375">
        <f t="shared" si="8"/>
        <v>465.22410706849308</v>
      </c>
      <c r="I14" s="375">
        <f t="shared" si="8"/>
        <v>465.22410706849308</v>
      </c>
      <c r="J14" s="375">
        <f t="shared" si="8"/>
        <v>420.2024192876712</v>
      </c>
      <c r="K14" s="375">
        <f t="shared" si="8"/>
        <v>465.22410706849308</v>
      </c>
      <c r="L14" s="375">
        <f t="shared" si="8"/>
        <v>450.21687780821907</v>
      </c>
      <c r="M14" s="375">
        <f t="shared" si="8"/>
        <v>465.22410706849308</v>
      </c>
      <c r="N14" s="375">
        <f t="shared" si="8"/>
        <v>450.21687780821907</v>
      </c>
      <c r="O14" s="375">
        <f t="shared" si="8"/>
        <v>465.22410706849308</v>
      </c>
      <c r="P14" s="375">
        <f t="shared" si="8"/>
        <v>465.22410706849308</v>
      </c>
      <c r="Q14" s="375">
        <f t="shared" si="8"/>
        <v>450.21687780821907</v>
      </c>
      <c r="R14" s="109">
        <f t="shared" si="5"/>
        <v>5477.6386799999991</v>
      </c>
      <c r="S14" s="7">
        <f t="shared" si="6"/>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41152.345000000001</v>
      </c>
      <c r="B15" s="15" t="s">
        <v>18</v>
      </c>
      <c r="C15" s="431"/>
      <c r="D15" s="429">
        <f t="shared" si="7"/>
        <v>0</v>
      </c>
      <c r="E15" s="7"/>
      <c r="F15" s="375">
        <f t="shared" si="8"/>
        <v>0</v>
      </c>
      <c r="G15" s="375">
        <f t="shared" si="8"/>
        <v>0</v>
      </c>
      <c r="H15" s="375">
        <f t="shared" si="8"/>
        <v>0</v>
      </c>
      <c r="I15" s="375">
        <f t="shared" si="8"/>
        <v>0</v>
      </c>
      <c r="J15" s="375">
        <f t="shared" si="8"/>
        <v>0</v>
      </c>
      <c r="K15" s="375">
        <f t="shared" si="8"/>
        <v>0</v>
      </c>
      <c r="L15" s="375">
        <f t="shared" si="8"/>
        <v>0</v>
      </c>
      <c r="M15" s="375">
        <f t="shared" si="8"/>
        <v>0</v>
      </c>
      <c r="N15" s="375">
        <f t="shared" si="8"/>
        <v>0</v>
      </c>
      <c r="O15" s="375">
        <f t="shared" si="8"/>
        <v>0</v>
      </c>
      <c r="P15" s="375">
        <f t="shared" si="8"/>
        <v>0</v>
      </c>
      <c r="Q15" s="375">
        <f t="shared" si="8"/>
        <v>0</v>
      </c>
      <c r="R15" s="109">
        <f t="shared" si="5"/>
        <v>0</v>
      </c>
      <c r="S15" s="7">
        <f t="shared" si="6"/>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41237.345000000001</v>
      </c>
      <c r="B16" s="15" t="s">
        <v>17</v>
      </c>
      <c r="C16" s="17"/>
      <c r="D16" s="13">
        <f t="shared" ref="D16:D21" si="9">$C16/C$5</f>
        <v>0</v>
      </c>
      <c r="E16" s="7"/>
      <c r="F16" s="375">
        <f t="shared" ref="F16:Q21" si="10">$D16*F$5</f>
        <v>0</v>
      </c>
      <c r="G16" s="375">
        <f t="shared" ref="G16:Q20" si="11">$D16*G$5</f>
        <v>0</v>
      </c>
      <c r="H16" s="375">
        <f t="shared" si="11"/>
        <v>0</v>
      </c>
      <c r="I16" s="375">
        <f t="shared" si="11"/>
        <v>0</v>
      </c>
      <c r="J16" s="375">
        <f t="shared" si="11"/>
        <v>0</v>
      </c>
      <c r="K16" s="375">
        <f t="shared" si="11"/>
        <v>0</v>
      </c>
      <c r="L16" s="375">
        <f t="shared" si="11"/>
        <v>0</v>
      </c>
      <c r="M16" s="375">
        <f t="shared" si="11"/>
        <v>0</v>
      </c>
      <c r="N16" s="375">
        <f t="shared" si="11"/>
        <v>0</v>
      </c>
      <c r="O16" s="375">
        <f t="shared" si="11"/>
        <v>0</v>
      </c>
      <c r="P16" s="375">
        <f t="shared" si="11"/>
        <v>0</v>
      </c>
      <c r="Q16" s="375">
        <f t="shared" si="11"/>
        <v>0</v>
      </c>
      <c r="R16" s="109">
        <f t="shared" si="5"/>
        <v>0</v>
      </c>
      <c r="S16" s="7">
        <f t="shared" si="6"/>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41246.345000000001</v>
      </c>
      <c r="B17" s="15" t="s">
        <v>16</v>
      </c>
      <c r="C17" s="14"/>
      <c r="D17" s="13">
        <f t="shared" si="9"/>
        <v>0</v>
      </c>
      <c r="E17" s="7"/>
      <c r="F17" s="375">
        <f t="shared" si="10"/>
        <v>0</v>
      </c>
      <c r="G17" s="375">
        <f t="shared" si="11"/>
        <v>0</v>
      </c>
      <c r="H17" s="375">
        <f t="shared" si="11"/>
        <v>0</v>
      </c>
      <c r="I17" s="375">
        <f t="shared" si="11"/>
        <v>0</v>
      </c>
      <c r="J17" s="375">
        <f t="shared" si="11"/>
        <v>0</v>
      </c>
      <c r="K17" s="375">
        <f t="shared" si="11"/>
        <v>0</v>
      </c>
      <c r="L17" s="375">
        <f t="shared" si="11"/>
        <v>0</v>
      </c>
      <c r="M17" s="375">
        <f t="shared" si="11"/>
        <v>0</v>
      </c>
      <c r="N17" s="375">
        <f t="shared" si="11"/>
        <v>0</v>
      </c>
      <c r="O17" s="375">
        <f t="shared" si="11"/>
        <v>0</v>
      </c>
      <c r="P17" s="375">
        <f t="shared" si="11"/>
        <v>0</v>
      </c>
      <c r="Q17" s="375">
        <f t="shared" si="11"/>
        <v>0</v>
      </c>
      <c r="R17" s="109">
        <f t="shared" si="5"/>
        <v>0</v>
      </c>
      <c r="S17" s="7">
        <f t="shared" si="6"/>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41365.345000000001</v>
      </c>
      <c r="B18" s="15" t="s">
        <v>10</v>
      </c>
      <c r="C18" s="14">
        <f>[6]Communications!$J$19</f>
        <v>8185</v>
      </c>
      <c r="D18" s="13">
        <f t="shared" si="9"/>
        <v>0.67885875425064279</v>
      </c>
      <c r="E18" s="7"/>
      <c r="F18" s="375">
        <f t="shared" si="10"/>
        <v>668.67587293688314</v>
      </c>
      <c r="G18" s="375">
        <f t="shared" si="11"/>
        <v>621.1557601393381</v>
      </c>
      <c r="H18" s="375">
        <f t="shared" si="11"/>
        <v>576.35108235879568</v>
      </c>
      <c r="I18" s="375">
        <f t="shared" si="11"/>
        <v>680.21647175914404</v>
      </c>
      <c r="J18" s="375">
        <f t="shared" si="11"/>
        <v>706.01310442066847</v>
      </c>
      <c r="K18" s="375">
        <f t="shared" si="11"/>
        <v>773.22012109148216</v>
      </c>
      <c r="L18" s="375">
        <f t="shared" si="11"/>
        <v>700.58223438666334</v>
      </c>
      <c r="M18" s="375">
        <f t="shared" si="11"/>
        <v>744.70805341295511</v>
      </c>
      <c r="N18" s="375">
        <f t="shared" si="11"/>
        <v>676.82217798789088</v>
      </c>
      <c r="O18" s="375">
        <f t="shared" si="11"/>
        <v>594.00140996931248</v>
      </c>
      <c r="P18" s="375">
        <f t="shared" si="11"/>
        <v>709.40739819192174</v>
      </c>
      <c r="Q18" s="375">
        <f t="shared" si="11"/>
        <v>733.84631334494486</v>
      </c>
      <c r="R18" s="109">
        <f t="shared" si="5"/>
        <v>8185.0000000000018</v>
      </c>
      <c r="S18" s="7">
        <f t="shared" si="6"/>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41437.345000000001</v>
      </c>
      <c r="B19" s="15" t="s">
        <v>612</v>
      </c>
      <c r="C19" s="14">
        <f>[6]Communications!$J$20</f>
        <v>12000</v>
      </c>
      <c r="D19" s="13">
        <f t="shared" si="9"/>
        <v>0.99527245583478474</v>
      </c>
      <c r="E19" s="7"/>
      <c r="F19" s="375">
        <f t="shared" si="10"/>
        <v>980.34336899726293</v>
      </c>
      <c r="G19" s="375">
        <f t="shared" si="11"/>
        <v>910.67429708882798</v>
      </c>
      <c r="H19" s="375">
        <f t="shared" si="11"/>
        <v>844.98631500373222</v>
      </c>
      <c r="I19" s="375">
        <f t="shared" si="11"/>
        <v>997.26300074645428</v>
      </c>
      <c r="J19" s="375">
        <f t="shared" si="11"/>
        <v>1035.083354068176</v>
      </c>
      <c r="K19" s="375">
        <f t="shared" si="11"/>
        <v>1133.6153271958199</v>
      </c>
      <c r="L19" s="375">
        <f t="shared" si="11"/>
        <v>1027.1211744214979</v>
      </c>
      <c r="M19" s="375">
        <f t="shared" si="11"/>
        <v>1091.8138840507588</v>
      </c>
      <c r="N19" s="375">
        <f t="shared" si="11"/>
        <v>992.28663846728034</v>
      </c>
      <c r="O19" s="375">
        <f t="shared" si="11"/>
        <v>870.86339885543669</v>
      </c>
      <c r="P19" s="375">
        <f t="shared" si="11"/>
        <v>1040.0597163473501</v>
      </c>
      <c r="Q19" s="375">
        <f t="shared" si="11"/>
        <v>1075.8895247574023</v>
      </c>
      <c r="R19" s="109">
        <f t="shared" si="5"/>
        <v>12000</v>
      </c>
      <c r="S19" s="7">
        <f t="shared" si="6"/>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41438.345000000001</v>
      </c>
      <c r="B20" s="15" t="s">
        <v>613</v>
      </c>
      <c r="C20" s="14">
        <f>[6]Communications!$J$21</f>
        <v>4275</v>
      </c>
      <c r="D20" s="13">
        <f t="shared" si="9"/>
        <v>0.3545658123911421</v>
      </c>
      <c r="E20" s="7"/>
      <c r="F20" s="375">
        <f t="shared" si="10"/>
        <v>349.24732520527499</v>
      </c>
      <c r="G20" s="375">
        <f t="shared" si="11"/>
        <v>324.42771833789504</v>
      </c>
      <c r="H20" s="375">
        <f t="shared" si="11"/>
        <v>301.02637472007962</v>
      </c>
      <c r="I20" s="375">
        <f t="shared" si="11"/>
        <v>355.2749440159244</v>
      </c>
      <c r="J20" s="375">
        <f t="shared" si="11"/>
        <v>368.74844488678781</v>
      </c>
      <c r="K20" s="375">
        <f t="shared" si="11"/>
        <v>403.85046031351084</v>
      </c>
      <c r="L20" s="375">
        <f t="shared" si="11"/>
        <v>365.91191838765866</v>
      </c>
      <c r="M20" s="375">
        <f t="shared" si="11"/>
        <v>388.95869619308286</v>
      </c>
      <c r="N20" s="375">
        <f t="shared" si="11"/>
        <v>353.50211495396866</v>
      </c>
      <c r="O20" s="375">
        <f t="shared" si="11"/>
        <v>310.24508584224935</v>
      </c>
      <c r="P20" s="375">
        <f t="shared" si="11"/>
        <v>370.5212739487435</v>
      </c>
      <c r="Q20" s="375">
        <f t="shared" si="11"/>
        <v>383.28564319482462</v>
      </c>
      <c r="R20" s="109">
        <f t="shared" si="5"/>
        <v>4275</v>
      </c>
      <c r="S20" s="7">
        <f t="shared" si="6"/>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41570.345000000001</v>
      </c>
      <c r="B21" s="15" t="s">
        <v>2</v>
      </c>
      <c r="C21" s="14"/>
      <c r="D21" s="13">
        <f t="shared" si="9"/>
        <v>0</v>
      </c>
      <c r="E21" s="7"/>
      <c r="F21" s="375">
        <f t="shared" si="10"/>
        <v>0</v>
      </c>
      <c r="G21" s="375">
        <f t="shared" si="10"/>
        <v>0</v>
      </c>
      <c r="H21" s="375">
        <f t="shared" si="10"/>
        <v>0</v>
      </c>
      <c r="I21" s="375">
        <f t="shared" si="10"/>
        <v>0</v>
      </c>
      <c r="J21" s="375">
        <f t="shared" si="10"/>
        <v>0</v>
      </c>
      <c r="K21" s="375">
        <f t="shared" si="10"/>
        <v>0</v>
      </c>
      <c r="L21" s="375">
        <f t="shared" si="10"/>
        <v>0</v>
      </c>
      <c r="M21" s="375">
        <f t="shared" si="10"/>
        <v>0</v>
      </c>
      <c r="N21" s="375">
        <f t="shared" si="10"/>
        <v>0</v>
      </c>
      <c r="O21" s="375">
        <f t="shared" si="10"/>
        <v>0</v>
      </c>
      <c r="P21" s="375">
        <f t="shared" si="10"/>
        <v>0</v>
      </c>
      <c r="Q21" s="375">
        <f t="shared" si="10"/>
        <v>0</v>
      </c>
      <c r="R21" s="109">
        <f t="shared" si="5"/>
        <v>0</v>
      </c>
      <c r="S21" s="7">
        <f t="shared" si="6"/>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5" customFormat="1" x14ac:dyDescent="0.2">
      <c r="A22" s="11"/>
      <c r="B22" s="10" t="s">
        <v>0</v>
      </c>
      <c r="C22" s="8">
        <f>SUM(C11:C21)</f>
        <v>101540.75868</v>
      </c>
      <c r="D22" s="9">
        <f>SUM(D11:D21)</f>
        <v>14.381382708374003</v>
      </c>
      <c r="E22" s="104"/>
      <c r="F22" s="394">
        <f t="shared" ref="F22:Q22" si="12">SUM(F11:F21)</f>
        <v>8544.8515509202443</v>
      </c>
      <c r="G22" s="394">
        <f t="shared" si="12"/>
        <v>8191.6625985797591</v>
      </c>
      <c r="H22" s="394">
        <f t="shared" si="12"/>
        <v>8268.9487558634301</v>
      </c>
      <c r="I22" s="394">
        <f t="shared" si="12"/>
        <v>8579.3394003023459</v>
      </c>
      <c r="J22" s="394">
        <f t="shared" si="12"/>
        <v>8022.8894048550846</v>
      </c>
      <c r="K22" s="394">
        <f t="shared" si="12"/>
        <v>8857.2708923816353</v>
      </c>
      <c r="L22" s="394">
        <f t="shared" si="12"/>
        <v>8429.0201502095169</v>
      </c>
      <c r="M22" s="394">
        <f t="shared" si="12"/>
        <v>8772.0656174376199</v>
      </c>
      <c r="N22" s="394">
        <f t="shared" si="12"/>
        <v>8358.0157544228387</v>
      </c>
      <c r="O22" s="394">
        <f t="shared" si="12"/>
        <v>8321.6948784478209</v>
      </c>
      <c r="P22" s="394">
        <f t="shared" si="12"/>
        <v>8666.5733722688383</v>
      </c>
      <c r="Q22" s="394">
        <f t="shared" si="12"/>
        <v>8528.4263043108695</v>
      </c>
      <c r="R22" s="109">
        <f t="shared" si="5"/>
        <v>101540.75868000001</v>
      </c>
      <c r="S22" s="7">
        <f t="shared" si="6"/>
        <v>0</v>
      </c>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row>
    <row r="23" spans="1:58" x14ac:dyDescent="0.2">
      <c r="F23" s="376"/>
      <c r="G23" s="160"/>
      <c r="H23" s="160"/>
      <c r="I23" s="160"/>
      <c r="J23" s="160"/>
      <c r="K23" s="160"/>
      <c r="L23" s="160"/>
      <c r="M23" s="160"/>
      <c r="N23" s="160"/>
      <c r="O23" s="160"/>
      <c r="P23" s="160"/>
      <c r="Q23" s="160"/>
      <c r="R23" s="376"/>
    </row>
    <row r="24" spans="1:58" x14ac:dyDescent="0.2">
      <c r="A24" s="4"/>
      <c r="C24" s="3"/>
      <c r="F24" s="3"/>
      <c r="G24" s="3"/>
      <c r="H24" s="3"/>
      <c r="I24" s="3"/>
      <c r="J24" s="3"/>
      <c r="K24" s="3"/>
      <c r="L24" s="3"/>
      <c r="M24" s="3"/>
      <c r="N24" s="3"/>
      <c r="O24" s="3"/>
      <c r="P24" s="3"/>
      <c r="Q24" s="3"/>
    </row>
    <row r="25" spans="1:58" x14ac:dyDescent="0.2">
      <c r="A25" s="4"/>
      <c r="C25" s="3"/>
      <c r="F25" s="3"/>
      <c r="G25" s="3"/>
      <c r="H25" s="3"/>
      <c r="I25" s="3"/>
      <c r="J25" s="3"/>
      <c r="K25" s="3"/>
      <c r="L25" s="3"/>
      <c r="M25" s="3"/>
      <c r="N25" s="3"/>
      <c r="O25" s="3"/>
      <c r="P25" s="3"/>
      <c r="Q25" s="3"/>
    </row>
    <row r="26" spans="1:58" x14ac:dyDescent="0.2">
      <c r="C26" s="3"/>
      <c r="F26" s="3"/>
      <c r="G26" s="3"/>
      <c r="H26" s="3"/>
      <c r="I26" s="3"/>
      <c r="J26" s="3"/>
      <c r="K26" s="3"/>
      <c r="L26" s="3"/>
      <c r="M26" s="3"/>
      <c r="N26" s="3"/>
      <c r="O26" s="3"/>
      <c r="P26" s="3"/>
      <c r="Q26" s="3"/>
    </row>
  </sheetData>
  <mergeCells count="1">
    <mergeCell ref="A9:D9"/>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 xml:space="preserve">&amp;R&amp;A
</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3"/>
  <sheetViews>
    <sheetView zoomScale="80" zoomScaleNormal="80" workbookViewId="0">
      <pane xSplit="2" ySplit="6" topLeftCell="C7" activePane="bottomRight" state="frozen"/>
      <selection pane="topRight" activeCell="C1" sqref="C1"/>
      <selection pane="bottomLeft" activeCell="A7" sqref="A7"/>
      <selection pane="bottomRight" activeCell="K40" sqref="K40"/>
    </sheetView>
  </sheetViews>
  <sheetFormatPr defaultRowHeight="12.75" x14ac:dyDescent="0.2"/>
  <cols>
    <col min="1" max="1" width="11" style="2" bestFit="1" customWidth="1"/>
    <col min="2" max="2" width="22" style="2" customWidth="1"/>
    <col min="3" max="3" width="12.28515625" style="2" customWidth="1"/>
    <col min="4" max="4" width="8.28515625" style="4" customWidth="1"/>
    <col min="5" max="5" width="4.28515625" style="4" customWidth="1"/>
    <col min="6" max="17" width="12.85546875" style="2" bestFit="1" customWidth="1"/>
    <col min="18" max="18" width="12.2851562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89">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131">
        <f>'MO STATS'!P87</f>
        <v>57</v>
      </c>
      <c r="R2" s="3">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131">
        <f>'MO STATS'!P88</f>
        <v>1808</v>
      </c>
      <c r="R3" s="3">
        <f t="shared" ref="R3:R4" si="0">SUM(F3:Q3)</f>
        <v>20375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131">
        <f>'MO STATS'!P89</f>
        <v>1865</v>
      </c>
      <c r="R4" s="3">
        <f t="shared" si="0"/>
        <v>21038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1">
        <f>'[4]2017 FTEs'!$AS$15</f>
        <v>3.5</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7280</v>
      </c>
      <c r="F6" s="421">
        <f>($C6/$R7)*F7</f>
        <v>618.30136986301375</v>
      </c>
      <c r="G6" s="421">
        <f t="shared" ref="G6:Q6" si="2">($C6/$R7)*G7</f>
        <v>598.35616438356169</v>
      </c>
      <c r="H6" s="421">
        <f t="shared" si="2"/>
        <v>618.30136986301375</v>
      </c>
      <c r="I6" s="421">
        <f t="shared" si="2"/>
        <v>618.30136986301375</v>
      </c>
      <c r="J6" s="421">
        <f t="shared" si="2"/>
        <v>558.46575342465758</v>
      </c>
      <c r="K6" s="421">
        <f t="shared" si="2"/>
        <v>618.30136986301375</v>
      </c>
      <c r="L6" s="421">
        <f t="shared" si="2"/>
        <v>598.35616438356169</v>
      </c>
      <c r="M6" s="421">
        <f t="shared" si="2"/>
        <v>618.30136986301375</v>
      </c>
      <c r="N6" s="421">
        <f t="shared" si="2"/>
        <v>598.35616438356169</v>
      </c>
      <c r="O6" s="421">
        <f t="shared" si="2"/>
        <v>618.30136986301375</v>
      </c>
      <c r="P6" s="421">
        <f t="shared" si="2"/>
        <v>618.30136986301375</v>
      </c>
      <c r="Q6" s="421">
        <f t="shared" si="2"/>
        <v>598.35616438356169</v>
      </c>
      <c r="R6" s="6">
        <f>SUM(F6:Q6)</f>
        <v>7280.0000000000018</v>
      </c>
      <c r="S6" s="3">
        <f>C6-R6</f>
        <v>0</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ref="R7" si="3">SUM(F7:Q7)</f>
        <v>365</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row>
    <row r="9" spans="1:58" x14ac:dyDescent="0.2">
      <c r="A9" s="21"/>
      <c r="B9" s="10" t="s">
        <v>614</v>
      </c>
      <c r="C9" s="20"/>
      <c r="D9" s="19" t="s">
        <v>596</v>
      </c>
      <c r="E9" s="111"/>
    </row>
    <row r="10" spans="1:58" s="12" customFormat="1" x14ac:dyDescent="0.2">
      <c r="A10" s="87">
        <v>41101.351000000002</v>
      </c>
      <c r="B10" s="15" t="s">
        <v>22</v>
      </c>
      <c r="C10" s="428">
        <f>'[6]Nursing Admin'!$J$15</f>
        <v>234000</v>
      </c>
      <c r="D10" s="429">
        <f>$C10/C$6</f>
        <v>32.142857142857146</v>
      </c>
      <c r="E10" s="7"/>
      <c r="F10" s="375">
        <f>$D10*F$6</f>
        <v>19873.97260273973</v>
      </c>
      <c r="G10" s="375">
        <f t="shared" ref="G10:Q10" si="4">$D10*G$6</f>
        <v>19232.876712328769</v>
      </c>
      <c r="H10" s="375">
        <f t="shared" si="4"/>
        <v>19873.97260273973</v>
      </c>
      <c r="I10" s="375">
        <f t="shared" si="4"/>
        <v>19873.97260273973</v>
      </c>
      <c r="J10" s="375">
        <f t="shared" si="4"/>
        <v>17950.684931506854</v>
      </c>
      <c r="K10" s="375">
        <f t="shared" si="4"/>
        <v>19873.97260273973</v>
      </c>
      <c r="L10" s="375">
        <f t="shared" si="4"/>
        <v>19232.876712328769</v>
      </c>
      <c r="M10" s="375">
        <f t="shared" si="4"/>
        <v>19873.97260273973</v>
      </c>
      <c r="N10" s="375">
        <f t="shared" si="4"/>
        <v>19232.876712328769</v>
      </c>
      <c r="O10" s="375">
        <f t="shared" si="4"/>
        <v>19873.97260273973</v>
      </c>
      <c r="P10" s="375">
        <f t="shared" si="4"/>
        <v>19873.97260273973</v>
      </c>
      <c r="Q10" s="375">
        <f t="shared" si="4"/>
        <v>19232.876712328769</v>
      </c>
      <c r="R10" s="109">
        <f t="shared" ref="R10:R29" si="5">SUM(F10:Q10)</f>
        <v>234000</v>
      </c>
      <c r="S10" s="7">
        <f t="shared" ref="S10:S29" si="6">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41110.351000000002</v>
      </c>
      <c r="B11" s="15" t="s">
        <v>21</v>
      </c>
      <c r="C11" s="428">
        <f>'[6]Nursing Admin'!$J$16</f>
        <v>26000</v>
      </c>
      <c r="D11" s="429">
        <f t="shared" ref="D11:D14" si="7">$C11/C$6</f>
        <v>3.5714285714285716</v>
      </c>
      <c r="E11" s="7"/>
      <c r="F11" s="375">
        <f t="shared" ref="F11:Q14" si="8">$D11*F$6</f>
        <v>2208.2191780821922</v>
      </c>
      <c r="G11" s="375">
        <f t="shared" si="8"/>
        <v>2136.9863013698632</v>
      </c>
      <c r="H11" s="375">
        <f t="shared" si="8"/>
        <v>2208.2191780821922</v>
      </c>
      <c r="I11" s="375">
        <f t="shared" si="8"/>
        <v>2208.2191780821922</v>
      </c>
      <c r="J11" s="375">
        <f t="shared" si="8"/>
        <v>1994.5205479452056</v>
      </c>
      <c r="K11" s="375">
        <f t="shared" si="8"/>
        <v>2208.2191780821922</v>
      </c>
      <c r="L11" s="375">
        <f t="shared" si="8"/>
        <v>2136.9863013698632</v>
      </c>
      <c r="M11" s="375">
        <f t="shared" si="8"/>
        <v>2208.2191780821922</v>
      </c>
      <c r="N11" s="375">
        <f t="shared" si="8"/>
        <v>2136.9863013698632</v>
      </c>
      <c r="O11" s="375">
        <f t="shared" si="8"/>
        <v>2208.2191780821922</v>
      </c>
      <c r="P11" s="375">
        <f t="shared" si="8"/>
        <v>2208.2191780821922</v>
      </c>
      <c r="Q11" s="375">
        <f t="shared" si="8"/>
        <v>2136.9863013698632</v>
      </c>
      <c r="R11" s="109">
        <f t="shared" si="5"/>
        <v>26000.000000000004</v>
      </c>
      <c r="S11" s="7">
        <f t="shared" si="6"/>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41115.351000000002</v>
      </c>
      <c r="B12" s="15" t="s">
        <v>20</v>
      </c>
      <c r="C12" s="428">
        <f>'[6]Nursing Admin'!$J$17</f>
        <v>1500</v>
      </c>
      <c r="D12" s="429">
        <f t="shared" si="7"/>
        <v>0.20604395604395603</v>
      </c>
      <c r="E12" s="7"/>
      <c r="F12" s="375">
        <f t="shared" si="8"/>
        <v>127.39726027397261</v>
      </c>
      <c r="G12" s="375">
        <f t="shared" si="8"/>
        <v>123.28767123287672</v>
      </c>
      <c r="H12" s="375">
        <f t="shared" si="8"/>
        <v>127.39726027397261</v>
      </c>
      <c r="I12" s="375">
        <f t="shared" si="8"/>
        <v>127.39726027397261</v>
      </c>
      <c r="J12" s="375">
        <f t="shared" si="8"/>
        <v>115.06849315068493</v>
      </c>
      <c r="K12" s="375">
        <f t="shared" si="8"/>
        <v>127.39726027397261</v>
      </c>
      <c r="L12" s="375">
        <f t="shared" si="8"/>
        <v>123.28767123287672</v>
      </c>
      <c r="M12" s="375">
        <f t="shared" si="8"/>
        <v>127.39726027397261</v>
      </c>
      <c r="N12" s="375">
        <f t="shared" si="8"/>
        <v>123.28767123287672</v>
      </c>
      <c r="O12" s="375">
        <f t="shared" si="8"/>
        <v>127.39726027397261</v>
      </c>
      <c r="P12" s="375">
        <f t="shared" si="8"/>
        <v>127.39726027397261</v>
      </c>
      <c r="Q12" s="375">
        <f t="shared" si="8"/>
        <v>123.28767123287672</v>
      </c>
      <c r="R12" s="109">
        <f t="shared" si="5"/>
        <v>1499.9999999999998</v>
      </c>
      <c r="S12" s="7">
        <f t="shared" si="6"/>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41150.351000000002</v>
      </c>
      <c r="B13" s="15" t="s">
        <v>19</v>
      </c>
      <c r="C13" s="430">
        <f>'[6]Nursing Admin'!$J$18</f>
        <v>20004.75</v>
      </c>
      <c r="D13" s="429">
        <f t="shared" si="7"/>
        <v>2.7479052197802196</v>
      </c>
      <c r="E13" s="7"/>
      <c r="F13" s="375">
        <f t="shared" si="8"/>
        <v>1699.0335616438356</v>
      </c>
      <c r="G13" s="375">
        <f t="shared" si="8"/>
        <v>1644.2260273972604</v>
      </c>
      <c r="H13" s="375">
        <f t="shared" si="8"/>
        <v>1699.0335616438356</v>
      </c>
      <c r="I13" s="375">
        <f t="shared" si="8"/>
        <v>1699.0335616438356</v>
      </c>
      <c r="J13" s="375">
        <f t="shared" si="8"/>
        <v>1534.6109589041096</v>
      </c>
      <c r="K13" s="375">
        <f t="shared" si="8"/>
        <v>1699.0335616438356</v>
      </c>
      <c r="L13" s="375">
        <f t="shared" si="8"/>
        <v>1644.2260273972604</v>
      </c>
      <c r="M13" s="375">
        <f t="shared" si="8"/>
        <v>1699.0335616438356</v>
      </c>
      <c r="N13" s="375">
        <f t="shared" si="8"/>
        <v>1644.2260273972604</v>
      </c>
      <c r="O13" s="375">
        <f t="shared" si="8"/>
        <v>1699.0335616438356</v>
      </c>
      <c r="P13" s="375">
        <f t="shared" si="8"/>
        <v>1699.0335616438356</v>
      </c>
      <c r="Q13" s="375">
        <f t="shared" si="8"/>
        <v>1644.2260273972604</v>
      </c>
      <c r="R13" s="109">
        <f t="shared" si="5"/>
        <v>20004.75</v>
      </c>
      <c r="S13" s="7">
        <f t="shared" si="6"/>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41152.351000000002</v>
      </c>
      <c r="B14" s="15" t="s">
        <v>18</v>
      </c>
      <c r="C14" s="431"/>
      <c r="D14" s="429">
        <f t="shared" si="7"/>
        <v>0</v>
      </c>
      <c r="E14" s="7"/>
      <c r="F14" s="375">
        <f t="shared" si="8"/>
        <v>0</v>
      </c>
      <c r="G14" s="375">
        <f t="shared" si="8"/>
        <v>0</v>
      </c>
      <c r="H14" s="375">
        <f t="shared" si="8"/>
        <v>0</v>
      </c>
      <c r="I14" s="375">
        <f t="shared" si="8"/>
        <v>0</v>
      </c>
      <c r="J14" s="375">
        <f t="shared" si="8"/>
        <v>0</v>
      </c>
      <c r="K14" s="375">
        <f t="shared" si="8"/>
        <v>0</v>
      </c>
      <c r="L14" s="375">
        <f t="shared" si="8"/>
        <v>0</v>
      </c>
      <c r="M14" s="375">
        <f t="shared" si="8"/>
        <v>0</v>
      </c>
      <c r="N14" s="375">
        <f t="shared" si="8"/>
        <v>0</v>
      </c>
      <c r="O14" s="375">
        <f t="shared" si="8"/>
        <v>0</v>
      </c>
      <c r="P14" s="375">
        <f t="shared" si="8"/>
        <v>0</v>
      </c>
      <c r="Q14" s="375">
        <f t="shared" si="8"/>
        <v>0</v>
      </c>
      <c r="R14" s="109">
        <f t="shared" si="5"/>
        <v>0</v>
      </c>
      <c r="S14" s="7">
        <f t="shared" si="6"/>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41237.351000000002</v>
      </c>
      <c r="B15" s="15" t="s">
        <v>17</v>
      </c>
      <c r="C15" s="17">
        <f>'[6]Nursing Admin'!$J$19</f>
        <v>350</v>
      </c>
      <c r="D15" s="13">
        <f t="shared" ref="D15:D28" si="9">$C15/C$4</f>
        <v>1.663656241087556E-2</v>
      </c>
      <c r="E15" s="7"/>
      <c r="F15" s="375">
        <f t="shared" ref="F15:Q28" si="10">$D15*F$4</f>
        <v>28.348702348131955</v>
      </c>
      <c r="G15" s="375">
        <f t="shared" ref="G15:Q23" si="11">$D15*G$4</f>
        <v>27.067687042494537</v>
      </c>
      <c r="H15" s="375">
        <f t="shared" si="11"/>
        <v>26.019583610609377</v>
      </c>
      <c r="I15" s="375">
        <f t="shared" si="11"/>
        <v>29.047437969388728</v>
      </c>
      <c r="J15" s="375">
        <f t="shared" si="11"/>
        <v>29.496625154482366</v>
      </c>
      <c r="K15" s="375">
        <f t="shared" si="11"/>
        <v>32.225021389865958</v>
      </c>
      <c r="L15" s="375">
        <f t="shared" si="11"/>
        <v>29.779446715467252</v>
      </c>
      <c r="M15" s="375">
        <f t="shared" si="11"/>
        <v>31.576195455841813</v>
      </c>
      <c r="N15" s="375">
        <f t="shared" si="11"/>
        <v>28.881072345279971</v>
      </c>
      <c r="O15" s="375">
        <f t="shared" si="11"/>
        <v>26.102766422663752</v>
      </c>
      <c r="P15" s="375">
        <f t="shared" si="11"/>
        <v>30.428272649491397</v>
      </c>
      <c r="Q15" s="375">
        <f t="shared" si="11"/>
        <v>31.027188896282919</v>
      </c>
      <c r="R15" s="109">
        <f t="shared" si="5"/>
        <v>350</v>
      </c>
      <c r="S15" s="7">
        <f t="shared" si="6"/>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41246.351000000002</v>
      </c>
      <c r="B16" s="15" t="s">
        <v>16</v>
      </c>
      <c r="C16" s="14"/>
      <c r="D16" s="13">
        <f t="shared" si="9"/>
        <v>0</v>
      </c>
      <c r="E16" s="7"/>
      <c r="F16" s="375">
        <f t="shared" si="10"/>
        <v>0</v>
      </c>
      <c r="G16" s="375">
        <f t="shared" si="11"/>
        <v>0</v>
      </c>
      <c r="H16" s="375">
        <f t="shared" si="11"/>
        <v>0</v>
      </c>
      <c r="I16" s="375">
        <f t="shared" si="11"/>
        <v>0</v>
      </c>
      <c r="J16" s="375">
        <f t="shared" si="11"/>
        <v>0</v>
      </c>
      <c r="K16" s="375">
        <f t="shared" si="11"/>
        <v>0</v>
      </c>
      <c r="L16" s="375">
        <f t="shared" si="11"/>
        <v>0</v>
      </c>
      <c r="M16" s="375">
        <f t="shared" si="11"/>
        <v>0</v>
      </c>
      <c r="N16" s="375">
        <f t="shared" si="11"/>
        <v>0</v>
      </c>
      <c r="O16" s="375">
        <f t="shared" si="11"/>
        <v>0</v>
      </c>
      <c r="P16" s="375">
        <f t="shared" si="11"/>
        <v>0</v>
      </c>
      <c r="Q16" s="375">
        <f t="shared" si="11"/>
        <v>0</v>
      </c>
      <c r="R16" s="109">
        <f t="shared" si="5"/>
        <v>0</v>
      </c>
      <c r="S16" s="7">
        <f t="shared" si="6"/>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41250.351000000002</v>
      </c>
      <c r="B17" s="15" t="s">
        <v>15</v>
      </c>
      <c r="C17" s="14"/>
      <c r="D17" s="13">
        <f t="shared" si="9"/>
        <v>0</v>
      </c>
      <c r="E17" s="7"/>
      <c r="F17" s="375">
        <f t="shared" si="10"/>
        <v>0</v>
      </c>
      <c r="G17" s="375">
        <f t="shared" si="11"/>
        <v>0</v>
      </c>
      <c r="H17" s="375">
        <f t="shared" si="11"/>
        <v>0</v>
      </c>
      <c r="I17" s="375">
        <f t="shared" si="11"/>
        <v>0</v>
      </c>
      <c r="J17" s="375">
        <f t="shared" si="11"/>
        <v>0</v>
      </c>
      <c r="K17" s="375">
        <f t="shared" si="11"/>
        <v>0</v>
      </c>
      <c r="L17" s="375">
        <f t="shared" si="11"/>
        <v>0</v>
      </c>
      <c r="M17" s="375">
        <f t="shared" si="11"/>
        <v>0</v>
      </c>
      <c r="N17" s="375">
        <f t="shared" si="11"/>
        <v>0</v>
      </c>
      <c r="O17" s="375">
        <f t="shared" si="11"/>
        <v>0</v>
      </c>
      <c r="P17" s="375">
        <f t="shared" si="11"/>
        <v>0</v>
      </c>
      <c r="Q17" s="375">
        <f t="shared" si="11"/>
        <v>0</v>
      </c>
      <c r="R17" s="109">
        <f t="shared" si="5"/>
        <v>0</v>
      </c>
      <c r="S17" s="7">
        <f t="shared" si="6"/>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41342.351000000002</v>
      </c>
      <c r="B18" s="15" t="s">
        <v>11</v>
      </c>
      <c r="C18" s="14">
        <f>'[6]Nursing Admin'!$J$20</f>
        <v>2100</v>
      </c>
      <c r="D18" s="13">
        <f t="shared" si="9"/>
        <v>9.9819374465253352E-2</v>
      </c>
      <c r="E18" s="7"/>
      <c r="F18" s="375">
        <f t="shared" si="10"/>
        <v>170.09221408879171</v>
      </c>
      <c r="G18" s="375">
        <f t="shared" si="11"/>
        <v>162.40612225496722</v>
      </c>
      <c r="H18" s="375">
        <f t="shared" si="11"/>
        <v>156.11750166365624</v>
      </c>
      <c r="I18" s="375">
        <f t="shared" si="11"/>
        <v>174.28462781633235</v>
      </c>
      <c r="J18" s="375">
        <f t="shared" si="11"/>
        <v>176.97975092689418</v>
      </c>
      <c r="K18" s="375">
        <f t="shared" si="11"/>
        <v>193.35012833919575</v>
      </c>
      <c r="L18" s="375">
        <f t="shared" si="11"/>
        <v>178.6766802928035</v>
      </c>
      <c r="M18" s="375">
        <f t="shared" si="11"/>
        <v>189.45717273505088</v>
      </c>
      <c r="N18" s="375">
        <f t="shared" si="11"/>
        <v>173.28643407167982</v>
      </c>
      <c r="O18" s="375">
        <f t="shared" si="11"/>
        <v>156.61659853598252</v>
      </c>
      <c r="P18" s="375">
        <f t="shared" si="11"/>
        <v>182.56963589694837</v>
      </c>
      <c r="Q18" s="375">
        <f t="shared" si="11"/>
        <v>186.16313337769751</v>
      </c>
      <c r="R18" s="109">
        <f t="shared" ref="R18" si="12">SUM(F18:Q18)</f>
        <v>2100</v>
      </c>
      <c r="S18" s="7">
        <f t="shared" ref="S18" si="13">C18-R18</f>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41365.351000000002</v>
      </c>
      <c r="B19" s="15" t="s">
        <v>10</v>
      </c>
      <c r="C19" s="14">
        <f>'[6]Nursing Admin'!$J$21</f>
        <v>350</v>
      </c>
      <c r="D19" s="13">
        <f t="shared" si="9"/>
        <v>1.663656241087556E-2</v>
      </c>
      <c r="E19" s="7"/>
      <c r="F19" s="375">
        <f t="shared" si="10"/>
        <v>28.348702348131955</v>
      </c>
      <c r="G19" s="375">
        <f t="shared" si="11"/>
        <v>27.067687042494537</v>
      </c>
      <c r="H19" s="375">
        <f t="shared" si="11"/>
        <v>26.019583610609377</v>
      </c>
      <c r="I19" s="375">
        <f t="shared" si="11"/>
        <v>29.047437969388728</v>
      </c>
      <c r="J19" s="375">
        <f t="shared" si="11"/>
        <v>29.496625154482366</v>
      </c>
      <c r="K19" s="375">
        <f t="shared" si="11"/>
        <v>32.225021389865958</v>
      </c>
      <c r="L19" s="375">
        <f t="shared" si="11"/>
        <v>29.779446715467252</v>
      </c>
      <c r="M19" s="375">
        <f t="shared" si="11"/>
        <v>31.576195455841813</v>
      </c>
      <c r="N19" s="375">
        <f t="shared" si="11"/>
        <v>28.881072345279971</v>
      </c>
      <c r="O19" s="375">
        <f t="shared" si="11"/>
        <v>26.102766422663752</v>
      </c>
      <c r="P19" s="375">
        <f t="shared" si="11"/>
        <v>30.428272649491397</v>
      </c>
      <c r="Q19" s="375">
        <f t="shared" si="11"/>
        <v>31.027188896282919</v>
      </c>
      <c r="R19" s="109">
        <f t="shared" si="5"/>
        <v>350</v>
      </c>
      <c r="S19" s="7">
        <f t="shared" si="6"/>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41423.351000000002</v>
      </c>
      <c r="B20" s="15" t="s">
        <v>9</v>
      </c>
      <c r="C20" s="14">
        <f>'[6]Nursing Admin'!$J$22</f>
        <v>4700</v>
      </c>
      <c r="D20" s="13">
        <f t="shared" si="9"/>
        <v>0.22340526666032892</v>
      </c>
      <c r="E20" s="7"/>
      <c r="F20" s="375">
        <f t="shared" si="10"/>
        <v>380.68257438920051</v>
      </c>
      <c r="G20" s="375">
        <f t="shared" si="11"/>
        <v>363.48036885635514</v>
      </c>
      <c r="H20" s="375">
        <f t="shared" si="11"/>
        <v>349.40583705675442</v>
      </c>
      <c r="I20" s="375">
        <f t="shared" si="11"/>
        <v>390.06559558893429</v>
      </c>
      <c r="J20" s="375">
        <f t="shared" si="11"/>
        <v>396.09753778876319</v>
      </c>
      <c r="K20" s="375">
        <f t="shared" si="11"/>
        <v>432.73600152105712</v>
      </c>
      <c r="L20" s="375">
        <f t="shared" si="11"/>
        <v>399.89542732198879</v>
      </c>
      <c r="M20" s="375">
        <f t="shared" si="11"/>
        <v>424.0231961213043</v>
      </c>
      <c r="N20" s="375">
        <f t="shared" si="11"/>
        <v>387.83154292233098</v>
      </c>
      <c r="O20" s="375">
        <f t="shared" si="11"/>
        <v>350.5228633900561</v>
      </c>
      <c r="P20" s="375">
        <f t="shared" si="11"/>
        <v>408.60823272174162</v>
      </c>
      <c r="Q20" s="375">
        <f t="shared" si="11"/>
        <v>416.65082232151343</v>
      </c>
      <c r="R20" s="109">
        <f t="shared" si="5"/>
        <v>4700</v>
      </c>
      <c r="S20" s="7">
        <f t="shared" si="6"/>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41426.351000000002</v>
      </c>
      <c r="B21" s="15" t="s">
        <v>8</v>
      </c>
      <c r="C21" s="14">
        <f>'[6]Nursing Admin'!$J$23</f>
        <v>1000</v>
      </c>
      <c r="D21" s="13">
        <f t="shared" si="9"/>
        <v>4.7533035459644456E-2</v>
      </c>
      <c r="E21" s="7"/>
      <c r="F21" s="375">
        <f t="shared" si="10"/>
        <v>80.996292423234152</v>
      </c>
      <c r="G21" s="375">
        <f t="shared" si="11"/>
        <v>77.336248692841536</v>
      </c>
      <c r="H21" s="375">
        <f t="shared" si="11"/>
        <v>74.341667458883933</v>
      </c>
      <c r="I21" s="375">
        <f t="shared" si="11"/>
        <v>82.992679912539217</v>
      </c>
      <c r="J21" s="375">
        <f t="shared" si="11"/>
        <v>84.276071869949618</v>
      </c>
      <c r="K21" s="375">
        <f t="shared" si="11"/>
        <v>92.071489685331315</v>
      </c>
      <c r="L21" s="375">
        <f t="shared" si="11"/>
        <v>85.084133472763583</v>
      </c>
      <c r="M21" s="375">
        <f t="shared" si="11"/>
        <v>90.217701302405175</v>
      </c>
      <c r="N21" s="375">
        <f t="shared" si="11"/>
        <v>82.517349557942779</v>
      </c>
      <c r="O21" s="375">
        <f t="shared" si="11"/>
        <v>74.579332636182144</v>
      </c>
      <c r="P21" s="375">
        <f t="shared" si="11"/>
        <v>86.937921855689709</v>
      </c>
      <c r="Q21" s="375">
        <f t="shared" si="11"/>
        <v>88.649111132236911</v>
      </c>
      <c r="R21" s="109">
        <f t="shared" si="5"/>
        <v>1000.0000000000001</v>
      </c>
      <c r="S21" s="7">
        <f t="shared" si="6"/>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41439.351000000002</v>
      </c>
      <c r="B22" s="15" t="s">
        <v>603</v>
      </c>
      <c r="C22" s="14">
        <f>'[6]Nursing Admin'!$J$24</f>
        <v>12</v>
      </c>
      <c r="D22" s="13">
        <f t="shared" si="9"/>
        <v>5.7039642551573347E-4</v>
      </c>
      <c r="E22" s="7"/>
      <c r="F22" s="375">
        <f t="shared" si="10"/>
        <v>0.97195550907880979</v>
      </c>
      <c r="G22" s="375">
        <f t="shared" si="11"/>
        <v>0.92803498431409837</v>
      </c>
      <c r="H22" s="375">
        <f t="shared" si="11"/>
        <v>0.89210000950660717</v>
      </c>
      <c r="I22" s="375">
        <f t="shared" si="11"/>
        <v>0.99591215895047058</v>
      </c>
      <c r="J22" s="375">
        <f t="shared" si="11"/>
        <v>1.0113128624393954</v>
      </c>
      <c r="K22" s="375">
        <f t="shared" si="11"/>
        <v>1.1048578762239758</v>
      </c>
      <c r="L22" s="375">
        <f t="shared" si="11"/>
        <v>1.0210096016731629</v>
      </c>
      <c r="M22" s="375">
        <f t="shared" si="11"/>
        <v>1.0826124156288621</v>
      </c>
      <c r="N22" s="375">
        <f t="shared" si="11"/>
        <v>0.99020819469531329</v>
      </c>
      <c r="O22" s="375">
        <f t="shared" si="11"/>
        <v>0.89495199163418582</v>
      </c>
      <c r="P22" s="375">
        <f t="shared" si="11"/>
        <v>1.0432550622682766</v>
      </c>
      <c r="Q22" s="375">
        <f t="shared" si="11"/>
        <v>1.0637893335868429</v>
      </c>
      <c r="R22" s="109">
        <f t="shared" si="5"/>
        <v>12.000000000000002</v>
      </c>
      <c r="S22" s="7">
        <f t="shared" si="6"/>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41440.351000000002</v>
      </c>
      <c r="B23" s="15" t="s">
        <v>7</v>
      </c>
      <c r="C23" s="14"/>
      <c r="D23" s="13">
        <f t="shared" si="9"/>
        <v>0</v>
      </c>
      <c r="E23" s="7"/>
      <c r="F23" s="375">
        <f t="shared" si="10"/>
        <v>0</v>
      </c>
      <c r="G23" s="375">
        <f t="shared" si="11"/>
        <v>0</v>
      </c>
      <c r="H23" s="375">
        <f t="shared" si="11"/>
        <v>0</v>
      </c>
      <c r="I23" s="375">
        <f t="shared" si="11"/>
        <v>0</v>
      </c>
      <c r="J23" s="375">
        <f t="shared" si="11"/>
        <v>0</v>
      </c>
      <c r="K23" s="375">
        <f t="shared" si="11"/>
        <v>0</v>
      </c>
      <c r="L23" s="375">
        <f t="shared" si="11"/>
        <v>0</v>
      </c>
      <c r="M23" s="375">
        <f t="shared" si="11"/>
        <v>0</v>
      </c>
      <c r="N23" s="375">
        <f t="shared" si="11"/>
        <v>0</v>
      </c>
      <c r="O23" s="375">
        <f t="shared" si="11"/>
        <v>0</v>
      </c>
      <c r="P23" s="375">
        <f t="shared" si="11"/>
        <v>0</v>
      </c>
      <c r="Q23" s="375">
        <f t="shared" si="11"/>
        <v>0</v>
      </c>
      <c r="R23" s="109">
        <f t="shared" si="5"/>
        <v>0</v>
      </c>
      <c r="S23" s="7">
        <f t="shared" si="6"/>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41460.351000000002</v>
      </c>
      <c r="B24" s="15" t="s">
        <v>6</v>
      </c>
      <c r="C24" s="14">
        <f>'[6]Nursing Admin'!$J$25</f>
        <v>1000</v>
      </c>
      <c r="D24" s="13">
        <f t="shared" si="9"/>
        <v>4.7533035459644456E-2</v>
      </c>
      <c r="E24" s="7"/>
      <c r="F24" s="375">
        <f t="shared" si="10"/>
        <v>80.996292423234152</v>
      </c>
      <c r="G24" s="375">
        <f t="shared" si="10"/>
        <v>77.336248692841536</v>
      </c>
      <c r="H24" s="375">
        <f t="shared" si="10"/>
        <v>74.341667458883933</v>
      </c>
      <c r="I24" s="375">
        <f t="shared" si="10"/>
        <v>82.992679912539217</v>
      </c>
      <c r="J24" s="375">
        <f t="shared" si="10"/>
        <v>84.276071869949618</v>
      </c>
      <c r="K24" s="375">
        <f t="shared" si="10"/>
        <v>92.071489685331315</v>
      </c>
      <c r="L24" s="375">
        <f t="shared" si="10"/>
        <v>85.084133472763583</v>
      </c>
      <c r="M24" s="375">
        <f t="shared" si="10"/>
        <v>90.217701302405175</v>
      </c>
      <c r="N24" s="375">
        <f t="shared" si="10"/>
        <v>82.517349557942779</v>
      </c>
      <c r="O24" s="375">
        <f t="shared" si="10"/>
        <v>74.579332636182144</v>
      </c>
      <c r="P24" s="375">
        <f t="shared" si="10"/>
        <v>86.937921855689709</v>
      </c>
      <c r="Q24" s="375">
        <f t="shared" si="10"/>
        <v>88.649111132236911</v>
      </c>
      <c r="R24" s="109">
        <f t="shared" si="5"/>
        <v>1000.0000000000001</v>
      </c>
      <c r="S24" s="7">
        <f t="shared" si="6"/>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41461.351000000002</v>
      </c>
      <c r="B25" s="15" t="s">
        <v>5</v>
      </c>
      <c r="C25" s="14"/>
      <c r="D25" s="13">
        <f t="shared" si="9"/>
        <v>0</v>
      </c>
      <c r="E25" s="7"/>
      <c r="F25" s="375">
        <f t="shared" si="10"/>
        <v>0</v>
      </c>
      <c r="G25" s="375">
        <f t="shared" si="10"/>
        <v>0</v>
      </c>
      <c r="H25" s="375">
        <f t="shared" si="10"/>
        <v>0</v>
      </c>
      <c r="I25" s="375">
        <f t="shared" si="10"/>
        <v>0</v>
      </c>
      <c r="J25" s="375">
        <f t="shared" si="10"/>
        <v>0</v>
      </c>
      <c r="K25" s="375">
        <f t="shared" si="10"/>
        <v>0</v>
      </c>
      <c r="L25" s="375">
        <f t="shared" si="10"/>
        <v>0</v>
      </c>
      <c r="M25" s="375">
        <f t="shared" si="10"/>
        <v>0</v>
      </c>
      <c r="N25" s="375">
        <f t="shared" si="10"/>
        <v>0</v>
      </c>
      <c r="O25" s="375">
        <f t="shared" si="10"/>
        <v>0</v>
      </c>
      <c r="P25" s="375">
        <f t="shared" si="10"/>
        <v>0</v>
      </c>
      <c r="Q25" s="375">
        <f t="shared" si="10"/>
        <v>0</v>
      </c>
      <c r="R25" s="109">
        <f t="shared" si="5"/>
        <v>0</v>
      </c>
      <c r="S25" s="7">
        <f t="shared" si="6"/>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41490.351000000002</v>
      </c>
      <c r="B26" s="15" t="s">
        <v>4</v>
      </c>
      <c r="C26" s="14"/>
      <c r="D26" s="13">
        <f t="shared" si="9"/>
        <v>0</v>
      </c>
      <c r="E26" s="7"/>
      <c r="F26" s="375">
        <f t="shared" si="10"/>
        <v>0</v>
      </c>
      <c r="G26" s="375">
        <f t="shared" si="10"/>
        <v>0</v>
      </c>
      <c r="H26" s="375">
        <f t="shared" si="10"/>
        <v>0</v>
      </c>
      <c r="I26" s="375">
        <f t="shared" si="10"/>
        <v>0</v>
      </c>
      <c r="J26" s="375">
        <f t="shared" si="10"/>
        <v>0</v>
      </c>
      <c r="K26" s="375">
        <f t="shared" si="10"/>
        <v>0</v>
      </c>
      <c r="L26" s="375">
        <f t="shared" si="10"/>
        <v>0</v>
      </c>
      <c r="M26" s="375">
        <f t="shared" si="10"/>
        <v>0</v>
      </c>
      <c r="N26" s="375">
        <f t="shared" si="10"/>
        <v>0</v>
      </c>
      <c r="O26" s="375">
        <f t="shared" si="10"/>
        <v>0</v>
      </c>
      <c r="P26" s="375">
        <f t="shared" si="10"/>
        <v>0</v>
      </c>
      <c r="Q26" s="375">
        <f t="shared" si="10"/>
        <v>0</v>
      </c>
      <c r="R26" s="109">
        <f t="shared" si="5"/>
        <v>0</v>
      </c>
      <c r="S26" s="7">
        <f t="shared" si="6"/>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41509.351000000002</v>
      </c>
      <c r="B27" s="15" t="s">
        <v>3</v>
      </c>
      <c r="C27" s="14"/>
      <c r="D27" s="13">
        <f t="shared" si="9"/>
        <v>0</v>
      </c>
      <c r="E27" s="7"/>
      <c r="F27" s="375">
        <f t="shared" si="10"/>
        <v>0</v>
      </c>
      <c r="G27" s="375">
        <f t="shared" si="10"/>
        <v>0</v>
      </c>
      <c r="H27" s="375">
        <f t="shared" si="10"/>
        <v>0</v>
      </c>
      <c r="I27" s="375">
        <f t="shared" si="10"/>
        <v>0</v>
      </c>
      <c r="J27" s="375">
        <f t="shared" si="10"/>
        <v>0</v>
      </c>
      <c r="K27" s="375">
        <f t="shared" si="10"/>
        <v>0</v>
      </c>
      <c r="L27" s="375">
        <f t="shared" si="10"/>
        <v>0</v>
      </c>
      <c r="M27" s="375">
        <f t="shared" si="10"/>
        <v>0</v>
      </c>
      <c r="N27" s="375">
        <f t="shared" si="10"/>
        <v>0</v>
      </c>
      <c r="O27" s="375">
        <f t="shared" si="10"/>
        <v>0</v>
      </c>
      <c r="P27" s="375">
        <f t="shared" si="10"/>
        <v>0</v>
      </c>
      <c r="Q27" s="375">
        <f t="shared" si="10"/>
        <v>0</v>
      </c>
      <c r="R27" s="109">
        <f t="shared" si="5"/>
        <v>0</v>
      </c>
      <c r="S27" s="7">
        <f t="shared" si="6"/>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41570.351000000002</v>
      </c>
      <c r="B28" s="15" t="s">
        <v>2</v>
      </c>
      <c r="C28" s="14"/>
      <c r="D28" s="13">
        <f t="shared" si="9"/>
        <v>0</v>
      </c>
      <c r="E28" s="7"/>
      <c r="F28" s="375">
        <f t="shared" si="10"/>
        <v>0</v>
      </c>
      <c r="G28" s="375">
        <f t="shared" si="10"/>
        <v>0</v>
      </c>
      <c r="H28" s="375">
        <f t="shared" si="10"/>
        <v>0</v>
      </c>
      <c r="I28" s="375">
        <f t="shared" si="10"/>
        <v>0</v>
      </c>
      <c r="J28" s="375">
        <f t="shared" si="10"/>
        <v>0</v>
      </c>
      <c r="K28" s="375">
        <f t="shared" si="10"/>
        <v>0</v>
      </c>
      <c r="L28" s="375">
        <f t="shared" si="10"/>
        <v>0</v>
      </c>
      <c r="M28" s="375">
        <f t="shared" si="10"/>
        <v>0</v>
      </c>
      <c r="N28" s="375">
        <f t="shared" si="10"/>
        <v>0</v>
      </c>
      <c r="O28" s="375">
        <f t="shared" si="10"/>
        <v>0</v>
      </c>
      <c r="P28" s="375">
        <f t="shared" si="10"/>
        <v>0</v>
      </c>
      <c r="Q28" s="375">
        <f t="shared" si="10"/>
        <v>0</v>
      </c>
      <c r="R28" s="109">
        <f t="shared" si="5"/>
        <v>0</v>
      </c>
      <c r="S28" s="7">
        <f t="shared" si="6"/>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5" customFormat="1" x14ac:dyDescent="0.2">
      <c r="A29" s="11"/>
      <c r="B29" s="10" t="s">
        <v>0</v>
      </c>
      <c r="C29" s="8">
        <f>SUM(C10:C28)</f>
        <v>291016.75</v>
      </c>
      <c r="D29" s="9">
        <f>SUM(D10:D28)</f>
        <v>39.120369123402028</v>
      </c>
      <c r="E29" s="104"/>
      <c r="F29" s="395">
        <f t="shared" ref="F29:Q29" si="14">SUM(F10:F28)</f>
        <v>24679.059336269536</v>
      </c>
      <c r="G29" s="395">
        <f t="shared" si="14"/>
        <v>23872.999109895078</v>
      </c>
      <c r="H29" s="395">
        <f t="shared" si="14"/>
        <v>24615.760543608638</v>
      </c>
      <c r="I29" s="395">
        <f t="shared" si="14"/>
        <v>24698.048974067799</v>
      </c>
      <c r="J29" s="395">
        <f t="shared" si="14"/>
        <v>22396.518927133813</v>
      </c>
      <c r="K29" s="395">
        <f t="shared" si="14"/>
        <v>24784.406612626604</v>
      </c>
      <c r="L29" s="395">
        <f t="shared" si="14"/>
        <v>23946.696989921697</v>
      </c>
      <c r="M29" s="395">
        <f t="shared" si="14"/>
        <v>24766.773377528207</v>
      </c>
      <c r="N29" s="395">
        <f t="shared" si="14"/>
        <v>23922.281741323925</v>
      </c>
      <c r="O29" s="395">
        <f t="shared" si="14"/>
        <v>24618.021214775097</v>
      </c>
      <c r="P29" s="395">
        <f t="shared" si="14"/>
        <v>24735.576115431053</v>
      </c>
      <c r="Q29" s="395">
        <f t="shared" si="14"/>
        <v>23980.607057418601</v>
      </c>
      <c r="R29" s="109">
        <f t="shared" si="5"/>
        <v>291016.75000000006</v>
      </c>
      <c r="S29" s="104">
        <f t="shared" si="6"/>
        <v>0</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row>
    <row r="30" spans="1:58" x14ac:dyDescent="0.2">
      <c r="F30" s="3"/>
    </row>
    <row r="31" spans="1:58" x14ac:dyDescent="0.2">
      <c r="A31" s="4"/>
      <c r="C31" s="3"/>
      <c r="F31" s="3"/>
      <c r="G31" s="3"/>
      <c r="H31" s="3"/>
      <c r="I31" s="3"/>
      <c r="J31" s="3"/>
      <c r="K31" s="3"/>
      <c r="L31" s="3"/>
      <c r="M31" s="3"/>
      <c r="N31" s="3"/>
      <c r="O31" s="3"/>
      <c r="P31" s="3"/>
      <c r="Q31" s="3"/>
    </row>
    <row r="32" spans="1:58" x14ac:dyDescent="0.2">
      <c r="A32" s="4"/>
      <c r="C32" s="3"/>
      <c r="F32" s="3"/>
      <c r="G32" s="3"/>
      <c r="H32" s="3"/>
      <c r="I32" s="3"/>
      <c r="J32" s="3"/>
      <c r="K32" s="3"/>
      <c r="L32" s="3"/>
      <c r="M32" s="3"/>
      <c r="N32" s="3"/>
      <c r="O32" s="3"/>
      <c r="P32" s="3"/>
      <c r="Q32" s="3"/>
    </row>
    <row r="33" spans="3:17" x14ac:dyDescent="0.2">
      <c r="C33" s="3"/>
      <c r="F33" s="3"/>
      <c r="G33" s="3"/>
      <c r="H33" s="3"/>
      <c r="I33" s="3"/>
      <c r="J33" s="3"/>
      <c r="K33" s="3"/>
      <c r="L33" s="3"/>
      <c r="M33" s="3"/>
      <c r="N33" s="3"/>
      <c r="O33" s="3"/>
      <c r="P33" s="3"/>
      <c r="Q33" s="3"/>
    </row>
  </sheetData>
  <mergeCells count="1">
    <mergeCell ref="A8:D8"/>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 xml:space="preserve">&amp;R&amp;A
</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74"/>
  <sheetViews>
    <sheetView zoomScale="80" zoomScaleNormal="80" workbookViewId="0">
      <pane xSplit="2" ySplit="6" topLeftCell="C49" activePane="bottomRight" state="frozen"/>
      <selection pane="topRight" activeCell="C1" sqref="C1"/>
      <selection pane="bottomLeft" activeCell="A7" sqref="A7"/>
      <selection pane="bottomRight" activeCell="I82" sqref="I82"/>
    </sheetView>
  </sheetViews>
  <sheetFormatPr defaultRowHeight="12.75" x14ac:dyDescent="0.2"/>
  <cols>
    <col min="1" max="1" width="11" style="2" bestFit="1" customWidth="1"/>
    <col min="2" max="2" width="24.85546875" style="2" customWidth="1"/>
    <col min="3" max="3" width="14.42578125" style="2" bestFit="1" customWidth="1"/>
    <col min="4" max="4" width="12.7109375" style="4" bestFit="1" customWidth="1"/>
    <col min="5" max="5" width="2.7109375" style="4" customWidth="1"/>
    <col min="6" max="17" width="14.28515625" style="2" bestFit="1" customWidth="1"/>
    <col min="18" max="18" width="13.8554687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71">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306">
        <f>'MO STATS'!P87</f>
        <v>57</v>
      </c>
      <c r="R2" s="96">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306">
        <f>'MO STATS'!P88</f>
        <v>1808</v>
      </c>
      <c r="R3" s="96">
        <f t="shared" ref="R3:R4" si="0">SUM(F3:Q3)</f>
        <v>20375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306">
        <f>'MO STATS'!P89</f>
        <v>1865</v>
      </c>
      <c r="R4" s="96">
        <f t="shared" si="0"/>
        <v>21038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1">
        <f>'[4]2017 FTEs'!$AS$44</f>
        <v>3</v>
      </c>
      <c r="R5" s="96"/>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6240</v>
      </c>
      <c r="F6" s="421">
        <f>($C6/$R7)*F7</f>
        <v>529.97260273972609</v>
      </c>
      <c r="G6" s="421">
        <f t="shared" ref="G6:Q6" si="2">($C6/$R7)*G7</f>
        <v>512.8767123287671</v>
      </c>
      <c r="H6" s="421">
        <f t="shared" si="2"/>
        <v>529.97260273972609</v>
      </c>
      <c r="I6" s="421">
        <f t="shared" si="2"/>
        <v>529.97260273972609</v>
      </c>
      <c r="J6" s="421">
        <f t="shared" si="2"/>
        <v>478.68493150684935</v>
      </c>
      <c r="K6" s="421">
        <f t="shared" si="2"/>
        <v>529.97260273972609</v>
      </c>
      <c r="L6" s="421">
        <f t="shared" si="2"/>
        <v>512.8767123287671</v>
      </c>
      <c r="M6" s="421">
        <f t="shared" si="2"/>
        <v>529.97260273972609</v>
      </c>
      <c r="N6" s="421">
        <f t="shared" si="2"/>
        <v>512.8767123287671</v>
      </c>
      <c r="O6" s="421">
        <f t="shared" si="2"/>
        <v>529.97260273972609</v>
      </c>
      <c r="P6" s="421">
        <f t="shared" si="2"/>
        <v>529.97260273972609</v>
      </c>
      <c r="Q6" s="421">
        <f t="shared" si="2"/>
        <v>512.8767123287671</v>
      </c>
      <c r="R6" s="6">
        <f t="shared" ref="R6:R7" si="3">SUM(F6:Q6)</f>
        <v>6240.0000000000009</v>
      </c>
      <c r="S6" s="3">
        <f t="shared" ref="S6" si="4">C6-R6</f>
        <v>0</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si="3"/>
        <v>365</v>
      </c>
      <c r="S7" s="3"/>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c r="R8" s="96"/>
    </row>
    <row r="9" spans="1:58" x14ac:dyDescent="0.2">
      <c r="A9" s="21"/>
      <c r="B9" s="10" t="s">
        <v>615</v>
      </c>
      <c r="C9" s="20"/>
      <c r="D9" s="19" t="s">
        <v>596</v>
      </c>
      <c r="E9" s="111"/>
      <c r="R9" s="96"/>
    </row>
    <row r="10" spans="1:58" s="12" customFormat="1" x14ac:dyDescent="0.2">
      <c r="A10" s="87">
        <v>41101.381000000001</v>
      </c>
      <c r="B10" s="15" t="s">
        <v>22</v>
      </c>
      <c r="C10" s="428">
        <f>'[6]Hospital Admin'!$J$15</f>
        <v>211500</v>
      </c>
      <c r="D10" s="429">
        <f t="shared" ref="D10:D15" si="5">$C10/C$6</f>
        <v>33.894230769230766</v>
      </c>
      <c r="E10" s="7"/>
      <c r="F10" s="375">
        <f>$D10*F$6</f>
        <v>17963.013698630137</v>
      </c>
      <c r="G10" s="375">
        <f t="shared" ref="G10:Q10" si="6">$D10*G$6</f>
        <v>17383.561643835616</v>
      </c>
      <c r="H10" s="375">
        <f t="shared" si="6"/>
        <v>17963.013698630137</v>
      </c>
      <c r="I10" s="375">
        <f t="shared" si="6"/>
        <v>17963.013698630137</v>
      </c>
      <c r="J10" s="375">
        <f t="shared" si="6"/>
        <v>16224.657534246575</v>
      </c>
      <c r="K10" s="375">
        <f t="shared" si="6"/>
        <v>17963.013698630137</v>
      </c>
      <c r="L10" s="375">
        <f t="shared" si="6"/>
        <v>17383.561643835616</v>
      </c>
      <c r="M10" s="375">
        <f t="shared" si="6"/>
        <v>17963.013698630137</v>
      </c>
      <c r="N10" s="375">
        <f t="shared" si="6"/>
        <v>17383.561643835616</v>
      </c>
      <c r="O10" s="375">
        <f t="shared" si="6"/>
        <v>17963.013698630137</v>
      </c>
      <c r="P10" s="375">
        <f t="shared" si="6"/>
        <v>17963.013698630137</v>
      </c>
      <c r="Q10" s="375">
        <f t="shared" si="6"/>
        <v>17383.561643835616</v>
      </c>
      <c r="R10" s="109">
        <f t="shared" ref="R10:R65" si="7">SUM(F10:Q10)</f>
        <v>211500.00000000006</v>
      </c>
      <c r="S10" s="7">
        <f t="shared" ref="S10:S65" si="8">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41110.381000000001</v>
      </c>
      <c r="B11" s="15" t="s">
        <v>21</v>
      </c>
      <c r="C11" s="428">
        <f>'[6]Hospital Admin'!$J$16</f>
        <v>23500</v>
      </c>
      <c r="D11" s="429">
        <f t="shared" si="5"/>
        <v>3.766025641025641</v>
      </c>
      <c r="E11" s="7"/>
      <c r="F11" s="375">
        <f t="shared" ref="F11:R15" si="9">$D11*F$6</f>
        <v>1995.8904109589043</v>
      </c>
      <c r="G11" s="375">
        <f t="shared" si="9"/>
        <v>1931.5068493150684</v>
      </c>
      <c r="H11" s="375">
        <f t="shared" si="9"/>
        <v>1995.8904109589043</v>
      </c>
      <c r="I11" s="375">
        <f t="shared" si="9"/>
        <v>1995.8904109589043</v>
      </c>
      <c r="J11" s="375">
        <f t="shared" si="9"/>
        <v>1802.7397260273974</v>
      </c>
      <c r="K11" s="375">
        <f t="shared" si="9"/>
        <v>1995.8904109589043</v>
      </c>
      <c r="L11" s="375">
        <f t="shared" si="9"/>
        <v>1931.5068493150684</v>
      </c>
      <c r="M11" s="375">
        <f t="shared" si="9"/>
        <v>1995.8904109589043</v>
      </c>
      <c r="N11" s="375">
        <f t="shared" si="9"/>
        <v>1931.5068493150684</v>
      </c>
      <c r="O11" s="375">
        <f t="shared" si="9"/>
        <v>1995.8904109589043</v>
      </c>
      <c r="P11" s="375">
        <f t="shared" si="9"/>
        <v>1995.8904109589043</v>
      </c>
      <c r="Q11" s="375">
        <f t="shared" si="9"/>
        <v>1931.5068493150684</v>
      </c>
      <c r="R11" s="109">
        <f t="shared" si="7"/>
        <v>23500.000000000004</v>
      </c>
      <c r="S11" s="7">
        <f t="shared" si="8"/>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41115.381000000001</v>
      </c>
      <c r="B12" s="15" t="s">
        <v>20</v>
      </c>
      <c r="C12" s="428">
        <f>'[6]Hospital Admin'!$J$17</f>
        <v>1100</v>
      </c>
      <c r="D12" s="429">
        <f t="shared" si="5"/>
        <v>0.17628205128205129</v>
      </c>
      <c r="E12" s="7"/>
      <c r="F12" s="375">
        <f t="shared" si="9"/>
        <v>93.424657534246592</v>
      </c>
      <c r="G12" s="375">
        <f t="shared" si="9"/>
        <v>90.410958904109592</v>
      </c>
      <c r="H12" s="375">
        <f t="shared" si="9"/>
        <v>93.424657534246592</v>
      </c>
      <c r="I12" s="375">
        <f t="shared" si="9"/>
        <v>93.424657534246592</v>
      </c>
      <c r="J12" s="375">
        <f t="shared" si="9"/>
        <v>84.383561643835634</v>
      </c>
      <c r="K12" s="375">
        <f t="shared" si="9"/>
        <v>93.424657534246592</v>
      </c>
      <c r="L12" s="375">
        <f t="shared" si="9"/>
        <v>90.410958904109592</v>
      </c>
      <c r="M12" s="375">
        <f t="shared" si="9"/>
        <v>93.424657534246592</v>
      </c>
      <c r="N12" s="375">
        <f t="shared" si="9"/>
        <v>90.410958904109592</v>
      </c>
      <c r="O12" s="375">
        <f t="shared" si="9"/>
        <v>93.424657534246592</v>
      </c>
      <c r="P12" s="375">
        <f t="shared" si="9"/>
        <v>93.424657534246592</v>
      </c>
      <c r="Q12" s="375">
        <f t="shared" si="9"/>
        <v>90.410958904109592</v>
      </c>
      <c r="R12" s="109">
        <f t="shared" si="7"/>
        <v>1100.0000000000002</v>
      </c>
      <c r="S12" s="7">
        <f t="shared" si="8"/>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41150.381000000001</v>
      </c>
      <c r="B13" s="15" t="s">
        <v>19</v>
      </c>
      <c r="C13" s="428">
        <f>'[6]Hospital Admin'!$J$18</f>
        <v>18061.650000000001</v>
      </c>
      <c r="D13" s="429">
        <f t="shared" si="5"/>
        <v>2.8944951923076925</v>
      </c>
      <c r="E13" s="7"/>
      <c r="F13" s="375">
        <f t="shared" si="9"/>
        <v>1534.0031506849318</v>
      </c>
      <c r="G13" s="375">
        <f t="shared" si="9"/>
        <v>1484.5191780821917</v>
      </c>
      <c r="H13" s="375">
        <f t="shared" si="9"/>
        <v>1534.0031506849318</v>
      </c>
      <c r="I13" s="375">
        <f t="shared" si="9"/>
        <v>1534.0031506849318</v>
      </c>
      <c r="J13" s="375">
        <f t="shared" si="9"/>
        <v>1385.5512328767124</v>
      </c>
      <c r="K13" s="375">
        <f t="shared" si="9"/>
        <v>1534.0031506849318</v>
      </c>
      <c r="L13" s="375">
        <f t="shared" si="9"/>
        <v>1484.5191780821917</v>
      </c>
      <c r="M13" s="375">
        <f t="shared" si="9"/>
        <v>1534.0031506849318</v>
      </c>
      <c r="N13" s="375">
        <f t="shared" si="9"/>
        <v>1484.5191780821917</v>
      </c>
      <c r="O13" s="375">
        <f t="shared" si="9"/>
        <v>1534.0031506849318</v>
      </c>
      <c r="P13" s="375">
        <f t="shared" si="9"/>
        <v>1534.0031506849318</v>
      </c>
      <c r="Q13" s="375">
        <f t="shared" si="9"/>
        <v>1484.5191780821917</v>
      </c>
      <c r="R13" s="109">
        <f t="shared" si="7"/>
        <v>18061.650000000001</v>
      </c>
      <c r="S13" s="7">
        <f t="shared" si="8"/>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41152.381000000001</v>
      </c>
      <c r="B14" s="15" t="s">
        <v>18</v>
      </c>
      <c r="C14" s="428"/>
      <c r="D14" s="429">
        <f t="shared" si="5"/>
        <v>0</v>
      </c>
      <c r="E14" s="7"/>
      <c r="F14" s="375">
        <f t="shared" si="9"/>
        <v>0</v>
      </c>
      <c r="G14" s="375">
        <f t="shared" si="9"/>
        <v>0</v>
      </c>
      <c r="H14" s="375">
        <f t="shared" si="9"/>
        <v>0</v>
      </c>
      <c r="I14" s="375">
        <f t="shared" si="9"/>
        <v>0</v>
      </c>
      <c r="J14" s="375">
        <f t="shared" si="9"/>
        <v>0</v>
      </c>
      <c r="K14" s="375">
        <f t="shared" si="9"/>
        <v>0</v>
      </c>
      <c r="L14" s="375">
        <f t="shared" si="9"/>
        <v>0</v>
      </c>
      <c r="M14" s="375">
        <f t="shared" si="9"/>
        <v>0</v>
      </c>
      <c r="N14" s="375">
        <f t="shared" si="9"/>
        <v>0</v>
      </c>
      <c r="O14" s="375">
        <f t="shared" si="9"/>
        <v>0</v>
      </c>
      <c r="P14" s="375">
        <f t="shared" si="9"/>
        <v>0</v>
      </c>
      <c r="Q14" s="375">
        <f t="shared" si="9"/>
        <v>0</v>
      </c>
      <c r="R14" s="109">
        <f t="shared" si="7"/>
        <v>0</v>
      </c>
      <c r="S14" s="7">
        <f t="shared" si="8"/>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41154.381000000001</v>
      </c>
      <c r="B15" s="15" t="s">
        <v>981</v>
      </c>
      <c r="C15" s="14">
        <f>'[6]Hospital Admin'!$J$19</f>
        <v>800</v>
      </c>
      <c r="D15" s="13">
        <f t="shared" si="5"/>
        <v>0.12820512820512819</v>
      </c>
      <c r="E15" s="7"/>
      <c r="F15" s="375">
        <f t="shared" si="9"/>
        <v>67.945205479452056</v>
      </c>
      <c r="G15" s="375">
        <f t="shared" si="9"/>
        <v>65.753424657534239</v>
      </c>
      <c r="H15" s="375">
        <f t="shared" si="9"/>
        <v>67.945205479452056</v>
      </c>
      <c r="I15" s="375">
        <f t="shared" si="9"/>
        <v>67.945205479452056</v>
      </c>
      <c r="J15" s="375">
        <f t="shared" si="9"/>
        <v>61.369863013698627</v>
      </c>
      <c r="K15" s="375">
        <f t="shared" si="9"/>
        <v>67.945205479452056</v>
      </c>
      <c r="L15" s="375">
        <f t="shared" si="9"/>
        <v>65.753424657534239</v>
      </c>
      <c r="M15" s="375">
        <f t="shared" si="9"/>
        <v>67.945205479452056</v>
      </c>
      <c r="N15" s="375">
        <f t="shared" si="9"/>
        <v>65.753424657534239</v>
      </c>
      <c r="O15" s="375">
        <f t="shared" si="9"/>
        <v>67.945205479452056</v>
      </c>
      <c r="P15" s="375">
        <f t="shared" si="9"/>
        <v>67.945205479452056</v>
      </c>
      <c r="Q15" s="375">
        <f t="shared" si="9"/>
        <v>65.753424657534239</v>
      </c>
      <c r="R15" s="375">
        <f t="shared" si="9"/>
        <v>800</v>
      </c>
      <c r="S15" s="7"/>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41160.381000000001</v>
      </c>
      <c r="B16" s="15" t="s">
        <v>616</v>
      </c>
      <c r="C16" s="14">
        <f>'[6]Hospital Admin'!$J$20</f>
        <v>110100</v>
      </c>
      <c r="D16" s="13">
        <f t="shared" ref="D16:D64" si="10">$C16/C$4</f>
        <v>5.2333872041068545</v>
      </c>
      <c r="E16" s="7"/>
      <c r="F16" s="375">
        <f t="shared" ref="F16:S64" si="11">$D16*F$4</f>
        <v>8917.6917957980804</v>
      </c>
      <c r="G16" s="375">
        <f t="shared" ref="G16:Q51" si="12">$D16*G$4</f>
        <v>8514.7209810818531</v>
      </c>
      <c r="H16" s="375">
        <f t="shared" si="12"/>
        <v>8185.0175872231202</v>
      </c>
      <c r="I16" s="375">
        <f t="shared" si="12"/>
        <v>9137.4940583705684</v>
      </c>
      <c r="J16" s="375">
        <f t="shared" si="12"/>
        <v>9278.7955128814538</v>
      </c>
      <c r="K16" s="375">
        <f t="shared" si="12"/>
        <v>10137.071014354977</v>
      </c>
      <c r="L16" s="375">
        <f t="shared" si="12"/>
        <v>9367.7630953512689</v>
      </c>
      <c r="M16" s="375">
        <f t="shared" si="12"/>
        <v>9932.9689133948104</v>
      </c>
      <c r="N16" s="375">
        <f t="shared" si="12"/>
        <v>9085.1601863295</v>
      </c>
      <c r="O16" s="375">
        <f t="shared" si="12"/>
        <v>8211.1845232436553</v>
      </c>
      <c r="P16" s="375">
        <f t="shared" si="12"/>
        <v>9571.8651963114371</v>
      </c>
      <c r="Q16" s="375">
        <f t="shared" si="12"/>
        <v>9760.2671356592837</v>
      </c>
      <c r="R16" s="109">
        <f t="shared" ref="R16:R21" si="13">SUM(F16:Q16)</f>
        <v>110100.00000000003</v>
      </c>
      <c r="S16" s="7">
        <f t="shared" ref="S16:S21" si="14">C16-R16</f>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41165.381000000001</v>
      </c>
      <c r="B17" s="15" t="s">
        <v>617</v>
      </c>
      <c r="C17" s="14">
        <f>'[6]Hospital Admin'!$J$21</f>
        <v>7015</v>
      </c>
      <c r="D17" s="13">
        <f t="shared" si="10"/>
        <v>0.33344424374940584</v>
      </c>
      <c r="E17" s="7"/>
      <c r="F17" s="375">
        <f t="shared" si="11"/>
        <v>568.18899134898754</v>
      </c>
      <c r="G17" s="375">
        <f t="shared" si="12"/>
        <v>542.5137845802833</v>
      </c>
      <c r="H17" s="375">
        <f t="shared" si="12"/>
        <v>521.50679722407074</v>
      </c>
      <c r="I17" s="375">
        <f t="shared" si="12"/>
        <v>582.19364958646258</v>
      </c>
      <c r="J17" s="375">
        <f t="shared" si="12"/>
        <v>591.1966441676966</v>
      </c>
      <c r="K17" s="375">
        <f t="shared" si="12"/>
        <v>645.88150014259907</v>
      </c>
      <c r="L17" s="375">
        <f t="shared" si="12"/>
        <v>596.86519631143642</v>
      </c>
      <c r="M17" s="375">
        <f t="shared" si="12"/>
        <v>632.87717463637227</v>
      </c>
      <c r="N17" s="375">
        <f t="shared" si="12"/>
        <v>578.85920714896849</v>
      </c>
      <c r="O17" s="375">
        <f t="shared" si="12"/>
        <v>523.17401844281778</v>
      </c>
      <c r="P17" s="375">
        <f t="shared" si="12"/>
        <v>609.86952181766333</v>
      </c>
      <c r="Q17" s="375">
        <f t="shared" si="12"/>
        <v>621.87351459264187</v>
      </c>
      <c r="R17" s="109">
        <f t="shared" si="13"/>
        <v>7015.0000000000009</v>
      </c>
      <c r="S17" s="7">
        <f t="shared" si="14"/>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41170.381000000001</v>
      </c>
      <c r="B18" s="15" t="s">
        <v>618</v>
      </c>
      <c r="C18" s="14">
        <f>'[6]Hospital Admin'!$J$22</f>
        <v>492000</v>
      </c>
      <c r="D18" s="13">
        <f t="shared" si="10"/>
        <v>23.386253446145069</v>
      </c>
      <c r="E18" s="7"/>
      <c r="F18" s="375">
        <f t="shared" si="11"/>
        <v>39850.175872231201</v>
      </c>
      <c r="G18" s="375">
        <f t="shared" si="12"/>
        <v>38049.434356878024</v>
      </c>
      <c r="H18" s="375">
        <f t="shared" si="12"/>
        <v>36576.100389770887</v>
      </c>
      <c r="I18" s="375">
        <f t="shared" si="12"/>
        <v>40832.39851696929</v>
      </c>
      <c r="J18" s="375">
        <f t="shared" si="12"/>
        <v>41463.82736001521</v>
      </c>
      <c r="K18" s="375">
        <f t="shared" si="12"/>
        <v>45299.172925182997</v>
      </c>
      <c r="L18" s="375">
        <f t="shared" si="12"/>
        <v>41861.393668599674</v>
      </c>
      <c r="M18" s="375">
        <f t="shared" si="12"/>
        <v>44387.10904078334</v>
      </c>
      <c r="N18" s="375">
        <f t="shared" si="12"/>
        <v>40598.535982507841</v>
      </c>
      <c r="O18" s="375">
        <f t="shared" si="12"/>
        <v>36693.031657001615</v>
      </c>
      <c r="P18" s="375">
        <f t="shared" si="12"/>
        <v>42773.457552999331</v>
      </c>
      <c r="Q18" s="375">
        <f t="shared" si="12"/>
        <v>43615.362677060555</v>
      </c>
      <c r="R18" s="109">
        <f t="shared" si="13"/>
        <v>491999.99999999994</v>
      </c>
      <c r="S18" s="7">
        <f t="shared" si="14"/>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41171.381000000001</v>
      </c>
      <c r="B19" s="15" t="s">
        <v>983</v>
      </c>
      <c r="C19" s="14">
        <f>'[6]Hospital Admin'!$J$23</f>
        <v>10700</v>
      </c>
      <c r="D19" s="13">
        <f t="shared" si="10"/>
        <v>0.50860347941819561</v>
      </c>
      <c r="E19" s="7"/>
      <c r="F19" s="375">
        <f t="shared" si="11"/>
        <v>866.66032892860528</v>
      </c>
      <c r="G19" s="375">
        <f t="shared" si="11"/>
        <v>827.4978610134043</v>
      </c>
      <c r="H19" s="375">
        <f t="shared" si="11"/>
        <v>795.4558418100579</v>
      </c>
      <c r="I19" s="375">
        <f t="shared" si="11"/>
        <v>888.02167506416959</v>
      </c>
      <c r="J19" s="375">
        <f t="shared" si="11"/>
        <v>901.75396900846079</v>
      </c>
      <c r="K19" s="375">
        <f t="shared" si="11"/>
        <v>985.16493963304492</v>
      </c>
      <c r="L19" s="375">
        <f t="shared" si="11"/>
        <v>910.40022815857014</v>
      </c>
      <c r="M19" s="375">
        <f t="shared" si="11"/>
        <v>965.32940393573529</v>
      </c>
      <c r="N19" s="375">
        <f t="shared" si="11"/>
        <v>882.93564026998763</v>
      </c>
      <c r="O19" s="375">
        <f t="shared" si="11"/>
        <v>797.99885920714894</v>
      </c>
      <c r="P19" s="375">
        <f t="shared" si="11"/>
        <v>930.23576385587978</v>
      </c>
      <c r="Q19" s="375">
        <f t="shared" si="11"/>
        <v>948.54548911493487</v>
      </c>
      <c r="R19" s="375">
        <f t="shared" si="11"/>
        <v>10700</v>
      </c>
      <c r="S19" s="375">
        <f t="shared" si="11"/>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41172.381000000001</v>
      </c>
      <c r="B20" s="15" t="s">
        <v>982</v>
      </c>
      <c r="C20" s="14">
        <f>'[6]Hospital Admin'!$J$24</f>
        <v>10055</v>
      </c>
      <c r="D20" s="13">
        <f t="shared" si="10"/>
        <v>0.47794467154672499</v>
      </c>
      <c r="E20" s="7"/>
      <c r="F20" s="375">
        <f t="shared" si="11"/>
        <v>814.41772031561936</v>
      </c>
      <c r="G20" s="375">
        <f t="shared" ref="G20:S20" si="15">$D20*G$4</f>
        <v>777.61598060652159</v>
      </c>
      <c r="H20" s="375">
        <f t="shared" si="15"/>
        <v>747.50546629907785</v>
      </c>
      <c r="I20" s="375">
        <f t="shared" si="15"/>
        <v>834.49139652058182</v>
      </c>
      <c r="J20" s="375">
        <f t="shared" si="15"/>
        <v>847.39590265234335</v>
      </c>
      <c r="K20" s="375">
        <f t="shared" si="15"/>
        <v>925.77882878600633</v>
      </c>
      <c r="L20" s="375">
        <f t="shared" si="15"/>
        <v>855.52096206863769</v>
      </c>
      <c r="M20" s="375">
        <f t="shared" si="15"/>
        <v>907.13898659568406</v>
      </c>
      <c r="N20" s="375">
        <f t="shared" si="15"/>
        <v>829.71194980511461</v>
      </c>
      <c r="O20" s="375">
        <f t="shared" si="15"/>
        <v>749.89518965681145</v>
      </c>
      <c r="P20" s="375">
        <f t="shared" si="15"/>
        <v>874.16080425895996</v>
      </c>
      <c r="Q20" s="375">
        <f t="shared" si="15"/>
        <v>891.36681243464204</v>
      </c>
      <c r="R20" s="375">
        <f t="shared" si="15"/>
        <v>10055</v>
      </c>
      <c r="S20" s="375">
        <f t="shared" si="15"/>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41180.381000000001</v>
      </c>
      <c r="B21" s="15" t="s">
        <v>619</v>
      </c>
      <c r="C21" s="14">
        <f>'[6]Hospital Admin'!$J$25</f>
        <v>10400</v>
      </c>
      <c r="D21" s="13">
        <f t="shared" si="10"/>
        <v>0.49434356878030233</v>
      </c>
      <c r="E21" s="7"/>
      <c r="F21" s="375">
        <f t="shared" si="11"/>
        <v>842.36144120163522</v>
      </c>
      <c r="G21" s="375">
        <f t="shared" si="12"/>
        <v>804.29698640555193</v>
      </c>
      <c r="H21" s="375">
        <f t="shared" si="12"/>
        <v>773.15334157239283</v>
      </c>
      <c r="I21" s="375">
        <f t="shared" si="12"/>
        <v>863.12387109040787</v>
      </c>
      <c r="J21" s="375">
        <f t="shared" si="12"/>
        <v>876.47114744747603</v>
      </c>
      <c r="K21" s="375">
        <f t="shared" si="12"/>
        <v>957.5434927274456</v>
      </c>
      <c r="L21" s="375">
        <f t="shared" si="12"/>
        <v>884.87498811674118</v>
      </c>
      <c r="M21" s="375">
        <f t="shared" si="12"/>
        <v>938.26409354501379</v>
      </c>
      <c r="N21" s="375">
        <f t="shared" si="12"/>
        <v>858.18043540260487</v>
      </c>
      <c r="O21" s="375">
        <f t="shared" si="12"/>
        <v>775.62505941629433</v>
      </c>
      <c r="P21" s="375">
        <f t="shared" si="12"/>
        <v>904.15438729917298</v>
      </c>
      <c r="Q21" s="375">
        <f t="shared" si="12"/>
        <v>921.95075577526381</v>
      </c>
      <c r="R21" s="109">
        <f t="shared" si="13"/>
        <v>10400</v>
      </c>
      <c r="S21" s="7">
        <f t="shared" si="14"/>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41237.381000000001</v>
      </c>
      <c r="B22" s="15" t="s">
        <v>17</v>
      </c>
      <c r="C22" s="14">
        <f>'[6]Hospital Admin'!$J$26</f>
        <v>3475</v>
      </c>
      <c r="D22" s="13">
        <f t="shared" si="10"/>
        <v>0.16517729822226448</v>
      </c>
      <c r="E22" s="7"/>
      <c r="F22" s="375">
        <f t="shared" si="11"/>
        <v>281.46211617073868</v>
      </c>
      <c r="G22" s="375">
        <f t="shared" si="12"/>
        <v>268.7434642076243</v>
      </c>
      <c r="H22" s="375">
        <f t="shared" si="12"/>
        <v>258.33729441962163</v>
      </c>
      <c r="I22" s="375">
        <f t="shared" si="12"/>
        <v>288.39956269607382</v>
      </c>
      <c r="J22" s="375">
        <f t="shared" si="12"/>
        <v>292.85934974807492</v>
      </c>
      <c r="K22" s="375">
        <f t="shared" si="12"/>
        <v>319.94842665652629</v>
      </c>
      <c r="L22" s="375">
        <f t="shared" si="12"/>
        <v>295.66736381785341</v>
      </c>
      <c r="M22" s="375">
        <f t="shared" si="12"/>
        <v>313.506512025858</v>
      </c>
      <c r="N22" s="375">
        <f t="shared" si="12"/>
        <v>286.74778971385115</v>
      </c>
      <c r="O22" s="375">
        <f t="shared" si="12"/>
        <v>259.16318091073299</v>
      </c>
      <c r="P22" s="375">
        <f t="shared" si="12"/>
        <v>302.10927844852176</v>
      </c>
      <c r="Q22" s="375">
        <f t="shared" si="12"/>
        <v>308.05566118452327</v>
      </c>
      <c r="R22" s="109">
        <f t="shared" si="7"/>
        <v>3475</v>
      </c>
      <c r="S22" s="7">
        <f t="shared" si="8"/>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41246.381000000001</v>
      </c>
      <c r="B23" s="15" t="s">
        <v>16</v>
      </c>
      <c r="C23" s="14">
        <f>'[6]Hospital Admin'!$J$27</f>
        <v>440</v>
      </c>
      <c r="D23" s="13">
        <f t="shared" si="10"/>
        <v>2.0914535602243559E-2</v>
      </c>
      <c r="E23" s="7"/>
      <c r="F23" s="375">
        <f t="shared" si="11"/>
        <v>35.638368666223023</v>
      </c>
      <c r="G23" s="375">
        <f t="shared" si="12"/>
        <v>34.02794942485027</v>
      </c>
      <c r="H23" s="375">
        <f t="shared" si="12"/>
        <v>32.710333681908928</v>
      </c>
      <c r="I23" s="375">
        <f t="shared" si="12"/>
        <v>36.516779161517256</v>
      </c>
      <c r="J23" s="375">
        <f t="shared" si="12"/>
        <v>37.081471622777826</v>
      </c>
      <c r="K23" s="375">
        <f t="shared" si="12"/>
        <v>40.511455461545772</v>
      </c>
      <c r="L23" s="375">
        <f t="shared" si="12"/>
        <v>37.437018728015971</v>
      </c>
      <c r="M23" s="375">
        <f t="shared" si="12"/>
        <v>39.695788573058273</v>
      </c>
      <c r="N23" s="375">
        <f t="shared" si="12"/>
        <v>36.307633805494817</v>
      </c>
      <c r="O23" s="375">
        <f t="shared" si="12"/>
        <v>32.814906359920144</v>
      </c>
      <c r="P23" s="375">
        <f t="shared" si="12"/>
        <v>38.25268561650347</v>
      </c>
      <c r="Q23" s="375">
        <f t="shared" si="12"/>
        <v>39.005608898184235</v>
      </c>
      <c r="R23" s="109">
        <f t="shared" si="7"/>
        <v>439.99999999999994</v>
      </c>
      <c r="S23" s="7">
        <f t="shared" si="8"/>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41250.381000000001</v>
      </c>
      <c r="B24" s="15" t="s">
        <v>15</v>
      </c>
      <c r="C24" s="14"/>
      <c r="D24" s="13">
        <f t="shared" si="10"/>
        <v>0</v>
      </c>
      <c r="E24" s="7"/>
      <c r="F24" s="375">
        <f t="shared" si="11"/>
        <v>0</v>
      </c>
      <c r="G24" s="375">
        <f t="shared" si="12"/>
        <v>0</v>
      </c>
      <c r="H24" s="375">
        <f t="shared" si="12"/>
        <v>0</v>
      </c>
      <c r="I24" s="375">
        <f t="shared" si="12"/>
        <v>0</v>
      </c>
      <c r="J24" s="375">
        <f t="shared" si="12"/>
        <v>0</v>
      </c>
      <c r="K24" s="375">
        <f t="shared" si="12"/>
        <v>0</v>
      </c>
      <c r="L24" s="375">
        <f t="shared" si="12"/>
        <v>0</v>
      </c>
      <c r="M24" s="375">
        <f t="shared" si="12"/>
        <v>0</v>
      </c>
      <c r="N24" s="375">
        <f t="shared" si="12"/>
        <v>0</v>
      </c>
      <c r="O24" s="375">
        <f t="shared" si="12"/>
        <v>0</v>
      </c>
      <c r="P24" s="375">
        <f t="shared" si="12"/>
        <v>0</v>
      </c>
      <c r="Q24" s="375">
        <f t="shared" si="12"/>
        <v>0</v>
      </c>
      <c r="R24" s="109">
        <f t="shared" si="7"/>
        <v>0</v>
      </c>
      <c r="S24" s="7">
        <f t="shared" si="8"/>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41300.381000000001</v>
      </c>
      <c r="B25" s="15" t="s">
        <v>620</v>
      </c>
      <c r="C25" s="14">
        <v>0</v>
      </c>
      <c r="D25" s="13">
        <f t="shared" si="10"/>
        <v>0</v>
      </c>
      <c r="E25" s="7"/>
      <c r="F25" s="375">
        <f t="shared" si="11"/>
        <v>0</v>
      </c>
      <c r="G25" s="375">
        <f t="shared" si="12"/>
        <v>0</v>
      </c>
      <c r="H25" s="375">
        <f t="shared" si="12"/>
        <v>0</v>
      </c>
      <c r="I25" s="375">
        <f t="shared" si="12"/>
        <v>0</v>
      </c>
      <c r="J25" s="375">
        <f t="shared" si="12"/>
        <v>0</v>
      </c>
      <c r="K25" s="375">
        <f t="shared" si="12"/>
        <v>0</v>
      </c>
      <c r="L25" s="375">
        <f t="shared" si="12"/>
        <v>0</v>
      </c>
      <c r="M25" s="375">
        <f t="shared" si="12"/>
        <v>0</v>
      </c>
      <c r="N25" s="375">
        <f t="shared" si="12"/>
        <v>0</v>
      </c>
      <c r="O25" s="375">
        <f t="shared" si="12"/>
        <v>0</v>
      </c>
      <c r="P25" s="375">
        <f t="shared" si="12"/>
        <v>0</v>
      </c>
      <c r="Q25" s="375">
        <f t="shared" si="12"/>
        <v>0</v>
      </c>
      <c r="R25" s="109">
        <f t="shared" ref="R25:R28" si="16">SUM(F25:Q25)</f>
        <v>0</v>
      </c>
      <c r="S25" s="7">
        <f t="shared" ref="S25:S28" si="17">C25-R25</f>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41320.381000000001</v>
      </c>
      <c r="B26" s="15" t="s">
        <v>621</v>
      </c>
      <c r="C26" s="14">
        <v>35000</v>
      </c>
      <c r="D26" s="13">
        <f t="shared" si="10"/>
        <v>1.6636562410875559</v>
      </c>
      <c r="E26" s="7"/>
      <c r="F26" s="375">
        <f t="shared" si="11"/>
        <v>2834.8702348131951</v>
      </c>
      <c r="G26" s="375">
        <f t="shared" si="12"/>
        <v>2706.7687042494535</v>
      </c>
      <c r="H26" s="375">
        <f t="shared" si="12"/>
        <v>2601.9583610609375</v>
      </c>
      <c r="I26" s="375">
        <f t="shared" si="12"/>
        <v>2904.7437969388725</v>
      </c>
      <c r="J26" s="375">
        <f t="shared" si="12"/>
        <v>2949.6625154482367</v>
      </c>
      <c r="K26" s="375">
        <f t="shared" si="12"/>
        <v>3222.502138986596</v>
      </c>
      <c r="L26" s="375">
        <f t="shared" si="12"/>
        <v>2977.9446715467252</v>
      </c>
      <c r="M26" s="375">
        <f t="shared" si="12"/>
        <v>3157.6195455841812</v>
      </c>
      <c r="N26" s="375">
        <f t="shared" si="12"/>
        <v>2888.1072345279972</v>
      </c>
      <c r="O26" s="375">
        <f t="shared" si="12"/>
        <v>2610.2766422663753</v>
      </c>
      <c r="P26" s="375">
        <f t="shared" si="12"/>
        <v>3042.82726494914</v>
      </c>
      <c r="Q26" s="375">
        <f t="shared" si="12"/>
        <v>3102.7188896282919</v>
      </c>
      <c r="R26" s="109">
        <f t="shared" si="16"/>
        <v>35000</v>
      </c>
      <c r="S26" s="7">
        <f t="shared" si="17"/>
        <v>0</v>
      </c>
      <c r="T26" s="4">
        <v>60000</v>
      </c>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41322.381000000001</v>
      </c>
      <c r="B27" s="15" t="s">
        <v>622</v>
      </c>
      <c r="C27" s="14">
        <f>'[6]Hospital Admin'!$J$29</f>
        <v>55800</v>
      </c>
      <c r="D27" s="13">
        <f t="shared" si="10"/>
        <v>2.6523433786481605</v>
      </c>
      <c r="E27" s="7"/>
      <c r="F27" s="375">
        <f t="shared" si="11"/>
        <v>4519.5931172164655</v>
      </c>
      <c r="G27" s="375">
        <f t="shared" si="12"/>
        <v>4315.362677060557</v>
      </c>
      <c r="H27" s="375">
        <f t="shared" si="12"/>
        <v>4148.2650442057229</v>
      </c>
      <c r="I27" s="375">
        <f t="shared" si="12"/>
        <v>4630.9915391196882</v>
      </c>
      <c r="J27" s="375">
        <f t="shared" si="12"/>
        <v>4702.6048103431885</v>
      </c>
      <c r="K27" s="375">
        <f t="shared" si="12"/>
        <v>5137.589124441487</v>
      </c>
      <c r="L27" s="375">
        <f t="shared" si="12"/>
        <v>4747.6946477802076</v>
      </c>
      <c r="M27" s="375">
        <f t="shared" si="12"/>
        <v>5034.1477326742088</v>
      </c>
      <c r="N27" s="375">
        <f t="shared" si="12"/>
        <v>4604.4681053332069</v>
      </c>
      <c r="O27" s="375">
        <f t="shared" si="12"/>
        <v>4161.526761098964</v>
      </c>
      <c r="P27" s="375">
        <f t="shared" si="12"/>
        <v>4851.1360395474858</v>
      </c>
      <c r="Q27" s="375">
        <f t="shared" si="12"/>
        <v>4946.6204011788195</v>
      </c>
      <c r="R27" s="109">
        <f t="shared" si="16"/>
        <v>55800</v>
      </c>
      <c r="S27" s="7">
        <f t="shared" si="17"/>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41323.381000000001</v>
      </c>
      <c r="B28" s="15" t="s">
        <v>623</v>
      </c>
      <c r="C28" s="14">
        <f>'[6]Hospital Admin'!$J$30</f>
        <v>3900</v>
      </c>
      <c r="D28" s="13">
        <f t="shared" si="10"/>
        <v>0.18537883829261337</v>
      </c>
      <c r="E28" s="7"/>
      <c r="F28" s="375">
        <f t="shared" si="11"/>
        <v>315.88554045061318</v>
      </c>
      <c r="G28" s="375">
        <f t="shared" si="12"/>
        <v>301.61136990208195</v>
      </c>
      <c r="H28" s="375">
        <f t="shared" si="12"/>
        <v>289.9325030896473</v>
      </c>
      <c r="I28" s="375">
        <f t="shared" si="12"/>
        <v>323.67145165890292</v>
      </c>
      <c r="J28" s="375">
        <f t="shared" si="12"/>
        <v>328.6766802928035</v>
      </c>
      <c r="K28" s="375">
        <f t="shared" si="12"/>
        <v>359.07880977279211</v>
      </c>
      <c r="L28" s="375">
        <f t="shared" si="12"/>
        <v>331.82812054377791</v>
      </c>
      <c r="M28" s="375">
        <f t="shared" si="12"/>
        <v>351.8490350793802</v>
      </c>
      <c r="N28" s="375">
        <f t="shared" si="12"/>
        <v>321.81766327597683</v>
      </c>
      <c r="O28" s="375">
        <f t="shared" si="12"/>
        <v>290.85939728111038</v>
      </c>
      <c r="P28" s="375">
        <f t="shared" si="12"/>
        <v>339.05789523718983</v>
      </c>
      <c r="Q28" s="375">
        <f t="shared" si="12"/>
        <v>345.73153341572396</v>
      </c>
      <c r="R28" s="109">
        <f t="shared" si="16"/>
        <v>3900</v>
      </c>
      <c r="S28" s="7">
        <f t="shared" si="17"/>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41342.381000000001</v>
      </c>
      <c r="B29" s="15" t="s">
        <v>11</v>
      </c>
      <c r="C29" s="14">
        <f>'[6]Hospital Admin'!$J$31</f>
        <v>80400</v>
      </c>
      <c r="D29" s="13">
        <f t="shared" si="10"/>
        <v>3.8216560509554141</v>
      </c>
      <c r="E29" s="7"/>
      <c r="F29" s="375">
        <f t="shared" si="11"/>
        <v>6512.1019108280252</v>
      </c>
      <c r="G29" s="375">
        <f t="shared" si="12"/>
        <v>6217.8343949044583</v>
      </c>
      <c r="H29" s="375">
        <f t="shared" si="12"/>
        <v>5977.0700636942674</v>
      </c>
      <c r="I29" s="375">
        <f t="shared" si="12"/>
        <v>6672.6114649681531</v>
      </c>
      <c r="J29" s="375">
        <f t="shared" si="12"/>
        <v>6775.7961783439487</v>
      </c>
      <c r="K29" s="375">
        <f t="shared" si="12"/>
        <v>7402.5477707006366</v>
      </c>
      <c r="L29" s="375">
        <f t="shared" si="12"/>
        <v>6840.7643312101909</v>
      </c>
      <c r="M29" s="375">
        <f t="shared" si="12"/>
        <v>7253.503184713376</v>
      </c>
      <c r="N29" s="375">
        <f t="shared" si="12"/>
        <v>6634.3949044585988</v>
      </c>
      <c r="O29" s="375">
        <f t="shared" si="12"/>
        <v>5996.1783439490446</v>
      </c>
      <c r="P29" s="375">
        <f t="shared" si="12"/>
        <v>6989.8089171974525</v>
      </c>
      <c r="Q29" s="375">
        <f t="shared" si="12"/>
        <v>7127.3885350318469</v>
      </c>
      <c r="R29" s="109">
        <f t="shared" si="7"/>
        <v>80400.000000000015</v>
      </c>
      <c r="S29" s="7">
        <f t="shared" si="8"/>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41365.381000000001</v>
      </c>
      <c r="B30" s="15" t="s">
        <v>10</v>
      </c>
      <c r="C30" s="14">
        <f>'[6]Hospital Admin'!$J$32</f>
        <v>28400</v>
      </c>
      <c r="D30" s="13">
        <f t="shared" si="10"/>
        <v>1.3499382070539026</v>
      </c>
      <c r="E30" s="7"/>
      <c r="F30" s="375">
        <f t="shared" si="11"/>
        <v>2300.2947048198498</v>
      </c>
      <c r="G30" s="375">
        <f t="shared" si="12"/>
        <v>2196.3494628766994</v>
      </c>
      <c r="H30" s="375">
        <f t="shared" si="12"/>
        <v>2111.3033558323036</v>
      </c>
      <c r="I30" s="375">
        <f t="shared" si="12"/>
        <v>2356.9921095161139</v>
      </c>
      <c r="J30" s="375">
        <f t="shared" si="12"/>
        <v>2393.4404411065693</v>
      </c>
      <c r="K30" s="375">
        <f t="shared" si="12"/>
        <v>2614.8303070634092</v>
      </c>
      <c r="L30" s="375">
        <f t="shared" si="12"/>
        <v>2416.3893906264857</v>
      </c>
      <c r="M30" s="375">
        <f t="shared" si="12"/>
        <v>2562.1827169883072</v>
      </c>
      <c r="N30" s="375">
        <f t="shared" si="12"/>
        <v>2343.4927274455749</v>
      </c>
      <c r="O30" s="375">
        <f t="shared" si="12"/>
        <v>2118.0530468675729</v>
      </c>
      <c r="P30" s="375">
        <f t="shared" si="12"/>
        <v>2469.0369807015877</v>
      </c>
      <c r="Q30" s="375">
        <f t="shared" si="12"/>
        <v>2517.6347561555281</v>
      </c>
      <c r="R30" s="109">
        <f t="shared" si="7"/>
        <v>28400.000000000004</v>
      </c>
      <c r="S30" s="7">
        <f t="shared" si="8"/>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12" customFormat="1" x14ac:dyDescent="0.2">
      <c r="A31" s="87">
        <v>41371.381000000001</v>
      </c>
      <c r="B31" s="15" t="s">
        <v>879</v>
      </c>
      <c r="C31" s="14">
        <f>'[6]Hospital Admin'!$J$33</f>
        <v>1000</v>
      </c>
      <c r="D31" s="13">
        <f t="shared" si="10"/>
        <v>4.7533035459644456E-2</v>
      </c>
      <c r="E31" s="7"/>
      <c r="F31" s="375">
        <f t="shared" ref="F31:Q31" si="18">$D31*F$4</f>
        <v>80.996292423234152</v>
      </c>
      <c r="G31" s="375">
        <f t="shared" si="18"/>
        <v>77.336248692841536</v>
      </c>
      <c r="H31" s="375">
        <f t="shared" si="18"/>
        <v>74.341667458883933</v>
      </c>
      <c r="I31" s="375">
        <f t="shared" si="18"/>
        <v>82.992679912539217</v>
      </c>
      <c r="J31" s="375">
        <f t="shared" si="18"/>
        <v>84.276071869949618</v>
      </c>
      <c r="K31" s="375">
        <f t="shared" si="18"/>
        <v>92.071489685331315</v>
      </c>
      <c r="L31" s="375">
        <f t="shared" si="18"/>
        <v>85.084133472763583</v>
      </c>
      <c r="M31" s="375">
        <f t="shared" si="18"/>
        <v>90.217701302405175</v>
      </c>
      <c r="N31" s="375">
        <f t="shared" si="18"/>
        <v>82.517349557942779</v>
      </c>
      <c r="O31" s="375">
        <f t="shared" si="18"/>
        <v>74.579332636182144</v>
      </c>
      <c r="P31" s="375">
        <f t="shared" si="18"/>
        <v>86.937921855689709</v>
      </c>
      <c r="Q31" s="375">
        <f t="shared" si="18"/>
        <v>88.649111132236911</v>
      </c>
      <c r="R31" s="109">
        <f t="shared" ref="R31" si="19">SUM(F31:Q31)</f>
        <v>1000.0000000000001</v>
      </c>
      <c r="S31" s="7">
        <f t="shared" ref="S31" si="20">C31-R31</f>
        <v>0</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1:58" s="12" customFormat="1" x14ac:dyDescent="0.2">
      <c r="A32" s="87">
        <v>41372.381000000001</v>
      </c>
      <c r="B32" s="15" t="s">
        <v>624</v>
      </c>
      <c r="C32" s="14">
        <f>'[6]Hospital Admin'!$J$34</f>
        <v>8750</v>
      </c>
      <c r="D32" s="13">
        <f t="shared" si="10"/>
        <v>0.41591406027188899</v>
      </c>
      <c r="E32" s="7"/>
      <c r="F32" s="375">
        <f t="shared" si="11"/>
        <v>708.71755870329878</v>
      </c>
      <c r="G32" s="375">
        <f t="shared" si="12"/>
        <v>676.69217606236339</v>
      </c>
      <c r="H32" s="375">
        <f t="shared" si="12"/>
        <v>650.48959026523437</v>
      </c>
      <c r="I32" s="375">
        <f t="shared" si="12"/>
        <v>726.18594923471812</v>
      </c>
      <c r="J32" s="375">
        <f t="shared" si="12"/>
        <v>737.41562886205918</v>
      </c>
      <c r="K32" s="375">
        <f t="shared" si="12"/>
        <v>805.62553474664901</v>
      </c>
      <c r="L32" s="375">
        <f t="shared" si="12"/>
        <v>744.4861678866813</v>
      </c>
      <c r="M32" s="375">
        <f t="shared" si="12"/>
        <v>789.4048863960453</v>
      </c>
      <c r="N32" s="375">
        <f t="shared" si="12"/>
        <v>722.0268086319993</v>
      </c>
      <c r="O32" s="375">
        <f t="shared" si="12"/>
        <v>652.56916056659384</v>
      </c>
      <c r="P32" s="375">
        <f t="shared" si="12"/>
        <v>760.70681623728501</v>
      </c>
      <c r="Q32" s="375">
        <f t="shared" si="12"/>
        <v>775.67972240707297</v>
      </c>
      <c r="R32" s="109">
        <f t="shared" ref="R32:R38" si="21">SUM(F32:Q32)</f>
        <v>8750</v>
      </c>
      <c r="S32" s="7">
        <f t="shared" ref="S32:S38" si="22">C32-R32</f>
        <v>0</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1:58" s="12" customFormat="1" x14ac:dyDescent="0.2">
      <c r="A33" s="87">
        <v>41374.381000000001</v>
      </c>
      <c r="B33" s="15" t="s">
        <v>625</v>
      </c>
      <c r="C33" s="14">
        <f>'[6]Hospital Admin'!$J$35</f>
        <v>1370</v>
      </c>
      <c r="D33" s="13">
        <f t="shared" si="10"/>
        <v>6.5120258579712903E-2</v>
      </c>
      <c r="E33" s="7"/>
      <c r="F33" s="375">
        <f t="shared" si="11"/>
        <v>110.96492061983079</v>
      </c>
      <c r="G33" s="375">
        <f t="shared" si="12"/>
        <v>105.95066070919289</v>
      </c>
      <c r="H33" s="375">
        <f t="shared" si="12"/>
        <v>101.84808441867098</v>
      </c>
      <c r="I33" s="375">
        <f t="shared" ref="G33:Q39" si="23">$D33*I$4</f>
        <v>113.69997148017873</v>
      </c>
      <c r="J33" s="375">
        <f t="shared" si="23"/>
        <v>115.45821846183098</v>
      </c>
      <c r="K33" s="375">
        <f t="shared" si="23"/>
        <v>126.1379408689039</v>
      </c>
      <c r="L33" s="375">
        <f t="shared" si="23"/>
        <v>116.56526285768609</v>
      </c>
      <c r="M33" s="375">
        <f t="shared" si="23"/>
        <v>123.59825078429509</v>
      </c>
      <c r="N33" s="375">
        <f t="shared" si="23"/>
        <v>113.0487688943816</v>
      </c>
      <c r="O33" s="375">
        <f t="shared" si="23"/>
        <v>102.17368571156955</v>
      </c>
      <c r="P33" s="375">
        <f t="shared" si="23"/>
        <v>119.1049529422949</v>
      </c>
      <c r="Q33" s="375">
        <f t="shared" si="23"/>
        <v>121.44928225116456</v>
      </c>
      <c r="R33" s="109">
        <f t="shared" si="21"/>
        <v>1369.9999999999998</v>
      </c>
      <c r="S33" s="7">
        <f t="shared" si="22"/>
        <v>0</v>
      </c>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1:58" s="12" customFormat="1" x14ac:dyDescent="0.2">
      <c r="A34" s="87">
        <v>41375.381000000001</v>
      </c>
      <c r="B34" s="15" t="s">
        <v>626</v>
      </c>
      <c r="C34" s="14">
        <f>'[14]Hospital Admin'!$U$37</f>
        <v>0</v>
      </c>
      <c r="D34" s="13">
        <f t="shared" si="10"/>
        <v>0</v>
      </c>
      <c r="E34" s="7"/>
      <c r="F34" s="375">
        <f t="shared" si="11"/>
        <v>0</v>
      </c>
      <c r="G34" s="375">
        <f t="shared" si="23"/>
        <v>0</v>
      </c>
      <c r="H34" s="375">
        <f t="shared" si="23"/>
        <v>0</v>
      </c>
      <c r="I34" s="375">
        <f t="shared" si="23"/>
        <v>0</v>
      </c>
      <c r="J34" s="375">
        <f t="shared" si="23"/>
        <v>0</v>
      </c>
      <c r="K34" s="375">
        <f t="shared" si="23"/>
        <v>0</v>
      </c>
      <c r="L34" s="375">
        <f t="shared" si="23"/>
        <v>0</v>
      </c>
      <c r="M34" s="375">
        <f t="shared" si="23"/>
        <v>0</v>
      </c>
      <c r="N34" s="375">
        <f t="shared" si="23"/>
        <v>0</v>
      </c>
      <c r="O34" s="375">
        <f t="shared" si="23"/>
        <v>0</v>
      </c>
      <c r="P34" s="375">
        <f t="shared" si="23"/>
        <v>0</v>
      </c>
      <c r="Q34" s="375">
        <f t="shared" si="23"/>
        <v>0</v>
      </c>
      <c r="R34" s="109">
        <f t="shared" si="21"/>
        <v>0</v>
      </c>
      <c r="S34" s="7">
        <f t="shared" si="22"/>
        <v>0</v>
      </c>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1:58" s="12" customFormat="1" x14ac:dyDescent="0.2">
      <c r="A35" s="87">
        <v>41376.381000000001</v>
      </c>
      <c r="B35" s="15" t="s">
        <v>627</v>
      </c>
      <c r="C35" s="14">
        <f>'[6]Hospital Admin'!$J$36</f>
        <v>3600</v>
      </c>
      <c r="D35" s="13">
        <f t="shared" si="10"/>
        <v>0.17111892765472003</v>
      </c>
      <c r="E35" s="7"/>
      <c r="F35" s="375">
        <f t="shared" si="11"/>
        <v>291.58665272364294</v>
      </c>
      <c r="G35" s="375">
        <f t="shared" si="23"/>
        <v>278.41049529422952</v>
      </c>
      <c r="H35" s="375">
        <f t="shared" si="23"/>
        <v>267.63000285198211</v>
      </c>
      <c r="I35" s="375">
        <f t="shared" si="23"/>
        <v>298.77364768514116</v>
      </c>
      <c r="J35" s="375">
        <f t="shared" si="23"/>
        <v>303.39385873181863</v>
      </c>
      <c r="K35" s="375">
        <f t="shared" si="23"/>
        <v>331.45736286719273</v>
      </c>
      <c r="L35" s="375">
        <f t="shared" si="23"/>
        <v>306.30288050194883</v>
      </c>
      <c r="M35" s="375">
        <f t="shared" si="23"/>
        <v>324.78372468865859</v>
      </c>
      <c r="N35" s="375">
        <f t="shared" si="23"/>
        <v>297.06245840859395</v>
      </c>
      <c r="O35" s="375">
        <f t="shared" si="23"/>
        <v>268.48559749025571</v>
      </c>
      <c r="P35" s="375">
        <f t="shared" si="23"/>
        <v>312.97651868048291</v>
      </c>
      <c r="Q35" s="375">
        <f t="shared" si="23"/>
        <v>319.13680007605285</v>
      </c>
      <c r="R35" s="109">
        <f t="shared" si="21"/>
        <v>3600</v>
      </c>
      <c r="S35" s="7">
        <f t="shared" si="22"/>
        <v>0</v>
      </c>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1:58" s="12" customFormat="1" x14ac:dyDescent="0.2">
      <c r="A36" s="87">
        <v>41379.381000000001</v>
      </c>
      <c r="B36" s="15" t="s">
        <v>628</v>
      </c>
      <c r="C36" s="14">
        <f>'[6]Hospital Admin'!$J$37</f>
        <v>5000</v>
      </c>
      <c r="D36" s="13">
        <f t="shared" si="10"/>
        <v>0.23766517729822226</v>
      </c>
      <c r="E36" s="7"/>
      <c r="F36" s="375">
        <f t="shared" si="11"/>
        <v>404.98146211617075</v>
      </c>
      <c r="G36" s="375">
        <f t="shared" si="23"/>
        <v>386.68124346420763</v>
      </c>
      <c r="H36" s="375">
        <f t="shared" si="23"/>
        <v>371.70833729441961</v>
      </c>
      <c r="I36" s="375">
        <f t="shared" si="23"/>
        <v>414.96339956269605</v>
      </c>
      <c r="J36" s="375">
        <f t="shared" si="23"/>
        <v>421.38035934974806</v>
      </c>
      <c r="K36" s="375">
        <f t="shared" si="23"/>
        <v>460.3574484266565</v>
      </c>
      <c r="L36" s="375">
        <f t="shared" si="23"/>
        <v>425.42066736381781</v>
      </c>
      <c r="M36" s="375">
        <f t="shared" si="23"/>
        <v>451.08850651202584</v>
      </c>
      <c r="N36" s="375">
        <f t="shared" si="23"/>
        <v>412.58674778971385</v>
      </c>
      <c r="O36" s="375">
        <f t="shared" si="23"/>
        <v>372.89666318091071</v>
      </c>
      <c r="P36" s="375">
        <f t="shared" si="23"/>
        <v>434.68960927844853</v>
      </c>
      <c r="Q36" s="375">
        <f t="shared" si="23"/>
        <v>443.24555566118448</v>
      </c>
      <c r="R36" s="109">
        <f t="shared" si="21"/>
        <v>5000</v>
      </c>
      <c r="S36" s="7">
        <f t="shared" si="22"/>
        <v>0</v>
      </c>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1:58" s="12" customFormat="1" x14ac:dyDescent="0.2">
      <c r="A37" s="87">
        <v>41380.381000000001</v>
      </c>
      <c r="B37" s="15" t="s">
        <v>629</v>
      </c>
      <c r="C37" s="14">
        <f>'[6]Hospital Admin'!$J$38</f>
        <v>5000</v>
      </c>
      <c r="D37" s="13">
        <f t="shared" si="10"/>
        <v>0.23766517729822226</v>
      </c>
      <c r="E37" s="7"/>
      <c r="F37" s="375">
        <f t="shared" si="11"/>
        <v>404.98146211617075</v>
      </c>
      <c r="G37" s="375">
        <f t="shared" si="23"/>
        <v>386.68124346420763</v>
      </c>
      <c r="H37" s="375">
        <f t="shared" si="23"/>
        <v>371.70833729441961</v>
      </c>
      <c r="I37" s="375">
        <f t="shared" si="23"/>
        <v>414.96339956269605</v>
      </c>
      <c r="J37" s="375">
        <f t="shared" si="23"/>
        <v>421.38035934974806</v>
      </c>
      <c r="K37" s="375">
        <f t="shared" si="23"/>
        <v>460.3574484266565</v>
      </c>
      <c r="L37" s="375">
        <f t="shared" si="23"/>
        <v>425.42066736381781</v>
      </c>
      <c r="M37" s="375">
        <f t="shared" si="23"/>
        <v>451.08850651202584</v>
      </c>
      <c r="N37" s="375">
        <f t="shared" si="23"/>
        <v>412.58674778971385</v>
      </c>
      <c r="O37" s="375">
        <f t="shared" si="23"/>
        <v>372.89666318091071</v>
      </c>
      <c r="P37" s="375">
        <f t="shared" si="23"/>
        <v>434.68960927844853</v>
      </c>
      <c r="Q37" s="375">
        <f t="shared" si="23"/>
        <v>443.24555566118448</v>
      </c>
      <c r="R37" s="109">
        <f t="shared" si="21"/>
        <v>5000</v>
      </c>
      <c r="S37" s="7">
        <f t="shared" si="22"/>
        <v>0</v>
      </c>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1:58" s="12" customFormat="1" x14ac:dyDescent="0.2">
      <c r="A38" s="87">
        <v>41390.381000000001</v>
      </c>
      <c r="B38" s="15" t="s">
        <v>630</v>
      </c>
      <c r="C38" s="14"/>
      <c r="D38" s="13">
        <f t="shared" si="10"/>
        <v>0</v>
      </c>
      <c r="E38" s="7"/>
      <c r="F38" s="375">
        <f t="shared" si="11"/>
        <v>0</v>
      </c>
      <c r="G38" s="375">
        <f t="shared" si="23"/>
        <v>0</v>
      </c>
      <c r="H38" s="375">
        <f t="shared" si="23"/>
        <v>0</v>
      </c>
      <c r="I38" s="375">
        <f t="shared" si="23"/>
        <v>0</v>
      </c>
      <c r="J38" s="375">
        <f t="shared" si="23"/>
        <v>0</v>
      </c>
      <c r="K38" s="375">
        <f t="shared" si="23"/>
        <v>0</v>
      </c>
      <c r="L38" s="375">
        <f t="shared" si="23"/>
        <v>0</v>
      </c>
      <c r="M38" s="375">
        <f t="shared" si="23"/>
        <v>0</v>
      </c>
      <c r="N38" s="375">
        <f t="shared" si="23"/>
        <v>0</v>
      </c>
      <c r="O38" s="375">
        <f t="shared" si="23"/>
        <v>0</v>
      </c>
      <c r="P38" s="375">
        <f t="shared" si="23"/>
        <v>0</v>
      </c>
      <c r="Q38" s="375">
        <f t="shared" si="23"/>
        <v>0</v>
      </c>
      <c r="R38" s="109">
        <f t="shared" si="21"/>
        <v>0</v>
      </c>
      <c r="S38" s="7">
        <f t="shared" si="22"/>
        <v>0</v>
      </c>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s="12" customFormat="1" x14ac:dyDescent="0.2">
      <c r="A39" s="490">
        <v>41410.381000000001</v>
      </c>
      <c r="B39" s="491" t="s">
        <v>952</v>
      </c>
      <c r="C39" s="492">
        <v>0</v>
      </c>
      <c r="D39" s="503">
        <f t="shared" si="10"/>
        <v>0</v>
      </c>
      <c r="E39" s="503"/>
      <c r="F39" s="504">
        <f t="shared" si="11"/>
        <v>0</v>
      </c>
      <c r="G39" s="504">
        <f t="shared" si="23"/>
        <v>0</v>
      </c>
      <c r="H39" s="504">
        <f t="shared" si="23"/>
        <v>0</v>
      </c>
      <c r="I39" s="504">
        <f t="shared" si="23"/>
        <v>0</v>
      </c>
      <c r="J39" s="504">
        <f t="shared" si="23"/>
        <v>0</v>
      </c>
      <c r="K39" s="504">
        <f t="shared" si="23"/>
        <v>0</v>
      </c>
      <c r="L39" s="504">
        <f t="shared" si="23"/>
        <v>0</v>
      </c>
      <c r="M39" s="504">
        <f t="shared" si="23"/>
        <v>0</v>
      </c>
      <c r="N39" s="504">
        <f t="shared" si="23"/>
        <v>0</v>
      </c>
      <c r="O39" s="504">
        <f t="shared" si="23"/>
        <v>0</v>
      </c>
      <c r="P39" s="504">
        <f t="shared" si="23"/>
        <v>0</v>
      </c>
      <c r="Q39" s="504">
        <f t="shared" si="23"/>
        <v>0</v>
      </c>
      <c r="R39" s="505">
        <f t="shared" ref="R39:R40" si="24">SUM(F39:Q39)</f>
        <v>0</v>
      </c>
      <c r="S39" s="503">
        <f t="shared" ref="S39:S40" si="25">C39-R39</f>
        <v>0</v>
      </c>
      <c r="T39" s="4" t="s">
        <v>1107</v>
      </c>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s="12" customFormat="1" x14ac:dyDescent="0.2">
      <c r="A40" s="87">
        <v>41421.381000000001</v>
      </c>
      <c r="B40" s="15" t="s">
        <v>984</v>
      </c>
      <c r="C40" s="14">
        <f>'[6]Hospital Admin'!$J$40</f>
        <v>875</v>
      </c>
      <c r="D40" s="13">
        <f t="shared" si="10"/>
        <v>4.1591406027188894E-2</v>
      </c>
      <c r="E40" s="7"/>
      <c r="F40" s="375">
        <f t="shared" ref="F40:Q40" si="26">$D40*F$4</f>
        <v>70.871755870329878</v>
      </c>
      <c r="G40" s="375">
        <f t="shared" si="26"/>
        <v>67.66921760623633</v>
      </c>
      <c r="H40" s="375">
        <f t="shared" si="26"/>
        <v>65.048959026523434</v>
      </c>
      <c r="I40" s="375">
        <f t="shared" si="26"/>
        <v>72.618594923471804</v>
      </c>
      <c r="J40" s="375">
        <f t="shared" si="26"/>
        <v>73.741562886205912</v>
      </c>
      <c r="K40" s="375">
        <f t="shared" si="26"/>
        <v>80.562553474664895</v>
      </c>
      <c r="L40" s="375">
        <f t="shared" si="26"/>
        <v>74.448616788668119</v>
      </c>
      <c r="M40" s="375">
        <f t="shared" si="26"/>
        <v>78.940488639604524</v>
      </c>
      <c r="N40" s="375">
        <f t="shared" si="26"/>
        <v>72.202680863199916</v>
      </c>
      <c r="O40" s="375">
        <f t="shared" si="26"/>
        <v>65.256916056659378</v>
      </c>
      <c r="P40" s="375">
        <f t="shared" si="26"/>
        <v>76.07068162372849</v>
      </c>
      <c r="Q40" s="375">
        <f t="shared" si="26"/>
        <v>77.567972240707292</v>
      </c>
      <c r="R40" s="379">
        <f t="shared" si="24"/>
        <v>874.99999999999989</v>
      </c>
      <c r="S40" s="7">
        <f t="shared" si="25"/>
        <v>0</v>
      </c>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s="12" customFormat="1" x14ac:dyDescent="0.2">
      <c r="A41" s="87">
        <v>41423.381000000001</v>
      </c>
      <c r="B41" s="15" t="s">
        <v>9</v>
      </c>
      <c r="C41" s="14">
        <f>'[6]Hospital Admin'!$J$41</f>
        <v>5850</v>
      </c>
      <c r="D41" s="13">
        <f t="shared" si="10"/>
        <v>0.27806825743892005</v>
      </c>
      <c r="E41" s="7"/>
      <c r="F41" s="375">
        <f t="shared" si="11"/>
        <v>473.82831067591979</v>
      </c>
      <c r="G41" s="375">
        <f t="shared" si="12"/>
        <v>452.41705485312292</v>
      </c>
      <c r="H41" s="375">
        <f t="shared" si="12"/>
        <v>434.89875463447095</v>
      </c>
      <c r="I41" s="375">
        <f t="shared" si="12"/>
        <v>485.50717748835439</v>
      </c>
      <c r="J41" s="375">
        <f t="shared" si="12"/>
        <v>493.01502043920527</v>
      </c>
      <c r="K41" s="375">
        <f t="shared" si="12"/>
        <v>538.6182146591882</v>
      </c>
      <c r="L41" s="375">
        <f t="shared" si="12"/>
        <v>497.74218081566687</v>
      </c>
      <c r="M41" s="375">
        <f t="shared" si="12"/>
        <v>527.7735526190703</v>
      </c>
      <c r="N41" s="375">
        <f t="shared" si="12"/>
        <v>482.72649491396521</v>
      </c>
      <c r="O41" s="375">
        <f t="shared" si="12"/>
        <v>436.28909592166553</v>
      </c>
      <c r="P41" s="375">
        <f t="shared" si="12"/>
        <v>508.58684285578477</v>
      </c>
      <c r="Q41" s="375">
        <f t="shared" si="12"/>
        <v>518.59730012358591</v>
      </c>
      <c r="R41" s="109">
        <f t="shared" si="7"/>
        <v>5850.0000000000009</v>
      </c>
      <c r="S41" s="7">
        <f t="shared" si="8"/>
        <v>0</v>
      </c>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1:58" s="12" customFormat="1" x14ac:dyDescent="0.2">
      <c r="A42" s="87">
        <v>41424.381000000001</v>
      </c>
      <c r="B42" s="15" t="s">
        <v>631</v>
      </c>
      <c r="C42" s="14">
        <f>'[6]Hospital Admin'!$J$42</f>
        <v>7990</v>
      </c>
      <c r="D42" s="13">
        <f t="shared" si="10"/>
        <v>0.37978895332255919</v>
      </c>
      <c r="E42" s="7"/>
      <c r="F42" s="375">
        <f t="shared" si="11"/>
        <v>647.16037646164091</v>
      </c>
      <c r="G42" s="375">
        <f t="shared" si="11"/>
        <v>617.91662705580381</v>
      </c>
      <c r="H42" s="375">
        <f t="shared" si="11"/>
        <v>593.98992299648262</v>
      </c>
      <c r="I42" s="375">
        <f t="shared" si="11"/>
        <v>663.11151250118837</v>
      </c>
      <c r="J42" s="375">
        <f t="shared" si="11"/>
        <v>673.36581424089741</v>
      </c>
      <c r="K42" s="375">
        <f t="shared" si="11"/>
        <v>735.65120258579714</v>
      </c>
      <c r="L42" s="375">
        <f t="shared" si="11"/>
        <v>679.8222264473809</v>
      </c>
      <c r="M42" s="375">
        <f t="shared" si="11"/>
        <v>720.83943340621738</v>
      </c>
      <c r="N42" s="375">
        <f t="shared" si="11"/>
        <v>659.31362296796271</v>
      </c>
      <c r="O42" s="375">
        <f t="shared" si="11"/>
        <v>595.88886776309539</v>
      </c>
      <c r="P42" s="375">
        <f t="shared" si="11"/>
        <v>694.63399562696077</v>
      </c>
      <c r="Q42" s="375">
        <f t="shared" si="11"/>
        <v>708.30639794657293</v>
      </c>
      <c r="R42" s="109">
        <f t="shared" ref="R42:R43" si="27">SUM(F42:Q42)</f>
        <v>7990.0000000000018</v>
      </c>
      <c r="S42" s="7">
        <f t="shared" ref="S42:S43" si="28">C42-R42</f>
        <v>0</v>
      </c>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1:58" s="12" customFormat="1" x14ac:dyDescent="0.2">
      <c r="A43" s="87">
        <v>41425.381000000001</v>
      </c>
      <c r="B43" s="15" t="s">
        <v>632</v>
      </c>
      <c r="C43" s="14">
        <f>'[6]Hospital Admin'!$J$43</f>
        <v>982</v>
      </c>
      <c r="D43" s="13">
        <f t="shared" si="10"/>
        <v>4.6677440821370854E-2</v>
      </c>
      <c r="E43" s="7"/>
      <c r="F43" s="375">
        <f t="shared" si="11"/>
        <v>79.538359159615936</v>
      </c>
      <c r="G43" s="375">
        <f t="shared" si="11"/>
        <v>75.944196216370386</v>
      </c>
      <c r="H43" s="375">
        <f t="shared" si="11"/>
        <v>73.003517444624009</v>
      </c>
      <c r="I43" s="375">
        <f t="shared" si="11"/>
        <v>81.498811674113512</v>
      </c>
      <c r="J43" s="375">
        <f t="shared" si="11"/>
        <v>82.75910257629053</v>
      </c>
      <c r="K43" s="375">
        <f t="shared" si="11"/>
        <v>90.414202870995339</v>
      </c>
      <c r="L43" s="375">
        <f t="shared" si="11"/>
        <v>83.552619070253826</v>
      </c>
      <c r="M43" s="375">
        <f t="shared" si="11"/>
        <v>88.593782678961887</v>
      </c>
      <c r="N43" s="375">
        <f t="shared" si="11"/>
        <v>81.032037265899802</v>
      </c>
      <c r="O43" s="375">
        <f t="shared" si="11"/>
        <v>73.236904648730871</v>
      </c>
      <c r="P43" s="375">
        <f t="shared" si="11"/>
        <v>85.373039262287293</v>
      </c>
      <c r="Q43" s="375">
        <f t="shared" si="11"/>
        <v>87.053427131856637</v>
      </c>
      <c r="R43" s="109">
        <f t="shared" si="27"/>
        <v>982</v>
      </c>
      <c r="S43" s="7">
        <f t="shared" si="28"/>
        <v>0</v>
      </c>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1:58" s="12" customFormat="1" x14ac:dyDescent="0.2">
      <c r="A44" s="87">
        <v>41426.381000000001</v>
      </c>
      <c r="B44" s="15" t="s">
        <v>8</v>
      </c>
      <c r="C44" s="14">
        <f>'[6]Hospital Admin'!$J$44</f>
        <v>1000</v>
      </c>
      <c r="D44" s="13">
        <f t="shared" si="10"/>
        <v>4.7533035459644456E-2</v>
      </c>
      <c r="E44" s="7"/>
      <c r="F44" s="375">
        <f t="shared" si="11"/>
        <v>80.996292423234152</v>
      </c>
      <c r="G44" s="375">
        <f t="shared" si="12"/>
        <v>77.336248692841536</v>
      </c>
      <c r="H44" s="375">
        <f t="shared" si="12"/>
        <v>74.341667458883933</v>
      </c>
      <c r="I44" s="375">
        <f t="shared" si="12"/>
        <v>82.992679912539217</v>
      </c>
      <c r="J44" s="375">
        <f t="shared" si="12"/>
        <v>84.276071869949618</v>
      </c>
      <c r="K44" s="375">
        <f t="shared" si="12"/>
        <v>92.071489685331315</v>
      </c>
      <c r="L44" s="375">
        <f t="shared" si="12"/>
        <v>85.084133472763583</v>
      </c>
      <c r="M44" s="375">
        <f t="shared" si="12"/>
        <v>90.217701302405175</v>
      </c>
      <c r="N44" s="375">
        <f t="shared" si="12"/>
        <v>82.517349557942779</v>
      </c>
      <c r="O44" s="375">
        <f t="shared" si="12"/>
        <v>74.579332636182144</v>
      </c>
      <c r="P44" s="375">
        <f t="shared" si="12"/>
        <v>86.937921855689709</v>
      </c>
      <c r="Q44" s="375">
        <f t="shared" si="12"/>
        <v>88.649111132236911</v>
      </c>
      <c r="R44" s="109">
        <f t="shared" si="7"/>
        <v>1000.0000000000001</v>
      </c>
      <c r="S44" s="7">
        <f t="shared" si="8"/>
        <v>0</v>
      </c>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1:58" s="12" customFormat="1" x14ac:dyDescent="0.2">
      <c r="A45" s="87">
        <v>41427.381000000001</v>
      </c>
      <c r="B45" s="15" t="s">
        <v>633</v>
      </c>
      <c r="C45" s="14">
        <f>'[6]Hospital Admin'!$J$45</f>
        <v>863628</v>
      </c>
      <c r="D45" s="13">
        <f t="shared" si="10"/>
        <v>41.050860347941821</v>
      </c>
      <c r="E45" s="7"/>
      <c r="F45" s="375">
        <f>$C45/12</f>
        <v>71969</v>
      </c>
      <c r="G45" s="375">
        <f t="shared" ref="G45:Q45" si="29">$C45/12</f>
        <v>71969</v>
      </c>
      <c r="H45" s="375">
        <f t="shared" si="29"/>
        <v>71969</v>
      </c>
      <c r="I45" s="375">
        <f t="shared" si="29"/>
        <v>71969</v>
      </c>
      <c r="J45" s="375">
        <f t="shared" si="29"/>
        <v>71969</v>
      </c>
      <c r="K45" s="375">
        <f t="shared" si="29"/>
        <v>71969</v>
      </c>
      <c r="L45" s="375">
        <f t="shared" si="29"/>
        <v>71969</v>
      </c>
      <c r="M45" s="375">
        <f t="shared" si="29"/>
        <v>71969</v>
      </c>
      <c r="N45" s="375">
        <f t="shared" si="29"/>
        <v>71969</v>
      </c>
      <c r="O45" s="375">
        <f t="shared" si="29"/>
        <v>71969</v>
      </c>
      <c r="P45" s="375">
        <f t="shared" si="29"/>
        <v>71969</v>
      </c>
      <c r="Q45" s="375">
        <f t="shared" si="29"/>
        <v>71969</v>
      </c>
      <c r="R45" s="109">
        <f t="shared" ref="R45:R49" si="30">SUM(F45:Q45)</f>
        <v>863628</v>
      </c>
      <c r="S45" s="7">
        <f t="shared" ref="S45:S49" si="31">C45-R45</f>
        <v>0</v>
      </c>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1:58" s="12" customFormat="1" x14ac:dyDescent="0.2">
      <c r="A46" s="87">
        <v>41428.381000000001</v>
      </c>
      <c r="B46" s="15" t="s">
        <v>634</v>
      </c>
      <c r="C46" s="14">
        <f>'[6]Hospital Admin'!$J$46</f>
        <v>3000</v>
      </c>
      <c r="D46" s="13">
        <f t="shared" si="10"/>
        <v>0.14259910637893336</v>
      </c>
      <c r="E46" s="7"/>
      <c r="F46" s="375">
        <f t="shared" si="11"/>
        <v>242.98887726970244</v>
      </c>
      <c r="G46" s="375">
        <f t="shared" si="11"/>
        <v>232.00874607852458</v>
      </c>
      <c r="H46" s="375">
        <f t="shared" si="11"/>
        <v>223.02500237665177</v>
      </c>
      <c r="I46" s="375">
        <f t="shared" si="11"/>
        <v>248.97803973761765</v>
      </c>
      <c r="J46" s="375">
        <f t="shared" si="11"/>
        <v>252.82821560984885</v>
      </c>
      <c r="K46" s="375">
        <f t="shared" si="11"/>
        <v>276.2144690559939</v>
      </c>
      <c r="L46" s="375">
        <f t="shared" si="11"/>
        <v>255.2524004182907</v>
      </c>
      <c r="M46" s="375">
        <f t="shared" si="11"/>
        <v>270.6531039072155</v>
      </c>
      <c r="N46" s="375">
        <f t="shared" si="11"/>
        <v>247.55204867382832</v>
      </c>
      <c r="O46" s="375">
        <f t="shared" si="11"/>
        <v>223.73799790854645</v>
      </c>
      <c r="P46" s="375">
        <f t="shared" si="11"/>
        <v>260.81376556706914</v>
      </c>
      <c r="Q46" s="375">
        <f t="shared" si="11"/>
        <v>265.94733339671069</v>
      </c>
      <c r="R46" s="109">
        <f t="shared" si="30"/>
        <v>3000</v>
      </c>
      <c r="S46" s="7">
        <f t="shared" si="31"/>
        <v>0</v>
      </c>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1:58" s="12" customFormat="1" x14ac:dyDescent="0.2">
      <c r="A47" s="87">
        <v>41429.381000000001</v>
      </c>
      <c r="B47" s="15" t="s">
        <v>635</v>
      </c>
      <c r="C47" s="14">
        <f>'[6]Hospital Admin'!$J$47</f>
        <v>18000</v>
      </c>
      <c r="D47" s="13">
        <f t="shared" si="10"/>
        <v>0.85559463827360016</v>
      </c>
      <c r="E47" s="7"/>
      <c r="F47" s="375">
        <f t="shared" si="11"/>
        <v>1457.9332636182146</v>
      </c>
      <c r="G47" s="375">
        <f t="shared" si="11"/>
        <v>1392.0524764711474</v>
      </c>
      <c r="H47" s="375">
        <f t="shared" si="11"/>
        <v>1338.1500142599107</v>
      </c>
      <c r="I47" s="375">
        <f t="shared" si="11"/>
        <v>1493.8682384257058</v>
      </c>
      <c r="J47" s="375">
        <f t="shared" si="11"/>
        <v>1516.9692936590932</v>
      </c>
      <c r="K47" s="375">
        <f t="shared" si="11"/>
        <v>1657.2868143359635</v>
      </c>
      <c r="L47" s="375">
        <f t="shared" si="11"/>
        <v>1531.5144025097443</v>
      </c>
      <c r="M47" s="375">
        <f t="shared" si="11"/>
        <v>1623.9186234432932</v>
      </c>
      <c r="N47" s="375">
        <f t="shared" si="11"/>
        <v>1485.3122920429698</v>
      </c>
      <c r="O47" s="375">
        <f t="shared" si="11"/>
        <v>1342.4279874512786</v>
      </c>
      <c r="P47" s="375">
        <f t="shared" si="11"/>
        <v>1564.8825934024146</v>
      </c>
      <c r="Q47" s="375">
        <f t="shared" si="11"/>
        <v>1595.6840003802643</v>
      </c>
      <c r="R47" s="109">
        <f t="shared" si="30"/>
        <v>18000</v>
      </c>
      <c r="S47" s="7">
        <f t="shared" si="31"/>
        <v>0</v>
      </c>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1:58" s="12" customFormat="1" x14ac:dyDescent="0.2">
      <c r="A48" s="87">
        <v>41430.381000000001</v>
      </c>
      <c r="B48" s="15" t="s">
        <v>636</v>
      </c>
      <c r="C48" s="14">
        <f t="array" ref="C48">[11]!'!Hospital Admin!R48C10'</f>
        <v>0</v>
      </c>
      <c r="D48" s="13">
        <f t="shared" si="10"/>
        <v>0</v>
      </c>
      <c r="E48" s="7"/>
      <c r="F48" s="375">
        <f t="shared" si="11"/>
        <v>0</v>
      </c>
      <c r="G48" s="375">
        <f t="shared" si="11"/>
        <v>0</v>
      </c>
      <c r="H48" s="375">
        <f t="shared" si="11"/>
        <v>0</v>
      </c>
      <c r="I48" s="375">
        <f t="shared" si="11"/>
        <v>0</v>
      </c>
      <c r="J48" s="375">
        <f t="shared" si="11"/>
        <v>0</v>
      </c>
      <c r="K48" s="375">
        <f t="shared" si="11"/>
        <v>0</v>
      </c>
      <c r="L48" s="375">
        <f t="shared" si="11"/>
        <v>0</v>
      </c>
      <c r="M48" s="375">
        <f t="shared" si="11"/>
        <v>0</v>
      </c>
      <c r="N48" s="375">
        <f t="shared" si="11"/>
        <v>0</v>
      </c>
      <c r="O48" s="375">
        <f t="shared" si="11"/>
        <v>0</v>
      </c>
      <c r="P48" s="375">
        <f t="shared" si="11"/>
        <v>0</v>
      </c>
      <c r="Q48" s="375">
        <f t="shared" si="11"/>
        <v>0</v>
      </c>
      <c r="R48" s="109">
        <f t="shared" si="30"/>
        <v>0</v>
      </c>
      <c r="S48" s="7">
        <f t="shared" si="31"/>
        <v>0</v>
      </c>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1:58" s="12" customFormat="1" x14ac:dyDescent="0.2">
      <c r="A49" s="87">
        <v>41431.381000000001</v>
      </c>
      <c r="B49" s="15" t="s">
        <v>637</v>
      </c>
      <c r="C49" s="14">
        <f>'[6]Hospital Admin'!$J$48</f>
        <v>10100</v>
      </c>
      <c r="D49" s="13">
        <f t="shared" si="10"/>
        <v>0.480083658142409</v>
      </c>
      <c r="E49" s="7"/>
      <c r="F49" s="375">
        <f t="shared" si="11"/>
        <v>818.06255347466492</v>
      </c>
      <c r="G49" s="375">
        <f t="shared" si="11"/>
        <v>781.09611179769945</v>
      </c>
      <c r="H49" s="375">
        <f t="shared" si="11"/>
        <v>750.85084133472765</v>
      </c>
      <c r="I49" s="375">
        <f t="shared" si="11"/>
        <v>838.22606711664616</v>
      </c>
      <c r="J49" s="375">
        <f t="shared" si="11"/>
        <v>851.18832588649116</v>
      </c>
      <c r="K49" s="375">
        <f t="shared" si="11"/>
        <v>929.92204582184627</v>
      </c>
      <c r="L49" s="375">
        <f t="shared" si="11"/>
        <v>859.3497480749121</v>
      </c>
      <c r="M49" s="375">
        <f t="shared" si="11"/>
        <v>911.1987831542923</v>
      </c>
      <c r="N49" s="375">
        <f t="shared" si="11"/>
        <v>833.425230535222</v>
      </c>
      <c r="O49" s="375">
        <f t="shared" si="11"/>
        <v>753.25125962543973</v>
      </c>
      <c r="P49" s="375">
        <f t="shared" si="11"/>
        <v>878.07301074246607</v>
      </c>
      <c r="Q49" s="375">
        <f t="shared" si="11"/>
        <v>895.35602243559276</v>
      </c>
      <c r="R49" s="109">
        <f t="shared" si="30"/>
        <v>10100</v>
      </c>
      <c r="S49" s="7">
        <f t="shared" si="31"/>
        <v>0</v>
      </c>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1:58" s="12" customFormat="1" x14ac:dyDescent="0.2">
      <c r="A50" s="87">
        <v>41439.381000000001</v>
      </c>
      <c r="B50" s="15" t="s">
        <v>603</v>
      </c>
      <c r="C50" s="14">
        <f>'[6]Hospital Admin'!$J$49</f>
        <v>495</v>
      </c>
      <c r="D50" s="13">
        <f t="shared" si="10"/>
        <v>2.3528852552524005E-2</v>
      </c>
      <c r="E50" s="7"/>
      <c r="F50" s="375">
        <f t="shared" si="11"/>
        <v>40.093164749500907</v>
      </c>
      <c r="G50" s="375">
        <f t="shared" si="12"/>
        <v>38.281443102956558</v>
      </c>
      <c r="H50" s="375">
        <f t="shared" si="12"/>
        <v>36.799125392147545</v>
      </c>
      <c r="I50" s="375">
        <f t="shared" si="12"/>
        <v>41.081376556706914</v>
      </c>
      <c r="J50" s="375">
        <f t="shared" si="12"/>
        <v>41.716655575625062</v>
      </c>
      <c r="K50" s="375">
        <f t="shared" si="12"/>
        <v>45.575387394238994</v>
      </c>
      <c r="L50" s="375">
        <f t="shared" si="12"/>
        <v>42.116646069017968</v>
      </c>
      <c r="M50" s="375">
        <f t="shared" si="12"/>
        <v>44.657762144690565</v>
      </c>
      <c r="N50" s="375">
        <f t="shared" si="12"/>
        <v>40.846088031181672</v>
      </c>
      <c r="O50" s="375">
        <f t="shared" si="12"/>
        <v>36.916769654910162</v>
      </c>
      <c r="P50" s="375">
        <f t="shared" si="12"/>
        <v>43.034271318566404</v>
      </c>
      <c r="Q50" s="375">
        <f t="shared" si="12"/>
        <v>43.88131001045727</v>
      </c>
      <c r="R50" s="109">
        <f t="shared" si="7"/>
        <v>495.00000000000011</v>
      </c>
      <c r="S50" s="7">
        <f t="shared" si="8"/>
        <v>0</v>
      </c>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1:58" s="12" customFormat="1" x14ac:dyDescent="0.2">
      <c r="A51" s="87">
        <v>41440.381000000001</v>
      </c>
      <c r="B51" s="15" t="s">
        <v>7</v>
      </c>
      <c r="C51" s="14">
        <f>'[6]Hospital Admin'!$J$50</f>
        <v>220</v>
      </c>
      <c r="D51" s="13">
        <f t="shared" si="10"/>
        <v>1.0457267801121779E-2</v>
      </c>
      <c r="E51" s="7"/>
      <c r="F51" s="375">
        <f t="shared" si="11"/>
        <v>17.819184333111512</v>
      </c>
      <c r="G51" s="375">
        <f t="shared" si="12"/>
        <v>17.013974712425135</v>
      </c>
      <c r="H51" s="375">
        <f t="shared" si="12"/>
        <v>16.355166840954464</v>
      </c>
      <c r="I51" s="375">
        <f t="shared" si="12"/>
        <v>18.258389580758628</v>
      </c>
      <c r="J51" s="375">
        <f t="shared" si="12"/>
        <v>18.540735811388913</v>
      </c>
      <c r="K51" s="375">
        <f t="shared" si="12"/>
        <v>20.255727730772886</v>
      </c>
      <c r="L51" s="375">
        <f t="shared" si="12"/>
        <v>18.718509364007986</v>
      </c>
      <c r="M51" s="375">
        <f t="shared" si="12"/>
        <v>19.847894286529137</v>
      </c>
      <c r="N51" s="375">
        <f t="shared" si="12"/>
        <v>18.153816902747408</v>
      </c>
      <c r="O51" s="375">
        <f t="shared" si="12"/>
        <v>16.407453179960072</v>
      </c>
      <c r="P51" s="375">
        <f t="shared" si="12"/>
        <v>19.126342808251735</v>
      </c>
      <c r="Q51" s="375">
        <f t="shared" si="12"/>
        <v>19.502804449092118</v>
      </c>
      <c r="R51" s="109">
        <f t="shared" si="7"/>
        <v>219.99999999999997</v>
      </c>
      <c r="S51" s="7">
        <f t="shared" si="8"/>
        <v>0</v>
      </c>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1:58" s="12" customFormat="1" x14ac:dyDescent="0.2">
      <c r="A52" s="87">
        <v>41460.381000000001</v>
      </c>
      <c r="B52" s="15" t="s">
        <v>6</v>
      </c>
      <c r="C52" s="14">
        <f>'[6]Hospital Admin'!$J$51</f>
        <v>1500</v>
      </c>
      <c r="D52" s="13">
        <f t="shared" si="10"/>
        <v>7.129955318946668E-2</v>
      </c>
      <c r="E52" s="7"/>
      <c r="F52" s="375">
        <f t="shared" si="11"/>
        <v>121.49443863485122</v>
      </c>
      <c r="G52" s="375">
        <f t="shared" si="11"/>
        <v>116.00437303926229</v>
      </c>
      <c r="H52" s="375">
        <f t="shared" si="11"/>
        <v>111.51250118832588</v>
      </c>
      <c r="I52" s="375">
        <f t="shared" si="11"/>
        <v>124.48901986880882</v>
      </c>
      <c r="J52" s="375">
        <f t="shared" si="11"/>
        <v>126.41410780492443</v>
      </c>
      <c r="K52" s="375">
        <f t="shared" si="11"/>
        <v>138.10723452799695</v>
      </c>
      <c r="L52" s="375">
        <f t="shared" si="11"/>
        <v>127.62620020914535</v>
      </c>
      <c r="M52" s="375">
        <f t="shared" si="11"/>
        <v>135.32655195360775</v>
      </c>
      <c r="N52" s="375">
        <f t="shared" si="11"/>
        <v>123.77602433691416</v>
      </c>
      <c r="O52" s="375">
        <f t="shared" si="11"/>
        <v>111.86899895427322</v>
      </c>
      <c r="P52" s="375">
        <f t="shared" si="11"/>
        <v>130.40688278353457</v>
      </c>
      <c r="Q52" s="375">
        <f t="shared" si="11"/>
        <v>132.97366669835534</v>
      </c>
      <c r="R52" s="109">
        <f t="shared" si="7"/>
        <v>1500</v>
      </c>
      <c r="S52" s="7">
        <f t="shared" si="8"/>
        <v>0</v>
      </c>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1:58" s="12" customFormat="1" x14ac:dyDescent="0.2">
      <c r="A53" s="87">
        <v>41461.381000000001</v>
      </c>
      <c r="B53" s="15" t="s">
        <v>5</v>
      </c>
      <c r="C53" s="14"/>
      <c r="D53" s="13">
        <f t="shared" si="10"/>
        <v>0</v>
      </c>
      <c r="E53" s="7"/>
      <c r="F53" s="375">
        <f t="shared" si="11"/>
        <v>0</v>
      </c>
      <c r="G53" s="375">
        <f t="shared" si="11"/>
        <v>0</v>
      </c>
      <c r="H53" s="375">
        <f t="shared" si="11"/>
        <v>0</v>
      </c>
      <c r="I53" s="375">
        <f t="shared" si="11"/>
        <v>0</v>
      </c>
      <c r="J53" s="375">
        <f t="shared" si="11"/>
        <v>0</v>
      </c>
      <c r="K53" s="375">
        <f t="shared" si="11"/>
        <v>0</v>
      </c>
      <c r="L53" s="375">
        <f t="shared" si="11"/>
        <v>0</v>
      </c>
      <c r="M53" s="375">
        <f t="shared" si="11"/>
        <v>0</v>
      </c>
      <c r="N53" s="375">
        <f t="shared" si="11"/>
        <v>0</v>
      </c>
      <c r="O53" s="375">
        <f t="shared" si="11"/>
        <v>0</v>
      </c>
      <c r="P53" s="375">
        <f t="shared" si="11"/>
        <v>0</v>
      </c>
      <c r="Q53" s="375">
        <f t="shared" si="11"/>
        <v>0</v>
      </c>
      <c r="R53" s="109">
        <f t="shared" si="7"/>
        <v>0</v>
      </c>
      <c r="S53" s="7">
        <f t="shared" si="8"/>
        <v>0</v>
      </c>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1:58" s="12" customFormat="1" x14ac:dyDescent="0.2">
      <c r="A54" s="87">
        <v>41488.381000000001</v>
      </c>
      <c r="B54" s="15" t="s">
        <v>638</v>
      </c>
      <c r="C54" s="14">
        <f>'[6]Hospital Admin'!$J$52</f>
        <v>435</v>
      </c>
      <c r="D54" s="13">
        <f t="shared" si="10"/>
        <v>2.0676870424945336E-2</v>
      </c>
      <c r="E54" s="7"/>
      <c r="F54" s="375">
        <f t="shared" si="11"/>
        <v>35.233387204106855</v>
      </c>
      <c r="G54" s="375">
        <f t="shared" si="11"/>
        <v>33.64126818138606</v>
      </c>
      <c r="H54" s="375">
        <f t="shared" si="11"/>
        <v>32.338625344614506</v>
      </c>
      <c r="I54" s="375">
        <f t="shared" si="11"/>
        <v>36.101815761954555</v>
      </c>
      <c r="J54" s="375">
        <f t="shared" si="11"/>
        <v>36.660091263428079</v>
      </c>
      <c r="K54" s="375">
        <f t="shared" si="11"/>
        <v>40.051098013119116</v>
      </c>
      <c r="L54" s="375">
        <f t="shared" si="11"/>
        <v>37.011598060652155</v>
      </c>
      <c r="M54" s="375">
        <f t="shared" si="11"/>
        <v>39.244700066546244</v>
      </c>
      <c r="N54" s="375">
        <f t="shared" si="11"/>
        <v>35.895047057705106</v>
      </c>
      <c r="O54" s="375">
        <f t="shared" si="11"/>
        <v>32.442009696739234</v>
      </c>
      <c r="P54" s="375">
        <f t="shared" si="11"/>
        <v>37.81799600722502</v>
      </c>
      <c r="Q54" s="375">
        <f t="shared" si="11"/>
        <v>38.562363342523049</v>
      </c>
      <c r="R54" s="109">
        <f t="shared" ref="R54" si="32">SUM(F54:Q54)</f>
        <v>434.99999999999994</v>
      </c>
      <c r="S54" s="7">
        <f t="shared" ref="S54" si="33">C54-R54</f>
        <v>0</v>
      </c>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1:58" s="12" customFormat="1" x14ac:dyDescent="0.2">
      <c r="A55" s="87">
        <v>41490.381000000001</v>
      </c>
      <c r="B55" s="15" t="s">
        <v>4</v>
      </c>
      <c r="C55" s="14">
        <f>'[6]Hospital Admin'!$J$53</f>
        <v>1750</v>
      </c>
      <c r="D55" s="13">
        <f t="shared" si="10"/>
        <v>8.3182812054377789E-2</v>
      </c>
      <c r="E55" s="7"/>
      <c r="F55" s="375">
        <f t="shared" si="11"/>
        <v>141.74351174065976</v>
      </c>
      <c r="G55" s="375">
        <f t="shared" si="11"/>
        <v>135.33843521247266</v>
      </c>
      <c r="H55" s="375">
        <f t="shared" si="11"/>
        <v>130.09791805304687</v>
      </c>
      <c r="I55" s="375">
        <f t="shared" si="11"/>
        <v>145.23718984694361</v>
      </c>
      <c r="J55" s="375">
        <f t="shared" si="11"/>
        <v>147.48312577241182</v>
      </c>
      <c r="K55" s="375">
        <f t="shared" si="11"/>
        <v>161.12510694932979</v>
      </c>
      <c r="L55" s="375">
        <f t="shared" si="11"/>
        <v>148.89723357733624</v>
      </c>
      <c r="M55" s="375">
        <f t="shared" si="11"/>
        <v>157.88097727920905</v>
      </c>
      <c r="N55" s="375">
        <f t="shared" si="11"/>
        <v>144.40536172639983</v>
      </c>
      <c r="O55" s="375">
        <f t="shared" si="11"/>
        <v>130.51383211331876</v>
      </c>
      <c r="P55" s="375">
        <f t="shared" si="11"/>
        <v>152.14136324745698</v>
      </c>
      <c r="Q55" s="375">
        <f t="shared" si="11"/>
        <v>155.13594448141458</v>
      </c>
      <c r="R55" s="109">
        <f t="shared" si="7"/>
        <v>1749.9999999999998</v>
      </c>
      <c r="S55" s="7">
        <f t="shared" si="8"/>
        <v>0</v>
      </c>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1:58" s="12" customFormat="1" x14ac:dyDescent="0.2">
      <c r="A56" s="87">
        <v>41509.381000000001</v>
      </c>
      <c r="B56" s="15" t="s">
        <v>3</v>
      </c>
      <c r="C56" s="14">
        <f>'[6]Hospital Admin'!$J$54</f>
        <v>4475</v>
      </c>
      <c r="D56" s="13">
        <f t="shared" si="10"/>
        <v>0.21271033368190892</v>
      </c>
      <c r="E56" s="7"/>
      <c r="F56" s="375">
        <f t="shared" si="11"/>
        <v>362.45840859397282</v>
      </c>
      <c r="G56" s="375">
        <f t="shared" si="11"/>
        <v>346.07971290046584</v>
      </c>
      <c r="H56" s="375">
        <f t="shared" si="11"/>
        <v>332.67896187850556</v>
      </c>
      <c r="I56" s="375">
        <f t="shared" si="11"/>
        <v>371.39224260861295</v>
      </c>
      <c r="J56" s="375">
        <f t="shared" si="11"/>
        <v>377.13542161802451</v>
      </c>
      <c r="K56" s="375">
        <f t="shared" si="11"/>
        <v>412.01991634185759</v>
      </c>
      <c r="L56" s="375">
        <f t="shared" si="11"/>
        <v>380.75149729061695</v>
      </c>
      <c r="M56" s="375">
        <f t="shared" si="11"/>
        <v>403.72421332826315</v>
      </c>
      <c r="N56" s="375">
        <f t="shared" si="11"/>
        <v>369.26513927179388</v>
      </c>
      <c r="O56" s="375">
        <f t="shared" si="11"/>
        <v>333.74251354691512</v>
      </c>
      <c r="P56" s="375">
        <f t="shared" si="11"/>
        <v>389.0472003042114</v>
      </c>
      <c r="Q56" s="375">
        <f t="shared" si="11"/>
        <v>396.70477231676011</v>
      </c>
      <c r="R56" s="109">
        <f t="shared" si="7"/>
        <v>4475</v>
      </c>
      <c r="S56" s="7">
        <f t="shared" si="8"/>
        <v>0</v>
      </c>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1:58" s="12" customFormat="1" x14ac:dyDescent="0.2">
      <c r="A57" s="87">
        <v>41520.381000000001</v>
      </c>
      <c r="B57" s="15" t="s">
        <v>639</v>
      </c>
      <c r="C57" s="14"/>
      <c r="D57" s="13">
        <f t="shared" si="10"/>
        <v>0</v>
      </c>
      <c r="E57" s="7"/>
      <c r="F57" s="375">
        <f t="shared" si="11"/>
        <v>0</v>
      </c>
      <c r="G57" s="375">
        <f t="shared" si="11"/>
        <v>0</v>
      </c>
      <c r="H57" s="375">
        <f t="shared" si="11"/>
        <v>0</v>
      </c>
      <c r="I57" s="375">
        <f t="shared" si="11"/>
        <v>0</v>
      </c>
      <c r="J57" s="375">
        <f t="shared" si="11"/>
        <v>0</v>
      </c>
      <c r="K57" s="375">
        <f t="shared" si="11"/>
        <v>0</v>
      </c>
      <c r="L57" s="375">
        <f t="shared" si="11"/>
        <v>0</v>
      </c>
      <c r="M57" s="375">
        <f t="shared" si="11"/>
        <v>0</v>
      </c>
      <c r="N57" s="375">
        <f t="shared" si="11"/>
        <v>0</v>
      </c>
      <c r="O57" s="375">
        <f t="shared" si="11"/>
        <v>0</v>
      </c>
      <c r="P57" s="375">
        <f t="shared" si="11"/>
        <v>0</v>
      </c>
      <c r="Q57" s="375">
        <f t="shared" si="11"/>
        <v>0</v>
      </c>
      <c r="R57" s="109">
        <f t="shared" ref="R57:R63" si="34">SUM(F57:Q57)</f>
        <v>0</v>
      </c>
      <c r="S57" s="7">
        <f t="shared" ref="S57:S63" si="35">C57-R57</f>
        <v>0</v>
      </c>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1:58" s="12" customFormat="1" x14ac:dyDescent="0.2">
      <c r="A58" s="87">
        <v>41521.381000000001</v>
      </c>
      <c r="B58" s="15" t="s">
        <v>640</v>
      </c>
      <c r="C58" s="14">
        <f>'[6]Hospital Admin'!$J$55</f>
        <v>87432</v>
      </c>
      <c r="D58" s="13">
        <f t="shared" si="10"/>
        <v>4.1559083563076342</v>
      </c>
      <c r="E58" s="7"/>
      <c r="F58" s="375">
        <f t="shared" si="11"/>
        <v>7081.6678391482092</v>
      </c>
      <c r="G58" s="375">
        <f t="shared" si="11"/>
        <v>6761.6628957125213</v>
      </c>
      <c r="H58" s="375">
        <f t="shared" si="11"/>
        <v>6499.8406692651397</v>
      </c>
      <c r="I58" s="375">
        <f t="shared" si="11"/>
        <v>7256.215990113129</v>
      </c>
      <c r="J58" s="375">
        <f t="shared" si="11"/>
        <v>7368.4255157334355</v>
      </c>
      <c r="K58" s="375">
        <f t="shared" si="11"/>
        <v>8049.9944861678878</v>
      </c>
      <c r="L58" s="375">
        <f t="shared" si="11"/>
        <v>7439.0759577906656</v>
      </c>
      <c r="M58" s="375">
        <f t="shared" si="11"/>
        <v>7887.9140602718899</v>
      </c>
      <c r="N58" s="375">
        <f t="shared" si="11"/>
        <v>7214.6569065500535</v>
      </c>
      <c r="O58" s="375">
        <f t="shared" si="11"/>
        <v>6520.6202110466784</v>
      </c>
      <c r="P58" s="375">
        <f t="shared" si="11"/>
        <v>7601.1563836866626</v>
      </c>
      <c r="Q58" s="375">
        <f t="shared" si="11"/>
        <v>7750.7690845137377</v>
      </c>
      <c r="R58" s="109">
        <f t="shared" si="34"/>
        <v>87432.000000000029</v>
      </c>
      <c r="S58" s="7">
        <f t="shared" si="35"/>
        <v>0</v>
      </c>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1:58" s="12" customFormat="1" x14ac:dyDescent="0.2">
      <c r="A59" s="87">
        <v>41522.381000000001</v>
      </c>
      <c r="B59" s="15" t="s">
        <v>642</v>
      </c>
      <c r="C59" s="14">
        <f>'[6]Hospital Admin'!$J$56</f>
        <v>43000</v>
      </c>
      <c r="D59" s="13">
        <f t="shared" si="10"/>
        <v>2.0439205247647116</v>
      </c>
      <c r="E59" s="7"/>
      <c r="F59" s="375">
        <f t="shared" si="11"/>
        <v>3482.8405741990687</v>
      </c>
      <c r="G59" s="375">
        <f t="shared" si="11"/>
        <v>3325.4586937921858</v>
      </c>
      <c r="H59" s="375">
        <f t="shared" si="11"/>
        <v>3196.6917007320089</v>
      </c>
      <c r="I59" s="375">
        <f t="shared" si="11"/>
        <v>3568.6852362391865</v>
      </c>
      <c r="J59" s="375">
        <f t="shared" si="11"/>
        <v>3623.8710904078339</v>
      </c>
      <c r="K59" s="375">
        <f t="shared" si="11"/>
        <v>3959.0740564692464</v>
      </c>
      <c r="L59" s="375">
        <f t="shared" si="11"/>
        <v>3658.617739328834</v>
      </c>
      <c r="M59" s="375">
        <f t="shared" si="11"/>
        <v>3879.3611560034228</v>
      </c>
      <c r="N59" s="375">
        <f t="shared" si="11"/>
        <v>3548.2460309915396</v>
      </c>
      <c r="O59" s="375">
        <f t="shared" si="11"/>
        <v>3206.9113033558324</v>
      </c>
      <c r="P59" s="375">
        <f t="shared" si="11"/>
        <v>3738.3306397946576</v>
      </c>
      <c r="Q59" s="375">
        <f t="shared" si="11"/>
        <v>3811.9117786861871</v>
      </c>
      <c r="R59" s="109">
        <f t="shared" si="34"/>
        <v>43000.000000000007</v>
      </c>
      <c r="S59" s="7">
        <f t="shared" si="35"/>
        <v>0</v>
      </c>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1:58" s="12" customFormat="1" x14ac:dyDescent="0.2">
      <c r="A60" s="87">
        <v>41523.381000000001</v>
      </c>
      <c r="B60" s="15" t="s">
        <v>641</v>
      </c>
      <c r="C60" s="14">
        <f>'[6]Hospital Admin'!$J$57</f>
        <v>8675</v>
      </c>
      <c r="D60" s="13">
        <f t="shared" si="10"/>
        <v>0.41234908261241565</v>
      </c>
      <c r="E60" s="7"/>
      <c r="F60" s="375">
        <f t="shared" si="11"/>
        <v>702.64283677155629</v>
      </c>
      <c r="G60" s="375">
        <f t="shared" si="11"/>
        <v>670.89195741040021</v>
      </c>
      <c r="H60" s="375">
        <f t="shared" si="11"/>
        <v>644.91396520581804</v>
      </c>
      <c r="I60" s="375">
        <f t="shared" si="11"/>
        <v>719.9614982412777</v>
      </c>
      <c r="J60" s="375">
        <f t="shared" si="11"/>
        <v>731.09492347181299</v>
      </c>
      <c r="K60" s="375">
        <f t="shared" si="11"/>
        <v>798.72017302024915</v>
      </c>
      <c r="L60" s="375">
        <f t="shared" si="11"/>
        <v>738.10485787622406</v>
      </c>
      <c r="M60" s="375">
        <f t="shared" si="11"/>
        <v>782.6385587983649</v>
      </c>
      <c r="N60" s="375">
        <f t="shared" si="11"/>
        <v>715.83800741515358</v>
      </c>
      <c r="O60" s="375">
        <f t="shared" si="11"/>
        <v>646.97571061888016</v>
      </c>
      <c r="P60" s="375">
        <f t="shared" si="11"/>
        <v>754.1864720981082</v>
      </c>
      <c r="Q60" s="375">
        <f t="shared" si="11"/>
        <v>769.03103907215518</v>
      </c>
      <c r="R60" s="109">
        <f t="shared" si="34"/>
        <v>8675</v>
      </c>
      <c r="S60" s="7">
        <f t="shared" si="35"/>
        <v>0</v>
      </c>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1:58" s="12" customFormat="1" x14ac:dyDescent="0.2">
      <c r="A61" s="87">
        <v>41540.381000000001</v>
      </c>
      <c r="B61" s="15" t="s">
        <v>643</v>
      </c>
      <c r="C61" s="14">
        <f>'[14]Hospital Admin'!$U$63</f>
        <v>0</v>
      </c>
      <c r="D61" s="13">
        <f t="shared" si="10"/>
        <v>0</v>
      </c>
      <c r="E61" s="7"/>
      <c r="F61" s="375">
        <f t="shared" si="11"/>
        <v>0</v>
      </c>
      <c r="G61" s="375">
        <f t="shared" si="11"/>
        <v>0</v>
      </c>
      <c r="H61" s="375">
        <f t="shared" si="11"/>
        <v>0</v>
      </c>
      <c r="I61" s="375">
        <f t="shared" si="11"/>
        <v>0</v>
      </c>
      <c r="J61" s="375">
        <f t="shared" si="11"/>
        <v>0</v>
      </c>
      <c r="K61" s="375">
        <f t="shared" si="11"/>
        <v>0</v>
      </c>
      <c r="L61" s="375">
        <f t="shared" si="11"/>
        <v>0</v>
      </c>
      <c r="M61" s="375">
        <f t="shared" si="11"/>
        <v>0</v>
      </c>
      <c r="N61" s="375">
        <f t="shared" si="11"/>
        <v>0</v>
      </c>
      <c r="O61" s="375">
        <f t="shared" si="11"/>
        <v>0</v>
      </c>
      <c r="P61" s="375">
        <f t="shared" si="11"/>
        <v>0</v>
      </c>
      <c r="Q61" s="375">
        <f t="shared" si="11"/>
        <v>0</v>
      </c>
      <c r="R61" s="109">
        <f t="shared" si="34"/>
        <v>0</v>
      </c>
      <c r="S61" s="7">
        <f t="shared" si="35"/>
        <v>0</v>
      </c>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1:58" s="12" customFormat="1" x14ac:dyDescent="0.2">
      <c r="A62" s="87">
        <v>41541.381000000001</v>
      </c>
      <c r="B62" s="15" t="s">
        <v>644</v>
      </c>
      <c r="C62" s="14">
        <f>'[6]Hospital Admin'!$J$58</f>
        <v>135000</v>
      </c>
      <c r="D62" s="13">
        <f t="shared" si="10"/>
        <v>6.4169597870520008</v>
      </c>
      <c r="E62" s="7"/>
      <c r="F62" s="375">
        <f t="shared" si="11"/>
        <v>10934.499477136609</v>
      </c>
      <c r="G62" s="375">
        <f t="shared" si="11"/>
        <v>10440.393573533605</v>
      </c>
      <c r="H62" s="375">
        <f t="shared" si="11"/>
        <v>10036.12510694933</v>
      </c>
      <c r="I62" s="375">
        <f t="shared" si="11"/>
        <v>11204.011788192793</v>
      </c>
      <c r="J62" s="375">
        <f t="shared" si="11"/>
        <v>11377.269702443198</v>
      </c>
      <c r="K62" s="375">
        <f t="shared" si="11"/>
        <v>12429.651107519725</v>
      </c>
      <c r="L62" s="375">
        <f t="shared" si="11"/>
        <v>11486.358018823081</v>
      </c>
      <c r="M62" s="375">
        <f t="shared" si="11"/>
        <v>12179.389675824697</v>
      </c>
      <c r="N62" s="375">
        <f t="shared" si="11"/>
        <v>11139.842190322273</v>
      </c>
      <c r="O62" s="375">
        <f t="shared" si="11"/>
        <v>10068.209905884589</v>
      </c>
      <c r="P62" s="375">
        <f t="shared" si="11"/>
        <v>11736.61945051811</v>
      </c>
      <c r="Q62" s="375">
        <f t="shared" ref="G62:Q63" si="36">$D62*Q$4</f>
        <v>11967.630002851982</v>
      </c>
      <c r="R62" s="109">
        <f t="shared" si="34"/>
        <v>135000</v>
      </c>
      <c r="S62" s="7">
        <f t="shared" si="35"/>
        <v>0</v>
      </c>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1:58" s="12" customFormat="1" x14ac:dyDescent="0.2">
      <c r="A63" s="87">
        <v>41560.381000000001</v>
      </c>
      <c r="B63" s="15" t="s">
        <v>645</v>
      </c>
      <c r="C63" s="14">
        <f>'[6]Hospital Admin'!$J$59</f>
        <v>10650</v>
      </c>
      <c r="D63" s="13">
        <f t="shared" si="10"/>
        <v>0.50622682764521343</v>
      </c>
      <c r="E63" s="7"/>
      <c r="F63" s="375">
        <f t="shared" ref="F63" si="37">$D63*F$4</f>
        <v>862.61051430744374</v>
      </c>
      <c r="G63" s="375">
        <f t="shared" si="36"/>
        <v>823.63104857876226</v>
      </c>
      <c r="H63" s="375">
        <f t="shared" si="36"/>
        <v>791.7387584371138</v>
      </c>
      <c r="I63" s="375">
        <f t="shared" si="36"/>
        <v>883.87204106854267</v>
      </c>
      <c r="J63" s="375">
        <f t="shared" si="36"/>
        <v>897.54016541496344</v>
      </c>
      <c r="K63" s="375">
        <f t="shared" si="36"/>
        <v>980.56136514877846</v>
      </c>
      <c r="L63" s="375">
        <f t="shared" si="36"/>
        <v>906.14602148493202</v>
      </c>
      <c r="M63" s="375">
        <f t="shared" si="36"/>
        <v>960.81851887061509</v>
      </c>
      <c r="N63" s="375">
        <f t="shared" si="36"/>
        <v>878.80977279209048</v>
      </c>
      <c r="O63" s="375">
        <f t="shared" si="36"/>
        <v>794.2698925753399</v>
      </c>
      <c r="P63" s="375">
        <f t="shared" si="36"/>
        <v>925.88886776309539</v>
      </c>
      <c r="Q63" s="375">
        <f t="shared" si="36"/>
        <v>944.11303355832308</v>
      </c>
      <c r="R63" s="109">
        <f t="shared" si="34"/>
        <v>10650</v>
      </c>
      <c r="S63" s="7">
        <f t="shared" si="35"/>
        <v>0</v>
      </c>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58" s="12" customFormat="1" x14ac:dyDescent="0.2">
      <c r="A64" s="87">
        <v>41570.381000000001</v>
      </c>
      <c r="B64" s="15" t="s">
        <v>2</v>
      </c>
      <c r="C64" s="14"/>
      <c r="D64" s="13">
        <f t="shared" si="10"/>
        <v>0</v>
      </c>
      <c r="E64" s="7"/>
      <c r="F64" s="375">
        <f t="shared" si="11"/>
        <v>0</v>
      </c>
      <c r="G64" s="375">
        <f t="shared" si="11"/>
        <v>0</v>
      </c>
      <c r="H64" s="375">
        <f t="shared" si="11"/>
        <v>0</v>
      </c>
      <c r="I64" s="375">
        <f t="shared" si="11"/>
        <v>0</v>
      </c>
      <c r="J64" s="375">
        <f t="shared" si="11"/>
        <v>0</v>
      </c>
      <c r="K64" s="375">
        <f t="shared" si="11"/>
        <v>0</v>
      </c>
      <c r="L64" s="375">
        <f t="shared" si="11"/>
        <v>0</v>
      </c>
      <c r="M64" s="375">
        <f t="shared" si="11"/>
        <v>0</v>
      </c>
      <c r="N64" s="375">
        <f t="shared" si="11"/>
        <v>0</v>
      </c>
      <c r="O64" s="375">
        <f t="shared" si="11"/>
        <v>0</v>
      </c>
      <c r="P64" s="375">
        <f t="shared" si="11"/>
        <v>0</v>
      </c>
      <c r="Q64" s="375">
        <f t="shared" si="11"/>
        <v>0</v>
      </c>
      <c r="R64" s="109">
        <f t="shared" si="7"/>
        <v>0</v>
      </c>
      <c r="S64" s="7">
        <f t="shared" si="8"/>
        <v>0</v>
      </c>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1:58" s="5" customFormat="1" x14ac:dyDescent="0.2">
      <c r="A65" s="11"/>
      <c r="B65" s="10" t="s">
        <v>0</v>
      </c>
      <c r="C65" s="8">
        <f>SUM(C10:C64)</f>
        <v>2332423.65</v>
      </c>
      <c r="D65" s="9">
        <f>SUM(D10:D64)</f>
        <v>139.60731369411516</v>
      </c>
      <c r="E65" s="104"/>
      <c r="F65" s="395">
        <f t="shared" ref="F65:Q65" si="38">SUM(F10:F64)</f>
        <v>191939.33074055173</v>
      </c>
      <c r="G65" s="395">
        <f t="shared" si="38"/>
        <v>186798.12015062114</v>
      </c>
      <c r="H65" s="395">
        <f t="shared" si="38"/>
        <v>183861.72070157449</v>
      </c>
      <c r="I65" s="395">
        <f t="shared" si="38"/>
        <v>194362.6137522448</v>
      </c>
      <c r="J65" s="395">
        <f t="shared" si="38"/>
        <v>193824.86333999661</v>
      </c>
      <c r="K65" s="395">
        <f t="shared" si="38"/>
        <v>205382.78173399207</v>
      </c>
      <c r="L65" s="395">
        <f t="shared" si="38"/>
        <v>196202.76612457295</v>
      </c>
      <c r="M65" s="395">
        <f t="shared" si="38"/>
        <v>203132.5903659914</v>
      </c>
      <c r="N65" s="395">
        <f t="shared" si="38"/>
        <v>193087.11653811042</v>
      </c>
      <c r="O65" s="395">
        <f t="shared" si="38"/>
        <v>184150.20677439528</v>
      </c>
      <c r="P65" s="395">
        <f t="shared" si="38"/>
        <v>199151.48256106686</v>
      </c>
      <c r="Q65" s="395">
        <f t="shared" si="38"/>
        <v>200530.05721688215</v>
      </c>
      <c r="R65" s="109">
        <f t="shared" si="7"/>
        <v>2332423.65</v>
      </c>
      <c r="S65" s="104">
        <f t="shared" si="8"/>
        <v>0</v>
      </c>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row>
    <row r="66" spans="1:58" x14ac:dyDescent="0.2">
      <c r="F66" s="3"/>
    </row>
    <row r="67" spans="1:58" x14ac:dyDescent="0.2">
      <c r="A67" s="4"/>
      <c r="C67" s="3"/>
      <c r="F67" s="3"/>
      <c r="G67" s="3"/>
      <c r="H67" s="3"/>
      <c r="I67" s="3"/>
      <c r="J67" s="3"/>
      <c r="K67" s="3"/>
      <c r="L67" s="3"/>
      <c r="M67" s="3"/>
      <c r="N67" s="3"/>
      <c r="O67" s="3"/>
      <c r="P67" s="3"/>
      <c r="Q67" s="3"/>
    </row>
    <row r="68" spans="1:58" x14ac:dyDescent="0.2">
      <c r="A68" s="4"/>
      <c r="C68" s="3"/>
      <c r="F68" s="3"/>
      <c r="G68" s="3"/>
      <c r="H68" s="3"/>
      <c r="I68" s="3"/>
      <c r="J68" s="3"/>
      <c r="K68" s="3"/>
      <c r="L68" s="3"/>
      <c r="M68" s="3"/>
      <c r="N68" s="3"/>
      <c r="O68" s="3"/>
      <c r="P68" s="3"/>
      <c r="Q68" s="3"/>
    </row>
    <row r="69" spans="1:58" x14ac:dyDescent="0.2">
      <c r="A69" s="87"/>
      <c r="B69" s="494" t="s">
        <v>1087</v>
      </c>
      <c r="C69" s="489"/>
      <c r="D69" s="488"/>
      <c r="E69" s="488"/>
      <c r="F69" s="489"/>
      <c r="G69" s="489"/>
      <c r="H69" s="3"/>
      <c r="I69" s="3"/>
      <c r="J69" s="3"/>
      <c r="K69" s="3"/>
      <c r="L69" s="3"/>
      <c r="M69" s="3"/>
      <c r="N69" s="3"/>
      <c r="O69" s="3"/>
      <c r="P69" s="3"/>
      <c r="Q69" s="3"/>
    </row>
    <row r="70" spans="1:58" x14ac:dyDescent="0.2">
      <c r="A70" s="87"/>
      <c r="B70" s="15"/>
      <c r="C70" s="3"/>
    </row>
    <row r="71" spans="1:58" x14ac:dyDescent="0.2">
      <c r="A71" s="87"/>
      <c r="B71" s="15"/>
      <c r="C71" s="3"/>
    </row>
    <row r="72" spans="1:58" x14ac:dyDescent="0.2">
      <c r="A72" s="87"/>
      <c r="B72" s="15"/>
      <c r="C72" s="3"/>
    </row>
    <row r="73" spans="1:58" x14ac:dyDescent="0.2">
      <c r="A73" s="87"/>
      <c r="B73" s="15"/>
      <c r="C73" s="3"/>
    </row>
    <row r="74" spans="1:58" x14ac:dyDescent="0.2">
      <c r="C74" s="96"/>
    </row>
  </sheetData>
  <mergeCells count="1">
    <mergeCell ref="A8:D8"/>
  </mergeCells>
  <printOptions gridLines="1"/>
  <pageMargins left="0.25" right="0.25" top="0.75" bottom="0.75" header="0.3" footer="0.3"/>
  <pageSetup scale="59" orientation="landscape" r:id="rId1"/>
  <headerFooter alignWithMargins="0">
    <oddHeader xml:space="preserve">&amp;C&amp;"Arial,Bold"&amp;14DOCTORS MEMORIAL HOSPITAL
FY 2017 BUDGET
</oddHeader>
    <oddFooter xml:space="preserve">&amp;R&amp;A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42"/>
  <sheetViews>
    <sheetView zoomScaleNormal="100" workbookViewId="0">
      <selection activeCell="N41" sqref="N41"/>
    </sheetView>
  </sheetViews>
  <sheetFormatPr defaultRowHeight="12.75" x14ac:dyDescent="0.2"/>
  <cols>
    <col min="1" max="1" width="11" style="2" bestFit="1" customWidth="1"/>
    <col min="2" max="2" width="28.28515625" style="2" bestFit="1" customWidth="1"/>
    <col min="3" max="3" width="16.140625" style="2" customWidth="1"/>
    <col min="4" max="5" width="11" style="4" customWidth="1"/>
    <col min="6" max="6" width="12.85546875" style="2" bestFit="1" customWidth="1"/>
    <col min="7" max="7" width="13.85546875" style="2" bestFit="1" customWidth="1"/>
    <col min="8" max="16" width="11.28515625" style="2" bestFit="1" customWidth="1"/>
    <col min="17" max="17" width="12.7109375" style="2" bestFit="1" customWidth="1"/>
    <col min="18" max="18" width="13.85546875" style="3"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71">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468">
        <f>'MO STATS'!P87</f>
        <v>57</v>
      </c>
      <c r="R2" s="308">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468">
        <f>'MO STATS'!P88</f>
        <v>1808</v>
      </c>
      <c r="R3" s="308">
        <f t="shared" ref="R3:R4" si="0">SUM(F3:Q3)</f>
        <v>20375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468">
        <f>'MO STATS'!P89</f>
        <v>1865</v>
      </c>
      <c r="R4" s="308">
        <f t="shared" si="0"/>
        <v>21038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R5" s="96"/>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R6" s="96"/>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R7" s="96"/>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c r="R8" s="96"/>
    </row>
    <row r="9" spans="1:58" x14ac:dyDescent="0.2">
      <c r="A9" s="21"/>
      <c r="B9" s="10" t="s">
        <v>646</v>
      </c>
      <c r="C9" s="20"/>
      <c r="D9" s="19" t="s">
        <v>596</v>
      </c>
      <c r="E9" s="111"/>
      <c r="R9" s="96"/>
    </row>
    <row r="10" spans="1:58" s="12" customFormat="1" x14ac:dyDescent="0.2">
      <c r="A10" s="87">
        <v>41101.381999999998</v>
      </c>
      <c r="B10" s="15" t="s">
        <v>22</v>
      </c>
      <c r="C10" s="14"/>
      <c r="D10" s="13">
        <f>$C10/C$4</f>
        <v>0</v>
      </c>
      <c r="E10" s="7"/>
      <c r="F10" s="375">
        <f>$D10*F$4</f>
        <v>0</v>
      </c>
      <c r="G10" s="375">
        <f t="shared" ref="G10:Q25" si="2">$D10*G$4</f>
        <v>0</v>
      </c>
      <c r="H10" s="375">
        <f t="shared" si="2"/>
        <v>0</v>
      </c>
      <c r="I10" s="375">
        <f t="shared" si="2"/>
        <v>0</v>
      </c>
      <c r="J10" s="375">
        <f t="shared" si="2"/>
        <v>0</v>
      </c>
      <c r="K10" s="375">
        <f t="shared" si="2"/>
        <v>0</v>
      </c>
      <c r="L10" s="375">
        <f t="shared" si="2"/>
        <v>0</v>
      </c>
      <c r="M10" s="375">
        <f t="shared" si="2"/>
        <v>0</v>
      </c>
      <c r="N10" s="375">
        <f t="shared" si="2"/>
        <v>0</v>
      </c>
      <c r="O10" s="375">
        <f t="shared" si="2"/>
        <v>0</v>
      </c>
      <c r="P10" s="375">
        <f t="shared" si="2"/>
        <v>0</v>
      </c>
      <c r="Q10" s="375">
        <f t="shared" si="2"/>
        <v>0</v>
      </c>
      <c r="R10" s="109">
        <f t="shared" ref="R10:R38" si="3">SUM(F10:Q10)</f>
        <v>0</v>
      </c>
      <c r="S10" s="7">
        <f t="shared" ref="S10:S38" si="4">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41110.381999999998</v>
      </c>
      <c r="B11" s="15" t="s">
        <v>21</v>
      </c>
      <c r="C11" s="14"/>
      <c r="D11" s="13">
        <f t="shared" ref="D11:D37" si="5">$C11/C$4</f>
        <v>0</v>
      </c>
      <c r="E11" s="7"/>
      <c r="F11" s="375">
        <f t="shared" ref="F11:Q36" si="6">$D11*F$4</f>
        <v>0</v>
      </c>
      <c r="G11" s="375">
        <f t="shared" si="2"/>
        <v>0</v>
      </c>
      <c r="H11" s="375">
        <f t="shared" si="2"/>
        <v>0</v>
      </c>
      <c r="I11" s="375">
        <f t="shared" si="2"/>
        <v>0</v>
      </c>
      <c r="J11" s="375">
        <f t="shared" si="2"/>
        <v>0</v>
      </c>
      <c r="K11" s="375">
        <f t="shared" si="2"/>
        <v>0</v>
      </c>
      <c r="L11" s="375">
        <f t="shared" si="2"/>
        <v>0</v>
      </c>
      <c r="M11" s="375">
        <f t="shared" si="2"/>
        <v>0</v>
      </c>
      <c r="N11" s="375">
        <f t="shared" si="2"/>
        <v>0</v>
      </c>
      <c r="O11" s="375">
        <f t="shared" si="2"/>
        <v>0</v>
      </c>
      <c r="P11" s="375">
        <f t="shared" si="2"/>
        <v>0</v>
      </c>
      <c r="Q11" s="375">
        <f t="shared" si="2"/>
        <v>0</v>
      </c>
      <c r="R11" s="109">
        <f t="shared" si="3"/>
        <v>0</v>
      </c>
      <c r="S11" s="7">
        <f t="shared" si="4"/>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41115.381999999998</v>
      </c>
      <c r="B12" s="15" t="s">
        <v>20</v>
      </c>
      <c r="C12" s="14"/>
      <c r="D12" s="13">
        <f t="shared" si="5"/>
        <v>0</v>
      </c>
      <c r="E12" s="7"/>
      <c r="F12" s="375">
        <f t="shared" si="6"/>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109">
        <f t="shared" si="3"/>
        <v>0</v>
      </c>
      <c r="S12" s="7">
        <f t="shared" si="4"/>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41150.381999999998</v>
      </c>
      <c r="B13" s="15" t="s">
        <v>19</v>
      </c>
      <c r="C13" s="18"/>
      <c r="D13" s="13">
        <f t="shared" si="5"/>
        <v>0</v>
      </c>
      <c r="E13" s="7"/>
      <c r="F13" s="375">
        <f t="shared" si="6"/>
        <v>0</v>
      </c>
      <c r="G13" s="375">
        <f t="shared" si="2"/>
        <v>0</v>
      </c>
      <c r="H13" s="375">
        <f t="shared" si="2"/>
        <v>0</v>
      </c>
      <c r="I13" s="375">
        <f t="shared" si="2"/>
        <v>0</v>
      </c>
      <c r="J13" s="375">
        <f t="shared" si="2"/>
        <v>0</v>
      </c>
      <c r="K13" s="375">
        <f t="shared" si="2"/>
        <v>0</v>
      </c>
      <c r="L13" s="375">
        <f t="shared" si="2"/>
        <v>0</v>
      </c>
      <c r="M13" s="375">
        <f t="shared" si="2"/>
        <v>0</v>
      </c>
      <c r="N13" s="375">
        <f t="shared" si="2"/>
        <v>0</v>
      </c>
      <c r="O13" s="375">
        <f t="shared" si="2"/>
        <v>0</v>
      </c>
      <c r="P13" s="375">
        <f t="shared" si="2"/>
        <v>0</v>
      </c>
      <c r="Q13" s="375">
        <f t="shared" si="2"/>
        <v>0</v>
      </c>
      <c r="R13" s="109">
        <f t="shared" si="3"/>
        <v>0</v>
      </c>
      <c r="S13" s="7">
        <f t="shared" si="4"/>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41152.381999999998</v>
      </c>
      <c r="B14" s="15" t="s">
        <v>18</v>
      </c>
      <c r="C14" s="17"/>
      <c r="D14" s="13">
        <f t="shared" si="5"/>
        <v>0</v>
      </c>
      <c r="E14" s="7"/>
      <c r="F14" s="375">
        <f t="shared" si="6"/>
        <v>0</v>
      </c>
      <c r="G14" s="375">
        <f t="shared" si="2"/>
        <v>0</v>
      </c>
      <c r="H14" s="375">
        <f t="shared" si="2"/>
        <v>0</v>
      </c>
      <c r="I14" s="375">
        <f t="shared" si="2"/>
        <v>0</v>
      </c>
      <c r="J14" s="375">
        <f t="shared" si="2"/>
        <v>0</v>
      </c>
      <c r="K14" s="375">
        <f t="shared" si="2"/>
        <v>0</v>
      </c>
      <c r="L14" s="375">
        <f t="shared" si="2"/>
        <v>0</v>
      </c>
      <c r="M14" s="375">
        <f t="shared" si="2"/>
        <v>0</v>
      </c>
      <c r="N14" s="375">
        <f t="shared" si="2"/>
        <v>0</v>
      </c>
      <c r="O14" s="375">
        <f t="shared" si="2"/>
        <v>0</v>
      </c>
      <c r="P14" s="375">
        <f t="shared" si="2"/>
        <v>0</v>
      </c>
      <c r="Q14" s="375">
        <f t="shared" si="2"/>
        <v>0</v>
      </c>
      <c r="R14" s="109">
        <f t="shared" si="3"/>
        <v>0</v>
      </c>
      <c r="S14" s="7">
        <f t="shared" si="4"/>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41237.381999999998</v>
      </c>
      <c r="B15" s="15" t="s">
        <v>17</v>
      </c>
      <c r="C15" s="17"/>
      <c r="D15" s="13">
        <f t="shared" si="5"/>
        <v>0</v>
      </c>
      <c r="E15" s="7"/>
      <c r="F15" s="375">
        <f t="shared" si="6"/>
        <v>0</v>
      </c>
      <c r="G15" s="375">
        <f t="shared" si="2"/>
        <v>0</v>
      </c>
      <c r="H15" s="375">
        <f t="shared" si="2"/>
        <v>0</v>
      </c>
      <c r="I15" s="375">
        <f t="shared" si="2"/>
        <v>0</v>
      </c>
      <c r="J15" s="375">
        <f t="shared" si="2"/>
        <v>0</v>
      </c>
      <c r="K15" s="375">
        <f t="shared" si="2"/>
        <v>0</v>
      </c>
      <c r="L15" s="375">
        <f t="shared" si="2"/>
        <v>0</v>
      </c>
      <c r="M15" s="375">
        <f t="shared" si="2"/>
        <v>0</v>
      </c>
      <c r="N15" s="375">
        <f t="shared" si="2"/>
        <v>0</v>
      </c>
      <c r="O15" s="375">
        <f t="shared" si="2"/>
        <v>0</v>
      </c>
      <c r="P15" s="375">
        <f t="shared" si="2"/>
        <v>0</v>
      </c>
      <c r="Q15" s="375">
        <f t="shared" si="2"/>
        <v>0</v>
      </c>
      <c r="R15" s="109">
        <f t="shared" si="3"/>
        <v>0</v>
      </c>
      <c r="S15" s="7">
        <f t="shared" si="4"/>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41246.381999999998</v>
      </c>
      <c r="B16" s="15" t="s">
        <v>16</v>
      </c>
      <c r="C16" s="14"/>
      <c r="D16" s="13">
        <f t="shared" si="5"/>
        <v>0</v>
      </c>
      <c r="E16" s="7"/>
      <c r="F16" s="375">
        <f t="shared" si="6"/>
        <v>0</v>
      </c>
      <c r="G16" s="375">
        <f t="shared" si="2"/>
        <v>0</v>
      </c>
      <c r="H16" s="375">
        <f t="shared" si="2"/>
        <v>0</v>
      </c>
      <c r="I16" s="375">
        <f t="shared" si="2"/>
        <v>0</v>
      </c>
      <c r="J16" s="375">
        <f t="shared" si="2"/>
        <v>0</v>
      </c>
      <c r="K16" s="375">
        <f t="shared" si="2"/>
        <v>0</v>
      </c>
      <c r="L16" s="375">
        <f t="shared" si="2"/>
        <v>0</v>
      </c>
      <c r="M16" s="375">
        <f t="shared" si="2"/>
        <v>0</v>
      </c>
      <c r="N16" s="375">
        <f t="shared" si="2"/>
        <v>0</v>
      </c>
      <c r="O16" s="375">
        <f t="shared" si="2"/>
        <v>0</v>
      </c>
      <c r="P16" s="375">
        <f t="shared" si="2"/>
        <v>0</v>
      </c>
      <c r="Q16" s="375">
        <f t="shared" si="2"/>
        <v>0</v>
      </c>
      <c r="R16" s="109">
        <f t="shared" si="3"/>
        <v>0</v>
      </c>
      <c r="S16" s="7">
        <f t="shared" si="4"/>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41250.381999999998</v>
      </c>
      <c r="B17" s="15" t="s">
        <v>15</v>
      </c>
      <c r="C17" s="14"/>
      <c r="D17" s="13">
        <f t="shared" si="5"/>
        <v>0</v>
      </c>
      <c r="E17" s="7"/>
      <c r="F17" s="375">
        <f t="shared" si="6"/>
        <v>0</v>
      </c>
      <c r="G17" s="375">
        <f t="shared" si="2"/>
        <v>0</v>
      </c>
      <c r="H17" s="375">
        <f t="shared" si="2"/>
        <v>0</v>
      </c>
      <c r="I17" s="375">
        <f t="shared" si="2"/>
        <v>0</v>
      </c>
      <c r="J17" s="375">
        <f t="shared" si="2"/>
        <v>0</v>
      </c>
      <c r="K17" s="375">
        <f t="shared" si="2"/>
        <v>0</v>
      </c>
      <c r="L17" s="375">
        <f t="shared" si="2"/>
        <v>0</v>
      </c>
      <c r="M17" s="375">
        <f t="shared" si="2"/>
        <v>0</v>
      </c>
      <c r="N17" s="375">
        <f t="shared" si="2"/>
        <v>0</v>
      </c>
      <c r="O17" s="375">
        <f t="shared" si="2"/>
        <v>0</v>
      </c>
      <c r="P17" s="375">
        <f t="shared" si="2"/>
        <v>0</v>
      </c>
      <c r="Q17" s="375">
        <f t="shared" si="2"/>
        <v>0</v>
      </c>
      <c r="R17" s="109">
        <f t="shared" si="3"/>
        <v>0</v>
      </c>
      <c r="S17" s="7">
        <f t="shared" si="4"/>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41342.381999999998</v>
      </c>
      <c r="B18" s="15" t="s">
        <v>11</v>
      </c>
      <c r="C18" s="14"/>
      <c r="D18" s="13">
        <f t="shared" si="5"/>
        <v>0</v>
      </c>
      <c r="E18" s="7"/>
      <c r="F18" s="375">
        <f t="shared" si="6"/>
        <v>0</v>
      </c>
      <c r="G18" s="375">
        <f t="shared" si="2"/>
        <v>0</v>
      </c>
      <c r="H18" s="375">
        <f t="shared" si="2"/>
        <v>0</v>
      </c>
      <c r="I18" s="375">
        <f t="shared" si="2"/>
        <v>0</v>
      </c>
      <c r="J18" s="375">
        <f t="shared" si="2"/>
        <v>0</v>
      </c>
      <c r="K18" s="375">
        <f t="shared" si="2"/>
        <v>0</v>
      </c>
      <c r="L18" s="375">
        <f t="shared" si="2"/>
        <v>0</v>
      </c>
      <c r="M18" s="375">
        <f t="shared" si="2"/>
        <v>0</v>
      </c>
      <c r="N18" s="375">
        <f t="shared" si="2"/>
        <v>0</v>
      </c>
      <c r="O18" s="375">
        <f t="shared" si="2"/>
        <v>0</v>
      </c>
      <c r="P18" s="375">
        <f t="shared" si="2"/>
        <v>0</v>
      </c>
      <c r="Q18" s="375">
        <f t="shared" si="2"/>
        <v>0</v>
      </c>
      <c r="R18" s="109">
        <f t="shared" si="3"/>
        <v>0</v>
      </c>
      <c r="S18" s="7">
        <f t="shared" si="4"/>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41365.381999999998</v>
      </c>
      <c r="B19" s="15" t="s">
        <v>10</v>
      </c>
      <c r="C19" s="14"/>
      <c r="D19" s="13">
        <f t="shared" si="5"/>
        <v>0</v>
      </c>
      <c r="E19" s="7"/>
      <c r="F19" s="375">
        <f t="shared" si="6"/>
        <v>0</v>
      </c>
      <c r="G19" s="375">
        <f t="shared" si="2"/>
        <v>0</v>
      </c>
      <c r="H19" s="375">
        <f t="shared" si="2"/>
        <v>0</v>
      </c>
      <c r="I19" s="375">
        <f t="shared" si="2"/>
        <v>0</v>
      </c>
      <c r="J19" s="375">
        <f t="shared" si="2"/>
        <v>0</v>
      </c>
      <c r="K19" s="375">
        <f t="shared" si="2"/>
        <v>0</v>
      </c>
      <c r="L19" s="375">
        <f t="shared" si="2"/>
        <v>0</v>
      </c>
      <c r="M19" s="375">
        <f t="shared" si="2"/>
        <v>0</v>
      </c>
      <c r="N19" s="375">
        <f t="shared" si="2"/>
        <v>0</v>
      </c>
      <c r="O19" s="375">
        <f t="shared" si="2"/>
        <v>0</v>
      </c>
      <c r="P19" s="375">
        <f t="shared" si="2"/>
        <v>0</v>
      </c>
      <c r="Q19" s="375">
        <f t="shared" si="2"/>
        <v>0</v>
      </c>
      <c r="R19" s="109">
        <f t="shared" si="3"/>
        <v>0</v>
      </c>
      <c r="S19" s="7">
        <f t="shared" si="4"/>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41372.381999999998</v>
      </c>
      <c r="B20" s="15" t="s">
        <v>624</v>
      </c>
      <c r="C20" s="14"/>
      <c r="D20" s="13">
        <f t="shared" si="5"/>
        <v>0</v>
      </c>
      <c r="E20" s="7"/>
      <c r="F20" s="375">
        <f t="shared" si="6"/>
        <v>0</v>
      </c>
      <c r="G20" s="375">
        <f t="shared" si="2"/>
        <v>0</v>
      </c>
      <c r="H20" s="375">
        <f t="shared" si="2"/>
        <v>0</v>
      </c>
      <c r="I20" s="375">
        <f t="shared" si="2"/>
        <v>0</v>
      </c>
      <c r="J20" s="375">
        <f t="shared" si="2"/>
        <v>0</v>
      </c>
      <c r="K20" s="375">
        <f t="shared" si="2"/>
        <v>0</v>
      </c>
      <c r="L20" s="375">
        <f t="shared" si="2"/>
        <v>0</v>
      </c>
      <c r="M20" s="375">
        <f t="shared" si="2"/>
        <v>0</v>
      </c>
      <c r="N20" s="375">
        <f t="shared" si="2"/>
        <v>0</v>
      </c>
      <c r="O20" s="375">
        <f t="shared" si="2"/>
        <v>0</v>
      </c>
      <c r="P20" s="375">
        <f t="shared" si="2"/>
        <v>0</v>
      </c>
      <c r="Q20" s="375">
        <f t="shared" si="2"/>
        <v>0</v>
      </c>
      <c r="R20" s="109">
        <f t="shared" si="3"/>
        <v>0</v>
      </c>
      <c r="S20" s="7">
        <f t="shared" si="4"/>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41374.381999999998</v>
      </c>
      <c r="B21" s="15" t="s">
        <v>625</v>
      </c>
      <c r="C21" s="14"/>
      <c r="D21" s="13">
        <f t="shared" si="5"/>
        <v>0</v>
      </c>
      <c r="E21" s="7"/>
      <c r="F21" s="375">
        <f t="shared" si="6"/>
        <v>0</v>
      </c>
      <c r="G21" s="375">
        <f t="shared" si="2"/>
        <v>0</v>
      </c>
      <c r="H21" s="375">
        <f t="shared" si="2"/>
        <v>0</v>
      </c>
      <c r="I21" s="375">
        <f t="shared" si="2"/>
        <v>0</v>
      </c>
      <c r="J21" s="375">
        <f t="shared" si="2"/>
        <v>0</v>
      </c>
      <c r="K21" s="375">
        <f t="shared" si="2"/>
        <v>0</v>
      </c>
      <c r="L21" s="375">
        <f t="shared" si="2"/>
        <v>0</v>
      </c>
      <c r="M21" s="375">
        <f t="shared" si="2"/>
        <v>0</v>
      </c>
      <c r="N21" s="375">
        <f t="shared" si="2"/>
        <v>0</v>
      </c>
      <c r="O21" s="375">
        <f t="shared" si="2"/>
        <v>0</v>
      </c>
      <c r="P21" s="375">
        <f t="shared" si="2"/>
        <v>0</v>
      </c>
      <c r="Q21" s="375">
        <f t="shared" si="2"/>
        <v>0</v>
      </c>
      <c r="R21" s="109">
        <f t="shared" si="3"/>
        <v>0</v>
      </c>
      <c r="S21" s="7">
        <f t="shared" si="4"/>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41375.381999999998</v>
      </c>
      <c r="B22" s="15" t="s">
        <v>647</v>
      </c>
      <c r="C22" s="14"/>
      <c r="D22" s="13">
        <f t="shared" si="5"/>
        <v>0</v>
      </c>
      <c r="E22" s="7"/>
      <c r="F22" s="375">
        <f t="shared" si="6"/>
        <v>0</v>
      </c>
      <c r="G22" s="375">
        <f t="shared" si="2"/>
        <v>0</v>
      </c>
      <c r="H22" s="375">
        <f t="shared" si="2"/>
        <v>0</v>
      </c>
      <c r="I22" s="375">
        <f t="shared" si="2"/>
        <v>0</v>
      </c>
      <c r="J22" s="375">
        <f t="shared" si="2"/>
        <v>0</v>
      </c>
      <c r="K22" s="375">
        <f t="shared" si="2"/>
        <v>0</v>
      </c>
      <c r="L22" s="375">
        <f t="shared" si="2"/>
        <v>0</v>
      </c>
      <c r="M22" s="375">
        <f t="shared" si="2"/>
        <v>0</v>
      </c>
      <c r="N22" s="375">
        <f t="shared" si="2"/>
        <v>0</v>
      </c>
      <c r="O22" s="375">
        <f t="shared" si="2"/>
        <v>0</v>
      </c>
      <c r="P22" s="375">
        <f t="shared" si="2"/>
        <v>0</v>
      </c>
      <c r="Q22" s="375">
        <f t="shared" si="2"/>
        <v>0</v>
      </c>
      <c r="R22" s="109">
        <f t="shared" si="3"/>
        <v>0</v>
      </c>
      <c r="S22" s="7">
        <f t="shared" si="4"/>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41376.381999999998</v>
      </c>
      <c r="B23" s="15" t="s">
        <v>648</v>
      </c>
      <c r="C23" s="14"/>
      <c r="D23" s="13">
        <f t="shared" si="5"/>
        <v>0</v>
      </c>
      <c r="E23" s="7"/>
      <c r="F23" s="375">
        <f t="shared" si="6"/>
        <v>0</v>
      </c>
      <c r="G23" s="375">
        <f t="shared" si="2"/>
        <v>0</v>
      </c>
      <c r="H23" s="375">
        <f t="shared" si="2"/>
        <v>0</v>
      </c>
      <c r="I23" s="375">
        <f t="shared" si="2"/>
        <v>0</v>
      </c>
      <c r="J23" s="375">
        <f t="shared" si="2"/>
        <v>0</v>
      </c>
      <c r="K23" s="375">
        <f t="shared" si="2"/>
        <v>0</v>
      </c>
      <c r="L23" s="375">
        <f t="shared" si="2"/>
        <v>0</v>
      </c>
      <c r="M23" s="375">
        <f t="shared" si="2"/>
        <v>0</v>
      </c>
      <c r="N23" s="375">
        <f t="shared" si="2"/>
        <v>0</v>
      </c>
      <c r="O23" s="375">
        <f t="shared" si="2"/>
        <v>0</v>
      </c>
      <c r="P23" s="375">
        <f t="shared" si="2"/>
        <v>0</v>
      </c>
      <c r="Q23" s="375">
        <f t="shared" si="2"/>
        <v>0</v>
      </c>
      <c r="R23" s="109">
        <f t="shared" si="3"/>
        <v>0</v>
      </c>
      <c r="S23" s="7">
        <f t="shared" si="4"/>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41379.381999999998</v>
      </c>
      <c r="B24" s="15" t="s">
        <v>628</v>
      </c>
      <c r="C24" s="14"/>
      <c r="D24" s="13">
        <f t="shared" si="5"/>
        <v>0</v>
      </c>
      <c r="E24" s="7"/>
      <c r="F24" s="375">
        <f t="shared" si="6"/>
        <v>0</v>
      </c>
      <c r="G24" s="375">
        <f t="shared" si="2"/>
        <v>0</v>
      </c>
      <c r="H24" s="375">
        <f t="shared" si="2"/>
        <v>0</v>
      </c>
      <c r="I24" s="375">
        <f t="shared" si="2"/>
        <v>0</v>
      </c>
      <c r="J24" s="375">
        <f t="shared" si="2"/>
        <v>0</v>
      </c>
      <c r="K24" s="375">
        <f t="shared" si="2"/>
        <v>0</v>
      </c>
      <c r="L24" s="375">
        <f t="shared" si="2"/>
        <v>0</v>
      </c>
      <c r="M24" s="375">
        <f t="shared" si="2"/>
        <v>0</v>
      </c>
      <c r="N24" s="375">
        <f t="shared" si="2"/>
        <v>0</v>
      </c>
      <c r="O24" s="375">
        <f t="shared" si="2"/>
        <v>0</v>
      </c>
      <c r="P24" s="375">
        <f t="shared" si="2"/>
        <v>0</v>
      </c>
      <c r="Q24" s="375">
        <f t="shared" si="2"/>
        <v>0</v>
      </c>
      <c r="R24" s="109">
        <f t="shared" si="3"/>
        <v>0</v>
      </c>
      <c r="S24" s="7">
        <f t="shared" si="4"/>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41380.381999999998</v>
      </c>
      <c r="B25" s="15" t="s">
        <v>629</v>
      </c>
      <c r="C25" s="14"/>
      <c r="D25" s="13">
        <f t="shared" si="5"/>
        <v>0</v>
      </c>
      <c r="E25" s="7"/>
      <c r="F25" s="375">
        <f t="shared" si="6"/>
        <v>0</v>
      </c>
      <c r="G25" s="375">
        <f t="shared" si="2"/>
        <v>0</v>
      </c>
      <c r="H25" s="375">
        <f t="shared" si="2"/>
        <v>0</v>
      </c>
      <c r="I25" s="375">
        <f t="shared" ref="G25:Q32" si="7">$D25*I$4</f>
        <v>0</v>
      </c>
      <c r="J25" s="375">
        <f t="shared" si="7"/>
        <v>0</v>
      </c>
      <c r="K25" s="375">
        <f t="shared" si="7"/>
        <v>0</v>
      </c>
      <c r="L25" s="375">
        <f t="shared" si="7"/>
        <v>0</v>
      </c>
      <c r="M25" s="375">
        <f t="shared" si="7"/>
        <v>0</v>
      </c>
      <c r="N25" s="375">
        <f t="shared" si="7"/>
        <v>0</v>
      </c>
      <c r="O25" s="375">
        <f t="shared" si="7"/>
        <v>0</v>
      </c>
      <c r="P25" s="375">
        <f t="shared" si="7"/>
        <v>0</v>
      </c>
      <c r="Q25" s="375">
        <f t="shared" si="7"/>
        <v>0</v>
      </c>
      <c r="R25" s="109">
        <f t="shared" si="3"/>
        <v>0</v>
      </c>
      <c r="S25" s="7">
        <f t="shared" si="4"/>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41381.381999999998</v>
      </c>
      <c r="B26" s="15" t="s">
        <v>649</v>
      </c>
      <c r="C26" s="14"/>
      <c r="D26" s="13">
        <f t="shared" si="5"/>
        <v>0</v>
      </c>
      <c r="E26" s="7"/>
      <c r="F26" s="375">
        <f t="shared" ref="F26:H26" si="8">$D26*F$4</f>
        <v>0</v>
      </c>
      <c r="G26" s="375">
        <f t="shared" si="8"/>
        <v>0</v>
      </c>
      <c r="H26" s="375">
        <f t="shared" si="8"/>
        <v>0</v>
      </c>
      <c r="I26" s="375">
        <f t="shared" si="7"/>
        <v>0</v>
      </c>
      <c r="J26" s="375">
        <f t="shared" si="7"/>
        <v>0</v>
      </c>
      <c r="K26" s="375">
        <f t="shared" si="7"/>
        <v>0</v>
      </c>
      <c r="L26" s="375">
        <f t="shared" si="7"/>
        <v>0</v>
      </c>
      <c r="M26" s="375">
        <f t="shared" si="7"/>
        <v>0</v>
      </c>
      <c r="N26" s="375">
        <f t="shared" si="7"/>
        <v>0</v>
      </c>
      <c r="O26" s="375">
        <f t="shared" si="7"/>
        <v>0</v>
      </c>
      <c r="P26" s="375">
        <f t="shared" si="7"/>
        <v>0</v>
      </c>
      <c r="Q26" s="375">
        <f t="shared" si="7"/>
        <v>0</v>
      </c>
      <c r="R26" s="109">
        <f t="shared" ref="R26" si="9">SUM(F26:Q26)</f>
        <v>0</v>
      </c>
      <c r="S26" s="7">
        <f t="shared" ref="S26" si="10">C26-R26</f>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41390.381999999998</v>
      </c>
      <c r="B27" s="15" t="s">
        <v>630</v>
      </c>
      <c r="C27" s="14"/>
      <c r="D27" s="13">
        <f t="shared" si="5"/>
        <v>0</v>
      </c>
      <c r="E27" s="7"/>
      <c r="F27" s="375">
        <f t="shared" si="6"/>
        <v>0</v>
      </c>
      <c r="G27" s="375">
        <f t="shared" si="7"/>
        <v>0</v>
      </c>
      <c r="H27" s="375">
        <f t="shared" si="7"/>
        <v>0</v>
      </c>
      <c r="I27" s="375">
        <f t="shared" si="7"/>
        <v>0</v>
      </c>
      <c r="J27" s="375">
        <f t="shared" si="7"/>
        <v>0</v>
      </c>
      <c r="K27" s="375">
        <f t="shared" si="7"/>
        <v>0</v>
      </c>
      <c r="L27" s="375">
        <f t="shared" si="7"/>
        <v>0</v>
      </c>
      <c r="M27" s="375">
        <f t="shared" si="7"/>
        <v>0</v>
      </c>
      <c r="N27" s="375">
        <f t="shared" si="7"/>
        <v>0</v>
      </c>
      <c r="O27" s="375">
        <f t="shared" si="7"/>
        <v>0</v>
      </c>
      <c r="P27" s="375">
        <f t="shared" si="7"/>
        <v>0</v>
      </c>
      <c r="Q27" s="375">
        <f t="shared" si="7"/>
        <v>0</v>
      </c>
      <c r="R27" s="109">
        <f t="shared" si="3"/>
        <v>0</v>
      </c>
      <c r="S27" s="7">
        <f t="shared" si="4"/>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41423.381999999998</v>
      </c>
      <c r="B28" s="15" t="s">
        <v>9</v>
      </c>
      <c r="C28" s="14"/>
      <c r="D28" s="13">
        <f t="shared" si="5"/>
        <v>0</v>
      </c>
      <c r="E28" s="7"/>
      <c r="F28" s="375">
        <f t="shared" si="6"/>
        <v>0</v>
      </c>
      <c r="G28" s="375">
        <f t="shared" si="7"/>
        <v>0</v>
      </c>
      <c r="H28" s="375">
        <f t="shared" si="7"/>
        <v>0</v>
      </c>
      <c r="I28" s="375">
        <f t="shared" si="7"/>
        <v>0</v>
      </c>
      <c r="J28" s="375">
        <f t="shared" si="7"/>
        <v>0</v>
      </c>
      <c r="K28" s="375">
        <f t="shared" si="7"/>
        <v>0</v>
      </c>
      <c r="L28" s="375">
        <f t="shared" si="7"/>
        <v>0</v>
      </c>
      <c r="M28" s="375">
        <f t="shared" si="7"/>
        <v>0</v>
      </c>
      <c r="N28" s="375">
        <f t="shared" si="7"/>
        <v>0</v>
      </c>
      <c r="O28" s="375">
        <f t="shared" si="7"/>
        <v>0</v>
      </c>
      <c r="P28" s="375">
        <f t="shared" si="7"/>
        <v>0</v>
      </c>
      <c r="Q28" s="375">
        <f t="shared" si="7"/>
        <v>0</v>
      </c>
      <c r="R28" s="109">
        <f t="shared" si="3"/>
        <v>0</v>
      </c>
      <c r="S28" s="7">
        <f t="shared" si="4"/>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41426.381999999998</v>
      </c>
      <c r="B29" s="15" t="s">
        <v>8</v>
      </c>
      <c r="C29" s="14"/>
      <c r="D29" s="13">
        <f t="shared" si="5"/>
        <v>0</v>
      </c>
      <c r="E29" s="7"/>
      <c r="F29" s="375">
        <f t="shared" si="6"/>
        <v>0</v>
      </c>
      <c r="G29" s="375">
        <f t="shared" si="7"/>
        <v>0</v>
      </c>
      <c r="H29" s="375">
        <f t="shared" si="7"/>
        <v>0</v>
      </c>
      <c r="I29" s="375">
        <f t="shared" si="7"/>
        <v>0</v>
      </c>
      <c r="J29" s="375">
        <f t="shared" si="7"/>
        <v>0</v>
      </c>
      <c r="K29" s="375">
        <f t="shared" si="7"/>
        <v>0</v>
      </c>
      <c r="L29" s="375">
        <f t="shared" si="7"/>
        <v>0</v>
      </c>
      <c r="M29" s="375">
        <f t="shared" si="7"/>
        <v>0</v>
      </c>
      <c r="N29" s="375">
        <f t="shared" si="7"/>
        <v>0</v>
      </c>
      <c r="O29" s="375">
        <f t="shared" si="7"/>
        <v>0</v>
      </c>
      <c r="P29" s="375">
        <f t="shared" si="7"/>
        <v>0</v>
      </c>
      <c r="Q29" s="375">
        <f t="shared" si="7"/>
        <v>0</v>
      </c>
      <c r="R29" s="109">
        <f t="shared" si="3"/>
        <v>0</v>
      </c>
      <c r="S29" s="7">
        <f t="shared" si="4"/>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41428.381999999998</v>
      </c>
      <c r="B30" s="15" t="s">
        <v>634</v>
      </c>
      <c r="C30" s="14"/>
      <c r="D30" s="13">
        <f t="shared" si="5"/>
        <v>0</v>
      </c>
      <c r="E30" s="7"/>
      <c r="F30" s="375">
        <f t="shared" si="6"/>
        <v>0</v>
      </c>
      <c r="G30" s="375">
        <f t="shared" si="6"/>
        <v>0</v>
      </c>
      <c r="H30" s="375">
        <f t="shared" si="6"/>
        <v>0</v>
      </c>
      <c r="I30" s="375">
        <f t="shared" si="6"/>
        <v>0</v>
      </c>
      <c r="J30" s="375">
        <f t="shared" si="6"/>
        <v>0</v>
      </c>
      <c r="K30" s="375">
        <f t="shared" si="6"/>
        <v>0</v>
      </c>
      <c r="L30" s="375">
        <f t="shared" si="6"/>
        <v>0</v>
      </c>
      <c r="M30" s="375">
        <f t="shared" si="6"/>
        <v>0</v>
      </c>
      <c r="N30" s="375">
        <f t="shared" si="6"/>
        <v>0</v>
      </c>
      <c r="O30" s="375">
        <f t="shared" si="6"/>
        <v>0</v>
      </c>
      <c r="P30" s="375">
        <f t="shared" si="6"/>
        <v>0</v>
      </c>
      <c r="Q30" s="375">
        <f t="shared" si="6"/>
        <v>0</v>
      </c>
      <c r="R30" s="109">
        <f t="shared" si="3"/>
        <v>0</v>
      </c>
      <c r="S30" s="7">
        <f t="shared" si="4"/>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12" customFormat="1" x14ac:dyDescent="0.2">
      <c r="A31" s="87">
        <v>41439.381999999998</v>
      </c>
      <c r="B31" s="15" t="s">
        <v>603</v>
      </c>
      <c r="C31" s="14"/>
      <c r="D31" s="13">
        <f t="shared" si="5"/>
        <v>0</v>
      </c>
      <c r="E31" s="7"/>
      <c r="F31" s="375">
        <f t="shared" si="6"/>
        <v>0</v>
      </c>
      <c r="G31" s="375">
        <f t="shared" si="7"/>
        <v>0</v>
      </c>
      <c r="H31" s="375">
        <f t="shared" si="7"/>
        <v>0</v>
      </c>
      <c r="I31" s="375">
        <f t="shared" si="7"/>
        <v>0</v>
      </c>
      <c r="J31" s="375">
        <f t="shared" si="7"/>
        <v>0</v>
      </c>
      <c r="K31" s="375">
        <f t="shared" si="7"/>
        <v>0</v>
      </c>
      <c r="L31" s="375">
        <f t="shared" si="7"/>
        <v>0</v>
      </c>
      <c r="M31" s="375">
        <f t="shared" si="7"/>
        <v>0</v>
      </c>
      <c r="N31" s="375">
        <f t="shared" si="7"/>
        <v>0</v>
      </c>
      <c r="O31" s="375">
        <f t="shared" si="7"/>
        <v>0</v>
      </c>
      <c r="P31" s="375">
        <f t="shared" si="7"/>
        <v>0</v>
      </c>
      <c r="Q31" s="375">
        <f t="shared" si="7"/>
        <v>0</v>
      </c>
      <c r="R31" s="109">
        <f t="shared" si="3"/>
        <v>0</v>
      </c>
      <c r="S31" s="7">
        <f t="shared" si="4"/>
        <v>0</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1:58" s="12" customFormat="1" x14ac:dyDescent="0.2">
      <c r="A32" s="87">
        <v>41440.381999999998</v>
      </c>
      <c r="B32" s="15" t="s">
        <v>7</v>
      </c>
      <c r="C32" s="14"/>
      <c r="D32" s="13">
        <f t="shared" si="5"/>
        <v>0</v>
      </c>
      <c r="E32" s="7"/>
      <c r="F32" s="375">
        <f t="shared" si="6"/>
        <v>0</v>
      </c>
      <c r="G32" s="375">
        <f t="shared" si="7"/>
        <v>0</v>
      </c>
      <c r="H32" s="375">
        <f t="shared" si="7"/>
        <v>0</v>
      </c>
      <c r="I32" s="375">
        <f t="shared" si="7"/>
        <v>0</v>
      </c>
      <c r="J32" s="375">
        <f t="shared" si="7"/>
        <v>0</v>
      </c>
      <c r="K32" s="375">
        <f t="shared" si="7"/>
        <v>0</v>
      </c>
      <c r="L32" s="375">
        <f t="shared" si="7"/>
        <v>0</v>
      </c>
      <c r="M32" s="375">
        <f t="shared" si="7"/>
        <v>0</v>
      </c>
      <c r="N32" s="375">
        <f t="shared" si="7"/>
        <v>0</v>
      </c>
      <c r="O32" s="375">
        <f t="shared" si="7"/>
        <v>0</v>
      </c>
      <c r="P32" s="375">
        <f t="shared" si="7"/>
        <v>0</v>
      </c>
      <c r="Q32" s="375">
        <f t="shared" si="7"/>
        <v>0</v>
      </c>
      <c r="R32" s="109">
        <f t="shared" si="3"/>
        <v>0</v>
      </c>
      <c r="S32" s="7">
        <f t="shared" si="4"/>
        <v>0</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1:58" s="12" customFormat="1" x14ac:dyDescent="0.2">
      <c r="A33" s="87">
        <v>41460.381999999998</v>
      </c>
      <c r="B33" s="15" t="s">
        <v>6</v>
      </c>
      <c r="C33" s="14"/>
      <c r="D33" s="13">
        <f t="shared" si="5"/>
        <v>0</v>
      </c>
      <c r="E33" s="7"/>
      <c r="F33" s="375">
        <f t="shared" si="6"/>
        <v>0</v>
      </c>
      <c r="G33" s="375">
        <f t="shared" si="6"/>
        <v>0</v>
      </c>
      <c r="H33" s="375">
        <f t="shared" si="6"/>
        <v>0</v>
      </c>
      <c r="I33" s="375">
        <f t="shared" si="6"/>
        <v>0</v>
      </c>
      <c r="J33" s="375">
        <f t="shared" si="6"/>
        <v>0</v>
      </c>
      <c r="K33" s="375">
        <f t="shared" si="6"/>
        <v>0</v>
      </c>
      <c r="L33" s="375">
        <f t="shared" si="6"/>
        <v>0</v>
      </c>
      <c r="M33" s="375">
        <f t="shared" si="6"/>
        <v>0</v>
      </c>
      <c r="N33" s="375">
        <f t="shared" si="6"/>
        <v>0</v>
      </c>
      <c r="O33" s="375">
        <f t="shared" si="6"/>
        <v>0</v>
      </c>
      <c r="P33" s="375">
        <f t="shared" si="6"/>
        <v>0</v>
      </c>
      <c r="Q33" s="375">
        <f t="shared" si="6"/>
        <v>0</v>
      </c>
      <c r="R33" s="109">
        <f t="shared" si="3"/>
        <v>0</v>
      </c>
      <c r="S33" s="7">
        <f t="shared" si="4"/>
        <v>0</v>
      </c>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1:58" s="12" customFormat="1" x14ac:dyDescent="0.2">
      <c r="A34" s="87">
        <v>41461.381999999998</v>
      </c>
      <c r="B34" s="15" t="s">
        <v>5</v>
      </c>
      <c r="C34" s="14"/>
      <c r="D34" s="13">
        <f t="shared" si="5"/>
        <v>0</v>
      </c>
      <c r="E34" s="7"/>
      <c r="F34" s="375">
        <f t="shared" si="6"/>
        <v>0</v>
      </c>
      <c r="G34" s="375">
        <f t="shared" si="6"/>
        <v>0</v>
      </c>
      <c r="H34" s="375">
        <f t="shared" si="6"/>
        <v>0</v>
      </c>
      <c r="I34" s="375">
        <f t="shared" si="6"/>
        <v>0</v>
      </c>
      <c r="J34" s="375">
        <f t="shared" si="6"/>
        <v>0</v>
      </c>
      <c r="K34" s="375">
        <f t="shared" si="6"/>
        <v>0</v>
      </c>
      <c r="L34" s="375">
        <f t="shared" si="6"/>
        <v>0</v>
      </c>
      <c r="M34" s="375">
        <f t="shared" si="6"/>
        <v>0</v>
      </c>
      <c r="N34" s="375">
        <f t="shared" si="6"/>
        <v>0</v>
      </c>
      <c r="O34" s="375">
        <f t="shared" si="6"/>
        <v>0</v>
      </c>
      <c r="P34" s="375">
        <f t="shared" si="6"/>
        <v>0</v>
      </c>
      <c r="Q34" s="375">
        <f t="shared" si="6"/>
        <v>0</v>
      </c>
      <c r="R34" s="109">
        <f t="shared" si="3"/>
        <v>0</v>
      </c>
      <c r="S34" s="7">
        <f t="shared" si="4"/>
        <v>0</v>
      </c>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1:58" s="12" customFormat="1" x14ac:dyDescent="0.2">
      <c r="A35" s="87">
        <v>41490.381999999998</v>
      </c>
      <c r="B35" s="15" t="s">
        <v>4</v>
      </c>
      <c r="C35" s="14"/>
      <c r="D35" s="13">
        <f t="shared" si="5"/>
        <v>0</v>
      </c>
      <c r="E35" s="7"/>
      <c r="F35" s="375">
        <f t="shared" si="6"/>
        <v>0</v>
      </c>
      <c r="G35" s="375">
        <f t="shared" si="6"/>
        <v>0</v>
      </c>
      <c r="H35" s="375">
        <f t="shared" si="6"/>
        <v>0</v>
      </c>
      <c r="I35" s="375">
        <f t="shared" si="6"/>
        <v>0</v>
      </c>
      <c r="J35" s="375">
        <f t="shared" si="6"/>
        <v>0</v>
      </c>
      <c r="K35" s="375">
        <f t="shared" si="6"/>
        <v>0</v>
      </c>
      <c r="L35" s="375">
        <f t="shared" si="6"/>
        <v>0</v>
      </c>
      <c r="M35" s="375">
        <f t="shared" si="6"/>
        <v>0</v>
      </c>
      <c r="N35" s="375">
        <f t="shared" si="6"/>
        <v>0</v>
      </c>
      <c r="O35" s="375">
        <f t="shared" si="6"/>
        <v>0</v>
      </c>
      <c r="P35" s="375">
        <f t="shared" si="6"/>
        <v>0</v>
      </c>
      <c r="Q35" s="375">
        <f t="shared" si="6"/>
        <v>0</v>
      </c>
      <c r="R35" s="109">
        <f t="shared" si="3"/>
        <v>0</v>
      </c>
      <c r="S35" s="7">
        <f t="shared" si="4"/>
        <v>0</v>
      </c>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1:58" s="12" customFormat="1" x14ac:dyDescent="0.2">
      <c r="A36" s="87">
        <v>41509.381999999998</v>
      </c>
      <c r="B36" s="15" t="s">
        <v>3</v>
      </c>
      <c r="C36" s="14"/>
      <c r="D36" s="13">
        <f t="shared" si="5"/>
        <v>0</v>
      </c>
      <c r="E36" s="7"/>
      <c r="F36" s="375">
        <f t="shared" si="6"/>
        <v>0</v>
      </c>
      <c r="G36" s="375">
        <f t="shared" si="6"/>
        <v>0</v>
      </c>
      <c r="H36" s="375">
        <f t="shared" si="6"/>
        <v>0</v>
      </c>
      <c r="I36" s="375">
        <f t="shared" si="6"/>
        <v>0</v>
      </c>
      <c r="J36" s="375">
        <f t="shared" si="6"/>
        <v>0</v>
      </c>
      <c r="K36" s="375">
        <f t="shared" si="6"/>
        <v>0</v>
      </c>
      <c r="L36" s="375">
        <f t="shared" si="6"/>
        <v>0</v>
      </c>
      <c r="M36" s="375">
        <f t="shared" si="6"/>
        <v>0</v>
      </c>
      <c r="N36" s="375">
        <f t="shared" si="6"/>
        <v>0</v>
      </c>
      <c r="O36" s="375">
        <f t="shared" si="6"/>
        <v>0</v>
      </c>
      <c r="P36" s="375">
        <f t="shared" si="6"/>
        <v>0</v>
      </c>
      <c r="Q36" s="375">
        <f t="shared" si="6"/>
        <v>0</v>
      </c>
      <c r="R36" s="109">
        <f t="shared" si="3"/>
        <v>0</v>
      </c>
      <c r="S36" s="7">
        <f t="shared" si="4"/>
        <v>0</v>
      </c>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1:58" s="12" customFormat="1" x14ac:dyDescent="0.2">
      <c r="A37" s="87">
        <v>41570.381999999998</v>
      </c>
      <c r="B37" s="15" t="s">
        <v>2</v>
      </c>
      <c r="C37" s="14"/>
      <c r="D37" s="13">
        <f t="shared" si="5"/>
        <v>0</v>
      </c>
      <c r="E37" s="7"/>
      <c r="F37" s="375">
        <f t="shared" ref="F37:Q37" si="11">$D37*F$4</f>
        <v>0</v>
      </c>
      <c r="G37" s="375">
        <f t="shared" si="11"/>
        <v>0</v>
      </c>
      <c r="H37" s="375">
        <f t="shared" si="11"/>
        <v>0</v>
      </c>
      <c r="I37" s="375">
        <f t="shared" si="11"/>
        <v>0</v>
      </c>
      <c r="J37" s="375">
        <f t="shared" si="11"/>
        <v>0</v>
      </c>
      <c r="K37" s="375">
        <f t="shared" si="11"/>
        <v>0</v>
      </c>
      <c r="L37" s="375">
        <f t="shared" si="11"/>
        <v>0</v>
      </c>
      <c r="M37" s="375">
        <f t="shared" si="11"/>
        <v>0</v>
      </c>
      <c r="N37" s="375">
        <f t="shared" si="11"/>
        <v>0</v>
      </c>
      <c r="O37" s="375">
        <f t="shared" si="11"/>
        <v>0</v>
      </c>
      <c r="P37" s="375">
        <f t="shared" si="11"/>
        <v>0</v>
      </c>
      <c r="Q37" s="375">
        <f t="shared" si="11"/>
        <v>0</v>
      </c>
      <c r="R37" s="109">
        <f t="shared" si="3"/>
        <v>0</v>
      </c>
      <c r="S37" s="7">
        <f t="shared" si="4"/>
        <v>0</v>
      </c>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1:58" s="5" customFormat="1" x14ac:dyDescent="0.2">
      <c r="A38" s="11"/>
      <c r="B38" s="10" t="s">
        <v>0</v>
      </c>
      <c r="C38" s="8">
        <f>SUM(C10:C37)</f>
        <v>0</v>
      </c>
      <c r="D38" s="9">
        <f>SUM(D10:D37)</f>
        <v>0</v>
      </c>
      <c r="E38" s="104"/>
      <c r="F38" s="395">
        <f t="shared" ref="F38:Q38" si="12">SUM(F10:F37)</f>
        <v>0</v>
      </c>
      <c r="G38" s="395">
        <f t="shared" si="12"/>
        <v>0</v>
      </c>
      <c r="H38" s="395">
        <f t="shared" si="12"/>
        <v>0</v>
      </c>
      <c r="I38" s="395">
        <f t="shared" si="12"/>
        <v>0</v>
      </c>
      <c r="J38" s="395">
        <f t="shared" si="12"/>
        <v>0</v>
      </c>
      <c r="K38" s="395">
        <f t="shared" si="12"/>
        <v>0</v>
      </c>
      <c r="L38" s="395">
        <f t="shared" si="12"/>
        <v>0</v>
      </c>
      <c r="M38" s="395">
        <f t="shared" si="12"/>
        <v>0</v>
      </c>
      <c r="N38" s="395">
        <f t="shared" si="12"/>
        <v>0</v>
      </c>
      <c r="O38" s="395">
        <f t="shared" si="12"/>
        <v>0</v>
      </c>
      <c r="P38" s="395">
        <f t="shared" si="12"/>
        <v>0</v>
      </c>
      <c r="Q38" s="395">
        <f t="shared" si="12"/>
        <v>0</v>
      </c>
      <c r="R38" s="109">
        <f t="shared" si="3"/>
        <v>0</v>
      </c>
      <c r="S38" s="104">
        <f t="shared" si="4"/>
        <v>0</v>
      </c>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row>
    <row r="39" spans="1:58" x14ac:dyDescent="0.2">
      <c r="F39" s="3"/>
    </row>
    <row r="40" spans="1:58" x14ac:dyDescent="0.2">
      <c r="A40" s="4"/>
      <c r="C40" s="3"/>
      <c r="F40" s="3"/>
      <c r="G40" s="3"/>
      <c r="H40" s="3"/>
      <c r="I40" s="3"/>
      <c r="J40" s="3"/>
      <c r="K40" s="3"/>
      <c r="L40" s="3"/>
      <c r="M40" s="3"/>
      <c r="N40" s="3"/>
      <c r="O40" s="3"/>
      <c r="P40" s="3"/>
      <c r="Q40" s="3"/>
    </row>
    <row r="41" spans="1:58" x14ac:dyDescent="0.2">
      <c r="A41" s="4"/>
      <c r="C41" s="3"/>
      <c r="F41" s="3"/>
      <c r="G41" s="3"/>
      <c r="H41" s="3"/>
      <c r="I41" s="3"/>
      <c r="J41" s="3"/>
      <c r="K41" s="3"/>
      <c r="L41" s="3"/>
      <c r="M41" s="3"/>
      <c r="N41" s="3"/>
      <c r="O41" s="3"/>
      <c r="P41" s="3"/>
      <c r="Q41" s="3"/>
    </row>
    <row r="42" spans="1:58" x14ac:dyDescent="0.2">
      <c r="C42" s="3"/>
      <c r="F42" s="3"/>
      <c r="G42" s="3"/>
      <c r="H42" s="3"/>
      <c r="I42" s="3"/>
      <c r="J42" s="3"/>
      <c r="K42" s="3"/>
      <c r="L42" s="3"/>
      <c r="M42" s="3"/>
      <c r="N42" s="3"/>
      <c r="O42" s="3"/>
      <c r="P42" s="3"/>
      <c r="Q42" s="3"/>
    </row>
  </sheetData>
  <mergeCells count="1">
    <mergeCell ref="A8:D8"/>
  </mergeCells>
  <printOptions gridLines="1"/>
  <pageMargins left="0.75" right="0.75" top="1.25" bottom="0" header="0.25" footer="0.36"/>
  <pageSetup scale="53" orientation="landscape" r:id="rId1"/>
  <headerFooter alignWithMargins="0">
    <oddHeader xml:space="preserve">&amp;C&amp;"Arial,Bold"&amp;14DOCTORS MEMORIAL HOSPITAL
FY 2017 BUDGET
</oddHeader>
    <oddFooter xml:space="preserve">&amp;R&amp;A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3"/>
  <sheetViews>
    <sheetView zoomScale="80" zoomScaleNormal="80" workbookViewId="0">
      <pane xSplit="2" ySplit="6" topLeftCell="C7" activePane="bottomRight" state="frozen"/>
      <selection pane="topRight" activeCell="C1" sqref="C1"/>
      <selection pane="bottomLeft" activeCell="A7" sqref="A7"/>
      <selection pane="bottomRight" activeCell="H42" sqref="H42"/>
    </sheetView>
  </sheetViews>
  <sheetFormatPr defaultRowHeight="12.75" x14ac:dyDescent="0.2"/>
  <cols>
    <col min="1" max="1" width="11" style="2" bestFit="1" customWidth="1"/>
    <col min="2" max="2" width="23.42578125" style="2" customWidth="1"/>
    <col min="3" max="3" width="13.28515625" style="2" customWidth="1"/>
    <col min="4" max="4" width="7.85546875" style="4" customWidth="1"/>
    <col min="5" max="5" width="3.5703125" style="4" customWidth="1"/>
    <col min="6" max="6" width="14.85546875" style="2" bestFit="1" customWidth="1"/>
    <col min="7" max="8" width="14" style="2" bestFit="1" customWidth="1"/>
    <col min="9" max="10" width="14.42578125" style="2" bestFit="1" customWidth="1"/>
    <col min="11" max="11" width="14.85546875" style="2" bestFit="1" customWidth="1"/>
    <col min="12" max="12" width="14.140625" style="2" bestFit="1" customWidth="1"/>
    <col min="13" max="13" width="14.42578125" style="2" bestFit="1" customWidth="1"/>
    <col min="14" max="14" width="14.140625" style="2" bestFit="1" customWidth="1"/>
    <col min="15" max="15" width="13.7109375" style="2" bestFit="1" customWidth="1"/>
    <col min="16" max="16" width="14.42578125" style="2" bestFit="1" customWidth="1"/>
    <col min="17" max="17" width="13.42578125" style="2" bestFit="1" customWidth="1"/>
    <col min="18" max="18" width="16.2851562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89">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131">
        <f>'MO STATS'!P87</f>
        <v>57</v>
      </c>
      <c r="R2" s="308">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131">
        <f>'MO STATS'!P88</f>
        <v>1808</v>
      </c>
      <c r="R3" s="308">
        <f t="shared" ref="R3:R4" si="0">SUM(F3:Q3)</f>
        <v>20375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131">
        <f>'MO STATS'!P89</f>
        <v>1865</v>
      </c>
      <c r="R4" s="308">
        <f t="shared" si="0"/>
        <v>21038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1">
        <f>'[4]2017 FTEs'!$AS$46</f>
        <v>3</v>
      </c>
      <c r="R5" s="96"/>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6240</v>
      </c>
      <c r="F6" s="421">
        <f>($C6/$R7)*F7</f>
        <v>529.97260273972609</v>
      </c>
      <c r="G6" s="421">
        <f t="shared" ref="G6:Q6" si="2">($C6/$R7)*G7</f>
        <v>512.8767123287671</v>
      </c>
      <c r="H6" s="421">
        <f t="shared" si="2"/>
        <v>529.97260273972609</v>
      </c>
      <c r="I6" s="421">
        <f t="shared" si="2"/>
        <v>529.97260273972609</v>
      </c>
      <c r="J6" s="421">
        <f t="shared" si="2"/>
        <v>478.68493150684935</v>
      </c>
      <c r="K6" s="421">
        <f t="shared" si="2"/>
        <v>529.97260273972609</v>
      </c>
      <c r="L6" s="421">
        <f t="shared" si="2"/>
        <v>512.8767123287671</v>
      </c>
      <c r="M6" s="421">
        <f t="shared" si="2"/>
        <v>529.97260273972609</v>
      </c>
      <c r="N6" s="421">
        <f t="shared" si="2"/>
        <v>512.8767123287671</v>
      </c>
      <c r="O6" s="421">
        <f t="shared" si="2"/>
        <v>529.97260273972609</v>
      </c>
      <c r="P6" s="421">
        <f t="shared" si="2"/>
        <v>529.97260273972609</v>
      </c>
      <c r="Q6" s="421">
        <f t="shared" si="2"/>
        <v>512.8767123287671</v>
      </c>
      <c r="R6" s="6">
        <f t="shared" ref="R6:R7" si="3">SUM(F6:Q6)</f>
        <v>6240.0000000000009</v>
      </c>
      <c r="S6" s="3">
        <f t="shared" ref="S6" si="4">C6-R6</f>
        <v>0</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si="3"/>
        <v>365</v>
      </c>
      <c r="S7" s="3"/>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c r="R8" s="96"/>
    </row>
    <row r="9" spans="1:58" x14ac:dyDescent="0.2">
      <c r="A9" s="21"/>
      <c r="B9" s="10" t="s">
        <v>650</v>
      </c>
      <c r="C9" s="20"/>
      <c r="D9" s="19" t="s">
        <v>596</v>
      </c>
      <c r="E9" s="111"/>
      <c r="R9" s="96"/>
    </row>
    <row r="10" spans="1:58" s="12" customFormat="1" x14ac:dyDescent="0.2">
      <c r="A10" s="87">
        <v>41101.470999999998</v>
      </c>
      <c r="B10" s="15" t="s">
        <v>22</v>
      </c>
      <c r="C10" s="428">
        <f>[6]Accounting!$J$15</f>
        <v>161991</v>
      </c>
      <c r="D10" s="429">
        <f>$C10/C$6</f>
        <v>25.960096153846155</v>
      </c>
      <c r="E10" s="7"/>
      <c r="F10" s="375">
        <f>$D10*F$6</f>
        <v>13758.139726027399</v>
      </c>
      <c r="G10" s="375">
        <f t="shared" ref="G10:Q13" si="5">$D10*G$6</f>
        <v>13314.328767123288</v>
      </c>
      <c r="H10" s="375">
        <f t="shared" si="5"/>
        <v>13758.139726027399</v>
      </c>
      <c r="I10" s="375">
        <f t="shared" si="5"/>
        <v>13758.139726027399</v>
      </c>
      <c r="J10" s="375">
        <f t="shared" si="5"/>
        <v>12426.706849315071</v>
      </c>
      <c r="K10" s="375">
        <f t="shared" si="5"/>
        <v>13758.139726027399</v>
      </c>
      <c r="L10" s="375">
        <f t="shared" si="5"/>
        <v>13314.328767123288</v>
      </c>
      <c r="M10" s="375">
        <f t="shared" si="5"/>
        <v>13758.139726027399</v>
      </c>
      <c r="N10" s="375">
        <f t="shared" si="5"/>
        <v>13314.328767123288</v>
      </c>
      <c r="O10" s="375">
        <f t="shared" si="5"/>
        <v>13758.139726027399</v>
      </c>
      <c r="P10" s="375">
        <f t="shared" si="5"/>
        <v>13758.139726027399</v>
      </c>
      <c r="Q10" s="375">
        <f t="shared" si="5"/>
        <v>13314.328767123288</v>
      </c>
      <c r="R10" s="109">
        <f t="shared" ref="R10:R29" si="6">SUM(F10:Q10)</f>
        <v>161991</v>
      </c>
      <c r="S10" s="7">
        <f t="shared" ref="S10:S29" si="7">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41110.470999999998</v>
      </c>
      <c r="B11" s="15" t="s">
        <v>21</v>
      </c>
      <c r="C11" s="428">
        <f>[6]Accounting!$J$16</f>
        <v>17999</v>
      </c>
      <c r="D11" s="429">
        <f>$C11/C$6</f>
        <v>2.8844551282051283</v>
      </c>
      <c r="E11" s="7"/>
      <c r="F11" s="375">
        <f>$D11*F$6</f>
        <v>1528.6821917808222</v>
      </c>
      <c r="G11" s="375">
        <f t="shared" si="5"/>
        <v>1479.3698630136987</v>
      </c>
      <c r="H11" s="375">
        <f t="shared" si="5"/>
        <v>1528.6821917808222</v>
      </c>
      <c r="I11" s="375">
        <f t="shared" si="5"/>
        <v>1528.6821917808222</v>
      </c>
      <c r="J11" s="375">
        <f t="shared" si="5"/>
        <v>1380.7452054794521</v>
      </c>
      <c r="K11" s="375">
        <f t="shared" si="5"/>
        <v>1528.6821917808222</v>
      </c>
      <c r="L11" s="375">
        <f t="shared" si="5"/>
        <v>1479.3698630136987</v>
      </c>
      <c r="M11" s="375">
        <f t="shared" si="5"/>
        <v>1528.6821917808222</v>
      </c>
      <c r="N11" s="375">
        <f t="shared" si="5"/>
        <v>1479.3698630136987</v>
      </c>
      <c r="O11" s="375">
        <f t="shared" si="5"/>
        <v>1528.6821917808222</v>
      </c>
      <c r="P11" s="375">
        <f t="shared" si="5"/>
        <v>1528.6821917808222</v>
      </c>
      <c r="Q11" s="375">
        <f t="shared" si="5"/>
        <v>1479.3698630136987</v>
      </c>
      <c r="R11" s="109">
        <f t="shared" si="6"/>
        <v>17999</v>
      </c>
      <c r="S11" s="7">
        <f t="shared" si="7"/>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41115.470999999998</v>
      </c>
      <c r="B12" s="15" t="s">
        <v>20</v>
      </c>
      <c r="C12" s="428">
        <f>[6]Accounting!$J$17</f>
        <v>700</v>
      </c>
      <c r="D12" s="429">
        <f>$C12/C$6</f>
        <v>0.11217948717948718</v>
      </c>
      <c r="E12" s="7"/>
      <c r="F12" s="375">
        <f>$D12*F$6</f>
        <v>59.452054794520556</v>
      </c>
      <c r="G12" s="375">
        <f t="shared" si="5"/>
        <v>57.534246575342465</v>
      </c>
      <c r="H12" s="375">
        <f t="shared" si="5"/>
        <v>59.452054794520556</v>
      </c>
      <c r="I12" s="375">
        <f t="shared" si="5"/>
        <v>59.452054794520556</v>
      </c>
      <c r="J12" s="375">
        <f t="shared" si="5"/>
        <v>53.69863013698631</v>
      </c>
      <c r="K12" s="375">
        <f t="shared" si="5"/>
        <v>59.452054794520556</v>
      </c>
      <c r="L12" s="375">
        <f t="shared" si="5"/>
        <v>57.534246575342465</v>
      </c>
      <c r="M12" s="375">
        <f t="shared" si="5"/>
        <v>59.452054794520556</v>
      </c>
      <c r="N12" s="375">
        <f t="shared" si="5"/>
        <v>57.534246575342465</v>
      </c>
      <c r="O12" s="375">
        <f t="shared" si="5"/>
        <v>59.452054794520556</v>
      </c>
      <c r="P12" s="375">
        <f t="shared" si="5"/>
        <v>59.452054794520556</v>
      </c>
      <c r="Q12" s="375">
        <f t="shared" si="5"/>
        <v>57.534246575342465</v>
      </c>
      <c r="R12" s="109">
        <f t="shared" si="6"/>
        <v>700.00000000000011</v>
      </c>
      <c r="S12" s="7">
        <f t="shared" si="7"/>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41150.470999999998</v>
      </c>
      <c r="B13" s="15" t="s">
        <v>19</v>
      </c>
      <c r="C13" s="428">
        <f>[6]Accounting!$J$18</f>
        <v>13822.785</v>
      </c>
      <c r="D13" s="429">
        <f>$C13/C$6</f>
        <v>2.215189903846154</v>
      </c>
      <c r="E13" s="7"/>
      <c r="F13" s="375">
        <f>$D13*F$6</f>
        <v>1173.9899589041097</v>
      </c>
      <c r="G13" s="375">
        <f t="shared" si="5"/>
        <v>1136.1193150684933</v>
      </c>
      <c r="H13" s="375">
        <f t="shared" si="5"/>
        <v>1173.9899589041097</v>
      </c>
      <c r="I13" s="375">
        <f t="shared" si="5"/>
        <v>1173.9899589041097</v>
      </c>
      <c r="J13" s="375">
        <f t="shared" si="5"/>
        <v>1060.3780273972604</v>
      </c>
      <c r="K13" s="375">
        <f t="shared" si="5"/>
        <v>1173.9899589041097</v>
      </c>
      <c r="L13" s="375">
        <f t="shared" si="5"/>
        <v>1136.1193150684933</v>
      </c>
      <c r="M13" s="375">
        <f t="shared" si="5"/>
        <v>1173.9899589041097</v>
      </c>
      <c r="N13" s="375">
        <f t="shared" si="5"/>
        <v>1136.1193150684933</v>
      </c>
      <c r="O13" s="375">
        <f t="shared" si="5"/>
        <v>1173.9899589041097</v>
      </c>
      <c r="P13" s="375">
        <f t="shared" si="5"/>
        <v>1173.9899589041097</v>
      </c>
      <c r="Q13" s="375">
        <f t="shared" si="5"/>
        <v>1136.1193150684933</v>
      </c>
      <c r="R13" s="109">
        <f t="shared" si="6"/>
        <v>13822.785000000002</v>
      </c>
      <c r="S13" s="7">
        <f t="shared" si="7"/>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41152.470999999998</v>
      </c>
      <c r="B14" s="15" t="s">
        <v>18</v>
      </c>
      <c r="C14" s="428"/>
      <c r="D14" s="429">
        <f>$C14/C$6</f>
        <v>0</v>
      </c>
      <c r="E14" s="7"/>
      <c r="F14" s="375">
        <f>$D14*F$6</f>
        <v>0</v>
      </c>
      <c r="G14" s="375">
        <f t="shared" ref="G14:Q14" si="8">$D14*G$6</f>
        <v>0</v>
      </c>
      <c r="H14" s="375">
        <f t="shared" si="8"/>
        <v>0</v>
      </c>
      <c r="I14" s="375">
        <f t="shared" si="8"/>
        <v>0</v>
      </c>
      <c r="J14" s="375">
        <f t="shared" si="8"/>
        <v>0</v>
      </c>
      <c r="K14" s="375">
        <f t="shared" si="8"/>
        <v>0</v>
      </c>
      <c r="L14" s="375">
        <f t="shared" si="8"/>
        <v>0</v>
      </c>
      <c r="M14" s="375">
        <f t="shared" si="8"/>
        <v>0</v>
      </c>
      <c r="N14" s="375">
        <f t="shared" si="8"/>
        <v>0</v>
      </c>
      <c r="O14" s="375">
        <f t="shared" si="8"/>
        <v>0</v>
      </c>
      <c r="P14" s="375">
        <f t="shared" si="8"/>
        <v>0</v>
      </c>
      <c r="Q14" s="375">
        <f t="shared" si="8"/>
        <v>0</v>
      </c>
      <c r="R14" s="109">
        <f t="shared" si="6"/>
        <v>0</v>
      </c>
      <c r="S14" s="7">
        <f t="shared" si="7"/>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41237.470999999998</v>
      </c>
      <c r="B15" s="15" t="s">
        <v>17</v>
      </c>
      <c r="C15" s="14">
        <f>[6]Accounting!$J$19</f>
        <v>2200</v>
      </c>
      <c r="D15" s="13">
        <f t="shared" ref="D15:D28" si="9">$C15/C$4</f>
        <v>0.10457267801121779</v>
      </c>
      <c r="E15" s="7"/>
      <c r="F15" s="375">
        <f t="shared" ref="F15:Q27" si="10">$D15*F$4</f>
        <v>178.19184333111511</v>
      </c>
      <c r="G15" s="375">
        <f t="shared" ref="G15:Q18" si="11">$D15*G$4</f>
        <v>170.13974712425136</v>
      </c>
      <c r="H15" s="375">
        <f t="shared" si="11"/>
        <v>163.55166840954462</v>
      </c>
      <c r="I15" s="375">
        <f t="shared" si="11"/>
        <v>182.58389580758626</v>
      </c>
      <c r="J15" s="375">
        <f t="shared" si="11"/>
        <v>185.40735811388916</v>
      </c>
      <c r="K15" s="375">
        <f t="shared" si="11"/>
        <v>202.55727730772887</v>
      </c>
      <c r="L15" s="375">
        <f t="shared" si="11"/>
        <v>187.18509364007986</v>
      </c>
      <c r="M15" s="375">
        <f t="shared" si="11"/>
        <v>198.47894286529137</v>
      </c>
      <c r="N15" s="375">
        <f t="shared" si="11"/>
        <v>181.53816902747408</v>
      </c>
      <c r="O15" s="375">
        <f t="shared" si="11"/>
        <v>164.07453179960072</v>
      </c>
      <c r="P15" s="375">
        <f t="shared" si="11"/>
        <v>191.26342808251735</v>
      </c>
      <c r="Q15" s="375">
        <f t="shared" si="11"/>
        <v>195.02804449092119</v>
      </c>
      <c r="R15" s="109">
        <f t="shared" si="6"/>
        <v>2200</v>
      </c>
      <c r="S15" s="7">
        <f t="shared" si="7"/>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41246.470999999998</v>
      </c>
      <c r="B16" s="15" t="s">
        <v>16</v>
      </c>
      <c r="C16" s="14"/>
      <c r="D16" s="13">
        <f t="shared" si="9"/>
        <v>0</v>
      </c>
      <c r="E16" s="7"/>
      <c r="F16" s="375">
        <f t="shared" si="10"/>
        <v>0</v>
      </c>
      <c r="G16" s="375">
        <f t="shared" si="11"/>
        <v>0</v>
      </c>
      <c r="H16" s="375">
        <f t="shared" si="11"/>
        <v>0</v>
      </c>
      <c r="I16" s="375">
        <f t="shared" si="11"/>
        <v>0</v>
      </c>
      <c r="J16" s="375">
        <f t="shared" si="11"/>
        <v>0</v>
      </c>
      <c r="K16" s="375">
        <f t="shared" si="11"/>
        <v>0</v>
      </c>
      <c r="L16" s="375">
        <f t="shared" si="11"/>
        <v>0</v>
      </c>
      <c r="M16" s="375">
        <f t="shared" si="11"/>
        <v>0</v>
      </c>
      <c r="N16" s="375">
        <f t="shared" si="11"/>
        <v>0</v>
      </c>
      <c r="O16" s="375">
        <f t="shared" si="11"/>
        <v>0</v>
      </c>
      <c r="P16" s="375">
        <f t="shared" si="11"/>
        <v>0</v>
      </c>
      <c r="Q16" s="375">
        <f t="shared" si="11"/>
        <v>0</v>
      </c>
      <c r="R16" s="109">
        <f t="shared" si="6"/>
        <v>0</v>
      </c>
      <c r="S16" s="7">
        <f t="shared" si="7"/>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41250.470999999998</v>
      </c>
      <c r="B17" s="15" t="s">
        <v>15</v>
      </c>
      <c r="C17" s="14"/>
      <c r="D17" s="13">
        <f t="shared" si="9"/>
        <v>0</v>
      </c>
      <c r="E17" s="7"/>
      <c r="F17" s="375">
        <f t="shared" si="10"/>
        <v>0</v>
      </c>
      <c r="G17" s="375">
        <f t="shared" si="11"/>
        <v>0</v>
      </c>
      <c r="H17" s="375">
        <f t="shared" si="11"/>
        <v>0</v>
      </c>
      <c r="I17" s="375">
        <f t="shared" si="11"/>
        <v>0</v>
      </c>
      <c r="J17" s="375">
        <f t="shared" si="11"/>
        <v>0</v>
      </c>
      <c r="K17" s="375">
        <f t="shared" si="11"/>
        <v>0</v>
      </c>
      <c r="L17" s="375">
        <f t="shared" si="11"/>
        <v>0</v>
      </c>
      <c r="M17" s="375">
        <f t="shared" si="11"/>
        <v>0</v>
      </c>
      <c r="N17" s="375">
        <f t="shared" si="11"/>
        <v>0</v>
      </c>
      <c r="O17" s="375">
        <f t="shared" si="11"/>
        <v>0</v>
      </c>
      <c r="P17" s="375">
        <f t="shared" si="11"/>
        <v>0</v>
      </c>
      <c r="Q17" s="375">
        <f t="shared" si="11"/>
        <v>0</v>
      </c>
      <c r="R17" s="109">
        <f t="shared" si="6"/>
        <v>0</v>
      </c>
      <c r="S17" s="7">
        <f t="shared" si="7"/>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41365.470999999998</v>
      </c>
      <c r="B18" s="15" t="s">
        <v>10</v>
      </c>
      <c r="C18" s="14">
        <f>[6]Accounting!$J$20</f>
        <v>660</v>
      </c>
      <c r="D18" s="13">
        <f t="shared" si="9"/>
        <v>3.1371803403365338E-2</v>
      </c>
      <c r="E18" s="7"/>
      <c r="F18" s="375">
        <f t="shared" si="10"/>
        <v>53.457552999334538</v>
      </c>
      <c r="G18" s="375">
        <f t="shared" si="11"/>
        <v>51.041924137275402</v>
      </c>
      <c r="H18" s="375">
        <f t="shared" si="11"/>
        <v>49.065500522863388</v>
      </c>
      <c r="I18" s="375">
        <f t="shared" si="11"/>
        <v>54.775168742275881</v>
      </c>
      <c r="J18" s="375">
        <f t="shared" si="11"/>
        <v>55.622207434166747</v>
      </c>
      <c r="K18" s="375">
        <f t="shared" si="11"/>
        <v>60.767183192318662</v>
      </c>
      <c r="L18" s="375">
        <f t="shared" si="11"/>
        <v>56.155528092023957</v>
      </c>
      <c r="M18" s="375">
        <f t="shared" si="11"/>
        <v>59.543682859587413</v>
      </c>
      <c r="N18" s="375">
        <f t="shared" si="11"/>
        <v>54.461450708242225</v>
      </c>
      <c r="O18" s="375">
        <f t="shared" si="11"/>
        <v>49.222359539880216</v>
      </c>
      <c r="P18" s="375">
        <f t="shared" si="11"/>
        <v>57.379028424755205</v>
      </c>
      <c r="Q18" s="375">
        <f t="shared" si="11"/>
        <v>58.508413347276353</v>
      </c>
      <c r="R18" s="109">
        <f t="shared" si="6"/>
        <v>660</v>
      </c>
      <c r="S18" s="7">
        <f t="shared" si="7"/>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41423.470999999998</v>
      </c>
      <c r="B19" s="15" t="s">
        <v>9</v>
      </c>
      <c r="C19" s="14"/>
      <c r="D19" s="13">
        <f t="shared" si="9"/>
        <v>0</v>
      </c>
      <c r="E19" s="7"/>
      <c r="F19" s="375">
        <f t="shared" si="10"/>
        <v>0</v>
      </c>
      <c r="G19" s="375">
        <f t="shared" si="10"/>
        <v>0</v>
      </c>
      <c r="H19" s="375">
        <f t="shared" si="10"/>
        <v>0</v>
      </c>
      <c r="I19" s="375">
        <f t="shared" si="10"/>
        <v>0</v>
      </c>
      <c r="J19" s="375">
        <f t="shared" si="10"/>
        <v>0</v>
      </c>
      <c r="K19" s="375">
        <f t="shared" si="10"/>
        <v>0</v>
      </c>
      <c r="L19" s="375">
        <f t="shared" si="10"/>
        <v>0</v>
      </c>
      <c r="M19" s="375">
        <f t="shared" si="10"/>
        <v>0</v>
      </c>
      <c r="N19" s="375">
        <f t="shared" si="10"/>
        <v>0</v>
      </c>
      <c r="O19" s="375">
        <f t="shared" si="10"/>
        <v>0</v>
      </c>
      <c r="P19" s="375">
        <f t="shared" si="10"/>
        <v>0</v>
      </c>
      <c r="Q19" s="375">
        <f t="shared" si="10"/>
        <v>0</v>
      </c>
      <c r="R19" s="109">
        <f t="shared" si="6"/>
        <v>0</v>
      </c>
      <c r="S19" s="7">
        <f t="shared" si="7"/>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41425.470999999998</v>
      </c>
      <c r="B20" s="15" t="s">
        <v>651</v>
      </c>
      <c r="C20" s="14">
        <f>[6]Accounting!$J$21</f>
        <v>9500</v>
      </c>
      <c r="D20" s="13">
        <f t="shared" si="9"/>
        <v>0.45156383686662233</v>
      </c>
      <c r="E20" s="7"/>
      <c r="F20" s="375">
        <f t="shared" si="10"/>
        <v>769.46477802072445</v>
      </c>
      <c r="G20" s="375">
        <f t="shared" si="10"/>
        <v>734.69436258199448</v>
      </c>
      <c r="H20" s="375">
        <f t="shared" si="10"/>
        <v>706.24584085939728</v>
      </c>
      <c r="I20" s="375">
        <f t="shared" si="10"/>
        <v>788.43045916912263</v>
      </c>
      <c r="J20" s="375">
        <f t="shared" si="10"/>
        <v>800.62268276452141</v>
      </c>
      <c r="K20" s="375">
        <f t="shared" si="10"/>
        <v>874.6791520106475</v>
      </c>
      <c r="L20" s="375">
        <f t="shared" si="10"/>
        <v>808.29926799125394</v>
      </c>
      <c r="M20" s="375">
        <f t="shared" si="10"/>
        <v>857.0681623728492</v>
      </c>
      <c r="N20" s="375">
        <f t="shared" si="10"/>
        <v>783.91482080045637</v>
      </c>
      <c r="O20" s="375">
        <f t="shared" si="10"/>
        <v>708.50366004373041</v>
      </c>
      <c r="P20" s="375">
        <f t="shared" si="10"/>
        <v>825.91025762905224</v>
      </c>
      <c r="Q20" s="375">
        <f t="shared" si="10"/>
        <v>842.16655575625066</v>
      </c>
      <c r="R20" s="109">
        <f t="shared" ref="R20" si="12">SUM(F20:Q20)</f>
        <v>9500</v>
      </c>
      <c r="S20" s="7">
        <f t="shared" ref="S20" si="13">C20-R20</f>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41426.470999999998</v>
      </c>
      <c r="B21" s="15" t="s">
        <v>8</v>
      </c>
      <c r="C21" s="14">
        <f>[6]Accounting!$J$22</f>
        <v>500</v>
      </c>
      <c r="D21" s="13">
        <f t="shared" si="9"/>
        <v>2.3766517729822228E-2</v>
      </c>
      <c r="E21" s="7"/>
      <c r="F21" s="375">
        <f t="shared" si="10"/>
        <v>40.498146211617076</v>
      </c>
      <c r="G21" s="375">
        <f t="shared" si="10"/>
        <v>38.668124346420768</v>
      </c>
      <c r="H21" s="375">
        <f t="shared" si="10"/>
        <v>37.170833729441966</v>
      </c>
      <c r="I21" s="375">
        <f t="shared" si="10"/>
        <v>41.496339956269608</v>
      </c>
      <c r="J21" s="375">
        <f t="shared" si="10"/>
        <v>42.138035934974809</v>
      </c>
      <c r="K21" s="375">
        <f t="shared" si="10"/>
        <v>46.035744842665657</v>
      </c>
      <c r="L21" s="375">
        <f t="shared" si="10"/>
        <v>42.542066736381791</v>
      </c>
      <c r="M21" s="375">
        <f t="shared" si="10"/>
        <v>45.108850651202587</v>
      </c>
      <c r="N21" s="375">
        <f t="shared" si="10"/>
        <v>41.25867477897139</v>
      </c>
      <c r="O21" s="375">
        <f t="shared" si="10"/>
        <v>37.289666318091072</v>
      </c>
      <c r="P21" s="375">
        <f t="shared" si="10"/>
        <v>43.468960927844854</v>
      </c>
      <c r="Q21" s="375">
        <f t="shared" si="10"/>
        <v>44.324555566118455</v>
      </c>
      <c r="R21" s="109">
        <f t="shared" si="6"/>
        <v>500.00000000000006</v>
      </c>
      <c r="S21" s="7">
        <f t="shared" si="7"/>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41439.470999999998</v>
      </c>
      <c r="B22" s="15" t="s">
        <v>603</v>
      </c>
      <c r="C22" s="14">
        <f>[6]Accounting!$J$23</f>
        <v>12</v>
      </c>
      <c r="D22" s="13">
        <f t="shared" si="9"/>
        <v>5.7039642551573347E-4</v>
      </c>
      <c r="E22" s="7"/>
      <c r="F22" s="375">
        <f t="shared" si="10"/>
        <v>0.97195550907880979</v>
      </c>
      <c r="G22" s="375">
        <f t="shared" si="10"/>
        <v>0.92803498431409837</v>
      </c>
      <c r="H22" s="375">
        <f t="shared" si="10"/>
        <v>0.89210000950660717</v>
      </c>
      <c r="I22" s="375">
        <f t="shared" si="10"/>
        <v>0.99591215895047058</v>
      </c>
      <c r="J22" s="375">
        <f t="shared" si="10"/>
        <v>1.0113128624393954</v>
      </c>
      <c r="K22" s="375">
        <f t="shared" si="10"/>
        <v>1.1048578762239758</v>
      </c>
      <c r="L22" s="375">
        <f t="shared" si="10"/>
        <v>1.0210096016731629</v>
      </c>
      <c r="M22" s="375">
        <f t="shared" si="10"/>
        <v>1.0826124156288621</v>
      </c>
      <c r="N22" s="375">
        <f t="shared" si="10"/>
        <v>0.99020819469531329</v>
      </c>
      <c r="O22" s="375">
        <f t="shared" si="10"/>
        <v>0.89495199163418582</v>
      </c>
      <c r="P22" s="375">
        <f t="shared" si="10"/>
        <v>1.0432550622682766</v>
      </c>
      <c r="Q22" s="375">
        <f t="shared" si="10"/>
        <v>1.0637893335868429</v>
      </c>
      <c r="R22" s="109">
        <f t="shared" si="6"/>
        <v>12.000000000000002</v>
      </c>
      <c r="S22" s="7">
        <f t="shared" si="7"/>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41440.470999999998</v>
      </c>
      <c r="B23" s="15" t="s">
        <v>7</v>
      </c>
      <c r="C23" s="14">
        <f>[6]Accounting!$J$24</f>
        <v>110</v>
      </c>
      <c r="D23" s="13">
        <f t="shared" si="9"/>
        <v>5.2286339005608896E-3</v>
      </c>
      <c r="E23" s="7"/>
      <c r="F23" s="375">
        <f t="shared" si="10"/>
        <v>8.9095921665557558</v>
      </c>
      <c r="G23" s="375">
        <f t="shared" si="10"/>
        <v>8.5069873562125675</v>
      </c>
      <c r="H23" s="375">
        <f t="shared" si="10"/>
        <v>8.177583420477232</v>
      </c>
      <c r="I23" s="375">
        <f t="shared" si="10"/>
        <v>9.129194790379314</v>
      </c>
      <c r="J23" s="375">
        <f t="shared" si="10"/>
        <v>9.2703679056944566</v>
      </c>
      <c r="K23" s="375">
        <f t="shared" si="10"/>
        <v>10.127863865386443</v>
      </c>
      <c r="L23" s="375">
        <f t="shared" si="10"/>
        <v>9.3592546820039928</v>
      </c>
      <c r="M23" s="375">
        <f t="shared" si="10"/>
        <v>9.9239471432645683</v>
      </c>
      <c r="N23" s="375">
        <f t="shared" si="10"/>
        <v>9.0769084513737042</v>
      </c>
      <c r="O23" s="375">
        <f t="shared" si="10"/>
        <v>8.203726589980036</v>
      </c>
      <c r="P23" s="375">
        <f t="shared" si="10"/>
        <v>9.5631714041258675</v>
      </c>
      <c r="Q23" s="375">
        <f t="shared" si="10"/>
        <v>9.7514022245460588</v>
      </c>
      <c r="R23" s="109">
        <f t="shared" si="6"/>
        <v>109.99999999999999</v>
      </c>
      <c r="S23" s="7">
        <f t="shared" si="7"/>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41460.470999999998</v>
      </c>
      <c r="B24" s="15" t="s">
        <v>6</v>
      </c>
      <c r="C24" s="14">
        <f>[6]Accounting!$J$27</f>
        <v>640</v>
      </c>
      <c r="D24" s="13">
        <f t="shared" si="9"/>
        <v>3.042114269417245E-2</v>
      </c>
      <c r="E24" s="7"/>
      <c r="F24" s="375">
        <f t="shared" si="10"/>
        <v>51.837627150869857</v>
      </c>
      <c r="G24" s="375">
        <f t="shared" si="10"/>
        <v>49.495199163418576</v>
      </c>
      <c r="H24" s="375">
        <f t="shared" si="10"/>
        <v>47.578667173685716</v>
      </c>
      <c r="I24" s="375">
        <f t="shared" si="10"/>
        <v>53.115315144025097</v>
      </c>
      <c r="J24" s="375">
        <f t="shared" si="10"/>
        <v>53.936685996767757</v>
      </c>
      <c r="K24" s="375">
        <f t="shared" si="10"/>
        <v>58.925753398612038</v>
      </c>
      <c r="L24" s="375">
        <f t="shared" si="10"/>
        <v>54.453845422568683</v>
      </c>
      <c r="M24" s="375">
        <f t="shared" si="10"/>
        <v>57.739328833539311</v>
      </c>
      <c r="N24" s="375">
        <f t="shared" si="10"/>
        <v>52.811103717083377</v>
      </c>
      <c r="O24" s="375">
        <f t="shared" si="10"/>
        <v>47.730772887156576</v>
      </c>
      <c r="P24" s="375">
        <f t="shared" si="10"/>
        <v>55.64026998764141</v>
      </c>
      <c r="Q24" s="375">
        <f t="shared" si="10"/>
        <v>56.735431124631617</v>
      </c>
      <c r="R24" s="109">
        <f t="shared" si="6"/>
        <v>640.00000000000011</v>
      </c>
      <c r="S24" s="7">
        <f t="shared" si="7"/>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41461.470999999998</v>
      </c>
      <c r="B25" s="15" t="s">
        <v>5</v>
      </c>
      <c r="C25" s="14"/>
      <c r="D25" s="13">
        <f t="shared" si="9"/>
        <v>0</v>
      </c>
      <c r="E25" s="7"/>
      <c r="F25" s="375">
        <f t="shared" si="10"/>
        <v>0</v>
      </c>
      <c r="G25" s="375">
        <f t="shared" si="10"/>
        <v>0</v>
      </c>
      <c r="H25" s="375">
        <f t="shared" si="10"/>
        <v>0</v>
      </c>
      <c r="I25" s="375">
        <f t="shared" si="10"/>
        <v>0</v>
      </c>
      <c r="J25" s="375">
        <f t="shared" si="10"/>
        <v>0</v>
      </c>
      <c r="K25" s="375">
        <f t="shared" si="10"/>
        <v>0</v>
      </c>
      <c r="L25" s="375">
        <f t="shared" si="10"/>
        <v>0</v>
      </c>
      <c r="M25" s="375">
        <f t="shared" si="10"/>
        <v>0</v>
      </c>
      <c r="N25" s="375">
        <f t="shared" si="10"/>
        <v>0</v>
      </c>
      <c r="O25" s="375">
        <f t="shared" si="10"/>
        <v>0</v>
      </c>
      <c r="P25" s="375">
        <f t="shared" si="10"/>
        <v>0</v>
      </c>
      <c r="Q25" s="375">
        <f t="shared" si="10"/>
        <v>0</v>
      </c>
      <c r="R25" s="109">
        <f t="shared" si="6"/>
        <v>0</v>
      </c>
      <c r="S25" s="7">
        <f t="shared" si="7"/>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41490.470999999998</v>
      </c>
      <c r="B26" s="15" t="s">
        <v>4</v>
      </c>
      <c r="C26" s="14">
        <f>[6]Accounting!$J$25</f>
        <v>5950</v>
      </c>
      <c r="D26" s="13">
        <f t="shared" si="9"/>
        <v>0.28282156098488448</v>
      </c>
      <c r="E26" s="7"/>
      <c r="F26" s="375">
        <f t="shared" si="10"/>
        <v>481.92793991824317</v>
      </c>
      <c r="G26" s="375">
        <f t="shared" si="10"/>
        <v>460.15067972240706</v>
      </c>
      <c r="H26" s="375">
        <f t="shared" si="10"/>
        <v>442.33292138035932</v>
      </c>
      <c r="I26" s="375">
        <f t="shared" si="10"/>
        <v>493.80644547960833</v>
      </c>
      <c r="J26" s="375">
        <f t="shared" si="10"/>
        <v>501.44262762620019</v>
      </c>
      <c r="K26" s="375">
        <f t="shared" si="10"/>
        <v>547.82536362772123</v>
      </c>
      <c r="L26" s="375">
        <f t="shared" si="10"/>
        <v>506.25059416294323</v>
      </c>
      <c r="M26" s="375">
        <f t="shared" si="10"/>
        <v>536.79532274931069</v>
      </c>
      <c r="N26" s="375">
        <f t="shared" si="10"/>
        <v>490.97822986975945</v>
      </c>
      <c r="O26" s="375">
        <f t="shared" si="10"/>
        <v>443.74702918528374</v>
      </c>
      <c r="P26" s="375">
        <f t="shared" si="10"/>
        <v>517.28063504135366</v>
      </c>
      <c r="Q26" s="375">
        <f t="shared" si="10"/>
        <v>527.46221123680959</v>
      </c>
      <c r="R26" s="109">
        <f t="shared" si="6"/>
        <v>5950.0000000000009</v>
      </c>
      <c r="S26" s="7">
        <f t="shared" si="7"/>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41509.470999999998</v>
      </c>
      <c r="B27" s="15" t="s">
        <v>3</v>
      </c>
      <c r="C27" s="14">
        <f>[6]Accounting!$J$26</f>
        <v>280</v>
      </c>
      <c r="D27" s="13">
        <f t="shared" si="9"/>
        <v>1.3309249928700447E-2</v>
      </c>
      <c r="E27" s="7"/>
      <c r="F27" s="375">
        <f t="shared" si="10"/>
        <v>22.678961878505561</v>
      </c>
      <c r="G27" s="375">
        <f t="shared" si="10"/>
        <v>21.654149633995626</v>
      </c>
      <c r="H27" s="375">
        <f t="shared" si="10"/>
        <v>20.815666888487499</v>
      </c>
      <c r="I27" s="375">
        <f t="shared" si="10"/>
        <v>23.23795037551098</v>
      </c>
      <c r="J27" s="375">
        <f t="shared" si="10"/>
        <v>23.597300123585892</v>
      </c>
      <c r="K27" s="375">
        <f t="shared" si="10"/>
        <v>25.780017111892764</v>
      </c>
      <c r="L27" s="375">
        <f t="shared" si="10"/>
        <v>23.823557372373799</v>
      </c>
      <c r="M27" s="375">
        <f t="shared" si="10"/>
        <v>25.260956364673447</v>
      </c>
      <c r="N27" s="375">
        <f t="shared" si="10"/>
        <v>23.104857876223974</v>
      </c>
      <c r="O27" s="375">
        <f t="shared" si="10"/>
        <v>20.882213138131</v>
      </c>
      <c r="P27" s="375">
        <f t="shared" si="10"/>
        <v>24.342618119593116</v>
      </c>
      <c r="Q27" s="375">
        <f t="shared" si="10"/>
        <v>24.821751117026334</v>
      </c>
      <c r="R27" s="109">
        <f t="shared" si="6"/>
        <v>280</v>
      </c>
      <c r="S27" s="7">
        <f t="shared" si="7"/>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41570.470999999998</v>
      </c>
      <c r="B28" s="15" t="s">
        <v>2</v>
      </c>
      <c r="C28" s="14"/>
      <c r="D28" s="13">
        <f t="shared" si="9"/>
        <v>0</v>
      </c>
      <c r="E28" s="7"/>
      <c r="F28" s="375">
        <f t="shared" ref="F28:Q28" si="14">$D28*F$4</f>
        <v>0</v>
      </c>
      <c r="G28" s="375">
        <f t="shared" si="14"/>
        <v>0</v>
      </c>
      <c r="H28" s="375">
        <f t="shared" si="14"/>
        <v>0</v>
      </c>
      <c r="I28" s="375">
        <f t="shared" si="14"/>
        <v>0</v>
      </c>
      <c r="J28" s="375">
        <f t="shared" si="14"/>
        <v>0</v>
      </c>
      <c r="K28" s="375">
        <f t="shared" si="14"/>
        <v>0</v>
      </c>
      <c r="L28" s="375">
        <f t="shared" si="14"/>
        <v>0</v>
      </c>
      <c r="M28" s="375">
        <f t="shared" si="14"/>
        <v>0</v>
      </c>
      <c r="N28" s="375">
        <f t="shared" si="14"/>
        <v>0</v>
      </c>
      <c r="O28" s="375">
        <f t="shared" si="14"/>
        <v>0</v>
      </c>
      <c r="P28" s="375">
        <f t="shared" si="14"/>
        <v>0</v>
      </c>
      <c r="Q28" s="375">
        <f t="shared" si="14"/>
        <v>0</v>
      </c>
      <c r="R28" s="109">
        <f t="shared" si="6"/>
        <v>0</v>
      </c>
      <c r="S28" s="7">
        <f t="shared" si="7"/>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5" customFormat="1" x14ac:dyDescent="0.2">
      <c r="A29" s="11"/>
      <c r="B29" s="10" t="s">
        <v>0</v>
      </c>
      <c r="C29" s="8">
        <f>SUM(C10:C28)</f>
        <v>214364.785</v>
      </c>
      <c r="D29" s="9">
        <f>SUM(D10:D28)</f>
        <v>32.115546493021789</v>
      </c>
      <c r="E29" s="104"/>
      <c r="F29" s="395">
        <f t="shared" ref="F29:Q29" si="15">SUM(F10:F28)</f>
        <v>18128.202328692892</v>
      </c>
      <c r="G29" s="395">
        <f t="shared" si="15"/>
        <v>17522.631400831109</v>
      </c>
      <c r="H29" s="395">
        <f t="shared" si="15"/>
        <v>17996.094713900613</v>
      </c>
      <c r="I29" s="395">
        <f t="shared" si="15"/>
        <v>18167.834613130581</v>
      </c>
      <c r="J29" s="395">
        <f t="shared" si="15"/>
        <v>16594.577291091013</v>
      </c>
      <c r="K29" s="395">
        <f t="shared" si="15"/>
        <v>18348.067144740053</v>
      </c>
      <c r="L29" s="395">
        <f t="shared" si="15"/>
        <v>17676.442409482126</v>
      </c>
      <c r="M29" s="395">
        <f t="shared" si="15"/>
        <v>18311.265737762198</v>
      </c>
      <c r="N29" s="395">
        <f t="shared" si="15"/>
        <v>17625.486615205104</v>
      </c>
      <c r="O29" s="395">
        <f t="shared" si="15"/>
        <v>18000.812843000342</v>
      </c>
      <c r="P29" s="395">
        <f t="shared" si="15"/>
        <v>18246.155556186008</v>
      </c>
      <c r="Q29" s="395">
        <f t="shared" si="15"/>
        <v>17747.214345977987</v>
      </c>
      <c r="R29" s="109">
        <f t="shared" si="6"/>
        <v>214364.78500000006</v>
      </c>
      <c r="S29" s="104">
        <f t="shared" si="7"/>
        <v>0</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row>
    <row r="30" spans="1:58" x14ac:dyDescent="0.2">
      <c r="F30" s="3"/>
    </row>
    <row r="31" spans="1:58" x14ac:dyDescent="0.2">
      <c r="A31" s="4"/>
      <c r="C31" s="3"/>
      <c r="F31" s="3"/>
      <c r="G31" s="3"/>
      <c r="H31" s="3"/>
      <c r="I31" s="3"/>
      <c r="J31" s="3"/>
      <c r="K31" s="3"/>
      <c r="L31" s="3"/>
      <c r="M31" s="3"/>
      <c r="N31" s="3"/>
      <c r="O31" s="3"/>
      <c r="P31" s="3"/>
      <c r="Q31" s="3"/>
    </row>
    <row r="32" spans="1:58" x14ac:dyDescent="0.2">
      <c r="A32" s="4"/>
      <c r="C32" s="3"/>
      <c r="F32" s="3"/>
      <c r="G32" s="3"/>
      <c r="H32" s="3"/>
      <c r="I32" s="3"/>
      <c r="J32" s="3"/>
      <c r="K32" s="3"/>
      <c r="L32" s="3"/>
      <c r="M32" s="3"/>
      <c r="N32" s="3"/>
      <c r="O32" s="3"/>
      <c r="P32" s="3"/>
      <c r="Q32" s="3"/>
    </row>
    <row r="33" spans="3:17" x14ac:dyDescent="0.2">
      <c r="C33" s="3"/>
      <c r="F33" s="3"/>
      <c r="G33" s="3"/>
      <c r="H33" s="3"/>
      <c r="I33" s="3"/>
      <c r="J33" s="3"/>
      <c r="K33" s="3"/>
      <c r="L33" s="3"/>
      <c r="M33" s="3"/>
      <c r="N33" s="3"/>
      <c r="O33" s="3"/>
      <c r="P33" s="3"/>
      <c r="Q33" s="3"/>
    </row>
  </sheetData>
  <mergeCells count="1">
    <mergeCell ref="A8:D8"/>
  </mergeCells>
  <printOptions gridLines="1"/>
  <pageMargins left="0.25" right="0.25" top="0.75" bottom="0.75" header="0.3" footer="0.3"/>
  <pageSetup scale="55" orientation="landscape" r:id="rId1"/>
  <headerFooter alignWithMargins="0">
    <oddHeader xml:space="preserve">&amp;C&amp;"Arial,Bold"&amp;14DOCTORS MEMORIAL HOSPITAL
FY 2017 BUDGET
</oddHeader>
    <oddFooter xml:space="preserve">&amp;R&amp;A
</oddFooter>
  </headerFooter>
  <ignoredErrors>
    <ignoredError sqref="R20" formula="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6"/>
  <sheetViews>
    <sheetView zoomScale="80" zoomScaleNormal="80" workbookViewId="0">
      <pane xSplit="2" ySplit="6" topLeftCell="C7" activePane="bottomRight" state="frozen"/>
      <selection pane="topRight" activeCell="C1" sqref="C1"/>
      <selection pane="bottomLeft" activeCell="A7" sqref="A7"/>
      <selection pane="bottomRight" activeCell="L44" sqref="L43:L44"/>
    </sheetView>
  </sheetViews>
  <sheetFormatPr defaultRowHeight="12.75" x14ac:dyDescent="0.2"/>
  <cols>
    <col min="1" max="1" width="11" style="2" bestFit="1" customWidth="1"/>
    <col min="2" max="2" width="23.28515625" style="2" customWidth="1"/>
    <col min="3" max="3" width="11.85546875" style="2" customWidth="1"/>
    <col min="4" max="4" width="7.5703125" style="4" customWidth="1"/>
    <col min="5" max="5" width="4" style="4" customWidth="1"/>
    <col min="6" max="17" width="12.85546875" style="2" bestFit="1" customWidth="1"/>
    <col min="18" max="18" width="12.2851562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71">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131">
        <f>'MO STATS'!P87</f>
        <v>57</v>
      </c>
      <c r="R2" s="308">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131">
        <f>'MO STATS'!P88</f>
        <v>1808</v>
      </c>
      <c r="R3" s="308">
        <f t="shared" ref="R3:R4" si="0">SUM(F3:Q3)</f>
        <v>20375</v>
      </c>
      <c r="S3" s="3">
        <f t="shared" ref="S3:S6"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131">
        <f>'MO STATS'!P89</f>
        <v>1865</v>
      </c>
      <c r="R4" s="308">
        <f t="shared" si="0"/>
        <v>21038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1">
        <f>'[4]2017 FTEs'!$AS$47</f>
        <v>2</v>
      </c>
      <c r="R5" s="96"/>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4160</v>
      </c>
      <c r="F6" s="421">
        <f>($C6/$R7)*F7</f>
        <v>353.31506849315065</v>
      </c>
      <c r="G6" s="421">
        <f t="shared" ref="G6:Q6" si="2">($C6/$R7)*G7</f>
        <v>341.91780821917808</v>
      </c>
      <c r="H6" s="421">
        <f t="shared" si="2"/>
        <v>353.31506849315065</v>
      </c>
      <c r="I6" s="421">
        <f t="shared" si="2"/>
        <v>353.31506849315065</v>
      </c>
      <c r="J6" s="421">
        <f t="shared" si="2"/>
        <v>319.12328767123284</v>
      </c>
      <c r="K6" s="421">
        <f t="shared" si="2"/>
        <v>353.31506849315065</v>
      </c>
      <c r="L6" s="421">
        <f t="shared" si="2"/>
        <v>341.91780821917808</v>
      </c>
      <c r="M6" s="421">
        <f t="shared" si="2"/>
        <v>353.31506849315065</v>
      </c>
      <c r="N6" s="421">
        <f t="shared" si="2"/>
        <v>341.91780821917808</v>
      </c>
      <c r="O6" s="421">
        <f t="shared" si="2"/>
        <v>353.31506849315065</v>
      </c>
      <c r="P6" s="421">
        <f t="shared" si="2"/>
        <v>353.31506849315065</v>
      </c>
      <c r="Q6" s="421">
        <f t="shared" si="2"/>
        <v>341.91780821917808</v>
      </c>
      <c r="R6" s="6">
        <f t="shared" ref="R6:R7" si="3">SUM(F6:Q6)</f>
        <v>4160</v>
      </c>
      <c r="S6" s="3">
        <f t="shared" si="1"/>
        <v>0</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si="3"/>
        <v>365</v>
      </c>
      <c r="S7" s="3"/>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c r="R8" s="96"/>
    </row>
    <row r="9" spans="1:58" x14ac:dyDescent="0.2">
      <c r="A9" s="21"/>
      <c r="B9" s="10" t="s">
        <v>652</v>
      </c>
      <c r="C9" s="20"/>
      <c r="D9" s="19" t="s">
        <v>596</v>
      </c>
      <c r="E9" s="111"/>
      <c r="R9" s="96"/>
    </row>
    <row r="10" spans="1:58" s="12" customFormat="1" x14ac:dyDescent="0.2">
      <c r="A10" s="87">
        <v>41101.472000000002</v>
      </c>
      <c r="B10" s="15" t="s">
        <v>22</v>
      </c>
      <c r="C10" s="428">
        <f>[6]IT!$J$15</f>
        <v>104863.932</v>
      </c>
      <c r="D10" s="429">
        <f>$C10/C$6</f>
        <v>25.207675961538463</v>
      </c>
      <c r="E10" s="7"/>
      <c r="F10" s="375">
        <f>$D10*F$6</f>
        <v>8906.251758904109</v>
      </c>
      <c r="G10" s="375">
        <f t="shared" ref="G10:Q10" si="4">$D10*G$6</f>
        <v>8618.9533150684929</v>
      </c>
      <c r="H10" s="375">
        <f t="shared" si="4"/>
        <v>8906.251758904109</v>
      </c>
      <c r="I10" s="375">
        <f t="shared" si="4"/>
        <v>8906.251758904109</v>
      </c>
      <c r="J10" s="375">
        <f t="shared" si="4"/>
        <v>8044.3564273972597</v>
      </c>
      <c r="K10" s="375">
        <f t="shared" si="4"/>
        <v>8906.251758904109</v>
      </c>
      <c r="L10" s="375">
        <f t="shared" si="4"/>
        <v>8618.9533150684929</v>
      </c>
      <c r="M10" s="375">
        <f t="shared" si="4"/>
        <v>8906.251758904109</v>
      </c>
      <c r="N10" s="375">
        <f t="shared" si="4"/>
        <v>8618.9533150684929</v>
      </c>
      <c r="O10" s="375">
        <f t="shared" si="4"/>
        <v>8906.251758904109</v>
      </c>
      <c r="P10" s="375">
        <f t="shared" si="4"/>
        <v>8906.251758904109</v>
      </c>
      <c r="Q10" s="375">
        <f t="shared" si="4"/>
        <v>8618.9533150684929</v>
      </c>
      <c r="R10" s="109">
        <f t="shared" ref="R10:R32" si="5">SUM(F10:Q10)</f>
        <v>104863.93199999999</v>
      </c>
      <c r="S10" s="7">
        <f t="shared" ref="S10:S32" si="6">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41110.472000000002</v>
      </c>
      <c r="B11" s="15" t="s">
        <v>21</v>
      </c>
      <c r="C11" s="428">
        <f>[6]IT!$J$16</f>
        <v>11651.548000000001</v>
      </c>
      <c r="D11" s="429">
        <f>$C11/C$6</f>
        <v>2.8008528846153848</v>
      </c>
      <c r="E11" s="7"/>
      <c r="F11" s="375">
        <f t="shared" ref="F11:Q14" si="7">$D11*F$6</f>
        <v>989.58352876712331</v>
      </c>
      <c r="G11" s="375">
        <f t="shared" si="7"/>
        <v>957.66147945205489</v>
      </c>
      <c r="H11" s="375">
        <f t="shared" si="7"/>
        <v>989.58352876712331</v>
      </c>
      <c r="I11" s="375">
        <f t="shared" si="7"/>
        <v>989.58352876712331</v>
      </c>
      <c r="J11" s="375">
        <f t="shared" si="7"/>
        <v>893.81738082191782</v>
      </c>
      <c r="K11" s="375">
        <f t="shared" si="7"/>
        <v>989.58352876712331</v>
      </c>
      <c r="L11" s="375">
        <f t="shared" si="7"/>
        <v>957.66147945205489</v>
      </c>
      <c r="M11" s="375">
        <f t="shared" si="7"/>
        <v>989.58352876712331</v>
      </c>
      <c r="N11" s="375">
        <f t="shared" si="7"/>
        <v>957.66147945205489</v>
      </c>
      <c r="O11" s="375">
        <f t="shared" si="7"/>
        <v>989.58352876712331</v>
      </c>
      <c r="P11" s="375">
        <f t="shared" si="7"/>
        <v>989.58352876712331</v>
      </c>
      <c r="Q11" s="375">
        <f t="shared" si="7"/>
        <v>957.66147945205489</v>
      </c>
      <c r="R11" s="109">
        <f t="shared" si="5"/>
        <v>11651.548000000003</v>
      </c>
      <c r="S11" s="7">
        <f t="shared" si="6"/>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41115.472000000002</v>
      </c>
      <c r="B12" s="15" t="s">
        <v>20</v>
      </c>
      <c r="C12" s="428">
        <f>[6]IT!$J$17</f>
        <v>600</v>
      </c>
      <c r="D12" s="429">
        <f>$C12/C$6</f>
        <v>0.14423076923076922</v>
      </c>
      <c r="E12" s="7"/>
      <c r="F12" s="375">
        <f t="shared" si="7"/>
        <v>50.958904109589028</v>
      </c>
      <c r="G12" s="375">
        <f t="shared" si="7"/>
        <v>49.315068493150683</v>
      </c>
      <c r="H12" s="375">
        <f t="shared" si="7"/>
        <v>50.958904109589028</v>
      </c>
      <c r="I12" s="375">
        <f t="shared" si="7"/>
        <v>50.958904109589028</v>
      </c>
      <c r="J12" s="375">
        <f t="shared" si="7"/>
        <v>46.027397260273965</v>
      </c>
      <c r="K12" s="375">
        <f t="shared" si="7"/>
        <v>50.958904109589028</v>
      </c>
      <c r="L12" s="375">
        <f t="shared" si="7"/>
        <v>49.315068493150683</v>
      </c>
      <c r="M12" s="375">
        <f t="shared" si="7"/>
        <v>50.958904109589028</v>
      </c>
      <c r="N12" s="375">
        <f t="shared" si="7"/>
        <v>49.315068493150683</v>
      </c>
      <c r="O12" s="375">
        <f t="shared" si="7"/>
        <v>50.958904109589028</v>
      </c>
      <c r="P12" s="375">
        <f t="shared" si="7"/>
        <v>50.958904109589028</v>
      </c>
      <c r="Q12" s="375">
        <f t="shared" si="7"/>
        <v>49.315068493150683</v>
      </c>
      <c r="R12" s="109">
        <f t="shared" si="5"/>
        <v>599.99999999999989</v>
      </c>
      <c r="S12" s="7">
        <f t="shared" si="6"/>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41150.472000000002</v>
      </c>
      <c r="B13" s="15" t="s">
        <v>19</v>
      </c>
      <c r="C13" s="428">
        <f>[6]IT!$J$18</f>
        <v>8959.3342199999988</v>
      </c>
      <c r="D13" s="429">
        <f>$C13/C$6</f>
        <v>2.1536861105769227</v>
      </c>
      <c r="E13" s="7"/>
      <c r="F13" s="375">
        <f t="shared" si="7"/>
        <v>760.92975567123267</v>
      </c>
      <c r="G13" s="375">
        <f t="shared" si="7"/>
        <v>736.38363452054784</v>
      </c>
      <c r="H13" s="375">
        <f t="shared" si="7"/>
        <v>760.92975567123267</v>
      </c>
      <c r="I13" s="375">
        <f t="shared" si="7"/>
        <v>760.92975567123267</v>
      </c>
      <c r="J13" s="375">
        <f t="shared" si="7"/>
        <v>687.29139221917785</v>
      </c>
      <c r="K13" s="375">
        <f t="shared" si="7"/>
        <v>760.92975567123267</v>
      </c>
      <c r="L13" s="375">
        <f t="shared" si="7"/>
        <v>736.38363452054784</v>
      </c>
      <c r="M13" s="375">
        <f t="shared" si="7"/>
        <v>760.92975567123267</v>
      </c>
      <c r="N13" s="375">
        <f t="shared" si="7"/>
        <v>736.38363452054784</v>
      </c>
      <c r="O13" s="375">
        <f t="shared" si="7"/>
        <v>760.92975567123267</v>
      </c>
      <c r="P13" s="375">
        <f t="shared" si="7"/>
        <v>760.92975567123267</v>
      </c>
      <c r="Q13" s="375">
        <f t="shared" si="7"/>
        <v>736.38363452054784</v>
      </c>
      <c r="R13" s="109">
        <f t="shared" si="5"/>
        <v>8959.3342199999988</v>
      </c>
      <c r="S13" s="7">
        <f t="shared" si="6"/>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41152.472000000002</v>
      </c>
      <c r="B14" s="15" t="s">
        <v>18</v>
      </c>
      <c r="C14" s="428"/>
      <c r="D14" s="429">
        <f>$C14/C$6</f>
        <v>0</v>
      </c>
      <c r="E14" s="7"/>
      <c r="F14" s="375">
        <f t="shared" si="7"/>
        <v>0</v>
      </c>
      <c r="G14" s="375">
        <f t="shared" si="7"/>
        <v>0</v>
      </c>
      <c r="H14" s="375">
        <f t="shared" si="7"/>
        <v>0</v>
      </c>
      <c r="I14" s="375">
        <f t="shared" si="7"/>
        <v>0</v>
      </c>
      <c r="J14" s="375">
        <f t="shared" si="7"/>
        <v>0</v>
      </c>
      <c r="K14" s="375">
        <f t="shared" si="7"/>
        <v>0</v>
      </c>
      <c r="L14" s="375">
        <f t="shared" si="7"/>
        <v>0</v>
      </c>
      <c r="M14" s="375">
        <f t="shared" si="7"/>
        <v>0</v>
      </c>
      <c r="N14" s="375">
        <f t="shared" si="7"/>
        <v>0</v>
      </c>
      <c r="O14" s="375">
        <f t="shared" si="7"/>
        <v>0</v>
      </c>
      <c r="P14" s="375">
        <f t="shared" si="7"/>
        <v>0</v>
      </c>
      <c r="Q14" s="375">
        <f t="shared" si="7"/>
        <v>0</v>
      </c>
      <c r="R14" s="109">
        <f t="shared" si="5"/>
        <v>0</v>
      </c>
      <c r="S14" s="7">
        <f t="shared" si="6"/>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41237.472000000002</v>
      </c>
      <c r="B15" s="15" t="s">
        <v>17</v>
      </c>
      <c r="C15" s="14">
        <f>[6]IT!$J$19</f>
        <v>1000</v>
      </c>
      <c r="D15" s="13">
        <f t="shared" ref="D15:D31" si="8">$C15/C$4</f>
        <v>4.7533035459644456E-2</v>
      </c>
      <c r="E15" s="7"/>
      <c r="F15" s="375">
        <f t="shared" ref="F15:Q30" si="9">$D15*F$4</f>
        <v>80.996292423234152</v>
      </c>
      <c r="G15" s="375">
        <f t="shared" ref="G15:Q20" si="10">$D15*G$4</f>
        <v>77.336248692841536</v>
      </c>
      <c r="H15" s="375">
        <f t="shared" si="10"/>
        <v>74.341667458883933</v>
      </c>
      <c r="I15" s="375">
        <f t="shared" si="10"/>
        <v>82.992679912539217</v>
      </c>
      <c r="J15" s="375">
        <f t="shared" si="10"/>
        <v>84.276071869949618</v>
      </c>
      <c r="K15" s="375">
        <f t="shared" si="10"/>
        <v>92.071489685331315</v>
      </c>
      <c r="L15" s="375">
        <f t="shared" si="10"/>
        <v>85.084133472763583</v>
      </c>
      <c r="M15" s="375">
        <f t="shared" si="10"/>
        <v>90.217701302405175</v>
      </c>
      <c r="N15" s="375">
        <f t="shared" si="10"/>
        <v>82.517349557942779</v>
      </c>
      <c r="O15" s="375">
        <f t="shared" si="10"/>
        <v>74.579332636182144</v>
      </c>
      <c r="P15" s="375">
        <f t="shared" si="10"/>
        <v>86.937921855689709</v>
      </c>
      <c r="Q15" s="375">
        <f t="shared" si="10"/>
        <v>88.649111132236911</v>
      </c>
      <c r="R15" s="109">
        <f t="shared" si="5"/>
        <v>1000.0000000000001</v>
      </c>
      <c r="S15" s="7">
        <f t="shared" si="6"/>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41246.472000000002</v>
      </c>
      <c r="B16" s="15" t="s">
        <v>16</v>
      </c>
      <c r="C16" s="14">
        <f>[6]IT!$J$20</f>
        <v>1250</v>
      </c>
      <c r="D16" s="13">
        <f t="shared" si="8"/>
        <v>5.9416294324555564E-2</v>
      </c>
      <c r="E16" s="7"/>
      <c r="F16" s="375">
        <f t="shared" si="9"/>
        <v>101.24536552904269</v>
      </c>
      <c r="G16" s="375">
        <f t="shared" si="10"/>
        <v>96.670310866051906</v>
      </c>
      <c r="H16" s="375">
        <f t="shared" si="10"/>
        <v>92.927084323604902</v>
      </c>
      <c r="I16" s="375">
        <f t="shared" si="10"/>
        <v>103.74084989067401</v>
      </c>
      <c r="J16" s="375">
        <f t="shared" si="10"/>
        <v>105.34508983743702</v>
      </c>
      <c r="K16" s="375">
        <f t="shared" si="10"/>
        <v>115.08936210666413</v>
      </c>
      <c r="L16" s="375">
        <f t="shared" si="10"/>
        <v>106.35516684095445</v>
      </c>
      <c r="M16" s="375">
        <f t="shared" si="10"/>
        <v>112.77212662800646</v>
      </c>
      <c r="N16" s="375">
        <f t="shared" si="10"/>
        <v>103.14668694742846</v>
      </c>
      <c r="O16" s="375">
        <f t="shared" si="10"/>
        <v>93.224165795227677</v>
      </c>
      <c r="P16" s="375">
        <f t="shared" si="10"/>
        <v>108.67240231961213</v>
      </c>
      <c r="Q16" s="375">
        <f t="shared" si="10"/>
        <v>110.81138891529612</v>
      </c>
      <c r="R16" s="109">
        <f t="shared" si="5"/>
        <v>1250</v>
      </c>
      <c r="S16" s="7">
        <f t="shared" si="6"/>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41250.472000000002</v>
      </c>
      <c r="B17" s="15" t="s">
        <v>15</v>
      </c>
      <c r="C17" s="14"/>
      <c r="D17" s="13">
        <f t="shared" si="8"/>
        <v>0</v>
      </c>
      <c r="E17" s="7"/>
      <c r="F17" s="375">
        <f t="shared" si="9"/>
        <v>0</v>
      </c>
      <c r="G17" s="375">
        <f t="shared" si="10"/>
        <v>0</v>
      </c>
      <c r="H17" s="375">
        <f t="shared" si="10"/>
        <v>0</v>
      </c>
      <c r="I17" s="375">
        <f t="shared" si="10"/>
        <v>0</v>
      </c>
      <c r="J17" s="375">
        <f t="shared" si="10"/>
        <v>0</v>
      </c>
      <c r="K17" s="375">
        <f t="shared" si="10"/>
        <v>0</v>
      </c>
      <c r="L17" s="375">
        <f t="shared" si="10"/>
        <v>0</v>
      </c>
      <c r="M17" s="375">
        <f t="shared" si="10"/>
        <v>0</v>
      </c>
      <c r="N17" s="375">
        <f t="shared" si="10"/>
        <v>0</v>
      </c>
      <c r="O17" s="375">
        <f t="shared" si="10"/>
        <v>0</v>
      </c>
      <c r="P17" s="375">
        <f t="shared" si="10"/>
        <v>0</v>
      </c>
      <c r="Q17" s="375">
        <f t="shared" si="10"/>
        <v>0</v>
      </c>
      <c r="R17" s="109">
        <f t="shared" si="5"/>
        <v>0</v>
      </c>
      <c r="S17" s="7">
        <f t="shared" si="6"/>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41313.472000000002</v>
      </c>
      <c r="B18" s="15" t="s">
        <v>653</v>
      </c>
      <c r="C18" s="14"/>
      <c r="D18" s="13">
        <f t="shared" si="8"/>
        <v>0</v>
      </c>
      <c r="E18" s="7"/>
      <c r="F18" s="375">
        <f t="shared" si="9"/>
        <v>0</v>
      </c>
      <c r="G18" s="375">
        <f t="shared" si="10"/>
        <v>0</v>
      </c>
      <c r="H18" s="375">
        <f t="shared" si="10"/>
        <v>0</v>
      </c>
      <c r="I18" s="375">
        <f t="shared" si="10"/>
        <v>0</v>
      </c>
      <c r="J18" s="375">
        <f t="shared" si="10"/>
        <v>0</v>
      </c>
      <c r="K18" s="375">
        <f t="shared" si="10"/>
        <v>0</v>
      </c>
      <c r="L18" s="375">
        <f t="shared" si="10"/>
        <v>0</v>
      </c>
      <c r="M18" s="375">
        <f t="shared" si="10"/>
        <v>0</v>
      </c>
      <c r="N18" s="375">
        <f t="shared" si="10"/>
        <v>0</v>
      </c>
      <c r="O18" s="375">
        <f t="shared" si="10"/>
        <v>0</v>
      </c>
      <c r="P18" s="375">
        <f t="shared" si="10"/>
        <v>0</v>
      </c>
      <c r="Q18" s="375">
        <f t="shared" si="10"/>
        <v>0</v>
      </c>
      <c r="R18" s="109">
        <f t="shared" ref="R18:R19" si="11">SUM(F18:Q18)</f>
        <v>0</v>
      </c>
      <c r="S18" s="7">
        <f t="shared" ref="S18:S19" si="12">C18-R18</f>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41324.472000000002</v>
      </c>
      <c r="B19" s="15" t="s">
        <v>654</v>
      </c>
      <c r="C19" s="14">
        <f>[6]IT!$J$21</f>
        <v>184500</v>
      </c>
      <c r="D19" s="13">
        <f t="shared" si="8"/>
        <v>8.7698450423044019</v>
      </c>
      <c r="E19" s="7"/>
      <c r="F19" s="375">
        <f t="shared" si="9"/>
        <v>14943.815952086701</v>
      </c>
      <c r="G19" s="375">
        <f t="shared" si="10"/>
        <v>14268.537883829262</v>
      </c>
      <c r="H19" s="375">
        <f t="shared" si="10"/>
        <v>13716.037646164084</v>
      </c>
      <c r="I19" s="375">
        <f t="shared" si="10"/>
        <v>15312.149443863485</v>
      </c>
      <c r="J19" s="375">
        <f t="shared" si="10"/>
        <v>15548.935260005705</v>
      </c>
      <c r="K19" s="375">
        <f t="shared" si="10"/>
        <v>16987.189846943627</v>
      </c>
      <c r="L19" s="375">
        <f t="shared" si="10"/>
        <v>15698.02262572488</v>
      </c>
      <c r="M19" s="375">
        <f t="shared" si="10"/>
        <v>16645.165890293756</v>
      </c>
      <c r="N19" s="375">
        <f t="shared" si="10"/>
        <v>15224.450993440441</v>
      </c>
      <c r="O19" s="375">
        <f t="shared" si="10"/>
        <v>13759.886871375607</v>
      </c>
      <c r="P19" s="375">
        <f t="shared" si="10"/>
        <v>16040.046582374751</v>
      </c>
      <c r="Q19" s="375">
        <f t="shared" si="10"/>
        <v>16355.761003897709</v>
      </c>
      <c r="R19" s="109">
        <f t="shared" si="11"/>
        <v>184500</v>
      </c>
      <c r="S19" s="7">
        <f t="shared" si="12"/>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41365.472000000002</v>
      </c>
      <c r="B20" s="15" t="s">
        <v>10</v>
      </c>
      <c r="C20" s="14">
        <f>[6]IT!$J$22</f>
        <v>950</v>
      </c>
      <c r="D20" s="13">
        <f t="shared" si="8"/>
        <v>4.5156383686662228E-2</v>
      </c>
      <c r="E20" s="7"/>
      <c r="F20" s="375">
        <f t="shared" si="9"/>
        <v>76.946477802072437</v>
      </c>
      <c r="G20" s="375">
        <f t="shared" si="10"/>
        <v>73.469436258199451</v>
      </c>
      <c r="H20" s="375">
        <f t="shared" si="10"/>
        <v>70.62458408593973</v>
      </c>
      <c r="I20" s="375">
        <f t="shared" si="10"/>
        <v>78.843045916912246</v>
      </c>
      <c r="J20" s="375">
        <f t="shared" si="10"/>
        <v>80.06226827645213</v>
      </c>
      <c r="K20" s="375">
        <f t="shared" si="10"/>
        <v>87.467915201064741</v>
      </c>
      <c r="L20" s="375">
        <f t="shared" si="10"/>
        <v>80.829926799125388</v>
      </c>
      <c r="M20" s="375">
        <f t="shared" si="10"/>
        <v>85.706816237284912</v>
      </c>
      <c r="N20" s="375">
        <f t="shared" si="10"/>
        <v>78.391482080045634</v>
      </c>
      <c r="O20" s="375">
        <f t="shared" si="10"/>
        <v>70.850366004373043</v>
      </c>
      <c r="P20" s="375">
        <f t="shared" si="10"/>
        <v>82.591025762905218</v>
      </c>
      <c r="Q20" s="375">
        <f t="shared" si="10"/>
        <v>84.216655575625055</v>
      </c>
      <c r="R20" s="109">
        <f t="shared" si="5"/>
        <v>950</v>
      </c>
      <c r="S20" s="7">
        <f t="shared" si="6"/>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41423.472000000002</v>
      </c>
      <c r="B21" s="15" t="s">
        <v>9</v>
      </c>
      <c r="C21" s="14">
        <f>[6]IT!$J$23</f>
        <v>13000</v>
      </c>
      <c r="D21" s="13">
        <f t="shared" si="8"/>
        <v>0.61792946097537793</v>
      </c>
      <c r="E21" s="7"/>
      <c r="F21" s="375">
        <f t="shared" si="9"/>
        <v>1052.951801502044</v>
      </c>
      <c r="G21" s="375">
        <f t="shared" si="9"/>
        <v>1005.3712330069399</v>
      </c>
      <c r="H21" s="375">
        <f t="shared" si="9"/>
        <v>966.44167696549107</v>
      </c>
      <c r="I21" s="375">
        <f t="shared" si="9"/>
        <v>1078.9048388630099</v>
      </c>
      <c r="J21" s="375">
        <f t="shared" si="9"/>
        <v>1095.5889343093452</v>
      </c>
      <c r="K21" s="375">
        <f t="shared" si="9"/>
        <v>1196.9293659093071</v>
      </c>
      <c r="L21" s="375">
        <f t="shared" si="9"/>
        <v>1106.0937351459265</v>
      </c>
      <c r="M21" s="375">
        <f t="shared" si="9"/>
        <v>1172.8301169312674</v>
      </c>
      <c r="N21" s="375">
        <f t="shared" si="9"/>
        <v>1072.725544253256</v>
      </c>
      <c r="O21" s="375">
        <f t="shared" si="9"/>
        <v>969.53132427036792</v>
      </c>
      <c r="P21" s="375">
        <f t="shared" si="9"/>
        <v>1130.1929841239662</v>
      </c>
      <c r="Q21" s="375">
        <f t="shared" si="9"/>
        <v>1152.4384447190798</v>
      </c>
      <c r="R21" s="109">
        <f t="shared" si="5"/>
        <v>13000.000000000002</v>
      </c>
      <c r="S21" s="7">
        <f t="shared" si="6"/>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41426.472000000002</v>
      </c>
      <c r="B22" s="15" t="s">
        <v>8</v>
      </c>
      <c r="C22" s="14">
        <f>[6]IT!$J$24</f>
        <v>500</v>
      </c>
      <c r="D22" s="13">
        <f t="shared" si="8"/>
        <v>2.3766517729822228E-2</v>
      </c>
      <c r="E22" s="7"/>
      <c r="F22" s="375">
        <f t="shared" si="9"/>
        <v>40.498146211617076</v>
      </c>
      <c r="G22" s="375">
        <f t="shared" si="9"/>
        <v>38.668124346420768</v>
      </c>
      <c r="H22" s="375">
        <f t="shared" si="9"/>
        <v>37.170833729441966</v>
      </c>
      <c r="I22" s="375">
        <f t="shared" si="9"/>
        <v>41.496339956269608</v>
      </c>
      <c r="J22" s="375">
        <f t="shared" si="9"/>
        <v>42.138035934974809</v>
      </c>
      <c r="K22" s="375">
        <f t="shared" si="9"/>
        <v>46.035744842665657</v>
      </c>
      <c r="L22" s="375">
        <f t="shared" si="9"/>
        <v>42.542066736381791</v>
      </c>
      <c r="M22" s="375">
        <f t="shared" si="9"/>
        <v>45.108850651202587</v>
      </c>
      <c r="N22" s="375">
        <f t="shared" si="9"/>
        <v>41.25867477897139</v>
      </c>
      <c r="O22" s="375">
        <f t="shared" si="9"/>
        <v>37.289666318091072</v>
      </c>
      <c r="P22" s="375">
        <f t="shared" si="9"/>
        <v>43.468960927844854</v>
      </c>
      <c r="Q22" s="375">
        <f t="shared" si="9"/>
        <v>44.324555566118455</v>
      </c>
      <c r="R22" s="109">
        <f t="shared" si="5"/>
        <v>500.00000000000006</v>
      </c>
      <c r="S22" s="7">
        <f t="shared" si="6"/>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41439.472000000002</v>
      </c>
      <c r="B23" s="15" t="s">
        <v>603</v>
      </c>
      <c r="C23" s="14">
        <f>[6]IT!$J$25</f>
        <v>925</v>
      </c>
      <c r="D23" s="13">
        <f t="shared" si="8"/>
        <v>4.3968057800171122E-2</v>
      </c>
      <c r="E23" s="7"/>
      <c r="F23" s="375">
        <f t="shared" si="9"/>
        <v>74.921570491491593</v>
      </c>
      <c r="G23" s="375">
        <f t="shared" si="9"/>
        <v>71.536030040878416</v>
      </c>
      <c r="H23" s="375">
        <f t="shared" si="9"/>
        <v>68.766042399467636</v>
      </c>
      <c r="I23" s="375">
        <f t="shared" si="9"/>
        <v>76.768228919098775</v>
      </c>
      <c r="J23" s="375">
        <f t="shared" si="9"/>
        <v>77.9553664797034</v>
      </c>
      <c r="K23" s="375">
        <f t="shared" si="9"/>
        <v>85.166127958931469</v>
      </c>
      <c r="L23" s="375">
        <f t="shared" si="9"/>
        <v>78.702823462306313</v>
      </c>
      <c r="M23" s="375">
        <f t="shared" si="9"/>
        <v>83.451373704724787</v>
      </c>
      <c r="N23" s="375">
        <f t="shared" si="9"/>
        <v>76.328548341097061</v>
      </c>
      <c r="O23" s="375">
        <f t="shared" si="9"/>
        <v>68.985882688468493</v>
      </c>
      <c r="P23" s="375">
        <f t="shared" si="9"/>
        <v>80.41757771651298</v>
      </c>
      <c r="Q23" s="375">
        <f t="shared" si="9"/>
        <v>82.000427797319148</v>
      </c>
      <c r="R23" s="109">
        <f t="shared" si="5"/>
        <v>925.00000000000011</v>
      </c>
      <c r="S23" s="7">
        <f t="shared" si="6"/>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41440.472000000002</v>
      </c>
      <c r="B24" s="15" t="s">
        <v>7</v>
      </c>
      <c r="C24" s="14"/>
      <c r="D24" s="13">
        <f t="shared" si="8"/>
        <v>0</v>
      </c>
      <c r="E24" s="7"/>
      <c r="F24" s="375">
        <f t="shared" si="9"/>
        <v>0</v>
      </c>
      <c r="G24" s="375">
        <f t="shared" si="9"/>
        <v>0</v>
      </c>
      <c r="H24" s="375">
        <f t="shared" si="9"/>
        <v>0</v>
      </c>
      <c r="I24" s="375">
        <f t="shared" si="9"/>
        <v>0</v>
      </c>
      <c r="J24" s="375">
        <f t="shared" si="9"/>
        <v>0</v>
      </c>
      <c r="K24" s="375">
        <f t="shared" si="9"/>
        <v>0</v>
      </c>
      <c r="L24" s="375">
        <f t="shared" si="9"/>
        <v>0</v>
      </c>
      <c r="M24" s="375">
        <f t="shared" si="9"/>
        <v>0</v>
      </c>
      <c r="N24" s="375">
        <f t="shared" si="9"/>
        <v>0</v>
      </c>
      <c r="O24" s="375">
        <f t="shared" si="9"/>
        <v>0</v>
      </c>
      <c r="P24" s="375">
        <f t="shared" si="9"/>
        <v>0</v>
      </c>
      <c r="Q24" s="375">
        <f t="shared" si="9"/>
        <v>0</v>
      </c>
      <c r="R24" s="109">
        <f t="shared" si="5"/>
        <v>0</v>
      </c>
      <c r="S24" s="7">
        <f t="shared" si="6"/>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41460.472000000002</v>
      </c>
      <c r="B25" s="15" t="s">
        <v>6</v>
      </c>
      <c r="C25" s="14"/>
      <c r="D25" s="13">
        <f t="shared" si="8"/>
        <v>0</v>
      </c>
      <c r="E25" s="7"/>
      <c r="F25" s="375">
        <f t="shared" si="9"/>
        <v>0</v>
      </c>
      <c r="G25" s="375">
        <f t="shared" si="9"/>
        <v>0</v>
      </c>
      <c r="H25" s="375">
        <f t="shared" si="9"/>
        <v>0</v>
      </c>
      <c r="I25" s="375">
        <f t="shared" si="9"/>
        <v>0</v>
      </c>
      <c r="J25" s="375">
        <f t="shared" si="9"/>
        <v>0</v>
      </c>
      <c r="K25" s="375">
        <f t="shared" si="9"/>
        <v>0</v>
      </c>
      <c r="L25" s="375">
        <f t="shared" si="9"/>
        <v>0</v>
      </c>
      <c r="M25" s="375">
        <f t="shared" si="9"/>
        <v>0</v>
      </c>
      <c r="N25" s="375">
        <f t="shared" si="9"/>
        <v>0</v>
      </c>
      <c r="O25" s="375">
        <f t="shared" si="9"/>
        <v>0</v>
      </c>
      <c r="P25" s="375">
        <f t="shared" si="9"/>
        <v>0</v>
      </c>
      <c r="Q25" s="375">
        <f t="shared" si="9"/>
        <v>0</v>
      </c>
      <c r="R25" s="109">
        <f t="shared" si="5"/>
        <v>0</v>
      </c>
      <c r="S25" s="7">
        <f t="shared" si="6"/>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41461.472000000002</v>
      </c>
      <c r="B26" s="15" t="s">
        <v>5</v>
      </c>
      <c r="C26" s="14"/>
      <c r="D26" s="13">
        <f t="shared" si="8"/>
        <v>0</v>
      </c>
      <c r="E26" s="7"/>
      <c r="F26" s="375">
        <f t="shared" si="9"/>
        <v>0</v>
      </c>
      <c r="G26" s="375">
        <f t="shared" si="9"/>
        <v>0</v>
      </c>
      <c r="H26" s="375">
        <f t="shared" si="9"/>
        <v>0</v>
      </c>
      <c r="I26" s="375">
        <f t="shared" si="9"/>
        <v>0</v>
      </c>
      <c r="J26" s="375">
        <f t="shared" si="9"/>
        <v>0</v>
      </c>
      <c r="K26" s="375">
        <f t="shared" si="9"/>
        <v>0</v>
      </c>
      <c r="L26" s="375">
        <f t="shared" si="9"/>
        <v>0</v>
      </c>
      <c r="M26" s="375">
        <f t="shared" si="9"/>
        <v>0</v>
      </c>
      <c r="N26" s="375">
        <f t="shared" si="9"/>
        <v>0</v>
      </c>
      <c r="O26" s="375">
        <f t="shared" si="9"/>
        <v>0</v>
      </c>
      <c r="P26" s="375">
        <f t="shared" si="9"/>
        <v>0</v>
      </c>
      <c r="Q26" s="375">
        <f t="shared" si="9"/>
        <v>0</v>
      </c>
      <c r="R26" s="109">
        <f t="shared" si="5"/>
        <v>0</v>
      </c>
      <c r="S26" s="7">
        <f t="shared" si="6"/>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41490.472000000002</v>
      </c>
      <c r="B27" s="15" t="s">
        <v>4</v>
      </c>
      <c r="C27" s="14"/>
      <c r="D27" s="13">
        <f t="shared" si="8"/>
        <v>0</v>
      </c>
      <c r="E27" s="7"/>
      <c r="F27" s="375">
        <f t="shared" si="9"/>
        <v>0</v>
      </c>
      <c r="G27" s="375">
        <f t="shared" si="9"/>
        <v>0</v>
      </c>
      <c r="H27" s="375">
        <f t="shared" si="9"/>
        <v>0</v>
      </c>
      <c r="I27" s="375">
        <f t="shared" si="9"/>
        <v>0</v>
      </c>
      <c r="J27" s="375">
        <f t="shared" si="9"/>
        <v>0</v>
      </c>
      <c r="K27" s="375">
        <f t="shared" si="9"/>
        <v>0</v>
      </c>
      <c r="L27" s="375">
        <f t="shared" si="9"/>
        <v>0</v>
      </c>
      <c r="M27" s="375">
        <f t="shared" si="9"/>
        <v>0</v>
      </c>
      <c r="N27" s="375">
        <f t="shared" si="9"/>
        <v>0</v>
      </c>
      <c r="O27" s="375">
        <f t="shared" si="9"/>
        <v>0</v>
      </c>
      <c r="P27" s="375">
        <f t="shared" si="9"/>
        <v>0</v>
      </c>
      <c r="Q27" s="375">
        <f t="shared" si="9"/>
        <v>0</v>
      </c>
      <c r="R27" s="109">
        <f t="shared" si="5"/>
        <v>0</v>
      </c>
      <c r="S27" s="7">
        <f t="shared" si="6"/>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41509.472000000002</v>
      </c>
      <c r="B28" s="15" t="s">
        <v>3</v>
      </c>
      <c r="C28" s="14">
        <f>[6]IT!$J$26</f>
        <v>485</v>
      </c>
      <c r="D28" s="13">
        <f t="shared" si="8"/>
        <v>2.305352219792756E-2</v>
      </c>
      <c r="E28" s="7"/>
      <c r="F28" s="375">
        <f t="shared" si="9"/>
        <v>39.283201825268563</v>
      </c>
      <c r="G28" s="375">
        <f t="shared" si="9"/>
        <v>37.508080616028138</v>
      </c>
      <c r="H28" s="375">
        <f t="shared" si="9"/>
        <v>36.055708717558701</v>
      </c>
      <c r="I28" s="375">
        <f t="shared" si="9"/>
        <v>40.251449757581518</v>
      </c>
      <c r="J28" s="375">
        <f t="shared" si="9"/>
        <v>40.87389485692556</v>
      </c>
      <c r="K28" s="375">
        <f t="shared" si="9"/>
        <v>44.654672497385683</v>
      </c>
      <c r="L28" s="375">
        <f t="shared" si="9"/>
        <v>41.265804734290334</v>
      </c>
      <c r="M28" s="375">
        <f t="shared" si="9"/>
        <v>43.755585131666507</v>
      </c>
      <c r="N28" s="375">
        <f t="shared" si="9"/>
        <v>40.020914535602245</v>
      </c>
      <c r="O28" s="375">
        <f t="shared" si="9"/>
        <v>36.170976328548342</v>
      </c>
      <c r="P28" s="375">
        <f t="shared" si="9"/>
        <v>42.16489210000951</v>
      </c>
      <c r="Q28" s="375">
        <f t="shared" si="9"/>
        <v>42.994818899134899</v>
      </c>
      <c r="R28" s="109">
        <f t="shared" si="5"/>
        <v>485.00000000000006</v>
      </c>
      <c r="S28" s="7">
        <f t="shared" si="6"/>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41560.472000000002</v>
      </c>
      <c r="B29" s="15" t="s">
        <v>420</v>
      </c>
      <c r="C29" s="14">
        <f>[6]IT!$J$27</f>
        <v>1650</v>
      </c>
      <c r="D29" s="13">
        <f t="shared" si="8"/>
        <v>7.8429508508413348E-2</v>
      </c>
      <c r="E29" s="7"/>
      <c r="F29" s="375">
        <f t="shared" si="9"/>
        <v>133.64388249833635</v>
      </c>
      <c r="G29" s="375">
        <f t="shared" si="9"/>
        <v>127.60481034318852</v>
      </c>
      <c r="H29" s="375">
        <f t="shared" si="9"/>
        <v>122.66375130715848</v>
      </c>
      <c r="I29" s="375">
        <f t="shared" si="9"/>
        <v>136.93792185568969</v>
      </c>
      <c r="J29" s="375">
        <f t="shared" si="9"/>
        <v>139.05551858541688</v>
      </c>
      <c r="K29" s="375">
        <f t="shared" si="9"/>
        <v>151.91795798079664</v>
      </c>
      <c r="L29" s="375">
        <f t="shared" si="9"/>
        <v>140.38882023005991</v>
      </c>
      <c r="M29" s="375">
        <f t="shared" si="9"/>
        <v>148.85920714896852</v>
      </c>
      <c r="N29" s="375">
        <f t="shared" si="9"/>
        <v>136.15362677060557</v>
      </c>
      <c r="O29" s="375">
        <f t="shared" si="9"/>
        <v>123.05589884970054</v>
      </c>
      <c r="P29" s="375">
        <f t="shared" si="9"/>
        <v>143.44757106188803</v>
      </c>
      <c r="Q29" s="375">
        <f t="shared" si="9"/>
        <v>146.2710333681909</v>
      </c>
      <c r="R29" s="109">
        <f t="shared" si="5"/>
        <v>1650</v>
      </c>
      <c r="S29" s="7">
        <f t="shared" si="6"/>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41570.472000000002</v>
      </c>
      <c r="B30" s="15" t="s">
        <v>2</v>
      </c>
      <c r="C30" s="14"/>
      <c r="D30" s="13">
        <f t="shared" si="8"/>
        <v>0</v>
      </c>
      <c r="E30" s="7"/>
      <c r="F30" s="375">
        <f t="shared" si="9"/>
        <v>0</v>
      </c>
      <c r="G30" s="375">
        <f t="shared" si="9"/>
        <v>0</v>
      </c>
      <c r="H30" s="375">
        <f t="shared" si="9"/>
        <v>0</v>
      </c>
      <c r="I30" s="375">
        <f t="shared" si="9"/>
        <v>0</v>
      </c>
      <c r="J30" s="375">
        <f t="shared" si="9"/>
        <v>0</v>
      </c>
      <c r="K30" s="375">
        <f t="shared" si="9"/>
        <v>0</v>
      </c>
      <c r="L30" s="375">
        <f t="shared" si="9"/>
        <v>0</v>
      </c>
      <c r="M30" s="375">
        <f t="shared" si="9"/>
        <v>0</v>
      </c>
      <c r="N30" s="375">
        <f t="shared" si="9"/>
        <v>0</v>
      </c>
      <c r="O30" s="375">
        <f t="shared" si="9"/>
        <v>0</v>
      </c>
      <c r="P30" s="375">
        <f t="shared" si="9"/>
        <v>0</v>
      </c>
      <c r="Q30" s="375">
        <f t="shared" si="9"/>
        <v>0</v>
      </c>
      <c r="R30" s="109">
        <f t="shared" ref="R30" si="13">SUM(F30:Q30)</f>
        <v>0</v>
      </c>
      <c r="S30" s="7">
        <f t="shared" ref="S30" si="14">C30-R30</f>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12" customFormat="1" x14ac:dyDescent="0.2">
      <c r="A31" s="87">
        <v>41571.472000000002</v>
      </c>
      <c r="B31" s="15" t="s">
        <v>1</v>
      </c>
      <c r="C31" s="14"/>
      <c r="D31" s="13">
        <f t="shared" si="8"/>
        <v>0</v>
      </c>
      <c r="E31" s="7"/>
      <c r="F31" s="375">
        <f t="shared" ref="F31:Q31" si="15">$D31*F$4</f>
        <v>0</v>
      </c>
      <c r="G31" s="375">
        <f t="shared" si="15"/>
        <v>0</v>
      </c>
      <c r="H31" s="375">
        <f t="shared" si="15"/>
        <v>0</v>
      </c>
      <c r="I31" s="375">
        <f t="shared" si="15"/>
        <v>0</v>
      </c>
      <c r="J31" s="375">
        <f t="shared" si="15"/>
        <v>0</v>
      </c>
      <c r="K31" s="375">
        <f t="shared" si="15"/>
        <v>0</v>
      </c>
      <c r="L31" s="375">
        <f t="shared" si="15"/>
        <v>0</v>
      </c>
      <c r="M31" s="375">
        <f t="shared" si="15"/>
        <v>0</v>
      </c>
      <c r="N31" s="375">
        <f t="shared" si="15"/>
        <v>0</v>
      </c>
      <c r="O31" s="375">
        <f t="shared" si="15"/>
        <v>0</v>
      </c>
      <c r="P31" s="375">
        <f t="shared" si="15"/>
        <v>0</v>
      </c>
      <c r="Q31" s="375">
        <f t="shared" si="15"/>
        <v>0</v>
      </c>
      <c r="R31" s="109">
        <f t="shared" si="5"/>
        <v>0</v>
      </c>
      <c r="S31" s="7">
        <f t="shared" si="6"/>
        <v>0</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1:58" s="5" customFormat="1" x14ac:dyDescent="0.2">
      <c r="A32" s="11"/>
      <c r="B32" s="10" t="s">
        <v>0</v>
      </c>
      <c r="C32" s="8">
        <f>SUM(C10:C31)</f>
        <v>330334.81422</v>
      </c>
      <c r="D32" s="9">
        <f>SUM(D10:D31)</f>
        <v>40.015543548948514</v>
      </c>
      <c r="E32" s="104"/>
      <c r="F32" s="395">
        <f t="shared" ref="F32:Q32" si="16">SUM(F10:F31)</f>
        <v>27252.026637821869</v>
      </c>
      <c r="G32" s="395">
        <f t="shared" si="16"/>
        <v>26159.015655534058</v>
      </c>
      <c r="H32" s="395">
        <f t="shared" si="16"/>
        <v>25892.752942603685</v>
      </c>
      <c r="I32" s="395">
        <f t="shared" si="16"/>
        <v>27659.808746387316</v>
      </c>
      <c r="J32" s="395">
        <f t="shared" si="16"/>
        <v>26885.723037854539</v>
      </c>
      <c r="K32" s="395">
        <f t="shared" si="16"/>
        <v>29514.246430577827</v>
      </c>
      <c r="L32" s="395">
        <f t="shared" si="16"/>
        <v>27741.598600680933</v>
      </c>
      <c r="M32" s="395">
        <f t="shared" si="16"/>
        <v>29135.591615481335</v>
      </c>
      <c r="N32" s="395">
        <f t="shared" si="16"/>
        <v>27217.307318239637</v>
      </c>
      <c r="O32" s="395">
        <f t="shared" si="16"/>
        <v>25941.298431718616</v>
      </c>
      <c r="P32" s="395">
        <f t="shared" si="16"/>
        <v>28465.663865695231</v>
      </c>
      <c r="Q32" s="395">
        <f t="shared" si="16"/>
        <v>28469.780937404961</v>
      </c>
      <c r="R32" s="109">
        <f t="shared" si="5"/>
        <v>330334.81422</v>
      </c>
      <c r="S32" s="104">
        <f t="shared" si="6"/>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row>
    <row r="33" spans="1:58" x14ac:dyDescent="0.2">
      <c r="F33" s="3"/>
    </row>
    <row r="34" spans="1:58" x14ac:dyDescent="0.2">
      <c r="A34" s="4"/>
      <c r="C34" s="3"/>
      <c r="F34" s="3"/>
      <c r="G34" s="3"/>
      <c r="H34" s="3"/>
      <c r="I34" s="3"/>
      <c r="J34" s="3"/>
      <c r="K34" s="3"/>
      <c r="L34" s="3"/>
      <c r="M34" s="3"/>
      <c r="N34" s="3"/>
      <c r="O34" s="3"/>
      <c r="P34" s="3"/>
      <c r="Q34" s="3"/>
    </row>
    <row r="35" spans="1:58" x14ac:dyDescent="0.2">
      <c r="A35" s="4"/>
      <c r="C35" s="3"/>
      <c r="F35" s="3"/>
      <c r="G35" s="3"/>
      <c r="H35" s="3"/>
      <c r="I35" s="3"/>
      <c r="J35" s="3"/>
      <c r="K35" s="3"/>
      <c r="L35" s="3"/>
      <c r="M35" s="3"/>
      <c r="N35" s="3"/>
      <c r="O35" s="3"/>
      <c r="P35" s="3"/>
      <c r="Q35" s="3"/>
    </row>
    <row r="36" spans="1:58" s="3" customFormat="1" ht="11.25" x14ac:dyDescent="0.2">
      <c r="A36" s="2"/>
      <c r="B36" s="2"/>
      <c r="D36" s="4"/>
      <c r="E36" s="4"/>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row>
  </sheetData>
  <mergeCells count="1">
    <mergeCell ref="A8:D8"/>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 xml:space="preserve">&amp;R&amp;A
</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7"/>
  <sheetViews>
    <sheetView zoomScale="80" zoomScaleNormal="80" workbookViewId="0">
      <pane xSplit="2" ySplit="6" topLeftCell="C7" activePane="bottomRight" state="frozen"/>
      <selection pane="topRight" activeCell="C1" sqref="C1"/>
      <selection pane="bottomLeft" activeCell="A7" sqref="A7"/>
      <selection pane="bottomRight" activeCell="I41" sqref="I41"/>
    </sheetView>
  </sheetViews>
  <sheetFormatPr defaultRowHeight="12.75" x14ac:dyDescent="0.2"/>
  <cols>
    <col min="1" max="1" width="11" style="2" bestFit="1" customWidth="1"/>
    <col min="2" max="2" width="23.85546875" style="2" customWidth="1"/>
    <col min="3" max="3" width="12" style="2" customWidth="1"/>
    <col min="4" max="4" width="7.7109375" style="4" customWidth="1"/>
    <col min="5" max="5" width="4.7109375" style="4" customWidth="1"/>
    <col min="6" max="6" width="15.140625" style="2" customWidth="1"/>
    <col min="7" max="7" width="14.140625" style="2" bestFit="1" customWidth="1"/>
    <col min="8" max="8" width="14.42578125" style="2" bestFit="1" customWidth="1"/>
    <col min="9" max="9" width="14.140625" style="2" bestFit="1" customWidth="1"/>
    <col min="10" max="10" width="14.42578125" style="2" bestFit="1" customWidth="1"/>
    <col min="11" max="11" width="14" style="2" bestFit="1" customWidth="1"/>
    <col min="12" max="12" width="14.42578125" style="2" bestFit="1" customWidth="1"/>
    <col min="13" max="13" width="14.140625" style="2" bestFit="1" customWidth="1"/>
    <col min="14" max="14" width="14" style="2" bestFit="1" customWidth="1"/>
    <col min="15" max="15" width="14.85546875" style="2" bestFit="1" customWidth="1"/>
    <col min="16" max="16" width="14.42578125" style="2" bestFit="1" customWidth="1"/>
    <col min="17" max="17" width="14.140625" style="2" bestFit="1" customWidth="1"/>
    <col min="18" max="18" width="15.5703125" style="3" bestFit="1"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71">
        <f>STATS!D91</f>
        <v>663</v>
      </c>
      <c r="D2" s="207"/>
      <c r="E2" s="207"/>
      <c r="F2" s="306">
        <f>'MO STATS'!E87</f>
        <v>41</v>
      </c>
      <c r="G2" s="306">
        <f>'MO STATS'!F87</f>
        <v>51</v>
      </c>
      <c r="H2" s="306">
        <f>'MO STATS'!G87</f>
        <v>53</v>
      </c>
      <c r="I2" s="306">
        <f>'MO STATS'!H87</f>
        <v>59</v>
      </c>
      <c r="J2" s="306">
        <f>'MO STATS'!I87</f>
        <v>52</v>
      </c>
      <c r="K2" s="306">
        <f>'MO STATS'!J87</f>
        <v>62</v>
      </c>
      <c r="L2" s="306">
        <f>'MO STATS'!K87</f>
        <v>53</v>
      </c>
      <c r="M2" s="306">
        <f>'MO STATS'!L87</f>
        <v>43</v>
      </c>
      <c r="N2" s="306">
        <f>'MO STATS'!M87</f>
        <v>58</v>
      </c>
      <c r="O2" s="306">
        <f>'MO STATS'!N87</f>
        <v>59</v>
      </c>
      <c r="P2" s="306">
        <f>'MO STATS'!O87</f>
        <v>75</v>
      </c>
      <c r="Q2" s="131">
        <f>'MO STATS'!P87</f>
        <v>57</v>
      </c>
      <c r="R2" s="308">
        <f>SUM(F2:Q2)</f>
        <v>663</v>
      </c>
      <c r="S2" s="3">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306">
        <f>'MO STATS'!E88</f>
        <v>1663</v>
      </c>
      <c r="G3" s="306">
        <f>'MO STATS'!F88</f>
        <v>1576</v>
      </c>
      <c r="H3" s="306">
        <f>'MO STATS'!G88</f>
        <v>1511</v>
      </c>
      <c r="I3" s="306">
        <f>'MO STATS'!H88</f>
        <v>1687</v>
      </c>
      <c r="J3" s="306">
        <f>'MO STATS'!I88</f>
        <v>1721</v>
      </c>
      <c r="K3" s="306">
        <f>'MO STATS'!J88</f>
        <v>1875</v>
      </c>
      <c r="L3" s="306">
        <f>'MO STATS'!K88</f>
        <v>1737</v>
      </c>
      <c r="M3" s="306">
        <f>'MO STATS'!L88</f>
        <v>1855</v>
      </c>
      <c r="N3" s="306">
        <f>'MO STATS'!M88</f>
        <v>1678</v>
      </c>
      <c r="O3" s="306">
        <f>'MO STATS'!N88</f>
        <v>1510</v>
      </c>
      <c r="P3" s="306">
        <f>'MO STATS'!O88</f>
        <v>1754</v>
      </c>
      <c r="Q3" s="131">
        <f>'MO STATS'!P88</f>
        <v>1808</v>
      </c>
      <c r="R3" s="308">
        <f t="shared" ref="R3:R4" si="0">SUM(F3:Q3)</f>
        <v>20375</v>
      </c>
      <c r="S3" s="3">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306">
        <f>'MO STATS'!E89</f>
        <v>1704</v>
      </c>
      <c r="G4" s="306">
        <f>'MO STATS'!F89</f>
        <v>1627</v>
      </c>
      <c r="H4" s="306">
        <f>'MO STATS'!G89</f>
        <v>1564</v>
      </c>
      <c r="I4" s="306">
        <f>'MO STATS'!H89</f>
        <v>1746</v>
      </c>
      <c r="J4" s="306">
        <f>'MO STATS'!I89</f>
        <v>1773</v>
      </c>
      <c r="K4" s="306">
        <f>'MO STATS'!J89</f>
        <v>1937</v>
      </c>
      <c r="L4" s="306">
        <f>'MO STATS'!K89</f>
        <v>1790</v>
      </c>
      <c r="M4" s="306">
        <f>'MO STATS'!L89</f>
        <v>1898</v>
      </c>
      <c r="N4" s="306">
        <f>'MO STATS'!M89</f>
        <v>1736</v>
      </c>
      <c r="O4" s="306">
        <f>'MO STATS'!N89</f>
        <v>1569</v>
      </c>
      <c r="P4" s="306">
        <f>'MO STATS'!O89</f>
        <v>1829</v>
      </c>
      <c r="Q4" s="131">
        <f>'MO STATS'!P89</f>
        <v>1865</v>
      </c>
      <c r="R4" s="308">
        <f t="shared" si="0"/>
        <v>21038</v>
      </c>
      <c r="S4" s="3">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1">
        <f>'[4]2017 FTEs'!$AS$48</f>
        <v>4.25</v>
      </c>
      <c r="R5" s="96"/>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8840</v>
      </c>
      <c r="F6" s="421">
        <f>($C6/$R7)*F7</f>
        <v>750.79452054794524</v>
      </c>
      <c r="G6" s="421">
        <f t="shared" ref="G6:Q6" si="2">($C6/$R7)*G7</f>
        <v>726.57534246575347</v>
      </c>
      <c r="H6" s="421">
        <f t="shared" si="2"/>
        <v>750.79452054794524</v>
      </c>
      <c r="I6" s="421">
        <f t="shared" si="2"/>
        <v>750.79452054794524</v>
      </c>
      <c r="J6" s="421">
        <f t="shared" si="2"/>
        <v>678.13698630136992</v>
      </c>
      <c r="K6" s="421">
        <f t="shared" si="2"/>
        <v>750.79452054794524</v>
      </c>
      <c r="L6" s="421">
        <f t="shared" si="2"/>
        <v>726.57534246575347</v>
      </c>
      <c r="M6" s="421">
        <f t="shared" si="2"/>
        <v>750.79452054794524</v>
      </c>
      <c r="N6" s="421">
        <f t="shared" si="2"/>
        <v>726.57534246575347</v>
      </c>
      <c r="O6" s="421">
        <f t="shared" si="2"/>
        <v>750.79452054794524</v>
      </c>
      <c r="P6" s="421">
        <f t="shared" si="2"/>
        <v>750.79452054794524</v>
      </c>
      <c r="Q6" s="421">
        <f t="shared" si="2"/>
        <v>726.57534246575347</v>
      </c>
      <c r="R6" s="6">
        <f t="shared" ref="R6:R7" si="3">SUM(F6:Q6)</f>
        <v>8840.0000000000018</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si="3"/>
        <v>365</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c r="R8" s="96"/>
    </row>
    <row r="9" spans="1:58" x14ac:dyDescent="0.2">
      <c r="A9" s="21"/>
      <c r="B9" s="10" t="s">
        <v>655</v>
      </c>
      <c r="C9" s="20"/>
      <c r="D9" s="19" t="s">
        <v>596</v>
      </c>
      <c r="E9" s="111"/>
      <c r="R9" s="96"/>
    </row>
    <row r="10" spans="1:58" s="12" customFormat="1" x14ac:dyDescent="0.2">
      <c r="A10" s="87">
        <v>41101.474999999999</v>
      </c>
      <c r="B10" s="15" t="s">
        <v>22</v>
      </c>
      <c r="C10" s="428">
        <f>[6]HIM!$J$15</f>
        <v>143995.74211956526</v>
      </c>
      <c r="D10" s="429">
        <f>$C10/C$6</f>
        <v>16.289111099498331</v>
      </c>
      <c r="E10" s="7"/>
      <c r="F10" s="375">
        <f>$D10*F$6</f>
        <v>12229.775358100063</v>
      </c>
      <c r="G10" s="375">
        <f t="shared" ref="G10:Q10" si="4">$D10*G$6</f>
        <v>11835.266475580705</v>
      </c>
      <c r="H10" s="375">
        <f t="shared" si="4"/>
        <v>12229.775358100063</v>
      </c>
      <c r="I10" s="375">
        <f t="shared" si="4"/>
        <v>12229.775358100063</v>
      </c>
      <c r="J10" s="375">
        <f t="shared" si="4"/>
        <v>11046.248710541993</v>
      </c>
      <c r="K10" s="375">
        <f t="shared" si="4"/>
        <v>12229.775358100063</v>
      </c>
      <c r="L10" s="375">
        <f t="shared" si="4"/>
        <v>11835.266475580705</v>
      </c>
      <c r="M10" s="375">
        <f t="shared" si="4"/>
        <v>12229.775358100063</v>
      </c>
      <c r="N10" s="375">
        <f t="shared" si="4"/>
        <v>11835.266475580705</v>
      </c>
      <c r="O10" s="375">
        <f t="shared" si="4"/>
        <v>12229.775358100063</v>
      </c>
      <c r="P10" s="375">
        <f t="shared" si="4"/>
        <v>12229.775358100063</v>
      </c>
      <c r="Q10" s="375">
        <f t="shared" si="4"/>
        <v>11835.266475580705</v>
      </c>
      <c r="R10" s="109">
        <f t="shared" ref="R10:R31" si="5">SUM(F10:Q10)</f>
        <v>143995.74211956526</v>
      </c>
      <c r="S10" s="7">
        <f t="shared" ref="S10:S31" si="6">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41110.474999999999</v>
      </c>
      <c r="B11" s="15" t="s">
        <v>21</v>
      </c>
      <c r="C11" s="428">
        <f>[6]HIM!$J$16</f>
        <v>15999.526902173917</v>
      </c>
      <c r="D11" s="429">
        <f>$C11/C$6</f>
        <v>1.8099012332775923</v>
      </c>
      <c r="E11" s="7"/>
      <c r="F11" s="375">
        <f t="shared" ref="F11:Q14" si="7">$D11*F$6</f>
        <v>1358.8639286777848</v>
      </c>
      <c r="G11" s="375">
        <f t="shared" si="7"/>
        <v>1315.0296083978562</v>
      </c>
      <c r="H11" s="375">
        <f t="shared" si="7"/>
        <v>1358.8639286777848</v>
      </c>
      <c r="I11" s="375">
        <f t="shared" si="7"/>
        <v>1358.8639286777848</v>
      </c>
      <c r="J11" s="375">
        <f t="shared" si="7"/>
        <v>1227.3609678379992</v>
      </c>
      <c r="K11" s="375">
        <f t="shared" si="7"/>
        <v>1358.8639286777848</v>
      </c>
      <c r="L11" s="375">
        <f t="shared" si="7"/>
        <v>1315.0296083978562</v>
      </c>
      <c r="M11" s="375">
        <f t="shared" si="7"/>
        <v>1358.8639286777848</v>
      </c>
      <c r="N11" s="375">
        <f t="shared" si="7"/>
        <v>1315.0296083978562</v>
      </c>
      <c r="O11" s="375">
        <f t="shared" si="7"/>
        <v>1358.8639286777848</v>
      </c>
      <c r="P11" s="375">
        <f t="shared" si="7"/>
        <v>1358.8639286777848</v>
      </c>
      <c r="Q11" s="375">
        <f t="shared" si="7"/>
        <v>1315.0296083978562</v>
      </c>
      <c r="R11" s="109">
        <f t="shared" si="5"/>
        <v>15999.526902173917</v>
      </c>
      <c r="S11" s="7">
        <f t="shared" si="6"/>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41115.474999999999</v>
      </c>
      <c r="B12" s="15" t="s">
        <v>20</v>
      </c>
      <c r="C12" s="428">
        <f>[6]HIM!$J$17</f>
        <v>950</v>
      </c>
      <c r="D12" s="429">
        <f>$C12/C$6</f>
        <v>0.1074660633484163</v>
      </c>
      <c r="E12" s="7"/>
      <c r="F12" s="375">
        <f t="shared" si="7"/>
        <v>80.684931506849324</v>
      </c>
      <c r="G12" s="375">
        <f t="shared" si="7"/>
        <v>78.08219178082193</v>
      </c>
      <c r="H12" s="375">
        <f t="shared" si="7"/>
        <v>80.684931506849324</v>
      </c>
      <c r="I12" s="375">
        <f t="shared" si="7"/>
        <v>80.684931506849324</v>
      </c>
      <c r="J12" s="375">
        <f t="shared" si="7"/>
        <v>72.876712328767127</v>
      </c>
      <c r="K12" s="375">
        <f t="shared" si="7"/>
        <v>80.684931506849324</v>
      </c>
      <c r="L12" s="375">
        <f t="shared" si="7"/>
        <v>78.08219178082193</v>
      </c>
      <c r="M12" s="375">
        <f t="shared" si="7"/>
        <v>80.684931506849324</v>
      </c>
      <c r="N12" s="375">
        <f t="shared" si="7"/>
        <v>78.08219178082193</v>
      </c>
      <c r="O12" s="375">
        <f t="shared" si="7"/>
        <v>80.684931506849324</v>
      </c>
      <c r="P12" s="375">
        <f t="shared" si="7"/>
        <v>80.684931506849324</v>
      </c>
      <c r="Q12" s="375">
        <f t="shared" si="7"/>
        <v>78.08219178082193</v>
      </c>
      <c r="R12" s="109">
        <f t="shared" si="5"/>
        <v>950.00000000000034</v>
      </c>
      <c r="S12" s="7">
        <f t="shared" si="6"/>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41150.474999999999</v>
      </c>
      <c r="B13" s="15" t="s">
        <v>19</v>
      </c>
      <c r="C13" s="428">
        <f>[6]HIM!$J$18</f>
        <v>12312.313080163045</v>
      </c>
      <c r="D13" s="429">
        <f>$C13/C$6</f>
        <v>1.392795597303512</v>
      </c>
      <c r="E13" s="7"/>
      <c r="F13" s="375">
        <f t="shared" si="7"/>
        <v>1045.7033026987792</v>
      </c>
      <c r="G13" s="375">
        <f t="shared" si="7"/>
        <v>1011.9709380955928</v>
      </c>
      <c r="H13" s="375">
        <f t="shared" si="7"/>
        <v>1045.7033026987792</v>
      </c>
      <c r="I13" s="375">
        <f t="shared" si="7"/>
        <v>1045.7033026987792</v>
      </c>
      <c r="J13" s="375">
        <f t="shared" si="7"/>
        <v>944.50620888922003</v>
      </c>
      <c r="K13" s="375">
        <f t="shared" si="7"/>
        <v>1045.7033026987792</v>
      </c>
      <c r="L13" s="375">
        <f t="shared" si="7"/>
        <v>1011.9709380955928</v>
      </c>
      <c r="M13" s="375">
        <f t="shared" si="7"/>
        <v>1045.7033026987792</v>
      </c>
      <c r="N13" s="375">
        <f t="shared" si="7"/>
        <v>1011.9709380955928</v>
      </c>
      <c r="O13" s="375">
        <f t="shared" si="7"/>
        <v>1045.7033026987792</v>
      </c>
      <c r="P13" s="375">
        <f t="shared" si="7"/>
        <v>1045.7033026987792</v>
      </c>
      <c r="Q13" s="375">
        <f t="shared" si="7"/>
        <v>1011.9709380955928</v>
      </c>
      <c r="R13" s="109">
        <f t="shared" si="5"/>
        <v>12312.313080163047</v>
      </c>
      <c r="S13" s="7">
        <f t="shared" si="6"/>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41152.474999999999</v>
      </c>
      <c r="B14" s="15" t="s">
        <v>18</v>
      </c>
      <c r="C14" s="428"/>
      <c r="D14" s="429">
        <f>$C14/C$6</f>
        <v>0</v>
      </c>
      <c r="E14" s="7"/>
      <c r="F14" s="375">
        <f t="shared" si="7"/>
        <v>0</v>
      </c>
      <c r="G14" s="375">
        <f t="shared" si="7"/>
        <v>0</v>
      </c>
      <c r="H14" s="375">
        <f t="shared" si="7"/>
        <v>0</v>
      </c>
      <c r="I14" s="375">
        <f t="shared" si="7"/>
        <v>0</v>
      </c>
      <c r="J14" s="375">
        <f t="shared" si="7"/>
        <v>0</v>
      </c>
      <c r="K14" s="375">
        <f t="shared" si="7"/>
        <v>0</v>
      </c>
      <c r="L14" s="375">
        <f t="shared" si="7"/>
        <v>0</v>
      </c>
      <c r="M14" s="375">
        <f t="shared" si="7"/>
        <v>0</v>
      </c>
      <c r="N14" s="375">
        <f t="shared" si="7"/>
        <v>0</v>
      </c>
      <c r="O14" s="375">
        <f t="shared" si="7"/>
        <v>0</v>
      </c>
      <c r="P14" s="375">
        <f t="shared" si="7"/>
        <v>0</v>
      </c>
      <c r="Q14" s="375">
        <f t="shared" si="7"/>
        <v>0</v>
      </c>
      <c r="R14" s="109">
        <f t="shared" si="5"/>
        <v>0</v>
      </c>
      <c r="S14" s="7">
        <f t="shared" si="6"/>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41237.474999999999</v>
      </c>
      <c r="B15" s="15" t="s">
        <v>17</v>
      </c>
      <c r="C15" s="14">
        <f>[6]HIM!$J$19</f>
        <v>4375</v>
      </c>
      <c r="D15" s="13">
        <f t="shared" ref="D15:D30" si="8">$C15/C$4</f>
        <v>0.20795703013594449</v>
      </c>
      <c r="E15" s="7"/>
      <c r="F15" s="375">
        <f t="shared" ref="F15:Q29" si="9">$D15*F$4</f>
        <v>354.35877935164939</v>
      </c>
      <c r="G15" s="375">
        <f t="shared" ref="G15:Q20" si="10">$D15*G$4</f>
        <v>338.34608803118169</v>
      </c>
      <c r="H15" s="375">
        <f t="shared" si="10"/>
        <v>325.24479513261718</v>
      </c>
      <c r="I15" s="375">
        <f t="shared" si="10"/>
        <v>363.09297461735906</v>
      </c>
      <c r="J15" s="375">
        <f t="shared" si="10"/>
        <v>368.70781443102959</v>
      </c>
      <c r="K15" s="375">
        <f t="shared" si="10"/>
        <v>402.8127673733245</v>
      </c>
      <c r="L15" s="375">
        <f t="shared" si="10"/>
        <v>372.24308394334065</v>
      </c>
      <c r="M15" s="375">
        <f t="shared" si="10"/>
        <v>394.70244319802265</v>
      </c>
      <c r="N15" s="375">
        <f t="shared" si="10"/>
        <v>361.01340431599965</v>
      </c>
      <c r="O15" s="375">
        <f t="shared" si="10"/>
        <v>326.28458028329692</v>
      </c>
      <c r="P15" s="375">
        <f t="shared" si="10"/>
        <v>380.35340811864251</v>
      </c>
      <c r="Q15" s="375">
        <f t="shared" si="10"/>
        <v>387.83986120353649</v>
      </c>
      <c r="R15" s="109">
        <f t="shared" si="5"/>
        <v>4375</v>
      </c>
      <c r="S15" s="7">
        <f t="shared" si="6"/>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41246.474999999999</v>
      </c>
      <c r="B16" s="15" t="s">
        <v>16</v>
      </c>
      <c r="C16" s="14">
        <f>[6]HIM!$J$20</f>
        <v>100</v>
      </c>
      <c r="D16" s="13">
        <f t="shared" si="8"/>
        <v>4.753303545964445E-3</v>
      </c>
      <c r="E16" s="7"/>
      <c r="F16" s="375">
        <f t="shared" si="9"/>
        <v>8.0996292423234149</v>
      </c>
      <c r="G16" s="375">
        <f t="shared" si="10"/>
        <v>7.733624869284152</v>
      </c>
      <c r="H16" s="375">
        <f t="shared" si="10"/>
        <v>7.4341667458883922</v>
      </c>
      <c r="I16" s="375">
        <f t="shared" si="10"/>
        <v>8.2992679912539202</v>
      </c>
      <c r="J16" s="375">
        <f t="shared" si="10"/>
        <v>8.4276071869949618</v>
      </c>
      <c r="K16" s="375">
        <f t="shared" si="10"/>
        <v>9.2071489685331294</v>
      </c>
      <c r="L16" s="375">
        <f t="shared" si="10"/>
        <v>8.5084133472763561</v>
      </c>
      <c r="M16" s="375">
        <f t="shared" si="10"/>
        <v>9.0217701302405171</v>
      </c>
      <c r="N16" s="375">
        <f t="shared" si="10"/>
        <v>8.2517349557942765</v>
      </c>
      <c r="O16" s="375">
        <f t="shared" si="10"/>
        <v>7.4579332636182141</v>
      </c>
      <c r="P16" s="375">
        <f t="shared" si="10"/>
        <v>8.6937921855689702</v>
      </c>
      <c r="Q16" s="375">
        <f t="shared" si="10"/>
        <v>8.8649111132236893</v>
      </c>
      <c r="R16" s="109">
        <f t="shared" si="5"/>
        <v>99.999999999999986</v>
      </c>
      <c r="S16" s="7">
        <f t="shared" si="6"/>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41250.474999999999</v>
      </c>
      <c r="B17" s="15" t="s">
        <v>15</v>
      </c>
      <c r="C17" s="14"/>
      <c r="D17" s="13">
        <f t="shared" si="8"/>
        <v>0</v>
      </c>
      <c r="E17" s="7"/>
      <c r="F17" s="375">
        <f t="shared" si="9"/>
        <v>0</v>
      </c>
      <c r="G17" s="375">
        <f t="shared" si="10"/>
        <v>0</v>
      </c>
      <c r="H17" s="375">
        <f t="shared" si="10"/>
        <v>0</v>
      </c>
      <c r="I17" s="375">
        <f t="shared" si="10"/>
        <v>0</v>
      </c>
      <c r="J17" s="375">
        <f t="shared" si="10"/>
        <v>0</v>
      </c>
      <c r="K17" s="375">
        <f t="shared" si="10"/>
        <v>0</v>
      </c>
      <c r="L17" s="375">
        <f t="shared" si="10"/>
        <v>0</v>
      </c>
      <c r="M17" s="375">
        <f t="shared" si="10"/>
        <v>0</v>
      </c>
      <c r="N17" s="375">
        <f t="shared" si="10"/>
        <v>0</v>
      </c>
      <c r="O17" s="375">
        <f t="shared" si="10"/>
        <v>0</v>
      </c>
      <c r="P17" s="375">
        <f t="shared" si="10"/>
        <v>0</v>
      </c>
      <c r="Q17" s="375">
        <f t="shared" si="10"/>
        <v>0</v>
      </c>
      <c r="R17" s="109">
        <f t="shared" si="5"/>
        <v>0</v>
      </c>
      <c r="S17" s="7">
        <f t="shared" si="6"/>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41313.474999999999</v>
      </c>
      <c r="B18" s="15" t="s">
        <v>653</v>
      </c>
      <c r="C18" s="14"/>
      <c r="D18" s="13">
        <f t="shared" si="8"/>
        <v>0</v>
      </c>
      <c r="E18" s="7"/>
      <c r="F18" s="375">
        <f t="shared" si="9"/>
        <v>0</v>
      </c>
      <c r="G18" s="375">
        <f t="shared" si="10"/>
        <v>0</v>
      </c>
      <c r="H18" s="375">
        <f t="shared" si="10"/>
        <v>0</v>
      </c>
      <c r="I18" s="375">
        <f t="shared" si="10"/>
        <v>0</v>
      </c>
      <c r="J18" s="375">
        <f t="shared" si="10"/>
        <v>0</v>
      </c>
      <c r="K18" s="375">
        <f t="shared" si="10"/>
        <v>0</v>
      </c>
      <c r="L18" s="375">
        <f t="shared" si="10"/>
        <v>0</v>
      </c>
      <c r="M18" s="375">
        <f t="shared" si="10"/>
        <v>0</v>
      </c>
      <c r="N18" s="375">
        <f t="shared" si="10"/>
        <v>0</v>
      </c>
      <c r="O18" s="375">
        <f t="shared" si="10"/>
        <v>0</v>
      </c>
      <c r="P18" s="375">
        <f t="shared" si="10"/>
        <v>0</v>
      </c>
      <c r="Q18" s="375">
        <f t="shared" si="10"/>
        <v>0</v>
      </c>
      <c r="R18" s="109">
        <f t="shared" si="5"/>
        <v>0</v>
      </c>
      <c r="S18" s="7">
        <f t="shared" si="6"/>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41342.474999999999</v>
      </c>
      <c r="B19" s="15" t="s">
        <v>11</v>
      </c>
      <c r="C19" s="14">
        <f>[6]HIM!$J$21</f>
        <v>900</v>
      </c>
      <c r="D19" s="13">
        <f t="shared" si="8"/>
        <v>4.2779731913680008E-2</v>
      </c>
      <c r="E19" s="7"/>
      <c r="F19" s="375">
        <f t="shared" si="9"/>
        <v>72.896663180910735</v>
      </c>
      <c r="G19" s="375">
        <f t="shared" si="10"/>
        <v>69.60262382355738</v>
      </c>
      <c r="H19" s="375">
        <f t="shared" si="10"/>
        <v>66.907500712995528</v>
      </c>
      <c r="I19" s="375">
        <f t="shared" si="10"/>
        <v>74.693411921285289</v>
      </c>
      <c r="J19" s="375">
        <f t="shared" si="10"/>
        <v>75.848464682954656</v>
      </c>
      <c r="K19" s="375">
        <f t="shared" si="10"/>
        <v>82.864340716798182</v>
      </c>
      <c r="L19" s="375">
        <f t="shared" si="10"/>
        <v>76.575720125487209</v>
      </c>
      <c r="M19" s="375">
        <f t="shared" si="10"/>
        <v>81.195931172164649</v>
      </c>
      <c r="N19" s="375">
        <f t="shared" si="10"/>
        <v>74.265614602148489</v>
      </c>
      <c r="O19" s="375">
        <f t="shared" si="10"/>
        <v>67.121399372563928</v>
      </c>
      <c r="P19" s="375">
        <f t="shared" si="10"/>
        <v>78.244129670120728</v>
      </c>
      <c r="Q19" s="375">
        <f t="shared" si="10"/>
        <v>79.784200019013213</v>
      </c>
      <c r="R19" s="109">
        <f t="shared" si="5"/>
        <v>900</v>
      </c>
      <c r="S19" s="7">
        <f t="shared" si="6"/>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41365.474999999999</v>
      </c>
      <c r="B20" s="15" t="s">
        <v>10</v>
      </c>
      <c r="C20" s="14">
        <f>[6]HIM!$J$22</f>
        <v>13110</v>
      </c>
      <c r="D20" s="13">
        <f t="shared" si="8"/>
        <v>0.62315809487593876</v>
      </c>
      <c r="E20" s="7"/>
      <c r="F20" s="375">
        <f t="shared" si="9"/>
        <v>1061.8613936685997</v>
      </c>
      <c r="G20" s="375">
        <f t="shared" si="10"/>
        <v>1013.8782203631523</v>
      </c>
      <c r="H20" s="375">
        <f t="shared" si="10"/>
        <v>974.61926038596823</v>
      </c>
      <c r="I20" s="375">
        <f t="shared" si="10"/>
        <v>1088.0340336533891</v>
      </c>
      <c r="J20" s="375">
        <f t="shared" si="10"/>
        <v>1104.8593022150394</v>
      </c>
      <c r="K20" s="375">
        <f t="shared" si="10"/>
        <v>1207.0572297746933</v>
      </c>
      <c r="L20" s="375">
        <f t="shared" si="10"/>
        <v>1115.4529898279304</v>
      </c>
      <c r="M20" s="375">
        <f t="shared" si="10"/>
        <v>1182.7540640745317</v>
      </c>
      <c r="N20" s="375">
        <f t="shared" si="10"/>
        <v>1081.8024527046298</v>
      </c>
      <c r="O20" s="375">
        <f t="shared" si="10"/>
        <v>977.73505086034788</v>
      </c>
      <c r="P20" s="375">
        <f t="shared" si="10"/>
        <v>1139.756155528092</v>
      </c>
      <c r="Q20" s="375">
        <f t="shared" si="10"/>
        <v>1162.1898469436258</v>
      </c>
      <c r="R20" s="109">
        <f t="shared" si="5"/>
        <v>13110</v>
      </c>
      <c r="S20" s="7">
        <f t="shared" si="6"/>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41423.474999999999</v>
      </c>
      <c r="B21" s="15" t="s">
        <v>9</v>
      </c>
      <c r="C21" s="14">
        <f>[6]HIM!$J$23</f>
        <v>200</v>
      </c>
      <c r="D21" s="13">
        <f t="shared" si="8"/>
        <v>9.5066070919288901E-3</v>
      </c>
      <c r="E21" s="7"/>
      <c r="F21" s="375">
        <f t="shared" si="9"/>
        <v>16.19925848464683</v>
      </c>
      <c r="G21" s="375">
        <f t="shared" si="9"/>
        <v>15.467249738568304</v>
      </c>
      <c r="H21" s="375">
        <f t="shared" si="9"/>
        <v>14.868333491776784</v>
      </c>
      <c r="I21" s="375">
        <f t="shared" si="9"/>
        <v>16.59853598250784</v>
      </c>
      <c r="J21" s="375">
        <f t="shared" si="9"/>
        <v>16.855214373989924</v>
      </c>
      <c r="K21" s="375">
        <f t="shared" si="9"/>
        <v>18.414297937066259</v>
      </c>
      <c r="L21" s="375">
        <f t="shared" si="9"/>
        <v>17.016826694552712</v>
      </c>
      <c r="M21" s="375">
        <f t="shared" si="9"/>
        <v>18.043540260481034</v>
      </c>
      <c r="N21" s="375">
        <f t="shared" si="9"/>
        <v>16.503469911588553</v>
      </c>
      <c r="O21" s="375">
        <f t="shared" si="9"/>
        <v>14.915866527236428</v>
      </c>
      <c r="P21" s="375">
        <f t="shared" si="9"/>
        <v>17.38758437113794</v>
      </c>
      <c r="Q21" s="375">
        <f t="shared" si="9"/>
        <v>17.729822226447379</v>
      </c>
      <c r="R21" s="109">
        <f t="shared" si="5"/>
        <v>199.99999999999997</v>
      </c>
      <c r="S21" s="7">
        <f t="shared" si="6"/>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41426.474999999999</v>
      </c>
      <c r="B22" s="15" t="s">
        <v>8</v>
      </c>
      <c r="C22" s="14">
        <f>[6]HIM!$J$24</f>
        <v>500</v>
      </c>
      <c r="D22" s="13">
        <f t="shared" si="8"/>
        <v>2.3766517729822228E-2</v>
      </c>
      <c r="E22" s="7"/>
      <c r="F22" s="375">
        <f t="shared" si="9"/>
        <v>40.498146211617076</v>
      </c>
      <c r="G22" s="375">
        <f t="shared" si="9"/>
        <v>38.668124346420768</v>
      </c>
      <c r="H22" s="375">
        <f t="shared" si="9"/>
        <v>37.170833729441966</v>
      </c>
      <c r="I22" s="375">
        <f t="shared" si="9"/>
        <v>41.496339956269608</v>
      </c>
      <c r="J22" s="375">
        <f t="shared" si="9"/>
        <v>42.138035934974809</v>
      </c>
      <c r="K22" s="375">
        <f t="shared" si="9"/>
        <v>46.035744842665657</v>
      </c>
      <c r="L22" s="375">
        <f t="shared" si="9"/>
        <v>42.542066736381791</v>
      </c>
      <c r="M22" s="375">
        <f t="shared" si="9"/>
        <v>45.108850651202587</v>
      </c>
      <c r="N22" s="375">
        <f t="shared" si="9"/>
        <v>41.25867477897139</v>
      </c>
      <c r="O22" s="375">
        <f t="shared" si="9"/>
        <v>37.289666318091072</v>
      </c>
      <c r="P22" s="375">
        <f t="shared" si="9"/>
        <v>43.468960927844854</v>
      </c>
      <c r="Q22" s="375">
        <f t="shared" si="9"/>
        <v>44.324555566118455</v>
      </c>
      <c r="R22" s="109">
        <f t="shared" si="5"/>
        <v>500.00000000000006</v>
      </c>
      <c r="S22" s="7">
        <f t="shared" si="6"/>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41439.474999999999</v>
      </c>
      <c r="B23" s="15" t="s">
        <v>603</v>
      </c>
      <c r="C23" s="14">
        <f>[6]HIM!$J$25</f>
        <v>515</v>
      </c>
      <c r="D23" s="13">
        <f t="shared" si="8"/>
        <v>2.4479513261716893E-2</v>
      </c>
      <c r="E23" s="7"/>
      <c r="F23" s="375">
        <f t="shared" si="9"/>
        <v>41.713090597965582</v>
      </c>
      <c r="G23" s="375">
        <f t="shared" si="9"/>
        <v>39.828168076813384</v>
      </c>
      <c r="H23" s="375">
        <f t="shared" si="9"/>
        <v>38.285958741325217</v>
      </c>
      <c r="I23" s="375">
        <f t="shared" si="9"/>
        <v>42.741230154957691</v>
      </c>
      <c r="J23" s="375">
        <f t="shared" si="9"/>
        <v>43.402177013024051</v>
      </c>
      <c r="K23" s="375">
        <f t="shared" si="9"/>
        <v>47.416817187945618</v>
      </c>
      <c r="L23" s="375">
        <f t="shared" si="9"/>
        <v>43.818328738473241</v>
      </c>
      <c r="M23" s="375">
        <f t="shared" si="9"/>
        <v>46.462116170738661</v>
      </c>
      <c r="N23" s="375">
        <f t="shared" si="9"/>
        <v>42.496435022340528</v>
      </c>
      <c r="O23" s="375">
        <f t="shared" si="9"/>
        <v>38.408356307633802</v>
      </c>
      <c r="P23" s="375">
        <f t="shared" si="9"/>
        <v>44.773029755680199</v>
      </c>
      <c r="Q23" s="375">
        <f t="shared" si="9"/>
        <v>45.654292233102005</v>
      </c>
      <c r="R23" s="109">
        <f t="shared" si="5"/>
        <v>514.99999999999989</v>
      </c>
      <c r="S23" s="7">
        <f t="shared" si="6"/>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41440.474999999999</v>
      </c>
      <c r="B24" s="15" t="s">
        <v>7</v>
      </c>
      <c r="C24" s="14">
        <f>[6]HIM!$J$26</f>
        <v>110</v>
      </c>
      <c r="D24" s="13">
        <f t="shared" si="8"/>
        <v>5.2286339005608896E-3</v>
      </c>
      <c r="E24" s="7"/>
      <c r="F24" s="375">
        <f t="shared" si="9"/>
        <v>8.9095921665557558</v>
      </c>
      <c r="G24" s="375">
        <f t="shared" si="9"/>
        <v>8.5069873562125675</v>
      </c>
      <c r="H24" s="375">
        <f t="shared" si="9"/>
        <v>8.177583420477232</v>
      </c>
      <c r="I24" s="375">
        <f t="shared" si="9"/>
        <v>9.129194790379314</v>
      </c>
      <c r="J24" s="375">
        <f t="shared" si="9"/>
        <v>9.2703679056944566</v>
      </c>
      <c r="K24" s="375">
        <f t="shared" si="9"/>
        <v>10.127863865386443</v>
      </c>
      <c r="L24" s="375">
        <f t="shared" si="9"/>
        <v>9.3592546820039928</v>
      </c>
      <c r="M24" s="375">
        <f t="shared" si="9"/>
        <v>9.9239471432645683</v>
      </c>
      <c r="N24" s="375">
        <f t="shared" si="9"/>
        <v>9.0769084513737042</v>
      </c>
      <c r="O24" s="375">
        <f t="shared" si="9"/>
        <v>8.203726589980036</v>
      </c>
      <c r="P24" s="375">
        <f t="shared" si="9"/>
        <v>9.5631714041258675</v>
      </c>
      <c r="Q24" s="375">
        <f t="shared" si="9"/>
        <v>9.7514022245460588</v>
      </c>
      <c r="R24" s="109">
        <f t="shared" si="5"/>
        <v>109.99999999999999</v>
      </c>
      <c r="S24" s="7">
        <f t="shared" si="6"/>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41460.474999999999</v>
      </c>
      <c r="B25" s="15" t="s">
        <v>6</v>
      </c>
      <c r="C25" s="14">
        <f>[6]HIM!$J$27</f>
        <v>550</v>
      </c>
      <c r="D25" s="13">
        <f t="shared" si="8"/>
        <v>2.6143169502804448E-2</v>
      </c>
      <c r="E25" s="7"/>
      <c r="F25" s="375">
        <f t="shared" si="9"/>
        <v>44.547960832778777</v>
      </c>
      <c r="G25" s="375">
        <f t="shared" si="9"/>
        <v>42.534936781062839</v>
      </c>
      <c r="H25" s="375">
        <f t="shared" si="9"/>
        <v>40.887917102386155</v>
      </c>
      <c r="I25" s="375">
        <f t="shared" si="9"/>
        <v>45.645973951896565</v>
      </c>
      <c r="J25" s="375">
        <f t="shared" si="9"/>
        <v>46.35183952847229</v>
      </c>
      <c r="K25" s="375">
        <f t="shared" si="9"/>
        <v>50.639319326932217</v>
      </c>
      <c r="L25" s="375">
        <f t="shared" si="9"/>
        <v>46.796273410019964</v>
      </c>
      <c r="M25" s="375">
        <f t="shared" si="9"/>
        <v>49.619735716322843</v>
      </c>
      <c r="N25" s="375">
        <f t="shared" si="9"/>
        <v>45.384542256868521</v>
      </c>
      <c r="O25" s="375">
        <f t="shared" si="9"/>
        <v>41.01863294990018</v>
      </c>
      <c r="P25" s="375">
        <f t="shared" si="9"/>
        <v>47.815857020629338</v>
      </c>
      <c r="Q25" s="375">
        <f t="shared" si="9"/>
        <v>48.757011122730297</v>
      </c>
      <c r="R25" s="109">
        <f t="shared" si="5"/>
        <v>550</v>
      </c>
      <c r="S25" s="7">
        <f t="shared" si="6"/>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41461.474999999999</v>
      </c>
      <c r="B26" s="15" t="s">
        <v>5</v>
      </c>
      <c r="C26" s="14"/>
      <c r="D26" s="13">
        <f t="shared" si="8"/>
        <v>0</v>
      </c>
      <c r="E26" s="7"/>
      <c r="F26" s="375">
        <f t="shared" si="9"/>
        <v>0</v>
      </c>
      <c r="G26" s="375">
        <f t="shared" si="9"/>
        <v>0</v>
      </c>
      <c r="H26" s="375">
        <f t="shared" si="9"/>
        <v>0</v>
      </c>
      <c r="I26" s="375">
        <f t="shared" si="9"/>
        <v>0</v>
      </c>
      <c r="J26" s="375">
        <f t="shared" si="9"/>
        <v>0</v>
      </c>
      <c r="K26" s="375">
        <f t="shared" si="9"/>
        <v>0</v>
      </c>
      <c r="L26" s="375">
        <f t="shared" si="9"/>
        <v>0</v>
      </c>
      <c r="M26" s="375">
        <f t="shared" si="9"/>
        <v>0</v>
      </c>
      <c r="N26" s="375">
        <f t="shared" si="9"/>
        <v>0</v>
      </c>
      <c r="O26" s="375">
        <f t="shared" si="9"/>
        <v>0</v>
      </c>
      <c r="P26" s="375">
        <f t="shared" si="9"/>
        <v>0</v>
      </c>
      <c r="Q26" s="375">
        <f t="shared" si="9"/>
        <v>0</v>
      </c>
      <c r="R26" s="109">
        <f t="shared" si="5"/>
        <v>0</v>
      </c>
      <c r="S26" s="7">
        <f t="shared" si="6"/>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41490.474999999999</v>
      </c>
      <c r="B27" s="15" t="s">
        <v>4</v>
      </c>
      <c r="C27" s="14"/>
      <c r="D27" s="13">
        <f t="shared" si="8"/>
        <v>0</v>
      </c>
      <c r="E27" s="7"/>
      <c r="F27" s="375">
        <f t="shared" si="9"/>
        <v>0</v>
      </c>
      <c r="G27" s="375">
        <f t="shared" si="9"/>
        <v>0</v>
      </c>
      <c r="H27" s="375">
        <f t="shared" si="9"/>
        <v>0</v>
      </c>
      <c r="I27" s="375">
        <f t="shared" si="9"/>
        <v>0</v>
      </c>
      <c r="J27" s="375">
        <f t="shared" si="9"/>
        <v>0</v>
      </c>
      <c r="K27" s="375">
        <f t="shared" si="9"/>
        <v>0</v>
      </c>
      <c r="L27" s="375">
        <f t="shared" si="9"/>
        <v>0</v>
      </c>
      <c r="M27" s="375">
        <f t="shared" si="9"/>
        <v>0</v>
      </c>
      <c r="N27" s="375">
        <f t="shared" si="9"/>
        <v>0</v>
      </c>
      <c r="O27" s="375">
        <f t="shared" si="9"/>
        <v>0</v>
      </c>
      <c r="P27" s="375">
        <f t="shared" si="9"/>
        <v>0</v>
      </c>
      <c r="Q27" s="375">
        <f t="shared" si="9"/>
        <v>0</v>
      </c>
      <c r="R27" s="109">
        <f t="shared" si="5"/>
        <v>0</v>
      </c>
      <c r="S27" s="7">
        <f t="shared" si="6"/>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41509.474999999999</v>
      </c>
      <c r="B28" s="15" t="s">
        <v>3</v>
      </c>
      <c r="C28" s="14">
        <f>[6]HIM!$J$28</f>
        <v>21180</v>
      </c>
      <c r="D28" s="13">
        <f t="shared" si="8"/>
        <v>1.0067496910352696</v>
      </c>
      <c r="E28" s="7"/>
      <c r="F28" s="375">
        <f t="shared" si="9"/>
        <v>1715.5014735240993</v>
      </c>
      <c r="G28" s="375">
        <f t="shared" si="9"/>
        <v>1637.9817473143835</v>
      </c>
      <c r="H28" s="375">
        <f t="shared" si="9"/>
        <v>1574.5565167791617</v>
      </c>
      <c r="I28" s="375">
        <f t="shared" si="9"/>
        <v>1757.7849605475806</v>
      </c>
      <c r="J28" s="375">
        <f t="shared" si="9"/>
        <v>1784.9672022055329</v>
      </c>
      <c r="K28" s="375">
        <f t="shared" si="9"/>
        <v>1950.0741515353172</v>
      </c>
      <c r="L28" s="375">
        <f t="shared" si="9"/>
        <v>1802.0819469531325</v>
      </c>
      <c r="M28" s="375">
        <f t="shared" si="9"/>
        <v>1910.8109135849415</v>
      </c>
      <c r="N28" s="375">
        <f t="shared" si="9"/>
        <v>1747.7174636372279</v>
      </c>
      <c r="O28" s="375">
        <f t="shared" si="9"/>
        <v>1579.5902652343379</v>
      </c>
      <c r="P28" s="375">
        <f t="shared" si="9"/>
        <v>1841.345184903508</v>
      </c>
      <c r="Q28" s="375">
        <f t="shared" si="9"/>
        <v>1877.5881737807777</v>
      </c>
      <c r="R28" s="109">
        <f t="shared" si="5"/>
        <v>21180</v>
      </c>
      <c r="S28" s="7">
        <f t="shared" si="6"/>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41570.474999999999</v>
      </c>
      <c r="B29" s="15" t="s">
        <v>2</v>
      </c>
      <c r="C29" s="14"/>
      <c r="D29" s="13">
        <f t="shared" si="8"/>
        <v>0</v>
      </c>
      <c r="E29" s="7"/>
      <c r="F29" s="375">
        <f t="shared" si="9"/>
        <v>0</v>
      </c>
      <c r="G29" s="375">
        <f t="shared" si="9"/>
        <v>0</v>
      </c>
      <c r="H29" s="375">
        <f t="shared" si="9"/>
        <v>0</v>
      </c>
      <c r="I29" s="375">
        <f t="shared" si="9"/>
        <v>0</v>
      </c>
      <c r="J29" s="375">
        <f t="shared" si="9"/>
        <v>0</v>
      </c>
      <c r="K29" s="375">
        <f t="shared" si="9"/>
        <v>0</v>
      </c>
      <c r="L29" s="375">
        <f t="shared" si="9"/>
        <v>0</v>
      </c>
      <c r="M29" s="375">
        <f t="shared" si="9"/>
        <v>0</v>
      </c>
      <c r="N29" s="375">
        <f t="shared" si="9"/>
        <v>0</v>
      </c>
      <c r="O29" s="375">
        <f t="shared" si="9"/>
        <v>0</v>
      </c>
      <c r="P29" s="375">
        <f t="shared" si="9"/>
        <v>0</v>
      </c>
      <c r="Q29" s="375">
        <f t="shared" si="9"/>
        <v>0</v>
      </c>
      <c r="R29" s="109">
        <f t="shared" si="5"/>
        <v>0</v>
      </c>
      <c r="S29" s="7">
        <f t="shared" si="6"/>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41571.474999999999</v>
      </c>
      <c r="B30" s="15" t="s">
        <v>1</v>
      </c>
      <c r="C30" s="14">
        <f>[6]HIM!$J$29</f>
        <v>975</v>
      </c>
      <c r="D30" s="13">
        <f t="shared" si="8"/>
        <v>4.6344709573153342E-2</v>
      </c>
      <c r="E30" s="7"/>
      <c r="F30" s="375">
        <f t="shared" ref="F30:Q30" si="11">$D30*F$4</f>
        <v>78.971385112653294</v>
      </c>
      <c r="G30" s="375">
        <f t="shared" si="11"/>
        <v>75.402842475520487</v>
      </c>
      <c r="H30" s="375">
        <f t="shared" si="11"/>
        <v>72.483125772411825</v>
      </c>
      <c r="I30" s="375">
        <f t="shared" si="11"/>
        <v>80.917862914725731</v>
      </c>
      <c r="J30" s="375">
        <f t="shared" si="11"/>
        <v>82.169170073200874</v>
      </c>
      <c r="K30" s="375">
        <f t="shared" si="11"/>
        <v>89.769702443198028</v>
      </c>
      <c r="L30" s="375">
        <f t="shared" si="11"/>
        <v>82.957030135944478</v>
      </c>
      <c r="M30" s="375">
        <f t="shared" si="11"/>
        <v>87.96225876984505</v>
      </c>
      <c r="N30" s="375">
        <f t="shared" si="11"/>
        <v>80.454415818994207</v>
      </c>
      <c r="O30" s="375">
        <f t="shared" si="11"/>
        <v>72.714849320277594</v>
      </c>
      <c r="P30" s="375">
        <f t="shared" si="11"/>
        <v>84.764473809297456</v>
      </c>
      <c r="Q30" s="375">
        <f t="shared" si="11"/>
        <v>86.43288335393099</v>
      </c>
      <c r="R30" s="109">
        <f t="shared" si="5"/>
        <v>975</v>
      </c>
      <c r="S30" s="7">
        <f t="shared" si="6"/>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5" customFormat="1" x14ac:dyDescent="0.2">
      <c r="A31" s="11"/>
      <c r="B31" s="10" t="s">
        <v>0</v>
      </c>
      <c r="C31" s="8">
        <f>SUM(C10:C30)</f>
        <v>215772.5821019022</v>
      </c>
      <c r="D31" s="9">
        <f>SUM(D10:D30)</f>
        <v>21.620140995994635</v>
      </c>
      <c r="E31" s="104"/>
      <c r="F31" s="395">
        <f t="shared" ref="F31:Q31" si="12">SUM(F10:F30)</f>
        <v>18158.584893357278</v>
      </c>
      <c r="G31" s="395">
        <f t="shared" si="12"/>
        <v>17528.299827031136</v>
      </c>
      <c r="H31" s="395">
        <f t="shared" si="12"/>
        <v>17875.663512997926</v>
      </c>
      <c r="I31" s="395">
        <f t="shared" si="12"/>
        <v>18243.461307465081</v>
      </c>
      <c r="J31" s="395">
        <f t="shared" si="12"/>
        <v>16873.989795148886</v>
      </c>
      <c r="K31" s="395">
        <f t="shared" si="12"/>
        <v>18629.446904955341</v>
      </c>
      <c r="L31" s="395">
        <f t="shared" si="12"/>
        <v>17857.70114844952</v>
      </c>
      <c r="M31" s="395">
        <f t="shared" si="12"/>
        <v>18550.63309185523</v>
      </c>
      <c r="N31" s="395">
        <f t="shared" si="12"/>
        <v>17748.574330310912</v>
      </c>
      <c r="O31" s="395">
        <f t="shared" si="12"/>
        <v>17885.767848010761</v>
      </c>
      <c r="P31" s="395">
        <f t="shared" si="12"/>
        <v>18411.193268678122</v>
      </c>
      <c r="Q31" s="395">
        <f t="shared" si="12"/>
        <v>18009.26617364203</v>
      </c>
      <c r="R31" s="109">
        <f t="shared" si="5"/>
        <v>215772.58210190223</v>
      </c>
      <c r="S31" s="104">
        <f t="shared" si="6"/>
        <v>0</v>
      </c>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row>
    <row r="32" spans="1:58" x14ac:dyDescent="0.2">
      <c r="F32" s="3"/>
      <c r="R32" s="96"/>
    </row>
    <row r="33" spans="1:58" x14ac:dyDescent="0.2">
      <c r="A33" s="4"/>
      <c r="C33" s="3"/>
      <c r="F33" s="3"/>
      <c r="G33" s="3"/>
      <c r="H33" s="3"/>
      <c r="I33" s="3"/>
      <c r="J33" s="3"/>
      <c r="K33" s="3"/>
      <c r="L33" s="3"/>
      <c r="M33" s="3"/>
      <c r="N33" s="3"/>
      <c r="O33" s="3"/>
      <c r="P33" s="3"/>
      <c r="Q33" s="3"/>
      <c r="R33" s="96"/>
    </row>
    <row r="34" spans="1:58" x14ac:dyDescent="0.2">
      <c r="A34" s="4"/>
      <c r="C34" s="3"/>
      <c r="F34" s="3"/>
      <c r="G34" s="3"/>
      <c r="H34" s="3"/>
      <c r="I34" s="3"/>
      <c r="J34" s="3"/>
      <c r="K34" s="3"/>
      <c r="L34" s="3"/>
      <c r="M34" s="3"/>
      <c r="N34" s="3"/>
      <c r="O34" s="3"/>
      <c r="P34" s="3"/>
      <c r="Q34" s="3"/>
      <c r="R34" s="96"/>
    </row>
    <row r="35" spans="1:58" s="3" customFormat="1" ht="11.25" x14ac:dyDescent="0.2">
      <c r="A35" s="2"/>
      <c r="B35" s="2"/>
      <c r="D35" s="4"/>
      <c r="E35" s="4"/>
      <c r="R35" s="96"/>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row>
    <row r="36" spans="1:58" x14ac:dyDescent="0.2">
      <c r="R36" s="96"/>
    </row>
    <row r="37" spans="1:58" x14ac:dyDescent="0.2">
      <c r="R37" s="96"/>
    </row>
  </sheetData>
  <mergeCells count="1">
    <mergeCell ref="A8:D8"/>
  </mergeCells>
  <printOptions gridLines="1"/>
  <pageMargins left="0.25" right="0.25" top="0.75" bottom="0.75" header="0.3" footer="0.3"/>
  <pageSetup scale="55" orientation="landscape" r:id="rId1"/>
  <headerFooter alignWithMargins="0">
    <oddHeader xml:space="preserve">&amp;C&amp;"Arial,Bold"&amp;14DOCTORS MEMORIAL HOSPITAL
FY 2017 BUDGET
</oddHeader>
    <oddFooter xml:space="preserve">&amp;R&amp;A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35"/>
  <sheetViews>
    <sheetView zoomScale="80" zoomScaleNormal="80" workbookViewId="0">
      <pane xSplit="2" ySplit="6" topLeftCell="C7" activePane="bottomRight" state="frozen"/>
      <selection pane="topRight" activeCell="C1" sqref="C1"/>
      <selection pane="bottomLeft" activeCell="A7" sqref="A7"/>
      <selection pane="bottomRight" activeCell="C38" sqref="C38"/>
    </sheetView>
  </sheetViews>
  <sheetFormatPr defaultRowHeight="12.75" x14ac:dyDescent="0.2"/>
  <cols>
    <col min="1" max="1" width="11" style="2" bestFit="1" customWidth="1"/>
    <col min="2" max="2" width="27.42578125" style="2" customWidth="1"/>
    <col min="3" max="3" width="13" style="2" customWidth="1"/>
    <col min="4" max="4" width="8.28515625" style="4" customWidth="1"/>
    <col min="5" max="5" width="3.85546875" style="4" customWidth="1"/>
    <col min="6" max="6" width="14.42578125" style="2" customWidth="1"/>
    <col min="7" max="7" width="14.7109375" style="2" customWidth="1"/>
    <col min="8" max="8" width="15.42578125" style="2" customWidth="1"/>
    <col min="9" max="9" width="14.42578125" style="2" customWidth="1"/>
    <col min="10" max="10" width="14" style="2" customWidth="1"/>
    <col min="11" max="11" width="14.7109375" style="2" customWidth="1"/>
    <col min="12" max="12" width="15.140625" style="2" customWidth="1"/>
    <col min="13" max="13" width="15.42578125" style="2" customWidth="1"/>
    <col min="14" max="14" width="14" style="2" customWidth="1"/>
    <col min="15" max="15" width="15.42578125" style="2" customWidth="1"/>
    <col min="16" max="16" width="15" style="2" customWidth="1"/>
    <col min="17" max="17" width="14.7109375" style="2" customWidth="1"/>
    <col min="18" max="18" width="16.7109375" style="3" customWidth="1"/>
    <col min="19" max="19" width="11.7109375" style="2" bestFit="1" customWidth="1"/>
    <col min="20" max="58" width="9.140625" style="2"/>
    <col min="59" max="16384" width="9.140625" style="1"/>
  </cols>
  <sheetData>
    <row r="1" spans="1:58" ht="12.75" customHeight="1" x14ac:dyDescent="0.2">
      <c r="C1" s="205"/>
      <c r="D1" s="207"/>
      <c r="E1" s="207"/>
      <c r="F1" s="205" t="s">
        <v>49</v>
      </c>
      <c r="G1" s="205" t="s">
        <v>48</v>
      </c>
      <c r="H1" s="205" t="s">
        <v>47</v>
      </c>
      <c r="I1" s="205" t="s">
        <v>46</v>
      </c>
      <c r="J1" s="205" t="s">
        <v>45</v>
      </c>
      <c r="K1" s="205" t="s">
        <v>44</v>
      </c>
      <c r="L1" s="205" t="s">
        <v>43</v>
      </c>
      <c r="M1" s="205" t="s">
        <v>42</v>
      </c>
      <c r="N1" s="205" t="s">
        <v>41</v>
      </c>
      <c r="O1" s="205" t="s">
        <v>40</v>
      </c>
      <c r="P1" s="205" t="s">
        <v>39</v>
      </c>
      <c r="Q1" s="205" t="s">
        <v>38</v>
      </c>
      <c r="R1" s="206"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209" t="s">
        <v>192</v>
      </c>
      <c r="C2" s="171">
        <f>STATS!D100</f>
        <v>13190</v>
      </c>
      <c r="D2" s="207"/>
      <c r="E2" s="207"/>
      <c r="F2" s="2">
        <f>'MO STATS'!E96</f>
        <v>980</v>
      </c>
      <c r="G2" s="2">
        <f>'MO STATS'!F96</f>
        <v>871</v>
      </c>
      <c r="H2" s="2">
        <f>'MO STATS'!G96</f>
        <v>911</v>
      </c>
      <c r="I2" s="2">
        <f>'MO STATS'!H96</f>
        <v>905</v>
      </c>
      <c r="J2" s="2">
        <f>'MO STATS'!I96</f>
        <v>1086</v>
      </c>
      <c r="K2" s="2">
        <f>'MO STATS'!J96</f>
        <v>1309</v>
      </c>
      <c r="L2" s="2">
        <f>'MO STATS'!K96</f>
        <v>968</v>
      </c>
      <c r="M2" s="2">
        <f>'MO STATS'!L96</f>
        <v>965</v>
      </c>
      <c r="N2" s="2">
        <f>'MO STATS'!M96</f>
        <v>1135</v>
      </c>
      <c r="O2" s="2">
        <f>'MO STATS'!N96</f>
        <v>1428</v>
      </c>
      <c r="P2" s="2">
        <f>'MO STATS'!O96</f>
        <v>1364</v>
      </c>
      <c r="Q2" s="4">
        <f>'MO STATS'!P96</f>
        <v>1268</v>
      </c>
      <c r="R2" s="6">
        <f>SUM(F2:Q2)</f>
        <v>13190</v>
      </c>
      <c r="S2" s="34">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209" t="s">
        <v>194</v>
      </c>
      <c r="C3" s="4">
        <f>STATS!D101</f>
        <v>14658</v>
      </c>
      <c r="F3" s="2">
        <f>'MO STATS'!E97</f>
        <v>1265</v>
      </c>
      <c r="G3" s="2">
        <f>'MO STATS'!F97</f>
        <v>1340</v>
      </c>
      <c r="H3" s="2">
        <f>'MO STATS'!G97</f>
        <v>1142</v>
      </c>
      <c r="I3" s="2">
        <f>'MO STATS'!H97</f>
        <v>1203</v>
      </c>
      <c r="J3" s="2">
        <f>'MO STATS'!I97</f>
        <v>1149</v>
      </c>
      <c r="K3" s="2">
        <f>'MO STATS'!J97</f>
        <v>1289</v>
      </c>
      <c r="L3" s="2">
        <f>'MO STATS'!K97</f>
        <v>1206</v>
      </c>
      <c r="M3" s="2">
        <f>'MO STATS'!L97</f>
        <v>982</v>
      </c>
      <c r="N3" s="2">
        <f>'MO STATS'!M97</f>
        <v>1200</v>
      </c>
      <c r="O3" s="2">
        <f>'MO STATS'!N97</f>
        <v>1212</v>
      </c>
      <c r="P3" s="2">
        <f>'MO STATS'!O97</f>
        <v>1348</v>
      </c>
      <c r="Q3" s="4">
        <f>'MO STATS'!P97</f>
        <v>1322</v>
      </c>
      <c r="R3" s="6">
        <f t="shared" ref="R3:R6" si="0">SUM(F3:Q3)</f>
        <v>14658</v>
      </c>
      <c r="S3" s="34">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209" t="s">
        <v>196</v>
      </c>
      <c r="C4" s="4">
        <f>C2+C3</f>
        <v>27848</v>
      </c>
      <c r="F4" s="2">
        <f>'MO STATS'!E98</f>
        <v>2245</v>
      </c>
      <c r="G4" s="2">
        <f>'MO STATS'!F98</f>
        <v>2211</v>
      </c>
      <c r="H4" s="2">
        <f>'MO STATS'!G98</f>
        <v>2053</v>
      </c>
      <c r="I4" s="2">
        <f>'MO STATS'!H98</f>
        <v>2108</v>
      </c>
      <c r="J4" s="2">
        <f>'MO STATS'!I98</f>
        <v>2235</v>
      </c>
      <c r="K4" s="2">
        <f>'MO STATS'!J98</f>
        <v>2598</v>
      </c>
      <c r="L4" s="2">
        <f>'MO STATS'!K98</f>
        <v>2174</v>
      </c>
      <c r="M4" s="2">
        <f>'MO STATS'!L98</f>
        <v>1947</v>
      </c>
      <c r="N4" s="2">
        <f>'MO STATS'!M98</f>
        <v>2335</v>
      </c>
      <c r="O4" s="2">
        <f>'MO STATS'!N98</f>
        <v>2640</v>
      </c>
      <c r="P4" s="2">
        <f>'MO STATS'!O98</f>
        <v>2712</v>
      </c>
      <c r="Q4" s="4">
        <f>'MO STATS'!P98</f>
        <v>2590</v>
      </c>
      <c r="R4" s="6">
        <f t="shared" si="0"/>
        <v>27848</v>
      </c>
      <c r="S4" s="34">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B5" s="38" t="s">
        <v>940</v>
      </c>
      <c r="C5" s="421">
        <f>'[4]2017 FTEs'!$AS$50</f>
        <v>7.85</v>
      </c>
      <c r="R5" s="96"/>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B6" s="38" t="s">
        <v>939</v>
      </c>
      <c r="C6" s="2">
        <f>C5*2080</f>
        <v>16328</v>
      </c>
      <c r="F6" s="421">
        <f>($C6/$R7)*F7</f>
        <v>1386.7616438356165</v>
      </c>
      <c r="G6" s="421">
        <f t="shared" ref="G6:Q6" si="2">($C6/$R7)*G7</f>
        <v>1342.027397260274</v>
      </c>
      <c r="H6" s="421">
        <f t="shared" si="2"/>
        <v>1386.7616438356165</v>
      </c>
      <c r="I6" s="421">
        <f t="shared" si="2"/>
        <v>1386.7616438356165</v>
      </c>
      <c r="J6" s="421">
        <f t="shared" si="2"/>
        <v>1252.5589041095891</v>
      </c>
      <c r="K6" s="421">
        <f t="shared" si="2"/>
        <v>1386.7616438356165</v>
      </c>
      <c r="L6" s="421">
        <f t="shared" si="2"/>
        <v>1342.027397260274</v>
      </c>
      <c r="M6" s="421">
        <f t="shared" si="2"/>
        <v>1386.7616438356165</v>
      </c>
      <c r="N6" s="421">
        <f t="shared" si="2"/>
        <v>1342.027397260274</v>
      </c>
      <c r="O6" s="421">
        <f t="shared" si="2"/>
        <v>1386.7616438356165</v>
      </c>
      <c r="P6" s="421">
        <f t="shared" si="2"/>
        <v>1386.7616438356165</v>
      </c>
      <c r="Q6" s="421">
        <f t="shared" si="2"/>
        <v>1342.027397260274</v>
      </c>
      <c r="R6" s="6">
        <f t="shared" si="0"/>
        <v>16327.999999999998</v>
      </c>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F7" s="2">
        <v>31</v>
      </c>
      <c r="G7" s="2">
        <v>30</v>
      </c>
      <c r="H7" s="2">
        <v>31</v>
      </c>
      <c r="I7" s="2">
        <v>31</v>
      </c>
      <c r="J7" s="2">
        <v>28</v>
      </c>
      <c r="K7" s="2">
        <v>31</v>
      </c>
      <c r="L7" s="2">
        <v>30</v>
      </c>
      <c r="M7" s="2">
        <v>31</v>
      </c>
      <c r="N7" s="2">
        <v>30</v>
      </c>
      <c r="O7" s="2">
        <v>31</v>
      </c>
      <c r="P7" s="2">
        <v>31</v>
      </c>
      <c r="Q7" s="2">
        <v>30</v>
      </c>
      <c r="R7" s="6">
        <f t="shared" ref="R7" si="3">SUM(F7:Q7)</f>
        <v>365</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07"/>
      <c r="R8" s="96"/>
    </row>
    <row r="9" spans="1:58" x14ac:dyDescent="0.2">
      <c r="A9" s="21"/>
      <c r="B9" s="10" t="s">
        <v>656</v>
      </c>
      <c r="C9" s="20"/>
      <c r="D9" s="19" t="s">
        <v>596</v>
      </c>
      <c r="E9" s="111"/>
      <c r="R9" s="96"/>
    </row>
    <row r="10" spans="1:58" s="12" customFormat="1" x14ac:dyDescent="0.2">
      <c r="A10" s="87">
        <v>41101.478000000003</v>
      </c>
      <c r="B10" s="15" t="s">
        <v>22</v>
      </c>
      <c r="C10" s="428">
        <f>[6]Dietary!$J$15</f>
        <v>157515.76799999998</v>
      </c>
      <c r="D10" s="429">
        <f>$C10/C$6</f>
        <v>9.6469725624693758</v>
      </c>
      <c r="E10" s="7"/>
      <c r="F10" s="375">
        <f>$D10*F$6</f>
        <v>13378.051528767121</v>
      </c>
      <c r="G10" s="375">
        <f t="shared" ref="G10:Q10" si="4">$D10*G$6</f>
        <v>12946.501479452052</v>
      </c>
      <c r="H10" s="375">
        <f t="shared" si="4"/>
        <v>13378.051528767121</v>
      </c>
      <c r="I10" s="375">
        <f t="shared" si="4"/>
        <v>13378.051528767121</v>
      </c>
      <c r="J10" s="375">
        <f t="shared" si="4"/>
        <v>12083.401380821915</v>
      </c>
      <c r="K10" s="375">
        <f t="shared" si="4"/>
        <v>13378.051528767121</v>
      </c>
      <c r="L10" s="375">
        <f t="shared" si="4"/>
        <v>12946.501479452052</v>
      </c>
      <c r="M10" s="375">
        <f t="shared" si="4"/>
        <v>13378.051528767121</v>
      </c>
      <c r="N10" s="375">
        <f t="shared" si="4"/>
        <v>12946.501479452052</v>
      </c>
      <c r="O10" s="375">
        <f t="shared" si="4"/>
        <v>13378.051528767121</v>
      </c>
      <c r="P10" s="375">
        <f t="shared" si="4"/>
        <v>13378.051528767121</v>
      </c>
      <c r="Q10" s="375">
        <f t="shared" si="4"/>
        <v>12946.501479452052</v>
      </c>
      <c r="R10" s="109">
        <f t="shared" ref="R10:R31" si="5">SUM(F10:Q10)</f>
        <v>157515.76799999995</v>
      </c>
      <c r="S10" s="7">
        <f t="shared" ref="S10:S31" si="6">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41110.478000000003</v>
      </c>
      <c r="B11" s="15" t="s">
        <v>21</v>
      </c>
      <c r="C11" s="428">
        <f>[6]Dietary!$J$16</f>
        <v>17501.752</v>
      </c>
      <c r="D11" s="429">
        <f>$C11/C$6</f>
        <v>1.0718858402743754</v>
      </c>
      <c r="E11" s="7"/>
      <c r="F11" s="375">
        <f t="shared" ref="F11:Q14" si="7">$D11*F$6</f>
        <v>1486.4501698630138</v>
      </c>
      <c r="G11" s="375">
        <f t="shared" si="7"/>
        <v>1438.5001643835619</v>
      </c>
      <c r="H11" s="375">
        <f t="shared" si="7"/>
        <v>1486.4501698630138</v>
      </c>
      <c r="I11" s="375">
        <f t="shared" si="7"/>
        <v>1486.4501698630138</v>
      </c>
      <c r="J11" s="375">
        <f t="shared" si="7"/>
        <v>1342.6001534246577</v>
      </c>
      <c r="K11" s="375">
        <f t="shared" si="7"/>
        <v>1486.4501698630138</v>
      </c>
      <c r="L11" s="375">
        <f t="shared" si="7"/>
        <v>1438.5001643835619</v>
      </c>
      <c r="M11" s="375">
        <f t="shared" si="7"/>
        <v>1486.4501698630138</v>
      </c>
      <c r="N11" s="375">
        <f t="shared" si="7"/>
        <v>1438.5001643835619</v>
      </c>
      <c r="O11" s="375">
        <f t="shared" si="7"/>
        <v>1486.4501698630138</v>
      </c>
      <c r="P11" s="375">
        <f t="shared" si="7"/>
        <v>1486.4501698630138</v>
      </c>
      <c r="Q11" s="375">
        <f t="shared" si="7"/>
        <v>1438.5001643835619</v>
      </c>
      <c r="R11" s="109">
        <f t="shared" si="5"/>
        <v>17501.752000000004</v>
      </c>
      <c r="S11" s="7">
        <f t="shared" si="6"/>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ht="15" x14ac:dyDescent="0.25">
      <c r="A12" s="87">
        <v>41115.478000000003</v>
      </c>
      <c r="B12" s="15" t="s">
        <v>20</v>
      </c>
      <c r="C12" s="625">
        <f>[6]Dietary!$J$17</f>
        <v>1300</v>
      </c>
      <c r="D12" s="429">
        <f>$C12/C$6</f>
        <v>7.9617834394904455E-2</v>
      </c>
      <c r="E12" s="7"/>
      <c r="F12" s="375">
        <f t="shared" si="7"/>
        <v>110.41095890410959</v>
      </c>
      <c r="G12" s="375">
        <f t="shared" si="7"/>
        <v>106.84931506849315</v>
      </c>
      <c r="H12" s="375">
        <f t="shared" si="7"/>
        <v>110.41095890410959</v>
      </c>
      <c r="I12" s="375">
        <f t="shared" si="7"/>
        <v>110.41095890410959</v>
      </c>
      <c r="J12" s="375">
        <f t="shared" si="7"/>
        <v>99.726027397260268</v>
      </c>
      <c r="K12" s="375">
        <f t="shared" si="7"/>
        <v>110.41095890410959</v>
      </c>
      <c r="L12" s="375">
        <f t="shared" si="7"/>
        <v>106.84931506849315</v>
      </c>
      <c r="M12" s="375">
        <f t="shared" si="7"/>
        <v>110.41095890410959</v>
      </c>
      <c r="N12" s="375">
        <f t="shared" si="7"/>
        <v>106.84931506849315</v>
      </c>
      <c r="O12" s="375">
        <f t="shared" si="7"/>
        <v>110.41095890410959</v>
      </c>
      <c r="P12" s="375">
        <f t="shared" si="7"/>
        <v>110.41095890410959</v>
      </c>
      <c r="Q12" s="375">
        <f t="shared" si="7"/>
        <v>106.84931506849315</v>
      </c>
      <c r="R12" s="109">
        <f t="shared" si="5"/>
        <v>1300</v>
      </c>
      <c r="S12" s="7">
        <f t="shared" si="6"/>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ht="15" x14ac:dyDescent="0.25">
      <c r="A13" s="87">
        <v>41150.478000000003</v>
      </c>
      <c r="B13" s="15" t="s">
        <v>19</v>
      </c>
      <c r="C13" s="625">
        <f>[6]Dietary!$J$18</f>
        <v>13488.290279999999</v>
      </c>
      <c r="D13" s="429">
        <f t="shared" ref="D13:D14" si="8">$C13/C$6</f>
        <v>0.82608343214110724</v>
      </c>
      <c r="E13" s="7"/>
      <c r="F13" s="375">
        <f t="shared" si="7"/>
        <v>1145.5808183013698</v>
      </c>
      <c r="G13" s="375">
        <f t="shared" si="7"/>
        <v>1108.6265983561643</v>
      </c>
      <c r="H13" s="375">
        <f t="shared" si="7"/>
        <v>1145.5808183013698</v>
      </c>
      <c r="I13" s="375">
        <f t="shared" si="7"/>
        <v>1145.5808183013698</v>
      </c>
      <c r="J13" s="375">
        <f t="shared" si="7"/>
        <v>1034.7181584657535</v>
      </c>
      <c r="K13" s="375">
        <f t="shared" si="7"/>
        <v>1145.5808183013698</v>
      </c>
      <c r="L13" s="375">
        <f t="shared" si="7"/>
        <v>1108.6265983561643</v>
      </c>
      <c r="M13" s="375">
        <f t="shared" si="7"/>
        <v>1145.5808183013698</v>
      </c>
      <c r="N13" s="375">
        <f t="shared" si="7"/>
        <v>1108.6265983561643</v>
      </c>
      <c r="O13" s="375">
        <f t="shared" si="7"/>
        <v>1145.5808183013698</v>
      </c>
      <c r="P13" s="375">
        <f t="shared" si="7"/>
        <v>1145.5808183013698</v>
      </c>
      <c r="Q13" s="375">
        <f t="shared" si="7"/>
        <v>1108.6265983561643</v>
      </c>
      <c r="R13" s="109">
        <f t="shared" si="5"/>
        <v>13488.290280000001</v>
      </c>
      <c r="S13" s="7">
        <f t="shared" si="6"/>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41152.478000000003</v>
      </c>
      <c r="B14" s="15" t="s">
        <v>18</v>
      </c>
      <c r="C14" s="428"/>
      <c r="D14" s="429">
        <f t="shared" si="8"/>
        <v>0</v>
      </c>
      <c r="E14" s="7"/>
      <c r="F14" s="375">
        <f t="shared" si="7"/>
        <v>0</v>
      </c>
      <c r="G14" s="375">
        <f t="shared" si="7"/>
        <v>0</v>
      </c>
      <c r="H14" s="375">
        <f t="shared" si="7"/>
        <v>0</v>
      </c>
      <c r="I14" s="375">
        <f t="shared" si="7"/>
        <v>0</v>
      </c>
      <c r="J14" s="375">
        <f t="shared" si="7"/>
        <v>0</v>
      </c>
      <c r="K14" s="375">
        <f t="shared" si="7"/>
        <v>0</v>
      </c>
      <c r="L14" s="375">
        <f t="shared" si="7"/>
        <v>0</v>
      </c>
      <c r="M14" s="375">
        <f t="shared" si="7"/>
        <v>0</v>
      </c>
      <c r="N14" s="375">
        <f t="shared" si="7"/>
        <v>0</v>
      </c>
      <c r="O14" s="375">
        <f t="shared" si="7"/>
        <v>0</v>
      </c>
      <c r="P14" s="375">
        <f t="shared" si="7"/>
        <v>0</v>
      </c>
      <c r="Q14" s="375">
        <f t="shared" si="7"/>
        <v>0</v>
      </c>
      <c r="R14" s="109">
        <f t="shared" si="5"/>
        <v>0</v>
      </c>
      <c r="S14" s="7">
        <f t="shared" si="6"/>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41236.478000000003</v>
      </c>
      <c r="B15" s="15" t="s">
        <v>657</v>
      </c>
      <c r="C15" s="14">
        <f>[6]Dietary!$J$19</f>
        <v>98000</v>
      </c>
      <c r="D15" s="13">
        <f t="shared" ref="D15:D30" si="9">$C15/C$4</f>
        <v>3.5191037058316574</v>
      </c>
      <c r="E15" s="7"/>
      <c r="F15" s="375">
        <f t="shared" ref="F15:Q29" si="10">$D15*F$4</f>
        <v>7900.3878195920706</v>
      </c>
      <c r="G15" s="375">
        <f t="shared" ref="G15:Q20" si="11">$D15*G$4</f>
        <v>7780.7382935937949</v>
      </c>
      <c r="H15" s="375">
        <f t="shared" si="11"/>
        <v>7224.7199080723931</v>
      </c>
      <c r="I15" s="375">
        <f t="shared" si="11"/>
        <v>7418.2706118931337</v>
      </c>
      <c r="J15" s="375">
        <f t="shared" si="11"/>
        <v>7865.1967825337542</v>
      </c>
      <c r="K15" s="375">
        <f t="shared" si="11"/>
        <v>9142.6314277506463</v>
      </c>
      <c r="L15" s="375">
        <f t="shared" si="11"/>
        <v>7650.5314564780228</v>
      </c>
      <c r="M15" s="375">
        <f t="shared" si="11"/>
        <v>6851.6949152542375</v>
      </c>
      <c r="N15" s="375">
        <f t="shared" si="11"/>
        <v>8217.10715311692</v>
      </c>
      <c r="O15" s="375">
        <f t="shared" si="11"/>
        <v>9290.433783395576</v>
      </c>
      <c r="P15" s="375">
        <f t="shared" si="11"/>
        <v>9543.8092502154541</v>
      </c>
      <c r="Q15" s="375">
        <f t="shared" si="11"/>
        <v>9114.4785981039931</v>
      </c>
      <c r="R15" s="109">
        <f t="shared" ref="R15" si="12">SUM(F15:Q15)</f>
        <v>97999.999999999985</v>
      </c>
      <c r="S15" s="7">
        <f t="shared" ref="S15" si="13">C15-R15</f>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41237.478000000003</v>
      </c>
      <c r="B16" s="15" t="s">
        <v>17</v>
      </c>
      <c r="C16" s="14">
        <f>[6]Dietary!$J$20</f>
        <v>18650</v>
      </c>
      <c r="D16" s="13">
        <f t="shared" si="9"/>
        <v>0.66970698075265733</v>
      </c>
      <c r="E16" s="7"/>
      <c r="F16" s="375">
        <f t="shared" si="10"/>
        <v>1503.4921717897157</v>
      </c>
      <c r="G16" s="375">
        <f t="shared" si="11"/>
        <v>1480.7221344441255</v>
      </c>
      <c r="H16" s="375">
        <f t="shared" si="11"/>
        <v>1374.9084314852055</v>
      </c>
      <c r="I16" s="375">
        <f t="shared" si="11"/>
        <v>1411.7423154266016</v>
      </c>
      <c r="J16" s="375">
        <f t="shared" si="11"/>
        <v>1496.7951019821892</v>
      </c>
      <c r="K16" s="375">
        <f t="shared" si="11"/>
        <v>1739.8987359954037</v>
      </c>
      <c r="L16" s="375">
        <f t="shared" si="11"/>
        <v>1455.9429761562772</v>
      </c>
      <c r="M16" s="375">
        <f t="shared" si="11"/>
        <v>1303.9194915254238</v>
      </c>
      <c r="N16" s="375">
        <f t="shared" si="11"/>
        <v>1563.765800057455</v>
      </c>
      <c r="O16" s="375">
        <f t="shared" si="11"/>
        <v>1768.0264291870153</v>
      </c>
      <c r="P16" s="375">
        <f t="shared" si="11"/>
        <v>1816.2453318012067</v>
      </c>
      <c r="Q16" s="375">
        <f t="shared" si="11"/>
        <v>1734.5410801493824</v>
      </c>
      <c r="R16" s="109">
        <f t="shared" si="5"/>
        <v>18650.000000000004</v>
      </c>
      <c r="S16" s="7">
        <f t="shared" si="6"/>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41246.478000000003</v>
      </c>
      <c r="B17" s="15" t="s">
        <v>980</v>
      </c>
      <c r="C17" s="14"/>
      <c r="D17" s="13">
        <f t="shared" si="9"/>
        <v>0</v>
      </c>
      <c r="E17" s="7"/>
      <c r="F17" s="375">
        <f t="shared" si="10"/>
        <v>0</v>
      </c>
      <c r="G17" s="375">
        <f t="shared" si="10"/>
        <v>0</v>
      </c>
      <c r="H17" s="375">
        <f t="shared" si="10"/>
        <v>0</v>
      </c>
      <c r="I17" s="375">
        <f t="shared" si="10"/>
        <v>0</v>
      </c>
      <c r="J17" s="375">
        <f t="shared" si="10"/>
        <v>0</v>
      </c>
      <c r="K17" s="375">
        <f t="shared" si="10"/>
        <v>0</v>
      </c>
      <c r="L17" s="375">
        <f t="shared" si="10"/>
        <v>0</v>
      </c>
      <c r="M17" s="375">
        <f t="shared" si="10"/>
        <v>0</v>
      </c>
      <c r="N17" s="375">
        <f t="shared" si="10"/>
        <v>0</v>
      </c>
      <c r="O17" s="375">
        <f t="shared" si="10"/>
        <v>0</v>
      </c>
      <c r="P17" s="375">
        <f t="shared" si="10"/>
        <v>0</v>
      </c>
      <c r="Q17" s="375">
        <f t="shared" si="10"/>
        <v>0</v>
      </c>
      <c r="R17" s="379">
        <f t="shared" si="5"/>
        <v>0</v>
      </c>
      <c r="S17" s="7"/>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12" customFormat="1" x14ac:dyDescent="0.2">
      <c r="A18" s="87">
        <v>41265.478000000003</v>
      </c>
      <c r="B18" s="15" t="s">
        <v>365</v>
      </c>
      <c r="C18" s="14">
        <f>[6]Dietary!$J$21</f>
        <v>-645</v>
      </c>
      <c r="D18" s="13">
        <f t="shared" si="9"/>
        <v>-2.3161447859810398E-2</v>
      </c>
      <c r="E18" s="7"/>
      <c r="F18" s="375">
        <f t="shared" si="10"/>
        <v>-51.997450445274346</v>
      </c>
      <c r="G18" s="375">
        <f t="shared" si="10"/>
        <v>-51.209961218040789</v>
      </c>
      <c r="H18" s="375">
        <f t="shared" si="10"/>
        <v>-47.550452456190747</v>
      </c>
      <c r="I18" s="375">
        <f t="shared" si="10"/>
        <v>-48.824332088480318</v>
      </c>
      <c r="J18" s="375">
        <f t="shared" si="10"/>
        <v>-51.765835966676242</v>
      </c>
      <c r="K18" s="375">
        <f t="shared" si="10"/>
        <v>-60.173441539787412</v>
      </c>
      <c r="L18" s="375">
        <f t="shared" si="10"/>
        <v>-50.352987647227806</v>
      </c>
      <c r="M18" s="375">
        <f t="shared" si="10"/>
        <v>-45.095338983050844</v>
      </c>
      <c r="N18" s="375">
        <f t="shared" si="10"/>
        <v>-54.08198075265728</v>
      </c>
      <c r="O18" s="375">
        <f t="shared" si="10"/>
        <v>-61.146222349899453</v>
      </c>
      <c r="P18" s="375">
        <f t="shared" si="10"/>
        <v>-62.813846595805799</v>
      </c>
      <c r="Q18" s="375">
        <f t="shared" si="10"/>
        <v>-59.988149956908934</v>
      </c>
      <c r="R18" s="109">
        <f t="shared" ref="R18" si="14">SUM(F18:Q18)</f>
        <v>-645</v>
      </c>
      <c r="S18" s="7">
        <f t="shared" ref="S18" si="15">C18-R18</f>
        <v>0</v>
      </c>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row>
    <row r="19" spans="1:58" s="12" customFormat="1" x14ac:dyDescent="0.2">
      <c r="A19" s="87">
        <v>41313.478000000003</v>
      </c>
      <c r="B19" s="15" t="s">
        <v>653</v>
      </c>
      <c r="C19" s="14"/>
      <c r="D19" s="13">
        <f t="shared" si="9"/>
        <v>0</v>
      </c>
      <c r="E19" s="7"/>
      <c r="F19" s="375">
        <f t="shared" si="10"/>
        <v>0</v>
      </c>
      <c r="G19" s="375">
        <f t="shared" si="11"/>
        <v>0</v>
      </c>
      <c r="H19" s="375">
        <f t="shared" si="11"/>
        <v>0</v>
      </c>
      <c r="I19" s="375">
        <f t="shared" si="11"/>
        <v>0</v>
      </c>
      <c r="J19" s="375">
        <f t="shared" si="11"/>
        <v>0</v>
      </c>
      <c r="K19" s="375">
        <f t="shared" si="11"/>
        <v>0</v>
      </c>
      <c r="L19" s="375">
        <f t="shared" si="11"/>
        <v>0</v>
      </c>
      <c r="M19" s="375">
        <f t="shared" si="11"/>
        <v>0</v>
      </c>
      <c r="N19" s="375">
        <f t="shared" si="11"/>
        <v>0</v>
      </c>
      <c r="O19" s="375">
        <f t="shared" si="11"/>
        <v>0</v>
      </c>
      <c r="P19" s="375">
        <f t="shared" si="11"/>
        <v>0</v>
      </c>
      <c r="Q19" s="375">
        <f t="shared" si="11"/>
        <v>0</v>
      </c>
      <c r="R19" s="109">
        <f t="shared" si="5"/>
        <v>0</v>
      </c>
      <c r="S19" s="7">
        <f t="shared" si="6"/>
        <v>0</v>
      </c>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row>
    <row r="20" spans="1:58" s="12" customFormat="1" x14ac:dyDescent="0.2">
      <c r="A20" s="87">
        <v>41365.478000000003</v>
      </c>
      <c r="B20" s="15" t="s">
        <v>10</v>
      </c>
      <c r="C20" s="14">
        <f>[6]Dietary!$J$22</f>
        <v>4760</v>
      </c>
      <c r="D20" s="13">
        <f t="shared" si="9"/>
        <v>0.17092789428325195</v>
      </c>
      <c r="E20" s="7"/>
      <c r="F20" s="375">
        <f t="shared" si="10"/>
        <v>383.73312266590062</v>
      </c>
      <c r="G20" s="375">
        <f t="shared" si="11"/>
        <v>377.92157426027006</v>
      </c>
      <c r="H20" s="375">
        <f t="shared" si="11"/>
        <v>350.91496696351624</v>
      </c>
      <c r="I20" s="375">
        <f t="shared" si="11"/>
        <v>360.31600114909509</v>
      </c>
      <c r="J20" s="375">
        <f t="shared" si="11"/>
        <v>382.02384372306813</v>
      </c>
      <c r="K20" s="375">
        <f t="shared" si="11"/>
        <v>444.07066934788855</v>
      </c>
      <c r="L20" s="375">
        <f t="shared" si="11"/>
        <v>371.59724217178973</v>
      </c>
      <c r="M20" s="375">
        <f t="shared" si="11"/>
        <v>332.79661016949154</v>
      </c>
      <c r="N20" s="375">
        <f t="shared" si="11"/>
        <v>399.11663315139327</v>
      </c>
      <c r="O20" s="375">
        <f t="shared" si="11"/>
        <v>451.24964090778514</v>
      </c>
      <c r="P20" s="375">
        <f t="shared" si="11"/>
        <v>463.55644929617927</v>
      </c>
      <c r="Q20" s="375">
        <f t="shared" si="11"/>
        <v>442.70324619362253</v>
      </c>
      <c r="R20" s="109">
        <f t="shared" si="5"/>
        <v>4760</v>
      </c>
      <c r="S20" s="7">
        <f t="shared" si="6"/>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41423.478000000003</v>
      </c>
      <c r="B21" s="15" t="s">
        <v>9</v>
      </c>
      <c r="C21" s="14"/>
      <c r="D21" s="13">
        <f t="shared" si="9"/>
        <v>0</v>
      </c>
      <c r="E21" s="7"/>
      <c r="F21" s="375">
        <f t="shared" si="10"/>
        <v>0</v>
      </c>
      <c r="G21" s="375">
        <f t="shared" si="10"/>
        <v>0</v>
      </c>
      <c r="H21" s="375">
        <f t="shared" si="10"/>
        <v>0</v>
      </c>
      <c r="I21" s="375">
        <f t="shared" si="10"/>
        <v>0</v>
      </c>
      <c r="J21" s="375">
        <f t="shared" si="10"/>
        <v>0</v>
      </c>
      <c r="K21" s="375">
        <f t="shared" si="10"/>
        <v>0</v>
      </c>
      <c r="L21" s="375">
        <f t="shared" si="10"/>
        <v>0</v>
      </c>
      <c r="M21" s="375">
        <f t="shared" si="10"/>
        <v>0</v>
      </c>
      <c r="N21" s="375">
        <f t="shared" si="10"/>
        <v>0</v>
      </c>
      <c r="O21" s="375">
        <f t="shared" si="10"/>
        <v>0</v>
      </c>
      <c r="P21" s="375">
        <f t="shared" si="10"/>
        <v>0</v>
      </c>
      <c r="Q21" s="375">
        <f t="shared" si="10"/>
        <v>0</v>
      </c>
      <c r="R21" s="109">
        <f t="shared" si="5"/>
        <v>0</v>
      </c>
      <c r="S21" s="7">
        <f t="shared" si="6"/>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41426.478000000003</v>
      </c>
      <c r="B22" s="15" t="s">
        <v>8</v>
      </c>
      <c r="C22" s="14"/>
      <c r="D22" s="13">
        <f t="shared" si="9"/>
        <v>0</v>
      </c>
      <c r="E22" s="7"/>
      <c r="F22" s="375">
        <f t="shared" si="10"/>
        <v>0</v>
      </c>
      <c r="G22" s="375">
        <f t="shared" si="10"/>
        <v>0</v>
      </c>
      <c r="H22" s="375">
        <f t="shared" si="10"/>
        <v>0</v>
      </c>
      <c r="I22" s="375">
        <f t="shared" si="10"/>
        <v>0</v>
      </c>
      <c r="J22" s="375">
        <f t="shared" si="10"/>
        <v>0</v>
      </c>
      <c r="K22" s="375">
        <f t="shared" si="10"/>
        <v>0</v>
      </c>
      <c r="L22" s="375">
        <f t="shared" si="10"/>
        <v>0</v>
      </c>
      <c r="M22" s="375">
        <f t="shared" si="10"/>
        <v>0</v>
      </c>
      <c r="N22" s="375">
        <f t="shared" si="10"/>
        <v>0</v>
      </c>
      <c r="O22" s="375">
        <f t="shared" si="10"/>
        <v>0</v>
      </c>
      <c r="P22" s="375">
        <f t="shared" si="10"/>
        <v>0</v>
      </c>
      <c r="Q22" s="375">
        <f t="shared" si="10"/>
        <v>0</v>
      </c>
      <c r="R22" s="109">
        <f t="shared" si="5"/>
        <v>0</v>
      </c>
      <c r="S22" s="7">
        <f t="shared" si="6"/>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41439.478000000003</v>
      </c>
      <c r="B23" s="15" t="s">
        <v>603</v>
      </c>
      <c r="C23" s="14">
        <f>[6]Dietary!$J$23</f>
        <v>279</v>
      </c>
      <c r="D23" s="13">
        <f t="shared" si="9"/>
        <v>1.0018672795173801E-2</v>
      </c>
      <c r="E23" s="7"/>
      <c r="F23" s="375">
        <f t="shared" si="10"/>
        <v>22.491920425165183</v>
      </c>
      <c r="G23" s="375">
        <f t="shared" si="10"/>
        <v>22.151285550129273</v>
      </c>
      <c r="H23" s="375">
        <f t="shared" si="10"/>
        <v>20.568335248491813</v>
      </c>
      <c r="I23" s="375">
        <f t="shared" si="10"/>
        <v>21.119362252226374</v>
      </c>
      <c r="J23" s="375">
        <f t="shared" si="10"/>
        <v>22.391733697213446</v>
      </c>
      <c r="K23" s="375">
        <f t="shared" si="10"/>
        <v>26.028511921861536</v>
      </c>
      <c r="L23" s="375">
        <f t="shared" si="10"/>
        <v>21.780594656707844</v>
      </c>
      <c r="M23" s="375">
        <f t="shared" si="10"/>
        <v>19.506355932203391</v>
      </c>
      <c r="N23" s="375">
        <f t="shared" si="10"/>
        <v>23.393600976730827</v>
      </c>
      <c r="O23" s="375">
        <f t="shared" si="10"/>
        <v>26.449296179258834</v>
      </c>
      <c r="P23" s="375">
        <f t="shared" si="10"/>
        <v>27.17064062051135</v>
      </c>
      <c r="Q23" s="375">
        <f t="shared" si="10"/>
        <v>25.948362539500145</v>
      </c>
      <c r="R23" s="109">
        <f t="shared" si="5"/>
        <v>279</v>
      </c>
      <c r="S23" s="7">
        <f t="shared" si="6"/>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41440.478000000003</v>
      </c>
      <c r="B24" s="15" t="s">
        <v>7</v>
      </c>
      <c r="C24" s="14"/>
      <c r="D24" s="13">
        <f t="shared" si="9"/>
        <v>0</v>
      </c>
      <c r="E24" s="7"/>
      <c r="F24" s="375">
        <f t="shared" si="10"/>
        <v>0</v>
      </c>
      <c r="G24" s="375">
        <f t="shared" si="10"/>
        <v>0</v>
      </c>
      <c r="H24" s="375">
        <f t="shared" si="10"/>
        <v>0</v>
      </c>
      <c r="I24" s="375">
        <f t="shared" si="10"/>
        <v>0</v>
      </c>
      <c r="J24" s="375">
        <f t="shared" si="10"/>
        <v>0</v>
      </c>
      <c r="K24" s="375">
        <f t="shared" si="10"/>
        <v>0</v>
      </c>
      <c r="L24" s="375">
        <f t="shared" si="10"/>
        <v>0</v>
      </c>
      <c r="M24" s="375">
        <f t="shared" si="10"/>
        <v>0</v>
      </c>
      <c r="N24" s="375">
        <f t="shared" si="10"/>
        <v>0</v>
      </c>
      <c r="O24" s="375">
        <f t="shared" si="10"/>
        <v>0</v>
      </c>
      <c r="P24" s="375">
        <f t="shared" si="10"/>
        <v>0</v>
      </c>
      <c r="Q24" s="375">
        <f t="shared" si="10"/>
        <v>0</v>
      </c>
      <c r="R24" s="109">
        <f t="shared" si="5"/>
        <v>0</v>
      </c>
      <c r="S24" s="7">
        <f t="shared" si="6"/>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41460.478000000003</v>
      </c>
      <c r="B25" s="15" t="s">
        <v>6</v>
      </c>
      <c r="C25" s="14"/>
      <c r="D25" s="13">
        <f t="shared" si="9"/>
        <v>0</v>
      </c>
      <c r="E25" s="7"/>
      <c r="F25" s="375">
        <f t="shared" si="10"/>
        <v>0</v>
      </c>
      <c r="G25" s="375">
        <f t="shared" si="10"/>
        <v>0</v>
      </c>
      <c r="H25" s="375">
        <f t="shared" si="10"/>
        <v>0</v>
      </c>
      <c r="I25" s="375">
        <f t="shared" si="10"/>
        <v>0</v>
      </c>
      <c r="J25" s="375">
        <f t="shared" si="10"/>
        <v>0</v>
      </c>
      <c r="K25" s="375">
        <f t="shared" si="10"/>
        <v>0</v>
      </c>
      <c r="L25" s="375">
        <f t="shared" si="10"/>
        <v>0</v>
      </c>
      <c r="M25" s="375">
        <f t="shared" si="10"/>
        <v>0</v>
      </c>
      <c r="N25" s="375">
        <f t="shared" si="10"/>
        <v>0</v>
      </c>
      <c r="O25" s="375">
        <f t="shared" si="10"/>
        <v>0</v>
      </c>
      <c r="P25" s="375">
        <f t="shared" si="10"/>
        <v>0</v>
      </c>
      <c r="Q25" s="375">
        <f t="shared" si="10"/>
        <v>0</v>
      </c>
      <c r="R25" s="109">
        <f t="shared" si="5"/>
        <v>0</v>
      </c>
      <c r="S25" s="7">
        <f t="shared" si="6"/>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41461.478000000003</v>
      </c>
      <c r="B26" s="15" t="s">
        <v>5</v>
      </c>
      <c r="C26" s="14"/>
      <c r="D26" s="13">
        <f t="shared" si="9"/>
        <v>0</v>
      </c>
      <c r="E26" s="7"/>
      <c r="F26" s="375">
        <f t="shared" si="10"/>
        <v>0</v>
      </c>
      <c r="G26" s="375">
        <f t="shared" si="10"/>
        <v>0</v>
      </c>
      <c r="H26" s="375">
        <f t="shared" si="10"/>
        <v>0</v>
      </c>
      <c r="I26" s="375">
        <f t="shared" si="10"/>
        <v>0</v>
      </c>
      <c r="J26" s="375">
        <f t="shared" si="10"/>
        <v>0</v>
      </c>
      <c r="K26" s="375">
        <f t="shared" si="10"/>
        <v>0</v>
      </c>
      <c r="L26" s="375">
        <f t="shared" si="10"/>
        <v>0</v>
      </c>
      <c r="M26" s="375">
        <f t="shared" si="10"/>
        <v>0</v>
      </c>
      <c r="N26" s="375">
        <f t="shared" si="10"/>
        <v>0</v>
      </c>
      <c r="O26" s="375">
        <f t="shared" si="10"/>
        <v>0</v>
      </c>
      <c r="P26" s="375">
        <f t="shared" si="10"/>
        <v>0</v>
      </c>
      <c r="Q26" s="375">
        <f t="shared" si="10"/>
        <v>0</v>
      </c>
      <c r="R26" s="109">
        <f t="shared" si="5"/>
        <v>0</v>
      </c>
      <c r="S26" s="7">
        <f t="shared" si="6"/>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x14ac:dyDescent="0.2">
      <c r="A27" s="87">
        <v>41490.478000000003</v>
      </c>
      <c r="B27" s="15" t="s">
        <v>4</v>
      </c>
      <c r="C27" s="14"/>
      <c r="D27" s="13">
        <f t="shared" si="9"/>
        <v>0</v>
      </c>
      <c r="E27" s="7"/>
      <c r="F27" s="375">
        <f t="shared" si="10"/>
        <v>0</v>
      </c>
      <c r="G27" s="375">
        <f t="shared" si="10"/>
        <v>0</v>
      </c>
      <c r="H27" s="375">
        <f t="shared" si="10"/>
        <v>0</v>
      </c>
      <c r="I27" s="375">
        <f t="shared" si="10"/>
        <v>0</v>
      </c>
      <c r="J27" s="375">
        <f t="shared" si="10"/>
        <v>0</v>
      </c>
      <c r="K27" s="375">
        <f t="shared" si="10"/>
        <v>0</v>
      </c>
      <c r="L27" s="375">
        <f t="shared" si="10"/>
        <v>0</v>
      </c>
      <c r="M27" s="375">
        <f t="shared" si="10"/>
        <v>0</v>
      </c>
      <c r="N27" s="375">
        <f t="shared" si="10"/>
        <v>0</v>
      </c>
      <c r="O27" s="375">
        <f t="shared" si="10"/>
        <v>0</v>
      </c>
      <c r="P27" s="375">
        <f t="shared" si="10"/>
        <v>0</v>
      </c>
      <c r="Q27" s="375">
        <f t="shared" si="10"/>
        <v>0</v>
      </c>
      <c r="R27" s="109">
        <f t="shared" si="5"/>
        <v>0</v>
      </c>
      <c r="S27" s="7">
        <f t="shared" si="6"/>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41509.478000000003</v>
      </c>
      <c r="B28" s="15" t="s">
        <v>3</v>
      </c>
      <c r="C28" s="14"/>
      <c r="D28" s="13">
        <f t="shared" si="9"/>
        <v>0</v>
      </c>
      <c r="E28" s="7"/>
      <c r="F28" s="375">
        <f t="shared" si="10"/>
        <v>0</v>
      </c>
      <c r="G28" s="375">
        <f t="shared" si="10"/>
        <v>0</v>
      </c>
      <c r="H28" s="375">
        <f t="shared" si="10"/>
        <v>0</v>
      </c>
      <c r="I28" s="375">
        <f t="shared" si="10"/>
        <v>0</v>
      </c>
      <c r="J28" s="375">
        <f t="shared" si="10"/>
        <v>0</v>
      </c>
      <c r="K28" s="375">
        <f t="shared" si="10"/>
        <v>0</v>
      </c>
      <c r="L28" s="375">
        <f t="shared" si="10"/>
        <v>0</v>
      </c>
      <c r="M28" s="375">
        <f t="shared" si="10"/>
        <v>0</v>
      </c>
      <c r="N28" s="375">
        <f t="shared" si="10"/>
        <v>0</v>
      </c>
      <c r="O28" s="375">
        <f t="shared" si="10"/>
        <v>0</v>
      </c>
      <c r="P28" s="375">
        <f t="shared" si="10"/>
        <v>0</v>
      </c>
      <c r="Q28" s="375">
        <f t="shared" si="10"/>
        <v>0</v>
      </c>
      <c r="R28" s="109">
        <f t="shared" si="5"/>
        <v>0</v>
      </c>
      <c r="S28" s="7">
        <f t="shared" si="6"/>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41570.478000000003</v>
      </c>
      <c r="B29" s="15" t="s">
        <v>2</v>
      </c>
      <c r="C29" s="14">
        <f>[6]Dietary!$J$24</f>
        <v>4145</v>
      </c>
      <c r="D29" s="13">
        <f t="shared" si="9"/>
        <v>0.14884372306808388</v>
      </c>
      <c r="E29" s="7"/>
      <c r="F29" s="375">
        <f t="shared" si="10"/>
        <v>334.1541582878483</v>
      </c>
      <c r="G29" s="375">
        <f t="shared" si="10"/>
        <v>329.09347170353345</v>
      </c>
      <c r="H29" s="375">
        <f t="shared" si="10"/>
        <v>305.57616345877619</v>
      </c>
      <c r="I29" s="375">
        <f t="shared" si="10"/>
        <v>313.76256822752083</v>
      </c>
      <c r="J29" s="375">
        <f t="shared" si="10"/>
        <v>332.6657210571675</v>
      </c>
      <c r="K29" s="375">
        <f t="shared" si="10"/>
        <v>386.69599253088194</v>
      </c>
      <c r="L29" s="375">
        <f t="shared" si="10"/>
        <v>323.58625395001434</v>
      </c>
      <c r="M29" s="375">
        <f t="shared" si="10"/>
        <v>289.79872881355931</v>
      </c>
      <c r="N29" s="375">
        <f t="shared" si="10"/>
        <v>347.55009336397586</v>
      </c>
      <c r="O29" s="375">
        <f t="shared" si="10"/>
        <v>392.94742889974145</v>
      </c>
      <c r="P29" s="375">
        <f t="shared" si="10"/>
        <v>403.66417696064349</v>
      </c>
      <c r="Q29" s="375">
        <f t="shared" si="10"/>
        <v>385.50524274633727</v>
      </c>
      <c r="R29" s="109">
        <f t="shared" si="5"/>
        <v>4145</v>
      </c>
      <c r="S29" s="7">
        <f t="shared" si="6"/>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41571.478000000003</v>
      </c>
      <c r="B30" s="15" t="s">
        <v>1</v>
      </c>
      <c r="C30" s="14"/>
      <c r="D30" s="13">
        <f t="shared" si="9"/>
        <v>0</v>
      </c>
      <c r="E30" s="7"/>
      <c r="F30" s="375">
        <f t="shared" ref="F30:Q30" si="16">$D30*F$4</f>
        <v>0</v>
      </c>
      <c r="G30" s="375">
        <f t="shared" si="16"/>
        <v>0</v>
      </c>
      <c r="H30" s="375">
        <f t="shared" si="16"/>
        <v>0</v>
      </c>
      <c r="I30" s="375">
        <f t="shared" si="16"/>
        <v>0</v>
      </c>
      <c r="J30" s="375">
        <f t="shared" si="16"/>
        <v>0</v>
      </c>
      <c r="K30" s="375">
        <f t="shared" si="16"/>
        <v>0</v>
      </c>
      <c r="L30" s="375">
        <f t="shared" si="16"/>
        <v>0</v>
      </c>
      <c r="M30" s="375">
        <f t="shared" si="16"/>
        <v>0</v>
      </c>
      <c r="N30" s="375">
        <f t="shared" si="16"/>
        <v>0</v>
      </c>
      <c r="O30" s="375">
        <f t="shared" si="16"/>
        <v>0</v>
      </c>
      <c r="P30" s="375">
        <f t="shared" si="16"/>
        <v>0</v>
      </c>
      <c r="Q30" s="375">
        <f t="shared" si="16"/>
        <v>0</v>
      </c>
      <c r="R30" s="109">
        <f t="shared" si="5"/>
        <v>0</v>
      </c>
      <c r="S30" s="7">
        <f t="shared" si="6"/>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5" customFormat="1" x14ac:dyDescent="0.2">
      <c r="A31" s="11"/>
      <c r="B31" s="10" t="s">
        <v>0</v>
      </c>
      <c r="C31" s="8">
        <f>SUM(C10:C30)</f>
        <v>314994.81027999998</v>
      </c>
      <c r="D31" s="9">
        <f>SUM(D10:D30)</f>
        <v>16.119999198150779</v>
      </c>
      <c r="E31" s="104"/>
      <c r="F31" s="395">
        <f t="shared" ref="F31:Q31" si="17">SUM(F10:F30)</f>
        <v>26212.75521815104</v>
      </c>
      <c r="G31" s="395">
        <f t="shared" si="17"/>
        <v>25539.894355594086</v>
      </c>
      <c r="H31" s="395">
        <f t="shared" si="17"/>
        <v>25349.630828607802</v>
      </c>
      <c r="I31" s="395">
        <f t="shared" si="17"/>
        <v>25596.880002695711</v>
      </c>
      <c r="J31" s="395">
        <f t="shared" si="17"/>
        <v>24607.753067136306</v>
      </c>
      <c r="K31" s="395">
        <f t="shared" si="17"/>
        <v>27799.645371842507</v>
      </c>
      <c r="L31" s="395">
        <f t="shared" si="17"/>
        <v>25373.563093025859</v>
      </c>
      <c r="M31" s="395">
        <f t="shared" si="17"/>
        <v>24873.114238547478</v>
      </c>
      <c r="N31" s="395">
        <f t="shared" si="17"/>
        <v>26097.328857174089</v>
      </c>
      <c r="O31" s="395">
        <f t="shared" si="17"/>
        <v>27988.453832055093</v>
      </c>
      <c r="P31" s="395">
        <f t="shared" si="17"/>
        <v>28312.125478133803</v>
      </c>
      <c r="Q31" s="395">
        <f t="shared" si="17"/>
        <v>27243.665937036196</v>
      </c>
      <c r="R31" s="109">
        <f t="shared" si="5"/>
        <v>314994.81027999998</v>
      </c>
      <c r="S31" s="104">
        <f t="shared" si="6"/>
        <v>0</v>
      </c>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row>
    <row r="32" spans="1:58" x14ac:dyDescent="0.2">
      <c r="F32" s="3"/>
    </row>
    <row r="33" spans="1:58" x14ac:dyDescent="0.2">
      <c r="A33" s="4"/>
      <c r="C33" s="3"/>
      <c r="F33" s="3"/>
      <c r="G33" s="3"/>
      <c r="H33" s="3"/>
      <c r="I33" s="3"/>
      <c r="J33" s="3"/>
      <c r="K33" s="3"/>
      <c r="L33" s="3"/>
      <c r="M33" s="3"/>
      <c r="N33" s="3"/>
      <c r="O33" s="3"/>
      <c r="P33" s="3"/>
      <c r="Q33" s="3"/>
    </row>
    <row r="34" spans="1:58" x14ac:dyDescent="0.2">
      <c r="A34" s="4"/>
      <c r="C34" s="3"/>
      <c r="F34" s="3"/>
      <c r="G34" s="3"/>
      <c r="H34" s="3"/>
      <c r="I34" s="3"/>
      <c r="J34" s="3"/>
      <c r="K34" s="3"/>
      <c r="L34" s="3"/>
      <c r="M34" s="3"/>
      <c r="N34" s="3"/>
      <c r="O34" s="3"/>
      <c r="P34" s="3"/>
      <c r="Q34" s="3"/>
    </row>
    <row r="35" spans="1:58" s="3" customFormat="1" ht="11.25" x14ac:dyDescent="0.2">
      <c r="A35" s="2"/>
      <c r="B35" s="2"/>
      <c r="D35" s="4"/>
      <c r="E35" s="4"/>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row>
  </sheetData>
  <mergeCells count="1">
    <mergeCell ref="A8:D8"/>
  </mergeCells>
  <printOptions gridLines="1"/>
  <pageMargins left="0.25" right="0.25" top="0.75" bottom="0.75" header="0.3" footer="0.3"/>
  <pageSetup scale="53" orientation="landscape" r:id="rId1"/>
  <headerFooter alignWithMargins="0">
    <oddHeader xml:space="preserve">&amp;C&amp;"Arial,Bold"&amp;14DOCTORS MEMORIAL HOSPITAL
FY 2017 BUDGET
</oddHeader>
    <oddFooter xml:space="preserve">&amp;R&amp;A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143"/>
  <sheetViews>
    <sheetView topLeftCell="A16" zoomScaleNormal="100" workbookViewId="0">
      <selection activeCell="O34" sqref="O34"/>
    </sheetView>
  </sheetViews>
  <sheetFormatPr defaultRowHeight="12.75" x14ac:dyDescent="0.2"/>
  <cols>
    <col min="1" max="1" width="25.28515625" style="160" customWidth="1"/>
    <col min="2" max="2" width="8.7109375" style="310" customWidth="1"/>
    <col min="3" max="3" width="9.85546875" style="261" bestFit="1" customWidth="1"/>
    <col min="4" max="4" width="8.85546875" style="268" bestFit="1" customWidth="1"/>
    <col min="5" max="5" width="7" style="264" customWidth="1"/>
    <col min="6" max="16" width="7.140625" style="264" customWidth="1"/>
    <col min="17" max="17" width="7.7109375" style="258" customWidth="1"/>
    <col min="18" max="19" width="9.140625" style="2" customWidth="1"/>
    <col min="20" max="21" width="10.7109375" style="2" bestFit="1" customWidth="1"/>
    <col min="22" max="31" width="10.7109375" style="1" bestFit="1" customWidth="1"/>
    <col min="32" max="32" width="12" style="1" bestFit="1" customWidth="1"/>
    <col min="33" max="33" width="14" style="1" bestFit="1" customWidth="1"/>
    <col min="34" max="256" width="9.140625" style="1"/>
    <col min="257" max="257" width="27.7109375" style="1" bestFit="1" customWidth="1"/>
    <col min="258" max="258" width="8.7109375" style="1" customWidth="1"/>
    <col min="259" max="260" width="8.85546875" style="1" bestFit="1" customWidth="1"/>
    <col min="261" max="272" width="5.28515625" style="1" bestFit="1" customWidth="1"/>
    <col min="273" max="273" width="7.7109375" style="1" bestFit="1" customWidth="1"/>
    <col min="274" max="512" width="9.140625" style="1"/>
    <col min="513" max="513" width="27.7109375" style="1" bestFit="1" customWidth="1"/>
    <col min="514" max="514" width="8.7109375" style="1" customWidth="1"/>
    <col min="515" max="516" width="8.85546875" style="1" bestFit="1" customWidth="1"/>
    <col min="517" max="528" width="5.28515625" style="1" bestFit="1" customWidth="1"/>
    <col min="529" max="529" width="7.7109375" style="1" bestFit="1" customWidth="1"/>
    <col min="530" max="768" width="9.140625" style="1"/>
    <col min="769" max="769" width="27.7109375" style="1" bestFit="1" customWidth="1"/>
    <col min="770" max="770" width="8.7109375" style="1" customWidth="1"/>
    <col min="771" max="772" width="8.85546875" style="1" bestFit="1" customWidth="1"/>
    <col min="773" max="784" width="5.28515625" style="1" bestFit="1" customWidth="1"/>
    <col min="785" max="785" width="7.7109375" style="1" bestFit="1" customWidth="1"/>
    <col min="786" max="1024" width="9.140625" style="1"/>
    <col min="1025" max="1025" width="27.7109375" style="1" bestFit="1" customWidth="1"/>
    <col min="1026" max="1026" width="8.7109375" style="1" customWidth="1"/>
    <col min="1027" max="1028" width="8.85546875" style="1" bestFit="1" customWidth="1"/>
    <col min="1029" max="1040" width="5.28515625" style="1" bestFit="1" customWidth="1"/>
    <col min="1041" max="1041" width="7.7109375" style="1" bestFit="1" customWidth="1"/>
    <col min="1042" max="1280" width="9.140625" style="1"/>
    <col min="1281" max="1281" width="27.7109375" style="1" bestFit="1" customWidth="1"/>
    <col min="1282" max="1282" width="8.7109375" style="1" customWidth="1"/>
    <col min="1283" max="1284" width="8.85546875" style="1" bestFit="1" customWidth="1"/>
    <col min="1285" max="1296" width="5.28515625" style="1" bestFit="1" customWidth="1"/>
    <col min="1297" max="1297" width="7.7109375" style="1" bestFit="1" customWidth="1"/>
    <col min="1298" max="1536" width="9.140625" style="1"/>
    <col min="1537" max="1537" width="27.7109375" style="1" bestFit="1" customWidth="1"/>
    <col min="1538" max="1538" width="8.7109375" style="1" customWidth="1"/>
    <col min="1539" max="1540" width="8.85546875" style="1" bestFit="1" customWidth="1"/>
    <col min="1541" max="1552" width="5.28515625" style="1" bestFit="1" customWidth="1"/>
    <col min="1553" max="1553" width="7.7109375" style="1" bestFit="1" customWidth="1"/>
    <col min="1554" max="1792" width="9.140625" style="1"/>
    <col min="1793" max="1793" width="27.7109375" style="1" bestFit="1" customWidth="1"/>
    <col min="1794" max="1794" width="8.7109375" style="1" customWidth="1"/>
    <col min="1795" max="1796" width="8.85546875" style="1" bestFit="1" customWidth="1"/>
    <col min="1797" max="1808" width="5.28515625" style="1" bestFit="1" customWidth="1"/>
    <col min="1809" max="1809" width="7.7109375" style="1" bestFit="1" customWidth="1"/>
    <col min="1810" max="2048" width="9.140625" style="1"/>
    <col min="2049" max="2049" width="27.7109375" style="1" bestFit="1" customWidth="1"/>
    <col min="2050" max="2050" width="8.7109375" style="1" customWidth="1"/>
    <col min="2051" max="2052" width="8.85546875" style="1" bestFit="1" customWidth="1"/>
    <col min="2053" max="2064" width="5.28515625" style="1" bestFit="1" customWidth="1"/>
    <col min="2065" max="2065" width="7.7109375" style="1" bestFit="1" customWidth="1"/>
    <col min="2066" max="2304" width="9.140625" style="1"/>
    <col min="2305" max="2305" width="27.7109375" style="1" bestFit="1" customWidth="1"/>
    <col min="2306" max="2306" width="8.7109375" style="1" customWidth="1"/>
    <col min="2307" max="2308" width="8.85546875" style="1" bestFit="1" customWidth="1"/>
    <col min="2309" max="2320" width="5.28515625" style="1" bestFit="1" customWidth="1"/>
    <col min="2321" max="2321" width="7.7109375" style="1" bestFit="1" customWidth="1"/>
    <col min="2322" max="2560" width="9.140625" style="1"/>
    <col min="2561" max="2561" width="27.7109375" style="1" bestFit="1" customWidth="1"/>
    <col min="2562" max="2562" width="8.7109375" style="1" customWidth="1"/>
    <col min="2563" max="2564" width="8.85546875" style="1" bestFit="1" customWidth="1"/>
    <col min="2565" max="2576" width="5.28515625" style="1" bestFit="1" customWidth="1"/>
    <col min="2577" max="2577" width="7.7109375" style="1" bestFit="1" customWidth="1"/>
    <col min="2578" max="2816" width="9.140625" style="1"/>
    <col min="2817" max="2817" width="27.7109375" style="1" bestFit="1" customWidth="1"/>
    <col min="2818" max="2818" width="8.7109375" style="1" customWidth="1"/>
    <col min="2819" max="2820" width="8.85546875" style="1" bestFit="1" customWidth="1"/>
    <col min="2821" max="2832" width="5.28515625" style="1" bestFit="1" customWidth="1"/>
    <col min="2833" max="2833" width="7.7109375" style="1" bestFit="1" customWidth="1"/>
    <col min="2834" max="3072" width="9.140625" style="1"/>
    <col min="3073" max="3073" width="27.7109375" style="1" bestFit="1" customWidth="1"/>
    <col min="3074" max="3074" width="8.7109375" style="1" customWidth="1"/>
    <col min="3075" max="3076" width="8.85546875" style="1" bestFit="1" customWidth="1"/>
    <col min="3077" max="3088" width="5.28515625" style="1" bestFit="1" customWidth="1"/>
    <col min="3089" max="3089" width="7.7109375" style="1" bestFit="1" customWidth="1"/>
    <col min="3090" max="3328" width="9.140625" style="1"/>
    <col min="3329" max="3329" width="27.7109375" style="1" bestFit="1" customWidth="1"/>
    <col min="3330" max="3330" width="8.7109375" style="1" customWidth="1"/>
    <col min="3331" max="3332" width="8.85546875" style="1" bestFit="1" customWidth="1"/>
    <col min="3333" max="3344" width="5.28515625" style="1" bestFit="1" customWidth="1"/>
    <col min="3345" max="3345" width="7.7109375" style="1" bestFit="1" customWidth="1"/>
    <col min="3346" max="3584" width="9.140625" style="1"/>
    <col min="3585" max="3585" width="27.7109375" style="1" bestFit="1" customWidth="1"/>
    <col min="3586" max="3586" width="8.7109375" style="1" customWidth="1"/>
    <col min="3587" max="3588" width="8.85546875" style="1" bestFit="1" customWidth="1"/>
    <col min="3589" max="3600" width="5.28515625" style="1" bestFit="1" customWidth="1"/>
    <col min="3601" max="3601" width="7.7109375" style="1" bestFit="1" customWidth="1"/>
    <col min="3602" max="3840" width="9.140625" style="1"/>
    <col min="3841" max="3841" width="27.7109375" style="1" bestFit="1" customWidth="1"/>
    <col min="3842" max="3842" width="8.7109375" style="1" customWidth="1"/>
    <col min="3843" max="3844" width="8.85546875" style="1" bestFit="1" customWidth="1"/>
    <col min="3845" max="3856" width="5.28515625" style="1" bestFit="1" customWidth="1"/>
    <col min="3857" max="3857" width="7.7109375" style="1" bestFit="1" customWidth="1"/>
    <col min="3858" max="4096" width="9.140625" style="1"/>
    <col min="4097" max="4097" width="27.7109375" style="1" bestFit="1" customWidth="1"/>
    <col min="4098" max="4098" width="8.7109375" style="1" customWidth="1"/>
    <col min="4099" max="4100" width="8.85546875" style="1" bestFit="1" customWidth="1"/>
    <col min="4101" max="4112" width="5.28515625" style="1" bestFit="1" customWidth="1"/>
    <col min="4113" max="4113" width="7.7109375" style="1" bestFit="1" customWidth="1"/>
    <col min="4114" max="4352" width="9.140625" style="1"/>
    <col min="4353" max="4353" width="27.7109375" style="1" bestFit="1" customWidth="1"/>
    <col min="4354" max="4354" width="8.7109375" style="1" customWidth="1"/>
    <col min="4355" max="4356" width="8.85546875" style="1" bestFit="1" customWidth="1"/>
    <col min="4357" max="4368" width="5.28515625" style="1" bestFit="1" customWidth="1"/>
    <col min="4369" max="4369" width="7.7109375" style="1" bestFit="1" customWidth="1"/>
    <col min="4370" max="4608" width="9.140625" style="1"/>
    <col min="4609" max="4609" width="27.7109375" style="1" bestFit="1" customWidth="1"/>
    <col min="4610" max="4610" width="8.7109375" style="1" customWidth="1"/>
    <col min="4611" max="4612" width="8.85546875" style="1" bestFit="1" customWidth="1"/>
    <col min="4613" max="4624" width="5.28515625" style="1" bestFit="1" customWidth="1"/>
    <col min="4625" max="4625" width="7.7109375" style="1" bestFit="1" customWidth="1"/>
    <col min="4626" max="4864" width="9.140625" style="1"/>
    <col min="4865" max="4865" width="27.7109375" style="1" bestFit="1" customWidth="1"/>
    <col min="4866" max="4866" width="8.7109375" style="1" customWidth="1"/>
    <col min="4867" max="4868" width="8.85546875" style="1" bestFit="1" customWidth="1"/>
    <col min="4869" max="4880" width="5.28515625" style="1" bestFit="1" customWidth="1"/>
    <col min="4881" max="4881" width="7.7109375" style="1" bestFit="1" customWidth="1"/>
    <col min="4882" max="5120" width="9.140625" style="1"/>
    <col min="5121" max="5121" width="27.7109375" style="1" bestFit="1" customWidth="1"/>
    <col min="5122" max="5122" width="8.7109375" style="1" customWidth="1"/>
    <col min="5123" max="5124" width="8.85546875" style="1" bestFit="1" customWidth="1"/>
    <col min="5125" max="5136" width="5.28515625" style="1" bestFit="1" customWidth="1"/>
    <col min="5137" max="5137" width="7.7109375" style="1" bestFit="1" customWidth="1"/>
    <col min="5138" max="5376" width="9.140625" style="1"/>
    <col min="5377" max="5377" width="27.7109375" style="1" bestFit="1" customWidth="1"/>
    <col min="5378" max="5378" width="8.7109375" style="1" customWidth="1"/>
    <col min="5379" max="5380" width="8.85546875" style="1" bestFit="1" customWidth="1"/>
    <col min="5381" max="5392" width="5.28515625" style="1" bestFit="1" customWidth="1"/>
    <col min="5393" max="5393" width="7.7109375" style="1" bestFit="1" customWidth="1"/>
    <col min="5394" max="5632" width="9.140625" style="1"/>
    <col min="5633" max="5633" width="27.7109375" style="1" bestFit="1" customWidth="1"/>
    <col min="5634" max="5634" width="8.7109375" style="1" customWidth="1"/>
    <col min="5635" max="5636" width="8.85546875" style="1" bestFit="1" customWidth="1"/>
    <col min="5637" max="5648" width="5.28515625" style="1" bestFit="1" customWidth="1"/>
    <col min="5649" max="5649" width="7.7109375" style="1" bestFit="1" customWidth="1"/>
    <col min="5650" max="5888" width="9.140625" style="1"/>
    <col min="5889" max="5889" width="27.7109375" style="1" bestFit="1" customWidth="1"/>
    <col min="5890" max="5890" width="8.7109375" style="1" customWidth="1"/>
    <col min="5891" max="5892" width="8.85546875" style="1" bestFit="1" customWidth="1"/>
    <col min="5893" max="5904" width="5.28515625" style="1" bestFit="1" customWidth="1"/>
    <col min="5905" max="5905" width="7.7109375" style="1" bestFit="1" customWidth="1"/>
    <col min="5906" max="6144" width="9.140625" style="1"/>
    <col min="6145" max="6145" width="27.7109375" style="1" bestFit="1" customWidth="1"/>
    <col min="6146" max="6146" width="8.7109375" style="1" customWidth="1"/>
    <col min="6147" max="6148" width="8.85546875" style="1" bestFit="1" customWidth="1"/>
    <col min="6149" max="6160" width="5.28515625" style="1" bestFit="1" customWidth="1"/>
    <col min="6161" max="6161" width="7.7109375" style="1" bestFit="1" customWidth="1"/>
    <col min="6162" max="6400" width="9.140625" style="1"/>
    <col min="6401" max="6401" width="27.7109375" style="1" bestFit="1" customWidth="1"/>
    <col min="6402" max="6402" width="8.7109375" style="1" customWidth="1"/>
    <col min="6403" max="6404" width="8.85546875" style="1" bestFit="1" customWidth="1"/>
    <col min="6405" max="6416" width="5.28515625" style="1" bestFit="1" customWidth="1"/>
    <col min="6417" max="6417" width="7.7109375" style="1" bestFit="1" customWidth="1"/>
    <col min="6418" max="6656" width="9.140625" style="1"/>
    <col min="6657" max="6657" width="27.7109375" style="1" bestFit="1" customWidth="1"/>
    <col min="6658" max="6658" width="8.7109375" style="1" customWidth="1"/>
    <col min="6659" max="6660" width="8.85546875" style="1" bestFit="1" customWidth="1"/>
    <col min="6661" max="6672" width="5.28515625" style="1" bestFit="1" customWidth="1"/>
    <col min="6673" max="6673" width="7.7109375" style="1" bestFit="1" customWidth="1"/>
    <col min="6674" max="6912" width="9.140625" style="1"/>
    <col min="6913" max="6913" width="27.7109375" style="1" bestFit="1" customWidth="1"/>
    <col min="6914" max="6914" width="8.7109375" style="1" customWidth="1"/>
    <col min="6915" max="6916" width="8.85546875" style="1" bestFit="1" customWidth="1"/>
    <col min="6917" max="6928" width="5.28515625" style="1" bestFit="1" customWidth="1"/>
    <col min="6929" max="6929" width="7.7109375" style="1" bestFit="1" customWidth="1"/>
    <col min="6930" max="7168" width="9.140625" style="1"/>
    <col min="7169" max="7169" width="27.7109375" style="1" bestFit="1" customWidth="1"/>
    <col min="7170" max="7170" width="8.7109375" style="1" customWidth="1"/>
    <col min="7171" max="7172" width="8.85546875" style="1" bestFit="1" customWidth="1"/>
    <col min="7173" max="7184" width="5.28515625" style="1" bestFit="1" customWidth="1"/>
    <col min="7185" max="7185" width="7.7109375" style="1" bestFit="1" customWidth="1"/>
    <col min="7186" max="7424" width="9.140625" style="1"/>
    <col min="7425" max="7425" width="27.7109375" style="1" bestFit="1" customWidth="1"/>
    <col min="7426" max="7426" width="8.7109375" style="1" customWidth="1"/>
    <col min="7427" max="7428" width="8.85546875" style="1" bestFit="1" customWidth="1"/>
    <col min="7429" max="7440" width="5.28515625" style="1" bestFit="1" customWidth="1"/>
    <col min="7441" max="7441" width="7.7109375" style="1" bestFit="1" customWidth="1"/>
    <col min="7442" max="7680" width="9.140625" style="1"/>
    <col min="7681" max="7681" width="27.7109375" style="1" bestFit="1" customWidth="1"/>
    <col min="7682" max="7682" width="8.7109375" style="1" customWidth="1"/>
    <col min="7683" max="7684" width="8.85546875" style="1" bestFit="1" customWidth="1"/>
    <col min="7685" max="7696" width="5.28515625" style="1" bestFit="1" customWidth="1"/>
    <col min="7697" max="7697" width="7.7109375" style="1" bestFit="1" customWidth="1"/>
    <col min="7698" max="7936" width="9.140625" style="1"/>
    <col min="7937" max="7937" width="27.7109375" style="1" bestFit="1" customWidth="1"/>
    <col min="7938" max="7938" width="8.7109375" style="1" customWidth="1"/>
    <col min="7939" max="7940" width="8.85546875" style="1" bestFit="1" customWidth="1"/>
    <col min="7941" max="7952" width="5.28515625" style="1" bestFit="1" customWidth="1"/>
    <col min="7953" max="7953" width="7.7109375" style="1" bestFit="1" customWidth="1"/>
    <col min="7954" max="8192" width="9.140625" style="1"/>
    <col min="8193" max="8193" width="27.7109375" style="1" bestFit="1" customWidth="1"/>
    <col min="8194" max="8194" width="8.7109375" style="1" customWidth="1"/>
    <col min="8195" max="8196" width="8.85546875" style="1" bestFit="1" customWidth="1"/>
    <col min="8197" max="8208" width="5.28515625" style="1" bestFit="1" customWidth="1"/>
    <col min="8209" max="8209" width="7.7109375" style="1" bestFit="1" customWidth="1"/>
    <col min="8210" max="8448" width="9.140625" style="1"/>
    <col min="8449" max="8449" width="27.7109375" style="1" bestFit="1" customWidth="1"/>
    <col min="8450" max="8450" width="8.7109375" style="1" customWidth="1"/>
    <col min="8451" max="8452" width="8.85546875" style="1" bestFit="1" customWidth="1"/>
    <col min="8453" max="8464" width="5.28515625" style="1" bestFit="1" customWidth="1"/>
    <col min="8465" max="8465" width="7.7109375" style="1" bestFit="1" customWidth="1"/>
    <col min="8466" max="8704" width="9.140625" style="1"/>
    <col min="8705" max="8705" width="27.7109375" style="1" bestFit="1" customWidth="1"/>
    <col min="8706" max="8706" width="8.7109375" style="1" customWidth="1"/>
    <col min="8707" max="8708" width="8.85546875" style="1" bestFit="1" customWidth="1"/>
    <col min="8709" max="8720" width="5.28515625" style="1" bestFit="1" customWidth="1"/>
    <col min="8721" max="8721" width="7.7109375" style="1" bestFit="1" customWidth="1"/>
    <col min="8722" max="8960" width="9.140625" style="1"/>
    <col min="8961" max="8961" width="27.7109375" style="1" bestFit="1" customWidth="1"/>
    <col min="8962" max="8962" width="8.7109375" style="1" customWidth="1"/>
    <col min="8963" max="8964" width="8.85546875" style="1" bestFit="1" customWidth="1"/>
    <col min="8965" max="8976" width="5.28515625" style="1" bestFit="1" customWidth="1"/>
    <col min="8977" max="8977" width="7.7109375" style="1" bestFit="1" customWidth="1"/>
    <col min="8978" max="9216" width="9.140625" style="1"/>
    <col min="9217" max="9217" width="27.7109375" style="1" bestFit="1" customWidth="1"/>
    <col min="9218" max="9218" width="8.7109375" style="1" customWidth="1"/>
    <col min="9219" max="9220" width="8.85546875" style="1" bestFit="1" customWidth="1"/>
    <col min="9221" max="9232" width="5.28515625" style="1" bestFit="1" customWidth="1"/>
    <col min="9233" max="9233" width="7.7109375" style="1" bestFit="1" customWidth="1"/>
    <col min="9234" max="9472" width="9.140625" style="1"/>
    <col min="9473" max="9473" width="27.7109375" style="1" bestFit="1" customWidth="1"/>
    <col min="9474" max="9474" width="8.7109375" style="1" customWidth="1"/>
    <col min="9475" max="9476" width="8.85546875" style="1" bestFit="1" customWidth="1"/>
    <col min="9477" max="9488" width="5.28515625" style="1" bestFit="1" customWidth="1"/>
    <col min="9489" max="9489" width="7.7109375" style="1" bestFit="1" customWidth="1"/>
    <col min="9490" max="9728" width="9.140625" style="1"/>
    <col min="9729" max="9729" width="27.7109375" style="1" bestFit="1" customWidth="1"/>
    <col min="9730" max="9730" width="8.7109375" style="1" customWidth="1"/>
    <col min="9731" max="9732" width="8.85546875" style="1" bestFit="1" customWidth="1"/>
    <col min="9733" max="9744" width="5.28515625" style="1" bestFit="1" customWidth="1"/>
    <col min="9745" max="9745" width="7.7109375" style="1" bestFit="1" customWidth="1"/>
    <col min="9746" max="9984" width="9.140625" style="1"/>
    <col min="9985" max="9985" width="27.7109375" style="1" bestFit="1" customWidth="1"/>
    <col min="9986" max="9986" width="8.7109375" style="1" customWidth="1"/>
    <col min="9987" max="9988" width="8.85546875" style="1" bestFit="1" customWidth="1"/>
    <col min="9989" max="10000" width="5.28515625" style="1" bestFit="1" customWidth="1"/>
    <col min="10001" max="10001" width="7.7109375" style="1" bestFit="1" customWidth="1"/>
    <col min="10002" max="10240" width="9.140625" style="1"/>
    <col min="10241" max="10241" width="27.7109375" style="1" bestFit="1" customWidth="1"/>
    <col min="10242" max="10242" width="8.7109375" style="1" customWidth="1"/>
    <col min="10243" max="10244" width="8.85546875" style="1" bestFit="1" customWidth="1"/>
    <col min="10245" max="10256" width="5.28515625" style="1" bestFit="1" customWidth="1"/>
    <col min="10257" max="10257" width="7.7109375" style="1" bestFit="1" customWidth="1"/>
    <col min="10258" max="10496" width="9.140625" style="1"/>
    <col min="10497" max="10497" width="27.7109375" style="1" bestFit="1" customWidth="1"/>
    <col min="10498" max="10498" width="8.7109375" style="1" customWidth="1"/>
    <col min="10499" max="10500" width="8.85546875" style="1" bestFit="1" customWidth="1"/>
    <col min="10501" max="10512" width="5.28515625" style="1" bestFit="1" customWidth="1"/>
    <col min="10513" max="10513" width="7.7109375" style="1" bestFit="1" customWidth="1"/>
    <col min="10514" max="10752" width="9.140625" style="1"/>
    <col min="10753" max="10753" width="27.7109375" style="1" bestFit="1" customWidth="1"/>
    <col min="10754" max="10754" width="8.7109375" style="1" customWidth="1"/>
    <col min="10755" max="10756" width="8.85546875" style="1" bestFit="1" customWidth="1"/>
    <col min="10757" max="10768" width="5.28515625" style="1" bestFit="1" customWidth="1"/>
    <col min="10769" max="10769" width="7.7109375" style="1" bestFit="1" customWidth="1"/>
    <col min="10770" max="11008" width="9.140625" style="1"/>
    <col min="11009" max="11009" width="27.7109375" style="1" bestFit="1" customWidth="1"/>
    <col min="11010" max="11010" width="8.7109375" style="1" customWidth="1"/>
    <col min="11011" max="11012" width="8.85546875" style="1" bestFit="1" customWidth="1"/>
    <col min="11013" max="11024" width="5.28515625" style="1" bestFit="1" customWidth="1"/>
    <col min="11025" max="11025" width="7.7109375" style="1" bestFit="1" customWidth="1"/>
    <col min="11026" max="11264" width="9.140625" style="1"/>
    <col min="11265" max="11265" width="27.7109375" style="1" bestFit="1" customWidth="1"/>
    <col min="11266" max="11266" width="8.7109375" style="1" customWidth="1"/>
    <col min="11267" max="11268" width="8.85546875" style="1" bestFit="1" customWidth="1"/>
    <col min="11269" max="11280" width="5.28515625" style="1" bestFit="1" customWidth="1"/>
    <col min="11281" max="11281" width="7.7109375" style="1" bestFit="1" customWidth="1"/>
    <col min="11282" max="11520" width="9.140625" style="1"/>
    <col min="11521" max="11521" width="27.7109375" style="1" bestFit="1" customWidth="1"/>
    <col min="11522" max="11522" width="8.7109375" style="1" customWidth="1"/>
    <col min="11523" max="11524" width="8.85546875" style="1" bestFit="1" customWidth="1"/>
    <col min="11525" max="11536" width="5.28515625" style="1" bestFit="1" customWidth="1"/>
    <col min="11537" max="11537" width="7.7109375" style="1" bestFit="1" customWidth="1"/>
    <col min="11538" max="11776" width="9.140625" style="1"/>
    <col min="11777" max="11777" width="27.7109375" style="1" bestFit="1" customWidth="1"/>
    <col min="11778" max="11778" width="8.7109375" style="1" customWidth="1"/>
    <col min="11779" max="11780" width="8.85546875" style="1" bestFit="1" customWidth="1"/>
    <col min="11781" max="11792" width="5.28515625" style="1" bestFit="1" customWidth="1"/>
    <col min="11793" max="11793" width="7.7109375" style="1" bestFit="1" customWidth="1"/>
    <col min="11794" max="12032" width="9.140625" style="1"/>
    <col min="12033" max="12033" width="27.7109375" style="1" bestFit="1" customWidth="1"/>
    <col min="12034" max="12034" width="8.7109375" style="1" customWidth="1"/>
    <col min="12035" max="12036" width="8.85546875" style="1" bestFit="1" customWidth="1"/>
    <col min="12037" max="12048" width="5.28515625" style="1" bestFit="1" customWidth="1"/>
    <col min="12049" max="12049" width="7.7109375" style="1" bestFit="1" customWidth="1"/>
    <col min="12050" max="12288" width="9.140625" style="1"/>
    <col min="12289" max="12289" width="27.7109375" style="1" bestFit="1" customWidth="1"/>
    <col min="12290" max="12290" width="8.7109375" style="1" customWidth="1"/>
    <col min="12291" max="12292" width="8.85546875" style="1" bestFit="1" customWidth="1"/>
    <col min="12293" max="12304" width="5.28515625" style="1" bestFit="1" customWidth="1"/>
    <col min="12305" max="12305" width="7.7109375" style="1" bestFit="1" customWidth="1"/>
    <col min="12306" max="12544" width="9.140625" style="1"/>
    <col min="12545" max="12545" width="27.7109375" style="1" bestFit="1" customWidth="1"/>
    <col min="12546" max="12546" width="8.7109375" style="1" customWidth="1"/>
    <col min="12547" max="12548" width="8.85546875" style="1" bestFit="1" customWidth="1"/>
    <col min="12549" max="12560" width="5.28515625" style="1" bestFit="1" customWidth="1"/>
    <col min="12561" max="12561" width="7.7109375" style="1" bestFit="1" customWidth="1"/>
    <col min="12562" max="12800" width="9.140625" style="1"/>
    <col min="12801" max="12801" width="27.7109375" style="1" bestFit="1" customWidth="1"/>
    <col min="12802" max="12802" width="8.7109375" style="1" customWidth="1"/>
    <col min="12803" max="12804" width="8.85546875" style="1" bestFit="1" customWidth="1"/>
    <col min="12805" max="12816" width="5.28515625" style="1" bestFit="1" customWidth="1"/>
    <col min="12817" max="12817" width="7.7109375" style="1" bestFit="1" customWidth="1"/>
    <col min="12818" max="13056" width="9.140625" style="1"/>
    <col min="13057" max="13057" width="27.7109375" style="1" bestFit="1" customWidth="1"/>
    <col min="13058" max="13058" width="8.7109375" style="1" customWidth="1"/>
    <col min="13059" max="13060" width="8.85546875" style="1" bestFit="1" customWidth="1"/>
    <col min="13061" max="13072" width="5.28515625" style="1" bestFit="1" customWidth="1"/>
    <col min="13073" max="13073" width="7.7109375" style="1" bestFit="1" customWidth="1"/>
    <col min="13074" max="13312" width="9.140625" style="1"/>
    <col min="13313" max="13313" width="27.7109375" style="1" bestFit="1" customWidth="1"/>
    <col min="13314" max="13314" width="8.7109375" style="1" customWidth="1"/>
    <col min="13315" max="13316" width="8.85546875" style="1" bestFit="1" customWidth="1"/>
    <col min="13317" max="13328" width="5.28515625" style="1" bestFit="1" customWidth="1"/>
    <col min="13329" max="13329" width="7.7109375" style="1" bestFit="1" customWidth="1"/>
    <col min="13330" max="13568" width="9.140625" style="1"/>
    <col min="13569" max="13569" width="27.7109375" style="1" bestFit="1" customWidth="1"/>
    <col min="13570" max="13570" width="8.7109375" style="1" customWidth="1"/>
    <col min="13571" max="13572" width="8.85546875" style="1" bestFit="1" customWidth="1"/>
    <col min="13573" max="13584" width="5.28515625" style="1" bestFit="1" customWidth="1"/>
    <col min="13585" max="13585" width="7.7109375" style="1" bestFit="1" customWidth="1"/>
    <col min="13586" max="13824" width="9.140625" style="1"/>
    <col min="13825" max="13825" width="27.7109375" style="1" bestFit="1" customWidth="1"/>
    <col min="13826" max="13826" width="8.7109375" style="1" customWidth="1"/>
    <col min="13827" max="13828" width="8.85546875" style="1" bestFit="1" customWidth="1"/>
    <col min="13829" max="13840" width="5.28515625" style="1" bestFit="1" customWidth="1"/>
    <col min="13841" max="13841" width="7.7109375" style="1" bestFit="1" customWidth="1"/>
    <col min="13842" max="14080" width="9.140625" style="1"/>
    <col min="14081" max="14081" width="27.7109375" style="1" bestFit="1" customWidth="1"/>
    <col min="14082" max="14082" width="8.7109375" style="1" customWidth="1"/>
    <col min="14083" max="14084" width="8.85546875" style="1" bestFit="1" customWidth="1"/>
    <col min="14085" max="14096" width="5.28515625" style="1" bestFit="1" customWidth="1"/>
    <col min="14097" max="14097" width="7.7109375" style="1" bestFit="1" customWidth="1"/>
    <col min="14098" max="14336" width="9.140625" style="1"/>
    <col min="14337" max="14337" width="27.7109375" style="1" bestFit="1" customWidth="1"/>
    <col min="14338" max="14338" width="8.7109375" style="1" customWidth="1"/>
    <col min="14339" max="14340" width="8.85546875" style="1" bestFit="1" customWidth="1"/>
    <col min="14341" max="14352" width="5.28515625" style="1" bestFit="1" customWidth="1"/>
    <col min="14353" max="14353" width="7.7109375" style="1" bestFit="1" customWidth="1"/>
    <col min="14354" max="14592" width="9.140625" style="1"/>
    <col min="14593" max="14593" width="27.7109375" style="1" bestFit="1" customWidth="1"/>
    <col min="14594" max="14594" width="8.7109375" style="1" customWidth="1"/>
    <col min="14595" max="14596" width="8.85546875" style="1" bestFit="1" customWidth="1"/>
    <col min="14597" max="14608" width="5.28515625" style="1" bestFit="1" customWidth="1"/>
    <col min="14609" max="14609" width="7.7109375" style="1" bestFit="1" customWidth="1"/>
    <col min="14610" max="14848" width="9.140625" style="1"/>
    <col min="14849" max="14849" width="27.7109375" style="1" bestFit="1" customWidth="1"/>
    <col min="14850" max="14850" width="8.7109375" style="1" customWidth="1"/>
    <col min="14851" max="14852" width="8.85546875" style="1" bestFit="1" customWidth="1"/>
    <col min="14853" max="14864" width="5.28515625" style="1" bestFit="1" customWidth="1"/>
    <col min="14865" max="14865" width="7.7109375" style="1" bestFit="1" customWidth="1"/>
    <col min="14866" max="15104" width="9.140625" style="1"/>
    <col min="15105" max="15105" width="27.7109375" style="1" bestFit="1" customWidth="1"/>
    <col min="15106" max="15106" width="8.7109375" style="1" customWidth="1"/>
    <col min="15107" max="15108" width="8.85546875" style="1" bestFit="1" customWidth="1"/>
    <col min="15109" max="15120" width="5.28515625" style="1" bestFit="1" customWidth="1"/>
    <col min="15121" max="15121" width="7.7109375" style="1" bestFit="1" customWidth="1"/>
    <col min="15122" max="15360" width="9.140625" style="1"/>
    <col min="15361" max="15361" width="27.7109375" style="1" bestFit="1" customWidth="1"/>
    <col min="15362" max="15362" width="8.7109375" style="1" customWidth="1"/>
    <col min="15363" max="15364" width="8.85546875" style="1" bestFit="1" customWidth="1"/>
    <col min="15365" max="15376" width="5.28515625" style="1" bestFit="1" customWidth="1"/>
    <col min="15377" max="15377" width="7.7109375" style="1" bestFit="1" customWidth="1"/>
    <col min="15378" max="15616" width="9.140625" style="1"/>
    <col min="15617" max="15617" width="27.7109375" style="1" bestFit="1" customWidth="1"/>
    <col min="15618" max="15618" width="8.7109375" style="1" customWidth="1"/>
    <col min="15619" max="15620" width="8.85546875" style="1" bestFit="1" customWidth="1"/>
    <col min="15621" max="15632" width="5.28515625" style="1" bestFit="1" customWidth="1"/>
    <col min="15633" max="15633" width="7.7109375" style="1" bestFit="1" customWidth="1"/>
    <col min="15634" max="15872" width="9.140625" style="1"/>
    <col min="15873" max="15873" width="27.7109375" style="1" bestFit="1" customWidth="1"/>
    <col min="15874" max="15874" width="8.7109375" style="1" customWidth="1"/>
    <col min="15875" max="15876" width="8.85546875" style="1" bestFit="1" customWidth="1"/>
    <col min="15877" max="15888" width="5.28515625" style="1" bestFit="1" customWidth="1"/>
    <col min="15889" max="15889" width="7.7109375" style="1" bestFit="1" customWidth="1"/>
    <col min="15890" max="16128" width="9.140625" style="1"/>
    <col min="16129" max="16129" width="27.7109375" style="1" bestFit="1" customWidth="1"/>
    <col min="16130" max="16130" width="8.7109375" style="1" customWidth="1"/>
    <col min="16131" max="16132" width="8.85546875" style="1" bestFit="1" customWidth="1"/>
    <col min="16133" max="16144" width="5.28515625" style="1" bestFit="1" customWidth="1"/>
    <col min="16145" max="16145" width="7.7109375" style="1" bestFit="1" customWidth="1"/>
    <col min="16146" max="16384" width="9.140625" style="1"/>
  </cols>
  <sheetData>
    <row r="1" spans="1:31" ht="34.5" customHeight="1" x14ac:dyDescent="0.2">
      <c r="B1" s="311" t="s">
        <v>1071</v>
      </c>
      <c r="C1" s="255" t="s">
        <v>936</v>
      </c>
      <c r="D1" s="267" t="s">
        <v>1072</v>
      </c>
      <c r="E1" s="212" t="s">
        <v>49</v>
      </c>
      <c r="F1" s="212" t="s">
        <v>48</v>
      </c>
      <c r="G1" s="212" t="s">
        <v>47</v>
      </c>
      <c r="H1" s="212" t="s">
        <v>46</v>
      </c>
      <c r="I1" s="212" t="s">
        <v>45</v>
      </c>
      <c r="J1" s="212" t="s">
        <v>44</v>
      </c>
      <c r="K1" s="212" t="s">
        <v>43</v>
      </c>
      <c r="L1" s="212" t="s">
        <v>42</v>
      </c>
      <c r="M1" s="212" t="s">
        <v>41</v>
      </c>
      <c r="N1" s="212" t="s">
        <v>40</v>
      </c>
      <c r="O1" s="212" t="s">
        <v>39</v>
      </c>
      <c r="P1" s="212" t="s">
        <v>723</v>
      </c>
      <c r="Q1" s="112" t="s">
        <v>37</v>
      </c>
      <c r="S1" s="699" t="s">
        <v>49</v>
      </c>
      <c r="T1" s="699" t="s">
        <v>48</v>
      </c>
      <c r="U1" s="699" t="s">
        <v>47</v>
      </c>
      <c r="V1" s="699" t="s">
        <v>46</v>
      </c>
      <c r="W1" s="699" t="s">
        <v>45</v>
      </c>
      <c r="X1" s="699" t="s">
        <v>44</v>
      </c>
      <c r="Y1" s="699" t="s">
        <v>43</v>
      </c>
      <c r="Z1" s="699" t="s">
        <v>42</v>
      </c>
      <c r="AA1" s="699" t="s">
        <v>41</v>
      </c>
      <c r="AB1" s="699" t="s">
        <v>40</v>
      </c>
      <c r="AC1" s="699" t="s">
        <v>39</v>
      </c>
      <c r="AD1" s="699" t="s">
        <v>723</v>
      </c>
      <c r="AE1" s="112" t="s">
        <v>37</v>
      </c>
    </row>
    <row r="2" spans="1:31" ht="12.75" customHeight="1" x14ac:dyDescent="0.2">
      <c r="A2" s="256" t="s">
        <v>724</v>
      </c>
      <c r="B2" s="310">
        <f>STATS!B6</f>
        <v>2002</v>
      </c>
      <c r="C2" s="257">
        <f>STATS!C6</f>
        <v>2.3976023976023976E-2</v>
      </c>
      <c r="D2" s="269">
        <f t="shared" ref="D2:D66" si="0">ROUND(((B2*C2)+B2),0)</f>
        <v>2050</v>
      </c>
      <c r="E2" s="36">
        <f>ROUND($D2*'STATS 2017'!C6,0)</f>
        <v>138</v>
      </c>
      <c r="F2" s="36">
        <f>ROUND($D2*'STATS 2017'!D6,0)</f>
        <v>167</v>
      </c>
      <c r="G2" s="36">
        <f>ROUND($D2*'STATS 2017'!E6,0)</f>
        <v>138</v>
      </c>
      <c r="H2" s="36">
        <f>ROUND($D2*'STATS 2017'!F6,0)</f>
        <v>141</v>
      </c>
      <c r="I2" s="36">
        <f>ROUND($D2*'STATS 2017'!G6,0)</f>
        <v>189</v>
      </c>
      <c r="J2" s="36">
        <f>ROUND($D2*'STATS 2017'!H6,0)</f>
        <v>228</v>
      </c>
      <c r="K2" s="36">
        <f>ROUND($D2*'STATS 2017'!I6,0)</f>
        <v>154</v>
      </c>
      <c r="L2" s="36">
        <f>ROUND($D2*'STATS 2017'!J6,0)</f>
        <v>131</v>
      </c>
      <c r="M2" s="36">
        <f>ROUND($D2*'STATS 2017'!K6,0)</f>
        <v>199</v>
      </c>
      <c r="N2" s="36">
        <f>ROUND($D2*'STATS 2017'!L6,0)</f>
        <v>173</v>
      </c>
      <c r="O2" s="36">
        <f>ROUND($D2*'STATS 2017'!M6,0)</f>
        <v>225</v>
      </c>
      <c r="P2" s="171">
        <f>ROUND($D2*'STATS 2017'!N6,0)+1</f>
        <v>167</v>
      </c>
      <c r="Q2" s="258">
        <f t="shared" ref="Q2:Q66" si="1">SUM(E2:P2)</f>
        <v>2050</v>
      </c>
      <c r="R2" s="34">
        <f>D2-Q2</f>
        <v>0</v>
      </c>
      <c r="S2" s="2">
        <f>ROUND((2050/365)*31,0)</f>
        <v>174</v>
      </c>
      <c r="T2" s="2">
        <f>ROUND((2050/365)*30,0)+3</f>
        <v>171</v>
      </c>
      <c r="U2" s="2">
        <f>ROUND((2050/365)*31,0)</f>
        <v>174</v>
      </c>
      <c r="V2" s="2">
        <f>ROUND((2050/365)*31,0)</f>
        <v>174</v>
      </c>
      <c r="W2" s="2">
        <f>ROUND((2050/365)*28,0)</f>
        <v>157</v>
      </c>
      <c r="X2" s="2">
        <f>ROUND((2050/365)*31,0)</f>
        <v>174</v>
      </c>
      <c r="Y2" s="2">
        <f>ROUND((2050/365)*30,0)</f>
        <v>168</v>
      </c>
      <c r="Z2" s="2">
        <f>ROUND((2050/365)*31,0)</f>
        <v>174</v>
      </c>
      <c r="AA2" s="2">
        <f>ROUND((2050/365)*30,0)</f>
        <v>168</v>
      </c>
      <c r="AB2" s="2">
        <f>ROUND((2050/365)*31,0)</f>
        <v>174</v>
      </c>
      <c r="AC2" s="2">
        <f>ROUND((2050/365)*31,0)</f>
        <v>174</v>
      </c>
      <c r="AD2" s="2">
        <f>ROUND((2050/365)*30,0)</f>
        <v>168</v>
      </c>
      <c r="AE2" s="1">
        <f>SUM(S2:AD2)</f>
        <v>2050</v>
      </c>
    </row>
    <row r="3" spans="1:31" x14ac:dyDescent="0.2">
      <c r="A3" s="256" t="s">
        <v>725</v>
      </c>
      <c r="B3" s="310">
        <f>STATS!B7</f>
        <v>1984</v>
      </c>
      <c r="C3" s="257">
        <f>STATS!C7</f>
        <v>2.620967741935484E-2</v>
      </c>
      <c r="D3" s="269">
        <f t="shared" si="0"/>
        <v>2036</v>
      </c>
      <c r="E3" s="36">
        <f>ROUND($D3*'STATS 2017'!C7,0)</f>
        <v>163</v>
      </c>
      <c r="F3" s="36">
        <f>ROUND($D3*'STATS 2017'!D7,0)</f>
        <v>110</v>
      </c>
      <c r="G3" s="36">
        <f>ROUND($D3*'STATS 2017'!E7,0)</f>
        <v>144</v>
      </c>
      <c r="H3" s="36">
        <f>ROUND($D3*'STATS 2017'!F7,0)</f>
        <v>144</v>
      </c>
      <c r="I3" s="36">
        <f>ROUND($D3*'STATS 2017'!G7,0)</f>
        <v>144</v>
      </c>
      <c r="J3" s="36">
        <f>ROUND($D3*'STATS 2017'!H7,0)</f>
        <v>193</v>
      </c>
      <c r="K3" s="36">
        <f>ROUND($D3*'STATS 2017'!I7,0)</f>
        <v>125</v>
      </c>
      <c r="L3" s="36">
        <f>ROUND($D3*'STATS 2017'!J7,0)</f>
        <v>156</v>
      </c>
      <c r="M3" s="36">
        <f>ROUND($D3*'STATS 2017'!K7,0)</f>
        <v>147</v>
      </c>
      <c r="N3" s="36">
        <f>ROUND($D3*'STATS 2017'!L7,0)</f>
        <v>274</v>
      </c>
      <c r="O3" s="36">
        <f>ROUND($D3*'STATS 2017'!M7,0)</f>
        <v>212</v>
      </c>
      <c r="P3" s="36">
        <f>ROUND($D3*'STATS 2017'!N7,0)-1</f>
        <v>224</v>
      </c>
      <c r="Q3" s="258">
        <f t="shared" si="1"/>
        <v>2036</v>
      </c>
      <c r="R3" s="34">
        <f t="shared" ref="R3:R72" si="2">D3-Q3</f>
        <v>0</v>
      </c>
      <c r="S3" s="2">
        <f>ROUND((2036/365)*31,0)</f>
        <v>173</v>
      </c>
      <c r="T3" s="2">
        <f>ROUND((2036/365)*30,0)+2</f>
        <v>169</v>
      </c>
      <c r="U3" s="2">
        <f>ROUND((2036/365)*31,0)</f>
        <v>173</v>
      </c>
      <c r="V3" s="2">
        <f>ROUND((2036/365)*31,0)-2</f>
        <v>171</v>
      </c>
      <c r="W3" s="2">
        <f>ROUND((2036/365)*28,0)-2</f>
        <v>154</v>
      </c>
      <c r="X3" s="2">
        <f>ROUND((2036/365)*31,0)</f>
        <v>173</v>
      </c>
      <c r="Y3" s="2">
        <f>ROUND((2036/365)*30,0)+2</f>
        <v>169</v>
      </c>
      <c r="Z3" s="2">
        <f>ROUND((2036/365)*31,0)</f>
        <v>173</v>
      </c>
      <c r="AA3" s="2">
        <f>ROUND((2036/365)*30,0)</f>
        <v>167</v>
      </c>
      <c r="AB3" s="2">
        <f>ROUND((2036/365)*31,0)</f>
        <v>173</v>
      </c>
      <c r="AC3" s="2">
        <f>ROUND((2036/365)*31,0)+1</f>
        <v>174</v>
      </c>
      <c r="AD3" s="2">
        <f>ROUND((2036/365)*30,0)</f>
        <v>167</v>
      </c>
      <c r="AE3" s="1">
        <f>SUM(S3:AD3)</f>
        <v>2036</v>
      </c>
    </row>
    <row r="4" spans="1:31" s="5" customFormat="1" x14ac:dyDescent="0.2">
      <c r="A4" s="256" t="s">
        <v>726</v>
      </c>
      <c r="B4" s="310">
        <f>STATS!B8</f>
        <v>0</v>
      </c>
      <c r="C4" s="257">
        <v>0</v>
      </c>
      <c r="D4" s="269">
        <f t="shared" si="0"/>
        <v>0</v>
      </c>
      <c r="E4" s="36">
        <f>ROUND($D4*'STATS 2017'!C8,0)</f>
        <v>0</v>
      </c>
      <c r="F4" s="36">
        <f>ROUND($D4*'STATS 2017'!D8,0)</f>
        <v>0</v>
      </c>
      <c r="G4" s="36">
        <f>ROUND($D4*'STATS 2017'!E8,0)</f>
        <v>0</v>
      </c>
      <c r="H4" s="36">
        <f>ROUND($D4*'STATS 2017'!F8,0)</f>
        <v>0</v>
      </c>
      <c r="I4" s="36">
        <f>ROUND($D4*'STATS 2017'!G8,0)</f>
        <v>0</v>
      </c>
      <c r="J4" s="36">
        <f>ROUND($D4*'STATS 2017'!H8,0)</f>
        <v>0</v>
      </c>
      <c r="K4" s="36">
        <f>ROUND($D4*'STATS 2017'!I8,0)</f>
        <v>0</v>
      </c>
      <c r="L4" s="36">
        <f>ROUND($D4*'STATS 2017'!J8,0)</f>
        <v>0</v>
      </c>
      <c r="M4" s="36">
        <f>ROUND($D4*'STATS 2017'!K8,0)</f>
        <v>0</v>
      </c>
      <c r="N4" s="36">
        <f>ROUND($D4*'STATS 2017'!L8,0)</f>
        <v>0</v>
      </c>
      <c r="O4" s="36">
        <f>ROUND($D4*'STATS 2017'!M8,0)</f>
        <v>0</v>
      </c>
      <c r="P4" s="36">
        <f>ROUND($D4*'STATS 2017'!N8,0)</f>
        <v>0</v>
      </c>
      <c r="Q4" s="259">
        <f t="shared" si="1"/>
        <v>0</v>
      </c>
      <c r="R4" s="34">
        <f t="shared" si="2"/>
        <v>0</v>
      </c>
      <c r="S4" s="6"/>
      <c r="T4" s="6"/>
      <c r="U4" s="6"/>
    </row>
    <row r="5" spans="1:31" x14ac:dyDescent="0.2">
      <c r="A5" s="256" t="s">
        <v>727</v>
      </c>
      <c r="B5" s="310">
        <f>STATS!B9</f>
        <v>196.16666666666666</v>
      </c>
      <c r="C5" s="257">
        <f>STATS!C9</f>
        <v>1.541112055130749E-2</v>
      </c>
      <c r="D5" s="269">
        <f t="shared" si="0"/>
        <v>199</v>
      </c>
      <c r="E5" s="36">
        <f>ROUND($D5*'STATS 2017'!C9,0)</f>
        <v>11</v>
      </c>
      <c r="F5" s="36">
        <f>ROUND($D5*'STATS 2017'!D9,0)</f>
        <v>13</v>
      </c>
      <c r="G5" s="36">
        <f>ROUND($D5*'STATS 2017'!E9,0)</f>
        <v>10</v>
      </c>
      <c r="H5" s="36">
        <f>ROUND($D5*'STATS 2017'!F9,0)</f>
        <v>10</v>
      </c>
      <c r="I5" s="36">
        <f>ROUND($D5*'STATS 2017'!G9,0)</f>
        <v>21</v>
      </c>
      <c r="J5" s="36">
        <f>ROUND($D5*'STATS 2017'!H9,0)</f>
        <v>9</v>
      </c>
      <c r="K5" s="36">
        <f>ROUND($D5*'STATS 2017'!I9,0)</f>
        <v>33</v>
      </c>
      <c r="L5" s="36">
        <f>ROUND($D5*'STATS 2017'!J9,0)</f>
        <v>27</v>
      </c>
      <c r="M5" s="36">
        <f>ROUND($D5*'STATS 2017'!K9,0)</f>
        <v>20</v>
      </c>
      <c r="N5" s="36">
        <f>ROUND($D5*'STATS 2017'!L9,0)</f>
        <v>9</v>
      </c>
      <c r="O5" s="36">
        <f>ROUND($D5*'STATS 2017'!M9,0)</f>
        <v>18</v>
      </c>
      <c r="P5" s="599">
        <f>ROUND($D5*'STATS 2017'!N9,0)+1</f>
        <v>18</v>
      </c>
      <c r="Q5" s="258">
        <f t="shared" si="1"/>
        <v>199</v>
      </c>
      <c r="R5" s="34">
        <f t="shared" si="2"/>
        <v>0</v>
      </c>
    </row>
    <row r="6" spans="1:31" s="5" customFormat="1" x14ac:dyDescent="0.2">
      <c r="A6" s="256" t="s">
        <v>728</v>
      </c>
      <c r="B6" s="310">
        <f>STATS!B10</f>
        <v>4708</v>
      </c>
      <c r="C6" s="257">
        <f>STATS!C10</f>
        <v>1.5411120551307488E-2</v>
      </c>
      <c r="D6" s="269">
        <f t="shared" si="0"/>
        <v>4781</v>
      </c>
      <c r="E6" s="36">
        <f>ROUND($D6*'STATS 2017'!C10,0)</f>
        <v>275</v>
      </c>
      <c r="F6" s="36">
        <f>ROUND($D6*'STATS 2017'!D10,0)</f>
        <v>323</v>
      </c>
      <c r="G6" s="36">
        <f>ROUND($D6*'STATS 2017'!E10,0)</f>
        <v>240</v>
      </c>
      <c r="H6" s="36">
        <f>ROUND($D6*'STATS 2017'!F10,0)</f>
        <v>252</v>
      </c>
      <c r="I6" s="36">
        <f>ROUND($D6*'STATS 2017'!G10,0)</f>
        <v>499</v>
      </c>
      <c r="J6" s="36">
        <f>ROUND($D6*'STATS 2017'!H10,0)</f>
        <v>219</v>
      </c>
      <c r="K6" s="36">
        <f>ROUND($D6*'STATS 2017'!I10,0)</f>
        <v>783</v>
      </c>
      <c r="L6" s="36">
        <f>ROUND($D6*'STATS 2017'!J10,0)</f>
        <v>656</v>
      </c>
      <c r="M6" s="36">
        <f>ROUND($D6*'STATS 2017'!K10,0)</f>
        <v>481</v>
      </c>
      <c r="N6" s="36">
        <f>ROUND($D6*'STATS 2017'!L10,0)</f>
        <v>213</v>
      </c>
      <c r="O6" s="36">
        <f>ROUND($D6*'STATS 2017'!M10,0)</f>
        <v>439</v>
      </c>
      <c r="P6" s="36">
        <f>ROUND($D6*'STATS 2017'!N10,0)</f>
        <v>401</v>
      </c>
      <c r="Q6" s="258">
        <f t="shared" si="1"/>
        <v>4781</v>
      </c>
      <c r="R6" s="34">
        <f t="shared" si="2"/>
        <v>0</v>
      </c>
      <c r="S6" s="6"/>
      <c r="T6" s="6"/>
      <c r="U6" s="6"/>
    </row>
    <row r="7" spans="1:31" x14ac:dyDescent="0.2">
      <c r="A7" s="256" t="s">
        <v>729</v>
      </c>
      <c r="B7" s="310">
        <f>STATS!B11</f>
        <v>157</v>
      </c>
      <c r="C7" s="257">
        <f>STATS!C11</f>
        <v>6.9355980184005642E-2</v>
      </c>
      <c r="D7" s="269">
        <f t="shared" si="0"/>
        <v>168</v>
      </c>
      <c r="E7" s="36">
        <f>ROUND($D7*'STATS 2017'!C11,0)</f>
        <v>9</v>
      </c>
      <c r="F7" s="36">
        <f>ROUND($D7*'STATS 2017'!D11,0)</f>
        <v>13</v>
      </c>
      <c r="G7" s="36">
        <f>ROUND($D7*'STATS 2017'!E11,0)</f>
        <v>12</v>
      </c>
      <c r="H7" s="36">
        <f>ROUND($D7*'STATS 2017'!F11,0)</f>
        <v>12</v>
      </c>
      <c r="I7" s="36">
        <f>ROUND($D7*'STATS 2017'!G11,0)</f>
        <v>16</v>
      </c>
      <c r="J7" s="36">
        <f>ROUND($D7*'STATS 2017'!H11,0)</f>
        <v>12</v>
      </c>
      <c r="K7" s="36">
        <f>ROUND($D7*'STATS 2017'!I11,0)</f>
        <v>21</v>
      </c>
      <c r="L7" s="36">
        <f>ROUND($D7*'STATS 2017'!J11,0)</f>
        <v>25</v>
      </c>
      <c r="M7" s="36">
        <f>ROUND($D7*'STATS 2017'!K11,0)</f>
        <v>15</v>
      </c>
      <c r="N7" s="36">
        <f>ROUND($D7*'STATS 2017'!L11,0)</f>
        <v>9</v>
      </c>
      <c r="O7" s="36">
        <f>ROUND($D7*'STATS 2017'!M11,0)</f>
        <v>14</v>
      </c>
      <c r="P7" s="599">
        <f>ROUND($D7*'STATS 2017'!N11,0)-2</f>
        <v>10</v>
      </c>
      <c r="Q7" s="258">
        <f t="shared" si="1"/>
        <v>168</v>
      </c>
      <c r="R7" s="34">
        <f t="shared" si="2"/>
        <v>0</v>
      </c>
    </row>
    <row r="8" spans="1:31" x14ac:dyDescent="0.2">
      <c r="A8" s="256" t="s">
        <v>149</v>
      </c>
      <c r="B8" s="310">
        <f>STATS!B12</f>
        <v>32</v>
      </c>
      <c r="C8" s="257">
        <f>STATS!C12</f>
        <v>-7.291666666666663E-2</v>
      </c>
      <c r="D8" s="269">
        <f t="shared" si="0"/>
        <v>30</v>
      </c>
      <c r="E8" s="36">
        <f>ROUND($D8*'STATS 2017'!C12,0)</f>
        <v>2</v>
      </c>
      <c r="F8" s="36">
        <f>ROUND($D8*'STATS 2017'!D12,0)</f>
        <v>1</v>
      </c>
      <c r="G8" s="36">
        <f>ROUND($D8*'STATS 2017'!E12,0)</f>
        <v>1</v>
      </c>
      <c r="H8" s="36">
        <f>ROUND($D8*'STATS 2017'!F12,0)</f>
        <v>1</v>
      </c>
      <c r="I8" s="36">
        <f>ROUND($D8*'STATS 2017'!G12,0)</f>
        <v>2</v>
      </c>
      <c r="J8" s="36">
        <f>ROUND($D8*'STATS 2017'!H12,0)</f>
        <v>2</v>
      </c>
      <c r="K8" s="36">
        <f>ROUND($D8*'STATS 2017'!I12,0)</f>
        <v>5</v>
      </c>
      <c r="L8" s="36">
        <f>ROUND($D8*'STATS 2017'!J12,0)</f>
        <v>6</v>
      </c>
      <c r="M8" s="599">
        <f>ROUND($D8*'STATS 2017'!K12,0)-2</f>
        <v>2</v>
      </c>
      <c r="N8" s="36">
        <f>ROUND($D8*'STATS 2017'!L12,0)</f>
        <v>3</v>
      </c>
      <c r="O8" s="171">
        <f>ROUND($D8*'STATS 2017'!M12,0)</f>
        <v>3</v>
      </c>
      <c r="P8" s="36">
        <f>ROUND($D8*'STATS 2017'!N12,0)</f>
        <v>2</v>
      </c>
      <c r="Q8" s="258">
        <f t="shared" si="1"/>
        <v>30</v>
      </c>
      <c r="R8" s="34">
        <f t="shared" ref="R8" si="3">D8-Q8</f>
        <v>0</v>
      </c>
    </row>
    <row r="9" spans="1:31" x14ac:dyDescent="0.2">
      <c r="A9" s="256" t="s">
        <v>730</v>
      </c>
      <c r="B9" s="310">
        <f>STATS!B13</f>
        <v>44</v>
      </c>
      <c r="C9" s="257">
        <f>STATS!C13</f>
        <v>0.35353535353535342</v>
      </c>
      <c r="D9" s="269">
        <f t="shared" si="0"/>
        <v>60</v>
      </c>
      <c r="E9" s="36">
        <f>ROUND($D9*'STATS 2017'!C13,0)</f>
        <v>5</v>
      </c>
      <c r="F9" s="36">
        <f>ROUND($D9*'STATS 2017'!D13,0)</f>
        <v>1</v>
      </c>
      <c r="G9" s="36">
        <f>ROUND($D9*'STATS 2017'!E13,0)</f>
        <v>5</v>
      </c>
      <c r="H9" s="36">
        <f>ROUND($D9*'STATS 2017'!F13,0)</f>
        <v>8</v>
      </c>
      <c r="I9" s="36">
        <f>ROUND($D9*'STATS 2017'!G13,0)</f>
        <v>0</v>
      </c>
      <c r="J9" s="36">
        <f>ROUND($D9*'STATS 2017'!H13,0)</f>
        <v>4</v>
      </c>
      <c r="K9" s="36">
        <f>ROUND($D9*'STATS 2017'!I13,0)</f>
        <v>1</v>
      </c>
      <c r="L9" s="36">
        <f>ROUND($D9*'STATS 2017'!J13,0)</f>
        <v>5</v>
      </c>
      <c r="M9" s="36">
        <f>ROUND($D9*'STATS 2017'!K13,0)</f>
        <v>4</v>
      </c>
      <c r="N9" s="36">
        <f>ROUND($D9*'STATS 2017'!L13,0)</f>
        <v>7</v>
      </c>
      <c r="O9" s="36">
        <f>ROUND($D9*'STATS 2017'!M13,0)</f>
        <v>16</v>
      </c>
      <c r="P9" s="599">
        <f>ROUND($D9*'STATS 2017'!N13,0)+3</f>
        <v>4</v>
      </c>
      <c r="Q9" s="258">
        <f t="shared" si="1"/>
        <v>60</v>
      </c>
      <c r="R9" s="34">
        <f t="shared" si="2"/>
        <v>0</v>
      </c>
    </row>
    <row r="10" spans="1:31" s="5" customFormat="1" x14ac:dyDescent="0.2">
      <c r="A10" s="256" t="s">
        <v>731</v>
      </c>
      <c r="B10" s="310">
        <f>STATS!B14</f>
        <v>211</v>
      </c>
      <c r="C10" s="257">
        <f>STATS!C14</f>
        <v>1.8957345971563982E-2</v>
      </c>
      <c r="D10" s="269">
        <f t="shared" si="0"/>
        <v>215</v>
      </c>
      <c r="E10" s="36">
        <f>ROUND($D10*'STATS 2017'!C14,0)</f>
        <v>18</v>
      </c>
      <c r="F10" s="36">
        <f>ROUND($D10*'STATS 2017'!D14,0)</f>
        <v>18</v>
      </c>
      <c r="G10" s="36">
        <f>ROUND($D10*'STATS 2017'!E14,0)</f>
        <v>17</v>
      </c>
      <c r="H10" s="36">
        <f>ROUND($D10*'STATS 2017'!F14,0)</f>
        <v>11</v>
      </c>
      <c r="I10" s="36">
        <f>ROUND($D10*'STATS 2017'!G14,0)</f>
        <v>16</v>
      </c>
      <c r="J10" s="36">
        <f>ROUND($D10*'STATS 2017'!H14,0)</f>
        <v>20</v>
      </c>
      <c r="K10" s="36">
        <f>ROUND($D10*'STATS 2017'!I14,0)</f>
        <v>15</v>
      </c>
      <c r="L10" s="36">
        <f>ROUND($D10*'STATS 2017'!J14,0)</f>
        <v>23</v>
      </c>
      <c r="M10" s="36">
        <f>ROUND($D10*'STATS 2017'!K14,0)</f>
        <v>19</v>
      </c>
      <c r="N10" s="36">
        <f>ROUND($D10*'STATS 2017'!L14,0)</f>
        <v>16</v>
      </c>
      <c r="O10" s="36">
        <f>ROUND($D10*'STATS 2017'!M14,0)</f>
        <v>18</v>
      </c>
      <c r="P10" s="599">
        <f>ROUND($D10*'STATS 2017'!N14,0)+4</f>
        <v>24</v>
      </c>
      <c r="Q10" s="258">
        <f t="shared" si="1"/>
        <v>215</v>
      </c>
      <c r="R10" s="34">
        <f t="shared" si="2"/>
        <v>0</v>
      </c>
      <c r="S10" s="6"/>
      <c r="T10" s="6"/>
      <c r="U10" s="6"/>
    </row>
    <row r="11" spans="1:31" x14ac:dyDescent="0.2">
      <c r="A11" s="35" t="s">
        <v>218</v>
      </c>
      <c r="B11" s="312">
        <f>B9+B10</f>
        <v>255</v>
      </c>
      <c r="C11" s="271"/>
      <c r="D11" s="270">
        <f>D9+D10</f>
        <v>275</v>
      </c>
      <c r="E11" s="273">
        <f t="shared" ref="E11:P11" si="4">E9+E10</f>
        <v>23</v>
      </c>
      <c r="F11" s="273">
        <f t="shared" si="4"/>
        <v>19</v>
      </c>
      <c r="G11" s="273">
        <f t="shared" si="4"/>
        <v>22</v>
      </c>
      <c r="H11" s="273">
        <f t="shared" si="4"/>
        <v>19</v>
      </c>
      <c r="I11" s="273">
        <f t="shared" si="4"/>
        <v>16</v>
      </c>
      <c r="J11" s="273">
        <f t="shared" si="4"/>
        <v>24</v>
      </c>
      <c r="K11" s="273">
        <f t="shared" si="4"/>
        <v>16</v>
      </c>
      <c r="L11" s="273">
        <f t="shared" si="4"/>
        <v>28</v>
      </c>
      <c r="M11" s="273">
        <f t="shared" si="4"/>
        <v>23</v>
      </c>
      <c r="N11" s="273">
        <f t="shared" si="4"/>
        <v>23</v>
      </c>
      <c r="O11" s="273">
        <f t="shared" si="4"/>
        <v>34</v>
      </c>
      <c r="P11" s="273">
        <f t="shared" si="4"/>
        <v>28</v>
      </c>
      <c r="Q11" s="259">
        <f t="shared" si="1"/>
        <v>275</v>
      </c>
      <c r="R11" s="34">
        <f t="shared" si="2"/>
        <v>0</v>
      </c>
    </row>
    <row r="12" spans="1:31" x14ac:dyDescent="0.2">
      <c r="A12" s="256" t="s">
        <v>732</v>
      </c>
      <c r="B12" s="310">
        <f>STATS!B16</f>
        <v>6</v>
      </c>
      <c r="C12" s="257">
        <f>STATS!C16</f>
        <v>-9.2592592592592407E-2</v>
      </c>
      <c r="D12" s="269">
        <f t="shared" si="0"/>
        <v>5</v>
      </c>
      <c r="E12" s="36">
        <f>ROUND($D12*'STATS 2017'!C15,0)</f>
        <v>0</v>
      </c>
      <c r="F12" s="36">
        <f>ROUND($D12*'STATS 2017'!D15,0)</f>
        <v>0</v>
      </c>
      <c r="G12" s="36">
        <f>ROUND($D12*'STATS 2017'!E15,0)</f>
        <v>0</v>
      </c>
      <c r="H12" s="36">
        <f>ROUND($D12*'STATS 2017'!F15,0)</f>
        <v>0</v>
      </c>
      <c r="I12" s="36">
        <f>ROUND($D12*'STATS 2017'!G15,0)</f>
        <v>0</v>
      </c>
      <c r="J12" s="36">
        <f>ROUND($D12*'STATS 2017'!H15,0)</f>
        <v>0</v>
      </c>
      <c r="K12" s="36">
        <f>ROUND($D12*'STATS 2017'!I15,0)</f>
        <v>0</v>
      </c>
      <c r="L12" s="36">
        <f>ROUND($D12*'STATS 2017'!J15,0)</f>
        <v>0</v>
      </c>
      <c r="M12" s="36">
        <f>ROUND($D12*'STATS 2017'!K15,0)</f>
        <v>1</v>
      </c>
      <c r="N12" s="36">
        <f>ROUND($D12*'STATS 2017'!L15,0)</f>
        <v>3</v>
      </c>
      <c r="O12" s="36">
        <f>ROUND($D12*'STATS 2017'!M15,0)</f>
        <v>1</v>
      </c>
      <c r="P12" s="36">
        <f>ROUND($D12*'STATS 2017'!N15,0)</f>
        <v>0</v>
      </c>
      <c r="Q12" s="258">
        <f t="shared" si="1"/>
        <v>5</v>
      </c>
      <c r="R12" s="34">
        <f t="shared" si="2"/>
        <v>0</v>
      </c>
    </row>
    <row r="13" spans="1:31" s="5" customFormat="1" x14ac:dyDescent="0.2">
      <c r="A13" s="256" t="s">
        <v>733</v>
      </c>
      <c r="B13" s="310">
        <f>STATS!B17</f>
        <v>15</v>
      </c>
      <c r="C13" s="257">
        <f>STATS!C17</f>
        <v>-0.28888888888888892</v>
      </c>
      <c r="D13" s="269">
        <f t="shared" si="0"/>
        <v>11</v>
      </c>
      <c r="E13" s="36">
        <f>ROUND($D13*'STATS 2017'!C16,0)</f>
        <v>1</v>
      </c>
      <c r="F13" s="36">
        <f>ROUND($D13*'STATS 2017'!D16,0)</f>
        <v>1</v>
      </c>
      <c r="G13" s="36">
        <f>ROUND($D13*'STATS 2017'!E16,0)</f>
        <v>1</v>
      </c>
      <c r="H13" s="36">
        <f>ROUND($D13*'STATS 2017'!F16,0)</f>
        <v>1</v>
      </c>
      <c r="I13" s="36">
        <f>ROUND($D13*'STATS 2017'!G16,0)</f>
        <v>1</v>
      </c>
      <c r="J13" s="36">
        <f>ROUND($D13*'STATS 2017'!H16,0)</f>
        <v>0</v>
      </c>
      <c r="K13" s="36">
        <f>ROUND($D13*'STATS 2017'!I16,0)</f>
        <v>1</v>
      </c>
      <c r="L13" s="36">
        <f>ROUND($D13*'STATS 2017'!J16,0)</f>
        <v>0</v>
      </c>
      <c r="M13" s="36">
        <f>ROUND($D13*'STATS 2017'!K16,0)</f>
        <v>0</v>
      </c>
      <c r="N13" s="36">
        <f>ROUND($D13*'STATS 2017'!L16,0)</f>
        <v>0</v>
      </c>
      <c r="O13" s="171">
        <f>ROUND($D13*'STATS 2017'!M16,0)</f>
        <v>4</v>
      </c>
      <c r="P13" s="36">
        <f>ROUND($D13*'STATS 2017'!N16,0)</f>
        <v>1</v>
      </c>
      <c r="Q13" s="259">
        <f t="shared" si="1"/>
        <v>11</v>
      </c>
      <c r="R13" s="34">
        <f t="shared" si="2"/>
        <v>0</v>
      </c>
      <c r="S13" s="6"/>
      <c r="T13" s="6"/>
      <c r="U13" s="6"/>
    </row>
    <row r="14" spans="1:31" x14ac:dyDescent="0.2">
      <c r="A14" s="35" t="s">
        <v>734</v>
      </c>
      <c r="B14" s="312">
        <f>B12+B13</f>
        <v>21</v>
      </c>
      <c r="C14" s="271"/>
      <c r="D14" s="270">
        <f>D12+D13</f>
        <v>16</v>
      </c>
      <c r="E14" s="38">
        <f>E12+E13</f>
        <v>1</v>
      </c>
      <c r="F14" s="38">
        <f t="shared" ref="F14:P14" si="5">F12+F13</f>
        <v>1</v>
      </c>
      <c r="G14" s="38">
        <f t="shared" si="5"/>
        <v>1</v>
      </c>
      <c r="H14" s="38">
        <f t="shared" si="5"/>
        <v>1</v>
      </c>
      <c r="I14" s="38">
        <f t="shared" si="5"/>
        <v>1</v>
      </c>
      <c r="J14" s="38">
        <f t="shared" si="5"/>
        <v>0</v>
      </c>
      <c r="K14" s="38">
        <f t="shared" si="5"/>
        <v>1</v>
      </c>
      <c r="L14" s="38">
        <f t="shared" si="5"/>
        <v>0</v>
      </c>
      <c r="M14" s="38">
        <f t="shared" si="5"/>
        <v>1</v>
      </c>
      <c r="N14" s="38">
        <f t="shared" si="5"/>
        <v>3</v>
      </c>
      <c r="O14" s="38">
        <f t="shared" si="5"/>
        <v>5</v>
      </c>
      <c r="P14" s="38">
        <f t="shared" si="5"/>
        <v>1</v>
      </c>
      <c r="Q14" s="258">
        <f t="shared" si="1"/>
        <v>16</v>
      </c>
      <c r="R14" s="34">
        <f t="shared" si="2"/>
        <v>0</v>
      </c>
    </row>
    <row r="15" spans="1:31" x14ac:dyDescent="0.2">
      <c r="A15" s="256" t="s">
        <v>735</v>
      </c>
      <c r="B15" s="310">
        <f>STATS!B19</f>
        <v>23</v>
      </c>
      <c r="C15" s="257">
        <f>STATS!C19</f>
        <v>9.1787439613526714E-2</v>
      </c>
      <c r="D15" s="269">
        <f t="shared" si="0"/>
        <v>25</v>
      </c>
      <c r="E15" s="36">
        <f>ROUND($D15*'STATS 2017'!C17,0)</f>
        <v>2</v>
      </c>
      <c r="F15" s="36">
        <f>ROUND($D15*'STATS 2017'!D17,0)</f>
        <v>0</v>
      </c>
      <c r="G15" s="36">
        <f>ROUND($D15*'STATS 2017'!E17,0)</f>
        <v>2</v>
      </c>
      <c r="H15" s="36">
        <f>ROUND($D15*'STATS 2017'!F17,0)</f>
        <v>0</v>
      </c>
      <c r="I15" s="36">
        <f>ROUND($D15*'STATS 2017'!G17,0)</f>
        <v>8</v>
      </c>
      <c r="J15" s="36">
        <f>ROUND($D15*'STATS 2017'!H17,0)</f>
        <v>1</v>
      </c>
      <c r="K15" s="36">
        <f>ROUND($D15*'STATS 2017'!I17,0)</f>
        <v>5</v>
      </c>
      <c r="L15" s="36">
        <f>ROUND($D15*'STATS 2017'!J17,0)</f>
        <v>2</v>
      </c>
      <c r="M15" s="36">
        <f>ROUND($D15*'STATS 2017'!K17,0)</f>
        <v>0</v>
      </c>
      <c r="N15" s="36">
        <f>ROUND($D15*'STATS 2017'!L17,0)</f>
        <v>1</v>
      </c>
      <c r="O15" s="36">
        <f>ROUND($D15*'STATS 2017'!M17,0)</f>
        <v>2</v>
      </c>
      <c r="P15" s="599">
        <f>ROUND($D15*'STATS 2017'!N17,0)+1</f>
        <v>2</v>
      </c>
      <c r="Q15" s="258">
        <f t="shared" si="1"/>
        <v>25</v>
      </c>
      <c r="R15" s="34">
        <f t="shared" si="2"/>
        <v>0</v>
      </c>
    </row>
    <row r="16" spans="1:31" s="5" customFormat="1" x14ac:dyDescent="0.2">
      <c r="A16" s="256" t="s">
        <v>736</v>
      </c>
      <c r="B16" s="310">
        <f>STATS!B20</f>
        <v>275</v>
      </c>
      <c r="C16" s="257">
        <f>STATS!C20</f>
        <v>8.0808080808083107E-4</v>
      </c>
      <c r="D16" s="269">
        <f t="shared" si="0"/>
        <v>275</v>
      </c>
      <c r="E16" s="36">
        <f>ROUND($D16*'STATS 2017'!C18,0)</f>
        <v>23</v>
      </c>
      <c r="F16" s="36">
        <f>ROUND($D16*'STATS 2017'!D18,0)</f>
        <v>31</v>
      </c>
      <c r="G16" s="36">
        <f>ROUND($D16*'STATS 2017'!E18,0)</f>
        <v>12</v>
      </c>
      <c r="H16" s="36">
        <f>ROUND($D16*'STATS 2017'!F18,0)</f>
        <v>21</v>
      </c>
      <c r="I16" s="36">
        <f>ROUND($D16*'STATS 2017'!G18,0)</f>
        <v>31</v>
      </c>
      <c r="J16" s="36">
        <f>ROUND($D16*'STATS 2017'!H18,0)</f>
        <v>19</v>
      </c>
      <c r="K16" s="36">
        <f>ROUND($D16*'STATS 2017'!I18,0)</f>
        <v>21</v>
      </c>
      <c r="L16" s="36">
        <f>ROUND($D16*'STATS 2017'!J18,0)</f>
        <v>29</v>
      </c>
      <c r="M16" s="36">
        <f>ROUND($D16*'STATS 2017'!K18,0)</f>
        <v>19</v>
      </c>
      <c r="N16" s="36">
        <f>ROUND($D16*'STATS 2017'!L18,0)</f>
        <v>22</v>
      </c>
      <c r="O16" s="36">
        <f>ROUND($D16*'STATS 2017'!M18,0)</f>
        <v>27</v>
      </c>
      <c r="P16" s="171">
        <f>ROUND($D16*'STATS 2017'!N18,0)</f>
        <v>20</v>
      </c>
      <c r="Q16" s="259">
        <f t="shared" si="1"/>
        <v>275</v>
      </c>
      <c r="R16" s="34">
        <f t="shared" si="2"/>
        <v>0</v>
      </c>
      <c r="S16" s="6"/>
      <c r="T16" s="6"/>
      <c r="U16" s="6"/>
    </row>
    <row r="17" spans="1:21" x14ac:dyDescent="0.2">
      <c r="A17" s="35" t="s">
        <v>737</v>
      </c>
      <c r="B17" s="312">
        <f>B15+B16</f>
        <v>298</v>
      </c>
      <c r="C17" s="271"/>
      <c r="D17" s="270">
        <f>D15+D16</f>
        <v>300</v>
      </c>
      <c r="E17" s="38">
        <f>E15+E16</f>
        <v>25</v>
      </c>
      <c r="F17" s="38">
        <f t="shared" ref="F17:P17" si="6">F15+F16</f>
        <v>31</v>
      </c>
      <c r="G17" s="38">
        <f t="shared" si="6"/>
        <v>14</v>
      </c>
      <c r="H17" s="38">
        <f t="shared" si="6"/>
        <v>21</v>
      </c>
      <c r="I17" s="38">
        <f t="shared" si="6"/>
        <v>39</v>
      </c>
      <c r="J17" s="38">
        <f t="shared" si="6"/>
        <v>20</v>
      </c>
      <c r="K17" s="38">
        <f t="shared" si="6"/>
        <v>26</v>
      </c>
      <c r="L17" s="38">
        <f t="shared" si="6"/>
        <v>31</v>
      </c>
      <c r="M17" s="38">
        <f t="shared" si="6"/>
        <v>19</v>
      </c>
      <c r="N17" s="38">
        <f t="shared" si="6"/>
        <v>23</v>
      </c>
      <c r="O17" s="38">
        <f t="shared" si="6"/>
        <v>29</v>
      </c>
      <c r="P17" s="38">
        <f t="shared" si="6"/>
        <v>22</v>
      </c>
      <c r="Q17" s="258">
        <f t="shared" si="1"/>
        <v>300</v>
      </c>
      <c r="R17" s="34">
        <f t="shared" si="2"/>
        <v>0</v>
      </c>
    </row>
    <row r="18" spans="1:21" x14ac:dyDescent="0.2">
      <c r="A18" s="256" t="s">
        <v>738</v>
      </c>
      <c r="B18" s="310">
        <f>STATS!B22</f>
        <v>73</v>
      </c>
      <c r="C18" s="257">
        <f>STATS!C22</f>
        <v>0.23439878234398787</v>
      </c>
      <c r="D18" s="269">
        <f t="shared" si="0"/>
        <v>90</v>
      </c>
      <c r="E18" s="36">
        <f>ROUND($D18*'STATS 2017'!C19,0)</f>
        <v>7</v>
      </c>
      <c r="F18" s="36">
        <f>ROUND($D18*'STATS 2017'!D19,0)</f>
        <v>1</v>
      </c>
      <c r="G18" s="36">
        <f>ROUND($D18*'STATS 2017'!E19,0)</f>
        <v>7</v>
      </c>
      <c r="H18" s="36">
        <f>ROUND($D18*'STATS 2017'!F19,0)</f>
        <v>7</v>
      </c>
      <c r="I18" s="36">
        <f>ROUND($D18*'STATS 2017'!G19,0)</f>
        <v>9</v>
      </c>
      <c r="J18" s="36">
        <f>ROUND($D18*'STATS 2017'!H19,0)</f>
        <v>5</v>
      </c>
      <c r="K18" s="36">
        <f>ROUND($D18*'STATS 2017'!I19,0)</f>
        <v>7</v>
      </c>
      <c r="L18" s="36">
        <f>ROUND($D18*'STATS 2017'!J19,0)</f>
        <v>7</v>
      </c>
      <c r="M18" s="36">
        <f>ROUND($D18*'STATS 2017'!K19,0)</f>
        <v>5</v>
      </c>
      <c r="N18" s="36">
        <f>ROUND($D18*'STATS 2017'!L19,0)</f>
        <v>12</v>
      </c>
      <c r="O18" s="36">
        <f>ROUND($D18*'STATS 2017'!M19,0)</f>
        <v>18</v>
      </c>
      <c r="P18" s="599">
        <f>ROUND($D18*'STATS 2017'!N19,0)+3</f>
        <v>5</v>
      </c>
      <c r="Q18" s="258">
        <f t="shared" si="1"/>
        <v>90</v>
      </c>
      <c r="R18" s="34">
        <f t="shared" si="2"/>
        <v>0</v>
      </c>
    </row>
    <row r="19" spans="1:21" s="5" customFormat="1" x14ac:dyDescent="0.2">
      <c r="A19" s="256" t="s">
        <v>739</v>
      </c>
      <c r="B19" s="310">
        <f>STATS!B23</f>
        <v>504</v>
      </c>
      <c r="C19" s="257">
        <f>STATS!C23</f>
        <v>-6.1728395061727897E-3</v>
      </c>
      <c r="D19" s="269">
        <f t="shared" si="0"/>
        <v>501</v>
      </c>
      <c r="E19" s="36">
        <f>ROUND($D19*'STATS 2017'!C20,0)</f>
        <v>42</v>
      </c>
      <c r="F19" s="36">
        <f>ROUND($D19*'STATS 2017'!D20,0)</f>
        <v>51</v>
      </c>
      <c r="G19" s="36">
        <f>ROUND($D19*'STATS 2017'!E20,0)</f>
        <v>31</v>
      </c>
      <c r="H19" s="36">
        <f>ROUND($D19*'STATS 2017'!F20,0)</f>
        <v>33</v>
      </c>
      <c r="I19" s="36">
        <f>ROUND($D19*'STATS 2017'!G20,0)</f>
        <v>48</v>
      </c>
      <c r="J19" s="36">
        <f>ROUND($D19*'STATS 2017'!H20,0)</f>
        <v>39</v>
      </c>
      <c r="K19" s="36">
        <f>ROUND($D19*'STATS 2017'!I20,0)</f>
        <v>39</v>
      </c>
      <c r="L19" s="36">
        <f>ROUND($D19*'STATS 2017'!J20,0)</f>
        <v>53</v>
      </c>
      <c r="M19" s="36">
        <f>ROUND($D19*'STATS 2017'!K20,0)</f>
        <v>39</v>
      </c>
      <c r="N19" s="36">
        <f>ROUND($D19*'STATS 2017'!L20,0)</f>
        <v>38</v>
      </c>
      <c r="O19" s="36">
        <f>ROUND($D19*'STATS 2017'!M20,0)</f>
        <v>50</v>
      </c>
      <c r="P19" s="599">
        <f>ROUND($D19*'STATS 2017'!N20,0)-3</f>
        <v>38</v>
      </c>
      <c r="Q19" s="259">
        <f t="shared" si="1"/>
        <v>501</v>
      </c>
      <c r="R19" s="34">
        <f t="shared" si="2"/>
        <v>0</v>
      </c>
      <c r="S19" s="6"/>
      <c r="T19" s="6"/>
      <c r="U19" s="6"/>
    </row>
    <row r="20" spans="1:21" x14ac:dyDescent="0.2">
      <c r="A20" s="35" t="s">
        <v>740</v>
      </c>
      <c r="B20" s="312">
        <f>B18+B19</f>
        <v>577</v>
      </c>
      <c r="C20" s="271"/>
      <c r="D20" s="270">
        <f>D18+D19</f>
        <v>591</v>
      </c>
      <c r="E20" s="38">
        <f>E18+E19</f>
        <v>49</v>
      </c>
      <c r="F20" s="38">
        <f t="shared" ref="F20:P20" si="7">F18+F19</f>
        <v>52</v>
      </c>
      <c r="G20" s="38">
        <f t="shared" si="7"/>
        <v>38</v>
      </c>
      <c r="H20" s="38">
        <f t="shared" si="7"/>
        <v>40</v>
      </c>
      <c r="I20" s="38">
        <f t="shared" si="7"/>
        <v>57</v>
      </c>
      <c r="J20" s="38">
        <f t="shared" si="7"/>
        <v>44</v>
      </c>
      <c r="K20" s="38">
        <f t="shared" si="7"/>
        <v>46</v>
      </c>
      <c r="L20" s="38">
        <f t="shared" si="7"/>
        <v>60</v>
      </c>
      <c r="M20" s="38">
        <f t="shared" si="7"/>
        <v>44</v>
      </c>
      <c r="N20" s="38">
        <f t="shared" si="7"/>
        <v>50</v>
      </c>
      <c r="O20" s="38">
        <f t="shared" si="7"/>
        <v>68</v>
      </c>
      <c r="P20" s="38">
        <f t="shared" si="7"/>
        <v>43</v>
      </c>
      <c r="Q20" s="258">
        <f t="shared" si="1"/>
        <v>591</v>
      </c>
      <c r="R20" s="34">
        <f t="shared" si="2"/>
        <v>0</v>
      </c>
    </row>
    <row r="21" spans="1:21" x14ac:dyDescent="0.2">
      <c r="A21" s="256" t="s">
        <v>741</v>
      </c>
      <c r="B21" s="310">
        <f>STATS!B25</f>
        <v>61</v>
      </c>
      <c r="C21" s="257">
        <f>STATS!C25</f>
        <v>0.39344262295081966</v>
      </c>
      <c r="D21" s="269">
        <f t="shared" si="0"/>
        <v>85</v>
      </c>
      <c r="E21" s="36">
        <f>ROUND($D21*'STATS 2017'!C21,0)</f>
        <v>8</v>
      </c>
      <c r="F21" s="36">
        <f>ROUND($D21*'STATS 2017'!D21,0)</f>
        <v>1</v>
      </c>
      <c r="G21" s="36">
        <f>ROUND($D21*'STATS 2017'!E21,0)</f>
        <v>7</v>
      </c>
      <c r="H21" s="36">
        <f>ROUND($D21*'STATS 2017'!F21,0)</f>
        <v>8</v>
      </c>
      <c r="I21" s="36">
        <f>ROUND($D21*'STATS 2017'!G21,0)</f>
        <v>7</v>
      </c>
      <c r="J21" s="36">
        <f>ROUND($D21*'STATS 2017'!H21,0)</f>
        <v>6</v>
      </c>
      <c r="K21" s="36">
        <f>ROUND($D21*'STATS 2017'!I21,0)</f>
        <v>8</v>
      </c>
      <c r="L21" s="36">
        <f>ROUND($D21*'STATS 2017'!J21,0)</f>
        <v>7</v>
      </c>
      <c r="M21" s="36">
        <f>ROUND($D21*'STATS 2017'!K21,0)</f>
        <v>6</v>
      </c>
      <c r="N21" s="36">
        <f>ROUND($D21*'STATS 2017'!L21,0)</f>
        <v>10</v>
      </c>
      <c r="O21" s="36">
        <f>ROUND($D21*'STATS 2017'!M21,0)</f>
        <v>14</v>
      </c>
      <c r="P21" s="599">
        <f>ROUND($D21*'STATS 2017'!N21,0)</f>
        <v>3</v>
      </c>
      <c r="Q21" s="258">
        <f t="shared" si="1"/>
        <v>85</v>
      </c>
      <c r="R21" s="34">
        <f t="shared" si="2"/>
        <v>0</v>
      </c>
    </row>
    <row r="22" spans="1:21" x14ac:dyDescent="0.2">
      <c r="A22" s="256" t="s">
        <v>742</v>
      </c>
      <c r="B22" s="310">
        <f>STATS!B26</f>
        <v>460</v>
      </c>
      <c r="C22" s="257">
        <f>STATS!C26</f>
        <v>6.5217391304347824E-2</v>
      </c>
      <c r="D22" s="269">
        <f t="shared" si="0"/>
        <v>490</v>
      </c>
      <c r="E22" s="36">
        <f>ROUND($D22*'STATS 2017'!C22,0)</f>
        <v>43</v>
      </c>
      <c r="F22" s="36">
        <f>ROUND($D22*'STATS 2017'!D22,0)</f>
        <v>49</v>
      </c>
      <c r="G22" s="36">
        <f>ROUND($D22*'STATS 2017'!E22,0)</f>
        <v>29</v>
      </c>
      <c r="H22" s="36">
        <f>ROUND($D22*'STATS 2017'!F22,0)</f>
        <v>31</v>
      </c>
      <c r="I22" s="36">
        <f>ROUND($D22*'STATS 2017'!G22,0)</f>
        <v>45</v>
      </c>
      <c r="J22" s="36">
        <f>ROUND($D22*'STATS 2017'!H22,0)</f>
        <v>38</v>
      </c>
      <c r="K22" s="36">
        <f>ROUND($D22*'STATS 2017'!I22,0)</f>
        <v>40</v>
      </c>
      <c r="L22" s="36">
        <f>ROUND($D22*'STATS 2017'!J22,0)</f>
        <v>52</v>
      </c>
      <c r="M22" s="36">
        <f>ROUND($D22*'STATS 2017'!K22,0)</f>
        <v>38</v>
      </c>
      <c r="N22" s="36">
        <f>ROUND($D22*'STATS 2017'!L22,0)</f>
        <v>38</v>
      </c>
      <c r="O22" s="36">
        <f>ROUND($D22*'STATS 2017'!M22,0)</f>
        <v>49</v>
      </c>
      <c r="P22" s="599">
        <f>ROUND($D22*'STATS 2017'!N22,0)+1</f>
        <v>38</v>
      </c>
      <c r="Q22" s="258">
        <f t="shared" si="1"/>
        <v>490</v>
      </c>
      <c r="R22" s="34">
        <f t="shared" si="2"/>
        <v>0</v>
      </c>
    </row>
    <row r="23" spans="1:21" x14ac:dyDescent="0.2">
      <c r="A23" s="35" t="s">
        <v>743</v>
      </c>
      <c r="B23" s="312">
        <f>B21+B22</f>
        <v>521</v>
      </c>
      <c r="C23" s="271"/>
      <c r="D23" s="270">
        <f>D21+D22</f>
        <v>575</v>
      </c>
      <c r="E23" s="38">
        <f>E21+E22</f>
        <v>51</v>
      </c>
      <c r="F23" s="38">
        <f t="shared" ref="F23:P23" si="8">F21+F22</f>
        <v>50</v>
      </c>
      <c r="G23" s="38">
        <f t="shared" si="8"/>
        <v>36</v>
      </c>
      <c r="H23" s="38">
        <f t="shared" si="8"/>
        <v>39</v>
      </c>
      <c r="I23" s="38">
        <f t="shared" si="8"/>
        <v>52</v>
      </c>
      <c r="J23" s="38">
        <f t="shared" si="8"/>
        <v>44</v>
      </c>
      <c r="K23" s="38">
        <f t="shared" si="8"/>
        <v>48</v>
      </c>
      <c r="L23" s="38">
        <f t="shared" si="8"/>
        <v>59</v>
      </c>
      <c r="M23" s="38">
        <f t="shared" si="8"/>
        <v>44</v>
      </c>
      <c r="N23" s="38">
        <f t="shared" si="8"/>
        <v>48</v>
      </c>
      <c r="O23" s="38">
        <f t="shared" si="8"/>
        <v>63</v>
      </c>
      <c r="P23" s="38">
        <f t="shared" si="8"/>
        <v>41</v>
      </c>
      <c r="Q23" s="258">
        <f t="shared" si="1"/>
        <v>575</v>
      </c>
      <c r="R23" s="34">
        <f t="shared" si="2"/>
        <v>0</v>
      </c>
    </row>
    <row r="24" spans="1:21" x14ac:dyDescent="0.2">
      <c r="A24" s="256" t="s">
        <v>744</v>
      </c>
      <c r="B24" s="310">
        <f>STATS!B28</f>
        <v>27687</v>
      </c>
      <c r="C24" s="257">
        <f>STATS!C28</f>
        <v>3.9031555122139197E-2</v>
      </c>
      <c r="D24" s="269">
        <f t="shared" si="0"/>
        <v>28768</v>
      </c>
      <c r="E24" s="36">
        <f>ROUND($D24*'STATS 2017'!C23,0)</f>
        <v>2351</v>
      </c>
      <c r="F24" s="36">
        <f>ROUND($D24*'STATS 2017'!D23,0)</f>
        <v>2380</v>
      </c>
      <c r="G24" s="36">
        <f>ROUND($D24*'STATS 2017'!E23,0)</f>
        <v>1526</v>
      </c>
      <c r="H24" s="36">
        <f>ROUND($D24*'STATS 2017'!F23,0)</f>
        <v>1707</v>
      </c>
      <c r="I24" s="36">
        <f>ROUND($D24*'STATS 2017'!G23,0)</f>
        <v>2437</v>
      </c>
      <c r="J24" s="36">
        <f>ROUND($D24*'STATS 2017'!H23,0)</f>
        <v>2081</v>
      </c>
      <c r="K24" s="36">
        <f>ROUND($D24*'STATS 2017'!I23,0)</f>
        <v>2234</v>
      </c>
      <c r="L24" s="36">
        <f>ROUND($D24*'STATS 2017'!J23,0)</f>
        <v>3316</v>
      </c>
      <c r="M24" s="36">
        <f>ROUND($D24*'STATS 2017'!K23,0)</f>
        <v>2559</v>
      </c>
      <c r="N24" s="36">
        <f>ROUND($D24*'STATS 2017'!L23,0)</f>
        <v>2492</v>
      </c>
      <c r="O24" s="36">
        <f>ROUND($D24*'STATS 2017'!M23,0)</f>
        <v>3613</v>
      </c>
      <c r="P24" s="36">
        <f>ROUND($D24*'STATS 2017'!N23,0)</f>
        <v>2072</v>
      </c>
      <c r="Q24" s="258">
        <f t="shared" si="1"/>
        <v>28768</v>
      </c>
      <c r="R24" s="34">
        <f t="shared" si="2"/>
        <v>0</v>
      </c>
    </row>
    <row r="25" spans="1:21" x14ac:dyDescent="0.2">
      <c r="A25" s="260" t="s">
        <v>745</v>
      </c>
      <c r="B25" s="310">
        <f>STATS!B29</f>
        <v>503</v>
      </c>
      <c r="C25" s="257">
        <f>STATS!C29</f>
        <v>0.14314115308151093</v>
      </c>
      <c r="D25" s="269">
        <f t="shared" si="0"/>
        <v>575</v>
      </c>
      <c r="E25" s="36">
        <f>ROUND($D25*'STATS 2017'!C24,0)</f>
        <v>53</v>
      </c>
      <c r="F25" s="36">
        <f>ROUND($D25*'STATS 2017'!D24,0)</f>
        <v>54</v>
      </c>
      <c r="G25" s="36">
        <f>ROUND($D25*'STATS 2017'!E24,0)</f>
        <v>35</v>
      </c>
      <c r="H25" s="36">
        <f>ROUND($D25*'STATS 2017'!F24,0)</f>
        <v>40</v>
      </c>
      <c r="I25" s="36">
        <f>ROUND($D25*'STATS 2017'!G24,0)</f>
        <v>54</v>
      </c>
      <c r="J25" s="36">
        <f>ROUND($D25*'STATS 2017'!H24,0)</f>
        <v>46</v>
      </c>
      <c r="K25" s="36">
        <f>ROUND($D25*'STATS 2017'!I24,0)</f>
        <v>47</v>
      </c>
      <c r="L25" s="36">
        <f>ROUND($D25*'STATS 2017'!J24,0)</f>
        <v>61</v>
      </c>
      <c r="M25" s="36">
        <f>ROUND($D25*'STATS 2017'!K24,0)</f>
        <v>42</v>
      </c>
      <c r="N25" s="36">
        <f>ROUND($D25*'STATS 2017'!L24,0)</f>
        <v>48</v>
      </c>
      <c r="O25" s="36">
        <f>ROUND($D25*'STATS 2017'!M24,0)</f>
        <v>55</v>
      </c>
      <c r="P25" s="36">
        <f>ROUND($D25*'STATS 2017'!N24,0)-1</f>
        <v>40</v>
      </c>
      <c r="Q25" s="258">
        <f t="shared" si="1"/>
        <v>575</v>
      </c>
      <c r="R25" s="34">
        <f t="shared" si="2"/>
        <v>0</v>
      </c>
    </row>
    <row r="26" spans="1:21" x14ac:dyDescent="0.2">
      <c r="A26" s="260" t="s">
        <v>746</v>
      </c>
      <c r="B26" s="310">
        <f>STATS!B30</f>
        <v>21395</v>
      </c>
      <c r="C26" s="257">
        <f>STATS!C30</f>
        <v>0.21794811871932696</v>
      </c>
      <c r="D26" s="269">
        <f t="shared" si="0"/>
        <v>26058</v>
      </c>
      <c r="E26" s="36">
        <f>ROUND($D26*'STATS 2017'!C25,0)</f>
        <v>1939</v>
      </c>
      <c r="F26" s="36">
        <f>ROUND($D26*'STATS 2017'!D25,0)</f>
        <v>2207</v>
      </c>
      <c r="G26" s="36">
        <f>ROUND($D26*'STATS 2017'!E25,0)</f>
        <v>1521</v>
      </c>
      <c r="H26" s="36">
        <f>ROUND($D26*'STATS 2017'!F25,0)</f>
        <v>1988</v>
      </c>
      <c r="I26" s="36">
        <f>ROUND($D26*'STATS 2017'!G25,0)</f>
        <v>2081</v>
      </c>
      <c r="J26" s="36">
        <f>ROUND($D26*'STATS 2017'!H25,0)</f>
        <v>2525</v>
      </c>
      <c r="K26" s="36">
        <f>ROUND($D26*'STATS 2017'!I25,0)</f>
        <v>1709</v>
      </c>
      <c r="L26" s="36">
        <f>ROUND($D26*'STATS 2017'!J25,0)</f>
        <v>2662</v>
      </c>
      <c r="M26" s="36">
        <f>ROUND($D26*'STATS 2017'!K25,0)</f>
        <v>2487</v>
      </c>
      <c r="N26" s="36">
        <f>ROUND($D26*'STATS 2017'!L25,0)</f>
        <v>2080</v>
      </c>
      <c r="O26" s="36">
        <f>ROUND($D26*'STATS 2017'!M25,0)</f>
        <v>3126</v>
      </c>
      <c r="P26" s="599">
        <f>ROUND($D26*'STATS 2017'!N25,0)+1</f>
        <v>1733</v>
      </c>
      <c r="Q26" s="258">
        <f t="shared" si="1"/>
        <v>26058</v>
      </c>
      <c r="R26" s="34">
        <f t="shared" si="2"/>
        <v>0</v>
      </c>
    </row>
    <row r="27" spans="1:21" x14ac:dyDescent="0.2">
      <c r="A27" s="256" t="s">
        <v>747</v>
      </c>
      <c r="B27" s="310">
        <f>STATS!B31</f>
        <v>72724.100000000006</v>
      </c>
      <c r="C27" s="257">
        <f>STATS!C31</f>
        <v>-5.1350392938669942E-2</v>
      </c>
      <c r="D27" s="269">
        <f t="shared" si="0"/>
        <v>68990</v>
      </c>
      <c r="E27" s="36">
        <f>ROUND($D27*'STATS 2017'!C26,0)</f>
        <v>4277</v>
      </c>
      <c r="F27" s="36">
        <f>ROUND($D27*'STATS 2017'!D26,0)</f>
        <v>4223</v>
      </c>
      <c r="G27" s="36">
        <f>ROUND($D27*'STATS 2017'!E26,0)</f>
        <v>3985</v>
      </c>
      <c r="H27" s="36">
        <f>ROUND($D27*'STATS 2017'!F26,0)</f>
        <v>5460</v>
      </c>
      <c r="I27" s="36">
        <f>ROUND($D27*'STATS 2017'!G26,0)</f>
        <v>5515</v>
      </c>
      <c r="J27" s="36">
        <f>ROUND($D27*'STATS 2017'!H26,0)</f>
        <v>7520</v>
      </c>
      <c r="K27" s="36">
        <f>ROUND($D27*'STATS 2017'!I26,0)</f>
        <v>4575</v>
      </c>
      <c r="L27" s="36">
        <f>ROUND($D27*'STATS 2017'!J26,0)</f>
        <v>5497</v>
      </c>
      <c r="M27" s="36">
        <f>ROUND($D27*'STATS 2017'!K26,0)</f>
        <v>6654</v>
      </c>
      <c r="N27" s="36">
        <f>ROUND($D27*'STATS 2017'!L26,0)</f>
        <v>7676</v>
      </c>
      <c r="O27" s="36">
        <f>ROUND($D27*'STATS 2017'!M26,0)</f>
        <v>7256</v>
      </c>
      <c r="P27" s="599">
        <f>ROUND($D27*'STATS 2017'!N26,0)-1</f>
        <v>6352</v>
      </c>
      <c r="Q27" s="258">
        <f t="shared" si="1"/>
        <v>68990</v>
      </c>
      <c r="R27" s="34">
        <f t="shared" si="2"/>
        <v>0</v>
      </c>
    </row>
    <row r="28" spans="1:21" x14ac:dyDescent="0.2">
      <c r="A28" s="256" t="s">
        <v>748</v>
      </c>
      <c r="B28" s="310">
        <f>STATS!B32</f>
        <v>21236</v>
      </c>
      <c r="C28" s="257">
        <f>STATS!C32</f>
        <v>0</v>
      </c>
      <c r="D28" s="269">
        <f t="shared" si="0"/>
        <v>21236</v>
      </c>
      <c r="E28" s="36">
        <f>ROUND($D28*'STATS 2017'!C27,0)</f>
        <v>1862</v>
      </c>
      <c r="F28" s="36">
        <f>ROUND($D28*'STATS 2017'!D27,0)</f>
        <v>1485</v>
      </c>
      <c r="G28" s="36">
        <f>ROUND($D28*'STATS 2017'!E27,0)</f>
        <v>1659</v>
      </c>
      <c r="H28" s="36">
        <f>ROUND($D28*'STATS 2017'!F27,0)</f>
        <v>1609</v>
      </c>
      <c r="I28" s="36">
        <f>ROUND($D28*'STATS 2017'!G27,0)</f>
        <v>1624</v>
      </c>
      <c r="J28" s="36">
        <f>ROUND($D28*'STATS 2017'!H27,0)</f>
        <v>1885</v>
      </c>
      <c r="K28" s="36">
        <f>ROUND($D28*'STATS 2017'!I27,0)</f>
        <v>1908</v>
      </c>
      <c r="L28" s="36">
        <f>ROUND($D28*'STATS 2017'!J27,0)</f>
        <v>2199</v>
      </c>
      <c r="M28" s="36">
        <f>ROUND($D28*'STATS 2017'!K27,0)</f>
        <v>2178</v>
      </c>
      <c r="N28" s="36">
        <f>ROUND($D28*'STATS 2017'!L27,0)</f>
        <v>1271</v>
      </c>
      <c r="O28" s="36">
        <f>ROUND($D28*'STATS 2017'!M27,0)</f>
        <v>1839</v>
      </c>
      <c r="P28" s="599">
        <f>ROUND($D28*'STATS 2017'!N27,0)</f>
        <v>1717</v>
      </c>
      <c r="Q28" s="258">
        <f t="shared" si="1"/>
        <v>21236</v>
      </c>
      <c r="R28" s="34">
        <f t="shared" si="2"/>
        <v>0</v>
      </c>
    </row>
    <row r="29" spans="1:21" x14ac:dyDescent="0.2">
      <c r="A29" s="35" t="s">
        <v>749</v>
      </c>
      <c r="B29" s="312">
        <f>B27+B28</f>
        <v>93960.1</v>
      </c>
      <c r="C29" s="271"/>
      <c r="D29" s="270">
        <f>D27+D28</f>
        <v>90226</v>
      </c>
      <c r="E29" s="38">
        <f>E27+E28</f>
        <v>6139</v>
      </c>
      <c r="F29" s="38">
        <f t="shared" ref="F29:P29" si="9">F27+F28</f>
        <v>5708</v>
      </c>
      <c r="G29" s="38">
        <f t="shared" si="9"/>
        <v>5644</v>
      </c>
      <c r="H29" s="38">
        <f t="shared" si="9"/>
        <v>7069</v>
      </c>
      <c r="I29" s="38">
        <f t="shared" si="9"/>
        <v>7139</v>
      </c>
      <c r="J29" s="38">
        <f t="shared" si="9"/>
        <v>9405</v>
      </c>
      <c r="K29" s="38">
        <f t="shared" si="9"/>
        <v>6483</v>
      </c>
      <c r="L29" s="38">
        <f t="shared" si="9"/>
        <v>7696</v>
      </c>
      <c r="M29" s="38">
        <f t="shared" si="9"/>
        <v>8832</v>
      </c>
      <c r="N29" s="38">
        <f t="shared" si="9"/>
        <v>8947</v>
      </c>
      <c r="O29" s="38">
        <f t="shared" si="9"/>
        <v>9095</v>
      </c>
      <c r="P29" s="38">
        <f t="shared" si="9"/>
        <v>8069</v>
      </c>
      <c r="Q29" s="258">
        <f t="shared" si="1"/>
        <v>90226</v>
      </c>
      <c r="R29" s="34">
        <f t="shared" si="2"/>
        <v>0</v>
      </c>
    </row>
    <row r="30" spans="1:21" s="5" customFormat="1" x14ac:dyDescent="0.2">
      <c r="A30" s="256" t="s">
        <v>750</v>
      </c>
      <c r="B30" s="310">
        <f>STATS!B34</f>
        <v>6263</v>
      </c>
      <c r="C30" s="257">
        <f>STATS!C34</f>
        <v>0.13400571256231492</v>
      </c>
      <c r="D30" s="269">
        <f t="shared" si="0"/>
        <v>7102</v>
      </c>
      <c r="E30" s="36">
        <f>ROUND($D30*'STATS 2017'!C28,0)</f>
        <v>318</v>
      </c>
      <c r="F30" s="36">
        <f>ROUND($D30*'STATS 2017'!D28,0)</f>
        <v>545</v>
      </c>
      <c r="G30" s="36">
        <f>ROUND($D30*'STATS 2017'!E28,0)</f>
        <v>458</v>
      </c>
      <c r="H30" s="36">
        <f>ROUND($D30*'STATS 2017'!F28,0)</f>
        <v>405</v>
      </c>
      <c r="I30" s="36">
        <f>ROUND($D30*'STATS 2017'!G28,0)</f>
        <v>645</v>
      </c>
      <c r="J30" s="36">
        <f>ROUND($D30*'STATS 2017'!H28,0)</f>
        <v>912</v>
      </c>
      <c r="K30" s="36">
        <f>ROUND($D30*'STATS 2017'!I28,0)</f>
        <v>564</v>
      </c>
      <c r="L30" s="36">
        <f>ROUND($D30*'STATS 2017'!J28,0)</f>
        <v>490</v>
      </c>
      <c r="M30" s="36">
        <f>ROUND($D30*'STATS 2017'!K28,0)</f>
        <v>638</v>
      </c>
      <c r="N30" s="36">
        <f>ROUND($D30*'STATS 2017'!L28,0)</f>
        <v>680</v>
      </c>
      <c r="O30" s="36">
        <f>ROUND($D30*'STATS 2017'!M28,0)</f>
        <v>925</v>
      </c>
      <c r="P30" s="599">
        <f>ROUND($D30*'STATS 2017'!N28,0)</f>
        <v>522</v>
      </c>
      <c r="Q30" s="259">
        <f>SUM(E30:P30)</f>
        <v>7102</v>
      </c>
      <c r="R30" s="34">
        <f t="shared" si="2"/>
        <v>0</v>
      </c>
      <c r="S30" s="6"/>
      <c r="T30" s="6"/>
      <c r="U30" s="6"/>
    </row>
    <row r="31" spans="1:21" x14ac:dyDescent="0.2">
      <c r="A31" s="256" t="s">
        <v>751</v>
      </c>
      <c r="B31" s="310">
        <f>STATS!B35</f>
        <v>6239</v>
      </c>
      <c r="C31" s="257">
        <f>STATS!C35</f>
        <v>-6.4789585225552587E-2</v>
      </c>
      <c r="D31" s="269">
        <f t="shared" si="0"/>
        <v>5835</v>
      </c>
      <c r="E31" s="36">
        <f>ROUND($D31*'STATS 2017'!C29,0)</f>
        <v>508</v>
      </c>
      <c r="F31" s="36">
        <f>ROUND($D31*'STATS 2017'!D29,0)</f>
        <v>510</v>
      </c>
      <c r="G31" s="36">
        <f>ROUND($D31*'STATS 2017'!E29,0)</f>
        <v>330</v>
      </c>
      <c r="H31" s="36">
        <f>ROUND($D31*'STATS 2017'!F29,0)</f>
        <v>401</v>
      </c>
      <c r="I31" s="36">
        <f>ROUND($D31*'STATS 2017'!G29,0)</f>
        <v>475</v>
      </c>
      <c r="J31" s="36">
        <f>ROUND($D31*'STATS 2017'!H29,0)</f>
        <v>470</v>
      </c>
      <c r="K31" s="36">
        <f>ROUND($D31*'STATS 2017'!I29,0)</f>
        <v>499</v>
      </c>
      <c r="L31" s="36">
        <f>ROUND($D31*'STATS 2017'!J29,0)</f>
        <v>513</v>
      </c>
      <c r="M31" s="36">
        <f>ROUND($D31*'STATS 2017'!K29,0)</f>
        <v>466</v>
      </c>
      <c r="N31" s="36">
        <f>ROUND($D31*'STATS 2017'!L29,0)</f>
        <v>459</v>
      </c>
      <c r="O31" s="36">
        <f>ROUND($D31*'STATS 2017'!M29,0)</f>
        <v>619</v>
      </c>
      <c r="P31" s="599">
        <f>ROUND($D31*'STATS 2017'!N29,0)+1</f>
        <v>585</v>
      </c>
      <c r="Q31" s="258">
        <f t="shared" si="1"/>
        <v>5835</v>
      </c>
      <c r="R31" s="34">
        <f t="shared" si="2"/>
        <v>0</v>
      </c>
    </row>
    <row r="32" spans="1:21" x14ac:dyDescent="0.2">
      <c r="A32" s="35" t="s">
        <v>752</v>
      </c>
      <c r="B32" s="312">
        <f>B30+B31</f>
        <v>12502</v>
      </c>
      <c r="C32" s="271"/>
      <c r="D32" s="270">
        <f>D30+D31</f>
        <v>12937</v>
      </c>
      <c r="E32" s="38">
        <f>E30+E31</f>
        <v>826</v>
      </c>
      <c r="F32" s="38">
        <f t="shared" ref="F32:P32" si="10">F30+F31</f>
        <v>1055</v>
      </c>
      <c r="G32" s="38">
        <f t="shared" si="10"/>
        <v>788</v>
      </c>
      <c r="H32" s="38">
        <f t="shared" si="10"/>
        <v>806</v>
      </c>
      <c r="I32" s="38">
        <f t="shared" si="10"/>
        <v>1120</v>
      </c>
      <c r="J32" s="38">
        <f t="shared" si="10"/>
        <v>1382</v>
      </c>
      <c r="K32" s="38">
        <f t="shared" si="10"/>
        <v>1063</v>
      </c>
      <c r="L32" s="38">
        <f t="shared" si="10"/>
        <v>1003</v>
      </c>
      <c r="M32" s="38">
        <f t="shared" si="10"/>
        <v>1104</v>
      </c>
      <c r="N32" s="38">
        <f t="shared" si="10"/>
        <v>1139</v>
      </c>
      <c r="O32" s="38">
        <f t="shared" si="10"/>
        <v>1544</v>
      </c>
      <c r="P32" s="38">
        <f t="shared" si="10"/>
        <v>1107</v>
      </c>
      <c r="Q32" s="258">
        <f t="shared" si="1"/>
        <v>12937</v>
      </c>
      <c r="R32" s="34">
        <f t="shared" si="2"/>
        <v>0</v>
      </c>
    </row>
    <row r="33" spans="1:21" s="5" customFormat="1" x14ac:dyDescent="0.2">
      <c r="A33" s="256" t="s">
        <v>753</v>
      </c>
      <c r="B33" s="310">
        <f>STATS!B37</f>
        <v>13953</v>
      </c>
      <c r="C33" s="257">
        <f>STATS!C37</f>
        <v>1.918344919849968E-2</v>
      </c>
      <c r="D33" s="269">
        <f t="shared" si="0"/>
        <v>14221</v>
      </c>
      <c r="E33" s="599">
        <f>ROUND($D33*'STATS 2017'!C30,0)+200</f>
        <v>1004</v>
      </c>
      <c r="F33" s="36">
        <f>ROUND($D33*'STATS 2017'!D30,0)</f>
        <v>1313</v>
      </c>
      <c r="G33" s="36">
        <f>ROUND($D33*'STATS 2017'!E30,0)</f>
        <v>1132</v>
      </c>
      <c r="H33" s="36">
        <f>ROUND($D33*'STATS 2017'!F30,0)</f>
        <v>1212</v>
      </c>
      <c r="I33" s="36">
        <f>ROUND($D33*'STATS 2017'!G30,0)</f>
        <v>1155</v>
      </c>
      <c r="J33" s="36">
        <f>ROUND($D33*'STATS 2017'!H30,0)</f>
        <v>1458</v>
      </c>
      <c r="K33" s="36">
        <f>ROUND($D33*'STATS 2017'!I30,0)</f>
        <v>1036</v>
      </c>
      <c r="L33" s="36">
        <f>ROUND($D33*'STATS 2017'!J30,0)</f>
        <v>883</v>
      </c>
      <c r="M33" s="36">
        <f>ROUND($D33*'STATS 2017'!K30,0)</f>
        <v>1275</v>
      </c>
      <c r="N33" s="36">
        <f>ROUND($D33*'STATS 2017'!L30,0)</f>
        <v>1240</v>
      </c>
      <c r="O33" s="36">
        <f>ROUND($D33*'STATS 2017'!M30,0)-200</f>
        <v>1410</v>
      </c>
      <c r="P33" s="171">
        <f>ROUND($D33*'STATS 2017'!N30,0)</f>
        <v>1103</v>
      </c>
      <c r="Q33" s="259">
        <f>SUM(E33:P33)</f>
        <v>14221</v>
      </c>
      <c r="R33" s="34">
        <f t="shared" si="2"/>
        <v>0</v>
      </c>
      <c r="S33" s="6"/>
      <c r="T33" s="6"/>
      <c r="U33" s="6"/>
    </row>
    <row r="34" spans="1:21" x14ac:dyDescent="0.2">
      <c r="A34" s="256" t="s">
        <v>754</v>
      </c>
      <c r="B34" s="310">
        <f>STATS!B38</f>
        <v>64444</v>
      </c>
      <c r="C34" s="257">
        <f>STATS!C38</f>
        <v>-0.11087145428589162</v>
      </c>
      <c r="D34" s="269">
        <f t="shared" si="0"/>
        <v>57299</v>
      </c>
      <c r="E34" s="599">
        <f>ROUND($D34*'STATS 2017'!C31,0)+1000+250</f>
        <v>5145</v>
      </c>
      <c r="F34" s="599">
        <f>ROUND($D34*'STATS 2017'!D31,0)+250</f>
        <v>3800</v>
      </c>
      <c r="G34" s="599">
        <f>ROUND($D34*'STATS 2017'!E31,0)+1000+2000</f>
        <v>6501</v>
      </c>
      <c r="H34" s="36">
        <f>ROUND($D34*'STATS 2017'!F31,0)</f>
        <v>4177</v>
      </c>
      <c r="I34" s="36">
        <f>ROUND($D34*'STATS 2017'!G31,0)</f>
        <v>4417</v>
      </c>
      <c r="J34" s="36">
        <f>ROUND($D34*'STATS 2017'!H31,0)</f>
        <v>4767</v>
      </c>
      <c r="K34" s="36">
        <f>ROUND($D34*'STATS 2017'!I31,0)</f>
        <v>4421</v>
      </c>
      <c r="L34" s="36">
        <f>ROUND($D34*'STATS 2017'!J31,0)</f>
        <v>4760</v>
      </c>
      <c r="M34" s="36">
        <f>ROUND($D34*'STATS 2017'!K31,0)</f>
        <v>4166</v>
      </c>
      <c r="N34" s="36">
        <f>ROUND($D34*'STATS 2017'!L31,0)</f>
        <v>3525</v>
      </c>
      <c r="O34" s="599">
        <f>ROUND($D34*'STATS 2017'!M31,0)-1000-1000</f>
        <v>4004</v>
      </c>
      <c r="P34" s="599">
        <f>ROUND($D34*'STATS 2017'!N31,0)+2-500-2000</f>
        <v>7616</v>
      </c>
      <c r="Q34" s="258">
        <f>SUM(E34:P34)</f>
        <v>57299</v>
      </c>
      <c r="R34" s="34">
        <f t="shared" si="2"/>
        <v>0</v>
      </c>
      <c r="T34" s="2">
        <f>6004-4000</f>
        <v>2004</v>
      </c>
    </row>
    <row r="35" spans="1:21" x14ac:dyDescent="0.2">
      <c r="A35" s="35" t="s">
        <v>755</v>
      </c>
      <c r="B35" s="312">
        <f>B33+B34</f>
        <v>78397</v>
      </c>
      <c r="C35" s="271"/>
      <c r="D35" s="270">
        <f>D33+D34</f>
        <v>71520</v>
      </c>
      <c r="E35" s="38">
        <f>E33+E34</f>
        <v>6149</v>
      </c>
      <c r="F35" s="38">
        <f t="shared" ref="F35:P35" si="11">F33+F34</f>
        <v>5113</v>
      </c>
      <c r="G35" s="38">
        <f t="shared" si="11"/>
        <v>7633</v>
      </c>
      <c r="H35" s="38">
        <f t="shared" si="11"/>
        <v>5389</v>
      </c>
      <c r="I35" s="38">
        <f t="shared" si="11"/>
        <v>5572</v>
      </c>
      <c r="J35" s="38">
        <f t="shared" si="11"/>
        <v>6225</v>
      </c>
      <c r="K35" s="38">
        <f t="shared" si="11"/>
        <v>5457</v>
      </c>
      <c r="L35" s="38">
        <f t="shared" si="11"/>
        <v>5643</v>
      </c>
      <c r="M35" s="38">
        <f t="shared" si="11"/>
        <v>5441</v>
      </c>
      <c r="N35" s="38">
        <f t="shared" si="11"/>
        <v>4765</v>
      </c>
      <c r="O35" s="38">
        <f t="shared" si="11"/>
        <v>5414</v>
      </c>
      <c r="P35" s="38">
        <f t="shared" si="11"/>
        <v>8719</v>
      </c>
      <c r="Q35" s="258">
        <f>SUM(E35:P35)</f>
        <v>71520</v>
      </c>
      <c r="R35" s="34">
        <f t="shared" si="2"/>
        <v>0</v>
      </c>
    </row>
    <row r="36" spans="1:21" x14ac:dyDescent="0.2">
      <c r="A36" s="256" t="s">
        <v>756</v>
      </c>
      <c r="B36" s="310">
        <f>STATS!B40</f>
        <v>5</v>
      </c>
      <c r="C36" s="257">
        <f>STATS!C40</f>
        <v>-1</v>
      </c>
      <c r="D36" s="269">
        <f t="shared" si="0"/>
        <v>0</v>
      </c>
      <c r="E36" s="36">
        <f>ROUND($D36*'STATS 2017'!C32,0)</f>
        <v>0</v>
      </c>
      <c r="F36" s="36">
        <f>ROUND($D36*'STATS 2017'!D32,0)</f>
        <v>0</v>
      </c>
      <c r="G36" s="36">
        <f>ROUND($D36*'STATS 2017'!E32,0)</f>
        <v>0</v>
      </c>
      <c r="H36" s="36">
        <f>ROUND($D36*'STATS 2017'!F32,0)</f>
        <v>0</v>
      </c>
      <c r="I36" s="36">
        <f>ROUND($D36*'STATS 2017'!G32,0)</f>
        <v>0</v>
      </c>
      <c r="J36" s="36">
        <f>ROUND($D36*'STATS 2017'!H32,0)</f>
        <v>0</v>
      </c>
      <c r="K36" s="36">
        <f>ROUND($D36*'STATS 2017'!I32,0)</f>
        <v>0</v>
      </c>
      <c r="L36" s="36">
        <f>ROUND($D36*'STATS 2017'!J32,0)</f>
        <v>0</v>
      </c>
      <c r="M36" s="36">
        <f>ROUND($D36*'STATS 2017'!K32,0)</f>
        <v>0</v>
      </c>
      <c r="N36" s="36">
        <f>ROUND($D36*'STATS 2017'!L32,0)</f>
        <v>0</v>
      </c>
      <c r="O36" s="36">
        <f>ROUND($D36*'STATS 2017'!M32,0)</f>
        <v>0</v>
      </c>
      <c r="P36" s="36">
        <f>ROUND($D36*'STATS 2017'!N32,0)</f>
        <v>0</v>
      </c>
      <c r="Q36" s="258">
        <f t="shared" si="1"/>
        <v>0</v>
      </c>
      <c r="R36" s="34">
        <f t="shared" si="2"/>
        <v>0</v>
      </c>
    </row>
    <row r="37" spans="1:21" s="5" customFormat="1" x14ac:dyDescent="0.2">
      <c r="A37" s="256" t="s">
        <v>757</v>
      </c>
      <c r="B37" s="310">
        <f>STATS!B41</f>
        <v>3</v>
      </c>
      <c r="C37" s="257">
        <f>STATS!C41</f>
        <v>-1</v>
      </c>
      <c r="D37" s="269">
        <f t="shared" si="0"/>
        <v>0</v>
      </c>
      <c r="E37" s="36">
        <f>ROUND($D37*'STATS 2017'!C33,0)</f>
        <v>0</v>
      </c>
      <c r="F37" s="36">
        <f>ROUND($D37*'STATS 2017'!D33,0)</f>
        <v>0</v>
      </c>
      <c r="G37" s="36">
        <f>ROUND($D37*'STATS 2017'!E33,0)</f>
        <v>0</v>
      </c>
      <c r="H37" s="36">
        <f>ROUND($D37*'STATS 2017'!F33,0)</f>
        <v>0</v>
      </c>
      <c r="I37" s="36">
        <f>ROUND($D37*'STATS 2017'!G33,0)</f>
        <v>0</v>
      </c>
      <c r="J37" s="36">
        <f>ROUND($D37*'STATS 2017'!H33,0)</f>
        <v>0</v>
      </c>
      <c r="K37" s="36">
        <f>ROUND($D37*'STATS 2017'!I33,0)</f>
        <v>0</v>
      </c>
      <c r="L37" s="36">
        <f>ROUND($D37*'STATS 2017'!J33,0)</f>
        <v>0</v>
      </c>
      <c r="M37" s="36">
        <f>ROUND($D37*'STATS 2017'!K33,0)</f>
        <v>0</v>
      </c>
      <c r="N37" s="36">
        <f>ROUND($D37*'STATS 2017'!L33,0)</f>
        <v>0</v>
      </c>
      <c r="O37" s="36">
        <f>ROUND($D37*'STATS 2017'!M33,0)</f>
        <v>0</v>
      </c>
      <c r="P37" s="36">
        <f>ROUND($D37*'STATS 2017'!N33,0)</f>
        <v>0</v>
      </c>
      <c r="Q37" s="259">
        <f t="shared" si="1"/>
        <v>0</v>
      </c>
      <c r="R37" s="34">
        <f t="shared" si="2"/>
        <v>0</v>
      </c>
      <c r="S37" s="6"/>
      <c r="T37" s="6"/>
      <c r="U37" s="6"/>
    </row>
    <row r="38" spans="1:21" x14ac:dyDescent="0.2">
      <c r="A38" s="35" t="s">
        <v>758</v>
      </c>
      <c r="B38" s="312">
        <f>B36+B37</f>
        <v>8</v>
      </c>
      <c r="C38" s="271"/>
      <c r="D38" s="270">
        <f>D36+D37</f>
        <v>0</v>
      </c>
      <c r="E38" s="38">
        <f>E36+E37</f>
        <v>0</v>
      </c>
      <c r="F38" s="38">
        <f t="shared" ref="F38:P38" si="12">F36+F37</f>
        <v>0</v>
      </c>
      <c r="G38" s="38">
        <f t="shared" si="12"/>
        <v>0</v>
      </c>
      <c r="H38" s="38">
        <f t="shared" si="12"/>
        <v>0</v>
      </c>
      <c r="I38" s="38">
        <f t="shared" si="12"/>
        <v>0</v>
      </c>
      <c r="J38" s="38">
        <f t="shared" si="12"/>
        <v>0</v>
      </c>
      <c r="K38" s="38">
        <f t="shared" si="12"/>
        <v>0</v>
      </c>
      <c r="L38" s="38">
        <f t="shared" si="12"/>
        <v>0</v>
      </c>
      <c r="M38" s="38">
        <f t="shared" si="12"/>
        <v>0</v>
      </c>
      <c r="N38" s="38">
        <f t="shared" si="12"/>
        <v>0</v>
      </c>
      <c r="O38" s="38">
        <f t="shared" si="12"/>
        <v>0</v>
      </c>
      <c r="P38" s="38">
        <f t="shared" si="12"/>
        <v>0</v>
      </c>
      <c r="Q38" s="258">
        <f t="shared" si="1"/>
        <v>0</v>
      </c>
      <c r="R38" s="34">
        <f t="shared" si="2"/>
        <v>0</v>
      </c>
    </row>
    <row r="39" spans="1:21" x14ac:dyDescent="0.2">
      <c r="A39" s="256" t="s">
        <v>759</v>
      </c>
      <c r="B39" s="310">
        <f>STATS!B43</f>
        <v>791</v>
      </c>
      <c r="C39" s="257">
        <f>STATS!C43</f>
        <v>0.1486163787048744</v>
      </c>
      <c r="D39" s="269">
        <f t="shared" si="0"/>
        <v>909</v>
      </c>
      <c r="E39" s="36">
        <f>ROUND($D39*'STATS 2017'!C34,0)</f>
        <v>23</v>
      </c>
      <c r="F39" s="36">
        <f>ROUND($D39*'STATS 2017'!D34,0)</f>
        <v>48</v>
      </c>
      <c r="G39" s="36">
        <f>ROUND($D39*'STATS 2017'!E34,0)</f>
        <v>82</v>
      </c>
      <c r="H39" s="36">
        <f>ROUND($D39*'STATS 2017'!F34,0)</f>
        <v>79</v>
      </c>
      <c r="I39" s="36">
        <f>ROUND($D39*'STATS 2017'!G34,0)</f>
        <v>93</v>
      </c>
      <c r="J39" s="36">
        <f>ROUND($D39*'STATS 2017'!H34,0)</f>
        <v>106</v>
      </c>
      <c r="K39" s="36">
        <f>ROUND($D39*'STATS 2017'!I34,0)</f>
        <v>41</v>
      </c>
      <c r="L39" s="36">
        <f>ROUND($D39*'STATS 2017'!J34,0)</f>
        <v>91</v>
      </c>
      <c r="M39" s="36">
        <f>ROUND($D39*'STATS 2017'!K34,0)</f>
        <v>53</v>
      </c>
      <c r="N39" s="36">
        <f>ROUND($D39*'STATS 2017'!L34,0)</f>
        <v>90</v>
      </c>
      <c r="O39" s="36">
        <f>ROUND($D39*'STATS 2017'!M34,0)</f>
        <v>102</v>
      </c>
      <c r="P39" s="171">
        <f>ROUND($D39*'STATS 2017'!N34,0)</f>
        <v>101</v>
      </c>
      <c r="Q39" s="258">
        <f t="shared" si="1"/>
        <v>909</v>
      </c>
      <c r="R39" s="34">
        <f t="shared" si="2"/>
        <v>0</v>
      </c>
    </row>
    <row r="40" spans="1:21" s="5" customFormat="1" x14ac:dyDescent="0.2">
      <c r="A40" s="256" t="s">
        <v>760</v>
      </c>
      <c r="B40" s="310">
        <f>STATS!B44</f>
        <v>20070</v>
      </c>
      <c r="C40" s="257">
        <f>STATS!C44</f>
        <v>9.2952444222997435E-2</v>
      </c>
      <c r="D40" s="269">
        <f t="shared" si="0"/>
        <v>21936</v>
      </c>
      <c r="E40" s="36">
        <f>ROUND($D40*'STATS 2017'!C35,0)</f>
        <v>1268</v>
      </c>
      <c r="F40" s="36">
        <f>ROUND($D40*'STATS 2017'!D35,0)</f>
        <v>1590</v>
      </c>
      <c r="G40" s="36">
        <f>ROUND($D40*'STATS 2017'!E35,0)</f>
        <v>1523</v>
      </c>
      <c r="H40" s="36">
        <f>ROUND($D40*'STATS 2017'!F35,0)</f>
        <v>1900</v>
      </c>
      <c r="I40" s="36">
        <f>ROUND($D40*'STATS 2017'!G35,0)</f>
        <v>2002</v>
      </c>
      <c r="J40" s="36">
        <f>ROUND($D40*'STATS 2017'!H35,0)</f>
        <v>2564</v>
      </c>
      <c r="K40" s="36">
        <f>ROUND($D40*'STATS 2017'!I35,0)</f>
        <v>1471</v>
      </c>
      <c r="L40" s="36">
        <f>ROUND($D40*'STATS 2017'!J35,0)</f>
        <v>1203</v>
      </c>
      <c r="M40" s="36">
        <f>ROUND($D40*'STATS 2017'!K35,0)</f>
        <v>1761</v>
      </c>
      <c r="N40" s="36">
        <f>ROUND($D40*'STATS 2017'!L35,0)</f>
        <v>2218</v>
      </c>
      <c r="O40" s="36">
        <f>ROUND($D40*'STATS 2017'!M35,0)</f>
        <v>2612</v>
      </c>
      <c r="P40" s="171">
        <f>ROUND($D40*'STATS 2017'!N35,0)</f>
        <v>1824</v>
      </c>
      <c r="Q40" s="259">
        <f t="shared" si="1"/>
        <v>21936</v>
      </c>
      <c r="R40" s="34">
        <f t="shared" si="2"/>
        <v>0</v>
      </c>
      <c r="S40" s="6"/>
      <c r="T40" s="6"/>
      <c r="U40" s="6"/>
    </row>
    <row r="41" spans="1:21" x14ac:dyDescent="0.2">
      <c r="A41" s="256" t="s">
        <v>761</v>
      </c>
      <c r="B41" s="310">
        <f>STATS!B45</f>
        <v>39937</v>
      </c>
      <c r="C41" s="257">
        <f>STATS!C45</f>
        <v>-3.4315157484148665E-2</v>
      </c>
      <c r="D41" s="269">
        <f t="shared" si="0"/>
        <v>38567</v>
      </c>
      <c r="E41" s="36">
        <f>ROUND($D41*'STATS 2017'!C36,0)</f>
        <v>3067</v>
      </c>
      <c r="F41" s="36">
        <f>ROUND($D41*'STATS 2017'!D36,0)</f>
        <v>3274</v>
      </c>
      <c r="G41" s="36">
        <f>ROUND($D41*'STATS 2017'!E36,0)</f>
        <v>2590</v>
      </c>
      <c r="H41" s="36">
        <f>ROUND($D41*'STATS 2017'!F36,0)</f>
        <v>2920</v>
      </c>
      <c r="I41" s="36">
        <f>ROUND($D41*'STATS 2017'!G36,0)</f>
        <v>3276</v>
      </c>
      <c r="J41" s="36">
        <f>ROUND($D41*'STATS 2017'!H36,0)</f>
        <v>3346</v>
      </c>
      <c r="K41" s="36">
        <f>ROUND($D41*'STATS 2017'!I36,0)</f>
        <v>3206</v>
      </c>
      <c r="L41" s="36">
        <f>ROUND($D41*'STATS 2017'!J36,0)</f>
        <v>3835</v>
      </c>
      <c r="M41" s="36">
        <f>ROUND($D41*'STATS 2017'!K36,0)</f>
        <v>3207</v>
      </c>
      <c r="N41" s="36">
        <f>ROUND($D41*'STATS 2017'!L36,0)</f>
        <v>3068</v>
      </c>
      <c r="O41" s="36">
        <f>ROUND($D41*'STATS 2017'!M36,0)</f>
        <v>3646</v>
      </c>
      <c r="P41" s="599">
        <f>ROUND($D41*'STATS 2017'!N36,0)-1</f>
        <v>3132</v>
      </c>
      <c r="Q41" s="258">
        <f t="shared" si="1"/>
        <v>38567</v>
      </c>
      <c r="R41" s="34">
        <f t="shared" si="2"/>
        <v>0</v>
      </c>
    </row>
    <row r="42" spans="1:21" x14ac:dyDescent="0.2">
      <c r="A42" s="35" t="s">
        <v>762</v>
      </c>
      <c r="B42" s="312">
        <f>B40+B41</f>
        <v>60007</v>
      </c>
      <c r="C42" s="271"/>
      <c r="D42" s="270">
        <f>D40+D41</f>
        <v>60503</v>
      </c>
      <c r="E42" s="38">
        <f>E40+E41</f>
        <v>4335</v>
      </c>
      <c r="F42" s="38">
        <f t="shared" ref="F42:P42" si="13">F40+F41</f>
        <v>4864</v>
      </c>
      <c r="G42" s="38">
        <f t="shared" si="13"/>
        <v>4113</v>
      </c>
      <c r="H42" s="38">
        <f t="shared" si="13"/>
        <v>4820</v>
      </c>
      <c r="I42" s="38">
        <f t="shared" si="13"/>
        <v>5278</v>
      </c>
      <c r="J42" s="38">
        <f t="shared" si="13"/>
        <v>5910</v>
      </c>
      <c r="K42" s="38">
        <f t="shared" si="13"/>
        <v>4677</v>
      </c>
      <c r="L42" s="38">
        <f t="shared" si="13"/>
        <v>5038</v>
      </c>
      <c r="M42" s="38">
        <f t="shared" si="13"/>
        <v>4968</v>
      </c>
      <c r="N42" s="38">
        <f t="shared" si="13"/>
        <v>5286</v>
      </c>
      <c r="O42" s="38">
        <f t="shared" si="13"/>
        <v>6258</v>
      </c>
      <c r="P42" s="38">
        <f t="shared" si="13"/>
        <v>4956</v>
      </c>
      <c r="Q42" s="258">
        <f t="shared" si="1"/>
        <v>60503</v>
      </c>
      <c r="R42" s="34">
        <f t="shared" si="2"/>
        <v>0</v>
      </c>
    </row>
    <row r="43" spans="1:21" x14ac:dyDescent="0.2">
      <c r="A43" s="256" t="s">
        <v>763</v>
      </c>
      <c r="B43" s="310">
        <f>STATS!B47</f>
        <v>533</v>
      </c>
      <c r="C43" s="257">
        <f>STATS!C47</f>
        <v>-9.8394830102147099E-2</v>
      </c>
      <c r="D43" s="269">
        <f t="shared" si="0"/>
        <v>481</v>
      </c>
      <c r="E43" s="36">
        <f>ROUND($D43*'STATS 2017'!C37,0)</f>
        <v>24</v>
      </c>
      <c r="F43" s="36">
        <f>ROUND($D43*'STATS 2017'!D37,0)</f>
        <v>50</v>
      </c>
      <c r="G43" s="36">
        <f>ROUND($D43*'STATS 2017'!E37,0)</f>
        <v>47</v>
      </c>
      <c r="H43" s="36">
        <f>ROUND($D43*'STATS 2017'!F37,0)</f>
        <v>48</v>
      </c>
      <c r="I43" s="36">
        <f>ROUND($D43*'STATS 2017'!G37,0)</f>
        <v>56</v>
      </c>
      <c r="J43" s="36">
        <f>ROUND($D43*'STATS 2017'!H37,0)</f>
        <v>34</v>
      </c>
      <c r="K43" s="36">
        <f>ROUND($D43*'STATS 2017'!I37,0)</f>
        <v>35</v>
      </c>
      <c r="L43" s="36">
        <f>ROUND($D43*'STATS 2017'!J37,0)</f>
        <v>19</v>
      </c>
      <c r="M43" s="36">
        <f>ROUND($D43*'STATS 2017'!K37,0)</f>
        <v>49</v>
      </c>
      <c r="N43" s="36">
        <f>ROUND($D43*'STATS 2017'!L37,0)</f>
        <v>36</v>
      </c>
      <c r="O43" s="36">
        <f>ROUND($D43*'STATS 2017'!M37,0)</f>
        <v>57</v>
      </c>
      <c r="P43" s="171">
        <f>ROUND($D43*'STATS 2017'!N37,0)</f>
        <v>26</v>
      </c>
      <c r="Q43" s="258">
        <f t="shared" si="1"/>
        <v>481</v>
      </c>
      <c r="R43" s="34">
        <f t="shared" si="2"/>
        <v>0</v>
      </c>
    </row>
    <row r="44" spans="1:21" s="5" customFormat="1" x14ac:dyDescent="0.2">
      <c r="A44" s="256" t="s">
        <v>764</v>
      </c>
      <c r="B44" s="310">
        <f>STATS!B48</f>
        <v>1860</v>
      </c>
      <c r="C44" s="257">
        <f>STATS!C48</f>
        <v>9.8566308243727193E-3</v>
      </c>
      <c r="D44" s="269">
        <f t="shared" si="0"/>
        <v>1878</v>
      </c>
      <c r="E44" s="36">
        <f>ROUND($D44*'STATS 2017'!C38,0)</f>
        <v>136</v>
      </c>
      <c r="F44" s="36">
        <f>ROUND($D44*'STATS 2017'!D38,0)</f>
        <v>129</v>
      </c>
      <c r="G44" s="36">
        <f>ROUND($D44*'STATS 2017'!E38,0)</f>
        <v>134</v>
      </c>
      <c r="H44" s="36">
        <f>ROUND($D44*'STATS 2017'!F38,0)</f>
        <v>166</v>
      </c>
      <c r="I44" s="36">
        <f>ROUND($D44*'STATS 2017'!G38,0)</f>
        <v>140</v>
      </c>
      <c r="J44" s="36">
        <f>ROUND($D44*'STATS 2017'!H38,0)</f>
        <v>168</v>
      </c>
      <c r="K44" s="36">
        <f>ROUND($D44*'STATS 2017'!I38,0)</f>
        <v>158</v>
      </c>
      <c r="L44" s="36">
        <f>ROUND($D44*'STATS 2017'!J38,0)</f>
        <v>178</v>
      </c>
      <c r="M44" s="36">
        <f>ROUND($D44*'STATS 2017'!K38,0)</f>
        <v>167</v>
      </c>
      <c r="N44" s="36">
        <f>ROUND($D44*'STATS 2017'!L38,0)</f>
        <v>164</v>
      </c>
      <c r="O44" s="36">
        <f>ROUND($D44*'STATS 2017'!M38,0)</f>
        <v>171</v>
      </c>
      <c r="P44" s="599">
        <f>ROUND($D44*'STATS 2017'!N38,0)-2</f>
        <v>167</v>
      </c>
      <c r="Q44" s="259">
        <f t="shared" si="1"/>
        <v>1878</v>
      </c>
      <c r="R44" s="34">
        <f t="shared" si="2"/>
        <v>0</v>
      </c>
      <c r="S44" s="6"/>
      <c r="T44" s="6"/>
      <c r="U44" s="6"/>
    </row>
    <row r="45" spans="1:21" x14ac:dyDescent="0.2">
      <c r="A45" s="35" t="s">
        <v>765</v>
      </c>
      <c r="B45" s="312">
        <f>B43+B44</f>
        <v>2393</v>
      </c>
      <c r="C45" s="271"/>
      <c r="D45" s="270">
        <f>D43+D44</f>
        <v>2359</v>
      </c>
      <c r="E45" s="38">
        <f>E43+E44</f>
        <v>160</v>
      </c>
      <c r="F45" s="38">
        <f t="shared" ref="F45:P45" si="14">F43+F44</f>
        <v>179</v>
      </c>
      <c r="G45" s="38">
        <f t="shared" si="14"/>
        <v>181</v>
      </c>
      <c r="H45" s="38">
        <f t="shared" si="14"/>
        <v>214</v>
      </c>
      <c r="I45" s="38">
        <f t="shared" si="14"/>
        <v>196</v>
      </c>
      <c r="J45" s="38">
        <f t="shared" si="14"/>
        <v>202</v>
      </c>
      <c r="K45" s="38">
        <f t="shared" si="14"/>
        <v>193</v>
      </c>
      <c r="L45" s="38">
        <f t="shared" si="14"/>
        <v>197</v>
      </c>
      <c r="M45" s="38">
        <f t="shared" si="14"/>
        <v>216</v>
      </c>
      <c r="N45" s="38">
        <f t="shared" si="14"/>
        <v>200</v>
      </c>
      <c r="O45" s="38">
        <f t="shared" si="14"/>
        <v>228</v>
      </c>
      <c r="P45" s="38">
        <f t="shared" si="14"/>
        <v>193</v>
      </c>
      <c r="Q45" s="258">
        <f t="shared" si="1"/>
        <v>2359</v>
      </c>
      <c r="R45" s="34">
        <f t="shared" si="2"/>
        <v>0</v>
      </c>
    </row>
    <row r="46" spans="1:21" x14ac:dyDescent="0.2">
      <c r="A46" s="256" t="s">
        <v>766</v>
      </c>
      <c r="B46" s="310">
        <f>STATS!B50</f>
        <v>0</v>
      </c>
      <c r="C46" s="257">
        <f>STATS!C50</f>
        <v>0</v>
      </c>
      <c r="D46" s="269">
        <f t="shared" si="0"/>
        <v>0</v>
      </c>
      <c r="E46" s="36">
        <f>ROUND($D46*'STATS 2017'!C39,0)</f>
        <v>0</v>
      </c>
      <c r="F46" s="36">
        <f>ROUND($D46*'STATS 2017'!D39,0)</f>
        <v>0</v>
      </c>
      <c r="G46" s="36">
        <f>ROUND($D46*'STATS 2017'!E39,0)</f>
        <v>0</v>
      </c>
      <c r="H46" s="36">
        <f>ROUND($D46*'STATS 2017'!F39,0)</f>
        <v>0</v>
      </c>
      <c r="I46" s="36">
        <f>ROUND($D46*'STATS 2017'!G39,0)</f>
        <v>0</v>
      </c>
      <c r="J46" s="36">
        <f>ROUND($D46*'STATS 2017'!H39,0)</f>
        <v>0</v>
      </c>
      <c r="K46" s="36">
        <f>ROUND($D46*'STATS 2017'!I39,0)</f>
        <v>0</v>
      </c>
      <c r="L46" s="36">
        <f>ROUND($D46*'STATS 2017'!J39,0)</f>
        <v>0</v>
      </c>
      <c r="M46" s="36">
        <f>ROUND($D46*'STATS 2017'!K39,0)</f>
        <v>0</v>
      </c>
      <c r="N46" s="36">
        <f>ROUND($D46*'STATS 2017'!L39,0)</f>
        <v>0</v>
      </c>
      <c r="O46" s="36">
        <f>ROUND($D46*'STATS 2017'!M39,0)</f>
        <v>0</v>
      </c>
      <c r="P46" s="36">
        <f>ROUND($D46*'STATS 2017'!N39,0)</f>
        <v>0</v>
      </c>
      <c r="Q46" s="258">
        <f t="shared" si="1"/>
        <v>0</v>
      </c>
      <c r="R46" s="34">
        <f t="shared" si="2"/>
        <v>0</v>
      </c>
    </row>
    <row r="47" spans="1:21" s="5" customFormat="1" x14ac:dyDescent="0.2">
      <c r="A47" s="256" t="s">
        <v>767</v>
      </c>
      <c r="B47" s="310">
        <f>STATS!B51</f>
        <v>18</v>
      </c>
      <c r="C47" s="257">
        <f>STATS!C51</f>
        <v>-0.15432098765432092</v>
      </c>
      <c r="D47" s="269">
        <f t="shared" si="0"/>
        <v>15</v>
      </c>
      <c r="E47" s="36">
        <f>ROUND($D47*'STATS 2017'!C40,0)</f>
        <v>3</v>
      </c>
      <c r="F47" s="36">
        <f>ROUND($D47*'STATS 2017'!D40,0)</f>
        <v>2</v>
      </c>
      <c r="G47" s="36">
        <f>ROUND($D47*'STATS 2017'!E40,0)</f>
        <v>1</v>
      </c>
      <c r="H47" s="36">
        <f>ROUND($D47*'STATS 2017'!F40,0)</f>
        <v>2</v>
      </c>
      <c r="I47" s="36">
        <f>ROUND($D47*'STATS 2017'!G40,0)</f>
        <v>1</v>
      </c>
      <c r="J47" s="36">
        <f>ROUND($D47*'STATS 2017'!H40,0)</f>
        <v>1</v>
      </c>
      <c r="K47" s="36">
        <f>ROUND($D47*'STATS 2017'!I40,0)</f>
        <v>0</v>
      </c>
      <c r="L47" s="36">
        <f>ROUND($D47*'STATS 2017'!J40,0)</f>
        <v>0</v>
      </c>
      <c r="M47" s="36">
        <f>ROUND($D47*'STATS 2017'!K40,0)</f>
        <v>1</v>
      </c>
      <c r="N47" s="36">
        <f>ROUND($D47*'STATS 2017'!L40,0)</f>
        <v>2</v>
      </c>
      <c r="O47" s="599">
        <f>ROUND($D47*'STATS 2017'!M40,0)-2</f>
        <v>1</v>
      </c>
      <c r="P47" s="599">
        <f>ROUND($D47*'STATS 2017'!N40,0)-1</f>
        <v>1</v>
      </c>
      <c r="Q47" s="259">
        <f t="shared" si="1"/>
        <v>15</v>
      </c>
      <c r="R47" s="34">
        <f t="shared" si="2"/>
        <v>0</v>
      </c>
      <c r="S47" s="6"/>
      <c r="T47" s="6"/>
      <c r="U47" s="6"/>
    </row>
    <row r="48" spans="1:21" x14ac:dyDescent="0.2">
      <c r="A48" s="35" t="s">
        <v>768</v>
      </c>
      <c r="B48" s="312">
        <f>B46+B47</f>
        <v>18</v>
      </c>
      <c r="C48" s="271"/>
      <c r="D48" s="270">
        <f>D46+D47</f>
        <v>15</v>
      </c>
      <c r="E48" s="38">
        <f>E46+E47</f>
        <v>3</v>
      </c>
      <c r="F48" s="38">
        <f t="shared" ref="F48:P48" si="15">F46+F47</f>
        <v>2</v>
      </c>
      <c r="G48" s="38">
        <f t="shared" si="15"/>
        <v>1</v>
      </c>
      <c r="H48" s="38">
        <f t="shared" si="15"/>
        <v>2</v>
      </c>
      <c r="I48" s="38">
        <f t="shared" si="15"/>
        <v>1</v>
      </c>
      <c r="J48" s="38">
        <f t="shared" si="15"/>
        <v>1</v>
      </c>
      <c r="K48" s="38">
        <f t="shared" si="15"/>
        <v>0</v>
      </c>
      <c r="L48" s="38">
        <f t="shared" si="15"/>
        <v>0</v>
      </c>
      <c r="M48" s="38">
        <f t="shared" si="15"/>
        <v>1</v>
      </c>
      <c r="N48" s="38">
        <f t="shared" si="15"/>
        <v>2</v>
      </c>
      <c r="O48" s="38">
        <f t="shared" si="15"/>
        <v>1</v>
      </c>
      <c r="P48" s="38">
        <f t="shared" si="15"/>
        <v>1</v>
      </c>
      <c r="Q48" s="258">
        <f t="shared" si="1"/>
        <v>15</v>
      </c>
      <c r="R48" s="34">
        <f t="shared" si="2"/>
        <v>0</v>
      </c>
    </row>
    <row r="49" spans="1:21" x14ac:dyDescent="0.2">
      <c r="A49" s="256" t="s">
        <v>769</v>
      </c>
      <c r="B49" s="310">
        <f>STATS!B53</f>
        <v>593</v>
      </c>
      <c r="C49" s="257">
        <f>STATS!C53</f>
        <v>0.18961963649990615</v>
      </c>
      <c r="D49" s="269">
        <f t="shared" si="0"/>
        <v>705</v>
      </c>
      <c r="E49" s="36">
        <f>ROUND($D49*'STATS 2017'!C41,0)</f>
        <v>45</v>
      </c>
      <c r="F49" s="36">
        <f>ROUND($D49*'STATS 2017'!D41,0)</f>
        <v>46</v>
      </c>
      <c r="G49" s="36">
        <f>ROUND($D49*'STATS 2017'!E41,0)</f>
        <v>48</v>
      </c>
      <c r="H49" s="36">
        <f>ROUND($D49*'STATS 2017'!F41,0)</f>
        <v>48</v>
      </c>
      <c r="I49" s="36">
        <f>ROUND($D49*'STATS 2017'!G41,0)</f>
        <v>89</v>
      </c>
      <c r="J49" s="36">
        <f>ROUND($D49*'STATS 2017'!H41,0)</f>
        <v>76</v>
      </c>
      <c r="K49" s="36">
        <f>ROUND($D49*'STATS 2017'!I41,0)</f>
        <v>52</v>
      </c>
      <c r="L49" s="36">
        <f>ROUND($D49*'STATS 2017'!J41,0)</f>
        <v>42</v>
      </c>
      <c r="M49" s="36">
        <f>ROUND($D49*'STATS 2017'!K41,0)</f>
        <v>73</v>
      </c>
      <c r="N49" s="36">
        <f>ROUND($D49*'STATS 2017'!L41,0)</f>
        <v>62</v>
      </c>
      <c r="O49" s="36">
        <f>ROUND($D49*'STATS 2017'!M41,0)</f>
        <v>77</v>
      </c>
      <c r="P49" s="599">
        <f>ROUND($D49*'STATS 2017'!N41,0)-1</f>
        <v>47</v>
      </c>
      <c r="Q49" s="258">
        <f t="shared" si="1"/>
        <v>705</v>
      </c>
      <c r="R49" s="34">
        <f t="shared" si="2"/>
        <v>0</v>
      </c>
    </row>
    <row r="50" spans="1:21" s="5" customFormat="1" x14ac:dyDescent="0.2">
      <c r="A50" s="256" t="s">
        <v>770</v>
      </c>
      <c r="B50" s="310">
        <f>STATS!B54</f>
        <v>5340</v>
      </c>
      <c r="C50" s="257">
        <f>STATS!C54</f>
        <v>-1.1610486891385767E-2</v>
      </c>
      <c r="D50" s="269">
        <f t="shared" si="0"/>
        <v>5278</v>
      </c>
      <c r="E50" s="36">
        <f>ROUND($D50*'STATS 2017'!C42,0)</f>
        <v>450</v>
      </c>
      <c r="F50" s="36">
        <f>ROUND($D50*'STATS 2017'!D42,0)</f>
        <v>461</v>
      </c>
      <c r="G50" s="36">
        <f>ROUND($D50*'STATS 2017'!E42,0)</f>
        <v>430</v>
      </c>
      <c r="H50" s="36">
        <f>ROUND($D50*'STATS 2017'!F42,0)</f>
        <v>443</v>
      </c>
      <c r="I50" s="36">
        <f>ROUND($D50*'STATS 2017'!G42,0)</f>
        <v>483</v>
      </c>
      <c r="J50" s="36">
        <f>ROUND($D50*'STATS 2017'!H42,0)</f>
        <v>433</v>
      </c>
      <c r="K50" s="36">
        <f>ROUND($D50*'STATS 2017'!I42,0)</f>
        <v>447</v>
      </c>
      <c r="L50" s="36">
        <f>ROUND($D50*'STATS 2017'!J42,0)</f>
        <v>443</v>
      </c>
      <c r="M50" s="36">
        <f>ROUND($D50*'STATS 2017'!K42,0)</f>
        <v>402</v>
      </c>
      <c r="N50" s="36">
        <f>ROUND($D50*'STATS 2017'!L42,0)</f>
        <v>390</v>
      </c>
      <c r="O50" s="36">
        <f>ROUND($D50*'STATS 2017'!M42,0)</f>
        <v>465</v>
      </c>
      <c r="P50" s="599">
        <f>ROUND($D50*'STATS 2017'!N42,0)-1</f>
        <v>431</v>
      </c>
      <c r="Q50" s="258">
        <f t="shared" si="1"/>
        <v>5278</v>
      </c>
      <c r="R50" s="34">
        <f t="shared" si="2"/>
        <v>0</v>
      </c>
      <c r="S50" s="6"/>
      <c r="T50" s="6"/>
      <c r="U50" s="6"/>
    </row>
    <row r="51" spans="1:21" x14ac:dyDescent="0.2">
      <c r="A51" s="35" t="s">
        <v>771</v>
      </c>
      <c r="B51" s="312">
        <f>B49+B50</f>
        <v>5933</v>
      </c>
      <c r="C51" s="271"/>
      <c r="D51" s="270">
        <f>D49+D50</f>
        <v>5983</v>
      </c>
      <c r="E51" s="38">
        <f>E49+E50</f>
        <v>495</v>
      </c>
      <c r="F51" s="38">
        <f t="shared" ref="F51:P51" si="16">F49+F50</f>
        <v>507</v>
      </c>
      <c r="G51" s="38">
        <f t="shared" si="16"/>
        <v>478</v>
      </c>
      <c r="H51" s="38">
        <f t="shared" si="16"/>
        <v>491</v>
      </c>
      <c r="I51" s="38">
        <f t="shared" si="16"/>
        <v>572</v>
      </c>
      <c r="J51" s="38">
        <f t="shared" si="16"/>
        <v>509</v>
      </c>
      <c r="K51" s="38">
        <f t="shared" si="16"/>
        <v>499</v>
      </c>
      <c r="L51" s="38">
        <f t="shared" si="16"/>
        <v>485</v>
      </c>
      <c r="M51" s="38">
        <f t="shared" si="16"/>
        <v>475</v>
      </c>
      <c r="N51" s="38">
        <f t="shared" si="16"/>
        <v>452</v>
      </c>
      <c r="O51" s="38">
        <f t="shared" si="16"/>
        <v>542</v>
      </c>
      <c r="P51" s="38">
        <f t="shared" si="16"/>
        <v>478</v>
      </c>
      <c r="Q51" s="259">
        <f t="shared" si="1"/>
        <v>5983</v>
      </c>
      <c r="R51" s="34">
        <f t="shared" si="2"/>
        <v>0</v>
      </c>
    </row>
    <row r="52" spans="1:21" x14ac:dyDescent="0.2">
      <c r="A52" s="256" t="s">
        <v>772</v>
      </c>
      <c r="B52" s="310">
        <f>STATS!B56</f>
        <v>116</v>
      </c>
      <c r="C52" s="257">
        <f>STATS!C56</f>
        <v>5.3639846743295076E-2</v>
      </c>
      <c r="D52" s="269">
        <f t="shared" si="0"/>
        <v>122</v>
      </c>
      <c r="E52" s="36">
        <f>ROUND($D52*'STATS 2017'!C43,0)</f>
        <v>9</v>
      </c>
      <c r="F52" s="36">
        <f>ROUND($D52*'STATS 2017'!D43,0)</f>
        <v>15</v>
      </c>
      <c r="G52" s="36">
        <f>ROUND($D52*'STATS 2017'!E43,0)</f>
        <v>11</v>
      </c>
      <c r="H52" s="36">
        <f>ROUND($D52*'STATS 2017'!F43,0)</f>
        <v>5</v>
      </c>
      <c r="I52" s="36">
        <f>ROUND($D52*'STATS 2017'!G43,0)</f>
        <v>7</v>
      </c>
      <c r="J52" s="36">
        <f>ROUND($D52*'STATS 2017'!H43,0)</f>
        <v>11</v>
      </c>
      <c r="K52" s="36">
        <f>ROUND($D52*'STATS 2017'!I43,0)</f>
        <v>2</v>
      </c>
      <c r="L52" s="36">
        <f>ROUND($D52*'STATS 2017'!J43,0)</f>
        <v>13</v>
      </c>
      <c r="M52" s="36">
        <f>ROUND($D52*'STATS 2017'!K43,0)</f>
        <v>12</v>
      </c>
      <c r="N52" s="36">
        <f>ROUND($D52*'STATS 2017'!L43,0)</f>
        <v>11</v>
      </c>
      <c r="O52" s="36">
        <f>ROUND($D52*'STATS 2017'!M43,0)</f>
        <v>14</v>
      </c>
      <c r="P52" s="599">
        <f>ROUND($D52*'STATS 2017'!N43,0)-2</f>
        <v>12</v>
      </c>
      <c r="Q52" s="258">
        <f t="shared" si="1"/>
        <v>122</v>
      </c>
      <c r="R52" s="34">
        <f t="shared" si="2"/>
        <v>0</v>
      </c>
    </row>
    <row r="53" spans="1:21" s="5" customFormat="1" x14ac:dyDescent="0.2">
      <c r="A53" s="256" t="s">
        <v>773</v>
      </c>
      <c r="B53" s="310">
        <f>STATS!B57</f>
        <v>999</v>
      </c>
      <c r="C53" s="257">
        <f>STATS!C57</f>
        <v>2.0754087420753988E-2</v>
      </c>
      <c r="D53" s="269">
        <f t="shared" si="0"/>
        <v>1020</v>
      </c>
      <c r="E53" s="36">
        <f>ROUND($D53*'STATS 2017'!C44,0)</f>
        <v>84</v>
      </c>
      <c r="F53" s="36">
        <f>ROUND($D53*'STATS 2017'!D44,0)</f>
        <v>75</v>
      </c>
      <c r="G53" s="36">
        <f>ROUND($D53*'STATS 2017'!E44,0)</f>
        <v>55</v>
      </c>
      <c r="H53" s="36">
        <f>ROUND($D53*'STATS 2017'!F44,0)</f>
        <v>81</v>
      </c>
      <c r="I53" s="36">
        <f>ROUND($D53*'STATS 2017'!G44,0)</f>
        <v>98</v>
      </c>
      <c r="J53" s="36">
        <f>ROUND($D53*'STATS 2017'!H44,0)</f>
        <v>99</v>
      </c>
      <c r="K53" s="36">
        <f>ROUND($D53*'STATS 2017'!I44,0)</f>
        <v>72</v>
      </c>
      <c r="L53" s="36">
        <f>ROUND($D53*'STATS 2017'!J44,0)</f>
        <v>77</v>
      </c>
      <c r="M53" s="36">
        <f>ROUND($D53*'STATS 2017'!K44,0)</f>
        <v>95</v>
      </c>
      <c r="N53" s="36">
        <f>ROUND($D53*'STATS 2017'!L44,0)</f>
        <v>90</v>
      </c>
      <c r="O53" s="36">
        <f>ROUND($D53*'STATS 2017'!M44,0)</f>
        <v>107</v>
      </c>
      <c r="P53" s="599">
        <f>ROUND($D53*'STATS 2017'!N44,0)-1</f>
        <v>87</v>
      </c>
      <c r="Q53" s="258">
        <f t="shared" si="1"/>
        <v>1020</v>
      </c>
      <c r="R53" s="34">
        <f t="shared" si="2"/>
        <v>0</v>
      </c>
      <c r="S53" s="6"/>
      <c r="T53" s="6"/>
      <c r="U53" s="6"/>
    </row>
    <row r="54" spans="1:21" x14ac:dyDescent="0.2">
      <c r="A54" s="35" t="s">
        <v>774</v>
      </c>
      <c r="B54" s="312">
        <f>B52+B53</f>
        <v>1115</v>
      </c>
      <c r="C54" s="271"/>
      <c r="D54" s="270">
        <f>D52+D53</f>
        <v>1142</v>
      </c>
      <c r="E54" s="38">
        <f>E52+E53</f>
        <v>93</v>
      </c>
      <c r="F54" s="38">
        <f t="shared" ref="F54:P54" si="17">F52+F53</f>
        <v>90</v>
      </c>
      <c r="G54" s="38">
        <f t="shared" si="17"/>
        <v>66</v>
      </c>
      <c r="H54" s="38">
        <f t="shared" si="17"/>
        <v>86</v>
      </c>
      <c r="I54" s="38">
        <f t="shared" si="17"/>
        <v>105</v>
      </c>
      <c r="J54" s="38">
        <f t="shared" si="17"/>
        <v>110</v>
      </c>
      <c r="K54" s="38">
        <f t="shared" si="17"/>
        <v>74</v>
      </c>
      <c r="L54" s="38">
        <f t="shared" si="17"/>
        <v>90</v>
      </c>
      <c r="M54" s="38">
        <f t="shared" si="17"/>
        <v>107</v>
      </c>
      <c r="N54" s="38">
        <f t="shared" si="17"/>
        <v>101</v>
      </c>
      <c r="O54" s="38">
        <f t="shared" si="17"/>
        <v>121</v>
      </c>
      <c r="P54" s="38">
        <f t="shared" si="17"/>
        <v>99</v>
      </c>
      <c r="Q54" s="259">
        <f t="shared" si="1"/>
        <v>1142</v>
      </c>
      <c r="R54" s="34">
        <f t="shared" si="2"/>
        <v>0</v>
      </c>
    </row>
    <row r="55" spans="1:21" x14ac:dyDescent="0.2">
      <c r="A55" s="256" t="s">
        <v>775</v>
      </c>
      <c r="B55" s="310">
        <f>STATS!B59</f>
        <v>192</v>
      </c>
      <c r="C55" s="257">
        <f>STATS!C59</f>
        <v>3.9351851851851936E-2</v>
      </c>
      <c r="D55" s="269">
        <f t="shared" si="0"/>
        <v>200</v>
      </c>
      <c r="E55" s="36">
        <f>ROUND($D55*'STATS 2017'!C45,0)</f>
        <v>11</v>
      </c>
      <c r="F55" s="36">
        <f>ROUND($D55*'STATS 2017'!D45,0)</f>
        <v>28</v>
      </c>
      <c r="G55" s="36">
        <f>ROUND($D55*'STATS 2017'!E45,0)</f>
        <v>22</v>
      </c>
      <c r="H55" s="36">
        <f>ROUND($D55*'STATS 2017'!F45,0)</f>
        <v>18</v>
      </c>
      <c r="I55" s="36">
        <f>ROUND($D55*'STATS 2017'!G45,0)</f>
        <v>19</v>
      </c>
      <c r="J55" s="36">
        <f>ROUND($D55*'STATS 2017'!H45,0)</f>
        <v>11</v>
      </c>
      <c r="K55" s="36">
        <f>ROUND($D55*'STATS 2017'!I45,0)</f>
        <v>18</v>
      </c>
      <c r="L55" s="36">
        <f>ROUND($D55*'STATS 2017'!J45,0)</f>
        <v>15</v>
      </c>
      <c r="M55" s="36">
        <f>ROUND($D55*'STATS 2017'!K45,0)</f>
        <v>17</v>
      </c>
      <c r="N55" s="36">
        <f>ROUND($D55*'STATS 2017'!L45,0)</f>
        <v>8</v>
      </c>
      <c r="O55" s="36">
        <f>ROUND($D55*'STATS 2017'!M45,0)</f>
        <v>24</v>
      </c>
      <c r="P55" s="171">
        <f>ROUND($D55*'STATS 2017'!N45,0)</f>
        <v>9</v>
      </c>
      <c r="Q55" s="258">
        <f t="shared" si="1"/>
        <v>200</v>
      </c>
      <c r="R55" s="34">
        <f t="shared" si="2"/>
        <v>0</v>
      </c>
    </row>
    <row r="56" spans="1:21" s="5" customFormat="1" x14ac:dyDescent="0.2">
      <c r="A56" s="256" t="s">
        <v>776</v>
      </c>
      <c r="B56" s="310">
        <f>STATS!B60</f>
        <v>2196</v>
      </c>
      <c r="C56" s="257">
        <f>STATS!C60</f>
        <v>1.8214936247723133E-3</v>
      </c>
      <c r="D56" s="269">
        <f t="shared" si="0"/>
        <v>2200</v>
      </c>
      <c r="E56" s="36">
        <f>ROUND($D56*'STATS 2017'!C46,0)</f>
        <v>166</v>
      </c>
      <c r="F56" s="36">
        <f>ROUND($D56*'STATS 2017'!D46,0)</f>
        <v>181</v>
      </c>
      <c r="G56" s="36">
        <f>ROUND($D56*'STATS 2017'!E46,0)</f>
        <v>155</v>
      </c>
      <c r="H56" s="36">
        <f>ROUND($D56*'STATS 2017'!F46,0)</f>
        <v>179</v>
      </c>
      <c r="I56" s="36">
        <f>ROUND($D56*'STATS 2017'!G46,0)</f>
        <v>186</v>
      </c>
      <c r="J56" s="36">
        <f>ROUND($D56*'STATS 2017'!H46,0)</f>
        <v>199</v>
      </c>
      <c r="K56" s="36">
        <f>ROUND($D56*'STATS 2017'!I46,0)</f>
        <v>207</v>
      </c>
      <c r="L56" s="36">
        <f>ROUND($D56*'STATS 2017'!J46,0)</f>
        <v>198</v>
      </c>
      <c r="M56" s="36">
        <f>ROUND($D56*'STATS 2017'!K46,0)</f>
        <v>166</v>
      </c>
      <c r="N56" s="36">
        <f>ROUND($D56*'STATS 2017'!L46,0)</f>
        <v>184</v>
      </c>
      <c r="O56" s="36">
        <f>ROUND($D56*'STATS 2017'!M46,0)</f>
        <v>216</v>
      </c>
      <c r="P56" s="599">
        <f>ROUND($D56*'STATS 2017'!N46,0)+4</f>
        <v>163</v>
      </c>
      <c r="Q56" s="258">
        <f t="shared" si="1"/>
        <v>2200</v>
      </c>
      <c r="R56" s="34">
        <f t="shared" si="2"/>
        <v>0</v>
      </c>
      <c r="S56" s="6"/>
      <c r="T56" s="6"/>
      <c r="U56" s="6"/>
    </row>
    <row r="57" spans="1:21" x14ac:dyDescent="0.2">
      <c r="A57" s="35" t="s">
        <v>777</v>
      </c>
      <c r="B57" s="312">
        <f>B55+B56</f>
        <v>2388</v>
      </c>
      <c r="C57" s="271"/>
      <c r="D57" s="270">
        <f>D55+D56</f>
        <v>2400</v>
      </c>
      <c r="E57" s="38">
        <f>E55+E56</f>
        <v>177</v>
      </c>
      <c r="F57" s="38">
        <f t="shared" ref="F57:P57" si="18">F55+F56</f>
        <v>209</v>
      </c>
      <c r="G57" s="38">
        <f t="shared" si="18"/>
        <v>177</v>
      </c>
      <c r="H57" s="38">
        <f t="shared" si="18"/>
        <v>197</v>
      </c>
      <c r="I57" s="38">
        <f t="shared" si="18"/>
        <v>205</v>
      </c>
      <c r="J57" s="38">
        <f t="shared" si="18"/>
        <v>210</v>
      </c>
      <c r="K57" s="38">
        <f t="shared" si="18"/>
        <v>225</v>
      </c>
      <c r="L57" s="38">
        <f t="shared" si="18"/>
        <v>213</v>
      </c>
      <c r="M57" s="38">
        <f t="shared" si="18"/>
        <v>183</v>
      </c>
      <c r="N57" s="38">
        <f t="shared" si="18"/>
        <v>192</v>
      </c>
      <c r="O57" s="38">
        <f t="shared" si="18"/>
        <v>240</v>
      </c>
      <c r="P57" s="38">
        <f t="shared" si="18"/>
        <v>172</v>
      </c>
      <c r="Q57" s="259">
        <f t="shared" si="1"/>
        <v>2400</v>
      </c>
      <c r="R57" s="34">
        <f t="shared" si="2"/>
        <v>0</v>
      </c>
    </row>
    <row r="58" spans="1:21" x14ac:dyDescent="0.2">
      <c r="A58" s="256" t="s">
        <v>778</v>
      </c>
      <c r="B58" s="310">
        <f>STATS!B62</f>
        <v>1</v>
      </c>
      <c r="C58" s="257">
        <f>STATS!C62</f>
        <v>-1</v>
      </c>
      <c r="D58" s="269">
        <f t="shared" si="0"/>
        <v>0</v>
      </c>
      <c r="E58" s="36">
        <f>ROUND($D58*'STATS 2017'!C47,0)</f>
        <v>0</v>
      </c>
      <c r="F58" s="36">
        <f>ROUND($D58*'STATS 2017'!D47,0)</f>
        <v>0</v>
      </c>
      <c r="G58" s="36">
        <f>ROUND($D58*'STATS 2017'!E47,0)</f>
        <v>0</v>
      </c>
      <c r="H58" s="36">
        <f>ROUND($D58*'STATS 2017'!F47,0)</f>
        <v>0</v>
      </c>
      <c r="I58" s="36">
        <f>ROUND($D58*'STATS 2017'!G47,0)</f>
        <v>0</v>
      </c>
      <c r="J58" s="36">
        <f>ROUND($D58*'STATS 2017'!H47,0)</f>
        <v>0</v>
      </c>
      <c r="K58" s="36">
        <f>ROUND($D58*'STATS 2017'!I47,0)</f>
        <v>0</v>
      </c>
      <c r="L58" s="36">
        <f>ROUND($D58*'STATS 2017'!J47,0)</f>
        <v>0</v>
      </c>
      <c r="M58" s="36">
        <f>ROUND($D58*'STATS 2017'!K47,0)</f>
        <v>0</v>
      </c>
      <c r="N58" s="36">
        <f>ROUND($D58*'STATS 2017'!L47,0)</f>
        <v>0</v>
      </c>
      <c r="O58" s="36">
        <f>ROUND($D58*'STATS 2017'!M47,0)</f>
        <v>0</v>
      </c>
      <c r="P58" s="36">
        <f>ROUND($D58*'STATS 2017'!N47,0)</f>
        <v>0</v>
      </c>
      <c r="Q58" s="258">
        <f t="shared" si="1"/>
        <v>0</v>
      </c>
      <c r="R58" s="34">
        <f t="shared" si="2"/>
        <v>0</v>
      </c>
    </row>
    <row r="59" spans="1:21" s="5" customFormat="1" x14ac:dyDescent="0.2">
      <c r="A59" s="256" t="s">
        <v>779</v>
      </c>
      <c r="B59" s="310">
        <f>STATS!B63</f>
        <v>93</v>
      </c>
      <c r="C59" s="257">
        <f>STATS!C63</f>
        <v>2.870967741935484</v>
      </c>
      <c r="D59" s="269">
        <f t="shared" si="0"/>
        <v>360</v>
      </c>
      <c r="E59" s="36">
        <v>30</v>
      </c>
      <c r="F59" s="36">
        <v>30</v>
      </c>
      <c r="G59" s="36">
        <v>30</v>
      </c>
      <c r="H59" s="36">
        <v>30</v>
      </c>
      <c r="I59" s="36">
        <v>30</v>
      </c>
      <c r="J59" s="36">
        <v>30</v>
      </c>
      <c r="K59" s="36">
        <v>30</v>
      </c>
      <c r="L59" s="36">
        <v>30</v>
      </c>
      <c r="M59" s="36">
        <v>30</v>
      </c>
      <c r="N59" s="36">
        <v>30</v>
      </c>
      <c r="O59" s="36">
        <v>30</v>
      </c>
      <c r="P59" s="36">
        <v>30</v>
      </c>
      <c r="Q59" s="258">
        <f t="shared" si="1"/>
        <v>360</v>
      </c>
      <c r="R59" s="34">
        <f t="shared" si="2"/>
        <v>0</v>
      </c>
      <c r="S59" s="6"/>
      <c r="T59" s="6"/>
      <c r="U59" s="6"/>
    </row>
    <row r="60" spans="1:21" x14ac:dyDescent="0.2">
      <c r="A60" s="35" t="s">
        <v>780</v>
      </c>
      <c r="B60" s="312">
        <f>B58+B59</f>
        <v>94</v>
      </c>
      <c r="C60" s="271"/>
      <c r="D60" s="270">
        <f>D58+D59</f>
        <v>360</v>
      </c>
      <c r="E60" s="38">
        <f>E58+E59</f>
        <v>30</v>
      </c>
      <c r="F60" s="38">
        <f t="shared" ref="F60:P60" si="19">F58+F59</f>
        <v>30</v>
      </c>
      <c r="G60" s="38">
        <f t="shared" si="19"/>
        <v>30</v>
      </c>
      <c r="H60" s="38">
        <f t="shared" si="19"/>
        <v>30</v>
      </c>
      <c r="I60" s="38">
        <f t="shared" si="19"/>
        <v>30</v>
      </c>
      <c r="J60" s="38">
        <f t="shared" si="19"/>
        <v>30</v>
      </c>
      <c r="K60" s="38">
        <f t="shared" si="19"/>
        <v>30</v>
      </c>
      <c r="L60" s="38">
        <f t="shared" si="19"/>
        <v>30</v>
      </c>
      <c r="M60" s="38">
        <f t="shared" si="19"/>
        <v>30</v>
      </c>
      <c r="N60" s="38">
        <f t="shared" si="19"/>
        <v>30</v>
      </c>
      <c r="O60" s="38">
        <f t="shared" si="19"/>
        <v>30</v>
      </c>
      <c r="P60" s="38">
        <f t="shared" si="19"/>
        <v>30</v>
      </c>
      <c r="Q60" s="259">
        <f t="shared" si="1"/>
        <v>360</v>
      </c>
      <c r="R60" s="34">
        <f t="shared" si="2"/>
        <v>0</v>
      </c>
    </row>
    <row r="61" spans="1:21" x14ac:dyDescent="0.2">
      <c r="A61" s="256" t="s">
        <v>320</v>
      </c>
      <c r="B61" s="310">
        <f>STATS!B65</f>
        <v>352</v>
      </c>
      <c r="C61" s="257">
        <f>STATS!C65</f>
        <v>0.11047979797979805</v>
      </c>
      <c r="D61" s="269">
        <f t="shared" si="0"/>
        <v>391</v>
      </c>
      <c r="E61" s="36">
        <f>ROUND($D61*'STATS 2017'!C49,0)</f>
        <v>34</v>
      </c>
      <c r="F61" s="36">
        <f>ROUND($D61*'STATS 2017'!D49,0)</f>
        <v>26</v>
      </c>
      <c r="G61" s="36">
        <f>ROUND($D61*'STATS 2017'!E49,0)</f>
        <v>12</v>
      </c>
      <c r="H61" s="36">
        <f>ROUND($D61*'STATS 2017'!F49,0)</f>
        <v>38</v>
      </c>
      <c r="I61" s="36">
        <f>ROUND($D61*'STATS 2017'!G49,0)</f>
        <v>44</v>
      </c>
      <c r="J61" s="36">
        <f>ROUND($D61*'STATS 2017'!H49,0)</f>
        <v>44</v>
      </c>
      <c r="K61" s="36">
        <f>ROUND($D61*'STATS 2017'!I49,0)</f>
        <v>13</v>
      </c>
      <c r="L61" s="36">
        <f>ROUND($D61*'STATS 2017'!J49,0)</f>
        <v>19</v>
      </c>
      <c r="M61" s="36">
        <f>ROUND($D61*'STATS 2017'!K49,0)</f>
        <v>38</v>
      </c>
      <c r="N61" s="36">
        <f>ROUND($D61*'STATS 2017'!L49,0)</f>
        <v>68</v>
      </c>
      <c r="O61" s="36">
        <f>ROUND($D61*'STATS 2017'!M49,0)</f>
        <v>26</v>
      </c>
      <c r="P61" s="171">
        <f>ROUND($D61*'STATS 2017'!N49,0)</f>
        <v>29</v>
      </c>
      <c r="Q61" s="258">
        <f t="shared" si="1"/>
        <v>391</v>
      </c>
      <c r="R61" s="34">
        <f t="shared" si="2"/>
        <v>0</v>
      </c>
    </row>
    <row r="62" spans="1:21" s="5" customFormat="1" x14ac:dyDescent="0.2">
      <c r="A62" s="256" t="s">
        <v>781</v>
      </c>
      <c r="B62" s="310">
        <f>STATS!B66</f>
        <v>0</v>
      </c>
      <c r="C62" s="257">
        <f>STATS!C66</f>
        <v>0</v>
      </c>
      <c r="D62" s="269">
        <f t="shared" si="0"/>
        <v>0</v>
      </c>
      <c r="E62" s="36">
        <f>ROUND($D62*'STATS 2017'!C50,0)</f>
        <v>0</v>
      </c>
      <c r="F62" s="36">
        <f>ROUND($D62*'STATS 2017'!D50,0)</f>
        <v>0</v>
      </c>
      <c r="G62" s="36">
        <f>ROUND($D62*'STATS 2017'!E50,0)</f>
        <v>0</v>
      </c>
      <c r="H62" s="36">
        <f>ROUND($D62*'STATS 2017'!F50,0)</f>
        <v>0</v>
      </c>
      <c r="I62" s="36">
        <f>ROUND($D62*'STATS 2017'!G50,0)</f>
        <v>0</v>
      </c>
      <c r="J62" s="36">
        <f>ROUND($D62*'STATS 2017'!H50,0)</f>
        <v>0</v>
      </c>
      <c r="K62" s="36">
        <f>ROUND($D62*'STATS 2017'!I50,0)</f>
        <v>0</v>
      </c>
      <c r="L62" s="36">
        <f>ROUND($D62*'STATS 2017'!J50,0)</f>
        <v>0</v>
      </c>
      <c r="M62" s="36">
        <f>ROUND($D62*'STATS 2017'!K50,0)</f>
        <v>0</v>
      </c>
      <c r="N62" s="36">
        <f>ROUND($D62*'STATS 2017'!L50,0)</f>
        <v>0</v>
      </c>
      <c r="O62" s="36">
        <f>ROUND($D62*'STATS 2017'!M50,0)</f>
        <v>0</v>
      </c>
      <c r="P62" s="36">
        <f>ROUND($D62*'STATS 2017'!N50,0)</f>
        <v>0</v>
      </c>
      <c r="Q62" s="259">
        <f t="shared" si="1"/>
        <v>0</v>
      </c>
      <c r="R62" s="34">
        <f t="shared" si="2"/>
        <v>0</v>
      </c>
      <c r="S62" s="6"/>
      <c r="T62" s="6"/>
      <c r="U62" s="6"/>
    </row>
    <row r="63" spans="1:21" x14ac:dyDescent="0.2">
      <c r="A63" s="256" t="s">
        <v>782</v>
      </c>
      <c r="B63" s="310">
        <f>STATS!B67</f>
        <v>1135</v>
      </c>
      <c r="C63" s="257">
        <f>STATS!C67</f>
        <v>0.13206069505628978</v>
      </c>
      <c r="D63" s="269">
        <f t="shared" si="0"/>
        <v>1285</v>
      </c>
      <c r="E63" s="36">
        <f>ROUND($D63*'STATS 2017'!C51,0)</f>
        <v>131</v>
      </c>
      <c r="F63" s="36">
        <f>ROUND($D63*'STATS 2017'!D51,0)</f>
        <v>152</v>
      </c>
      <c r="G63" s="36">
        <f>ROUND($D63*'STATS 2017'!E51,0)</f>
        <v>89</v>
      </c>
      <c r="H63" s="36">
        <f>ROUND($D63*'STATS 2017'!F51,0)</f>
        <v>121</v>
      </c>
      <c r="I63" s="36">
        <f>ROUND($D63*'STATS 2017'!G51,0)</f>
        <v>87</v>
      </c>
      <c r="J63" s="36">
        <f>ROUND($D63*'STATS 2017'!H51,0)</f>
        <v>96</v>
      </c>
      <c r="K63" s="36">
        <f>ROUND($D63*'STATS 2017'!I51,0)</f>
        <v>75</v>
      </c>
      <c r="L63" s="36">
        <f>ROUND($D63*'STATS 2017'!J51,0)</f>
        <v>74</v>
      </c>
      <c r="M63" s="36">
        <f>ROUND($D63*'STATS 2017'!K51,0)</f>
        <v>74</v>
      </c>
      <c r="N63" s="36">
        <f>ROUND($D63*'STATS 2017'!L51,0)</f>
        <v>115</v>
      </c>
      <c r="O63" s="36">
        <f>ROUND($D63*'STATS 2017'!M51,0)</f>
        <v>149</v>
      </c>
      <c r="P63" s="599">
        <f>ROUND($D63*'STATS 2017'!N51,0)+1</f>
        <v>122</v>
      </c>
      <c r="Q63" s="258">
        <f t="shared" si="1"/>
        <v>1285</v>
      </c>
      <c r="R63" s="34">
        <f t="shared" si="2"/>
        <v>0</v>
      </c>
    </row>
    <row r="64" spans="1:21" x14ac:dyDescent="0.2">
      <c r="A64" s="35" t="s">
        <v>783</v>
      </c>
      <c r="B64" s="312">
        <f>B62+B63</f>
        <v>1135</v>
      </c>
      <c r="C64" s="271"/>
      <c r="D64" s="270">
        <f>D62+D63</f>
        <v>1285</v>
      </c>
      <c r="E64" s="38">
        <f>E62+E63</f>
        <v>131</v>
      </c>
      <c r="F64" s="38">
        <f t="shared" ref="F64:P64" si="20">F62+F63</f>
        <v>152</v>
      </c>
      <c r="G64" s="38">
        <f t="shared" si="20"/>
        <v>89</v>
      </c>
      <c r="H64" s="38">
        <f t="shared" si="20"/>
        <v>121</v>
      </c>
      <c r="I64" s="38">
        <f t="shared" si="20"/>
        <v>87</v>
      </c>
      <c r="J64" s="38">
        <f t="shared" si="20"/>
        <v>96</v>
      </c>
      <c r="K64" s="38">
        <f t="shared" si="20"/>
        <v>75</v>
      </c>
      <c r="L64" s="38">
        <f t="shared" si="20"/>
        <v>74</v>
      </c>
      <c r="M64" s="38">
        <f t="shared" si="20"/>
        <v>74</v>
      </c>
      <c r="N64" s="38">
        <f t="shared" si="20"/>
        <v>115</v>
      </c>
      <c r="O64" s="38">
        <f t="shared" si="20"/>
        <v>149</v>
      </c>
      <c r="P64" s="38">
        <f t="shared" si="20"/>
        <v>122</v>
      </c>
      <c r="Q64" s="259">
        <f t="shared" si="1"/>
        <v>1285</v>
      </c>
      <c r="R64" s="34">
        <f t="shared" si="2"/>
        <v>0</v>
      </c>
    </row>
    <row r="65" spans="1:21" s="5" customFormat="1" x14ac:dyDescent="0.2">
      <c r="A65" s="256" t="s">
        <v>784</v>
      </c>
      <c r="B65" s="310">
        <f>STATS!B69</f>
        <v>40967</v>
      </c>
      <c r="C65" s="257">
        <f>STATS!C69</f>
        <v>0.11237635712212803</v>
      </c>
      <c r="D65" s="269">
        <f t="shared" si="0"/>
        <v>45571</v>
      </c>
      <c r="E65" s="36">
        <f>ROUND($D65*'STATS 2017'!C52,0)</f>
        <v>3342</v>
      </c>
      <c r="F65" s="36">
        <f>ROUND($D65*'STATS 2017'!D52,0)</f>
        <v>3710</v>
      </c>
      <c r="G65" s="36">
        <f>ROUND($D65*'STATS 2017'!E52,0)</f>
        <v>2334</v>
      </c>
      <c r="H65" s="36">
        <f>ROUND($D65*'STATS 2017'!F52,0)</f>
        <v>4328</v>
      </c>
      <c r="I65" s="36">
        <f>ROUND($D65*'STATS 2017'!G52,0)</f>
        <v>3674</v>
      </c>
      <c r="J65" s="36">
        <f>ROUND($D65*'STATS 2017'!H52,0)</f>
        <v>4092</v>
      </c>
      <c r="K65" s="36">
        <f>ROUND($D65*'STATS 2017'!I52,0)</f>
        <v>2052</v>
      </c>
      <c r="L65" s="36">
        <f>ROUND($D65*'STATS 2017'!J52,0)</f>
        <v>2634</v>
      </c>
      <c r="M65" s="36">
        <f>ROUND($D65*'STATS 2017'!K52,0)</f>
        <v>4561</v>
      </c>
      <c r="N65" s="36">
        <f>ROUND($D65*'STATS 2017'!L52,0)</f>
        <v>3563</v>
      </c>
      <c r="O65" s="36">
        <f>ROUND($D65*'STATS 2017'!M52,0)</f>
        <v>5762</v>
      </c>
      <c r="P65" s="171">
        <f>ROUND($D65*'STATS 2017'!N52,0)</f>
        <v>5519</v>
      </c>
      <c r="Q65" s="258">
        <f t="shared" si="1"/>
        <v>45571</v>
      </c>
      <c r="R65" s="34">
        <f t="shared" si="2"/>
        <v>0</v>
      </c>
      <c r="S65" s="6"/>
      <c r="T65" s="6"/>
      <c r="U65" s="6"/>
    </row>
    <row r="66" spans="1:21" x14ac:dyDescent="0.2">
      <c r="A66" s="256" t="s">
        <v>785</v>
      </c>
      <c r="B66" s="310">
        <f>STATS!B70</f>
        <v>4838</v>
      </c>
      <c r="C66" s="257">
        <f>STATS!C70</f>
        <v>0.17594506453539102</v>
      </c>
      <c r="D66" s="269">
        <f t="shared" si="0"/>
        <v>5689</v>
      </c>
      <c r="E66" s="36">
        <f>ROUND($D66*'STATS 2017'!C53,0)</f>
        <v>444</v>
      </c>
      <c r="F66" s="36">
        <f>ROUND($D66*'STATS 2017'!D53,0)</f>
        <v>405</v>
      </c>
      <c r="G66" s="36">
        <f>ROUND($D66*'STATS 2017'!E53,0)</f>
        <v>490</v>
      </c>
      <c r="H66" s="36">
        <f>ROUND($D66*'STATS 2017'!F53,0)</f>
        <v>563</v>
      </c>
      <c r="I66" s="36">
        <f>ROUND($D66*'STATS 2017'!G53,0)</f>
        <v>570</v>
      </c>
      <c r="J66" s="36">
        <f>ROUND($D66*'STATS 2017'!H53,0)</f>
        <v>413</v>
      </c>
      <c r="K66" s="36">
        <f>ROUND($D66*'STATS 2017'!I53,0)</f>
        <v>534</v>
      </c>
      <c r="L66" s="36">
        <f>ROUND($D66*'STATS 2017'!J53,0)</f>
        <v>473</v>
      </c>
      <c r="M66" s="36">
        <f>ROUND($D66*'STATS 2017'!K53,0)</f>
        <v>527</v>
      </c>
      <c r="N66" s="36">
        <f>ROUND($D66*'STATS 2017'!L53,0)</f>
        <v>406</v>
      </c>
      <c r="O66" s="36">
        <f>ROUND($D66*'STATS 2017'!M53,0)</f>
        <v>414</v>
      </c>
      <c r="P66" s="171">
        <f>ROUND($D66*'STATS 2017'!N53,0)</f>
        <v>450</v>
      </c>
      <c r="Q66" s="258">
        <f t="shared" si="1"/>
        <v>5689</v>
      </c>
      <c r="R66" s="34">
        <f t="shared" si="2"/>
        <v>0</v>
      </c>
    </row>
    <row r="67" spans="1:21" x14ac:dyDescent="0.2">
      <c r="A67" s="35" t="s">
        <v>786</v>
      </c>
      <c r="B67" s="312">
        <f>B65+B66</f>
        <v>45805</v>
      </c>
      <c r="C67" s="271"/>
      <c r="D67" s="270">
        <f>D65+D66</f>
        <v>51260</v>
      </c>
      <c r="E67" s="38">
        <f>E65+E66</f>
        <v>3786</v>
      </c>
      <c r="F67" s="38">
        <f t="shared" ref="F67:P67" si="21">F65+F66</f>
        <v>4115</v>
      </c>
      <c r="G67" s="38">
        <f t="shared" si="21"/>
        <v>2824</v>
      </c>
      <c r="H67" s="38">
        <f t="shared" si="21"/>
        <v>4891</v>
      </c>
      <c r="I67" s="38">
        <f t="shared" si="21"/>
        <v>4244</v>
      </c>
      <c r="J67" s="38">
        <f t="shared" si="21"/>
        <v>4505</v>
      </c>
      <c r="K67" s="38">
        <f t="shared" si="21"/>
        <v>2586</v>
      </c>
      <c r="L67" s="38">
        <f t="shared" si="21"/>
        <v>3107</v>
      </c>
      <c r="M67" s="38">
        <f t="shared" si="21"/>
        <v>5088</v>
      </c>
      <c r="N67" s="38">
        <f t="shared" si="21"/>
        <v>3969</v>
      </c>
      <c r="O67" s="38">
        <f t="shared" si="21"/>
        <v>6176</v>
      </c>
      <c r="P67" s="38">
        <f t="shared" si="21"/>
        <v>5969</v>
      </c>
      <c r="Q67" s="259">
        <f t="shared" ref="Q67:Q99" si="22">SUM(E67:P67)</f>
        <v>51260</v>
      </c>
      <c r="R67" s="34">
        <f t="shared" si="2"/>
        <v>0</v>
      </c>
    </row>
    <row r="68" spans="1:21" x14ac:dyDescent="0.2">
      <c r="A68" s="256" t="s">
        <v>787</v>
      </c>
      <c r="B68" s="310">
        <f>STATS!B72</f>
        <v>112</v>
      </c>
      <c r="C68" s="257">
        <f>STATS!C72</f>
        <v>0.14583333333333343</v>
      </c>
      <c r="D68" s="269">
        <f t="shared" ref="D68:D99" si="23">ROUND(((B68*C68)+B68),0)</f>
        <v>128</v>
      </c>
      <c r="E68" s="36">
        <f>ROUND($D68*'STATS 2017'!C54,0)</f>
        <v>14</v>
      </c>
      <c r="F68" s="36">
        <f>ROUND($D68*'STATS 2017'!D54,0)</f>
        <v>16</v>
      </c>
      <c r="G68" s="36">
        <f>ROUND($D68*'STATS 2017'!E54,0)</f>
        <v>14</v>
      </c>
      <c r="H68" s="36">
        <f>ROUND($D68*'STATS 2017'!F54,0)</f>
        <v>9</v>
      </c>
      <c r="I68" s="36">
        <f>ROUND($D68*'STATS 2017'!G54,0)</f>
        <v>2</v>
      </c>
      <c r="J68" s="36">
        <f>ROUND($D68*'STATS 2017'!H54,0)</f>
        <v>11</v>
      </c>
      <c r="K68" s="36">
        <f>ROUND($D68*'STATS 2017'!I54,0)</f>
        <v>10</v>
      </c>
      <c r="L68" s="36">
        <f>ROUND($D68*'STATS 2017'!J54,0)</f>
        <v>1</v>
      </c>
      <c r="M68" s="36">
        <f>ROUND($D68*'STATS 2017'!K54,0)</f>
        <v>15</v>
      </c>
      <c r="N68" s="36">
        <f>ROUND($D68*'STATS 2017'!L54,0)</f>
        <v>11</v>
      </c>
      <c r="O68" s="36">
        <f>ROUND($D68*'STATS 2017'!M54,0)</f>
        <v>17</v>
      </c>
      <c r="P68" s="599">
        <f>ROUND($D68*'STATS 2017'!N54,0)+1</f>
        <v>8</v>
      </c>
      <c r="Q68" s="258">
        <f t="shared" si="22"/>
        <v>128</v>
      </c>
      <c r="R68" s="34">
        <f t="shared" si="2"/>
        <v>0</v>
      </c>
    </row>
    <row r="69" spans="1:21" x14ac:dyDescent="0.2">
      <c r="A69" s="265" t="s">
        <v>788</v>
      </c>
      <c r="B69" s="310">
        <f>STATS!B73</f>
        <v>156</v>
      </c>
      <c r="C69" s="257">
        <f>STATS!C73</f>
        <v>3.133903133903132E-2</v>
      </c>
      <c r="D69" s="269">
        <f t="shared" si="23"/>
        <v>161</v>
      </c>
      <c r="E69" s="36">
        <f>ROUND($D69*'STATS 2017'!C55,0)</f>
        <v>9</v>
      </c>
      <c r="F69" s="36">
        <f>ROUND($D69*'STATS 2017'!D55,0)</f>
        <v>8</v>
      </c>
      <c r="G69" s="36">
        <f>ROUND($D69*'STATS 2017'!E55,0)</f>
        <v>11</v>
      </c>
      <c r="H69" s="36">
        <f>ROUND($D69*'STATS 2017'!F55,0)</f>
        <v>17</v>
      </c>
      <c r="I69" s="36">
        <f>ROUND($D69*'STATS 2017'!G55,0)</f>
        <v>12</v>
      </c>
      <c r="J69" s="36">
        <f>ROUND($D69*'STATS 2017'!H55,0)</f>
        <v>14</v>
      </c>
      <c r="K69" s="36">
        <f>ROUND($D69*'STATS 2017'!I55,0)</f>
        <v>14</v>
      </c>
      <c r="L69" s="36">
        <f>ROUND($D69*'STATS 2017'!J55,0)</f>
        <v>9</v>
      </c>
      <c r="M69" s="36">
        <f>ROUND($D69*'STATS 2017'!K55,0)</f>
        <v>18</v>
      </c>
      <c r="N69" s="36">
        <f>ROUND($D69*'STATS 2017'!L55,0)</f>
        <v>17</v>
      </c>
      <c r="O69" s="36">
        <f>ROUND($D69*'STATS 2017'!M55,0)</f>
        <v>17</v>
      </c>
      <c r="P69" s="599">
        <f>ROUND($D69*'STATS 2017'!N55,0)+1</f>
        <v>15</v>
      </c>
      <c r="Q69" s="258">
        <f t="shared" si="22"/>
        <v>161</v>
      </c>
      <c r="R69" s="34">
        <f t="shared" si="2"/>
        <v>0</v>
      </c>
    </row>
    <row r="70" spans="1:21" x14ac:dyDescent="0.2">
      <c r="A70" s="35" t="s">
        <v>789</v>
      </c>
      <c r="B70" s="312">
        <f>B68+B69</f>
        <v>268</v>
      </c>
      <c r="C70" s="271"/>
      <c r="D70" s="270">
        <f>D68+D69</f>
        <v>289</v>
      </c>
      <c r="E70" s="38">
        <f>E68+E69</f>
        <v>23</v>
      </c>
      <c r="F70" s="38">
        <f t="shared" ref="F70:P70" si="24">F68+F69</f>
        <v>24</v>
      </c>
      <c r="G70" s="38">
        <f t="shared" si="24"/>
        <v>25</v>
      </c>
      <c r="H70" s="38">
        <f t="shared" si="24"/>
        <v>26</v>
      </c>
      <c r="I70" s="38">
        <f t="shared" si="24"/>
        <v>14</v>
      </c>
      <c r="J70" s="38">
        <f t="shared" si="24"/>
        <v>25</v>
      </c>
      <c r="K70" s="38">
        <f t="shared" si="24"/>
        <v>24</v>
      </c>
      <c r="L70" s="38">
        <f t="shared" si="24"/>
        <v>10</v>
      </c>
      <c r="M70" s="38">
        <f t="shared" si="24"/>
        <v>33</v>
      </c>
      <c r="N70" s="38">
        <f t="shared" si="24"/>
        <v>28</v>
      </c>
      <c r="O70" s="38">
        <f t="shared" si="24"/>
        <v>34</v>
      </c>
      <c r="P70" s="38">
        <f t="shared" si="24"/>
        <v>23</v>
      </c>
      <c r="Q70" s="259">
        <f t="shared" si="22"/>
        <v>289</v>
      </c>
      <c r="R70" s="34">
        <f t="shared" si="2"/>
        <v>0</v>
      </c>
    </row>
    <row r="71" spans="1:21" x14ac:dyDescent="0.2">
      <c r="A71" s="256" t="s">
        <v>790</v>
      </c>
      <c r="B71" s="310">
        <f>STATS!B75</f>
        <v>5575</v>
      </c>
      <c r="C71" s="257">
        <f>STATS!C75</f>
        <v>7.300448430493274E-2</v>
      </c>
      <c r="D71" s="269">
        <f t="shared" si="23"/>
        <v>5982</v>
      </c>
      <c r="E71" s="36">
        <f>ROUND($D71*'STATS 2017'!C56,0)</f>
        <v>527</v>
      </c>
      <c r="F71" s="36">
        <f>ROUND($D71*'STATS 2017'!D56,0)</f>
        <v>295</v>
      </c>
      <c r="G71" s="36">
        <f>ROUND($D71*'STATS 2017'!E56,0)</f>
        <v>412</v>
      </c>
      <c r="H71" s="36">
        <f>ROUND($D71*'STATS 2017'!F56,0)</f>
        <v>440</v>
      </c>
      <c r="I71" s="36">
        <f>ROUND($D71*'STATS 2017'!G56,0)</f>
        <v>398</v>
      </c>
      <c r="J71" s="36">
        <f>ROUND($D71*'STATS 2017'!H56,0)</f>
        <v>587</v>
      </c>
      <c r="K71" s="36">
        <f>ROUND($D71*'STATS 2017'!I56,0)</f>
        <v>410</v>
      </c>
      <c r="L71" s="36">
        <f>ROUND($D71*'STATS 2017'!J56,0)</f>
        <v>457</v>
      </c>
      <c r="M71" s="36">
        <f>ROUND($D71*'STATS 2017'!K56,0)</f>
        <v>505</v>
      </c>
      <c r="N71" s="36">
        <f>ROUND($D71*'STATS 2017'!L56,0)</f>
        <v>769</v>
      </c>
      <c r="O71" s="36">
        <f>ROUND($D71*'STATS 2017'!M56,0)</f>
        <v>558</v>
      </c>
      <c r="P71" s="599">
        <f>ROUND($D71*'STATS 2017'!N56,0)+1</f>
        <v>624</v>
      </c>
      <c r="Q71" s="258">
        <f t="shared" si="22"/>
        <v>5982</v>
      </c>
      <c r="R71" s="34">
        <f t="shared" si="2"/>
        <v>0</v>
      </c>
    </row>
    <row r="72" spans="1:21" s="5" customFormat="1" x14ac:dyDescent="0.2">
      <c r="A72" s="256" t="s">
        <v>791</v>
      </c>
      <c r="B72" s="310">
        <f>STATS!B76</f>
        <v>9826</v>
      </c>
      <c r="C72" s="257">
        <f>STATS!C76</f>
        <v>4.0708324852432322E-4</v>
      </c>
      <c r="D72" s="269">
        <f t="shared" si="23"/>
        <v>9830</v>
      </c>
      <c r="E72" s="36">
        <f>ROUND($D72*'STATS 2017'!C57,0)</f>
        <v>789</v>
      </c>
      <c r="F72" s="36">
        <f>ROUND($D72*'STATS 2017'!D57,0)</f>
        <v>834</v>
      </c>
      <c r="G72" s="36">
        <f>ROUND($D72*'STATS 2017'!E57,0)</f>
        <v>755</v>
      </c>
      <c r="H72" s="36">
        <f>ROUND($D72*'STATS 2017'!F57,0)</f>
        <v>913</v>
      </c>
      <c r="I72" s="36">
        <f>ROUND($D72*'STATS 2017'!G57,0)</f>
        <v>771</v>
      </c>
      <c r="J72" s="36">
        <f>ROUND($D72*'STATS 2017'!H57,0)</f>
        <v>832</v>
      </c>
      <c r="K72" s="36">
        <f>ROUND($D72*'STATS 2017'!I57,0)</f>
        <v>764</v>
      </c>
      <c r="L72" s="36">
        <f>ROUND($D72*'STATS 2017'!J57,0)</f>
        <v>823</v>
      </c>
      <c r="M72" s="36">
        <f>ROUND($D72*'STATS 2017'!K57,0)</f>
        <v>922</v>
      </c>
      <c r="N72" s="36">
        <f>ROUND($D72*'STATS 2017'!L57,0)</f>
        <v>686</v>
      </c>
      <c r="O72" s="36">
        <f>ROUND($D72*'STATS 2017'!M57,0)</f>
        <v>924</v>
      </c>
      <c r="P72" s="599">
        <f>ROUND($D72*'STATS 2017'!N57,0)+4</f>
        <v>817</v>
      </c>
      <c r="Q72" s="258">
        <f t="shared" si="22"/>
        <v>9830</v>
      </c>
      <c r="R72" s="34">
        <f t="shared" si="2"/>
        <v>0</v>
      </c>
      <c r="S72" s="6"/>
      <c r="T72" s="6"/>
      <c r="U72" s="6"/>
    </row>
    <row r="73" spans="1:21" x14ac:dyDescent="0.2">
      <c r="A73" s="35" t="s">
        <v>792</v>
      </c>
      <c r="B73" s="312">
        <f>B71+B72</f>
        <v>15401</v>
      </c>
      <c r="C73" s="271"/>
      <c r="D73" s="270">
        <f>D71+D72</f>
        <v>15812</v>
      </c>
      <c r="E73" s="38">
        <f>E71+E72</f>
        <v>1316</v>
      </c>
      <c r="F73" s="38">
        <f t="shared" ref="F73:P73" si="25">F71+F72</f>
        <v>1129</v>
      </c>
      <c r="G73" s="38">
        <f t="shared" si="25"/>
        <v>1167</v>
      </c>
      <c r="H73" s="38">
        <f t="shared" si="25"/>
        <v>1353</v>
      </c>
      <c r="I73" s="38">
        <f t="shared" si="25"/>
        <v>1169</v>
      </c>
      <c r="J73" s="38">
        <f t="shared" si="25"/>
        <v>1419</v>
      </c>
      <c r="K73" s="38">
        <f t="shared" si="25"/>
        <v>1174</v>
      </c>
      <c r="L73" s="38">
        <f t="shared" si="25"/>
        <v>1280</v>
      </c>
      <c r="M73" s="38">
        <f t="shared" si="25"/>
        <v>1427</v>
      </c>
      <c r="N73" s="38">
        <f t="shared" si="25"/>
        <v>1455</v>
      </c>
      <c r="O73" s="38">
        <f t="shared" si="25"/>
        <v>1482</v>
      </c>
      <c r="P73" s="38">
        <f t="shared" si="25"/>
        <v>1441</v>
      </c>
      <c r="Q73" s="259">
        <f t="shared" si="22"/>
        <v>15812</v>
      </c>
      <c r="R73" s="34">
        <f t="shared" ref="R73:R99" si="26">D73-Q73</f>
        <v>0</v>
      </c>
    </row>
    <row r="74" spans="1:21" x14ac:dyDescent="0.2">
      <c r="A74" s="256" t="s">
        <v>793</v>
      </c>
      <c r="B74" s="310">
        <f>STATS!B78</f>
        <v>0</v>
      </c>
      <c r="C74" s="257">
        <f>STATS!C78</f>
        <v>0</v>
      </c>
      <c r="D74" s="269">
        <f t="shared" si="23"/>
        <v>0</v>
      </c>
      <c r="E74" s="36">
        <f>ROUND($D74*'STATS 2017'!C58,0)</f>
        <v>0</v>
      </c>
      <c r="F74" s="36">
        <f>ROUND($D74*'STATS 2017'!D58,0)</f>
        <v>0</v>
      </c>
      <c r="G74" s="36">
        <f>ROUND($D74*'STATS 2017'!E58,0)</f>
        <v>0</v>
      </c>
      <c r="H74" s="36">
        <f>ROUND($D74*'STATS 2017'!F58,0)</f>
        <v>0</v>
      </c>
      <c r="I74" s="36">
        <f>ROUND($D74*'STATS 2017'!G58,0)</f>
        <v>0</v>
      </c>
      <c r="J74" s="36">
        <f>ROUND($D74*'STATS 2017'!H58,0)</f>
        <v>0</v>
      </c>
      <c r="K74" s="36">
        <f>ROUND($D74*'STATS 2017'!I58,0)</f>
        <v>0</v>
      </c>
      <c r="L74" s="36">
        <f>ROUND($D74*'STATS 2017'!J58,0)</f>
        <v>0</v>
      </c>
      <c r="M74" s="36">
        <f>ROUND($D74*'STATS 2017'!K58,0)</f>
        <v>0</v>
      </c>
      <c r="N74" s="36">
        <f>ROUND($D74*'STATS 2017'!L58,0)</f>
        <v>0</v>
      </c>
      <c r="O74" s="36">
        <f>ROUND($D74*'STATS 2017'!M58,0)</f>
        <v>0</v>
      </c>
      <c r="P74" s="36">
        <f>ROUND($D74*'STATS 2017'!N58,0)</f>
        <v>0</v>
      </c>
      <c r="Q74" s="258">
        <f t="shared" si="22"/>
        <v>0</v>
      </c>
      <c r="R74" s="34">
        <f t="shared" si="26"/>
        <v>0</v>
      </c>
    </row>
    <row r="75" spans="1:21" s="5" customFormat="1" x14ac:dyDescent="0.2">
      <c r="A75" s="256" t="s">
        <v>794</v>
      </c>
      <c r="B75" s="310">
        <f>STATS!B79</f>
        <v>0</v>
      </c>
      <c r="C75" s="257">
        <f>STATS!C79</f>
        <v>0</v>
      </c>
      <c r="D75" s="269">
        <f t="shared" si="23"/>
        <v>0</v>
      </c>
      <c r="E75" s="36">
        <f>ROUND($D75*'STATS 2017'!C59,0)</f>
        <v>0</v>
      </c>
      <c r="F75" s="36">
        <f>ROUND($D75*'STATS 2017'!D59,0)</f>
        <v>0</v>
      </c>
      <c r="G75" s="36">
        <f>ROUND($D75*'STATS 2017'!E59,0)</f>
        <v>0</v>
      </c>
      <c r="H75" s="36">
        <f>ROUND($D75*'STATS 2017'!F59,0)</f>
        <v>0</v>
      </c>
      <c r="I75" s="36">
        <f>ROUND($D75*'STATS 2017'!G59,0)</f>
        <v>0</v>
      </c>
      <c r="J75" s="36">
        <f>ROUND($D75*'STATS 2017'!H59,0)</f>
        <v>0</v>
      </c>
      <c r="K75" s="36">
        <f>ROUND($D75*'STATS 2017'!I59,0)</f>
        <v>0</v>
      </c>
      <c r="L75" s="36">
        <f>ROUND($D75*'STATS 2017'!J59,0)</f>
        <v>0</v>
      </c>
      <c r="M75" s="36">
        <f>ROUND($D75*'STATS 2017'!K59,0)</f>
        <v>0</v>
      </c>
      <c r="N75" s="36">
        <f>ROUND($D75*'STATS 2017'!L59,0)</f>
        <v>0</v>
      </c>
      <c r="O75" s="36">
        <f>ROUND($D75*'STATS 2017'!M59,0)</f>
        <v>0</v>
      </c>
      <c r="P75" s="36">
        <f>ROUND($D75*'STATS 2017'!N59,0)</f>
        <v>0</v>
      </c>
      <c r="Q75" s="258">
        <f t="shared" si="22"/>
        <v>0</v>
      </c>
      <c r="R75" s="34">
        <f t="shared" si="26"/>
        <v>0</v>
      </c>
      <c r="S75" s="6"/>
      <c r="T75" s="6"/>
      <c r="U75" s="6"/>
    </row>
    <row r="76" spans="1:21" x14ac:dyDescent="0.2">
      <c r="A76" s="35" t="s">
        <v>795</v>
      </c>
      <c r="B76" s="312">
        <f>B74+B75</f>
        <v>0</v>
      </c>
      <c r="C76" s="271"/>
      <c r="D76" s="270">
        <f>D74+D75</f>
        <v>0</v>
      </c>
      <c r="E76" s="38">
        <f>E74+E75</f>
        <v>0</v>
      </c>
      <c r="F76" s="38">
        <f t="shared" ref="F76:P76" si="27">F74+F75</f>
        <v>0</v>
      </c>
      <c r="G76" s="38">
        <f t="shared" si="27"/>
        <v>0</v>
      </c>
      <c r="H76" s="38">
        <f t="shared" si="27"/>
        <v>0</v>
      </c>
      <c r="I76" s="38">
        <f t="shared" si="27"/>
        <v>0</v>
      </c>
      <c r="J76" s="38">
        <f t="shared" si="27"/>
        <v>0</v>
      </c>
      <c r="K76" s="38">
        <f t="shared" si="27"/>
        <v>0</v>
      </c>
      <c r="L76" s="38">
        <f t="shared" si="27"/>
        <v>0</v>
      </c>
      <c r="M76" s="38">
        <f t="shared" si="27"/>
        <v>0</v>
      </c>
      <c r="N76" s="38">
        <f t="shared" si="27"/>
        <v>0</v>
      </c>
      <c r="O76" s="38">
        <f t="shared" si="27"/>
        <v>0</v>
      </c>
      <c r="P76" s="38">
        <f t="shared" si="27"/>
        <v>0</v>
      </c>
      <c r="Q76" s="259">
        <f t="shared" si="22"/>
        <v>0</v>
      </c>
      <c r="R76" s="34">
        <f t="shared" si="26"/>
        <v>0</v>
      </c>
    </row>
    <row r="77" spans="1:21" x14ac:dyDescent="0.2">
      <c r="A77" s="256" t="s">
        <v>796</v>
      </c>
      <c r="B77" s="310">
        <f>STATS!B81</f>
        <v>12</v>
      </c>
      <c r="C77" s="257">
        <f>STATS!C81</f>
        <v>1.0555555555555556</v>
      </c>
      <c r="D77" s="269">
        <f t="shared" si="23"/>
        <v>25</v>
      </c>
      <c r="E77" s="36">
        <f>ROUND($D77*'STATS 2017'!C60,0)</f>
        <v>0</v>
      </c>
      <c r="F77" s="36">
        <f>ROUND($D77*'STATS 2017'!D60,0)</f>
        <v>10</v>
      </c>
      <c r="G77" s="36">
        <f>ROUND($D77*'STATS 2017'!E60,0)</f>
        <v>4</v>
      </c>
      <c r="H77" s="36">
        <f>ROUND($D77*'STATS 2017'!F60,0)</f>
        <v>0</v>
      </c>
      <c r="I77" s="36">
        <f>ROUND($D77*'STATS 2017'!G60,0)</f>
        <v>2</v>
      </c>
      <c r="J77" s="36">
        <f>ROUND($D77*'STATS 2017'!H60,0)</f>
        <v>0</v>
      </c>
      <c r="K77" s="36">
        <f>ROUND($D77*'STATS 2017'!I60,0)</f>
        <v>2</v>
      </c>
      <c r="L77" s="36">
        <f>ROUND($D77*'STATS 2017'!J60,0)</f>
        <v>0</v>
      </c>
      <c r="M77" s="36">
        <f>ROUND($D77*'STATS 2017'!K60,0)</f>
        <v>0</v>
      </c>
      <c r="N77" s="36">
        <f>ROUND($D77*'STATS 2017'!L60,0)</f>
        <v>2</v>
      </c>
      <c r="O77" s="36">
        <f>ROUND($D77*'STATS 2017'!M60,0)</f>
        <v>0</v>
      </c>
      <c r="P77" s="599">
        <f>ROUND($D77*'STATS 2017'!N60,0)+1</f>
        <v>5</v>
      </c>
      <c r="Q77" s="258">
        <f>SUM(E77:P77)</f>
        <v>25</v>
      </c>
      <c r="R77" s="34">
        <f t="shared" si="26"/>
        <v>0</v>
      </c>
    </row>
    <row r="78" spans="1:21" s="5" customFormat="1" x14ac:dyDescent="0.2">
      <c r="A78" s="256" t="s">
        <v>797</v>
      </c>
      <c r="B78" s="310">
        <f>STATS!B82</f>
        <v>17</v>
      </c>
      <c r="C78" s="257">
        <f>STATS!C82</f>
        <v>5.2287581699346428E-2</v>
      </c>
      <c r="D78" s="269">
        <f t="shared" si="23"/>
        <v>18</v>
      </c>
      <c r="E78" s="36">
        <f>ROUND($D78*'STATS 2017'!C61,0)</f>
        <v>4</v>
      </c>
      <c r="F78" s="36">
        <f>ROUND($D78*'STATS 2017'!D61,0)</f>
        <v>3</v>
      </c>
      <c r="G78" s="36">
        <f>ROUND($D78*'STATS 2017'!E61,0)</f>
        <v>0</v>
      </c>
      <c r="H78" s="36">
        <f>ROUND($D78*'STATS 2017'!F61,0)</f>
        <v>0</v>
      </c>
      <c r="I78" s="36">
        <f>ROUND($D78*'STATS 2017'!G61,0)</f>
        <v>0</v>
      </c>
      <c r="J78" s="36">
        <f>ROUND($D78*'STATS 2017'!H61,0)</f>
        <v>0</v>
      </c>
      <c r="K78" s="36">
        <f>ROUND($D78*'STATS 2017'!I61,0)</f>
        <v>0</v>
      </c>
      <c r="L78" s="36">
        <f>ROUND($D78*'STATS 2017'!J61,0)</f>
        <v>1</v>
      </c>
      <c r="M78" s="36">
        <f>ROUND($D78*'STATS 2017'!K61,0)</f>
        <v>3</v>
      </c>
      <c r="N78" s="36">
        <f>ROUND($D78*'STATS 2017'!L61,0)</f>
        <v>0</v>
      </c>
      <c r="O78" s="599">
        <f>ROUND($D78*'STATS 2017'!M61,0)+1</f>
        <v>4</v>
      </c>
      <c r="P78" s="36">
        <f>ROUND($D78*'STATS 2017'!N61,0)</f>
        <v>3</v>
      </c>
      <c r="Q78" s="258">
        <f t="shared" si="22"/>
        <v>18</v>
      </c>
      <c r="R78" s="34">
        <f t="shared" si="26"/>
        <v>0</v>
      </c>
      <c r="S78" s="6"/>
      <c r="T78" s="6"/>
      <c r="U78" s="6"/>
    </row>
    <row r="79" spans="1:21" x14ac:dyDescent="0.2">
      <c r="A79" s="105" t="s">
        <v>798</v>
      </c>
      <c r="B79" s="312">
        <f>B77+B78</f>
        <v>29</v>
      </c>
      <c r="C79" s="271"/>
      <c r="D79" s="270">
        <f>D77+D78</f>
        <v>43</v>
      </c>
      <c r="E79" s="38">
        <f>E77+E78</f>
        <v>4</v>
      </c>
      <c r="F79" s="38">
        <f t="shared" ref="F79:P79" si="28">F77+F78</f>
        <v>13</v>
      </c>
      <c r="G79" s="38">
        <f t="shared" si="28"/>
        <v>4</v>
      </c>
      <c r="H79" s="38">
        <f t="shared" si="28"/>
        <v>0</v>
      </c>
      <c r="I79" s="38">
        <f t="shared" si="28"/>
        <v>2</v>
      </c>
      <c r="J79" s="38">
        <f t="shared" si="28"/>
        <v>0</v>
      </c>
      <c r="K79" s="38">
        <f t="shared" si="28"/>
        <v>2</v>
      </c>
      <c r="L79" s="38">
        <f t="shared" si="28"/>
        <v>1</v>
      </c>
      <c r="M79" s="38">
        <f t="shared" si="28"/>
        <v>3</v>
      </c>
      <c r="N79" s="38">
        <f t="shared" si="28"/>
        <v>2</v>
      </c>
      <c r="O79" s="38">
        <f t="shared" si="28"/>
        <v>4</v>
      </c>
      <c r="P79" s="38">
        <f t="shared" si="28"/>
        <v>8</v>
      </c>
      <c r="Q79" s="259">
        <f t="shared" si="22"/>
        <v>43</v>
      </c>
      <c r="R79" s="34">
        <f t="shared" si="26"/>
        <v>0</v>
      </c>
    </row>
    <row r="80" spans="1:21" x14ac:dyDescent="0.2">
      <c r="A80" s="266" t="s">
        <v>799</v>
      </c>
      <c r="B80" s="310">
        <f>STATS!B84</f>
        <v>0</v>
      </c>
      <c r="C80" s="257">
        <f>STATS!C84</f>
        <v>0</v>
      </c>
      <c r="D80" s="269">
        <f t="shared" si="23"/>
        <v>0</v>
      </c>
      <c r="E80" s="36">
        <f>ROUND($D80*'STATS 2017'!C62,0)</f>
        <v>0</v>
      </c>
      <c r="F80" s="36">
        <f>ROUND($D80*'STATS 2017'!D62,0)</f>
        <v>0</v>
      </c>
      <c r="G80" s="36">
        <f>ROUND($D80*'STATS 2017'!E62,0)</f>
        <v>0</v>
      </c>
      <c r="H80" s="36">
        <f>ROUND($D80*'STATS 2017'!F62,0)</f>
        <v>0</v>
      </c>
      <c r="I80" s="36">
        <f>ROUND($D80*'STATS 2017'!G62,0)</f>
        <v>0</v>
      </c>
      <c r="J80" s="36">
        <f>ROUND($D80*'STATS 2017'!H62,0)</f>
        <v>0</v>
      </c>
      <c r="K80" s="36">
        <f>ROUND($D80*'STATS 2017'!I62,0)</f>
        <v>0</v>
      </c>
      <c r="L80" s="36">
        <f>ROUND($D80*'STATS 2017'!J62,0)</f>
        <v>0</v>
      </c>
      <c r="M80" s="36">
        <f>ROUND($D80*'STATS 2017'!K62,0)</f>
        <v>0</v>
      </c>
      <c r="N80" s="36">
        <f>ROUND($D80*'STATS 2017'!L62,0)</f>
        <v>0</v>
      </c>
      <c r="O80" s="36">
        <f>ROUND($D80*'STATS 2017'!M62,0)</f>
        <v>0</v>
      </c>
      <c r="P80" s="36">
        <f>ROUND($D80*'STATS 2017'!N62,0)</f>
        <v>0</v>
      </c>
      <c r="Q80" s="258">
        <f t="shared" si="22"/>
        <v>0</v>
      </c>
      <c r="R80" s="34">
        <f t="shared" si="26"/>
        <v>0</v>
      </c>
    </row>
    <row r="81" spans="1:21" s="5" customFormat="1" x14ac:dyDescent="0.2">
      <c r="A81" s="266" t="s">
        <v>800</v>
      </c>
      <c r="B81" s="310">
        <f>STATS!B85</f>
        <v>274</v>
      </c>
      <c r="C81" s="257">
        <f>STATS!C85</f>
        <v>-1</v>
      </c>
      <c r="D81" s="269">
        <f t="shared" si="23"/>
        <v>0</v>
      </c>
      <c r="E81" s="36">
        <f>ROUND($D81*'STATS 2017'!C63,0)</f>
        <v>0</v>
      </c>
      <c r="F81" s="36">
        <f>ROUND($D81*'STATS 2017'!D63,0)</f>
        <v>0</v>
      </c>
      <c r="G81" s="36">
        <f>ROUND($D81*'STATS 2017'!E63,0)</f>
        <v>0</v>
      </c>
      <c r="H81" s="36">
        <f>ROUND($D81*'STATS 2017'!F63,0)</f>
        <v>0</v>
      </c>
      <c r="I81" s="36">
        <f>ROUND($D81*'STATS 2017'!G63,0)</f>
        <v>0</v>
      </c>
      <c r="J81" s="36">
        <f>ROUND($D81*'STATS 2017'!H63,0)</f>
        <v>0</v>
      </c>
      <c r="K81" s="36">
        <f>ROUND($D81*'STATS 2017'!I63,0)</f>
        <v>0</v>
      </c>
      <c r="L81" s="36">
        <f>ROUND($D81*'STATS 2017'!J63,0)</f>
        <v>0</v>
      </c>
      <c r="M81" s="36">
        <f>ROUND($D81*'STATS 2017'!K63,0)</f>
        <v>0</v>
      </c>
      <c r="N81" s="36">
        <f>ROUND($D81*'STATS 2017'!L63,0)</f>
        <v>0</v>
      </c>
      <c r="O81" s="36">
        <f>ROUND($D81*'STATS 2017'!M63,0)</f>
        <v>0</v>
      </c>
      <c r="P81" s="171">
        <f>ROUND($D81*'STATS 2017'!N63,0)</f>
        <v>0</v>
      </c>
      <c r="Q81" s="258">
        <f t="shared" si="22"/>
        <v>0</v>
      </c>
      <c r="R81" s="34">
        <f t="shared" si="26"/>
        <v>0</v>
      </c>
      <c r="S81" s="6"/>
      <c r="T81" s="6"/>
      <c r="U81" s="6"/>
    </row>
    <row r="82" spans="1:21" x14ac:dyDescent="0.2">
      <c r="A82" s="35" t="s">
        <v>801</v>
      </c>
      <c r="B82" s="312">
        <f>B80+B81</f>
        <v>274</v>
      </c>
      <c r="C82" s="271"/>
      <c r="D82" s="270">
        <f>D80+D81</f>
        <v>0</v>
      </c>
      <c r="E82" s="38">
        <f>E80+E81</f>
        <v>0</v>
      </c>
      <c r="F82" s="38">
        <f t="shared" ref="F82:P82" si="29">F80+F81</f>
        <v>0</v>
      </c>
      <c r="G82" s="38">
        <f t="shared" si="29"/>
        <v>0</v>
      </c>
      <c r="H82" s="38">
        <f t="shared" si="29"/>
        <v>0</v>
      </c>
      <c r="I82" s="38">
        <f t="shared" si="29"/>
        <v>0</v>
      </c>
      <c r="J82" s="38">
        <f t="shared" si="29"/>
        <v>0</v>
      </c>
      <c r="K82" s="38">
        <f t="shared" si="29"/>
        <v>0</v>
      </c>
      <c r="L82" s="38">
        <f t="shared" si="29"/>
        <v>0</v>
      </c>
      <c r="M82" s="38">
        <f t="shared" si="29"/>
        <v>0</v>
      </c>
      <c r="N82" s="38">
        <f t="shared" si="29"/>
        <v>0</v>
      </c>
      <c r="O82" s="38">
        <f t="shared" si="29"/>
        <v>0</v>
      </c>
      <c r="P82" s="38">
        <f t="shared" si="29"/>
        <v>0</v>
      </c>
      <c r="Q82" s="259">
        <f t="shared" si="22"/>
        <v>0</v>
      </c>
      <c r="R82" s="34">
        <f t="shared" si="26"/>
        <v>0</v>
      </c>
    </row>
    <row r="83" spans="1:21" x14ac:dyDescent="0.2">
      <c r="A83" s="256" t="s">
        <v>802</v>
      </c>
      <c r="B83" s="310">
        <f>STATS!B87</f>
        <v>6926</v>
      </c>
      <c r="C83" s="257">
        <f>STATS!C87</f>
        <v>-2.9518400872719105E-3</v>
      </c>
      <c r="D83" s="269">
        <f t="shared" si="23"/>
        <v>6906</v>
      </c>
      <c r="E83" s="36">
        <f>ROUND($D83*'STATS 2017'!C64,0)</f>
        <v>566</v>
      </c>
      <c r="F83" s="36">
        <f>ROUND($D83*'STATS 2017'!D64,0)</f>
        <v>543</v>
      </c>
      <c r="G83" s="36">
        <f>ROUND($D83*'STATS 2017'!E64,0)</f>
        <v>562</v>
      </c>
      <c r="H83" s="36">
        <f>ROUND($D83*'STATS 2017'!F64,0)</f>
        <v>574</v>
      </c>
      <c r="I83" s="36">
        <f>ROUND($D83*'STATS 2017'!G64,0)</f>
        <v>553</v>
      </c>
      <c r="J83" s="36">
        <f>ROUND($D83*'STATS 2017'!H64,0)</f>
        <v>609</v>
      </c>
      <c r="K83" s="36">
        <f>ROUND($D83*'STATS 2017'!I64,0)</f>
        <v>588</v>
      </c>
      <c r="L83" s="36">
        <f>ROUND($D83*'STATS 2017'!J64,0)</f>
        <v>632</v>
      </c>
      <c r="M83" s="36">
        <f>ROUND($D83*'STATS 2017'!K64,0)</f>
        <v>562</v>
      </c>
      <c r="N83" s="36">
        <f>ROUND($D83*'STATS 2017'!L64,0)</f>
        <v>534</v>
      </c>
      <c r="O83" s="36">
        <f>ROUND($D83*'STATS 2017'!M64,0)</f>
        <v>574</v>
      </c>
      <c r="P83" s="599">
        <f>ROUND($D83*'STATS 2017'!N64,0)+4</f>
        <v>609</v>
      </c>
      <c r="Q83" s="258">
        <f t="shared" si="22"/>
        <v>6906</v>
      </c>
      <c r="R83" s="34">
        <f t="shared" si="26"/>
        <v>0</v>
      </c>
    </row>
    <row r="84" spans="1:21" x14ac:dyDescent="0.2">
      <c r="A84" s="256" t="s">
        <v>803</v>
      </c>
      <c r="B84" s="310">
        <f>STATS!B88</f>
        <v>291</v>
      </c>
      <c r="C84" s="257">
        <f>STATS!C88</f>
        <v>2.4436807941962495E-2</v>
      </c>
      <c r="D84" s="269">
        <f t="shared" si="23"/>
        <v>298</v>
      </c>
      <c r="E84" s="36">
        <f>ROUND($D84*'STATS 2017'!C65,0)</f>
        <v>19</v>
      </c>
      <c r="F84" s="36">
        <f>ROUND($D84*'STATS 2017'!D65,0)</f>
        <v>20</v>
      </c>
      <c r="G84" s="36">
        <f>ROUND($D84*'STATS 2017'!E65,0)</f>
        <v>25</v>
      </c>
      <c r="H84" s="36">
        <f>ROUND($D84*'STATS 2017'!F65,0)</f>
        <v>29</v>
      </c>
      <c r="I84" s="36">
        <f>ROUND($D84*'STATS 2017'!G65,0)</f>
        <v>26</v>
      </c>
      <c r="J84" s="36">
        <f>ROUND($D84*'STATS 2017'!H65,0)</f>
        <v>34</v>
      </c>
      <c r="K84" s="36">
        <f>ROUND($D84*'STATS 2017'!I65,0)</f>
        <v>23</v>
      </c>
      <c r="L84" s="36">
        <f>ROUND($D84*'STATS 2017'!J65,0)</f>
        <v>15</v>
      </c>
      <c r="M84" s="36">
        <f>ROUND($D84*'STATS 2017'!K65,0)</f>
        <v>26</v>
      </c>
      <c r="N84" s="36">
        <f>ROUND($D84*'STATS 2017'!L65,0)</f>
        <v>18</v>
      </c>
      <c r="O84" s="36">
        <f>ROUND($D84*'STATS 2017'!M65,0)</f>
        <v>35</v>
      </c>
      <c r="P84" s="599">
        <f>ROUND($D84*'STATS 2017'!N65,0)-1</f>
        <v>28</v>
      </c>
      <c r="Q84" s="258">
        <f t="shared" si="22"/>
        <v>298</v>
      </c>
      <c r="R84" s="34">
        <f t="shared" si="26"/>
        <v>0</v>
      </c>
    </row>
    <row r="85" spans="1:21" x14ac:dyDescent="0.2">
      <c r="A85" s="256" t="s">
        <v>969</v>
      </c>
      <c r="B85" s="310">
        <f>STATS!B89</f>
        <v>99</v>
      </c>
      <c r="C85" s="257">
        <f>STATS!C89</f>
        <v>0.30303030303030304</v>
      </c>
      <c r="D85" s="269">
        <f t="shared" si="23"/>
        <v>129</v>
      </c>
      <c r="E85" s="36">
        <f>ROUND($D85*'STATS 2017'!C66,0)</f>
        <v>7</v>
      </c>
      <c r="F85" s="36">
        <f>ROUND($D85*'STATS 2017'!D66,0)</f>
        <v>10</v>
      </c>
      <c r="G85" s="36">
        <f>ROUND($D85*'STATS 2017'!E66,0)</f>
        <v>12</v>
      </c>
      <c r="H85" s="36">
        <f>ROUND($D85*'STATS 2017'!F66,0)</f>
        <v>12</v>
      </c>
      <c r="I85" s="36">
        <f>ROUND($D85*'STATS 2017'!G66,0)</f>
        <v>14</v>
      </c>
      <c r="J85" s="36">
        <f>ROUND($D85*'STATS 2017'!H66,0)</f>
        <v>7</v>
      </c>
      <c r="K85" s="36">
        <f>ROUND($D85*'STATS 2017'!I66,0)</f>
        <v>16</v>
      </c>
      <c r="L85" s="36">
        <f>ROUND($D85*'STATS 2017'!J66,0)</f>
        <v>21</v>
      </c>
      <c r="M85" s="36">
        <f>ROUND($D85*'STATS 2017'!K66,0)</f>
        <v>12</v>
      </c>
      <c r="N85" s="36">
        <f>ROUND($D85*'STATS 2017'!L66,0)</f>
        <v>7</v>
      </c>
      <c r="O85" s="599">
        <f>ROUND($D85*'STATS 2017'!M66,0)-2</f>
        <v>6</v>
      </c>
      <c r="P85" s="36">
        <f>ROUND($D85*'STATS 2017'!N66,0)</f>
        <v>5</v>
      </c>
      <c r="Q85" s="258">
        <f t="shared" ref="Q85" si="30">SUM(E85:P85)</f>
        <v>129</v>
      </c>
      <c r="R85" s="34">
        <f t="shared" ref="R85" si="31">D85-Q85</f>
        <v>0</v>
      </c>
    </row>
    <row r="86" spans="1:21" x14ac:dyDescent="0.2">
      <c r="A86" s="84" t="s">
        <v>804</v>
      </c>
      <c r="B86" s="312">
        <f>B83+B84+B85</f>
        <v>7316</v>
      </c>
      <c r="C86" s="271"/>
      <c r="D86" s="270">
        <f>D83+D84+D85</f>
        <v>7333</v>
      </c>
      <c r="E86" s="38">
        <f>E83+E84+E85</f>
        <v>592</v>
      </c>
      <c r="F86" s="38">
        <f t="shared" ref="F86:P86" si="32">F83+F84+F85</f>
        <v>573</v>
      </c>
      <c r="G86" s="38">
        <f t="shared" si="32"/>
        <v>599</v>
      </c>
      <c r="H86" s="38">
        <f t="shared" si="32"/>
        <v>615</v>
      </c>
      <c r="I86" s="38">
        <f t="shared" si="32"/>
        <v>593</v>
      </c>
      <c r="J86" s="38">
        <f t="shared" si="32"/>
        <v>650</v>
      </c>
      <c r="K86" s="38">
        <f t="shared" si="32"/>
        <v>627</v>
      </c>
      <c r="L86" s="38">
        <f t="shared" si="32"/>
        <v>668</v>
      </c>
      <c r="M86" s="38">
        <f t="shared" si="32"/>
        <v>600</v>
      </c>
      <c r="N86" s="38">
        <f t="shared" si="32"/>
        <v>559</v>
      </c>
      <c r="O86" s="38">
        <f t="shared" si="32"/>
        <v>615</v>
      </c>
      <c r="P86" s="38">
        <f t="shared" si="32"/>
        <v>642</v>
      </c>
      <c r="Q86" s="259">
        <f t="shared" si="22"/>
        <v>7333</v>
      </c>
      <c r="R86" s="34">
        <f t="shared" si="26"/>
        <v>0</v>
      </c>
    </row>
    <row r="87" spans="1:21" x14ac:dyDescent="0.2">
      <c r="A87" s="262" t="s">
        <v>805</v>
      </c>
      <c r="B87" s="310">
        <f>STATS!B91</f>
        <v>650</v>
      </c>
      <c r="C87" s="257">
        <f>STATS!C91</f>
        <v>2.0683760683760703E-2</v>
      </c>
      <c r="D87" s="269">
        <f t="shared" si="23"/>
        <v>663</v>
      </c>
      <c r="E87" s="36">
        <f>ROUND($D87*'STATS 2017'!C67,0)</f>
        <v>41</v>
      </c>
      <c r="F87" s="36">
        <f>ROUND($D87*'STATS 2017'!D67,0)</f>
        <v>51</v>
      </c>
      <c r="G87" s="36">
        <f>ROUND($D87*'STATS 2017'!E67,0)</f>
        <v>53</v>
      </c>
      <c r="H87" s="36">
        <f>ROUND($D87*'STATS 2017'!F67,0)</f>
        <v>59</v>
      </c>
      <c r="I87" s="36">
        <f>ROUND($D87*'STATS 2017'!G67,0)</f>
        <v>52</v>
      </c>
      <c r="J87" s="36">
        <f>ROUND($D87*'STATS 2017'!H67,0)</f>
        <v>62</v>
      </c>
      <c r="K87" s="36">
        <f>ROUND($D87*'STATS 2017'!I67,0)</f>
        <v>53</v>
      </c>
      <c r="L87" s="36">
        <f>ROUND($D87*'STATS 2017'!J67,0)</f>
        <v>43</v>
      </c>
      <c r="M87" s="36">
        <f>ROUND($D87*'STATS 2017'!K67,0)</f>
        <v>58</v>
      </c>
      <c r="N87" s="36">
        <f>ROUND($D87*'STATS 2017'!L67,0)</f>
        <v>59</v>
      </c>
      <c r="O87" s="36">
        <f>ROUND($D87*'STATS 2017'!M67,0)</f>
        <v>75</v>
      </c>
      <c r="P87" s="599">
        <f>ROUND($D87*'STATS 2017'!N67,0)+1</f>
        <v>57</v>
      </c>
      <c r="Q87" s="258">
        <f t="shared" si="22"/>
        <v>663</v>
      </c>
      <c r="R87" s="34">
        <f t="shared" si="26"/>
        <v>0</v>
      </c>
    </row>
    <row r="88" spans="1:21" x14ac:dyDescent="0.2">
      <c r="A88" s="256" t="s">
        <v>806</v>
      </c>
      <c r="B88" s="310">
        <f>STATS!B92</f>
        <v>20352</v>
      </c>
      <c r="C88" s="257">
        <f>STATS!C92</f>
        <v>1.1301100628930817E-3</v>
      </c>
      <c r="D88" s="269">
        <f t="shared" si="23"/>
        <v>20375</v>
      </c>
      <c r="E88" s="36">
        <f>ROUND($D88*'STATS 2017'!C68,0)</f>
        <v>1663</v>
      </c>
      <c r="F88" s="36">
        <f>ROUND($D88*'STATS 2017'!D68,0)</f>
        <v>1576</v>
      </c>
      <c r="G88" s="36">
        <f>ROUND($D88*'STATS 2017'!E68,0)</f>
        <v>1511</v>
      </c>
      <c r="H88" s="36">
        <f>ROUND($D88*'STATS 2017'!F68,0)</f>
        <v>1687</v>
      </c>
      <c r="I88" s="36">
        <f>ROUND($D88*'STATS 2017'!G68,0)</f>
        <v>1721</v>
      </c>
      <c r="J88" s="36">
        <f>ROUND($D88*'STATS 2017'!H68,0)</f>
        <v>1875</v>
      </c>
      <c r="K88" s="36">
        <f>ROUND($D88*'STATS 2017'!I68,0)</f>
        <v>1737</v>
      </c>
      <c r="L88" s="36">
        <f>ROUND($D88*'STATS 2017'!J68,0)</f>
        <v>1855</v>
      </c>
      <c r="M88" s="36">
        <f>ROUND($D88*'STATS 2017'!K68,0)</f>
        <v>1678</v>
      </c>
      <c r="N88" s="36">
        <f>ROUND($D88*'STATS 2017'!L68,0)</f>
        <v>1510</v>
      </c>
      <c r="O88" s="36">
        <f>ROUND($D88*'STATS 2017'!M68,0)</f>
        <v>1754</v>
      </c>
      <c r="P88" s="171">
        <f>ROUND($D88*'STATS 2017'!N68,0)-1</f>
        <v>1808</v>
      </c>
      <c r="Q88" s="258">
        <f t="shared" si="22"/>
        <v>20375</v>
      </c>
      <c r="R88" s="34">
        <f t="shared" si="26"/>
        <v>0</v>
      </c>
    </row>
    <row r="89" spans="1:21" x14ac:dyDescent="0.2">
      <c r="A89" s="35" t="s">
        <v>807</v>
      </c>
      <c r="B89" s="312">
        <f>B87+B88</f>
        <v>21002</v>
      </c>
      <c r="C89" s="271"/>
      <c r="D89" s="270">
        <f>D87+D88</f>
        <v>21038</v>
      </c>
      <c r="E89" s="38">
        <f>E87+E88</f>
        <v>1704</v>
      </c>
      <c r="F89" s="38">
        <f t="shared" ref="F89:P89" si="33">F87+F88</f>
        <v>1627</v>
      </c>
      <c r="G89" s="38">
        <f t="shared" si="33"/>
        <v>1564</v>
      </c>
      <c r="H89" s="38">
        <f t="shared" si="33"/>
        <v>1746</v>
      </c>
      <c r="I89" s="38">
        <f t="shared" si="33"/>
        <v>1773</v>
      </c>
      <c r="J89" s="38">
        <f t="shared" si="33"/>
        <v>1937</v>
      </c>
      <c r="K89" s="38">
        <f t="shared" si="33"/>
        <v>1790</v>
      </c>
      <c r="L89" s="38">
        <f t="shared" si="33"/>
        <v>1898</v>
      </c>
      <c r="M89" s="38">
        <f t="shared" si="33"/>
        <v>1736</v>
      </c>
      <c r="N89" s="38">
        <f t="shared" si="33"/>
        <v>1569</v>
      </c>
      <c r="O89" s="38">
        <f t="shared" si="33"/>
        <v>1829</v>
      </c>
      <c r="P89" s="38">
        <f t="shared" si="33"/>
        <v>1865</v>
      </c>
      <c r="Q89" s="259">
        <f t="shared" si="22"/>
        <v>21038</v>
      </c>
      <c r="R89" s="34">
        <f t="shared" si="26"/>
        <v>0</v>
      </c>
    </row>
    <row r="90" spans="1:21" x14ac:dyDescent="0.2">
      <c r="A90" s="256" t="s">
        <v>808</v>
      </c>
      <c r="B90" s="310">
        <f>STATS!B94</f>
        <v>3986</v>
      </c>
      <c r="C90" s="257">
        <f>STATS!C94</f>
        <v>2.5087807325639738E-2</v>
      </c>
      <c r="D90" s="269">
        <f t="shared" si="23"/>
        <v>4086</v>
      </c>
      <c r="E90" s="36">
        <f>ROUND($D90*'STATS 2017'!C69,0)</f>
        <v>301</v>
      </c>
      <c r="F90" s="36">
        <f>ROUND($D90*'STATS 2017'!D69,0)</f>
        <v>277</v>
      </c>
      <c r="G90" s="36">
        <f>ROUND($D90*'STATS 2017'!E69,0)</f>
        <v>282</v>
      </c>
      <c r="H90" s="36">
        <f>ROUND($D90*'STATS 2017'!F69,0)</f>
        <v>285</v>
      </c>
      <c r="I90" s="36">
        <f>ROUND($D90*'STATS 2017'!G69,0)</f>
        <v>333</v>
      </c>
      <c r="J90" s="36">
        <f>ROUND($D90*'STATS 2017'!H69,0)</f>
        <v>421</v>
      </c>
      <c r="K90" s="36">
        <f>ROUND($D90*'STATS 2017'!I69,0)</f>
        <v>279</v>
      </c>
      <c r="L90" s="36">
        <f>ROUND($D90*'STATS 2017'!J69,0)</f>
        <v>287</v>
      </c>
      <c r="M90" s="36">
        <f>ROUND($D90*'STATS 2017'!K69,0)</f>
        <v>345</v>
      </c>
      <c r="N90" s="36">
        <f>ROUND($D90*'STATS 2017'!L69,0)</f>
        <v>447</v>
      </c>
      <c r="O90" s="36">
        <f>ROUND($D90*'STATS 2017'!M69,0)</f>
        <v>438</v>
      </c>
      <c r="P90" s="599">
        <f>ROUND($D90*'STATS 2017'!N69,0)+1</f>
        <v>392</v>
      </c>
      <c r="Q90" s="258">
        <f>SUM(E90:P90)-1</f>
        <v>4086</v>
      </c>
      <c r="R90" s="34">
        <f t="shared" si="26"/>
        <v>0</v>
      </c>
    </row>
    <row r="91" spans="1:21" s="5" customFormat="1" x14ac:dyDescent="0.2">
      <c r="A91" s="256" t="s">
        <v>809</v>
      </c>
      <c r="B91" s="310">
        <f>STATS!B95</f>
        <v>5588</v>
      </c>
      <c r="C91" s="257">
        <f>STATS!C95</f>
        <v>7.1422890320527996E-2</v>
      </c>
      <c r="D91" s="269">
        <f t="shared" si="23"/>
        <v>5987</v>
      </c>
      <c r="E91" s="36">
        <f>ROUND($D91*'STATS 2017'!C70,0)</f>
        <v>455</v>
      </c>
      <c r="F91" s="36">
        <f>ROUND($D91*'STATS 2017'!D70,0)</f>
        <v>480</v>
      </c>
      <c r="G91" s="36">
        <f>ROUND($D91*'STATS 2017'!E70,0)</f>
        <v>449</v>
      </c>
      <c r="H91" s="36">
        <f>ROUND($D91*'STATS 2017'!F70,0)</f>
        <v>543</v>
      </c>
      <c r="I91" s="36">
        <f>ROUND($D91*'STATS 2017'!G70,0)</f>
        <v>510</v>
      </c>
      <c r="J91" s="36">
        <f>ROUND($D91*'STATS 2017'!H70,0)</f>
        <v>535</v>
      </c>
      <c r="K91" s="36">
        <f>ROUND($D91*'STATS 2017'!I70,0)</f>
        <v>474</v>
      </c>
      <c r="L91" s="36">
        <f>ROUND($D91*'STATS 2017'!J70,0)</f>
        <v>532</v>
      </c>
      <c r="M91" s="36">
        <f>ROUND($D91*'STATS 2017'!K70,0)</f>
        <v>487</v>
      </c>
      <c r="N91" s="36">
        <f>ROUND($D91*'STATS 2017'!L70,0)</f>
        <v>445</v>
      </c>
      <c r="O91" s="36">
        <f>ROUND($D91*'STATS 2017'!M70,0)</f>
        <v>559</v>
      </c>
      <c r="P91" s="599">
        <f>ROUND($D91*'STATS 2017'!N70,0)+1</f>
        <v>518</v>
      </c>
      <c r="Q91" s="258">
        <f t="shared" si="22"/>
        <v>5987</v>
      </c>
      <c r="R91" s="34">
        <f t="shared" si="26"/>
        <v>0</v>
      </c>
      <c r="S91" s="6"/>
      <c r="T91" s="6"/>
      <c r="U91" s="6"/>
    </row>
    <row r="92" spans="1:21" x14ac:dyDescent="0.2">
      <c r="A92" s="256" t="s">
        <v>810</v>
      </c>
      <c r="B92" s="310">
        <f>STATS!B96</f>
        <v>97080</v>
      </c>
      <c r="C92" s="257">
        <f>STATS!C96</f>
        <v>4.1862381540997119E-2</v>
      </c>
      <c r="D92" s="269">
        <f t="shared" si="23"/>
        <v>101144</v>
      </c>
      <c r="E92" s="36">
        <f>ROUND($D92*'STATS 2017'!C71,0)</f>
        <v>8362</v>
      </c>
      <c r="F92" s="36">
        <f>ROUND($D92*'STATS 2017'!D71,0)</f>
        <v>8626</v>
      </c>
      <c r="G92" s="36">
        <f>ROUND($D92*'STATS 2017'!E71,0)</f>
        <v>7833</v>
      </c>
      <c r="H92" s="36">
        <f>ROUND($D92*'STATS 2017'!F71,0)</f>
        <v>7704</v>
      </c>
      <c r="I92" s="36">
        <f>ROUND($D92*'STATS 2017'!G71,0)</f>
        <v>8583</v>
      </c>
      <c r="J92" s="36">
        <f>ROUND($D92*'STATS 2017'!H71,0)</f>
        <v>8908</v>
      </c>
      <c r="K92" s="36">
        <f>ROUND($D92*'STATS 2017'!I71,0)</f>
        <v>8666</v>
      </c>
      <c r="L92" s="36">
        <f>ROUND($D92*'STATS 2017'!J71,0)</f>
        <v>8337</v>
      </c>
      <c r="M92" s="36">
        <f>ROUND($D92*'STATS 2017'!K71,0)</f>
        <v>7316</v>
      </c>
      <c r="N92" s="36">
        <f>ROUND($D92*'STATS 2017'!L71,0)</f>
        <v>8516</v>
      </c>
      <c r="O92" s="36">
        <f>ROUND($D92*'STATS 2017'!M71,0)</f>
        <v>9155</v>
      </c>
      <c r="P92" s="171">
        <f>ROUND($D92*'STATS 2017'!N71,0)-1</f>
        <v>9138</v>
      </c>
      <c r="Q92" s="258">
        <f t="shared" si="22"/>
        <v>101144</v>
      </c>
      <c r="R92" s="34">
        <f t="shared" si="26"/>
        <v>0</v>
      </c>
    </row>
    <row r="93" spans="1:21" x14ac:dyDescent="0.2">
      <c r="A93" s="256" t="s">
        <v>162</v>
      </c>
      <c r="B93" s="310">
        <f>STATS!B97</f>
        <v>8591</v>
      </c>
      <c r="C93" s="257">
        <f>STATS!C97</f>
        <v>-1.928374655647376E-2</v>
      </c>
      <c r="D93" s="269">
        <f t="shared" si="23"/>
        <v>8425</v>
      </c>
      <c r="E93" s="36">
        <f>ROUND($D93*'STATS 2017'!C72,0)</f>
        <v>669</v>
      </c>
      <c r="F93" s="36">
        <f>ROUND($D93*'STATS 2017'!D72,0)</f>
        <v>670</v>
      </c>
      <c r="G93" s="36">
        <f>ROUND($D93*'STATS 2017'!E72,0)</f>
        <v>675</v>
      </c>
      <c r="H93" s="36">
        <f>ROUND($D93*'STATS 2017'!F72,0)</f>
        <v>696</v>
      </c>
      <c r="I93" s="36">
        <f>ROUND($D93*'STATS 2017'!G72,0)</f>
        <v>686</v>
      </c>
      <c r="J93" s="36">
        <f>ROUND($D93*'STATS 2017'!H72,0)</f>
        <v>742</v>
      </c>
      <c r="K93" s="36">
        <f>ROUND($D93*'STATS 2017'!I72,0)</f>
        <v>719</v>
      </c>
      <c r="L93" s="36">
        <f>ROUND($D93*'STATS 2017'!J72,0)</f>
        <v>759</v>
      </c>
      <c r="M93" s="36">
        <f>ROUND($D93*'STATS 2017'!K72,0)</f>
        <v>694</v>
      </c>
      <c r="N93" s="36">
        <f>ROUND($D93*'STATS 2017'!L72,0)</f>
        <v>648</v>
      </c>
      <c r="O93" s="36">
        <f>ROUND($D93*'STATS 2017'!M72,0)</f>
        <v>735</v>
      </c>
      <c r="P93" s="171">
        <f>ROUND($D93*'STATS 2017'!N72,0)</f>
        <v>732</v>
      </c>
      <c r="Q93" s="258">
        <f t="shared" si="22"/>
        <v>8425</v>
      </c>
      <c r="R93" s="34">
        <f t="shared" si="26"/>
        <v>0</v>
      </c>
    </row>
    <row r="94" spans="1:21" x14ac:dyDescent="0.2">
      <c r="A94" s="256" t="s">
        <v>164</v>
      </c>
      <c r="B94" s="310">
        <f>STATS!B98</f>
        <v>13838</v>
      </c>
      <c r="C94" s="257">
        <f>STATS!C98</f>
        <v>-3.5409741292094232E-2</v>
      </c>
      <c r="D94" s="269">
        <f t="shared" si="23"/>
        <v>13348</v>
      </c>
      <c r="E94" s="171">
        <f>ROUND($D94*'STATS 2017'!C73,0)</f>
        <v>1077</v>
      </c>
      <c r="F94" s="171">
        <f>ROUND($D94*'STATS 2017'!D73,0)</f>
        <v>1025</v>
      </c>
      <c r="G94" s="171">
        <f>ROUND($D94*'STATS 2017'!E73,0)</f>
        <v>940</v>
      </c>
      <c r="H94" s="171">
        <f>ROUND($D94*'STATS 2017'!F73,0)</f>
        <v>1102</v>
      </c>
      <c r="I94" s="171">
        <f>ROUND($D94*'STATS 2017'!G73,0)</f>
        <v>1151</v>
      </c>
      <c r="J94" s="171">
        <f>ROUND($D94*'STATS 2017'!H73,0)</f>
        <v>1250</v>
      </c>
      <c r="K94" s="171">
        <f>ROUND($D94*'STATS 2017'!I73,0)</f>
        <v>1141</v>
      </c>
      <c r="L94" s="171">
        <f>ROUND($D94*'STATS 2017'!J73,0)</f>
        <v>1210</v>
      </c>
      <c r="M94" s="171">
        <f>ROUND($D94*'STATS 2017'!K73,0)</f>
        <v>1108</v>
      </c>
      <c r="N94" s="171">
        <f>ROUND($D94*'STATS 2017'!L73,0)</f>
        <v>979</v>
      </c>
      <c r="O94" s="171">
        <f>ROUND($D94*'STATS 2017'!M73,0)</f>
        <v>1180</v>
      </c>
      <c r="P94" s="171">
        <f>ROUND($D94*'STATS 2017'!N73,0)</f>
        <v>1185</v>
      </c>
      <c r="Q94" s="258">
        <f t="shared" si="22"/>
        <v>13348</v>
      </c>
      <c r="R94" s="34">
        <f t="shared" si="26"/>
        <v>0</v>
      </c>
    </row>
    <row r="95" spans="1:21" x14ac:dyDescent="0.2">
      <c r="A95" s="256" t="s">
        <v>166</v>
      </c>
      <c r="B95" s="310">
        <f>STATS!B99</f>
        <v>12552</v>
      </c>
      <c r="C95" s="257">
        <f>STATS!C99</f>
        <v>-3.9444798527016371E-2</v>
      </c>
      <c r="D95" s="269">
        <f t="shared" si="23"/>
        <v>12057</v>
      </c>
      <c r="E95" s="36">
        <f>ROUND($D95*'STATS 2017'!C74,0)</f>
        <v>985</v>
      </c>
      <c r="F95" s="36">
        <f>ROUND($D95*'STATS 2017'!D74,0)</f>
        <v>915</v>
      </c>
      <c r="G95" s="36">
        <f>ROUND($D95*'STATS 2017'!E74,0)</f>
        <v>849</v>
      </c>
      <c r="H95" s="36">
        <f>ROUND($D95*'STATS 2017'!F74,0)</f>
        <v>1002</v>
      </c>
      <c r="I95" s="36">
        <f>ROUND($D95*'STATS 2017'!G74,0)</f>
        <v>1040</v>
      </c>
      <c r="J95" s="36">
        <f>ROUND($D95*'STATS 2017'!H74,0)</f>
        <v>1139</v>
      </c>
      <c r="K95" s="36">
        <f>ROUND($D95*'STATS 2017'!I74,0)</f>
        <v>1032</v>
      </c>
      <c r="L95" s="36">
        <f>ROUND($D95*'STATS 2017'!J74,0)</f>
        <v>1097</v>
      </c>
      <c r="M95" s="36">
        <f>ROUND($D95*'STATS 2017'!K74,0)</f>
        <v>997</v>
      </c>
      <c r="N95" s="36">
        <f>ROUND($D95*'STATS 2017'!L74,0)</f>
        <v>875</v>
      </c>
      <c r="O95" s="36">
        <f>ROUND($D95*'STATS 2017'!M74,0)</f>
        <v>1045</v>
      </c>
      <c r="P95" s="171">
        <f>ROUND($D95*'STATS 2017'!N74,0)</f>
        <v>1081</v>
      </c>
      <c r="Q95" s="258">
        <f t="shared" si="22"/>
        <v>12057</v>
      </c>
      <c r="R95" s="34">
        <f t="shared" si="26"/>
        <v>0</v>
      </c>
    </row>
    <row r="96" spans="1:21" x14ac:dyDescent="0.2">
      <c r="A96" s="263" t="s">
        <v>811</v>
      </c>
      <c r="B96" s="310">
        <f>STATS!B100</f>
        <v>12660</v>
      </c>
      <c r="C96" s="257">
        <f>STATS!C100</f>
        <v>4.1864139020537122E-2</v>
      </c>
      <c r="D96" s="269">
        <f t="shared" si="23"/>
        <v>13190</v>
      </c>
      <c r="E96" s="36">
        <f>ROUND($D96*'STATS 2017'!C75,0)</f>
        <v>980</v>
      </c>
      <c r="F96" s="36">
        <f>ROUND($D96*'STATS 2017'!D75,0)</f>
        <v>871</v>
      </c>
      <c r="G96" s="36">
        <f>ROUND($D96*'STATS 2017'!E75,0)</f>
        <v>911</v>
      </c>
      <c r="H96" s="36">
        <f>ROUND($D96*'STATS 2017'!F75,0)</f>
        <v>905</v>
      </c>
      <c r="I96" s="36">
        <f>ROUND($D96*'STATS 2017'!G75,0)</f>
        <v>1086</v>
      </c>
      <c r="J96" s="36">
        <f>ROUND($D96*'STATS 2017'!H75,0)</f>
        <v>1309</v>
      </c>
      <c r="K96" s="36">
        <f>ROUND($D96*'STATS 2017'!I75,0)</f>
        <v>968</v>
      </c>
      <c r="L96" s="36">
        <f>ROUND($D96*'STATS 2017'!J75,0)</f>
        <v>965</v>
      </c>
      <c r="M96" s="36">
        <f>ROUND($D96*'STATS 2017'!K75,0)</f>
        <v>1135</v>
      </c>
      <c r="N96" s="36">
        <f>ROUND($D96*'STATS 2017'!L75,0)</f>
        <v>1428</v>
      </c>
      <c r="O96" s="36">
        <f>ROUND($D96*'STATS 2017'!M75,0)</f>
        <v>1364</v>
      </c>
      <c r="P96" s="36">
        <f>ROUND($D96*'STATS 2017'!N75,0)-1</f>
        <v>1268</v>
      </c>
      <c r="Q96" s="258">
        <f t="shared" si="22"/>
        <v>13190</v>
      </c>
      <c r="R96" s="34">
        <f t="shared" si="26"/>
        <v>0</v>
      </c>
    </row>
    <row r="97" spans="1:18" x14ac:dyDescent="0.2">
      <c r="A97" s="263" t="s">
        <v>812</v>
      </c>
      <c r="B97" s="310">
        <f>STATS!B101</f>
        <v>14069</v>
      </c>
      <c r="C97" s="257">
        <f>STATS!C101</f>
        <v>4.186509346790817E-2</v>
      </c>
      <c r="D97" s="269">
        <f t="shared" si="23"/>
        <v>14658</v>
      </c>
      <c r="E97" s="36">
        <f>ROUND($D97*'STATS 2017'!C76,0)</f>
        <v>1265</v>
      </c>
      <c r="F97" s="36">
        <f>ROUND($D97*'STATS 2017'!D76,0)</f>
        <v>1340</v>
      </c>
      <c r="G97" s="36">
        <f>ROUND($D97*'STATS 2017'!E76,0)</f>
        <v>1142</v>
      </c>
      <c r="H97" s="36">
        <f>ROUND($D97*'STATS 2017'!F76,0)</f>
        <v>1203</v>
      </c>
      <c r="I97" s="36">
        <f>ROUND($D97*'STATS 2017'!G76,0)</f>
        <v>1149</v>
      </c>
      <c r="J97" s="36">
        <f>ROUND($D97*'STATS 2017'!H76,0)</f>
        <v>1289</v>
      </c>
      <c r="K97" s="36">
        <f>ROUND($D97*'STATS 2017'!I76,0)</f>
        <v>1206</v>
      </c>
      <c r="L97" s="36">
        <f>ROUND($D97*'STATS 2017'!J76,0)</f>
        <v>982</v>
      </c>
      <c r="M97" s="36">
        <f>ROUND($D97*'STATS 2017'!K76,0)</f>
        <v>1200</v>
      </c>
      <c r="N97" s="36">
        <f>ROUND($D97*'STATS 2017'!L76,0)</f>
        <v>1212</v>
      </c>
      <c r="O97" s="36">
        <f>ROUND($D97*'STATS 2017'!M76,0)</f>
        <v>1348</v>
      </c>
      <c r="P97" s="599">
        <f>ROUND($D97*'STATS 2017'!N76,0)+1</f>
        <v>1322</v>
      </c>
      <c r="Q97" s="258">
        <f t="shared" si="22"/>
        <v>14658</v>
      </c>
      <c r="R97" s="34">
        <f t="shared" si="26"/>
        <v>0</v>
      </c>
    </row>
    <row r="98" spans="1:18" x14ac:dyDescent="0.2">
      <c r="A98" s="139" t="s">
        <v>813</v>
      </c>
      <c r="B98" s="312">
        <f>B96+B97</f>
        <v>26729</v>
      </c>
      <c r="C98" s="271"/>
      <c r="D98" s="270">
        <f>D96+D97</f>
        <v>27848</v>
      </c>
      <c r="E98" s="189">
        <f>E96+E97</f>
        <v>2245</v>
      </c>
      <c r="F98" s="189">
        <f t="shared" ref="F98:P98" si="34">F96+F97</f>
        <v>2211</v>
      </c>
      <c r="G98" s="189">
        <f t="shared" si="34"/>
        <v>2053</v>
      </c>
      <c r="H98" s="189">
        <f t="shared" si="34"/>
        <v>2108</v>
      </c>
      <c r="I98" s="189">
        <f t="shared" si="34"/>
        <v>2235</v>
      </c>
      <c r="J98" s="189">
        <f t="shared" si="34"/>
        <v>2598</v>
      </c>
      <c r="K98" s="189">
        <f t="shared" si="34"/>
        <v>2174</v>
      </c>
      <c r="L98" s="189">
        <f t="shared" si="34"/>
        <v>1947</v>
      </c>
      <c r="M98" s="189">
        <f t="shared" si="34"/>
        <v>2335</v>
      </c>
      <c r="N98" s="189">
        <f t="shared" si="34"/>
        <v>2640</v>
      </c>
      <c r="O98" s="189">
        <f t="shared" si="34"/>
        <v>2712</v>
      </c>
      <c r="P98" s="189">
        <f t="shared" si="34"/>
        <v>2590</v>
      </c>
      <c r="Q98" s="259">
        <f t="shared" si="22"/>
        <v>27848</v>
      </c>
      <c r="R98" s="34">
        <f t="shared" si="26"/>
        <v>0</v>
      </c>
    </row>
    <row r="99" spans="1:18" x14ac:dyDescent="0.2">
      <c r="A99" s="263" t="s">
        <v>973</v>
      </c>
      <c r="B99" s="310">
        <f>STATS!B103</f>
        <v>106</v>
      </c>
      <c r="C99" s="257">
        <f>STATS!C103</f>
        <v>-4.716981132075472E-2</v>
      </c>
      <c r="D99" s="269">
        <f t="shared" si="23"/>
        <v>101</v>
      </c>
      <c r="E99" s="36">
        <f>ROUND($D99*'STATS 2017'!C77,0)</f>
        <v>8</v>
      </c>
      <c r="F99" s="36">
        <f>ROUND($D99*'STATS 2017'!D77,0)</f>
        <v>10</v>
      </c>
      <c r="G99" s="36">
        <f>ROUND($D99*'STATS 2017'!E77,0)</f>
        <v>10</v>
      </c>
      <c r="H99" s="36">
        <f>ROUND($D99*'STATS 2017'!F77,0)</f>
        <v>10</v>
      </c>
      <c r="I99" s="36">
        <f>ROUND($D99*'STATS 2017'!G77,0)</f>
        <v>4</v>
      </c>
      <c r="J99" s="36">
        <f>ROUND($D99*'STATS 2017'!H77,0)</f>
        <v>10</v>
      </c>
      <c r="K99" s="36">
        <f>ROUND($D99*'STATS 2017'!I77,0)</f>
        <v>8</v>
      </c>
      <c r="L99" s="36">
        <f>ROUND($D99*'STATS 2017'!J77,0)</f>
        <v>3</v>
      </c>
      <c r="M99" s="36">
        <f>ROUND($D99*'STATS 2017'!K77,0)</f>
        <v>9</v>
      </c>
      <c r="N99" s="36">
        <f>ROUND($D99*'STATS 2017'!L77,0)</f>
        <v>11</v>
      </c>
      <c r="O99" s="36">
        <f>ROUND($D99*'STATS 2017'!M77,0)</f>
        <v>12</v>
      </c>
      <c r="P99" s="36">
        <f>ROUND($D99*'STATS 2017'!N77,0)</f>
        <v>6</v>
      </c>
      <c r="Q99" s="258">
        <f t="shared" si="22"/>
        <v>101</v>
      </c>
      <c r="R99" s="34">
        <f t="shared" si="26"/>
        <v>0</v>
      </c>
    </row>
    <row r="100" spans="1:18" x14ac:dyDescent="0.2">
      <c r="A100" s="160" t="s">
        <v>1060</v>
      </c>
      <c r="B100" s="310">
        <f>B88-B86</f>
        <v>13036</v>
      </c>
      <c r="D100" s="310">
        <f t="shared" ref="D100:Q100" si="35">D88-D86</f>
        <v>13042</v>
      </c>
      <c r="E100" s="310">
        <f t="shared" si="35"/>
        <v>1071</v>
      </c>
      <c r="F100" s="310">
        <f t="shared" si="35"/>
        <v>1003</v>
      </c>
      <c r="G100" s="310">
        <f t="shared" si="35"/>
        <v>912</v>
      </c>
      <c r="H100" s="310">
        <f t="shared" si="35"/>
        <v>1072</v>
      </c>
      <c r="I100" s="310">
        <f t="shared" si="35"/>
        <v>1128</v>
      </c>
      <c r="J100" s="310">
        <f t="shared" si="35"/>
        <v>1225</v>
      </c>
      <c r="K100" s="310">
        <f t="shared" si="35"/>
        <v>1110</v>
      </c>
      <c r="L100" s="310">
        <f t="shared" si="35"/>
        <v>1187</v>
      </c>
      <c r="M100" s="310">
        <f t="shared" si="35"/>
        <v>1078</v>
      </c>
      <c r="N100" s="310">
        <f t="shared" si="35"/>
        <v>951</v>
      </c>
      <c r="O100" s="310">
        <f t="shared" si="35"/>
        <v>1139</v>
      </c>
      <c r="P100" s="310">
        <f t="shared" si="35"/>
        <v>1166</v>
      </c>
      <c r="Q100" s="310">
        <f t="shared" si="35"/>
        <v>13042</v>
      </c>
    </row>
    <row r="103" spans="1:18" x14ac:dyDescent="0.2">
      <c r="A103" s="71" t="s">
        <v>78</v>
      </c>
    </row>
    <row r="104" spans="1:18" x14ac:dyDescent="0.2">
      <c r="A104" s="68" t="s">
        <v>79</v>
      </c>
      <c r="E104" s="313">
        <f>E$2*E136</f>
        <v>93.022222222222211</v>
      </c>
      <c r="F104" s="313">
        <f t="shared" ref="F104:O104" si="36">F$2*F136</f>
        <v>75.815950920245399</v>
      </c>
      <c r="G104" s="313">
        <f t="shared" si="36"/>
        <v>57.24444444444444</v>
      </c>
      <c r="H104" s="313">
        <f t="shared" si="36"/>
        <v>81.739130434782609</v>
      </c>
      <c r="I104" s="313">
        <f t="shared" si="36"/>
        <v>117.48648648648648</v>
      </c>
      <c r="J104" s="313">
        <f t="shared" si="36"/>
        <v>130.86995515695068</v>
      </c>
      <c r="K104" s="313">
        <f t="shared" si="36"/>
        <v>100.61333333333333</v>
      </c>
      <c r="L104" s="313">
        <f t="shared" si="36"/>
        <v>91.0859375</v>
      </c>
      <c r="M104" s="313">
        <f t="shared" si="36"/>
        <v>117.9639175257732</v>
      </c>
      <c r="N104" s="313">
        <f t="shared" si="36"/>
        <v>102.36686390532545</v>
      </c>
      <c r="O104" s="313">
        <f t="shared" si="36"/>
        <v>140.11363636363635</v>
      </c>
      <c r="P104" s="313">
        <f>P$2*P136</f>
        <v>118.54938271604939</v>
      </c>
      <c r="Q104" s="313">
        <f>Q$2*Q136</f>
        <v>1226.7232767232767</v>
      </c>
    </row>
    <row r="105" spans="1:18" x14ac:dyDescent="0.2">
      <c r="A105" s="68" t="s">
        <v>80</v>
      </c>
      <c r="E105" s="313">
        <f t="shared" ref="E105:O111" si="37">E$2*E137</f>
        <v>0</v>
      </c>
      <c r="F105" s="313">
        <f t="shared" si="37"/>
        <v>0</v>
      </c>
      <c r="G105" s="313">
        <f t="shared" si="37"/>
        <v>3.0666666666666669</v>
      </c>
      <c r="H105" s="313">
        <f t="shared" si="37"/>
        <v>0</v>
      </c>
      <c r="I105" s="313">
        <f t="shared" si="37"/>
        <v>0</v>
      </c>
      <c r="J105" s="313">
        <f t="shared" si="37"/>
        <v>0</v>
      </c>
      <c r="K105" s="313">
        <f t="shared" si="37"/>
        <v>0</v>
      </c>
      <c r="L105" s="313">
        <f t="shared" si="37"/>
        <v>0</v>
      </c>
      <c r="M105" s="313">
        <f t="shared" si="37"/>
        <v>2.0515463917525771</v>
      </c>
      <c r="N105" s="313">
        <f t="shared" si="37"/>
        <v>4.0946745562130173</v>
      </c>
      <c r="O105" s="313">
        <f t="shared" si="37"/>
        <v>1.0227272727272727</v>
      </c>
      <c r="P105" s="313">
        <f t="shared" ref="P105:Q105" si="38">P$2*P137</f>
        <v>2.0617283950617282</v>
      </c>
      <c r="Q105" s="313">
        <f t="shared" si="38"/>
        <v>12.287712287712287</v>
      </c>
    </row>
    <row r="106" spans="1:18" x14ac:dyDescent="0.2">
      <c r="A106" s="68" t="s">
        <v>81</v>
      </c>
      <c r="E106" s="313">
        <f t="shared" si="37"/>
        <v>4.0888888888888895</v>
      </c>
      <c r="F106" s="313">
        <f t="shared" si="37"/>
        <v>12.294478527607362</v>
      </c>
      <c r="G106" s="313">
        <f t="shared" si="37"/>
        <v>6.1333333333333337</v>
      </c>
      <c r="H106" s="313">
        <f t="shared" si="37"/>
        <v>9.195652173913043</v>
      </c>
      <c r="I106" s="313">
        <f t="shared" si="37"/>
        <v>19.410810810810812</v>
      </c>
      <c r="J106" s="313">
        <f t="shared" si="37"/>
        <v>10.224215246636771</v>
      </c>
      <c r="K106" s="313">
        <f t="shared" si="37"/>
        <v>5.1333333333333329</v>
      </c>
      <c r="L106" s="313">
        <f t="shared" si="37"/>
        <v>4.09375</v>
      </c>
      <c r="M106" s="313">
        <f t="shared" si="37"/>
        <v>7.18041237113402</v>
      </c>
      <c r="N106" s="313">
        <f t="shared" si="37"/>
        <v>0</v>
      </c>
      <c r="O106" s="313">
        <f t="shared" si="37"/>
        <v>25.568181818181817</v>
      </c>
      <c r="P106" s="313">
        <f t="shared" ref="P106:Q106" si="39">P$2*P138</f>
        <v>12.37037037037037</v>
      </c>
      <c r="Q106" s="313">
        <f t="shared" si="39"/>
        <v>115.7092907092907</v>
      </c>
    </row>
    <row r="107" spans="1:18" x14ac:dyDescent="0.2">
      <c r="A107" s="68" t="s">
        <v>82</v>
      </c>
      <c r="E107" s="313">
        <f t="shared" si="37"/>
        <v>21.466666666666669</v>
      </c>
      <c r="F107" s="313">
        <f t="shared" si="37"/>
        <v>48.153374233128837</v>
      </c>
      <c r="G107" s="313">
        <f t="shared" si="37"/>
        <v>37.822222222222223</v>
      </c>
      <c r="H107" s="313">
        <f t="shared" si="37"/>
        <v>33.717391304347828</v>
      </c>
      <c r="I107" s="313">
        <f t="shared" si="37"/>
        <v>18.389189189189189</v>
      </c>
      <c r="J107" s="313">
        <f t="shared" si="37"/>
        <v>24.538116591928251</v>
      </c>
      <c r="K107" s="313">
        <f t="shared" si="37"/>
        <v>24.64</v>
      </c>
      <c r="L107" s="313">
        <f t="shared" si="37"/>
        <v>27.6328125</v>
      </c>
      <c r="M107" s="313">
        <f t="shared" si="37"/>
        <v>25.644329896907212</v>
      </c>
      <c r="N107" s="313">
        <f t="shared" si="37"/>
        <v>22.520710059171599</v>
      </c>
      <c r="O107" s="313">
        <f t="shared" si="37"/>
        <v>37.840909090909093</v>
      </c>
      <c r="P107" s="313">
        <f t="shared" ref="P107:Q107" si="40">P$2*P139</f>
        <v>25.771604938271604</v>
      </c>
      <c r="Q107" s="313">
        <f t="shared" si="40"/>
        <v>348.15184815184813</v>
      </c>
    </row>
    <row r="108" spans="1:18" x14ac:dyDescent="0.2">
      <c r="A108" s="68" t="s">
        <v>83</v>
      </c>
      <c r="E108" s="313">
        <f t="shared" si="37"/>
        <v>14.31111111111111</v>
      </c>
      <c r="F108" s="313">
        <f t="shared" si="37"/>
        <v>8.1963190184049086</v>
      </c>
      <c r="G108" s="313">
        <f t="shared" si="37"/>
        <v>11.244444444444445</v>
      </c>
      <c r="H108" s="313">
        <f t="shared" si="37"/>
        <v>8.1739130434782616</v>
      </c>
      <c r="I108" s="313">
        <f t="shared" si="37"/>
        <v>2.0432432432432432</v>
      </c>
      <c r="J108" s="313">
        <f t="shared" si="37"/>
        <v>15.336322869955158</v>
      </c>
      <c r="K108" s="313">
        <f t="shared" si="37"/>
        <v>7.1866666666666674</v>
      </c>
      <c r="L108" s="313">
        <f t="shared" si="37"/>
        <v>3.0703125</v>
      </c>
      <c r="M108" s="313">
        <f t="shared" si="37"/>
        <v>12.309278350515465</v>
      </c>
      <c r="N108" s="313">
        <f t="shared" si="37"/>
        <v>2.0473372781065087</v>
      </c>
      <c r="O108" s="313">
        <f t="shared" si="37"/>
        <v>2.0454545454545454</v>
      </c>
      <c r="P108" s="313">
        <f t="shared" ref="P108:Q108" si="41">P$2*P140</f>
        <v>0</v>
      </c>
      <c r="Q108" s="313">
        <f t="shared" si="41"/>
        <v>86.013986013986013</v>
      </c>
    </row>
    <row r="109" spans="1:18" x14ac:dyDescent="0.2">
      <c r="A109" s="68" t="s">
        <v>84</v>
      </c>
      <c r="E109" s="313">
        <f t="shared" si="37"/>
        <v>3.0666666666666669</v>
      </c>
      <c r="F109" s="313">
        <f t="shared" si="37"/>
        <v>3.0736196319018405</v>
      </c>
      <c r="G109" s="313">
        <f t="shared" si="37"/>
        <v>13.28888888888889</v>
      </c>
      <c r="H109" s="313">
        <f t="shared" si="37"/>
        <v>1.0217391304347827</v>
      </c>
      <c r="I109" s="313">
        <f t="shared" si="37"/>
        <v>26.562162162162164</v>
      </c>
      <c r="J109" s="313">
        <f t="shared" si="37"/>
        <v>3.0672645739910314</v>
      </c>
      <c r="K109" s="313">
        <f t="shared" si="37"/>
        <v>5.1333333333333329</v>
      </c>
      <c r="L109" s="313">
        <f t="shared" si="37"/>
        <v>1.0234375</v>
      </c>
      <c r="M109" s="313">
        <f t="shared" si="37"/>
        <v>27.695876288659793</v>
      </c>
      <c r="N109" s="313">
        <f t="shared" si="37"/>
        <v>19.449704142011836</v>
      </c>
      <c r="O109" s="313">
        <f t="shared" si="37"/>
        <v>10.227272727272728</v>
      </c>
      <c r="P109" s="313">
        <f t="shared" ref="P109:Q109" si="42">P$2*P141</f>
        <v>0</v>
      </c>
      <c r="Q109" s="313">
        <f t="shared" si="42"/>
        <v>113.66133866133866</v>
      </c>
    </row>
    <row r="110" spans="1:18" x14ac:dyDescent="0.2">
      <c r="A110" s="68" t="s">
        <v>85</v>
      </c>
      <c r="E110" s="313">
        <f t="shared" si="37"/>
        <v>2.0444444444444447</v>
      </c>
      <c r="F110" s="313">
        <f t="shared" si="37"/>
        <v>19.466257668711656</v>
      </c>
      <c r="G110" s="313">
        <f t="shared" si="37"/>
        <v>9.1999999999999993</v>
      </c>
      <c r="H110" s="313">
        <f t="shared" si="37"/>
        <v>7.1521739130434785</v>
      </c>
      <c r="I110" s="313">
        <f t="shared" si="37"/>
        <v>5.1081081081081088</v>
      </c>
      <c r="J110" s="313">
        <f t="shared" si="37"/>
        <v>43.964125560538115</v>
      </c>
      <c r="K110" s="313">
        <f t="shared" si="37"/>
        <v>11.293333333333333</v>
      </c>
      <c r="L110" s="313">
        <f t="shared" si="37"/>
        <v>4.09375</v>
      </c>
      <c r="M110" s="313">
        <f t="shared" si="37"/>
        <v>6.1546391752577323</v>
      </c>
      <c r="N110" s="313">
        <f t="shared" si="37"/>
        <v>22.520710059171599</v>
      </c>
      <c r="O110" s="313">
        <f t="shared" si="37"/>
        <v>8.1818181818181817</v>
      </c>
      <c r="P110" s="313">
        <f t="shared" ref="P110:Q110" si="43">P$2*P142</f>
        <v>8.2469135802469129</v>
      </c>
      <c r="Q110" s="313">
        <f t="shared" si="43"/>
        <v>147.45254745254746</v>
      </c>
    </row>
    <row r="111" spans="1:18" x14ac:dyDescent="0.2">
      <c r="A111" s="70" t="s">
        <v>86</v>
      </c>
      <c r="D111" s="268">
        <f>D2</f>
        <v>2050</v>
      </c>
      <c r="E111" s="313">
        <f t="shared" si="37"/>
        <v>138</v>
      </c>
      <c r="F111" s="313">
        <f t="shared" si="37"/>
        <v>167</v>
      </c>
      <c r="G111" s="313">
        <f t="shared" si="37"/>
        <v>138</v>
      </c>
      <c r="H111" s="313">
        <f t="shared" si="37"/>
        <v>141</v>
      </c>
      <c r="I111" s="313">
        <f t="shared" si="37"/>
        <v>189</v>
      </c>
      <c r="J111" s="313">
        <f t="shared" si="37"/>
        <v>228</v>
      </c>
      <c r="K111" s="313">
        <f t="shared" si="37"/>
        <v>154</v>
      </c>
      <c r="L111" s="313">
        <f t="shared" si="37"/>
        <v>131</v>
      </c>
      <c r="M111" s="313">
        <f t="shared" si="37"/>
        <v>198.99999999999997</v>
      </c>
      <c r="N111" s="313">
        <f t="shared" si="37"/>
        <v>173</v>
      </c>
      <c r="O111" s="313">
        <f t="shared" si="37"/>
        <v>224.99999999999997</v>
      </c>
      <c r="P111" s="313">
        <f t="shared" ref="P111:Q111" si="44">P$2*P143</f>
        <v>167</v>
      </c>
      <c r="Q111" s="313">
        <f t="shared" si="44"/>
        <v>2050</v>
      </c>
    </row>
    <row r="112" spans="1:18" x14ac:dyDescent="0.2">
      <c r="A112" s="70"/>
      <c r="Q112" s="264"/>
    </row>
    <row r="113" spans="1:33" x14ac:dyDescent="0.2">
      <c r="A113" s="71" t="s">
        <v>87</v>
      </c>
      <c r="Q113" s="264"/>
    </row>
    <row r="114" spans="1:33" x14ac:dyDescent="0.2">
      <c r="A114" s="68" t="s">
        <v>79</v>
      </c>
      <c r="E114" s="313">
        <f>E$4*E136</f>
        <v>0</v>
      </c>
      <c r="F114" s="313">
        <f t="shared" ref="F114:O114" si="45">F$4*F136</f>
        <v>0</v>
      </c>
      <c r="G114" s="313">
        <f t="shared" si="45"/>
        <v>0</v>
      </c>
      <c r="H114" s="313">
        <f t="shared" si="45"/>
        <v>0</v>
      </c>
      <c r="I114" s="313">
        <f t="shared" si="45"/>
        <v>0</v>
      </c>
      <c r="J114" s="313">
        <f t="shared" si="45"/>
        <v>0</v>
      </c>
      <c r="K114" s="313">
        <f t="shared" si="45"/>
        <v>0</v>
      </c>
      <c r="L114" s="313">
        <f t="shared" si="45"/>
        <v>0</v>
      </c>
      <c r="M114" s="313">
        <f t="shared" si="45"/>
        <v>0</v>
      </c>
      <c r="N114" s="313">
        <f t="shared" si="45"/>
        <v>0</v>
      </c>
      <c r="O114" s="313">
        <f t="shared" si="45"/>
        <v>0</v>
      </c>
      <c r="P114" s="313">
        <f>P$4*P136</f>
        <v>0</v>
      </c>
      <c r="Q114" s="313">
        <f>Q$4*Q136</f>
        <v>0</v>
      </c>
    </row>
    <row r="115" spans="1:33" x14ac:dyDescent="0.2">
      <c r="A115" s="68" t="s">
        <v>80</v>
      </c>
      <c r="E115" s="313">
        <f t="shared" ref="E115:O121" si="46">E$4*E137</f>
        <v>0</v>
      </c>
      <c r="F115" s="313">
        <f t="shared" si="46"/>
        <v>0</v>
      </c>
      <c r="G115" s="313">
        <f t="shared" si="46"/>
        <v>0</v>
      </c>
      <c r="H115" s="313">
        <f t="shared" si="46"/>
        <v>0</v>
      </c>
      <c r="I115" s="313">
        <f t="shared" si="46"/>
        <v>0</v>
      </c>
      <c r="J115" s="313">
        <f t="shared" si="46"/>
        <v>0</v>
      </c>
      <c r="K115" s="313">
        <f t="shared" si="46"/>
        <v>0</v>
      </c>
      <c r="L115" s="313">
        <f t="shared" si="46"/>
        <v>0</v>
      </c>
      <c r="M115" s="313">
        <f t="shared" si="46"/>
        <v>0</v>
      </c>
      <c r="N115" s="313">
        <f t="shared" si="46"/>
        <v>0</v>
      </c>
      <c r="O115" s="313">
        <f t="shared" si="46"/>
        <v>0</v>
      </c>
      <c r="P115" s="313">
        <f t="shared" ref="P115:Q115" si="47">P$4*P137</f>
        <v>0</v>
      </c>
      <c r="Q115" s="313">
        <f t="shared" si="47"/>
        <v>0</v>
      </c>
    </row>
    <row r="116" spans="1:33" x14ac:dyDescent="0.2">
      <c r="A116" s="68" t="s">
        <v>81</v>
      </c>
      <c r="E116" s="313">
        <f t="shared" si="46"/>
        <v>0</v>
      </c>
      <c r="F116" s="313">
        <f t="shared" si="46"/>
        <v>0</v>
      </c>
      <c r="G116" s="313">
        <f t="shared" si="46"/>
        <v>0</v>
      </c>
      <c r="H116" s="313">
        <f t="shared" si="46"/>
        <v>0</v>
      </c>
      <c r="I116" s="313">
        <f t="shared" si="46"/>
        <v>0</v>
      </c>
      <c r="J116" s="313">
        <f t="shared" si="46"/>
        <v>0</v>
      </c>
      <c r="K116" s="313">
        <f t="shared" si="46"/>
        <v>0</v>
      </c>
      <c r="L116" s="313">
        <f t="shared" si="46"/>
        <v>0</v>
      </c>
      <c r="M116" s="313">
        <f t="shared" si="46"/>
        <v>0</v>
      </c>
      <c r="N116" s="313">
        <f t="shared" si="46"/>
        <v>0</v>
      </c>
      <c r="O116" s="313">
        <f t="shared" si="46"/>
        <v>0</v>
      </c>
      <c r="P116" s="313">
        <f t="shared" ref="P116:Q116" si="48">P$4*P138</f>
        <v>0</v>
      </c>
      <c r="Q116" s="313">
        <f t="shared" si="48"/>
        <v>0</v>
      </c>
    </row>
    <row r="117" spans="1:33" x14ac:dyDescent="0.2">
      <c r="A117" s="68" t="s">
        <v>82</v>
      </c>
      <c r="E117" s="313">
        <f t="shared" si="46"/>
        <v>0</v>
      </c>
      <c r="F117" s="313">
        <f t="shared" si="46"/>
        <v>0</v>
      </c>
      <c r="G117" s="313">
        <f t="shared" si="46"/>
        <v>0</v>
      </c>
      <c r="H117" s="313">
        <f t="shared" si="46"/>
        <v>0</v>
      </c>
      <c r="I117" s="313">
        <f t="shared" si="46"/>
        <v>0</v>
      </c>
      <c r="J117" s="313">
        <f t="shared" si="46"/>
        <v>0</v>
      </c>
      <c r="K117" s="313">
        <f t="shared" si="46"/>
        <v>0</v>
      </c>
      <c r="L117" s="313">
        <f t="shared" si="46"/>
        <v>0</v>
      </c>
      <c r="M117" s="313">
        <f t="shared" si="46"/>
        <v>0</v>
      </c>
      <c r="N117" s="313">
        <f t="shared" si="46"/>
        <v>0</v>
      </c>
      <c r="O117" s="313">
        <f t="shared" si="46"/>
        <v>0</v>
      </c>
      <c r="P117" s="313">
        <f t="shared" ref="P117:Q117" si="49">P$4*P139</f>
        <v>0</v>
      </c>
      <c r="Q117" s="313">
        <f t="shared" si="49"/>
        <v>0</v>
      </c>
    </row>
    <row r="118" spans="1:33" x14ac:dyDescent="0.2">
      <c r="A118" s="68" t="s">
        <v>83</v>
      </c>
      <c r="E118" s="313">
        <f t="shared" si="46"/>
        <v>0</v>
      </c>
      <c r="F118" s="313">
        <f t="shared" si="46"/>
        <v>0</v>
      </c>
      <c r="G118" s="313">
        <f t="shared" si="46"/>
        <v>0</v>
      </c>
      <c r="H118" s="313">
        <f t="shared" si="46"/>
        <v>0</v>
      </c>
      <c r="I118" s="313">
        <f t="shared" si="46"/>
        <v>0</v>
      </c>
      <c r="J118" s="313">
        <f t="shared" si="46"/>
        <v>0</v>
      </c>
      <c r="K118" s="313">
        <f t="shared" si="46"/>
        <v>0</v>
      </c>
      <c r="L118" s="313">
        <f t="shared" si="46"/>
        <v>0</v>
      </c>
      <c r="M118" s="313">
        <f t="shared" si="46"/>
        <v>0</v>
      </c>
      <c r="N118" s="313">
        <f t="shared" si="46"/>
        <v>0</v>
      </c>
      <c r="O118" s="313">
        <f t="shared" si="46"/>
        <v>0</v>
      </c>
      <c r="P118" s="313">
        <f t="shared" ref="P118:Q118" si="50">P$4*P140</f>
        <v>0</v>
      </c>
      <c r="Q118" s="313">
        <f t="shared" si="50"/>
        <v>0</v>
      </c>
    </row>
    <row r="119" spans="1:33" x14ac:dyDescent="0.2">
      <c r="A119" s="68" t="s">
        <v>84</v>
      </c>
      <c r="E119" s="313">
        <f t="shared" si="46"/>
        <v>0</v>
      </c>
      <c r="F119" s="313">
        <f t="shared" si="46"/>
        <v>0</v>
      </c>
      <c r="G119" s="313">
        <f t="shared" si="46"/>
        <v>0</v>
      </c>
      <c r="H119" s="313">
        <f t="shared" si="46"/>
        <v>0</v>
      </c>
      <c r="I119" s="313">
        <f t="shared" si="46"/>
        <v>0</v>
      </c>
      <c r="J119" s="313">
        <f t="shared" si="46"/>
        <v>0</v>
      </c>
      <c r="K119" s="313">
        <f t="shared" si="46"/>
        <v>0</v>
      </c>
      <c r="L119" s="313">
        <f t="shared" si="46"/>
        <v>0</v>
      </c>
      <c r="M119" s="313">
        <f t="shared" si="46"/>
        <v>0</v>
      </c>
      <c r="N119" s="313">
        <f t="shared" si="46"/>
        <v>0</v>
      </c>
      <c r="O119" s="313">
        <f t="shared" si="46"/>
        <v>0</v>
      </c>
      <c r="P119" s="313">
        <f t="shared" ref="P119:Q119" si="51">P$4*P141</f>
        <v>0</v>
      </c>
      <c r="Q119" s="313">
        <f t="shared" si="51"/>
        <v>0</v>
      </c>
    </row>
    <row r="120" spans="1:33" x14ac:dyDescent="0.2">
      <c r="A120" s="68" t="s">
        <v>85</v>
      </c>
      <c r="E120" s="313">
        <f t="shared" si="46"/>
        <v>0</v>
      </c>
      <c r="F120" s="313">
        <f t="shared" si="46"/>
        <v>0</v>
      </c>
      <c r="G120" s="313">
        <f t="shared" si="46"/>
        <v>0</v>
      </c>
      <c r="H120" s="313">
        <f t="shared" si="46"/>
        <v>0</v>
      </c>
      <c r="I120" s="313">
        <f t="shared" si="46"/>
        <v>0</v>
      </c>
      <c r="J120" s="313">
        <f t="shared" si="46"/>
        <v>0</v>
      </c>
      <c r="K120" s="313">
        <f t="shared" si="46"/>
        <v>0</v>
      </c>
      <c r="L120" s="313">
        <f t="shared" si="46"/>
        <v>0</v>
      </c>
      <c r="M120" s="313">
        <f t="shared" si="46"/>
        <v>0</v>
      </c>
      <c r="N120" s="313">
        <f t="shared" si="46"/>
        <v>0</v>
      </c>
      <c r="O120" s="313">
        <f t="shared" si="46"/>
        <v>0</v>
      </c>
      <c r="P120" s="313">
        <f t="shared" ref="P120:Q120" si="52">P$4*P142</f>
        <v>0</v>
      </c>
      <c r="Q120" s="313">
        <f t="shared" si="52"/>
        <v>0</v>
      </c>
    </row>
    <row r="121" spans="1:33" x14ac:dyDescent="0.2">
      <c r="A121" s="70" t="s">
        <v>88</v>
      </c>
      <c r="D121" s="268">
        <f>D4</f>
        <v>0</v>
      </c>
      <c r="E121" s="313">
        <f t="shared" si="46"/>
        <v>0</v>
      </c>
      <c r="F121" s="313">
        <f t="shared" si="46"/>
        <v>0</v>
      </c>
      <c r="G121" s="313">
        <f t="shared" si="46"/>
        <v>0</v>
      </c>
      <c r="H121" s="313">
        <f t="shared" si="46"/>
        <v>0</v>
      </c>
      <c r="I121" s="313">
        <f t="shared" si="46"/>
        <v>0</v>
      </c>
      <c r="J121" s="313">
        <f t="shared" si="46"/>
        <v>0</v>
      </c>
      <c r="K121" s="313">
        <f t="shared" si="46"/>
        <v>0</v>
      </c>
      <c r="L121" s="313">
        <f t="shared" si="46"/>
        <v>0</v>
      </c>
      <c r="M121" s="313">
        <f t="shared" si="46"/>
        <v>0</v>
      </c>
      <c r="N121" s="313">
        <f t="shared" si="46"/>
        <v>0</v>
      </c>
      <c r="O121" s="313">
        <f t="shared" si="46"/>
        <v>0</v>
      </c>
      <c r="P121" s="313">
        <f t="shared" ref="P121:Q121" si="53">P$4*P143</f>
        <v>0</v>
      </c>
      <c r="Q121" s="313">
        <f t="shared" si="53"/>
        <v>0</v>
      </c>
    </row>
    <row r="122" spans="1:33" x14ac:dyDescent="0.2">
      <c r="A122" s="70"/>
      <c r="Q122" s="264"/>
    </row>
    <row r="123" spans="1:33" x14ac:dyDescent="0.2">
      <c r="A123" s="68" t="s">
        <v>89</v>
      </c>
      <c r="C123" s="261" t="s">
        <v>916</v>
      </c>
      <c r="Q123" s="264"/>
      <c r="T123" s="320" t="s">
        <v>893</v>
      </c>
    </row>
    <row r="124" spans="1:33" x14ac:dyDescent="0.2">
      <c r="A124" s="68" t="s">
        <v>79</v>
      </c>
      <c r="C124" s="320"/>
      <c r="E124" s="313">
        <f>E104+E114</f>
        <v>93.022222222222211</v>
      </c>
      <c r="F124" s="313">
        <f t="shared" ref="F124:O124" si="54">F104+F114</f>
        <v>75.815950920245399</v>
      </c>
      <c r="G124" s="313">
        <f t="shared" si="54"/>
        <v>57.24444444444444</v>
      </c>
      <c r="H124" s="313">
        <f t="shared" si="54"/>
        <v>81.739130434782609</v>
      </c>
      <c r="I124" s="313">
        <f t="shared" si="54"/>
        <v>117.48648648648648</v>
      </c>
      <c r="J124" s="313">
        <f t="shared" si="54"/>
        <v>130.86995515695068</v>
      </c>
      <c r="K124" s="313">
        <f t="shared" si="54"/>
        <v>100.61333333333333</v>
      </c>
      <c r="L124" s="313">
        <f t="shared" si="54"/>
        <v>91.0859375</v>
      </c>
      <c r="M124" s="313">
        <f t="shared" si="54"/>
        <v>117.9639175257732</v>
      </c>
      <c r="N124" s="313">
        <f t="shared" si="54"/>
        <v>102.36686390532545</v>
      </c>
      <c r="O124" s="313">
        <f t="shared" si="54"/>
        <v>140.11363636363635</v>
      </c>
      <c r="P124" s="313">
        <f>P104+P114</f>
        <v>118.54938271604939</v>
      </c>
      <c r="Q124" s="313">
        <f>Q104+Q114</f>
        <v>1226.7232767232767</v>
      </c>
      <c r="T124" s="320">
        <f>$C124*E124</f>
        <v>0</v>
      </c>
      <c r="U124" s="320">
        <f t="shared" ref="U124:AF128" si="55">$C124*F124</f>
        <v>0</v>
      </c>
      <c r="V124" s="320">
        <f t="shared" si="55"/>
        <v>0</v>
      </c>
      <c r="W124" s="320">
        <f t="shared" si="55"/>
        <v>0</v>
      </c>
      <c r="X124" s="320">
        <f t="shared" si="55"/>
        <v>0</v>
      </c>
      <c r="Y124" s="320">
        <f t="shared" si="55"/>
        <v>0</v>
      </c>
      <c r="Z124" s="320">
        <f t="shared" si="55"/>
        <v>0</v>
      </c>
      <c r="AA124" s="320">
        <f t="shared" si="55"/>
        <v>0</v>
      </c>
      <c r="AB124" s="320">
        <f t="shared" si="55"/>
        <v>0</v>
      </c>
      <c r="AC124" s="320">
        <f t="shared" si="55"/>
        <v>0</v>
      </c>
      <c r="AD124" s="320">
        <f t="shared" si="55"/>
        <v>0</v>
      </c>
      <c r="AE124" s="320">
        <f t="shared" si="55"/>
        <v>0</v>
      </c>
      <c r="AF124" s="320">
        <f t="shared" si="55"/>
        <v>0</v>
      </c>
      <c r="AG124" s="320">
        <f>SUM(T124:AE124)</f>
        <v>0</v>
      </c>
    </row>
    <row r="125" spans="1:33" x14ac:dyDescent="0.2">
      <c r="A125" s="68" t="s">
        <v>80</v>
      </c>
      <c r="C125" s="320"/>
      <c r="E125" s="313">
        <f t="shared" ref="E125:O131" si="56">E105+E115</f>
        <v>0</v>
      </c>
      <c r="F125" s="313">
        <f t="shared" si="56"/>
        <v>0</v>
      </c>
      <c r="G125" s="313">
        <f t="shared" si="56"/>
        <v>3.0666666666666669</v>
      </c>
      <c r="H125" s="313">
        <f t="shared" si="56"/>
        <v>0</v>
      </c>
      <c r="I125" s="313">
        <f t="shared" si="56"/>
        <v>0</v>
      </c>
      <c r="J125" s="313">
        <f t="shared" si="56"/>
        <v>0</v>
      </c>
      <c r="K125" s="313">
        <f t="shared" si="56"/>
        <v>0</v>
      </c>
      <c r="L125" s="313">
        <f t="shared" si="56"/>
        <v>0</v>
      </c>
      <c r="M125" s="313">
        <f t="shared" si="56"/>
        <v>2.0515463917525771</v>
      </c>
      <c r="N125" s="313">
        <f t="shared" si="56"/>
        <v>4.0946745562130173</v>
      </c>
      <c r="O125" s="313">
        <f t="shared" si="56"/>
        <v>1.0227272727272727</v>
      </c>
      <c r="P125" s="313">
        <f t="shared" ref="P125:Q125" si="57">P105+P115</f>
        <v>2.0617283950617282</v>
      </c>
      <c r="Q125" s="313">
        <f t="shared" si="57"/>
        <v>12.287712287712287</v>
      </c>
      <c r="T125" s="320">
        <f t="shared" ref="T125:T128" si="58">$C125*E125</f>
        <v>0</v>
      </c>
      <c r="U125" s="320">
        <f t="shared" si="55"/>
        <v>0</v>
      </c>
      <c r="V125" s="320">
        <f t="shared" si="55"/>
        <v>0</v>
      </c>
      <c r="W125" s="320">
        <f t="shared" si="55"/>
        <v>0</v>
      </c>
      <c r="X125" s="320">
        <f t="shared" si="55"/>
        <v>0</v>
      </c>
      <c r="Y125" s="320">
        <f t="shared" si="55"/>
        <v>0</v>
      </c>
      <c r="Z125" s="320">
        <f t="shared" si="55"/>
        <v>0</v>
      </c>
      <c r="AA125" s="320">
        <f t="shared" si="55"/>
        <v>0</v>
      </c>
      <c r="AB125" s="320">
        <f t="shared" si="55"/>
        <v>0</v>
      </c>
      <c r="AC125" s="320">
        <f t="shared" si="55"/>
        <v>0</v>
      </c>
      <c r="AD125" s="320">
        <f t="shared" si="55"/>
        <v>0</v>
      </c>
      <c r="AE125" s="320">
        <f t="shared" si="55"/>
        <v>0</v>
      </c>
      <c r="AF125" s="320">
        <f t="shared" si="55"/>
        <v>0</v>
      </c>
      <c r="AG125" s="320">
        <f t="shared" ref="AG125:AG128" si="59">SUM(T125:AE125)</f>
        <v>0</v>
      </c>
    </row>
    <row r="126" spans="1:33" x14ac:dyDescent="0.2">
      <c r="A126" s="68" t="s">
        <v>81</v>
      </c>
      <c r="C126" s="320"/>
      <c r="E126" s="313">
        <f t="shared" si="56"/>
        <v>4.0888888888888895</v>
      </c>
      <c r="F126" s="313">
        <f t="shared" si="56"/>
        <v>12.294478527607362</v>
      </c>
      <c r="G126" s="313">
        <f t="shared" si="56"/>
        <v>6.1333333333333337</v>
      </c>
      <c r="H126" s="313">
        <f t="shared" si="56"/>
        <v>9.195652173913043</v>
      </c>
      <c r="I126" s="313">
        <f t="shared" si="56"/>
        <v>19.410810810810812</v>
      </c>
      <c r="J126" s="313">
        <f t="shared" si="56"/>
        <v>10.224215246636771</v>
      </c>
      <c r="K126" s="313">
        <f t="shared" si="56"/>
        <v>5.1333333333333329</v>
      </c>
      <c r="L126" s="313">
        <f t="shared" si="56"/>
        <v>4.09375</v>
      </c>
      <c r="M126" s="313">
        <f t="shared" si="56"/>
        <v>7.18041237113402</v>
      </c>
      <c r="N126" s="313">
        <f t="shared" si="56"/>
        <v>0</v>
      </c>
      <c r="O126" s="313">
        <f t="shared" si="56"/>
        <v>25.568181818181817</v>
      </c>
      <c r="P126" s="313">
        <f t="shared" ref="P126:Q126" si="60">P106+P116</f>
        <v>12.37037037037037</v>
      </c>
      <c r="Q126" s="313">
        <f t="shared" si="60"/>
        <v>115.7092907092907</v>
      </c>
      <c r="T126" s="320">
        <f t="shared" si="58"/>
        <v>0</v>
      </c>
      <c r="U126" s="320">
        <f t="shared" si="55"/>
        <v>0</v>
      </c>
      <c r="V126" s="320">
        <f t="shared" si="55"/>
        <v>0</v>
      </c>
      <c r="W126" s="320">
        <f t="shared" si="55"/>
        <v>0</v>
      </c>
      <c r="X126" s="320">
        <f t="shared" si="55"/>
        <v>0</v>
      </c>
      <c r="Y126" s="320">
        <f t="shared" si="55"/>
        <v>0</v>
      </c>
      <c r="Z126" s="320">
        <f t="shared" si="55"/>
        <v>0</v>
      </c>
      <c r="AA126" s="320">
        <f t="shared" si="55"/>
        <v>0</v>
      </c>
      <c r="AB126" s="320">
        <f t="shared" si="55"/>
        <v>0</v>
      </c>
      <c r="AC126" s="320">
        <f t="shared" si="55"/>
        <v>0</v>
      </c>
      <c r="AD126" s="320">
        <f t="shared" si="55"/>
        <v>0</v>
      </c>
      <c r="AE126" s="320">
        <f t="shared" si="55"/>
        <v>0</v>
      </c>
      <c r="AF126" s="320">
        <f t="shared" si="55"/>
        <v>0</v>
      </c>
      <c r="AG126" s="320">
        <f t="shared" si="59"/>
        <v>0</v>
      </c>
    </row>
    <row r="127" spans="1:33" x14ac:dyDescent="0.2">
      <c r="A127" s="68" t="s">
        <v>82</v>
      </c>
      <c r="C127" s="320"/>
      <c r="E127" s="313">
        <f t="shared" si="56"/>
        <v>21.466666666666669</v>
      </c>
      <c r="F127" s="313">
        <f t="shared" si="56"/>
        <v>48.153374233128837</v>
      </c>
      <c r="G127" s="313">
        <f t="shared" si="56"/>
        <v>37.822222222222223</v>
      </c>
      <c r="H127" s="313">
        <f t="shared" si="56"/>
        <v>33.717391304347828</v>
      </c>
      <c r="I127" s="313">
        <f t="shared" si="56"/>
        <v>18.389189189189189</v>
      </c>
      <c r="J127" s="313">
        <f t="shared" si="56"/>
        <v>24.538116591928251</v>
      </c>
      <c r="K127" s="313">
        <f t="shared" si="56"/>
        <v>24.64</v>
      </c>
      <c r="L127" s="313">
        <f t="shared" si="56"/>
        <v>27.6328125</v>
      </c>
      <c r="M127" s="313">
        <f t="shared" si="56"/>
        <v>25.644329896907212</v>
      </c>
      <c r="N127" s="313">
        <f t="shared" si="56"/>
        <v>22.520710059171599</v>
      </c>
      <c r="O127" s="313">
        <f t="shared" si="56"/>
        <v>37.840909090909093</v>
      </c>
      <c r="P127" s="313">
        <f t="shared" ref="P127:Q127" si="61">P107+P117</f>
        <v>25.771604938271604</v>
      </c>
      <c r="Q127" s="313">
        <f t="shared" si="61"/>
        <v>348.15184815184813</v>
      </c>
      <c r="T127" s="320">
        <f t="shared" si="58"/>
        <v>0</v>
      </c>
      <c r="U127" s="320">
        <f t="shared" si="55"/>
        <v>0</v>
      </c>
      <c r="V127" s="320">
        <f t="shared" si="55"/>
        <v>0</v>
      </c>
      <c r="W127" s="320">
        <f t="shared" si="55"/>
        <v>0</v>
      </c>
      <c r="X127" s="320">
        <f t="shared" si="55"/>
        <v>0</v>
      </c>
      <c r="Y127" s="320">
        <f t="shared" si="55"/>
        <v>0</v>
      </c>
      <c r="Z127" s="320">
        <f t="shared" si="55"/>
        <v>0</v>
      </c>
      <c r="AA127" s="320">
        <f t="shared" si="55"/>
        <v>0</v>
      </c>
      <c r="AB127" s="320">
        <f t="shared" si="55"/>
        <v>0</v>
      </c>
      <c r="AC127" s="320">
        <f t="shared" si="55"/>
        <v>0</v>
      </c>
      <c r="AD127" s="320">
        <f t="shared" si="55"/>
        <v>0</v>
      </c>
      <c r="AE127" s="320">
        <f t="shared" si="55"/>
        <v>0</v>
      </c>
      <c r="AF127" s="320">
        <f t="shared" si="55"/>
        <v>0</v>
      </c>
      <c r="AG127" s="320">
        <f t="shared" si="59"/>
        <v>0</v>
      </c>
    </row>
    <row r="128" spans="1:33" x14ac:dyDescent="0.2">
      <c r="A128" s="68" t="s">
        <v>83</v>
      </c>
      <c r="C128" s="321"/>
      <c r="E128" s="313">
        <f t="shared" si="56"/>
        <v>14.31111111111111</v>
      </c>
      <c r="F128" s="313">
        <f t="shared" si="56"/>
        <v>8.1963190184049086</v>
      </c>
      <c r="G128" s="313">
        <f t="shared" si="56"/>
        <v>11.244444444444445</v>
      </c>
      <c r="H128" s="313">
        <f t="shared" si="56"/>
        <v>8.1739130434782616</v>
      </c>
      <c r="I128" s="313">
        <f t="shared" si="56"/>
        <v>2.0432432432432432</v>
      </c>
      <c r="J128" s="313">
        <f t="shared" si="56"/>
        <v>15.336322869955158</v>
      </c>
      <c r="K128" s="313">
        <f t="shared" si="56"/>
        <v>7.1866666666666674</v>
      </c>
      <c r="L128" s="313">
        <f t="shared" si="56"/>
        <v>3.0703125</v>
      </c>
      <c r="M128" s="313">
        <f t="shared" si="56"/>
        <v>12.309278350515465</v>
      </c>
      <c r="N128" s="313">
        <f t="shared" si="56"/>
        <v>2.0473372781065087</v>
      </c>
      <c r="O128" s="313">
        <f t="shared" si="56"/>
        <v>2.0454545454545454</v>
      </c>
      <c r="P128" s="313">
        <f t="shared" ref="P128:Q128" si="62">P108+P118</f>
        <v>0</v>
      </c>
      <c r="Q128" s="313">
        <f t="shared" si="62"/>
        <v>86.013986013986013</v>
      </c>
      <c r="T128" s="320">
        <f t="shared" si="58"/>
        <v>0</v>
      </c>
      <c r="U128" s="320">
        <f t="shared" si="55"/>
        <v>0</v>
      </c>
      <c r="V128" s="320">
        <f t="shared" si="55"/>
        <v>0</v>
      </c>
      <c r="W128" s="320">
        <f t="shared" si="55"/>
        <v>0</v>
      </c>
      <c r="X128" s="320">
        <f t="shared" si="55"/>
        <v>0</v>
      </c>
      <c r="Y128" s="320">
        <f t="shared" si="55"/>
        <v>0</v>
      </c>
      <c r="Z128" s="320">
        <f t="shared" si="55"/>
        <v>0</v>
      </c>
      <c r="AA128" s="320">
        <f t="shared" si="55"/>
        <v>0</v>
      </c>
      <c r="AB128" s="320">
        <f t="shared" si="55"/>
        <v>0</v>
      </c>
      <c r="AC128" s="320">
        <f t="shared" si="55"/>
        <v>0</v>
      </c>
      <c r="AD128" s="320">
        <f t="shared" si="55"/>
        <v>0</v>
      </c>
      <c r="AE128" s="320">
        <f t="shared" si="55"/>
        <v>0</v>
      </c>
      <c r="AF128" s="320">
        <f t="shared" si="55"/>
        <v>0</v>
      </c>
      <c r="AG128" s="324">
        <f t="shared" si="59"/>
        <v>0</v>
      </c>
    </row>
    <row r="129" spans="1:33" x14ac:dyDescent="0.2">
      <c r="A129" s="68" t="s">
        <v>84</v>
      </c>
      <c r="E129" s="313">
        <f t="shared" si="56"/>
        <v>3.0666666666666669</v>
      </c>
      <c r="F129" s="313">
        <f t="shared" si="56"/>
        <v>3.0736196319018405</v>
      </c>
      <c r="G129" s="313">
        <f t="shared" si="56"/>
        <v>13.28888888888889</v>
      </c>
      <c r="H129" s="313">
        <f t="shared" si="56"/>
        <v>1.0217391304347827</v>
      </c>
      <c r="I129" s="313">
        <f t="shared" si="56"/>
        <v>26.562162162162164</v>
      </c>
      <c r="J129" s="313">
        <f t="shared" si="56"/>
        <v>3.0672645739910314</v>
      </c>
      <c r="K129" s="313">
        <f t="shared" si="56"/>
        <v>5.1333333333333329</v>
      </c>
      <c r="L129" s="313">
        <f t="shared" si="56"/>
        <v>1.0234375</v>
      </c>
      <c r="M129" s="313">
        <f t="shared" si="56"/>
        <v>27.695876288659793</v>
      </c>
      <c r="N129" s="313">
        <f t="shared" si="56"/>
        <v>19.449704142011836</v>
      </c>
      <c r="O129" s="313">
        <f t="shared" si="56"/>
        <v>10.227272727272728</v>
      </c>
      <c r="P129" s="313">
        <f t="shared" ref="P129:Q129" si="63">P109+P119</f>
        <v>0</v>
      </c>
      <c r="Q129" s="313">
        <f t="shared" si="63"/>
        <v>113.66133866133866</v>
      </c>
      <c r="V129" s="2"/>
      <c r="W129" s="2"/>
      <c r="X129" s="2"/>
      <c r="Y129" s="2"/>
      <c r="Z129" s="2"/>
      <c r="AA129" s="2"/>
      <c r="AB129" s="2"/>
      <c r="AC129" s="2"/>
      <c r="AD129" s="2"/>
      <c r="AE129" s="2"/>
      <c r="AF129" s="2"/>
    </row>
    <row r="130" spans="1:33" x14ac:dyDescent="0.2">
      <c r="A130" s="68" t="s">
        <v>85</v>
      </c>
      <c r="C130" s="321"/>
      <c r="E130" s="313">
        <f t="shared" si="56"/>
        <v>2.0444444444444447</v>
      </c>
      <c r="F130" s="313">
        <f t="shared" si="56"/>
        <v>19.466257668711656</v>
      </c>
      <c r="G130" s="313">
        <f t="shared" si="56"/>
        <v>9.1999999999999993</v>
      </c>
      <c r="H130" s="313">
        <f t="shared" si="56"/>
        <v>7.1521739130434785</v>
      </c>
      <c r="I130" s="313">
        <f t="shared" si="56"/>
        <v>5.1081081081081088</v>
      </c>
      <c r="J130" s="313">
        <f t="shared" si="56"/>
        <v>43.964125560538115</v>
      </c>
      <c r="K130" s="313">
        <f t="shared" si="56"/>
        <v>11.293333333333333</v>
      </c>
      <c r="L130" s="313">
        <f t="shared" si="56"/>
        <v>4.09375</v>
      </c>
      <c r="M130" s="313">
        <f t="shared" si="56"/>
        <v>6.1546391752577323</v>
      </c>
      <c r="N130" s="313">
        <f t="shared" si="56"/>
        <v>22.520710059171599</v>
      </c>
      <c r="O130" s="313">
        <f t="shared" si="56"/>
        <v>8.1818181818181817</v>
      </c>
      <c r="P130" s="313">
        <f t="shared" ref="P130:Q130" si="64">P110+P120</f>
        <v>8.2469135802469129</v>
      </c>
      <c r="Q130" s="313">
        <f t="shared" si="64"/>
        <v>147.45254745254746</v>
      </c>
      <c r="T130" s="320">
        <f t="shared" ref="T130" si="65">$C130*E130</f>
        <v>0</v>
      </c>
      <c r="U130" s="320">
        <f t="shared" ref="U130" si="66">$C130*F130</f>
        <v>0</v>
      </c>
      <c r="V130" s="320">
        <f t="shared" ref="V130" si="67">$C130*G130</f>
        <v>0</v>
      </c>
      <c r="W130" s="320">
        <f t="shared" ref="W130" si="68">$C130*H130</f>
        <v>0</v>
      </c>
      <c r="X130" s="320">
        <f t="shared" ref="X130" si="69">$C130*I130</f>
        <v>0</v>
      </c>
      <c r="Y130" s="320">
        <f t="shared" ref="Y130" si="70">$C130*J130</f>
        <v>0</v>
      </c>
      <c r="Z130" s="320">
        <f t="shared" ref="Z130" si="71">$C130*K130</f>
        <v>0</v>
      </c>
      <c r="AA130" s="320">
        <f t="shared" ref="AA130" si="72">$C130*L130</f>
        <v>0</v>
      </c>
      <c r="AB130" s="320">
        <f t="shared" ref="AB130" si="73">$C130*M130</f>
        <v>0</v>
      </c>
      <c r="AC130" s="320">
        <f t="shared" ref="AC130" si="74">$C130*N130</f>
        <v>0</v>
      </c>
      <c r="AD130" s="320">
        <f t="shared" ref="AD130" si="75">$C130*O130</f>
        <v>0</v>
      </c>
      <c r="AE130" s="320">
        <f t="shared" ref="AE130" si="76">$C130*P130</f>
        <v>0</v>
      </c>
      <c r="AF130" s="320">
        <f t="shared" ref="AF130" si="77">$C130*Q130</f>
        <v>0</v>
      </c>
      <c r="AG130" s="324">
        <f t="shared" ref="AG130" si="78">SUM(T130:AE130)</f>
        <v>0</v>
      </c>
    </row>
    <row r="131" spans="1:33" x14ac:dyDescent="0.2">
      <c r="A131" s="70" t="s">
        <v>90</v>
      </c>
      <c r="D131" s="268">
        <f>D111+D121</f>
        <v>2050</v>
      </c>
      <c r="E131" s="313">
        <f t="shared" si="56"/>
        <v>138</v>
      </c>
      <c r="F131" s="313">
        <f t="shared" si="56"/>
        <v>167</v>
      </c>
      <c r="G131" s="313">
        <f t="shared" si="56"/>
        <v>138</v>
      </c>
      <c r="H131" s="313">
        <f t="shared" si="56"/>
        <v>141</v>
      </c>
      <c r="I131" s="313">
        <f t="shared" si="56"/>
        <v>189</v>
      </c>
      <c r="J131" s="313">
        <f t="shared" si="56"/>
        <v>228</v>
      </c>
      <c r="K131" s="313">
        <f t="shared" si="56"/>
        <v>154</v>
      </c>
      <c r="L131" s="313">
        <f t="shared" si="56"/>
        <v>131</v>
      </c>
      <c r="M131" s="313">
        <f t="shared" si="56"/>
        <v>198.99999999999997</v>
      </c>
      <c r="N131" s="313">
        <f t="shared" si="56"/>
        <v>173</v>
      </c>
      <c r="O131" s="313">
        <f t="shared" si="56"/>
        <v>224.99999999999997</v>
      </c>
      <c r="P131" s="313">
        <f t="shared" ref="P131:Q131" si="79">P111+P121</f>
        <v>167</v>
      </c>
      <c r="Q131" s="313">
        <f t="shared" si="79"/>
        <v>2050</v>
      </c>
      <c r="V131" s="2"/>
      <c r="W131" s="2"/>
      <c r="X131" s="2"/>
      <c r="Y131" s="2"/>
      <c r="Z131" s="2"/>
      <c r="AA131" s="2"/>
      <c r="AB131" s="2"/>
      <c r="AC131" s="2"/>
      <c r="AD131" s="2"/>
      <c r="AE131" s="2"/>
      <c r="AF131" s="2"/>
    </row>
    <row r="132" spans="1:33" x14ac:dyDescent="0.2">
      <c r="A132" s="70" t="s">
        <v>50</v>
      </c>
      <c r="B132" s="310" t="s">
        <v>674</v>
      </c>
      <c r="C132" s="321"/>
      <c r="D132" s="268">
        <f>D3</f>
        <v>2036</v>
      </c>
      <c r="E132" s="36">
        <f>E3</f>
        <v>163</v>
      </c>
      <c r="F132" s="36">
        <f t="shared" ref="F132:O132" si="80">F3</f>
        <v>110</v>
      </c>
      <c r="G132" s="36">
        <f t="shared" si="80"/>
        <v>144</v>
      </c>
      <c r="H132" s="36">
        <f t="shared" si="80"/>
        <v>144</v>
      </c>
      <c r="I132" s="36">
        <f t="shared" si="80"/>
        <v>144</v>
      </c>
      <c r="J132" s="36">
        <f t="shared" si="80"/>
        <v>193</v>
      </c>
      <c r="K132" s="36">
        <f t="shared" si="80"/>
        <v>125</v>
      </c>
      <c r="L132" s="36">
        <f t="shared" si="80"/>
        <v>156</v>
      </c>
      <c r="M132" s="36">
        <f t="shared" si="80"/>
        <v>147</v>
      </c>
      <c r="N132" s="36">
        <f t="shared" si="80"/>
        <v>274</v>
      </c>
      <c r="O132" s="36">
        <f t="shared" si="80"/>
        <v>212</v>
      </c>
      <c r="P132" s="36">
        <f>P3</f>
        <v>224</v>
      </c>
      <c r="Q132" s="36">
        <f>Q3</f>
        <v>2036</v>
      </c>
      <c r="T132" s="320">
        <f>$C132*E132</f>
        <v>0</v>
      </c>
      <c r="U132" s="320">
        <f t="shared" ref="U132:AF132" si="81">$C132*F132</f>
        <v>0</v>
      </c>
      <c r="V132" s="320">
        <f t="shared" si="81"/>
        <v>0</v>
      </c>
      <c r="W132" s="320">
        <f t="shared" si="81"/>
        <v>0</v>
      </c>
      <c r="X132" s="320">
        <f t="shared" si="81"/>
        <v>0</v>
      </c>
      <c r="Y132" s="320">
        <f t="shared" si="81"/>
        <v>0</v>
      </c>
      <c r="Z132" s="320">
        <f t="shared" si="81"/>
        <v>0</v>
      </c>
      <c r="AA132" s="320">
        <f t="shared" si="81"/>
        <v>0</v>
      </c>
      <c r="AB132" s="320">
        <f t="shared" si="81"/>
        <v>0</v>
      </c>
      <c r="AC132" s="320">
        <f t="shared" si="81"/>
        <v>0</v>
      </c>
      <c r="AD132" s="320">
        <f t="shared" si="81"/>
        <v>0</v>
      </c>
      <c r="AE132" s="320">
        <f t="shared" si="81"/>
        <v>0</v>
      </c>
      <c r="AF132" s="320">
        <f t="shared" si="81"/>
        <v>0</v>
      </c>
      <c r="AG132" s="320">
        <f>SUM(T132:AE132)</f>
        <v>0</v>
      </c>
    </row>
    <row r="133" spans="1:33" x14ac:dyDescent="0.2">
      <c r="A133" s="69" t="s">
        <v>77</v>
      </c>
      <c r="D133" s="268">
        <f>D131+D132</f>
        <v>4086</v>
      </c>
      <c r="E133" s="313">
        <f>E131+E132</f>
        <v>301</v>
      </c>
      <c r="F133" s="313">
        <f t="shared" ref="F133:O133" si="82">F131+F132</f>
        <v>277</v>
      </c>
      <c r="G133" s="313">
        <f t="shared" si="82"/>
        <v>282</v>
      </c>
      <c r="H133" s="313">
        <f t="shared" si="82"/>
        <v>285</v>
      </c>
      <c r="I133" s="313">
        <f t="shared" si="82"/>
        <v>333</v>
      </c>
      <c r="J133" s="313">
        <f t="shared" si="82"/>
        <v>421</v>
      </c>
      <c r="K133" s="313">
        <f t="shared" si="82"/>
        <v>279</v>
      </c>
      <c r="L133" s="313">
        <f t="shared" si="82"/>
        <v>287</v>
      </c>
      <c r="M133" s="313">
        <f t="shared" si="82"/>
        <v>346</v>
      </c>
      <c r="N133" s="313">
        <f t="shared" si="82"/>
        <v>447</v>
      </c>
      <c r="O133" s="313">
        <f t="shared" si="82"/>
        <v>437</v>
      </c>
      <c r="P133" s="313">
        <f>P131+P132</f>
        <v>391</v>
      </c>
      <c r="Q133" s="313">
        <f>Q131+Q132</f>
        <v>4086</v>
      </c>
    </row>
    <row r="135" spans="1:33" x14ac:dyDescent="0.2">
      <c r="A135" s="68" t="s">
        <v>91</v>
      </c>
    </row>
    <row r="136" spans="1:33" x14ac:dyDescent="0.2">
      <c r="A136" s="68" t="s">
        <v>79</v>
      </c>
      <c r="D136" s="261"/>
      <c r="E136" s="261">
        <f>'STATS 2017'!C123</f>
        <v>0.67407407407407405</v>
      </c>
      <c r="F136" s="261">
        <f>'STATS 2017'!D123</f>
        <v>0.45398773006134968</v>
      </c>
      <c r="G136" s="261">
        <f>'STATS 2017'!E123</f>
        <v>0.4148148148148148</v>
      </c>
      <c r="H136" s="261">
        <f>'STATS 2017'!F123</f>
        <v>0.57971014492753625</v>
      </c>
      <c r="I136" s="261">
        <f>'STATS 2017'!G123</f>
        <v>0.6216216216216216</v>
      </c>
      <c r="J136" s="261">
        <f>'STATS 2017'!H123</f>
        <v>0.57399103139013452</v>
      </c>
      <c r="K136" s="261">
        <f>'STATS 2017'!I123</f>
        <v>0.65333333333333332</v>
      </c>
      <c r="L136" s="261">
        <f>'STATS 2017'!J123</f>
        <v>0.6953125</v>
      </c>
      <c r="M136" s="261">
        <f>'STATS 2017'!K123</f>
        <v>0.59278350515463918</v>
      </c>
      <c r="N136" s="261">
        <f>'STATS 2017'!L123</f>
        <v>0.59171597633136097</v>
      </c>
      <c r="O136" s="261">
        <f>'STATS 2017'!M123</f>
        <v>0.62272727272727268</v>
      </c>
      <c r="P136" s="261">
        <f>'STATS 2017'!N123</f>
        <v>0.70987654320987659</v>
      </c>
      <c r="Q136" s="477">
        <f>'STATS 2017'!O123</f>
        <v>0.59840159840159846</v>
      </c>
      <c r="R136" s="261"/>
      <c r="S136" s="261"/>
      <c r="T136" s="261"/>
    </row>
    <row r="137" spans="1:33" x14ac:dyDescent="0.2">
      <c r="A137" s="68" t="s">
        <v>80</v>
      </c>
      <c r="D137" s="261"/>
      <c r="E137" s="261">
        <f>'STATS 2017'!C124</f>
        <v>0</v>
      </c>
      <c r="F137" s="261">
        <f>'STATS 2017'!D124</f>
        <v>0</v>
      </c>
      <c r="G137" s="261">
        <f>'STATS 2017'!E124</f>
        <v>2.2222222222222223E-2</v>
      </c>
      <c r="H137" s="261">
        <f>'STATS 2017'!F124</f>
        <v>0</v>
      </c>
      <c r="I137" s="261">
        <f>'STATS 2017'!G124</f>
        <v>0</v>
      </c>
      <c r="J137" s="261">
        <f>'STATS 2017'!H124</f>
        <v>0</v>
      </c>
      <c r="K137" s="261">
        <f>'STATS 2017'!I124</f>
        <v>0</v>
      </c>
      <c r="L137" s="261">
        <f>'STATS 2017'!J124</f>
        <v>0</v>
      </c>
      <c r="M137" s="261">
        <f>'STATS 2017'!K124</f>
        <v>1.0309278350515464E-2</v>
      </c>
      <c r="N137" s="261">
        <f>'STATS 2017'!L124</f>
        <v>2.3668639053254437E-2</v>
      </c>
      <c r="O137" s="261">
        <f>'STATS 2017'!M124</f>
        <v>4.5454545454545452E-3</v>
      </c>
      <c r="P137" s="261">
        <f>'STATS 2017'!N124</f>
        <v>1.2345679012345678E-2</v>
      </c>
      <c r="Q137" s="477">
        <f>'STATS 2017'!O124</f>
        <v>5.994005994005994E-3</v>
      </c>
      <c r="R137" s="261"/>
      <c r="S137" s="261"/>
      <c r="T137" s="261"/>
    </row>
    <row r="138" spans="1:33" x14ac:dyDescent="0.2">
      <c r="A138" s="68" t="s">
        <v>81</v>
      </c>
      <c r="D138" s="261"/>
      <c r="E138" s="261">
        <f>'STATS 2017'!C125</f>
        <v>2.9629629629629631E-2</v>
      </c>
      <c r="F138" s="261">
        <f>'STATS 2017'!D125</f>
        <v>7.3619631901840496E-2</v>
      </c>
      <c r="G138" s="261">
        <f>'STATS 2017'!E125</f>
        <v>4.4444444444444446E-2</v>
      </c>
      <c r="H138" s="261">
        <f>'STATS 2017'!F125</f>
        <v>6.5217391304347824E-2</v>
      </c>
      <c r="I138" s="261">
        <f>'STATS 2017'!G125</f>
        <v>0.10270270270270271</v>
      </c>
      <c r="J138" s="261">
        <f>'STATS 2017'!H125</f>
        <v>4.4843049327354258E-2</v>
      </c>
      <c r="K138" s="261">
        <f>'STATS 2017'!I125</f>
        <v>3.3333333333333333E-2</v>
      </c>
      <c r="L138" s="261">
        <f>'STATS 2017'!J125</f>
        <v>3.125E-2</v>
      </c>
      <c r="M138" s="261">
        <f>'STATS 2017'!K125</f>
        <v>3.608247422680412E-2</v>
      </c>
      <c r="N138" s="261">
        <f>'STATS 2017'!L125</f>
        <v>0</v>
      </c>
      <c r="O138" s="261">
        <f>'STATS 2017'!M125</f>
        <v>0.11363636363636363</v>
      </c>
      <c r="P138" s="261">
        <f>'STATS 2017'!N125</f>
        <v>7.407407407407407E-2</v>
      </c>
      <c r="Q138" s="477">
        <f>'STATS 2017'!O125</f>
        <v>5.644355644355644E-2</v>
      </c>
      <c r="R138" s="261"/>
      <c r="S138" s="261"/>
      <c r="T138" s="261"/>
    </row>
    <row r="139" spans="1:33" x14ac:dyDescent="0.2">
      <c r="A139" s="68" t="s">
        <v>82</v>
      </c>
      <c r="D139" s="261"/>
      <c r="E139" s="261">
        <f>'STATS 2017'!C126</f>
        <v>0.15555555555555556</v>
      </c>
      <c r="F139" s="261">
        <f>'STATS 2017'!D126</f>
        <v>0.28834355828220859</v>
      </c>
      <c r="G139" s="261">
        <f>'STATS 2017'!E126</f>
        <v>0.27407407407407408</v>
      </c>
      <c r="H139" s="261">
        <f>'STATS 2017'!F126</f>
        <v>0.2391304347826087</v>
      </c>
      <c r="I139" s="261">
        <f>'STATS 2017'!G126</f>
        <v>9.7297297297297303E-2</v>
      </c>
      <c r="J139" s="261">
        <f>'STATS 2017'!H126</f>
        <v>0.10762331838565023</v>
      </c>
      <c r="K139" s="261">
        <f>'STATS 2017'!I126</f>
        <v>0.16</v>
      </c>
      <c r="L139" s="261">
        <f>'STATS 2017'!J126</f>
        <v>0.2109375</v>
      </c>
      <c r="M139" s="261">
        <f>'STATS 2017'!K126</f>
        <v>0.12886597938144329</v>
      </c>
      <c r="N139" s="261">
        <f>'STATS 2017'!L126</f>
        <v>0.13017751479289941</v>
      </c>
      <c r="O139" s="261">
        <f>'STATS 2017'!M126</f>
        <v>0.16818181818181818</v>
      </c>
      <c r="P139" s="261">
        <f>'STATS 2017'!N126</f>
        <v>0.15432098765432098</v>
      </c>
      <c r="Q139" s="477">
        <f>'STATS 2017'!O126</f>
        <v>0.16983016983016982</v>
      </c>
      <c r="R139" s="261"/>
      <c r="S139" s="261"/>
      <c r="T139" s="261"/>
    </row>
    <row r="140" spans="1:33" x14ac:dyDescent="0.2">
      <c r="A140" s="68" t="s">
        <v>83</v>
      </c>
      <c r="D140" s="261"/>
      <c r="E140" s="261">
        <f>'STATS 2017'!C127</f>
        <v>0.1037037037037037</v>
      </c>
      <c r="F140" s="261">
        <f>'STATS 2017'!D127</f>
        <v>4.9079754601226995E-2</v>
      </c>
      <c r="G140" s="261">
        <f>'STATS 2017'!E127</f>
        <v>8.1481481481481488E-2</v>
      </c>
      <c r="H140" s="261">
        <f>'STATS 2017'!F127</f>
        <v>5.7971014492753624E-2</v>
      </c>
      <c r="I140" s="261">
        <f>'STATS 2017'!G127</f>
        <v>1.0810810810810811E-2</v>
      </c>
      <c r="J140" s="261">
        <f>'STATS 2017'!H127</f>
        <v>6.726457399103139E-2</v>
      </c>
      <c r="K140" s="261">
        <f>'STATS 2017'!I127</f>
        <v>4.6666666666666669E-2</v>
      </c>
      <c r="L140" s="261">
        <f>'STATS 2017'!J127</f>
        <v>2.34375E-2</v>
      </c>
      <c r="M140" s="261">
        <f>'STATS 2017'!K127</f>
        <v>6.1855670103092786E-2</v>
      </c>
      <c r="N140" s="261">
        <f>'STATS 2017'!L127</f>
        <v>1.1834319526627219E-2</v>
      </c>
      <c r="O140" s="261">
        <f>'STATS 2017'!M127</f>
        <v>9.0909090909090905E-3</v>
      </c>
      <c r="P140" s="261">
        <f>'STATS 2017'!N127</f>
        <v>0</v>
      </c>
      <c r="Q140" s="477">
        <f>'STATS 2017'!O127</f>
        <v>4.195804195804196E-2</v>
      </c>
      <c r="R140" s="261"/>
      <c r="S140" s="261"/>
      <c r="T140" s="261"/>
    </row>
    <row r="141" spans="1:33" x14ac:dyDescent="0.2">
      <c r="A141" s="68" t="s">
        <v>84</v>
      </c>
      <c r="D141" s="261"/>
      <c r="E141" s="261">
        <f>'STATS 2017'!C128</f>
        <v>2.2222222222222223E-2</v>
      </c>
      <c r="F141" s="261">
        <f>'STATS 2017'!D128</f>
        <v>1.8404907975460124E-2</v>
      </c>
      <c r="G141" s="261">
        <f>'STATS 2017'!E128</f>
        <v>9.6296296296296297E-2</v>
      </c>
      <c r="H141" s="261">
        <f>'STATS 2017'!F128</f>
        <v>7.246376811594203E-3</v>
      </c>
      <c r="I141" s="261">
        <f>'STATS 2017'!G128</f>
        <v>0.14054054054054055</v>
      </c>
      <c r="J141" s="261">
        <f>'STATS 2017'!H128</f>
        <v>1.3452914798206279E-2</v>
      </c>
      <c r="K141" s="261">
        <f>'STATS 2017'!I128</f>
        <v>3.3333333333333333E-2</v>
      </c>
      <c r="L141" s="261">
        <f>'STATS 2017'!J128</f>
        <v>7.8125E-3</v>
      </c>
      <c r="M141" s="261">
        <f>'STATS 2017'!K128</f>
        <v>0.13917525773195877</v>
      </c>
      <c r="N141" s="261">
        <f>'STATS 2017'!L128</f>
        <v>0.11242603550295859</v>
      </c>
      <c r="O141" s="261">
        <f>'STATS 2017'!M128</f>
        <v>4.5454545454545456E-2</v>
      </c>
      <c r="P141" s="261">
        <f>'STATS 2017'!N128</f>
        <v>0</v>
      </c>
      <c r="Q141" s="477">
        <f>'STATS 2017'!O128</f>
        <v>5.5444555444555448E-2</v>
      </c>
      <c r="R141" s="261"/>
      <c r="S141" s="261"/>
      <c r="T141" s="261"/>
    </row>
    <row r="142" spans="1:33" x14ac:dyDescent="0.2">
      <c r="A142" s="68" t="s">
        <v>85</v>
      </c>
      <c r="D142" s="261"/>
      <c r="E142" s="261">
        <f>'STATS 2017'!C129</f>
        <v>1.4814814814814815E-2</v>
      </c>
      <c r="F142" s="261">
        <f>'STATS 2017'!D129</f>
        <v>0.1165644171779141</v>
      </c>
      <c r="G142" s="261">
        <f>'STATS 2017'!E129</f>
        <v>6.6666666666666666E-2</v>
      </c>
      <c r="H142" s="261">
        <f>'STATS 2017'!F129</f>
        <v>5.0724637681159424E-2</v>
      </c>
      <c r="I142" s="261">
        <f>'STATS 2017'!G129</f>
        <v>2.7027027027027029E-2</v>
      </c>
      <c r="J142" s="261">
        <f>'STATS 2017'!H129</f>
        <v>0.19282511210762332</v>
      </c>
      <c r="K142" s="261">
        <f>'STATS 2017'!I129</f>
        <v>7.3333333333333334E-2</v>
      </c>
      <c r="L142" s="261">
        <f>'STATS 2017'!J129</f>
        <v>3.125E-2</v>
      </c>
      <c r="M142" s="261">
        <f>'STATS 2017'!K129</f>
        <v>3.0927835051546393E-2</v>
      </c>
      <c r="N142" s="261">
        <f>'STATS 2017'!L129</f>
        <v>0.13017751479289941</v>
      </c>
      <c r="O142" s="261">
        <f>'STATS 2017'!M129</f>
        <v>3.6363636363636362E-2</v>
      </c>
      <c r="P142" s="261">
        <f>'STATS 2017'!N129</f>
        <v>4.9382716049382713E-2</v>
      </c>
      <c r="Q142" s="477">
        <f>'STATS 2017'!O129</f>
        <v>7.1928071928071935E-2</v>
      </c>
      <c r="R142" s="261"/>
      <c r="S142" s="261"/>
      <c r="T142" s="261"/>
    </row>
    <row r="143" spans="1:33" x14ac:dyDescent="0.2">
      <c r="A143" s="70" t="s">
        <v>92</v>
      </c>
      <c r="E143" s="477">
        <f>'STATS 2017'!C130</f>
        <v>1</v>
      </c>
      <c r="F143" s="477">
        <f>'STATS 2017'!D130</f>
        <v>1</v>
      </c>
      <c r="G143" s="477">
        <f>'STATS 2017'!E130</f>
        <v>1</v>
      </c>
      <c r="H143" s="477">
        <f>'STATS 2017'!F130</f>
        <v>1</v>
      </c>
      <c r="I143" s="477">
        <f>'STATS 2017'!G130</f>
        <v>1</v>
      </c>
      <c r="J143" s="477">
        <f>'STATS 2017'!H130</f>
        <v>1</v>
      </c>
      <c r="K143" s="477">
        <f>'STATS 2017'!I130</f>
        <v>1</v>
      </c>
      <c r="L143" s="477">
        <f>'STATS 2017'!J130</f>
        <v>1</v>
      </c>
      <c r="M143" s="477">
        <f>'STATS 2017'!K130</f>
        <v>0.99999999999999989</v>
      </c>
      <c r="N143" s="477">
        <f>'STATS 2017'!L130</f>
        <v>1</v>
      </c>
      <c r="O143" s="477">
        <f>'STATS 2017'!M130</f>
        <v>0.99999999999999989</v>
      </c>
      <c r="P143" s="477">
        <f>'STATS 2017'!N130</f>
        <v>1</v>
      </c>
      <c r="Q143" s="477">
        <f>'STATS 2017'!O130</f>
        <v>1</v>
      </c>
    </row>
  </sheetData>
  <printOptions headings="1" gridLines="1"/>
  <pageMargins left="0.5" right="0.5" top="0.88" bottom="0.25" header="0.34" footer="0.49"/>
  <pageSetup scale="86" fitToHeight="0" orientation="landscape" r:id="rId1"/>
  <headerFooter alignWithMargins="0">
    <oddHeader>&amp;C&amp;"Arial,Bold"&amp;14DOCTORS MEMORIAL HOSPITAL
FY 2017 BUDGET</oddHeader>
    <oddFooter>&amp;R&amp;A</oddFooter>
  </headerFooter>
  <ignoredErrors>
    <ignoredError sqref="Q59"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BF22"/>
  <sheetViews>
    <sheetView zoomScale="80" zoomScaleNormal="80" workbookViewId="0">
      <pane xSplit="2" ySplit="6" topLeftCell="C7" activePane="bottomRight" state="frozen"/>
      <selection pane="topRight" activeCell="C1" sqref="C1"/>
      <selection pane="bottomLeft" activeCell="A7" sqref="A7"/>
      <selection pane="bottomRight" activeCell="M37" sqref="M37"/>
    </sheetView>
  </sheetViews>
  <sheetFormatPr defaultRowHeight="12.75" x14ac:dyDescent="0.2"/>
  <cols>
    <col min="1" max="1" width="11" style="2" bestFit="1" customWidth="1"/>
    <col min="2" max="2" width="24" style="2" customWidth="1"/>
    <col min="3" max="3" width="12.7109375" style="2" customWidth="1"/>
    <col min="4" max="4" width="7.7109375" style="4" customWidth="1"/>
    <col min="5" max="5" width="4.28515625" style="4" customWidth="1"/>
    <col min="6" max="6" width="12.85546875" style="2" bestFit="1" customWidth="1"/>
    <col min="7" max="7" width="13.85546875" style="2" bestFit="1" customWidth="1"/>
    <col min="8" max="16" width="11.28515625" style="2" bestFit="1" customWidth="1"/>
    <col min="17" max="17" width="12.7109375" style="2" bestFit="1" customWidth="1"/>
    <col min="18" max="18" width="12.7109375" style="3" bestFit="1" customWidth="1"/>
    <col min="19" max="19" width="11.7109375" style="2" bestFit="1" customWidth="1"/>
    <col min="20" max="58" width="9.140625" style="2"/>
    <col min="59" max="16384" width="9.140625" style="1"/>
  </cols>
  <sheetData>
    <row r="1" spans="1:58" ht="12.75" customHeight="1" x14ac:dyDescent="0.2">
      <c r="C1" s="251"/>
      <c r="D1" s="253"/>
      <c r="E1" s="253"/>
      <c r="F1" s="251" t="s">
        <v>49</v>
      </c>
      <c r="G1" s="251" t="s">
        <v>48</v>
      </c>
      <c r="H1" s="251" t="s">
        <v>47</v>
      </c>
      <c r="I1" s="251" t="s">
        <v>46</v>
      </c>
      <c r="J1" s="251" t="s">
        <v>45</v>
      </c>
      <c r="K1" s="251" t="s">
        <v>44</v>
      </c>
      <c r="L1" s="251" t="s">
        <v>43</v>
      </c>
      <c r="M1" s="251" t="s">
        <v>42</v>
      </c>
      <c r="N1" s="251" t="s">
        <v>41</v>
      </c>
      <c r="O1" s="251" t="s">
        <v>40</v>
      </c>
      <c r="P1" s="251" t="s">
        <v>39</v>
      </c>
      <c r="Q1" s="251" t="s">
        <v>38</v>
      </c>
      <c r="R1" s="252"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139" t="s">
        <v>591</v>
      </c>
      <c r="C2" s="171">
        <f>STATS!D91</f>
        <v>663</v>
      </c>
      <c r="D2" s="253"/>
      <c r="E2" s="253"/>
      <c r="F2" s="2">
        <f>'MO STATS'!E87</f>
        <v>41</v>
      </c>
      <c r="G2" s="2">
        <f>'MO STATS'!F87</f>
        <v>51</v>
      </c>
      <c r="H2" s="2">
        <f>'MO STATS'!G87</f>
        <v>53</v>
      </c>
      <c r="I2" s="2">
        <f>'MO STATS'!H87</f>
        <v>59</v>
      </c>
      <c r="J2" s="2">
        <f>'MO STATS'!I87</f>
        <v>52</v>
      </c>
      <c r="K2" s="2">
        <f>'MO STATS'!J87</f>
        <v>62</v>
      </c>
      <c r="L2" s="2">
        <f>'MO STATS'!K87</f>
        <v>53</v>
      </c>
      <c r="M2" s="2">
        <f>'MO STATS'!L87</f>
        <v>43</v>
      </c>
      <c r="N2" s="2">
        <f>'MO STATS'!M87</f>
        <v>58</v>
      </c>
      <c r="O2" s="2">
        <f>'MO STATS'!N87</f>
        <v>59</v>
      </c>
      <c r="P2" s="2">
        <f>'MO STATS'!O87</f>
        <v>75</v>
      </c>
      <c r="Q2" s="4">
        <f>'MO STATS'!P87</f>
        <v>57</v>
      </c>
      <c r="R2" s="6">
        <f>SUM(F2:Q2)</f>
        <v>663</v>
      </c>
      <c r="S2" s="34">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139" t="s">
        <v>152</v>
      </c>
      <c r="C3" s="4">
        <f>STATS!D92</f>
        <v>20375</v>
      </c>
      <c r="F3" s="2">
        <f>'MO STATS'!E88</f>
        <v>1663</v>
      </c>
      <c r="G3" s="2">
        <f>'MO STATS'!F88</f>
        <v>1576</v>
      </c>
      <c r="H3" s="2">
        <f>'MO STATS'!G88</f>
        <v>1511</v>
      </c>
      <c r="I3" s="2">
        <f>'MO STATS'!H88</f>
        <v>1687</v>
      </c>
      <c r="J3" s="2">
        <f>'MO STATS'!I88</f>
        <v>1721</v>
      </c>
      <c r="K3" s="2">
        <f>'MO STATS'!J88</f>
        <v>1875</v>
      </c>
      <c r="L3" s="2">
        <f>'MO STATS'!K88</f>
        <v>1737</v>
      </c>
      <c r="M3" s="2">
        <f>'MO STATS'!L88</f>
        <v>1855</v>
      </c>
      <c r="N3" s="2">
        <f>'MO STATS'!M88</f>
        <v>1678</v>
      </c>
      <c r="O3" s="2">
        <f>'MO STATS'!N88</f>
        <v>1510</v>
      </c>
      <c r="P3" s="2">
        <f>'MO STATS'!O88</f>
        <v>1754</v>
      </c>
      <c r="Q3" s="4">
        <f>'MO STATS'!P88</f>
        <v>1808</v>
      </c>
      <c r="R3" s="6">
        <f t="shared" ref="R3:R4" si="0">SUM(F3:Q3)</f>
        <v>20375</v>
      </c>
      <c r="S3" s="34">
        <f t="shared" ref="S3:S4" si="1">C3-R3</f>
        <v>0</v>
      </c>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139" t="s">
        <v>37</v>
      </c>
      <c r="C4" s="4">
        <f>C2+C3</f>
        <v>21038</v>
      </c>
      <c r="F4" s="2">
        <f>'MO STATS'!E89</f>
        <v>1704</v>
      </c>
      <c r="G4" s="2">
        <f>'MO STATS'!F89</f>
        <v>1627</v>
      </c>
      <c r="H4" s="2">
        <f>'MO STATS'!G89</f>
        <v>1564</v>
      </c>
      <c r="I4" s="2">
        <f>'MO STATS'!H89</f>
        <v>1746</v>
      </c>
      <c r="J4" s="2">
        <f>'MO STATS'!I89</f>
        <v>1773</v>
      </c>
      <c r="K4" s="2">
        <f>'MO STATS'!J89</f>
        <v>1937</v>
      </c>
      <c r="L4" s="2">
        <f>'MO STATS'!K89</f>
        <v>1790</v>
      </c>
      <c r="M4" s="2">
        <f>'MO STATS'!L89</f>
        <v>1898</v>
      </c>
      <c r="N4" s="2">
        <f>'MO STATS'!M89</f>
        <v>1736</v>
      </c>
      <c r="O4" s="2">
        <f>'MO STATS'!N89</f>
        <v>1569</v>
      </c>
      <c r="P4" s="2">
        <f>'MO STATS'!O89</f>
        <v>1829</v>
      </c>
      <c r="Q4" s="4">
        <f>'MO STATS'!P89</f>
        <v>1865</v>
      </c>
      <c r="R4" s="6">
        <f t="shared" si="0"/>
        <v>21038</v>
      </c>
      <c r="S4" s="34">
        <f t="shared" si="1"/>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R5" s="96"/>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ht="12.75" customHeight="1" x14ac:dyDescent="0.2">
      <c r="R6" s="96"/>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ht="12.75" customHeight="1" x14ac:dyDescent="0.2">
      <c r="R7" s="96"/>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711" t="s">
        <v>25</v>
      </c>
      <c r="B8" s="711"/>
      <c r="C8" s="711"/>
      <c r="D8" s="711"/>
      <c r="E8" s="253"/>
      <c r="R8" s="96"/>
    </row>
    <row r="9" spans="1:58" x14ac:dyDescent="0.2">
      <c r="A9" s="21"/>
      <c r="B9" s="10" t="s">
        <v>814</v>
      </c>
      <c r="C9" s="20"/>
      <c r="D9" s="19" t="s">
        <v>596</v>
      </c>
      <c r="E9" s="111"/>
      <c r="R9" s="96"/>
    </row>
    <row r="10" spans="1:58" s="12" customFormat="1" x14ac:dyDescent="0.2">
      <c r="A10" s="87">
        <v>61365</v>
      </c>
      <c r="B10" s="15" t="s">
        <v>815</v>
      </c>
      <c r="C10" s="14">
        <f>'[6]Byrd Avenue'!$I$14</f>
        <v>3300</v>
      </c>
      <c r="D10" s="13">
        <f>$C10/C$4</f>
        <v>0.1568590170168267</v>
      </c>
      <c r="E10" s="7"/>
      <c r="F10" s="375">
        <f>$D10*F$4</f>
        <v>267.28776499667271</v>
      </c>
      <c r="G10" s="375">
        <f t="shared" ref="G10:Q17" si="2">$D10*G$4</f>
        <v>255.20962068637704</v>
      </c>
      <c r="H10" s="375">
        <f t="shared" si="2"/>
        <v>245.32750261431696</v>
      </c>
      <c r="I10" s="375">
        <f t="shared" si="2"/>
        <v>273.87584371137939</v>
      </c>
      <c r="J10" s="375">
        <f t="shared" si="2"/>
        <v>278.11103717083375</v>
      </c>
      <c r="K10" s="375">
        <f t="shared" si="2"/>
        <v>303.83591596159329</v>
      </c>
      <c r="L10" s="375">
        <f t="shared" si="2"/>
        <v>280.77764046011981</v>
      </c>
      <c r="M10" s="375">
        <f t="shared" si="2"/>
        <v>297.71841429793704</v>
      </c>
      <c r="N10" s="375">
        <f t="shared" si="2"/>
        <v>272.30725354121114</v>
      </c>
      <c r="O10" s="375">
        <f t="shared" si="2"/>
        <v>246.11179769940108</v>
      </c>
      <c r="P10" s="375">
        <f t="shared" si="2"/>
        <v>286.89514212377605</v>
      </c>
      <c r="Q10" s="375">
        <f t="shared" si="2"/>
        <v>292.5420667363818</v>
      </c>
      <c r="R10" s="109">
        <f t="shared" ref="R10:R18" si="3">SUM(F10:Q10)</f>
        <v>3300</v>
      </c>
      <c r="S10" s="7">
        <f t="shared" ref="S10:S18" si="4">C10-R10</f>
        <v>0</v>
      </c>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row>
    <row r="11" spans="1:58" s="12" customFormat="1" x14ac:dyDescent="0.2">
      <c r="A11" s="87">
        <v>61400</v>
      </c>
      <c r="B11" s="15" t="s">
        <v>816</v>
      </c>
      <c r="C11" s="14">
        <f>'[6]Byrd Avenue'!$I$15</f>
        <v>9500</v>
      </c>
      <c r="D11" s="13">
        <f t="shared" ref="D11:D17" si="5">$C11/C$4</f>
        <v>0.45156383686662233</v>
      </c>
      <c r="E11" s="7"/>
      <c r="F11" s="375">
        <f t="shared" ref="F11:F17" si="6">$D11*F$4</f>
        <v>769.46477802072445</v>
      </c>
      <c r="G11" s="375">
        <f t="shared" si="2"/>
        <v>734.69436258199448</v>
      </c>
      <c r="H11" s="375">
        <f t="shared" si="2"/>
        <v>706.24584085939728</v>
      </c>
      <c r="I11" s="375">
        <f t="shared" si="2"/>
        <v>788.43045916912263</v>
      </c>
      <c r="J11" s="375">
        <f t="shared" si="2"/>
        <v>800.62268276452141</v>
      </c>
      <c r="K11" s="375">
        <f t="shared" si="2"/>
        <v>874.6791520106475</v>
      </c>
      <c r="L11" s="375">
        <f t="shared" si="2"/>
        <v>808.29926799125394</v>
      </c>
      <c r="M11" s="375">
        <f t="shared" si="2"/>
        <v>857.0681623728492</v>
      </c>
      <c r="N11" s="375">
        <f t="shared" si="2"/>
        <v>783.91482080045637</v>
      </c>
      <c r="O11" s="375">
        <f t="shared" si="2"/>
        <v>708.50366004373041</v>
      </c>
      <c r="P11" s="375">
        <f t="shared" si="2"/>
        <v>825.91025762905224</v>
      </c>
      <c r="Q11" s="375">
        <f t="shared" si="2"/>
        <v>842.16655575625066</v>
      </c>
      <c r="R11" s="109">
        <f t="shared" si="3"/>
        <v>9500</v>
      </c>
      <c r="S11" s="7">
        <f t="shared" si="4"/>
        <v>0</v>
      </c>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row>
    <row r="12" spans="1:58" s="12" customFormat="1" x14ac:dyDescent="0.2">
      <c r="A12" s="87">
        <v>61401</v>
      </c>
      <c r="B12" s="15" t="s">
        <v>817</v>
      </c>
      <c r="C12" s="14"/>
      <c r="D12" s="13">
        <f t="shared" si="5"/>
        <v>0</v>
      </c>
      <c r="E12" s="7"/>
      <c r="F12" s="375">
        <f t="shared" si="6"/>
        <v>0</v>
      </c>
      <c r="G12" s="375">
        <f t="shared" si="2"/>
        <v>0</v>
      </c>
      <c r="H12" s="375">
        <f t="shared" si="2"/>
        <v>0</v>
      </c>
      <c r="I12" s="375">
        <f t="shared" si="2"/>
        <v>0</v>
      </c>
      <c r="J12" s="375">
        <f t="shared" si="2"/>
        <v>0</v>
      </c>
      <c r="K12" s="375">
        <f t="shared" si="2"/>
        <v>0</v>
      </c>
      <c r="L12" s="375">
        <f t="shared" si="2"/>
        <v>0</v>
      </c>
      <c r="M12" s="375">
        <f t="shared" si="2"/>
        <v>0</v>
      </c>
      <c r="N12" s="375">
        <f t="shared" si="2"/>
        <v>0</v>
      </c>
      <c r="O12" s="375">
        <f t="shared" si="2"/>
        <v>0</v>
      </c>
      <c r="P12" s="375">
        <f t="shared" si="2"/>
        <v>0</v>
      </c>
      <c r="Q12" s="375">
        <f t="shared" si="2"/>
        <v>0</v>
      </c>
      <c r="R12" s="109">
        <f t="shared" si="3"/>
        <v>0</v>
      </c>
      <c r="S12" s="7">
        <f t="shared" si="4"/>
        <v>0</v>
      </c>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s="12" customFormat="1" x14ac:dyDescent="0.2">
      <c r="A13" s="87">
        <v>61402</v>
      </c>
      <c r="B13" s="15" t="s">
        <v>818</v>
      </c>
      <c r="C13" s="14">
        <f>'[6]Byrd Avenue'!$I$16</f>
        <v>1500</v>
      </c>
      <c r="D13" s="13">
        <f t="shared" si="5"/>
        <v>7.129955318946668E-2</v>
      </c>
      <c r="E13" s="7"/>
      <c r="F13" s="375">
        <f t="shared" si="6"/>
        <v>121.49443863485122</v>
      </c>
      <c r="G13" s="375">
        <f t="shared" si="2"/>
        <v>116.00437303926229</v>
      </c>
      <c r="H13" s="375">
        <f t="shared" si="2"/>
        <v>111.51250118832588</v>
      </c>
      <c r="I13" s="375">
        <f t="shared" si="2"/>
        <v>124.48901986880882</v>
      </c>
      <c r="J13" s="375">
        <f t="shared" si="2"/>
        <v>126.41410780492443</v>
      </c>
      <c r="K13" s="375">
        <f t="shared" si="2"/>
        <v>138.10723452799695</v>
      </c>
      <c r="L13" s="375">
        <f t="shared" si="2"/>
        <v>127.62620020914535</v>
      </c>
      <c r="M13" s="375">
        <f t="shared" si="2"/>
        <v>135.32655195360775</v>
      </c>
      <c r="N13" s="375">
        <f t="shared" si="2"/>
        <v>123.77602433691416</v>
      </c>
      <c r="O13" s="375">
        <f t="shared" si="2"/>
        <v>111.86899895427322</v>
      </c>
      <c r="P13" s="375">
        <f t="shared" si="2"/>
        <v>130.40688278353457</v>
      </c>
      <c r="Q13" s="375">
        <f t="shared" si="2"/>
        <v>132.97366669835534</v>
      </c>
      <c r="R13" s="109">
        <f t="shared" si="3"/>
        <v>1500</v>
      </c>
      <c r="S13" s="7">
        <f t="shared" si="4"/>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row>
    <row r="14" spans="1:58" s="12" customFormat="1" x14ac:dyDescent="0.2">
      <c r="A14" s="87">
        <v>61403</v>
      </c>
      <c r="B14" s="15" t="s">
        <v>819</v>
      </c>
      <c r="C14" s="14"/>
      <c r="D14" s="13">
        <f t="shared" si="5"/>
        <v>0</v>
      </c>
      <c r="E14" s="7"/>
      <c r="F14" s="375">
        <f t="shared" si="6"/>
        <v>0</v>
      </c>
      <c r="G14" s="375">
        <f t="shared" si="2"/>
        <v>0</v>
      </c>
      <c r="H14" s="375">
        <f t="shared" si="2"/>
        <v>0</v>
      </c>
      <c r="I14" s="375">
        <f t="shared" si="2"/>
        <v>0</v>
      </c>
      <c r="J14" s="375">
        <f t="shared" si="2"/>
        <v>0</v>
      </c>
      <c r="K14" s="375">
        <f t="shared" si="2"/>
        <v>0</v>
      </c>
      <c r="L14" s="375">
        <f t="shared" si="2"/>
        <v>0</v>
      </c>
      <c r="M14" s="375">
        <f t="shared" si="2"/>
        <v>0</v>
      </c>
      <c r="N14" s="375">
        <f t="shared" si="2"/>
        <v>0</v>
      </c>
      <c r="O14" s="375">
        <f t="shared" si="2"/>
        <v>0</v>
      </c>
      <c r="P14" s="375">
        <f t="shared" si="2"/>
        <v>0</v>
      </c>
      <c r="Q14" s="375">
        <f t="shared" si="2"/>
        <v>0</v>
      </c>
      <c r="R14" s="109">
        <f t="shared" si="3"/>
        <v>0</v>
      </c>
      <c r="S14" s="7">
        <f t="shared" si="4"/>
        <v>0</v>
      </c>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row>
    <row r="15" spans="1:58" s="12" customFormat="1" x14ac:dyDescent="0.2">
      <c r="A15" s="87">
        <v>61509</v>
      </c>
      <c r="B15" s="15" t="s">
        <v>585</v>
      </c>
      <c r="C15" s="14"/>
      <c r="D15" s="13">
        <f t="shared" si="5"/>
        <v>0</v>
      </c>
      <c r="E15" s="7"/>
      <c r="F15" s="375">
        <f t="shared" si="6"/>
        <v>0</v>
      </c>
      <c r="G15" s="375">
        <f t="shared" si="2"/>
        <v>0</v>
      </c>
      <c r="H15" s="375">
        <f t="shared" si="2"/>
        <v>0</v>
      </c>
      <c r="I15" s="375">
        <f t="shared" si="2"/>
        <v>0</v>
      </c>
      <c r="J15" s="375">
        <f t="shared" si="2"/>
        <v>0</v>
      </c>
      <c r="K15" s="375">
        <f t="shared" si="2"/>
        <v>0</v>
      </c>
      <c r="L15" s="375">
        <f t="shared" si="2"/>
        <v>0</v>
      </c>
      <c r="M15" s="375">
        <f t="shared" si="2"/>
        <v>0</v>
      </c>
      <c r="N15" s="375">
        <f t="shared" si="2"/>
        <v>0</v>
      </c>
      <c r="O15" s="375">
        <f t="shared" si="2"/>
        <v>0</v>
      </c>
      <c r="P15" s="375">
        <f t="shared" si="2"/>
        <v>0</v>
      </c>
      <c r="Q15" s="375">
        <f t="shared" si="2"/>
        <v>0</v>
      </c>
      <c r="R15" s="109">
        <f t="shared" si="3"/>
        <v>0</v>
      </c>
      <c r="S15" s="7">
        <f t="shared" si="4"/>
        <v>0</v>
      </c>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58" s="12" customFormat="1" x14ac:dyDescent="0.2">
      <c r="A16" s="87">
        <v>61522</v>
      </c>
      <c r="B16" s="15" t="s">
        <v>642</v>
      </c>
      <c r="C16" s="14">
        <f>'[6]Byrd Avenue'!$I$17</f>
        <v>2925</v>
      </c>
      <c r="D16" s="13">
        <f t="shared" si="5"/>
        <v>0.13903412871946003</v>
      </c>
      <c r="E16" s="7"/>
      <c r="F16" s="375">
        <f t="shared" si="6"/>
        <v>236.9141553379599</v>
      </c>
      <c r="G16" s="375">
        <f t="shared" si="2"/>
        <v>226.20852742656146</v>
      </c>
      <c r="H16" s="375">
        <f t="shared" si="2"/>
        <v>217.44937731723547</v>
      </c>
      <c r="I16" s="375">
        <f t="shared" si="2"/>
        <v>242.75358874417719</v>
      </c>
      <c r="J16" s="375">
        <f t="shared" si="2"/>
        <v>246.50751021960264</v>
      </c>
      <c r="K16" s="375">
        <f t="shared" si="2"/>
        <v>269.3091073295941</v>
      </c>
      <c r="L16" s="375">
        <f t="shared" si="2"/>
        <v>248.87109040783344</v>
      </c>
      <c r="M16" s="375">
        <f t="shared" si="2"/>
        <v>263.88677630953515</v>
      </c>
      <c r="N16" s="375">
        <f t="shared" si="2"/>
        <v>241.36324745698261</v>
      </c>
      <c r="O16" s="375">
        <f t="shared" si="2"/>
        <v>218.14454796083277</v>
      </c>
      <c r="P16" s="375">
        <f t="shared" si="2"/>
        <v>254.29342142789238</v>
      </c>
      <c r="Q16" s="375">
        <f t="shared" si="2"/>
        <v>259.29865006179296</v>
      </c>
      <c r="R16" s="109">
        <f t="shared" si="3"/>
        <v>2925.0000000000005</v>
      </c>
      <c r="S16" s="7">
        <f t="shared" si="4"/>
        <v>0</v>
      </c>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row>
    <row r="17" spans="1:58" s="12" customFormat="1" x14ac:dyDescent="0.2">
      <c r="A17" s="87">
        <v>61570</v>
      </c>
      <c r="B17" s="15" t="s">
        <v>820</v>
      </c>
      <c r="C17" s="14"/>
      <c r="D17" s="13">
        <f t="shared" si="5"/>
        <v>0</v>
      </c>
      <c r="E17" s="7"/>
      <c r="F17" s="375">
        <f t="shared" si="6"/>
        <v>0</v>
      </c>
      <c r="G17" s="375">
        <f t="shared" si="2"/>
        <v>0</v>
      </c>
      <c r="H17" s="375">
        <f t="shared" si="2"/>
        <v>0</v>
      </c>
      <c r="I17" s="375">
        <f t="shared" si="2"/>
        <v>0</v>
      </c>
      <c r="J17" s="375">
        <f t="shared" si="2"/>
        <v>0</v>
      </c>
      <c r="K17" s="375">
        <f t="shared" si="2"/>
        <v>0</v>
      </c>
      <c r="L17" s="375">
        <f t="shared" si="2"/>
        <v>0</v>
      </c>
      <c r="M17" s="375">
        <f t="shared" si="2"/>
        <v>0</v>
      </c>
      <c r="N17" s="375">
        <f t="shared" si="2"/>
        <v>0</v>
      </c>
      <c r="O17" s="375">
        <f t="shared" si="2"/>
        <v>0</v>
      </c>
      <c r="P17" s="375">
        <f t="shared" si="2"/>
        <v>0</v>
      </c>
      <c r="Q17" s="375">
        <f t="shared" si="2"/>
        <v>0</v>
      </c>
      <c r="R17" s="109">
        <f t="shared" si="3"/>
        <v>0</v>
      </c>
      <c r="S17" s="7">
        <f t="shared" si="4"/>
        <v>0</v>
      </c>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row>
    <row r="18" spans="1:58" s="5" customFormat="1" x14ac:dyDescent="0.2">
      <c r="A18" s="11"/>
      <c r="B18" s="10" t="s">
        <v>0</v>
      </c>
      <c r="C18" s="8">
        <f>SUM(C10:C17)</f>
        <v>17225</v>
      </c>
      <c r="D18" s="9">
        <f>SUM(D10:D17)</f>
        <v>0.81875653579237584</v>
      </c>
      <c r="E18" s="104"/>
      <c r="F18" s="395">
        <f t="shared" ref="F18:Q18" si="7">SUM(F10:F17)</f>
        <v>1395.1611369902082</v>
      </c>
      <c r="G18" s="395">
        <f t="shared" si="7"/>
        <v>1332.1168837341952</v>
      </c>
      <c r="H18" s="395">
        <f t="shared" si="7"/>
        <v>1280.5352219792755</v>
      </c>
      <c r="I18" s="395">
        <f t="shared" si="7"/>
        <v>1429.548911493488</v>
      </c>
      <c r="J18" s="395">
        <f t="shared" si="7"/>
        <v>1451.6553379598822</v>
      </c>
      <c r="K18" s="395">
        <f t="shared" si="7"/>
        <v>1585.9314098298319</v>
      </c>
      <c r="L18" s="395">
        <f t="shared" si="7"/>
        <v>1465.5741990683525</v>
      </c>
      <c r="M18" s="395">
        <f t="shared" si="7"/>
        <v>1553.9999049339292</v>
      </c>
      <c r="N18" s="395">
        <f t="shared" si="7"/>
        <v>1421.3613461355642</v>
      </c>
      <c r="O18" s="395">
        <f t="shared" si="7"/>
        <v>1284.6290046582376</v>
      </c>
      <c r="P18" s="395">
        <f t="shared" si="7"/>
        <v>1497.505703964255</v>
      </c>
      <c r="Q18" s="395">
        <f t="shared" si="7"/>
        <v>1526.9809392527809</v>
      </c>
      <c r="R18" s="109">
        <f t="shared" si="3"/>
        <v>17225</v>
      </c>
      <c r="S18" s="104">
        <f t="shared" si="4"/>
        <v>0</v>
      </c>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row>
    <row r="19" spans="1:58" x14ac:dyDescent="0.2">
      <c r="F19" s="3"/>
      <c r="R19" s="96"/>
    </row>
    <row r="20" spans="1:58" x14ac:dyDescent="0.2">
      <c r="A20" s="4"/>
      <c r="C20" s="3"/>
      <c r="F20" s="3"/>
      <c r="G20" s="3"/>
      <c r="H20" s="3"/>
      <c r="I20" s="3"/>
      <c r="J20" s="3"/>
      <c r="K20" s="3"/>
      <c r="L20" s="3"/>
      <c r="M20" s="3"/>
      <c r="N20" s="3"/>
      <c r="O20" s="3"/>
      <c r="P20" s="3"/>
      <c r="Q20" s="3"/>
    </row>
    <row r="21" spans="1:58" x14ac:dyDescent="0.2">
      <c r="A21" s="4"/>
      <c r="C21" s="3"/>
      <c r="F21" s="3"/>
      <c r="G21" s="3"/>
      <c r="H21" s="3"/>
      <c r="I21" s="3"/>
      <c r="J21" s="3"/>
      <c r="K21" s="3"/>
      <c r="L21" s="3"/>
      <c r="M21" s="3"/>
      <c r="N21" s="3"/>
      <c r="O21" s="3"/>
      <c r="P21" s="3"/>
      <c r="Q21" s="3"/>
    </row>
    <row r="22" spans="1:58" s="3" customFormat="1" ht="11.25" x14ac:dyDescent="0.2">
      <c r="A22" s="2"/>
      <c r="B22" s="2"/>
      <c r="D22" s="4"/>
      <c r="E22" s="4"/>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row>
  </sheetData>
  <mergeCells count="1">
    <mergeCell ref="A8:D8"/>
  </mergeCells>
  <printOptions gridLines="1"/>
  <pageMargins left="0.25" right="0.25" top="0.75" bottom="0.75" header="0.3" footer="0.3"/>
  <pageSetup scale="64" orientation="landscape" r:id="rId1"/>
  <headerFooter alignWithMargins="0">
    <oddHeader xml:space="preserve">&amp;C&amp;"Arial,Bold"&amp;14DOCTORS MEMORIAL HOSPITAL
FY 2017 BUDGET
</oddHeader>
    <oddFooter xml:space="preserve">&amp;R&amp;A
</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FF"/>
    <pageSetUpPr fitToPage="1"/>
  </sheetPr>
  <dimension ref="A1:S31"/>
  <sheetViews>
    <sheetView zoomScale="80" zoomScaleNormal="80" workbookViewId="0">
      <pane xSplit="3" ySplit="4" topLeftCell="F5" activePane="bottomRight" state="frozen"/>
      <selection pane="topRight" activeCell="D1" sqref="D1"/>
      <selection pane="bottomLeft" activeCell="A5" sqref="A5"/>
      <selection pane="bottomRight" activeCell="M45" sqref="M45"/>
    </sheetView>
  </sheetViews>
  <sheetFormatPr defaultRowHeight="12.75" x14ac:dyDescent="0.2"/>
  <cols>
    <col min="1" max="1" width="10.28515625" bestFit="1" customWidth="1"/>
    <col min="2" max="2" width="23.28515625" customWidth="1"/>
    <col min="3" max="3" width="13.28515625" customWidth="1"/>
    <col min="4" max="4" width="9.85546875" bestFit="1" customWidth="1"/>
    <col min="5" max="5" width="4.28515625" customWidth="1"/>
    <col min="6" max="6" width="14" bestFit="1" customWidth="1"/>
    <col min="7" max="17" width="11.28515625" bestFit="1" customWidth="1"/>
    <col min="18" max="18" width="12.85546875" bestFit="1" customWidth="1"/>
  </cols>
  <sheetData>
    <row r="1" spans="1:19" x14ac:dyDescent="0.2">
      <c r="A1" s="442"/>
      <c r="B1" s="443"/>
      <c r="C1" s="444"/>
      <c r="D1" s="444"/>
      <c r="E1" s="444"/>
      <c r="F1" s="445" t="s">
        <v>49</v>
      </c>
      <c r="G1" s="445" t="s">
        <v>48</v>
      </c>
      <c r="H1" s="445" t="s">
        <v>47</v>
      </c>
      <c r="I1" s="445" t="s">
        <v>46</v>
      </c>
      <c r="J1" s="445" t="s">
        <v>45</v>
      </c>
      <c r="K1" s="445" t="s">
        <v>44</v>
      </c>
      <c r="L1" s="445" t="s">
        <v>43</v>
      </c>
      <c r="M1" s="445" t="s">
        <v>42</v>
      </c>
      <c r="N1" s="445" t="s">
        <v>41</v>
      </c>
      <c r="O1" s="445" t="s">
        <v>40</v>
      </c>
      <c r="P1" s="445" t="s">
        <v>39</v>
      </c>
      <c r="Q1" s="445" t="s">
        <v>38</v>
      </c>
      <c r="R1" s="446" t="s">
        <v>37</v>
      </c>
    </row>
    <row r="2" spans="1:19" x14ac:dyDescent="0.2">
      <c r="A2" s="447"/>
      <c r="B2" s="190" t="s">
        <v>591</v>
      </c>
      <c r="C2" s="448">
        <f>STATS!D91</f>
        <v>663</v>
      </c>
      <c r="D2" s="449"/>
      <c r="E2" s="449"/>
      <c r="F2" s="448">
        <f>'MO STATS'!E87</f>
        <v>41</v>
      </c>
      <c r="G2" s="448">
        <f>'MO STATS'!F87</f>
        <v>51</v>
      </c>
      <c r="H2" s="448">
        <f>'MO STATS'!G87</f>
        <v>53</v>
      </c>
      <c r="I2" s="448">
        <f>'MO STATS'!H87</f>
        <v>59</v>
      </c>
      <c r="J2" s="448">
        <f>'MO STATS'!I87</f>
        <v>52</v>
      </c>
      <c r="K2" s="448">
        <f>'MO STATS'!J87</f>
        <v>62</v>
      </c>
      <c r="L2" s="448">
        <f>'MO STATS'!K87</f>
        <v>53</v>
      </c>
      <c r="M2" s="448">
        <f>'MO STATS'!L87</f>
        <v>43</v>
      </c>
      <c r="N2" s="448">
        <f>'MO STATS'!M87</f>
        <v>58</v>
      </c>
      <c r="O2" s="448">
        <f>'MO STATS'!N87</f>
        <v>59</v>
      </c>
      <c r="P2" s="448">
        <f>'MO STATS'!O87</f>
        <v>75</v>
      </c>
      <c r="Q2" s="448">
        <f>'MO STATS'!P87</f>
        <v>57</v>
      </c>
      <c r="R2" s="450">
        <f>SUM(F2:Q2)</f>
        <v>663</v>
      </c>
      <c r="S2" s="284">
        <f>C2-R2</f>
        <v>0</v>
      </c>
    </row>
    <row r="3" spans="1:19" x14ac:dyDescent="0.2">
      <c r="A3" s="447"/>
      <c r="B3" s="190" t="s">
        <v>152</v>
      </c>
      <c r="C3" s="448">
        <f>STATS!D92</f>
        <v>20375</v>
      </c>
      <c r="D3" s="449"/>
      <c r="E3" s="449"/>
      <c r="F3" s="448">
        <f>'MO STATS'!E88</f>
        <v>1663</v>
      </c>
      <c r="G3" s="448">
        <f>'MO STATS'!F88</f>
        <v>1576</v>
      </c>
      <c r="H3" s="448">
        <f>'MO STATS'!G88</f>
        <v>1511</v>
      </c>
      <c r="I3" s="448">
        <f>'MO STATS'!H88</f>
        <v>1687</v>
      </c>
      <c r="J3" s="448">
        <f>'MO STATS'!I88</f>
        <v>1721</v>
      </c>
      <c r="K3" s="448">
        <f>'MO STATS'!J88</f>
        <v>1875</v>
      </c>
      <c r="L3" s="448">
        <f>'MO STATS'!K88</f>
        <v>1737</v>
      </c>
      <c r="M3" s="448">
        <f>'MO STATS'!L88</f>
        <v>1855</v>
      </c>
      <c r="N3" s="448">
        <f>'MO STATS'!M88</f>
        <v>1678</v>
      </c>
      <c r="O3" s="448">
        <f>'MO STATS'!N88</f>
        <v>1510</v>
      </c>
      <c r="P3" s="448">
        <f>'MO STATS'!O88</f>
        <v>1754</v>
      </c>
      <c r="Q3" s="448">
        <f>'MO STATS'!P88</f>
        <v>1808</v>
      </c>
      <c r="R3" s="450">
        <f>SUM(F3:Q3)</f>
        <v>20375</v>
      </c>
      <c r="S3" s="284">
        <f t="shared" ref="S3:S4" si="0">C3-R3</f>
        <v>0</v>
      </c>
    </row>
    <row r="4" spans="1:19" x14ac:dyDescent="0.2">
      <c r="A4" s="447"/>
      <c r="B4" s="190" t="s">
        <v>37</v>
      </c>
      <c r="C4" s="451">
        <f>C2+C3</f>
        <v>21038</v>
      </c>
      <c r="D4" s="451"/>
      <c r="E4" s="451"/>
      <c r="F4" s="448">
        <f>'MO STATS'!E89</f>
        <v>1704</v>
      </c>
      <c r="G4" s="448">
        <f>'MO STATS'!F89</f>
        <v>1627</v>
      </c>
      <c r="H4" s="448">
        <f>'MO STATS'!G89</f>
        <v>1564</v>
      </c>
      <c r="I4" s="448">
        <f>'MO STATS'!H89</f>
        <v>1746</v>
      </c>
      <c r="J4" s="448">
        <f>'MO STATS'!I89</f>
        <v>1773</v>
      </c>
      <c r="K4" s="448">
        <f>'MO STATS'!J89</f>
        <v>1937</v>
      </c>
      <c r="L4" s="448">
        <f>'MO STATS'!K89</f>
        <v>1790</v>
      </c>
      <c r="M4" s="448">
        <f>'MO STATS'!L89</f>
        <v>1898</v>
      </c>
      <c r="N4" s="448">
        <f>'MO STATS'!M89</f>
        <v>1736</v>
      </c>
      <c r="O4" s="448">
        <f>'MO STATS'!N89</f>
        <v>1569</v>
      </c>
      <c r="P4" s="448">
        <f>'MO STATS'!O89</f>
        <v>1829</v>
      </c>
      <c r="Q4" s="448">
        <f>'MO STATS'!P89</f>
        <v>1865</v>
      </c>
      <c r="R4" s="450">
        <f>SUM(F4:Q4)</f>
        <v>21038</v>
      </c>
      <c r="S4" s="284">
        <f t="shared" si="0"/>
        <v>0</v>
      </c>
    </row>
    <row r="5" spans="1:19" x14ac:dyDescent="0.2">
      <c r="A5" s="447"/>
      <c r="B5" s="190" t="s">
        <v>938</v>
      </c>
      <c r="C5" s="449">
        <v>12</v>
      </c>
      <c r="D5" s="449"/>
      <c r="E5" s="449"/>
      <c r="F5" s="449">
        <v>1</v>
      </c>
      <c r="G5" s="449">
        <v>1</v>
      </c>
      <c r="H5" s="449">
        <v>1</v>
      </c>
      <c r="I5" s="449">
        <v>1</v>
      </c>
      <c r="J5" s="449">
        <v>1</v>
      </c>
      <c r="K5" s="449">
        <v>1</v>
      </c>
      <c r="L5" s="449">
        <v>1</v>
      </c>
      <c r="M5" s="449">
        <v>1</v>
      </c>
      <c r="N5" s="449">
        <v>1</v>
      </c>
      <c r="O5" s="449">
        <v>1</v>
      </c>
      <c r="P5" s="449">
        <v>1</v>
      </c>
      <c r="Q5" s="449">
        <v>1</v>
      </c>
      <c r="R5" s="450">
        <f>SUM(F5:Q5)</f>
        <v>12</v>
      </c>
    </row>
    <row r="6" spans="1:19" x14ac:dyDescent="0.2">
      <c r="A6" s="447"/>
      <c r="B6" s="717" t="s">
        <v>25</v>
      </c>
      <c r="C6" s="717"/>
      <c r="D6" s="717"/>
      <c r="E6" s="717"/>
      <c r="F6" s="449"/>
      <c r="G6" s="449"/>
      <c r="H6" s="449"/>
      <c r="I6" s="449"/>
      <c r="J6" s="449"/>
      <c r="K6" s="449"/>
      <c r="L6" s="449"/>
      <c r="M6" s="449"/>
      <c r="N6" s="449"/>
      <c r="O6" s="449"/>
      <c r="P6" s="449"/>
      <c r="Q6" s="449"/>
      <c r="R6" s="452"/>
    </row>
    <row r="7" spans="1:19" x14ac:dyDescent="0.2">
      <c r="A7" s="447"/>
      <c r="B7" s="453" t="s">
        <v>875</v>
      </c>
      <c r="C7" s="449"/>
      <c r="D7" s="454" t="s">
        <v>596</v>
      </c>
      <c r="E7" s="449"/>
      <c r="F7" s="449"/>
      <c r="G7" s="449"/>
      <c r="H7" s="449"/>
      <c r="I7" s="449"/>
      <c r="J7" s="449"/>
      <c r="K7" s="449"/>
      <c r="L7" s="449"/>
      <c r="M7" s="449"/>
      <c r="N7" s="449"/>
      <c r="O7" s="449"/>
      <c r="P7" s="449"/>
      <c r="Q7" s="449"/>
      <c r="R7" s="452"/>
    </row>
    <row r="8" spans="1:19" x14ac:dyDescent="0.2">
      <c r="A8" s="455">
        <v>61700</v>
      </c>
      <c r="B8" s="456" t="s">
        <v>855</v>
      </c>
      <c r="C8" s="457">
        <f>[6]Depreciation!$I$15</f>
        <v>70363.91</v>
      </c>
      <c r="D8" s="458">
        <f>$C8/C$5</f>
        <v>5863.6591666666673</v>
      </c>
      <c r="E8" s="449"/>
      <c r="F8" s="459">
        <f>$D8*F$5</f>
        <v>5863.6591666666673</v>
      </c>
      <c r="G8" s="459">
        <f t="shared" ref="G8:Q8" si="1">$D8*G$5</f>
        <v>5863.6591666666673</v>
      </c>
      <c r="H8" s="459">
        <f t="shared" si="1"/>
        <v>5863.6591666666673</v>
      </c>
      <c r="I8" s="459">
        <f t="shared" si="1"/>
        <v>5863.6591666666673</v>
      </c>
      <c r="J8" s="459">
        <f t="shared" si="1"/>
        <v>5863.6591666666673</v>
      </c>
      <c r="K8" s="459">
        <f t="shared" si="1"/>
        <v>5863.6591666666673</v>
      </c>
      <c r="L8" s="459">
        <f t="shared" si="1"/>
        <v>5863.6591666666673</v>
      </c>
      <c r="M8" s="459">
        <f t="shared" si="1"/>
        <v>5863.6591666666673</v>
      </c>
      <c r="N8" s="459">
        <f t="shared" si="1"/>
        <v>5863.6591666666673</v>
      </c>
      <c r="O8" s="459">
        <f t="shared" si="1"/>
        <v>5863.6591666666673</v>
      </c>
      <c r="P8" s="459">
        <f t="shared" si="1"/>
        <v>5863.6591666666673</v>
      </c>
      <c r="Q8" s="459">
        <f t="shared" si="1"/>
        <v>5863.6591666666673</v>
      </c>
      <c r="R8" s="460">
        <f>SUM(F8:Q8)</f>
        <v>70363.909999999989</v>
      </c>
      <c r="S8" s="285">
        <f>C8-R8</f>
        <v>0</v>
      </c>
    </row>
    <row r="9" spans="1:19" x14ac:dyDescent="0.2">
      <c r="A9" s="455">
        <v>61701</v>
      </c>
      <c r="B9" s="456" t="s">
        <v>856</v>
      </c>
      <c r="C9" s="457">
        <f>[6]Depreciation!$I$16</f>
        <v>253304.67</v>
      </c>
      <c r="D9" s="458">
        <f t="shared" ref="D9:D23" si="2">$C9/C$5</f>
        <v>21108.7225</v>
      </c>
      <c r="E9" s="449"/>
      <c r="F9" s="459">
        <f t="shared" ref="F9:Q23" si="3">$D9*F$5</f>
        <v>21108.7225</v>
      </c>
      <c r="G9" s="459">
        <f t="shared" si="3"/>
        <v>21108.7225</v>
      </c>
      <c r="H9" s="459">
        <f t="shared" si="3"/>
        <v>21108.7225</v>
      </c>
      <c r="I9" s="459">
        <f t="shared" si="3"/>
        <v>21108.7225</v>
      </c>
      <c r="J9" s="459">
        <f t="shared" si="3"/>
        <v>21108.7225</v>
      </c>
      <c r="K9" s="459">
        <f t="shared" si="3"/>
        <v>21108.7225</v>
      </c>
      <c r="L9" s="459">
        <f t="shared" si="3"/>
        <v>21108.7225</v>
      </c>
      <c r="M9" s="459">
        <f t="shared" si="3"/>
        <v>21108.7225</v>
      </c>
      <c r="N9" s="459">
        <f t="shared" si="3"/>
        <v>21108.7225</v>
      </c>
      <c r="O9" s="459">
        <f t="shared" si="3"/>
        <v>21108.7225</v>
      </c>
      <c r="P9" s="459">
        <f t="shared" si="3"/>
        <v>21108.7225</v>
      </c>
      <c r="Q9" s="459">
        <f t="shared" si="3"/>
        <v>21108.7225</v>
      </c>
      <c r="R9" s="460">
        <f t="shared" ref="R9:R23" si="4">SUM(F9:Q9)</f>
        <v>253304.67</v>
      </c>
      <c r="S9" s="285">
        <f t="shared" ref="S9:S23" si="5">C9-R9</f>
        <v>0</v>
      </c>
    </row>
    <row r="10" spans="1:19" x14ac:dyDescent="0.2">
      <c r="A10" s="455">
        <v>61703</v>
      </c>
      <c r="B10" s="456" t="s">
        <v>857</v>
      </c>
      <c r="C10" s="457">
        <f>[6]Depreciation!$I$17</f>
        <v>19161.560000000001</v>
      </c>
      <c r="D10" s="458">
        <f t="shared" si="2"/>
        <v>1596.7966666666669</v>
      </c>
      <c r="E10" s="449"/>
      <c r="F10" s="459">
        <f t="shared" si="3"/>
        <v>1596.7966666666669</v>
      </c>
      <c r="G10" s="459">
        <f t="shared" si="3"/>
        <v>1596.7966666666669</v>
      </c>
      <c r="H10" s="459">
        <f t="shared" si="3"/>
        <v>1596.7966666666669</v>
      </c>
      <c r="I10" s="459">
        <f t="shared" si="3"/>
        <v>1596.7966666666669</v>
      </c>
      <c r="J10" s="459">
        <f t="shared" si="3"/>
        <v>1596.7966666666669</v>
      </c>
      <c r="K10" s="459">
        <f t="shared" si="3"/>
        <v>1596.7966666666669</v>
      </c>
      <c r="L10" s="459">
        <f t="shared" si="3"/>
        <v>1596.7966666666669</v>
      </c>
      <c r="M10" s="459">
        <f t="shared" si="3"/>
        <v>1596.7966666666669</v>
      </c>
      <c r="N10" s="459">
        <f t="shared" si="3"/>
        <v>1596.7966666666669</v>
      </c>
      <c r="O10" s="459">
        <f t="shared" si="3"/>
        <v>1596.7966666666669</v>
      </c>
      <c r="P10" s="459">
        <f t="shared" si="3"/>
        <v>1596.7966666666669</v>
      </c>
      <c r="Q10" s="459">
        <f t="shared" si="3"/>
        <v>1596.7966666666669</v>
      </c>
      <c r="R10" s="460">
        <f t="shared" si="4"/>
        <v>19161.560000000001</v>
      </c>
      <c r="S10" s="285">
        <f t="shared" si="5"/>
        <v>0</v>
      </c>
    </row>
    <row r="11" spans="1:19" x14ac:dyDescent="0.2">
      <c r="A11" s="455">
        <v>61704</v>
      </c>
      <c r="B11" s="456" t="s">
        <v>858</v>
      </c>
      <c r="C11" s="457">
        <f>[6]Depreciation!$I$18</f>
        <v>11374.4</v>
      </c>
      <c r="D11" s="458">
        <f t="shared" si="2"/>
        <v>947.86666666666667</v>
      </c>
      <c r="E11" s="449"/>
      <c r="F11" s="459">
        <f t="shared" si="3"/>
        <v>947.86666666666667</v>
      </c>
      <c r="G11" s="459">
        <f t="shared" si="3"/>
        <v>947.86666666666667</v>
      </c>
      <c r="H11" s="459">
        <f t="shared" si="3"/>
        <v>947.86666666666667</v>
      </c>
      <c r="I11" s="459">
        <f t="shared" si="3"/>
        <v>947.86666666666667</v>
      </c>
      <c r="J11" s="459">
        <f t="shared" si="3"/>
        <v>947.86666666666667</v>
      </c>
      <c r="K11" s="459">
        <f t="shared" si="3"/>
        <v>947.86666666666667</v>
      </c>
      <c r="L11" s="459">
        <f t="shared" si="3"/>
        <v>947.86666666666667</v>
      </c>
      <c r="M11" s="459">
        <f t="shared" si="3"/>
        <v>947.86666666666667</v>
      </c>
      <c r="N11" s="459">
        <f t="shared" si="3"/>
        <v>947.86666666666667</v>
      </c>
      <c r="O11" s="459">
        <f t="shared" si="3"/>
        <v>947.86666666666667</v>
      </c>
      <c r="P11" s="459">
        <f t="shared" si="3"/>
        <v>947.86666666666667</v>
      </c>
      <c r="Q11" s="459">
        <f t="shared" si="3"/>
        <v>947.86666666666667</v>
      </c>
      <c r="R11" s="460">
        <f t="shared" si="4"/>
        <v>11374.4</v>
      </c>
      <c r="S11" s="285">
        <f t="shared" si="5"/>
        <v>0</v>
      </c>
    </row>
    <row r="12" spans="1:19" x14ac:dyDescent="0.2">
      <c r="A12" s="455">
        <v>61706</v>
      </c>
      <c r="B12" s="456" t="s">
        <v>859</v>
      </c>
      <c r="C12" s="457">
        <f>[6]Depreciation!$I$19</f>
        <v>124712.04</v>
      </c>
      <c r="D12" s="458">
        <f t="shared" si="2"/>
        <v>10392.67</v>
      </c>
      <c r="E12" s="449"/>
      <c r="F12" s="459">
        <f t="shared" si="3"/>
        <v>10392.67</v>
      </c>
      <c r="G12" s="459">
        <f t="shared" si="3"/>
        <v>10392.67</v>
      </c>
      <c r="H12" s="459">
        <f t="shared" si="3"/>
        <v>10392.67</v>
      </c>
      <c r="I12" s="459">
        <f t="shared" si="3"/>
        <v>10392.67</v>
      </c>
      <c r="J12" s="459">
        <f t="shared" si="3"/>
        <v>10392.67</v>
      </c>
      <c r="K12" s="459">
        <f t="shared" si="3"/>
        <v>10392.67</v>
      </c>
      <c r="L12" s="459">
        <f t="shared" si="3"/>
        <v>10392.67</v>
      </c>
      <c r="M12" s="459">
        <f t="shared" si="3"/>
        <v>10392.67</v>
      </c>
      <c r="N12" s="459">
        <f t="shared" si="3"/>
        <v>10392.67</v>
      </c>
      <c r="O12" s="459">
        <f t="shared" si="3"/>
        <v>10392.67</v>
      </c>
      <c r="P12" s="459">
        <f t="shared" si="3"/>
        <v>10392.67</v>
      </c>
      <c r="Q12" s="459">
        <f t="shared" si="3"/>
        <v>10392.67</v>
      </c>
      <c r="R12" s="460">
        <f t="shared" si="4"/>
        <v>124712.04</v>
      </c>
      <c r="S12" s="285">
        <f t="shared" si="5"/>
        <v>0</v>
      </c>
    </row>
    <row r="13" spans="1:19" x14ac:dyDescent="0.2">
      <c r="A13" s="455">
        <v>61707</v>
      </c>
      <c r="B13" s="456" t="s">
        <v>860</v>
      </c>
      <c r="C13" s="457">
        <f>[6]Depreciation!$I$20</f>
        <v>18160.59</v>
      </c>
      <c r="D13" s="458">
        <f t="shared" si="2"/>
        <v>1513.3824999999999</v>
      </c>
      <c r="E13" s="449"/>
      <c r="F13" s="459">
        <f t="shared" si="3"/>
        <v>1513.3824999999999</v>
      </c>
      <c r="G13" s="459">
        <f t="shared" si="3"/>
        <v>1513.3824999999999</v>
      </c>
      <c r="H13" s="459">
        <f t="shared" si="3"/>
        <v>1513.3824999999999</v>
      </c>
      <c r="I13" s="459">
        <f t="shared" si="3"/>
        <v>1513.3824999999999</v>
      </c>
      <c r="J13" s="459">
        <f t="shared" si="3"/>
        <v>1513.3824999999999</v>
      </c>
      <c r="K13" s="459">
        <f t="shared" si="3"/>
        <v>1513.3824999999999</v>
      </c>
      <c r="L13" s="459">
        <f t="shared" si="3"/>
        <v>1513.3824999999999</v>
      </c>
      <c r="M13" s="459">
        <f t="shared" si="3"/>
        <v>1513.3824999999999</v>
      </c>
      <c r="N13" s="459">
        <f t="shared" si="3"/>
        <v>1513.3824999999999</v>
      </c>
      <c r="O13" s="459">
        <f t="shared" si="3"/>
        <v>1513.3824999999999</v>
      </c>
      <c r="P13" s="459">
        <f t="shared" si="3"/>
        <v>1513.3824999999999</v>
      </c>
      <c r="Q13" s="459">
        <f t="shared" si="3"/>
        <v>1513.3824999999999</v>
      </c>
      <c r="R13" s="460">
        <f t="shared" si="4"/>
        <v>18160.59</v>
      </c>
      <c r="S13" s="285">
        <f t="shared" si="5"/>
        <v>0</v>
      </c>
    </row>
    <row r="14" spans="1:19" x14ac:dyDescent="0.2">
      <c r="A14" s="455">
        <v>61708</v>
      </c>
      <c r="B14" s="456" t="s">
        <v>861</v>
      </c>
      <c r="C14" s="457">
        <f>[6]Depreciation!$I$21</f>
        <v>253404.36</v>
      </c>
      <c r="D14" s="458">
        <f t="shared" si="2"/>
        <v>21117.03</v>
      </c>
      <c r="E14" s="449"/>
      <c r="F14" s="459">
        <f t="shared" si="3"/>
        <v>21117.03</v>
      </c>
      <c r="G14" s="459">
        <f t="shared" si="3"/>
        <v>21117.03</v>
      </c>
      <c r="H14" s="459">
        <f t="shared" si="3"/>
        <v>21117.03</v>
      </c>
      <c r="I14" s="459">
        <f t="shared" si="3"/>
        <v>21117.03</v>
      </c>
      <c r="J14" s="459">
        <f t="shared" si="3"/>
        <v>21117.03</v>
      </c>
      <c r="K14" s="459">
        <f t="shared" si="3"/>
        <v>21117.03</v>
      </c>
      <c r="L14" s="459">
        <f t="shared" si="3"/>
        <v>21117.03</v>
      </c>
      <c r="M14" s="459">
        <f t="shared" si="3"/>
        <v>21117.03</v>
      </c>
      <c r="N14" s="459">
        <f t="shared" si="3"/>
        <v>21117.03</v>
      </c>
      <c r="O14" s="459">
        <f t="shared" si="3"/>
        <v>21117.03</v>
      </c>
      <c r="P14" s="459">
        <f t="shared" si="3"/>
        <v>21117.03</v>
      </c>
      <c r="Q14" s="459">
        <f t="shared" si="3"/>
        <v>21117.03</v>
      </c>
      <c r="R14" s="460">
        <f t="shared" si="4"/>
        <v>253404.36</v>
      </c>
      <c r="S14" s="285">
        <f t="shared" si="5"/>
        <v>0</v>
      </c>
    </row>
    <row r="15" spans="1:19" x14ac:dyDescent="0.2">
      <c r="A15" s="455">
        <v>61709</v>
      </c>
      <c r="B15" s="456" t="s">
        <v>862</v>
      </c>
      <c r="C15" s="457">
        <f>[6]Depreciation!$I$22</f>
        <v>55948.79</v>
      </c>
      <c r="D15" s="458">
        <f t="shared" si="2"/>
        <v>4662.399166666667</v>
      </c>
      <c r="E15" s="449"/>
      <c r="F15" s="459">
        <f t="shared" si="3"/>
        <v>4662.399166666667</v>
      </c>
      <c r="G15" s="459">
        <f t="shared" si="3"/>
        <v>4662.399166666667</v>
      </c>
      <c r="H15" s="459">
        <f t="shared" si="3"/>
        <v>4662.399166666667</v>
      </c>
      <c r="I15" s="459">
        <f t="shared" si="3"/>
        <v>4662.399166666667</v>
      </c>
      <c r="J15" s="459">
        <f t="shared" si="3"/>
        <v>4662.399166666667</v>
      </c>
      <c r="K15" s="459">
        <f t="shared" si="3"/>
        <v>4662.399166666667</v>
      </c>
      <c r="L15" s="459">
        <f t="shared" si="3"/>
        <v>4662.399166666667</v>
      </c>
      <c r="M15" s="459">
        <f t="shared" si="3"/>
        <v>4662.399166666667</v>
      </c>
      <c r="N15" s="459">
        <f t="shared" si="3"/>
        <v>4662.399166666667</v>
      </c>
      <c r="O15" s="459">
        <f t="shared" si="3"/>
        <v>4662.399166666667</v>
      </c>
      <c r="P15" s="459">
        <f t="shared" si="3"/>
        <v>4662.399166666667</v>
      </c>
      <c r="Q15" s="459">
        <f t="shared" si="3"/>
        <v>4662.399166666667</v>
      </c>
      <c r="R15" s="460">
        <f t="shared" si="4"/>
        <v>55948.790000000015</v>
      </c>
      <c r="S15" s="285">
        <f t="shared" si="5"/>
        <v>0</v>
      </c>
    </row>
    <row r="16" spans="1:19" x14ac:dyDescent="0.2">
      <c r="A16" s="455">
        <v>61710</v>
      </c>
      <c r="B16" s="456" t="s">
        <v>863</v>
      </c>
      <c r="C16" s="457">
        <f>[6]Depreciation!$I$23</f>
        <v>9240.44</v>
      </c>
      <c r="D16" s="458">
        <f t="shared" si="2"/>
        <v>770.03666666666675</v>
      </c>
      <c r="E16" s="449"/>
      <c r="F16" s="459">
        <f t="shared" si="3"/>
        <v>770.03666666666675</v>
      </c>
      <c r="G16" s="459">
        <f t="shared" si="3"/>
        <v>770.03666666666675</v>
      </c>
      <c r="H16" s="459">
        <f t="shared" si="3"/>
        <v>770.03666666666675</v>
      </c>
      <c r="I16" s="459">
        <f t="shared" si="3"/>
        <v>770.03666666666675</v>
      </c>
      <c r="J16" s="459">
        <f t="shared" si="3"/>
        <v>770.03666666666675</v>
      </c>
      <c r="K16" s="459">
        <f t="shared" si="3"/>
        <v>770.03666666666675</v>
      </c>
      <c r="L16" s="459">
        <f t="shared" si="3"/>
        <v>770.03666666666675</v>
      </c>
      <c r="M16" s="459">
        <f t="shared" si="3"/>
        <v>770.03666666666675</v>
      </c>
      <c r="N16" s="459">
        <f t="shared" si="3"/>
        <v>770.03666666666675</v>
      </c>
      <c r="O16" s="459">
        <f t="shared" si="3"/>
        <v>770.03666666666675</v>
      </c>
      <c r="P16" s="459">
        <f t="shared" si="3"/>
        <v>770.03666666666675</v>
      </c>
      <c r="Q16" s="459">
        <f t="shared" si="3"/>
        <v>770.03666666666675</v>
      </c>
      <c r="R16" s="460">
        <f t="shared" si="4"/>
        <v>9240.44</v>
      </c>
      <c r="S16" s="285">
        <f t="shared" si="5"/>
        <v>0</v>
      </c>
    </row>
    <row r="17" spans="1:19" x14ac:dyDescent="0.2">
      <c r="A17" s="455">
        <v>61711</v>
      </c>
      <c r="B17" s="456" t="s">
        <v>864</v>
      </c>
      <c r="C17" s="457">
        <f>[6]Depreciation!$I$24</f>
        <v>2440.15</v>
      </c>
      <c r="D17" s="458">
        <f t="shared" si="2"/>
        <v>203.34583333333333</v>
      </c>
      <c r="E17" s="449"/>
      <c r="F17" s="459">
        <f t="shared" si="3"/>
        <v>203.34583333333333</v>
      </c>
      <c r="G17" s="459">
        <f t="shared" si="3"/>
        <v>203.34583333333333</v>
      </c>
      <c r="H17" s="459">
        <f t="shared" si="3"/>
        <v>203.34583333333333</v>
      </c>
      <c r="I17" s="459">
        <f t="shared" si="3"/>
        <v>203.34583333333333</v>
      </c>
      <c r="J17" s="459">
        <f t="shared" si="3"/>
        <v>203.34583333333333</v>
      </c>
      <c r="K17" s="459">
        <f t="shared" si="3"/>
        <v>203.34583333333333</v>
      </c>
      <c r="L17" s="459">
        <f t="shared" si="3"/>
        <v>203.34583333333333</v>
      </c>
      <c r="M17" s="459">
        <f t="shared" si="3"/>
        <v>203.34583333333333</v>
      </c>
      <c r="N17" s="459">
        <f t="shared" si="3"/>
        <v>203.34583333333333</v>
      </c>
      <c r="O17" s="459">
        <f t="shared" si="3"/>
        <v>203.34583333333333</v>
      </c>
      <c r="P17" s="459">
        <f t="shared" si="3"/>
        <v>203.34583333333333</v>
      </c>
      <c r="Q17" s="459">
        <f t="shared" si="3"/>
        <v>203.34583333333333</v>
      </c>
      <c r="R17" s="460">
        <f t="shared" si="4"/>
        <v>2440.15</v>
      </c>
      <c r="S17" s="285">
        <f t="shared" si="5"/>
        <v>0</v>
      </c>
    </row>
    <row r="18" spans="1:19" x14ac:dyDescent="0.2">
      <c r="A18" s="455">
        <v>61712</v>
      </c>
      <c r="B18" s="456" t="s">
        <v>865</v>
      </c>
      <c r="C18" s="457">
        <f>[6]Depreciation!$I$25</f>
        <v>1152.3900000000001</v>
      </c>
      <c r="D18" s="458">
        <f t="shared" si="2"/>
        <v>96.032500000000013</v>
      </c>
      <c r="E18" s="449"/>
      <c r="F18" s="459">
        <f t="shared" si="3"/>
        <v>96.032500000000013</v>
      </c>
      <c r="G18" s="459">
        <f t="shared" si="3"/>
        <v>96.032500000000013</v>
      </c>
      <c r="H18" s="459">
        <f t="shared" si="3"/>
        <v>96.032500000000013</v>
      </c>
      <c r="I18" s="459">
        <f t="shared" si="3"/>
        <v>96.032500000000013</v>
      </c>
      <c r="J18" s="459">
        <f t="shared" si="3"/>
        <v>96.032500000000013</v>
      </c>
      <c r="K18" s="459">
        <f t="shared" si="3"/>
        <v>96.032500000000013</v>
      </c>
      <c r="L18" s="459">
        <f t="shared" si="3"/>
        <v>96.032500000000013</v>
      </c>
      <c r="M18" s="459">
        <f t="shared" si="3"/>
        <v>96.032500000000013</v>
      </c>
      <c r="N18" s="459">
        <f t="shared" si="3"/>
        <v>96.032500000000013</v>
      </c>
      <c r="O18" s="459">
        <f t="shared" si="3"/>
        <v>96.032500000000013</v>
      </c>
      <c r="P18" s="459">
        <f t="shared" si="3"/>
        <v>96.032500000000013</v>
      </c>
      <c r="Q18" s="459">
        <f t="shared" si="3"/>
        <v>96.032500000000013</v>
      </c>
      <c r="R18" s="460">
        <f t="shared" si="4"/>
        <v>1152.3900000000001</v>
      </c>
      <c r="S18" s="285">
        <f t="shared" si="5"/>
        <v>0</v>
      </c>
    </row>
    <row r="19" spans="1:19" x14ac:dyDescent="0.2">
      <c r="A19" s="455">
        <v>61713</v>
      </c>
      <c r="B19" s="456" t="s">
        <v>866</v>
      </c>
      <c r="C19" s="457">
        <f>[6]Depreciation!$I$26</f>
        <v>89126.27</v>
      </c>
      <c r="D19" s="458">
        <f t="shared" si="2"/>
        <v>7427.189166666667</v>
      </c>
      <c r="E19" s="449"/>
      <c r="F19" s="459">
        <f t="shared" si="3"/>
        <v>7427.189166666667</v>
      </c>
      <c r="G19" s="459">
        <f t="shared" si="3"/>
        <v>7427.189166666667</v>
      </c>
      <c r="H19" s="459">
        <f t="shared" si="3"/>
        <v>7427.189166666667</v>
      </c>
      <c r="I19" s="459">
        <f t="shared" si="3"/>
        <v>7427.189166666667</v>
      </c>
      <c r="J19" s="459">
        <f t="shared" si="3"/>
        <v>7427.189166666667</v>
      </c>
      <c r="K19" s="459">
        <f t="shared" si="3"/>
        <v>7427.189166666667</v>
      </c>
      <c r="L19" s="459">
        <f t="shared" si="3"/>
        <v>7427.189166666667</v>
      </c>
      <c r="M19" s="459">
        <f t="shared" si="3"/>
        <v>7427.189166666667</v>
      </c>
      <c r="N19" s="459">
        <f t="shared" si="3"/>
        <v>7427.189166666667</v>
      </c>
      <c r="O19" s="459">
        <f t="shared" si="3"/>
        <v>7427.189166666667</v>
      </c>
      <c r="P19" s="459">
        <f t="shared" si="3"/>
        <v>7427.189166666667</v>
      </c>
      <c r="Q19" s="459">
        <f t="shared" si="3"/>
        <v>7427.189166666667</v>
      </c>
      <c r="R19" s="460">
        <f t="shared" si="4"/>
        <v>89126.269999999975</v>
      </c>
      <c r="S19" s="285">
        <f t="shared" si="5"/>
        <v>0</v>
      </c>
    </row>
    <row r="20" spans="1:19" x14ac:dyDescent="0.2">
      <c r="A20" s="455">
        <v>61737</v>
      </c>
      <c r="B20" s="456" t="s">
        <v>867</v>
      </c>
      <c r="C20" s="457">
        <f>[6]Depreciation!$I$27</f>
        <v>2595.7399999999998</v>
      </c>
      <c r="D20" s="458">
        <f t="shared" si="2"/>
        <v>216.31166666666664</v>
      </c>
      <c r="E20" s="449"/>
      <c r="F20" s="459">
        <f t="shared" si="3"/>
        <v>216.31166666666664</v>
      </c>
      <c r="G20" s="459">
        <f t="shared" si="3"/>
        <v>216.31166666666664</v>
      </c>
      <c r="H20" s="459">
        <f t="shared" si="3"/>
        <v>216.31166666666664</v>
      </c>
      <c r="I20" s="459">
        <f t="shared" si="3"/>
        <v>216.31166666666664</v>
      </c>
      <c r="J20" s="459">
        <f t="shared" si="3"/>
        <v>216.31166666666664</v>
      </c>
      <c r="K20" s="459">
        <f t="shared" si="3"/>
        <v>216.31166666666664</v>
      </c>
      <c r="L20" s="459">
        <f t="shared" si="3"/>
        <v>216.31166666666664</v>
      </c>
      <c r="M20" s="459">
        <f t="shared" si="3"/>
        <v>216.31166666666664</v>
      </c>
      <c r="N20" s="459">
        <f t="shared" si="3"/>
        <v>216.31166666666664</v>
      </c>
      <c r="O20" s="459">
        <f t="shared" si="3"/>
        <v>216.31166666666664</v>
      </c>
      <c r="P20" s="459">
        <f t="shared" si="3"/>
        <v>216.31166666666664</v>
      </c>
      <c r="Q20" s="459">
        <f t="shared" si="3"/>
        <v>216.31166666666664</v>
      </c>
      <c r="R20" s="460">
        <f t="shared" si="4"/>
        <v>2595.7399999999998</v>
      </c>
      <c r="S20" s="285">
        <f t="shared" si="5"/>
        <v>0</v>
      </c>
    </row>
    <row r="21" spans="1:19" x14ac:dyDescent="0.2">
      <c r="A21" s="455">
        <v>61761</v>
      </c>
      <c r="B21" s="456" t="s">
        <v>868</v>
      </c>
      <c r="C21" s="457">
        <f>[14]Depreciation!$U$29</f>
        <v>0</v>
      </c>
      <c r="D21" s="458">
        <f t="shared" si="2"/>
        <v>0</v>
      </c>
      <c r="E21" s="449"/>
      <c r="F21" s="459">
        <f t="shared" si="3"/>
        <v>0</v>
      </c>
      <c r="G21" s="459">
        <f t="shared" si="3"/>
        <v>0</v>
      </c>
      <c r="H21" s="459">
        <f t="shared" si="3"/>
        <v>0</v>
      </c>
      <c r="I21" s="459">
        <f t="shared" si="3"/>
        <v>0</v>
      </c>
      <c r="J21" s="459">
        <f t="shared" si="3"/>
        <v>0</v>
      </c>
      <c r="K21" s="459">
        <f t="shared" si="3"/>
        <v>0</v>
      </c>
      <c r="L21" s="459">
        <f t="shared" si="3"/>
        <v>0</v>
      </c>
      <c r="M21" s="459">
        <f t="shared" si="3"/>
        <v>0</v>
      </c>
      <c r="N21" s="459">
        <f t="shared" si="3"/>
        <v>0</v>
      </c>
      <c r="O21" s="459">
        <f t="shared" si="3"/>
        <v>0</v>
      </c>
      <c r="P21" s="459">
        <f t="shared" si="3"/>
        <v>0</v>
      </c>
      <c r="Q21" s="459">
        <f t="shared" si="3"/>
        <v>0</v>
      </c>
      <c r="R21" s="460">
        <f t="shared" si="4"/>
        <v>0</v>
      </c>
      <c r="S21" s="285">
        <f t="shared" si="5"/>
        <v>0</v>
      </c>
    </row>
    <row r="22" spans="1:19" x14ac:dyDescent="0.2">
      <c r="A22" s="455">
        <v>61802</v>
      </c>
      <c r="B22" s="456" t="s">
        <v>869</v>
      </c>
      <c r="C22" s="457">
        <f>[6]Depreciation!$I$28</f>
        <v>-22962.51</v>
      </c>
      <c r="D22" s="458">
        <f t="shared" si="2"/>
        <v>-1913.5424999999998</v>
      </c>
      <c r="E22" s="449"/>
      <c r="F22" s="459">
        <f t="shared" si="3"/>
        <v>-1913.5424999999998</v>
      </c>
      <c r="G22" s="459">
        <f t="shared" si="3"/>
        <v>-1913.5424999999998</v>
      </c>
      <c r="H22" s="459">
        <f t="shared" si="3"/>
        <v>-1913.5424999999998</v>
      </c>
      <c r="I22" s="459">
        <f t="shared" si="3"/>
        <v>-1913.5424999999998</v>
      </c>
      <c r="J22" s="459">
        <f t="shared" si="3"/>
        <v>-1913.5424999999998</v>
      </c>
      <c r="K22" s="459">
        <f t="shared" si="3"/>
        <v>-1913.5424999999998</v>
      </c>
      <c r="L22" s="459">
        <f t="shared" si="3"/>
        <v>-1913.5424999999998</v>
      </c>
      <c r="M22" s="459">
        <f t="shared" si="3"/>
        <v>-1913.5424999999998</v>
      </c>
      <c r="N22" s="459">
        <f t="shared" si="3"/>
        <v>-1913.5424999999998</v>
      </c>
      <c r="O22" s="459">
        <f t="shared" si="3"/>
        <v>-1913.5424999999998</v>
      </c>
      <c r="P22" s="459">
        <f t="shared" si="3"/>
        <v>-1913.5424999999998</v>
      </c>
      <c r="Q22" s="459">
        <f t="shared" si="3"/>
        <v>-1913.5424999999998</v>
      </c>
      <c r="R22" s="460">
        <f t="shared" si="4"/>
        <v>-22962.51</v>
      </c>
      <c r="S22" s="285">
        <f t="shared" si="5"/>
        <v>0</v>
      </c>
    </row>
    <row r="23" spans="1:19" x14ac:dyDescent="0.2">
      <c r="A23" s="455">
        <v>61849</v>
      </c>
      <c r="B23" s="456" t="s">
        <v>870</v>
      </c>
      <c r="C23" s="457"/>
      <c r="D23" s="458">
        <f t="shared" si="2"/>
        <v>0</v>
      </c>
      <c r="E23" s="449"/>
      <c r="F23" s="459">
        <f t="shared" si="3"/>
        <v>0</v>
      </c>
      <c r="G23" s="459">
        <f t="shared" si="3"/>
        <v>0</v>
      </c>
      <c r="H23" s="459">
        <f t="shared" si="3"/>
        <v>0</v>
      </c>
      <c r="I23" s="459">
        <f t="shared" si="3"/>
        <v>0</v>
      </c>
      <c r="J23" s="459">
        <f t="shared" si="3"/>
        <v>0</v>
      </c>
      <c r="K23" s="459">
        <f t="shared" si="3"/>
        <v>0</v>
      </c>
      <c r="L23" s="459">
        <f t="shared" si="3"/>
        <v>0</v>
      </c>
      <c r="M23" s="459">
        <f t="shared" si="3"/>
        <v>0</v>
      </c>
      <c r="N23" s="459">
        <f t="shared" si="3"/>
        <v>0</v>
      </c>
      <c r="O23" s="459">
        <f t="shared" si="3"/>
        <v>0</v>
      </c>
      <c r="P23" s="459">
        <f t="shared" si="3"/>
        <v>0</v>
      </c>
      <c r="Q23" s="459">
        <f t="shared" si="3"/>
        <v>0</v>
      </c>
      <c r="R23" s="460">
        <f t="shared" si="4"/>
        <v>0</v>
      </c>
      <c r="S23" s="285">
        <f t="shared" si="5"/>
        <v>0</v>
      </c>
    </row>
    <row r="24" spans="1:19" ht="13.5" thickBot="1" x14ac:dyDescent="0.25">
      <c r="A24" s="461"/>
      <c r="B24" s="462"/>
      <c r="C24" s="463">
        <f>SUM(C8:C23)</f>
        <v>888022.8</v>
      </c>
      <c r="D24" s="464">
        <f>SUM(D8:D23)</f>
        <v>74001.899999999994</v>
      </c>
      <c r="E24" s="465"/>
      <c r="F24" s="466">
        <f>SUM(F8:F23)</f>
        <v>74001.899999999994</v>
      </c>
      <c r="G24" s="466">
        <f t="shared" ref="G24:Q24" si="6">SUM(G8:G23)</f>
        <v>74001.899999999994</v>
      </c>
      <c r="H24" s="466">
        <f t="shared" si="6"/>
        <v>74001.899999999994</v>
      </c>
      <c r="I24" s="466">
        <f t="shared" si="6"/>
        <v>74001.899999999994</v>
      </c>
      <c r="J24" s="466">
        <f t="shared" si="6"/>
        <v>74001.899999999994</v>
      </c>
      <c r="K24" s="466">
        <f t="shared" si="6"/>
        <v>74001.899999999994</v>
      </c>
      <c r="L24" s="466">
        <f t="shared" si="6"/>
        <v>74001.899999999994</v>
      </c>
      <c r="M24" s="466">
        <f t="shared" si="6"/>
        <v>74001.899999999994</v>
      </c>
      <c r="N24" s="466">
        <f t="shared" si="6"/>
        <v>74001.899999999994</v>
      </c>
      <c r="O24" s="466">
        <f t="shared" si="6"/>
        <v>74001.899999999994</v>
      </c>
      <c r="P24" s="466">
        <f t="shared" si="6"/>
        <v>74001.899999999994</v>
      </c>
      <c r="Q24" s="466">
        <f t="shared" si="6"/>
        <v>74001.899999999994</v>
      </c>
      <c r="R24" s="467">
        <f t="shared" ref="R24" si="7">SUM(F24:Q24)</f>
        <v>888022.80000000016</v>
      </c>
      <c r="S24" s="285">
        <f t="shared" ref="S24" si="8">C24-R24</f>
        <v>0</v>
      </c>
    </row>
    <row r="31" spans="1:19" x14ac:dyDescent="0.2">
      <c r="L31" s="396"/>
    </row>
  </sheetData>
  <mergeCells count="1">
    <mergeCell ref="B6:E6"/>
  </mergeCells>
  <pageMargins left="0.25" right="0.25" top="0.75" bottom="0.75" header="0.3" footer="0.3"/>
  <pageSetup scale="62" orientation="landscape" r:id="rId1"/>
  <headerFooter>
    <oddHeader>&amp;C&amp;"Arial,Bold"&amp;14DOCTORS MEMORIAL HOSPITAL
FY 2017 BUDGET</oddHeader>
    <oddFooter>&amp;RDEPRECIATION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7"/>
  <sheetViews>
    <sheetView topLeftCell="A866" zoomScaleNormal="100" workbookViewId="0">
      <selection activeCell="G870" sqref="G870"/>
    </sheetView>
  </sheetViews>
  <sheetFormatPr defaultRowHeight="12.75" x14ac:dyDescent="0.2"/>
  <cols>
    <col min="1" max="1" width="13.28515625" customWidth="1"/>
    <col min="2" max="2" width="32.85546875" customWidth="1"/>
    <col min="3" max="3" width="22" customWidth="1"/>
    <col min="4" max="4" width="14" bestFit="1" customWidth="1"/>
    <col min="5" max="5" width="14.85546875" customWidth="1"/>
    <col min="6" max="6" width="15" bestFit="1" customWidth="1"/>
    <col min="7" max="7" width="14" bestFit="1" customWidth="1"/>
    <col min="8" max="8" width="14.140625" bestFit="1" customWidth="1"/>
    <col min="9" max="9" width="15" bestFit="1" customWidth="1"/>
    <col min="10" max="10" width="14.85546875" bestFit="1" customWidth="1"/>
    <col min="11" max="11" width="14.28515625" customWidth="1"/>
    <col min="12" max="12" width="19.28515625" customWidth="1"/>
    <col min="13" max="13" width="14" bestFit="1" customWidth="1"/>
    <col min="15" max="15" width="14.28515625" customWidth="1"/>
    <col min="16" max="16" width="12.7109375" customWidth="1"/>
    <col min="17" max="17" width="14" customWidth="1"/>
    <col min="18" max="18" width="11.5703125" bestFit="1" customWidth="1"/>
    <col min="19" max="19" width="13.140625" bestFit="1" customWidth="1"/>
  </cols>
  <sheetData>
    <row r="1" spans="1:19" x14ac:dyDescent="0.2">
      <c r="B1" t="s">
        <v>891</v>
      </c>
    </row>
    <row r="2" spans="1:19" x14ac:dyDescent="0.2">
      <c r="B2" t="s">
        <v>892</v>
      </c>
      <c r="D2" s="478" t="s">
        <v>1005</v>
      </c>
      <c r="E2" t="s">
        <v>1006</v>
      </c>
    </row>
    <row r="3" spans="1:19" x14ac:dyDescent="0.2">
      <c r="B3" t="s">
        <v>1057</v>
      </c>
    </row>
    <row r="4" spans="1:19" s="1" customFormat="1" ht="12.75" customHeight="1" x14ac:dyDescent="0.2">
      <c r="A4" s="2"/>
      <c r="B4" s="2"/>
      <c r="C4" s="317"/>
      <c r="D4" s="319"/>
      <c r="E4" s="319"/>
      <c r="F4" s="317" t="s">
        <v>49</v>
      </c>
      <c r="G4" s="317" t="s">
        <v>48</v>
      </c>
      <c r="H4" s="317" t="s">
        <v>47</v>
      </c>
      <c r="I4" s="317" t="s">
        <v>46</v>
      </c>
      <c r="J4" s="317" t="s">
        <v>45</v>
      </c>
      <c r="K4" s="317" t="s">
        <v>44</v>
      </c>
      <c r="L4" s="317" t="s">
        <v>43</v>
      </c>
      <c r="M4" s="317" t="s">
        <v>42</v>
      </c>
      <c r="N4" s="317" t="s">
        <v>41</v>
      </c>
      <c r="O4" s="317" t="s">
        <v>40</v>
      </c>
      <c r="P4" s="317" t="s">
        <v>39</v>
      </c>
      <c r="Q4" s="317" t="s">
        <v>38</v>
      </c>
      <c r="R4" s="318" t="s">
        <v>37</v>
      </c>
      <c r="S4" s="2"/>
    </row>
    <row r="6" spans="1:19" x14ac:dyDescent="0.2">
      <c r="A6" s="712" t="s">
        <v>35</v>
      </c>
      <c r="B6" s="712"/>
      <c r="C6" s="712"/>
    </row>
    <row r="7" spans="1:19" x14ac:dyDescent="0.2">
      <c r="A7" s="26"/>
      <c r="B7" s="30" t="s">
        <v>24</v>
      </c>
      <c r="C7" s="33"/>
      <c r="D7" s="19" t="s">
        <v>34</v>
      </c>
    </row>
    <row r="8" spans="1:19" x14ac:dyDescent="0.2">
      <c r="A8" s="32"/>
      <c r="B8" s="25" t="s">
        <v>33</v>
      </c>
      <c r="C8" s="24">
        <f>'MED SURG'!C8</f>
        <v>657384.56237077876</v>
      </c>
      <c r="D8" s="422">
        <f>'MED SURG'!D8</f>
        <v>320.67539627842865</v>
      </c>
      <c r="F8" s="24">
        <f>'MED SURG'!F8</f>
        <v>55797.518952446582</v>
      </c>
      <c r="G8" s="24">
        <f>'MED SURG'!G8</f>
        <v>54835.492763611299</v>
      </c>
      <c r="H8" s="24">
        <f>'MED SURG'!H8</f>
        <v>55797.518952446582</v>
      </c>
      <c r="I8" s="24">
        <f>'MED SURG'!I8</f>
        <v>55797.518952446582</v>
      </c>
      <c r="J8" s="24">
        <f>'MED SURG'!J8</f>
        <v>50346.037215713295</v>
      </c>
      <c r="K8" s="24">
        <f>'MED SURG'!K8</f>
        <v>55797.518952446582</v>
      </c>
      <c r="L8" s="24">
        <f>'MED SURG'!L8</f>
        <v>53873.466574776015</v>
      </c>
      <c r="M8" s="24">
        <f>'MED SURG'!M8</f>
        <v>55797.518952446582</v>
      </c>
      <c r="N8" s="24">
        <f>'MED SURG'!N8</f>
        <v>53873.466574776015</v>
      </c>
      <c r="O8" s="24">
        <f>'MED SURG'!O8</f>
        <v>55797.518952446582</v>
      </c>
      <c r="P8" s="24">
        <f>'MED SURG'!P8</f>
        <v>55797.518952446582</v>
      </c>
      <c r="Q8" s="24">
        <f>'MED SURG'!Q8</f>
        <v>53873.466574776015</v>
      </c>
      <c r="R8" s="24">
        <f>'MED SURG'!R8</f>
        <v>657384.56237077876</v>
      </c>
    </row>
    <row r="9" spans="1:19" x14ac:dyDescent="0.2">
      <c r="A9" s="32"/>
      <c r="B9" s="25" t="s">
        <v>32</v>
      </c>
      <c r="C9" s="24">
        <f>'MED SURG'!C9</f>
        <v>4662.3018607856648</v>
      </c>
      <c r="D9" s="422">
        <f>'MED SURG'!D9</f>
        <v>2.2742935906271535</v>
      </c>
      <c r="F9" s="24">
        <f>'MED SURG'!F9</f>
        <v>395.7270847691247</v>
      </c>
      <c r="G9" s="24">
        <f>'MED SURG'!G9</f>
        <v>388.90420399724326</v>
      </c>
      <c r="H9" s="24">
        <f>'MED SURG'!H9</f>
        <v>395.7270847691247</v>
      </c>
      <c r="I9" s="24">
        <f>'MED SURG'!I9</f>
        <v>395.7270847691247</v>
      </c>
      <c r="J9" s="24">
        <f>'MED SURG'!J9</f>
        <v>357.06409372846309</v>
      </c>
      <c r="K9" s="24">
        <f>'MED SURG'!K9</f>
        <v>395.7270847691247</v>
      </c>
      <c r="L9" s="24">
        <f>'MED SURG'!L9</f>
        <v>382.08132322536181</v>
      </c>
      <c r="M9" s="24">
        <f>'MED SURG'!M9</f>
        <v>395.7270847691247</v>
      </c>
      <c r="N9" s="24">
        <f>'MED SURG'!N9</f>
        <v>382.08132322536181</v>
      </c>
      <c r="O9" s="24">
        <f>'MED SURG'!O9</f>
        <v>395.7270847691247</v>
      </c>
      <c r="P9" s="24">
        <f>'MED SURG'!P9</f>
        <v>395.7270847691247</v>
      </c>
      <c r="Q9" s="24">
        <f>'MED SURG'!Q9</f>
        <v>382.08132322536181</v>
      </c>
      <c r="R9" s="24">
        <f>'MED SURG'!R9</f>
        <v>4662.3018607856648</v>
      </c>
    </row>
    <row r="10" spans="1:19" x14ac:dyDescent="0.2">
      <c r="A10" s="32"/>
      <c r="B10" s="25" t="s">
        <v>31</v>
      </c>
      <c r="C10" s="24">
        <f>'MED SURG'!C10</f>
        <v>62164.024810475537</v>
      </c>
      <c r="D10" s="422">
        <f>'MED SURG'!D10</f>
        <v>30.323914541695384</v>
      </c>
      <c r="F10" s="24">
        <f>'MED SURG'!F10</f>
        <v>5276.3611302549971</v>
      </c>
      <c r="G10" s="24">
        <f>'MED SURG'!G10</f>
        <v>5185.3893866299104</v>
      </c>
      <c r="H10" s="24">
        <f>'MED SURG'!H10</f>
        <v>5276.3611302549971</v>
      </c>
      <c r="I10" s="24">
        <f>'MED SURG'!I10</f>
        <v>5276.3611302549971</v>
      </c>
      <c r="J10" s="24">
        <f>'MED SURG'!J10</f>
        <v>4760.8545830461753</v>
      </c>
      <c r="K10" s="24">
        <f>'MED SURG'!K10</f>
        <v>5276.3611302549971</v>
      </c>
      <c r="L10" s="24">
        <f>'MED SURG'!L10</f>
        <v>5094.4176430048246</v>
      </c>
      <c r="M10" s="24">
        <f>'MED SURG'!M10</f>
        <v>5276.3611302549971</v>
      </c>
      <c r="N10" s="24">
        <f>'MED SURG'!N10</f>
        <v>5094.4176430048246</v>
      </c>
      <c r="O10" s="24">
        <f>'MED SURG'!O10</f>
        <v>5276.3611302549971</v>
      </c>
      <c r="P10" s="24">
        <f>'MED SURG'!P10</f>
        <v>5276.3611302549971</v>
      </c>
      <c r="Q10" s="24">
        <f>'MED SURG'!Q10</f>
        <v>5094.4176430048246</v>
      </c>
      <c r="R10" s="24">
        <f>'MED SURG'!R10</f>
        <v>62164.024810475545</v>
      </c>
    </row>
    <row r="11" spans="1:19" x14ac:dyDescent="0.2">
      <c r="A11" s="32"/>
      <c r="B11" s="25" t="s">
        <v>30</v>
      </c>
      <c r="C11" s="24">
        <f>'MED SURG'!C11</f>
        <v>0</v>
      </c>
      <c r="D11" s="422">
        <f>'MED SURG'!D11</f>
        <v>0</v>
      </c>
      <c r="F11" s="24">
        <f>'MED SURG'!F11</f>
        <v>0</v>
      </c>
      <c r="G11" s="24">
        <f>'MED SURG'!G11</f>
        <v>0</v>
      </c>
      <c r="H11" s="24">
        <f>'MED SURG'!H11</f>
        <v>0</v>
      </c>
      <c r="I11" s="24">
        <f>'MED SURG'!I11</f>
        <v>0</v>
      </c>
      <c r="J11" s="24">
        <f>'MED SURG'!J11</f>
        <v>0</v>
      </c>
      <c r="K11" s="24">
        <f>'MED SURG'!K11</f>
        <v>0</v>
      </c>
      <c r="L11" s="24">
        <f>'MED SURG'!L11</f>
        <v>0</v>
      </c>
      <c r="M11" s="24">
        <f>'MED SURG'!M11</f>
        <v>0</v>
      </c>
      <c r="N11" s="24">
        <f>'MED SURG'!N11</f>
        <v>0</v>
      </c>
      <c r="O11" s="24">
        <f>'MED SURG'!O11</f>
        <v>0</v>
      </c>
      <c r="P11" s="24">
        <f>'MED SURG'!P11</f>
        <v>0</v>
      </c>
      <c r="Q11" s="24">
        <f>'MED SURG'!Q11</f>
        <v>0</v>
      </c>
      <c r="R11" s="24">
        <f>'MED SURG'!R11</f>
        <v>0</v>
      </c>
    </row>
    <row r="12" spans="1:19" x14ac:dyDescent="0.2">
      <c r="A12" s="32"/>
      <c r="B12" s="25" t="s">
        <v>29</v>
      </c>
      <c r="C12" s="24">
        <f>'MED SURG'!C12</f>
        <v>101793.5906271537</v>
      </c>
      <c r="D12" s="422">
        <f>'MED SURG'!D12</f>
        <v>49.655410062026192</v>
      </c>
      <c r="F12" s="24">
        <f>'MED SURG'!F12</f>
        <v>8640.0413507925568</v>
      </c>
      <c r="G12" s="24">
        <f>'MED SURG'!G12</f>
        <v>8491.0751206064797</v>
      </c>
      <c r="H12" s="24">
        <f>'MED SURG'!H12</f>
        <v>8640.0413507925568</v>
      </c>
      <c r="I12" s="24">
        <f>'MED SURG'!I12</f>
        <v>8640.0413507925568</v>
      </c>
      <c r="J12" s="24">
        <f>'MED SURG'!J12</f>
        <v>7795.8993797381117</v>
      </c>
      <c r="K12" s="24">
        <f>'MED SURG'!K12</f>
        <v>8640.0413507925568</v>
      </c>
      <c r="L12" s="24">
        <f>'MED SURG'!L12</f>
        <v>8342.1088904204007</v>
      </c>
      <c r="M12" s="24">
        <f>'MED SURG'!M12</f>
        <v>8640.0413507925568</v>
      </c>
      <c r="N12" s="24">
        <f>'MED SURG'!N12</f>
        <v>8342.1088904204007</v>
      </c>
      <c r="O12" s="24">
        <f>'MED SURG'!O12</f>
        <v>8640.0413507925568</v>
      </c>
      <c r="P12" s="24">
        <f>'MED SURG'!P12</f>
        <v>8640.0413507925568</v>
      </c>
      <c r="Q12" s="24">
        <f>'MED SURG'!Q12</f>
        <v>8342.1088904204007</v>
      </c>
      <c r="R12" s="24">
        <f>'MED SURG'!R12</f>
        <v>101793.5906271537</v>
      </c>
    </row>
    <row r="13" spans="1:19" x14ac:dyDescent="0.2">
      <c r="A13" s="32"/>
      <c r="B13" s="25" t="s">
        <v>28</v>
      </c>
      <c r="C13" s="24">
        <f>'MED SURG'!C13</f>
        <v>258757.75327360441</v>
      </c>
      <c r="D13" s="422">
        <f>'MED SURG'!D13</f>
        <v>126.22329427980704</v>
      </c>
      <c r="F13" s="24">
        <f>'MED SURG'!F13</f>
        <v>21962.853204686424</v>
      </c>
      <c r="G13" s="24">
        <f>'MED SURG'!G13</f>
        <v>21584.183321847002</v>
      </c>
      <c r="H13" s="24">
        <f>'MED SURG'!H13</f>
        <v>21962.853204686424</v>
      </c>
      <c r="I13" s="24">
        <f>'MED SURG'!I13</f>
        <v>21962.853204686424</v>
      </c>
      <c r="J13" s="24">
        <f>'MED SURG'!J13</f>
        <v>19817.057201929703</v>
      </c>
      <c r="K13" s="24">
        <f>'MED SURG'!K13</f>
        <v>21962.853204686424</v>
      </c>
      <c r="L13" s="24">
        <f>'MED SURG'!L13</f>
        <v>21205.513439007584</v>
      </c>
      <c r="M13" s="24">
        <f>'MED SURG'!M13</f>
        <v>21962.853204686424</v>
      </c>
      <c r="N13" s="24">
        <f>'MED SURG'!N13</f>
        <v>21205.513439007584</v>
      </c>
      <c r="O13" s="24">
        <f>'MED SURG'!O13</f>
        <v>21962.853204686424</v>
      </c>
      <c r="P13" s="24">
        <f>'MED SURG'!P13</f>
        <v>21962.853204686424</v>
      </c>
      <c r="Q13" s="24">
        <f>'MED SURG'!Q13</f>
        <v>21205.513439007584</v>
      </c>
      <c r="R13" s="24">
        <f>'MED SURG'!R13</f>
        <v>258757.75327360444</v>
      </c>
    </row>
    <row r="14" spans="1:19" x14ac:dyDescent="0.2">
      <c r="A14" s="32"/>
      <c r="B14" s="25" t="s">
        <v>27</v>
      </c>
      <c r="C14" s="24">
        <f>'MED SURG'!C14</f>
        <v>43514.817367332871</v>
      </c>
      <c r="D14" s="422">
        <f>'MED SURG'!D14</f>
        <v>21.226740179186766</v>
      </c>
      <c r="F14" s="24">
        <f>'MED SURG'!F14</f>
        <v>3693.4527911784971</v>
      </c>
      <c r="G14" s="24">
        <f>'MED SURG'!G14</f>
        <v>3629.7725706409369</v>
      </c>
      <c r="H14" s="24">
        <f>'MED SURG'!H14</f>
        <v>3693.4527911784971</v>
      </c>
      <c r="I14" s="24">
        <f>'MED SURG'!I14</f>
        <v>3693.4527911784971</v>
      </c>
      <c r="J14" s="24">
        <f>'MED SURG'!J14</f>
        <v>3332.5982081323223</v>
      </c>
      <c r="K14" s="24">
        <f>'MED SURG'!K14</f>
        <v>3693.4527911784971</v>
      </c>
      <c r="L14" s="24">
        <f>'MED SURG'!L14</f>
        <v>3566.0923501033767</v>
      </c>
      <c r="M14" s="24">
        <f>'MED SURG'!M14</f>
        <v>3693.4527911784971</v>
      </c>
      <c r="N14" s="24">
        <f>'MED SURG'!N14</f>
        <v>3566.0923501033767</v>
      </c>
      <c r="O14" s="24">
        <f>'MED SURG'!O14</f>
        <v>3693.4527911784971</v>
      </c>
      <c r="P14" s="24">
        <f>'MED SURG'!P14</f>
        <v>3693.4527911784971</v>
      </c>
      <c r="Q14" s="24">
        <f>'MED SURG'!Q14</f>
        <v>3566.0923501033767</v>
      </c>
      <c r="R14" s="24">
        <f>'MED SURG'!R14</f>
        <v>43514.817367332864</v>
      </c>
    </row>
    <row r="15" spans="1:19" x14ac:dyDescent="0.2">
      <c r="A15" s="87">
        <v>31110.001</v>
      </c>
      <c r="B15" s="172" t="s">
        <v>26</v>
      </c>
      <c r="C15" s="293">
        <f>SUM(C8:C14)</f>
        <v>1128277.0503101312</v>
      </c>
      <c r="D15" s="292">
        <v>0</v>
      </c>
    </row>
    <row r="17" spans="1:18" x14ac:dyDescent="0.2">
      <c r="A17" s="51"/>
      <c r="B17" s="10" t="s">
        <v>51</v>
      </c>
      <c r="C17" s="52"/>
      <c r="D17" s="53" t="s">
        <v>23</v>
      </c>
    </row>
    <row r="18" spans="1:18" x14ac:dyDescent="0.2">
      <c r="A18" s="54"/>
      <c r="B18" s="55" t="s">
        <v>33</v>
      </c>
      <c r="C18" s="56">
        <f>'SWING BED'!C8</f>
        <v>1119800</v>
      </c>
      <c r="D18" s="57">
        <f>'[15]SWING 002'!$N$11</f>
        <v>515</v>
      </c>
      <c r="F18" s="56">
        <f>'SWING BED'!F8</f>
        <v>95150</v>
      </c>
      <c r="G18" s="56">
        <f>'SWING BED'!G8</f>
        <v>92950</v>
      </c>
      <c r="H18" s="56">
        <f>'SWING BED'!H8</f>
        <v>95150</v>
      </c>
      <c r="I18" s="56">
        <f>'SWING BED'!I8</f>
        <v>94050</v>
      </c>
      <c r="J18" s="56">
        <f>'SWING BED'!J8</f>
        <v>84700</v>
      </c>
      <c r="K18" s="56">
        <f>'SWING BED'!K8</f>
        <v>95150</v>
      </c>
      <c r="L18" s="56">
        <f>'SWING BED'!L8</f>
        <v>92950</v>
      </c>
      <c r="M18" s="56">
        <f>'SWING BED'!M8</f>
        <v>95150</v>
      </c>
      <c r="N18" s="56">
        <f>'SWING BED'!N8</f>
        <v>91850</v>
      </c>
      <c r="O18" s="56">
        <f>'SWING BED'!O8</f>
        <v>95150</v>
      </c>
      <c r="P18" s="56">
        <f>'SWING BED'!P8</f>
        <v>95700</v>
      </c>
      <c r="Q18" s="56">
        <f>'SWING BED'!Q8</f>
        <v>91850</v>
      </c>
      <c r="R18" s="56">
        <f>'SWING BED'!R8</f>
        <v>1119800</v>
      </c>
    </row>
    <row r="19" spans="1:18" x14ac:dyDescent="0.2">
      <c r="A19" s="54"/>
      <c r="B19" s="55" t="s">
        <v>32</v>
      </c>
      <c r="C19" s="56">
        <f>'SWING BED'!C9</f>
        <v>0</v>
      </c>
      <c r="D19" s="57">
        <f>'[15]SWING 002'!$N$12</f>
        <v>0</v>
      </c>
    </row>
    <row r="20" spans="1:18" x14ac:dyDescent="0.2">
      <c r="A20" s="54"/>
      <c r="B20" s="55" t="s">
        <v>31</v>
      </c>
      <c r="C20" s="56">
        <f>'SWING BED'!C10</f>
        <v>0</v>
      </c>
      <c r="D20" s="57">
        <f>'[15]SWING 002'!$N$13</f>
        <v>0</v>
      </c>
    </row>
    <row r="21" spans="1:18" x14ac:dyDescent="0.2">
      <c r="A21" s="54"/>
      <c r="B21" s="55" t="s">
        <v>30</v>
      </c>
      <c r="C21" s="56">
        <f>'SWING BED'!C11</f>
        <v>0</v>
      </c>
      <c r="D21" s="57">
        <f>'[15]SWING 002'!$N$14</f>
        <v>0</v>
      </c>
    </row>
    <row r="22" spans="1:18" x14ac:dyDescent="0.2">
      <c r="A22" s="54"/>
      <c r="B22" s="55" t="s">
        <v>29</v>
      </c>
      <c r="C22" s="56">
        <f>'SWING BED'!C12</f>
        <v>0</v>
      </c>
      <c r="D22" s="57">
        <f>'[15]SWING 002'!$N$15</f>
        <v>0</v>
      </c>
      <c r="F22" s="286"/>
    </row>
    <row r="23" spans="1:18" x14ac:dyDescent="0.2">
      <c r="A23" s="54"/>
      <c r="B23" s="55" t="s">
        <v>28</v>
      </c>
      <c r="C23" s="56">
        <f>'SWING BED'!C13</f>
        <v>0</v>
      </c>
      <c r="D23" s="57">
        <f>'[15]SWING 002'!$N$16</f>
        <v>0</v>
      </c>
      <c r="F23" s="56">
        <f>'SWING BED'!F13</f>
        <v>0</v>
      </c>
      <c r="G23" s="56">
        <f>'SWING BED'!G13</f>
        <v>0</v>
      </c>
      <c r="H23" s="56">
        <f>'SWING BED'!H13</f>
        <v>0</v>
      </c>
      <c r="I23" s="56">
        <f>'SWING BED'!I13</f>
        <v>0</v>
      </c>
      <c r="J23" s="56">
        <f>'SWING BED'!J13</f>
        <v>0</v>
      </c>
      <c r="K23" s="56">
        <f>'SWING BED'!K13</f>
        <v>0</v>
      </c>
      <c r="L23" s="56">
        <f>'SWING BED'!L13</f>
        <v>0</v>
      </c>
      <c r="M23" s="56">
        <f>'SWING BED'!M13</f>
        <v>0</v>
      </c>
      <c r="N23" s="56">
        <f>'SWING BED'!N13</f>
        <v>0</v>
      </c>
      <c r="O23" s="56">
        <f>'SWING BED'!O13</f>
        <v>0</v>
      </c>
      <c r="P23" s="56">
        <f>'SWING BED'!P13</f>
        <v>0</v>
      </c>
      <c r="Q23" s="56">
        <f>'SWING BED'!Q13</f>
        <v>0</v>
      </c>
      <c r="R23" s="56">
        <f>'SWING BED'!R13</f>
        <v>0</v>
      </c>
    </row>
    <row r="24" spans="1:18" x14ac:dyDescent="0.2">
      <c r="A24" s="54"/>
      <c r="B24" s="55" t="s">
        <v>27</v>
      </c>
      <c r="C24" s="56">
        <f t="shared" ref="C24" si="0">D24*C$2</f>
        <v>0</v>
      </c>
      <c r="D24" s="57">
        <f>'[15]SWING 002'!$N$17</f>
        <v>0</v>
      </c>
    </row>
    <row r="25" spans="1:18" x14ac:dyDescent="0.2">
      <c r="A25" s="87">
        <v>31111.002</v>
      </c>
      <c r="B25" s="172" t="s">
        <v>52</v>
      </c>
      <c r="C25" s="293">
        <f>SUM(C18:C24)</f>
        <v>1119800</v>
      </c>
      <c r="D25" s="295">
        <v>0</v>
      </c>
      <c r="F25" s="286"/>
    </row>
    <row r="27" spans="1:18" x14ac:dyDescent="0.2">
      <c r="A27" s="21"/>
      <c r="B27" s="10" t="s">
        <v>345</v>
      </c>
      <c r="C27" s="20"/>
      <c r="D27" s="74" t="s">
        <v>346</v>
      </c>
    </row>
    <row r="28" spans="1:18" x14ac:dyDescent="0.2">
      <c r="A28" s="16"/>
      <c r="B28" s="55" t="s">
        <v>33</v>
      </c>
      <c r="C28" s="75">
        <f>ICU!C6</f>
        <v>0</v>
      </c>
      <c r="D28" s="57">
        <v>0</v>
      </c>
    </row>
    <row r="29" spans="1:18" x14ac:dyDescent="0.2">
      <c r="A29" s="16"/>
      <c r="B29" s="55" t="s">
        <v>32</v>
      </c>
      <c r="C29" s="75">
        <f>ICU!C7</f>
        <v>0</v>
      </c>
      <c r="D29" s="57">
        <v>0</v>
      </c>
    </row>
    <row r="30" spans="1:18" x14ac:dyDescent="0.2">
      <c r="A30" s="16"/>
      <c r="B30" s="55" t="s">
        <v>31</v>
      </c>
      <c r="C30" s="75">
        <f>ICU!C8</f>
        <v>0</v>
      </c>
      <c r="D30" s="57">
        <v>0</v>
      </c>
    </row>
    <row r="31" spans="1:18" x14ac:dyDescent="0.2">
      <c r="A31" s="16"/>
      <c r="B31" s="55" t="s">
        <v>30</v>
      </c>
      <c r="C31" s="75">
        <f>ICU!C9</f>
        <v>0</v>
      </c>
      <c r="D31" s="57">
        <v>0</v>
      </c>
    </row>
    <row r="32" spans="1:18" x14ac:dyDescent="0.2">
      <c r="A32" s="16"/>
      <c r="B32" s="55" t="s">
        <v>29</v>
      </c>
      <c r="C32" s="75">
        <f>ICU!C10</f>
        <v>0</v>
      </c>
      <c r="D32" s="57">
        <v>0</v>
      </c>
    </row>
    <row r="33" spans="1:18" x14ac:dyDescent="0.2">
      <c r="A33" s="16"/>
      <c r="B33" s="55" t="s">
        <v>28</v>
      </c>
      <c r="C33" s="75">
        <f>ICU!C11</f>
        <v>0</v>
      </c>
      <c r="D33" s="57">
        <v>0</v>
      </c>
    </row>
    <row r="34" spans="1:18" x14ac:dyDescent="0.2">
      <c r="A34" s="16"/>
      <c r="B34" s="55" t="s">
        <v>27</v>
      </c>
      <c r="C34" s="75">
        <f>ICU!C12</f>
        <v>0</v>
      </c>
      <c r="D34" s="57">
        <v>0</v>
      </c>
    </row>
    <row r="35" spans="1:18" x14ac:dyDescent="0.2">
      <c r="A35" s="87">
        <v>31110.003000000001</v>
      </c>
      <c r="B35" s="175" t="s">
        <v>347</v>
      </c>
      <c r="C35" s="293">
        <f>SUM(C28:C34)</f>
        <v>0</v>
      </c>
      <c r="D35" s="295"/>
    </row>
    <row r="37" spans="1:18" x14ac:dyDescent="0.2">
      <c r="A37" s="21"/>
      <c r="B37" s="10" t="s">
        <v>375</v>
      </c>
      <c r="C37" s="86" t="s">
        <v>348</v>
      </c>
      <c r="D37" s="85" t="s">
        <v>351</v>
      </c>
    </row>
    <row r="38" spans="1:18" x14ac:dyDescent="0.2">
      <c r="A38" s="16"/>
      <c r="B38" s="29" t="s">
        <v>352</v>
      </c>
      <c r="C38" s="28">
        <f>OBS!C9</f>
        <v>690</v>
      </c>
      <c r="D38" s="57">
        <f>'[15]OBS 008'!$N$11</f>
        <v>13.884297520661157</v>
      </c>
      <c r="F38" s="286">
        <f>OBS!F9</f>
        <v>46</v>
      </c>
      <c r="G38" s="286">
        <f>OBS!G9</f>
        <v>23</v>
      </c>
      <c r="H38" s="286">
        <f>OBS!H9</f>
        <v>23</v>
      </c>
      <c r="I38" s="286">
        <f>OBS!I9</f>
        <v>23</v>
      </c>
      <c r="J38" s="286">
        <f>OBS!J9</f>
        <v>46</v>
      </c>
      <c r="K38" s="286">
        <f>OBS!K9</f>
        <v>46</v>
      </c>
      <c r="L38" s="286">
        <f>OBS!L9</f>
        <v>115</v>
      </c>
      <c r="M38" s="286">
        <f>OBS!M9</f>
        <v>138</v>
      </c>
      <c r="N38" s="286">
        <f>OBS!N9</f>
        <v>46</v>
      </c>
      <c r="O38" s="286">
        <f>OBS!O9</f>
        <v>69</v>
      </c>
      <c r="P38" s="286">
        <f>OBS!P9</f>
        <v>69</v>
      </c>
      <c r="Q38" s="286">
        <f>OBS!Q9</f>
        <v>46</v>
      </c>
      <c r="R38" s="286">
        <f>OBS!R9</f>
        <v>690</v>
      </c>
    </row>
    <row r="39" spans="1:18" x14ac:dyDescent="0.2">
      <c r="A39" s="16"/>
      <c r="B39" s="29" t="s">
        <v>353</v>
      </c>
      <c r="C39" s="28">
        <f>OBS!C10</f>
        <v>720</v>
      </c>
      <c r="D39" s="57">
        <f>'[15]OBS 008'!$N$12</f>
        <v>11.504132231404959</v>
      </c>
      <c r="F39" s="286">
        <f>OBS!F10</f>
        <v>48</v>
      </c>
      <c r="G39" s="286">
        <f>OBS!G10</f>
        <v>24</v>
      </c>
      <c r="H39" s="286">
        <f>OBS!H10</f>
        <v>24</v>
      </c>
      <c r="I39" s="286">
        <f>OBS!I10</f>
        <v>24</v>
      </c>
      <c r="J39" s="286">
        <f>OBS!J10</f>
        <v>48</v>
      </c>
      <c r="K39" s="286">
        <f>OBS!K10</f>
        <v>48</v>
      </c>
      <c r="L39" s="286">
        <f>OBS!L10</f>
        <v>120</v>
      </c>
      <c r="M39" s="286">
        <f>OBS!M10</f>
        <v>144</v>
      </c>
      <c r="N39" s="286">
        <f>OBS!N10</f>
        <v>48</v>
      </c>
      <c r="O39" s="286">
        <f>OBS!O10</f>
        <v>72</v>
      </c>
      <c r="P39" s="286">
        <f>OBS!P10</f>
        <v>72</v>
      </c>
      <c r="Q39" s="286">
        <f>OBS!Q10</f>
        <v>48</v>
      </c>
      <c r="R39" s="286">
        <f>OBS!R10</f>
        <v>720</v>
      </c>
    </row>
    <row r="40" spans="1:18" x14ac:dyDescent="0.2">
      <c r="A40" s="16"/>
      <c r="B40" s="29" t="s">
        <v>355</v>
      </c>
      <c r="C40" s="28">
        <f>OBS!C11</f>
        <v>1080</v>
      </c>
      <c r="D40" s="57">
        <f>'[15]OBS 008'!$N$13</f>
        <v>0</v>
      </c>
      <c r="F40" s="286">
        <f>OBS!F11</f>
        <v>72</v>
      </c>
      <c r="G40" s="286">
        <f>OBS!G11</f>
        <v>36</v>
      </c>
      <c r="H40" s="286">
        <f>OBS!H11</f>
        <v>36</v>
      </c>
      <c r="I40" s="286">
        <f>OBS!I11</f>
        <v>36</v>
      </c>
      <c r="J40" s="286">
        <f>OBS!J11</f>
        <v>72</v>
      </c>
      <c r="K40" s="286">
        <f>OBS!K11</f>
        <v>72</v>
      </c>
      <c r="L40" s="286">
        <f>OBS!L11</f>
        <v>180</v>
      </c>
      <c r="M40" s="286">
        <f>OBS!M11</f>
        <v>216</v>
      </c>
      <c r="N40" s="286">
        <f>OBS!N11</f>
        <v>72</v>
      </c>
      <c r="O40" s="286">
        <f>OBS!O11</f>
        <v>108</v>
      </c>
      <c r="P40" s="286">
        <f>OBS!P11</f>
        <v>108</v>
      </c>
      <c r="Q40" s="286">
        <f>OBS!Q11</f>
        <v>72</v>
      </c>
      <c r="R40" s="286">
        <f>OBS!R11</f>
        <v>1080</v>
      </c>
    </row>
    <row r="41" spans="1:18" x14ac:dyDescent="0.2">
      <c r="A41" s="16"/>
      <c r="B41" s="55" t="s">
        <v>370</v>
      </c>
      <c r="C41" s="28">
        <f>OBS!C12</f>
        <v>0</v>
      </c>
      <c r="D41" s="57">
        <f>'[15]OBS 008'!$N$14</f>
        <v>0</v>
      </c>
      <c r="F41" s="286">
        <f>OBS!F12</f>
        <v>0</v>
      </c>
      <c r="G41" s="286">
        <f>OBS!G12</f>
        <v>0</v>
      </c>
      <c r="H41" s="286">
        <f>OBS!H12</f>
        <v>0</v>
      </c>
      <c r="I41" s="286">
        <f>OBS!I12</f>
        <v>0</v>
      </c>
      <c r="J41" s="286">
        <f>OBS!J12</f>
        <v>0</v>
      </c>
      <c r="K41" s="286">
        <f>OBS!K12</f>
        <v>0</v>
      </c>
      <c r="L41" s="286">
        <f>OBS!L12</f>
        <v>0</v>
      </c>
      <c r="M41" s="286">
        <f>OBS!M12</f>
        <v>0</v>
      </c>
      <c r="N41" s="286">
        <f>OBS!N12</f>
        <v>0</v>
      </c>
      <c r="O41" s="286">
        <f>OBS!O12</f>
        <v>0</v>
      </c>
      <c r="P41" s="286">
        <f>OBS!P12</f>
        <v>0</v>
      </c>
      <c r="Q41" s="286">
        <f>OBS!Q12</f>
        <v>0</v>
      </c>
      <c r="R41" s="286">
        <f>OBS!R12</f>
        <v>0</v>
      </c>
    </row>
    <row r="42" spans="1:18" x14ac:dyDescent="0.2">
      <c r="A42" s="16"/>
      <c r="B42" s="55" t="s">
        <v>356</v>
      </c>
      <c r="C42" s="28">
        <f>OBS!C13</f>
        <v>0</v>
      </c>
      <c r="D42" s="57">
        <f>'[15]OBS 008'!$N$15</f>
        <v>0</v>
      </c>
      <c r="F42" s="286">
        <f>OBS!F13</f>
        <v>0</v>
      </c>
      <c r="G42" s="286">
        <f>OBS!G13</f>
        <v>0</v>
      </c>
      <c r="H42" s="286">
        <f>OBS!H13</f>
        <v>0</v>
      </c>
      <c r="I42" s="286">
        <f>OBS!I13</f>
        <v>0</v>
      </c>
      <c r="J42" s="286">
        <f>OBS!J13</f>
        <v>0</v>
      </c>
      <c r="K42" s="286">
        <f>OBS!K13</f>
        <v>0</v>
      </c>
      <c r="L42" s="286">
        <f>OBS!L13</f>
        <v>0</v>
      </c>
      <c r="M42" s="286">
        <f>OBS!M13</f>
        <v>0</v>
      </c>
      <c r="N42" s="286">
        <f>OBS!N13</f>
        <v>0</v>
      </c>
      <c r="O42" s="286">
        <f>OBS!O13</f>
        <v>0</v>
      </c>
      <c r="P42" s="286">
        <f>OBS!P13</f>
        <v>0</v>
      </c>
      <c r="Q42" s="286">
        <f>OBS!Q13</f>
        <v>0</v>
      </c>
      <c r="R42" s="286">
        <f>OBS!R13</f>
        <v>0</v>
      </c>
    </row>
    <row r="43" spans="1:18" x14ac:dyDescent="0.2">
      <c r="A43" s="16"/>
      <c r="B43" s="55" t="s">
        <v>354</v>
      </c>
      <c r="C43" s="28">
        <f>OBS!C14</f>
        <v>3750</v>
      </c>
      <c r="D43" s="57">
        <f>'[15]OBS 008'!$N$16</f>
        <v>5.9504132231404956</v>
      </c>
      <c r="F43" s="286">
        <f>OBS!F14</f>
        <v>250</v>
      </c>
      <c r="G43" s="286">
        <f>OBS!G14</f>
        <v>125</v>
      </c>
      <c r="H43" s="286">
        <f>OBS!H14</f>
        <v>125</v>
      </c>
      <c r="I43" s="286">
        <f>OBS!I14</f>
        <v>125</v>
      </c>
      <c r="J43" s="286">
        <f>OBS!J14</f>
        <v>250</v>
      </c>
      <c r="K43" s="286">
        <f>OBS!K14</f>
        <v>250</v>
      </c>
      <c r="L43" s="286">
        <f>OBS!L14</f>
        <v>625</v>
      </c>
      <c r="M43" s="286">
        <f>OBS!M14</f>
        <v>750</v>
      </c>
      <c r="N43" s="286">
        <f>OBS!N14</f>
        <v>250</v>
      </c>
      <c r="O43" s="286">
        <f>OBS!O14</f>
        <v>375</v>
      </c>
      <c r="P43" s="286">
        <f>OBS!P14</f>
        <v>375</v>
      </c>
      <c r="Q43" s="286">
        <f>OBS!Q14</f>
        <v>250</v>
      </c>
      <c r="R43" s="286">
        <f>OBS!R14</f>
        <v>3750</v>
      </c>
    </row>
    <row r="44" spans="1:18" x14ac:dyDescent="0.2">
      <c r="A44" s="16"/>
      <c r="B44" s="55" t="s">
        <v>371</v>
      </c>
      <c r="C44" s="28">
        <f>OBS!C15</f>
        <v>0</v>
      </c>
      <c r="D44" s="57">
        <f>'[15]OBS 008'!$N$17</f>
        <v>0</v>
      </c>
      <c r="F44" s="286">
        <f>OBS!F15</f>
        <v>0</v>
      </c>
      <c r="G44" s="286">
        <f>OBS!G15</f>
        <v>0</v>
      </c>
      <c r="H44" s="286">
        <f>OBS!H15</f>
        <v>0</v>
      </c>
      <c r="I44" s="286">
        <f>OBS!I15</f>
        <v>0</v>
      </c>
      <c r="J44" s="286">
        <f>OBS!J15</f>
        <v>0</v>
      </c>
      <c r="K44" s="286">
        <f>OBS!K15</f>
        <v>0</v>
      </c>
      <c r="L44" s="286">
        <f>OBS!L15</f>
        <v>0</v>
      </c>
      <c r="M44" s="286">
        <f>OBS!M15</f>
        <v>0</v>
      </c>
      <c r="N44" s="286">
        <f>OBS!N15</f>
        <v>0</v>
      </c>
      <c r="O44" s="286">
        <f>OBS!O15</f>
        <v>0</v>
      </c>
      <c r="P44" s="286">
        <f>OBS!P15</f>
        <v>0</v>
      </c>
      <c r="Q44" s="286">
        <f>OBS!Q15</f>
        <v>0</v>
      </c>
      <c r="R44" s="286">
        <f>OBS!R15</f>
        <v>0</v>
      </c>
    </row>
    <row r="45" spans="1:18" x14ac:dyDescent="0.2">
      <c r="A45" s="87">
        <v>31110.008000000002</v>
      </c>
      <c r="B45" s="161" t="s">
        <v>368</v>
      </c>
      <c r="C45" s="293">
        <f>SUM(C38:C44)</f>
        <v>6240</v>
      </c>
      <c r="D45" s="295"/>
    </row>
    <row r="46" spans="1:18" x14ac:dyDescent="0.2">
      <c r="A46" s="16"/>
      <c r="B46" s="55"/>
      <c r="C46" s="28"/>
      <c r="D46" s="50"/>
    </row>
    <row r="47" spans="1:18" x14ac:dyDescent="0.2">
      <c r="A47" s="51"/>
      <c r="B47" s="10" t="s">
        <v>975</v>
      </c>
      <c r="C47" s="52"/>
      <c r="D47" s="53" t="s">
        <v>974</v>
      </c>
    </row>
    <row r="48" spans="1:18" x14ac:dyDescent="0.2">
      <c r="A48" s="54"/>
      <c r="B48" s="55" t="s">
        <v>33</v>
      </c>
      <c r="C48" s="56">
        <f>'IP PROFEE'!C8</f>
        <v>8059.8</v>
      </c>
      <c r="D48" s="57">
        <f>'[9]IP PROFEE'!$M$11</f>
        <v>0</v>
      </c>
      <c r="E48" s="692"/>
    </row>
    <row r="49" spans="1:5" x14ac:dyDescent="0.2">
      <c r="A49" s="54"/>
      <c r="B49" s="55" t="s">
        <v>32</v>
      </c>
      <c r="C49" s="56">
        <f>'IP PROFEE'!C9</f>
        <v>353.5</v>
      </c>
      <c r="D49" s="57">
        <f>'[9]IP PROFEE'!$M$12</f>
        <v>0</v>
      </c>
      <c r="E49" s="692"/>
    </row>
    <row r="50" spans="1:5" x14ac:dyDescent="0.2">
      <c r="A50" s="54"/>
      <c r="B50" s="55" t="s">
        <v>31</v>
      </c>
      <c r="C50" s="56">
        <f>'IP PROFEE'!C10</f>
        <v>6469.05</v>
      </c>
      <c r="D50" s="57">
        <f>'[9]IP PROFEE'!$M$13</f>
        <v>54.599999999999994</v>
      </c>
      <c r="E50" s="692"/>
    </row>
    <row r="51" spans="1:5" x14ac:dyDescent="0.2">
      <c r="A51" s="54"/>
      <c r="B51" s="55" t="s">
        <v>30</v>
      </c>
      <c r="C51" s="56">
        <f>'IP PROFEE'!C11</f>
        <v>0</v>
      </c>
      <c r="D51" s="57">
        <f>'[9]IP PROFEE'!$M$14</f>
        <v>85.4</v>
      </c>
      <c r="E51" s="692"/>
    </row>
    <row r="52" spans="1:5" x14ac:dyDescent="0.2">
      <c r="A52" s="54"/>
      <c r="B52" s="55" t="s">
        <v>29</v>
      </c>
      <c r="C52" s="56">
        <f>'IP PROFEE'!C12</f>
        <v>2050.2999999999997</v>
      </c>
      <c r="D52" s="57">
        <f>'[9]IP PROFEE'!$M$15</f>
        <v>210</v>
      </c>
      <c r="E52" s="692"/>
    </row>
    <row r="53" spans="1:5" x14ac:dyDescent="0.2">
      <c r="A53" s="54"/>
      <c r="B53" s="55" t="s">
        <v>28</v>
      </c>
      <c r="C53" s="56">
        <f>'IP PROFEE'!C13</f>
        <v>17180.099999999999</v>
      </c>
      <c r="D53" s="57"/>
      <c r="E53" s="692"/>
    </row>
    <row r="54" spans="1:5" x14ac:dyDescent="0.2">
      <c r="A54" s="54"/>
      <c r="B54" s="55" t="s">
        <v>27</v>
      </c>
      <c r="C54" s="56">
        <f>'IP PROFEE'!C14</f>
        <v>1237.2500000000002</v>
      </c>
      <c r="D54" s="57"/>
      <c r="E54" s="692"/>
    </row>
    <row r="55" spans="1:5" x14ac:dyDescent="0.2">
      <c r="A55" s="87">
        <v>31110.005000000001</v>
      </c>
      <c r="B55" s="172" t="s">
        <v>976</v>
      </c>
      <c r="C55" s="293">
        <f>SUM(C48:C54)</f>
        <v>35350</v>
      </c>
      <c r="D55" s="295">
        <v>0</v>
      </c>
    </row>
    <row r="56" spans="1:5" x14ac:dyDescent="0.2">
      <c r="A56" s="16"/>
      <c r="B56" s="55"/>
      <c r="C56" s="28"/>
      <c r="D56" s="50"/>
    </row>
    <row r="57" spans="1:5" x14ac:dyDescent="0.2">
      <c r="A57" s="16"/>
      <c r="B57" s="29" t="s">
        <v>358</v>
      </c>
      <c r="C57" s="28">
        <f>OBS!C17</f>
        <v>44528</v>
      </c>
      <c r="D57" s="57">
        <f>'[15]OBS 008'!$N$18</f>
        <v>320.1322314049587</v>
      </c>
    </row>
    <row r="58" spans="1:5" x14ac:dyDescent="0.2">
      <c r="A58" s="16"/>
      <c r="B58" s="29" t="s">
        <v>359</v>
      </c>
      <c r="C58" s="28">
        <f>OBS!C18</f>
        <v>401.45454545454544</v>
      </c>
      <c r="D58" s="57">
        <f>'[15]OBS 008'!$N$19</f>
        <v>115.83471074380165</v>
      </c>
    </row>
    <row r="59" spans="1:5" x14ac:dyDescent="0.2">
      <c r="A59" s="16"/>
      <c r="B59" s="29" t="s">
        <v>372</v>
      </c>
      <c r="C59" s="28">
        <f>OBS!C19</f>
        <v>8698.181818181818</v>
      </c>
      <c r="D59" s="57">
        <f>'[15]OBS 008'!$N$20</f>
        <v>52.561983471074377</v>
      </c>
    </row>
    <row r="60" spans="1:5" x14ac:dyDescent="0.2">
      <c r="A60" s="16"/>
      <c r="B60" s="29" t="s">
        <v>373</v>
      </c>
      <c r="C60" s="28">
        <f>OBS!C20</f>
        <v>0</v>
      </c>
      <c r="D60" s="57">
        <f>'[15]OBS 008'!$N$21</f>
        <v>0</v>
      </c>
    </row>
    <row r="61" spans="1:5" x14ac:dyDescent="0.2">
      <c r="A61" s="16"/>
      <c r="B61" s="29" t="s">
        <v>361</v>
      </c>
      <c r="C61" s="28">
        <f>OBS!C21</f>
        <v>5653.818181818182</v>
      </c>
      <c r="D61" s="57">
        <f>'[15]OBS 008'!$N$22</f>
        <v>29.553719008264462</v>
      </c>
    </row>
    <row r="62" spans="1:5" x14ac:dyDescent="0.2">
      <c r="A62" s="16"/>
      <c r="B62" s="29" t="s">
        <v>360</v>
      </c>
      <c r="C62" s="28">
        <f>OBS!C22</f>
        <v>30276.36363636364</v>
      </c>
      <c r="D62" s="57">
        <f>'[15]OBS 008'!$N$23</f>
        <v>0</v>
      </c>
    </row>
    <row r="63" spans="1:5" x14ac:dyDescent="0.2">
      <c r="A63" s="16"/>
      <c r="B63" s="29" t="s">
        <v>374</v>
      </c>
      <c r="C63" s="28">
        <f>OBS!C23</f>
        <v>7995.6363636363631</v>
      </c>
      <c r="D63" s="57">
        <f>'[15]OBS 008'!$N$24</f>
        <v>75.173553719008268</v>
      </c>
    </row>
    <row r="64" spans="1:5" x14ac:dyDescent="0.2">
      <c r="A64" s="87">
        <v>31200.008000000002</v>
      </c>
      <c r="B64" s="161" t="s">
        <v>369</v>
      </c>
      <c r="C64" s="293">
        <f>SUM(C57:C63)</f>
        <v>97553.454545454544</v>
      </c>
      <c r="D64" s="295"/>
    </row>
    <row r="66" spans="1:4" x14ac:dyDescent="0.2">
      <c r="A66" s="21"/>
      <c r="B66" s="10" t="s">
        <v>349</v>
      </c>
      <c r="C66" s="20"/>
      <c r="D66" s="102" t="s">
        <v>350</v>
      </c>
    </row>
    <row r="67" spans="1:4" x14ac:dyDescent="0.2">
      <c r="A67" s="16"/>
      <c r="B67" s="29" t="s">
        <v>352</v>
      </c>
      <c r="C67" s="75">
        <f>OR!C20</f>
        <v>33178.695652173912</v>
      </c>
      <c r="D67" s="13">
        <f>'[15]OR 011'!$N$11</f>
        <v>569.05555555555554</v>
      </c>
    </row>
    <row r="68" spans="1:4" x14ac:dyDescent="0.2">
      <c r="A68" s="16"/>
      <c r="B68" s="29" t="s">
        <v>353</v>
      </c>
      <c r="C68" s="75">
        <f>OR!C21</f>
        <v>0</v>
      </c>
      <c r="D68" s="13">
        <f>'[15]OR 011'!$N$12</f>
        <v>10.962962962962964</v>
      </c>
    </row>
    <row r="69" spans="1:4" x14ac:dyDescent="0.2">
      <c r="A69" s="16"/>
      <c r="B69" s="29" t="s">
        <v>355</v>
      </c>
      <c r="C69" s="75">
        <f>OR!C22</f>
        <v>31955.869565217392</v>
      </c>
      <c r="D69" s="13">
        <f>'[15]OR 011'!$N$13</f>
        <v>0</v>
      </c>
    </row>
    <row r="70" spans="1:4" x14ac:dyDescent="0.2">
      <c r="A70" s="16"/>
      <c r="B70" s="29" t="s">
        <v>370</v>
      </c>
      <c r="C70" s="75">
        <f>OR!C23</f>
        <v>0</v>
      </c>
      <c r="D70" s="13">
        <f>'[15]OR 011'!$N$14</f>
        <v>0</v>
      </c>
    </row>
    <row r="71" spans="1:4" x14ac:dyDescent="0.2">
      <c r="A71" s="16"/>
      <c r="B71" s="29" t="s">
        <v>356</v>
      </c>
      <c r="C71" s="75">
        <f>OR!C24</f>
        <v>13079.347826086958</v>
      </c>
      <c r="D71" s="13">
        <f>'[15]OR 011'!$N$15</f>
        <v>0</v>
      </c>
    </row>
    <row r="72" spans="1:4" x14ac:dyDescent="0.2">
      <c r="A72" s="16"/>
      <c r="B72" s="29" t="s">
        <v>354</v>
      </c>
      <c r="C72" s="75">
        <f>OR!C25</f>
        <v>9880.434782608696</v>
      </c>
      <c r="D72" s="13">
        <f>'[15]OR 011'!$N$16</f>
        <v>0</v>
      </c>
    </row>
    <row r="73" spans="1:4" x14ac:dyDescent="0.2">
      <c r="A73" s="16"/>
      <c r="B73" s="29" t="s">
        <v>357</v>
      </c>
      <c r="C73" s="75">
        <f>OR!C26</f>
        <v>10031.08695652174</v>
      </c>
      <c r="D73" s="13">
        <f>'[15]OR 011'!$N$17</f>
        <v>6.8518518518518521</v>
      </c>
    </row>
    <row r="74" spans="1:4" x14ac:dyDescent="0.2">
      <c r="A74" s="87">
        <v>31110.010999999999</v>
      </c>
      <c r="B74" s="161" t="s">
        <v>376</v>
      </c>
      <c r="C74" s="293">
        <f>SUM(C67:C73)</f>
        <v>98125.434782608689</v>
      </c>
      <c r="D74" s="292"/>
    </row>
    <row r="75" spans="1:4" x14ac:dyDescent="0.2">
      <c r="A75" s="87"/>
      <c r="B75" s="161"/>
      <c r="C75" s="88"/>
      <c r="D75" s="104"/>
    </row>
    <row r="76" spans="1:4" x14ac:dyDescent="0.2">
      <c r="A76" s="87"/>
      <c r="B76" s="29" t="s">
        <v>424</v>
      </c>
      <c r="C76" s="75">
        <f>OR!C28</f>
        <v>0</v>
      </c>
      <c r="D76" s="13">
        <v>0</v>
      </c>
    </row>
    <row r="77" spans="1:4" x14ac:dyDescent="0.2">
      <c r="A77" s="87"/>
      <c r="B77" s="29" t="s">
        <v>425</v>
      </c>
      <c r="C77" s="75">
        <f>OR!C29</f>
        <v>0</v>
      </c>
      <c r="D77" s="13">
        <v>0</v>
      </c>
    </row>
    <row r="78" spans="1:4" x14ac:dyDescent="0.2">
      <c r="A78" s="87"/>
      <c r="B78" s="29" t="s">
        <v>426</v>
      </c>
      <c r="C78" s="75">
        <f>OR!C30</f>
        <v>0</v>
      </c>
      <c r="D78" s="13">
        <v>0</v>
      </c>
    </row>
    <row r="79" spans="1:4" x14ac:dyDescent="0.2">
      <c r="A79" s="87"/>
      <c r="B79" s="29" t="s">
        <v>427</v>
      </c>
      <c r="C79" s="75">
        <f>OR!C31</f>
        <v>0</v>
      </c>
      <c r="D79" s="13">
        <v>0</v>
      </c>
    </row>
    <row r="80" spans="1:4" x14ac:dyDescent="0.2">
      <c r="A80" s="87"/>
      <c r="B80" s="29" t="s">
        <v>428</v>
      </c>
      <c r="C80" s="75">
        <f>OR!C32</f>
        <v>0</v>
      </c>
      <c r="D80" s="13">
        <v>0</v>
      </c>
    </row>
    <row r="81" spans="1:4" x14ac:dyDescent="0.2">
      <c r="A81" s="87"/>
      <c r="B81" s="29" t="s">
        <v>429</v>
      </c>
      <c r="C81" s="75">
        <f>OR!C33</f>
        <v>0</v>
      </c>
      <c r="D81" s="13">
        <v>0</v>
      </c>
    </row>
    <row r="82" spans="1:4" x14ac:dyDescent="0.2">
      <c r="A82" s="87"/>
      <c r="B82" s="29" t="s">
        <v>430</v>
      </c>
      <c r="C82" s="75">
        <f>OR!C34</f>
        <v>0</v>
      </c>
      <c r="D82" s="13">
        <v>0</v>
      </c>
    </row>
    <row r="83" spans="1:4" x14ac:dyDescent="0.2">
      <c r="A83" s="87">
        <v>31111.010999999999</v>
      </c>
      <c r="B83" s="132" t="s">
        <v>377</v>
      </c>
      <c r="C83" s="290">
        <f>SUM(C76:C82)</f>
        <v>0</v>
      </c>
      <c r="D83" s="291"/>
    </row>
    <row r="84" spans="1:4" x14ac:dyDescent="0.2">
      <c r="A84" s="87"/>
      <c r="B84" s="132"/>
      <c r="C84" s="28"/>
      <c r="D84" s="7"/>
    </row>
    <row r="85" spans="1:4" x14ac:dyDescent="0.2">
      <c r="A85" s="16"/>
      <c r="B85" s="29" t="s">
        <v>358</v>
      </c>
      <c r="C85" s="75">
        <f>OR!C36</f>
        <v>125974.85106382979</v>
      </c>
      <c r="D85" s="13">
        <f>'[15]OR 011'!$N$18</f>
        <v>232.25099601593627</v>
      </c>
    </row>
    <row r="86" spans="1:4" x14ac:dyDescent="0.2">
      <c r="A86" s="16"/>
      <c r="B86" s="29" t="s">
        <v>359</v>
      </c>
      <c r="C86" s="75">
        <f>OR!C37</f>
        <v>7918.7313829787226</v>
      </c>
      <c r="D86" s="13">
        <f>'[15]OR 011'!$N$19</f>
        <v>317.74900398406373</v>
      </c>
    </row>
    <row r="87" spans="1:4" x14ac:dyDescent="0.2">
      <c r="A87" s="16"/>
      <c r="B87" s="29" t="s">
        <v>372</v>
      </c>
      <c r="C87" s="75">
        <f>OR!C38</f>
        <v>103428.51861702128</v>
      </c>
      <c r="D87" s="13">
        <f>'[15]OR 011'!$N$20</f>
        <v>130.4980079681275</v>
      </c>
    </row>
    <row r="88" spans="1:4" x14ac:dyDescent="0.2">
      <c r="A88" s="16"/>
      <c r="B88" s="29" t="s">
        <v>373</v>
      </c>
      <c r="C88" s="75">
        <f>OR!C39</f>
        <v>0</v>
      </c>
      <c r="D88" s="13">
        <f>'[15]OR 011'!$N$21</f>
        <v>0.29482071713147412</v>
      </c>
    </row>
    <row r="89" spans="1:4" x14ac:dyDescent="0.2">
      <c r="A89" s="16"/>
      <c r="B89" s="29" t="s">
        <v>361</v>
      </c>
      <c r="C89" s="75">
        <f>OR!C40</f>
        <v>21972.047872340423</v>
      </c>
      <c r="D89" s="13">
        <f>'[15]OR 011'!$N$22</f>
        <v>113.00398406374502</v>
      </c>
    </row>
    <row r="90" spans="1:4" x14ac:dyDescent="0.2">
      <c r="A90" s="16"/>
      <c r="B90" s="29" t="s">
        <v>360</v>
      </c>
      <c r="C90" s="75">
        <f>OR!C41</f>
        <v>176671.78723404257</v>
      </c>
      <c r="D90" s="13">
        <f>'[15]OR 011'!$N$23</f>
        <v>0</v>
      </c>
    </row>
    <row r="91" spans="1:4" x14ac:dyDescent="0.2">
      <c r="A91" s="16"/>
      <c r="B91" s="29" t="s">
        <v>362</v>
      </c>
      <c r="C91" s="75">
        <f>OR!C42</f>
        <v>17224.539893617024</v>
      </c>
      <c r="D91" s="13">
        <f>'[15]OR 011'!$N$24</f>
        <v>37.577689243027891</v>
      </c>
    </row>
    <row r="92" spans="1:4" x14ac:dyDescent="0.2">
      <c r="A92" s="90">
        <v>31200.010999999999</v>
      </c>
      <c r="B92" s="161" t="s">
        <v>378</v>
      </c>
      <c r="C92" s="293">
        <f>SUM(C85:C91)</f>
        <v>453190.47606382985</v>
      </c>
      <c r="D92" s="292"/>
    </row>
    <row r="94" spans="1:4" x14ac:dyDescent="0.2">
      <c r="A94" s="21"/>
      <c r="B94" s="10" t="s">
        <v>385</v>
      </c>
      <c r="C94" s="103" t="s">
        <v>379</v>
      </c>
      <c r="D94" s="102" t="s">
        <v>382</v>
      </c>
    </row>
    <row r="95" spans="1:4" x14ac:dyDescent="0.2">
      <c r="A95" s="16"/>
      <c r="B95" s="29" t="s">
        <v>352</v>
      </c>
      <c r="C95" s="28">
        <f>RECOVERY!C9</f>
        <v>21930</v>
      </c>
      <c r="D95" s="13">
        <f>'[15]RECOVERY 012'!$N$11</f>
        <v>230.33333333333334</v>
      </c>
    </row>
    <row r="96" spans="1:4" x14ac:dyDescent="0.2">
      <c r="A96" s="16"/>
      <c r="B96" s="29" t="s">
        <v>353</v>
      </c>
      <c r="C96" s="28">
        <f>RECOVERY!C10</f>
        <v>1218.3333333333335</v>
      </c>
      <c r="D96" s="13">
        <f>'[15]RECOVERY 012'!$N$12</f>
        <v>218.91666666666666</v>
      </c>
    </row>
    <row r="97" spans="1:4" x14ac:dyDescent="0.2">
      <c r="A97" s="16"/>
      <c r="B97" s="29" t="s">
        <v>355</v>
      </c>
      <c r="C97" s="28">
        <f>RECOVERY!C11</f>
        <v>8528.3333333333321</v>
      </c>
      <c r="D97" s="13">
        <f>'[15]RECOVERY 012'!$N$13</f>
        <v>0</v>
      </c>
    </row>
    <row r="98" spans="1:4" x14ac:dyDescent="0.2">
      <c r="A98" s="16"/>
      <c r="B98" s="29" t="s">
        <v>370</v>
      </c>
      <c r="C98" s="28">
        <f>RECOVERY!C12</f>
        <v>0</v>
      </c>
      <c r="D98" s="13">
        <f>'[15]RECOVERY 012'!$N$14</f>
        <v>0</v>
      </c>
    </row>
    <row r="99" spans="1:4" x14ac:dyDescent="0.2">
      <c r="A99" s="16"/>
      <c r="B99" s="29" t="s">
        <v>356</v>
      </c>
      <c r="C99" s="28">
        <f>RECOVERY!C13</f>
        <v>3655</v>
      </c>
      <c r="D99" s="13">
        <f>'[15]RECOVERY 012'!$N$15</f>
        <v>37.625</v>
      </c>
    </row>
    <row r="100" spans="1:4" x14ac:dyDescent="0.2">
      <c r="A100" s="16"/>
      <c r="B100" s="29" t="s">
        <v>354</v>
      </c>
      <c r="C100" s="28">
        <f>RECOVERY!C14</f>
        <v>4873.3333333333339</v>
      </c>
      <c r="D100" s="13">
        <f>'[15]RECOVERY 012'!$N$16</f>
        <v>25.083333333333332</v>
      </c>
    </row>
    <row r="101" spans="1:4" x14ac:dyDescent="0.2">
      <c r="A101" s="16"/>
      <c r="B101" s="29" t="s">
        <v>357</v>
      </c>
      <c r="C101" s="28">
        <f>RECOVERY!C15</f>
        <v>3655</v>
      </c>
      <c r="D101" s="13">
        <f>'[15]RECOVERY 012'!$N$17</f>
        <v>75.25</v>
      </c>
    </row>
    <row r="102" spans="1:4" x14ac:dyDescent="0.2">
      <c r="A102" s="87">
        <v>31110.011999999999</v>
      </c>
      <c r="B102" s="161" t="s">
        <v>387</v>
      </c>
      <c r="C102" s="293">
        <f>SUM(C95:C101)</f>
        <v>43860</v>
      </c>
      <c r="D102" s="292"/>
    </row>
    <row r="103" spans="1:4" x14ac:dyDescent="0.2">
      <c r="A103" s="87"/>
      <c r="B103" s="29" t="s">
        <v>424</v>
      </c>
      <c r="C103" s="28">
        <f>RECOVERY!C17</f>
        <v>0</v>
      </c>
      <c r="D103" s="13">
        <v>0</v>
      </c>
    </row>
    <row r="104" spans="1:4" x14ac:dyDescent="0.2">
      <c r="A104" s="87"/>
      <c r="B104" s="29" t="s">
        <v>425</v>
      </c>
      <c r="C104" s="28">
        <f>RECOVERY!C18</f>
        <v>0</v>
      </c>
      <c r="D104" s="13">
        <v>0</v>
      </c>
    </row>
    <row r="105" spans="1:4" x14ac:dyDescent="0.2">
      <c r="A105" s="87"/>
      <c r="B105" s="29" t="s">
        <v>426</v>
      </c>
      <c r="C105" s="28">
        <f>RECOVERY!C19</f>
        <v>0</v>
      </c>
      <c r="D105" s="13">
        <v>0</v>
      </c>
    </row>
    <row r="106" spans="1:4" x14ac:dyDescent="0.2">
      <c r="A106" s="87"/>
      <c r="B106" s="29" t="s">
        <v>427</v>
      </c>
      <c r="C106" s="28">
        <f>RECOVERY!C20</f>
        <v>0</v>
      </c>
      <c r="D106" s="13">
        <v>0</v>
      </c>
    </row>
    <row r="107" spans="1:4" x14ac:dyDescent="0.2">
      <c r="A107" s="87"/>
      <c r="B107" s="29" t="s">
        <v>428</v>
      </c>
      <c r="C107" s="28">
        <f>RECOVERY!C21</f>
        <v>0</v>
      </c>
      <c r="D107" s="13">
        <v>0</v>
      </c>
    </row>
    <row r="108" spans="1:4" x14ac:dyDescent="0.2">
      <c r="A108" s="87"/>
      <c r="B108" s="29" t="s">
        <v>429</v>
      </c>
      <c r="C108" s="28">
        <f>RECOVERY!C22</f>
        <v>0</v>
      </c>
      <c r="D108" s="13">
        <v>0</v>
      </c>
    </row>
    <row r="109" spans="1:4" x14ac:dyDescent="0.2">
      <c r="A109" s="87"/>
      <c r="B109" s="29" t="s">
        <v>430</v>
      </c>
      <c r="C109" s="28">
        <f>RECOVERY!C23</f>
        <v>0</v>
      </c>
      <c r="D109" s="13">
        <v>0</v>
      </c>
    </row>
    <row r="110" spans="1:4" x14ac:dyDescent="0.2">
      <c r="A110" s="87">
        <v>31111.011999999999</v>
      </c>
      <c r="B110" s="161" t="s">
        <v>388</v>
      </c>
      <c r="C110" s="293">
        <f>SUM(C103:C109)</f>
        <v>0</v>
      </c>
      <c r="D110" s="292"/>
    </row>
    <row r="111" spans="1:4" x14ac:dyDescent="0.2">
      <c r="A111" s="16"/>
      <c r="B111" s="29" t="s">
        <v>358</v>
      </c>
      <c r="C111" s="28">
        <f>RECOVERY!C25</f>
        <v>121668.57142857142</v>
      </c>
      <c r="D111" s="13">
        <f>'[15]RECOVERY 012'!$N$18</f>
        <v>243.87793427230048</v>
      </c>
    </row>
    <row r="112" spans="1:4" x14ac:dyDescent="0.2">
      <c r="A112" s="16"/>
      <c r="B112" s="29" t="s">
        <v>359</v>
      </c>
      <c r="C112" s="28">
        <f>RECOVERY!C26</f>
        <v>11180</v>
      </c>
      <c r="D112" s="13">
        <f>'[15]RECOVERY 012'!$N$19</f>
        <v>211.75586854460093</v>
      </c>
    </row>
    <row r="113" spans="1:4" x14ac:dyDescent="0.2">
      <c r="A113" s="16"/>
      <c r="B113" s="29" t="s">
        <v>390</v>
      </c>
      <c r="C113" s="28">
        <f>RECOVERY!C27</f>
        <v>59500</v>
      </c>
      <c r="D113" s="13">
        <f>'[15]RECOVERY 012'!$N$20</f>
        <v>141.61032863849766</v>
      </c>
    </row>
    <row r="114" spans="1:4" x14ac:dyDescent="0.2">
      <c r="A114" s="16"/>
      <c r="B114" s="29" t="s">
        <v>373</v>
      </c>
      <c r="C114" s="28">
        <f>RECOVERY!C28</f>
        <v>0</v>
      </c>
      <c r="D114" s="13">
        <f>'[15]RECOVERY 012'!$N$21</f>
        <v>4.112676056338028</v>
      </c>
    </row>
    <row r="115" spans="1:4" x14ac:dyDescent="0.2">
      <c r="A115" s="16"/>
      <c r="B115" s="29" t="s">
        <v>361</v>
      </c>
      <c r="C115" s="28">
        <f>RECOVERY!C29</f>
        <v>13291.428571428571</v>
      </c>
      <c r="D115" s="13">
        <f>'[15]RECOVERY 012'!$N$22</f>
        <v>67.070422535211264</v>
      </c>
    </row>
    <row r="116" spans="1:4" x14ac:dyDescent="0.2">
      <c r="A116" s="16"/>
      <c r="B116" s="29" t="s">
        <v>360</v>
      </c>
      <c r="C116" s="28">
        <f>RECOVERY!C30</f>
        <v>100080</v>
      </c>
      <c r="D116" s="13">
        <f>'[15]RECOVERY 012'!$N$23</f>
        <v>0</v>
      </c>
    </row>
    <row r="117" spans="1:4" x14ac:dyDescent="0.2">
      <c r="A117" s="16"/>
      <c r="B117" s="29" t="s">
        <v>362</v>
      </c>
      <c r="C117" s="28">
        <f>RECOVERY!C31</f>
        <v>10242.857142857141</v>
      </c>
      <c r="D117" s="13">
        <f>'[15]RECOVERY 012'!$N$24</f>
        <v>21.070422535211268</v>
      </c>
    </row>
    <row r="118" spans="1:4" x14ac:dyDescent="0.2">
      <c r="A118" s="90">
        <v>31200.011999999999</v>
      </c>
      <c r="B118" s="161" t="s">
        <v>389</v>
      </c>
      <c r="C118" s="293">
        <f>SUM(C111:C117)</f>
        <v>315962.85714285716</v>
      </c>
      <c r="D118" s="292"/>
    </row>
    <row r="120" spans="1:4" x14ac:dyDescent="0.2">
      <c r="A120" s="20"/>
      <c r="B120" s="113" t="s">
        <v>391</v>
      </c>
      <c r="C120" s="78"/>
      <c r="D120" s="114" t="s">
        <v>392</v>
      </c>
    </row>
    <row r="121" spans="1:4" x14ac:dyDescent="0.2">
      <c r="A121" s="115"/>
      <c r="B121" s="116" t="s">
        <v>352</v>
      </c>
      <c r="C121" s="28">
        <f>ANESTHESIA!C7</f>
        <v>55080.68263473054</v>
      </c>
      <c r="D121" s="13">
        <f>'[15]ANESTHESIA 013'!$N$11</f>
        <v>3.0462781794980858</v>
      </c>
    </row>
    <row r="122" spans="1:4" x14ac:dyDescent="0.2">
      <c r="A122" s="115"/>
      <c r="B122" s="116" t="s">
        <v>353</v>
      </c>
      <c r="C122" s="28">
        <f>ANESTHESIA!C8</f>
        <v>3804.6207160147792</v>
      </c>
      <c r="D122" s="13">
        <f>'[15]ANESTHESIA 013'!$N$12</f>
        <v>2.8200765631646108</v>
      </c>
    </row>
    <row r="123" spans="1:4" x14ac:dyDescent="0.2">
      <c r="A123" s="115"/>
      <c r="B123" s="116" t="s">
        <v>355</v>
      </c>
      <c r="C123" s="28">
        <f>ANESTHESIA!C9</f>
        <v>24338.284877054404</v>
      </c>
      <c r="D123" s="13">
        <f>'[15]ANESTHESIA 013'!$N$13</f>
        <v>0</v>
      </c>
    </row>
    <row r="124" spans="1:4" x14ac:dyDescent="0.2">
      <c r="A124" s="115"/>
      <c r="B124" s="116" t="s">
        <v>370</v>
      </c>
      <c r="C124" s="28">
        <f>ANESTHESIA!C10</f>
        <v>0</v>
      </c>
      <c r="D124" s="13">
        <f>'[15]ANESTHESIA 013'!$N$14</f>
        <v>0</v>
      </c>
    </row>
    <row r="125" spans="1:4" x14ac:dyDescent="0.2">
      <c r="A125" s="115"/>
      <c r="B125" s="116" t="s">
        <v>356</v>
      </c>
      <c r="C125" s="28">
        <f>ANESTHESIA!C11</f>
        <v>9016.8846986877306</v>
      </c>
      <c r="D125" s="13">
        <f>'[15]ANESTHESIA 013'!$N$15</f>
        <v>0.62832837090599747</v>
      </c>
    </row>
    <row r="126" spans="1:4" x14ac:dyDescent="0.2">
      <c r="A126" s="115"/>
      <c r="B126" s="116" t="s">
        <v>354</v>
      </c>
      <c r="C126" s="28">
        <f>ANESTHESIA!C12</f>
        <v>13485.488087654478</v>
      </c>
      <c r="D126" s="13">
        <f>'[15]ANESTHESIA 013'!$N$16</f>
        <v>0.24806465333900468</v>
      </c>
    </row>
    <row r="127" spans="1:4" x14ac:dyDescent="0.2">
      <c r="A127" s="115"/>
      <c r="B127" s="116" t="s">
        <v>357</v>
      </c>
      <c r="C127" s="28">
        <f>ANESTHESIA!C13</f>
        <v>7260.6505287297741</v>
      </c>
      <c r="D127" s="13">
        <f>'[15]ANESTHESIA 013'!$N$17</f>
        <v>0.49612930667800936</v>
      </c>
    </row>
    <row r="128" spans="1:4" x14ac:dyDescent="0.2">
      <c r="A128" s="117">
        <v>31110.012999999999</v>
      </c>
      <c r="B128" s="118" t="s">
        <v>395</v>
      </c>
      <c r="C128" s="293">
        <f>SUM(C121:C127)</f>
        <v>112986.61154287172</v>
      </c>
      <c r="D128" s="292"/>
    </row>
    <row r="129" spans="1:4" x14ac:dyDescent="0.2">
      <c r="A129" s="117"/>
      <c r="B129" s="29" t="s">
        <v>424</v>
      </c>
      <c r="C129" s="28">
        <f>ANESTHESIA!C15</f>
        <v>0</v>
      </c>
      <c r="D129" s="13">
        <v>0</v>
      </c>
    </row>
    <row r="130" spans="1:4" x14ac:dyDescent="0.2">
      <c r="A130" s="117"/>
      <c r="B130" s="29" t="s">
        <v>425</v>
      </c>
      <c r="C130" s="28">
        <f>ANESTHESIA!C16</f>
        <v>0</v>
      </c>
      <c r="D130" s="13">
        <v>0</v>
      </c>
    </row>
    <row r="131" spans="1:4" x14ac:dyDescent="0.2">
      <c r="A131" s="117"/>
      <c r="B131" s="29" t="s">
        <v>426</v>
      </c>
      <c r="C131" s="28">
        <f>ANESTHESIA!C17</f>
        <v>0</v>
      </c>
      <c r="D131" s="13">
        <v>0</v>
      </c>
    </row>
    <row r="132" spans="1:4" x14ac:dyDescent="0.2">
      <c r="A132" s="117"/>
      <c r="B132" s="29" t="s">
        <v>427</v>
      </c>
      <c r="C132" s="28">
        <f>ANESTHESIA!C18</f>
        <v>0</v>
      </c>
      <c r="D132" s="13">
        <v>0</v>
      </c>
    </row>
    <row r="133" spans="1:4" x14ac:dyDescent="0.2">
      <c r="A133" s="117"/>
      <c r="B133" s="29" t="s">
        <v>428</v>
      </c>
      <c r="C133" s="28">
        <f>ANESTHESIA!C19</f>
        <v>0</v>
      </c>
      <c r="D133" s="13">
        <v>0</v>
      </c>
    </row>
    <row r="134" spans="1:4" x14ac:dyDescent="0.2">
      <c r="A134" s="117"/>
      <c r="B134" s="29" t="s">
        <v>429</v>
      </c>
      <c r="C134" s="28">
        <f>ANESTHESIA!C20</f>
        <v>0</v>
      </c>
      <c r="D134" s="13">
        <v>0</v>
      </c>
    </row>
    <row r="135" spans="1:4" x14ac:dyDescent="0.2">
      <c r="A135" s="117"/>
      <c r="B135" s="29" t="s">
        <v>430</v>
      </c>
      <c r="C135" s="28">
        <f>ANESTHESIA!C21</f>
        <v>0</v>
      </c>
      <c r="D135" s="13">
        <v>0</v>
      </c>
    </row>
    <row r="136" spans="1:4" x14ac:dyDescent="0.2">
      <c r="A136" s="117">
        <v>31111.012999999999</v>
      </c>
      <c r="B136" s="118" t="s">
        <v>396</v>
      </c>
      <c r="C136" s="290">
        <f>SUM(C129:C135)</f>
        <v>0</v>
      </c>
      <c r="D136" s="291"/>
    </row>
    <row r="137" spans="1:4" x14ac:dyDescent="0.2">
      <c r="A137" s="115"/>
      <c r="B137" s="116" t="s">
        <v>358</v>
      </c>
      <c r="C137" s="28">
        <f>ANESTHESIA!C23</f>
        <v>372729.99337495223</v>
      </c>
      <c r="D137" s="13">
        <f>'[15]ANESTHESIA 013'!$N$18</f>
        <v>11.459889408762228</v>
      </c>
    </row>
    <row r="138" spans="1:4" x14ac:dyDescent="0.2">
      <c r="A138" s="115"/>
      <c r="B138" s="116" t="s">
        <v>359</v>
      </c>
      <c r="C138" s="28">
        <f>ANESTHESIA!C24</f>
        <v>33487.966110332527</v>
      </c>
      <c r="D138" s="13">
        <f>'[15]ANESTHESIA 013'!$N$19</f>
        <v>9.6267971076137808</v>
      </c>
    </row>
    <row r="139" spans="1:4" x14ac:dyDescent="0.2">
      <c r="A139" s="115"/>
      <c r="B139" s="116" t="s">
        <v>372</v>
      </c>
      <c r="C139" s="28">
        <f>ANESTHESIA!C25</f>
        <v>215176.8648235444</v>
      </c>
      <c r="D139" s="13">
        <f>'[15]ANESTHESIA 013'!$N$20</f>
        <v>7.4546150574223731</v>
      </c>
    </row>
    <row r="140" spans="1:4" x14ac:dyDescent="0.2">
      <c r="A140" s="115"/>
      <c r="B140" s="116" t="s">
        <v>373</v>
      </c>
      <c r="C140" s="28">
        <f>ANESTHESIA!C26</f>
        <v>0</v>
      </c>
      <c r="D140" s="13">
        <f>'[15]ANESTHESIA 013'!$N$21</f>
        <v>0.12403232666950234</v>
      </c>
    </row>
    <row r="141" spans="1:4" x14ac:dyDescent="0.2">
      <c r="A141" s="115"/>
      <c r="B141" s="116" t="s">
        <v>361</v>
      </c>
      <c r="C141" s="28">
        <f>ANESTHESIA!C27</f>
        <v>45519.332144222193</v>
      </c>
      <c r="D141" s="13">
        <f>'[15]ANESTHESIA 013'!$N$22</f>
        <v>3.0834538494257764</v>
      </c>
    </row>
    <row r="142" spans="1:4" x14ac:dyDescent="0.2">
      <c r="A142" s="115"/>
      <c r="B142" s="116" t="s">
        <v>360</v>
      </c>
      <c r="C142" s="28">
        <f>ANESTHESIA!C28</f>
        <v>330578.71333927888</v>
      </c>
      <c r="D142" s="13">
        <f>'[15]ANESTHESIA 013'!$N$23</f>
        <v>0</v>
      </c>
    </row>
    <row r="143" spans="1:4" x14ac:dyDescent="0.2">
      <c r="A143" s="115"/>
      <c r="B143" s="116" t="s">
        <v>362</v>
      </c>
      <c r="C143" s="28">
        <f>ANESTHESIA!C29</f>
        <v>30031.936297617533</v>
      </c>
      <c r="D143" s="13">
        <f>'[15]ANESTHESIA 013'!$N$24</f>
        <v>1.2070608251807742</v>
      </c>
    </row>
    <row r="144" spans="1:4" x14ac:dyDescent="0.2">
      <c r="A144" s="117">
        <v>31200.012999999999</v>
      </c>
      <c r="B144" s="118" t="s">
        <v>397</v>
      </c>
      <c r="C144" s="293">
        <f>SUM(C137:C143)</f>
        <v>1027524.8060899478</v>
      </c>
      <c r="D144" s="292">
        <v>0</v>
      </c>
    </row>
    <row r="146" spans="1:4" x14ac:dyDescent="0.2">
      <c r="A146" s="21"/>
      <c r="B146" s="10" t="s">
        <v>400</v>
      </c>
      <c r="C146" s="103" t="s">
        <v>380</v>
      </c>
      <c r="D146" s="102" t="s">
        <v>383</v>
      </c>
    </row>
    <row r="147" spans="1:4" x14ac:dyDescent="0.2">
      <c r="A147" s="16"/>
      <c r="B147" s="29" t="s">
        <v>352</v>
      </c>
      <c r="C147" s="28">
        <f>SURGIDAY!C8</f>
        <v>4500</v>
      </c>
      <c r="D147" s="13">
        <f>'[15]SURGIDAY 014'!$N$11</f>
        <v>635.77777777777783</v>
      </c>
    </row>
    <row r="148" spans="1:4" x14ac:dyDescent="0.2">
      <c r="A148" s="16"/>
      <c r="B148" s="29" t="s">
        <v>353</v>
      </c>
      <c r="C148" s="28">
        <f>SURGIDAY!C9</f>
        <v>0</v>
      </c>
      <c r="D148" s="13">
        <f>'[15]SURGIDAY 014'!$N$12</f>
        <v>835.77777777777783</v>
      </c>
    </row>
    <row r="149" spans="1:4" x14ac:dyDescent="0.2">
      <c r="A149" s="16"/>
      <c r="B149" s="29" t="s">
        <v>355</v>
      </c>
      <c r="C149" s="28">
        <f>SURGIDAY!C10</f>
        <v>0</v>
      </c>
      <c r="D149" s="13">
        <f>'[15]SURGIDAY 014'!$N$13</f>
        <v>0</v>
      </c>
    </row>
    <row r="150" spans="1:4" x14ac:dyDescent="0.2">
      <c r="A150" s="16"/>
      <c r="B150" s="29" t="s">
        <v>370</v>
      </c>
      <c r="C150" s="28">
        <f>SURGIDAY!C11</f>
        <v>0</v>
      </c>
      <c r="D150" s="13">
        <f>'[15]SURGIDAY 014'!$N$14</f>
        <v>0</v>
      </c>
    </row>
    <row r="151" spans="1:4" x14ac:dyDescent="0.2">
      <c r="A151" s="16"/>
      <c r="B151" s="29" t="s">
        <v>356</v>
      </c>
      <c r="C151" s="28">
        <f>SURGIDAY!C12</f>
        <v>9000</v>
      </c>
      <c r="D151" s="13">
        <f>'[15]SURGIDAY 014'!$N$15</f>
        <v>0</v>
      </c>
    </row>
    <row r="152" spans="1:4" x14ac:dyDescent="0.2">
      <c r="A152" s="16"/>
      <c r="B152" s="29" t="s">
        <v>354</v>
      </c>
      <c r="C152" s="28">
        <f>SURGIDAY!C13</f>
        <v>0</v>
      </c>
      <c r="D152" s="13">
        <f>'[15]SURGIDAY 014'!$N$16</f>
        <v>0</v>
      </c>
    </row>
    <row r="153" spans="1:4" x14ac:dyDescent="0.2">
      <c r="A153" s="16"/>
      <c r="B153" s="29" t="s">
        <v>357</v>
      </c>
      <c r="C153" s="28">
        <f>SURGIDAY!C14</f>
        <v>0</v>
      </c>
      <c r="D153" s="13">
        <f>'[15]SURGIDAY 014'!$N$17</f>
        <v>500</v>
      </c>
    </row>
    <row r="154" spans="1:4" x14ac:dyDescent="0.2">
      <c r="A154" s="87">
        <v>31110.013999999999</v>
      </c>
      <c r="B154" s="161" t="s">
        <v>401</v>
      </c>
      <c r="C154" s="293">
        <f>SUM(C147:C153)</f>
        <v>13500</v>
      </c>
      <c r="D154" s="292"/>
    </row>
    <row r="155" spans="1:4" x14ac:dyDescent="0.2">
      <c r="A155" s="87"/>
      <c r="B155" s="29" t="s">
        <v>424</v>
      </c>
      <c r="C155" s="28">
        <f>SURGIDAY!C16</f>
        <v>0</v>
      </c>
      <c r="D155" s="13">
        <v>0</v>
      </c>
    </row>
    <row r="156" spans="1:4" x14ac:dyDescent="0.2">
      <c r="A156" s="87"/>
      <c r="B156" s="29" t="s">
        <v>425</v>
      </c>
      <c r="C156" s="28">
        <f>SURGIDAY!C17</f>
        <v>0</v>
      </c>
      <c r="D156" s="13">
        <v>0</v>
      </c>
    </row>
    <row r="157" spans="1:4" x14ac:dyDescent="0.2">
      <c r="A157" s="87"/>
      <c r="B157" s="29" t="s">
        <v>426</v>
      </c>
      <c r="C157" s="28">
        <f>SURGIDAY!C18</f>
        <v>0</v>
      </c>
      <c r="D157" s="13">
        <v>0</v>
      </c>
    </row>
    <row r="158" spans="1:4" x14ac:dyDescent="0.2">
      <c r="A158" s="87"/>
      <c r="B158" s="29" t="s">
        <v>427</v>
      </c>
      <c r="C158" s="28">
        <f>SURGIDAY!C19</f>
        <v>0</v>
      </c>
      <c r="D158" s="13">
        <v>0</v>
      </c>
    </row>
    <row r="159" spans="1:4" x14ac:dyDescent="0.2">
      <c r="A159" s="87"/>
      <c r="B159" s="29" t="s">
        <v>428</v>
      </c>
      <c r="C159" s="28">
        <f>SURGIDAY!C20</f>
        <v>0</v>
      </c>
      <c r="D159" s="13">
        <v>0</v>
      </c>
    </row>
    <row r="160" spans="1:4" x14ac:dyDescent="0.2">
      <c r="A160" s="87"/>
      <c r="B160" s="29" t="s">
        <v>429</v>
      </c>
      <c r="C160" s="28">
        <f>SURGIDAY!C21</f>
        <v>0</v>
      </c>
      <c r="D160" s="13">
        <v>0</v>
      </c>
    </row>
    <row r="161" spans="1:4" x14ac:dyDescent="0.2">
      <c r="A161" s="87"/>
      <c r="B161" s="29" t="s">
        <v>430</v>
      </c>
      <c r="C161" s="28">
        <f>SURGIDAY!C22</f>
        <v>0</v>
      </c>
      <c r="D161" s="13">
        <v>0</v>
      </c>
    </row>
    <row r="162" spans="1:4" x14ac:dyDescent="0.2">
      <c r="A162" s="87">
        <v>31111.013999999999</v>
      </c>
      <c r="B162" s="161" t="s">
        <v>402</v>
      </c>
      <c r="C162" s="290">
        <f>SUM(C155:C161)</f>
        <v>0</v>
      </c>
      <c r="D162" s="291"/>
    </row>
    <row r="163" spans="1:4" x14ac:dyDescent="0.2">
      <c r="A163" s="16"/>
      <c r="B163" s="29" t="s">
        <v>358</v>
      </c>
      <c r="C163" s="28">
        <f>SURGIDAY!C24</f>
        <v>3300</v>
      </c>
      <c r="D163" s="13">
        <f>'[15]SURGIDAY 014'!$N$18</f>
        <v>308.8</v>
      </c>
    </row>
    <row r="164" spans="1:4" x14ac:dyDescent="0.2">
      <c r="A164" s="16"/>
      <c r="B164" s="29" t="s">
        <v>359</v>
      </c>
      <c r="C164" s="28">
        <f>SURGIDAY!C25</f>
        <v>0</v>
      </c>
      <c r="D164" s="13">
        <f>'[15]SURGIDAY 014'!$N$19</f>
        <v>411.6</v>
      </c>
    </row>
    <row r="165" spans="1:4" x14ac:dyDescent="0.2">
      <c r="A165" s="16"/>
      <c r="B165" s="29" t="s">
        <v>372</v>
      </c>
      <c r="C165" s="28">
        <f>SURGIDAY!C26</f>
        <v>1100</v>
      </c>
      <c r="D165" s="13">
        <f>'[15]SURGIDAY 014'!$N$20</f>
        <v>151.1</v>
      </c>
    </row>
    <row r="166" spans="1:4" x14ac:dyDescent="0.2">
      <c r="A166" s="16"/>
      <c r="B166" s="29" t="s">
        <v>373</v>
      </c>
      <c r="C166" s="28">
        <f>SURGIDAY!C27</f>
        <v>0</v>
      </c>
      <c r="D166" s="13">
        <f>'[15]SURGIDAY 014'!$N$21</f>
        <v>45</v>
      </c>
    </row>
    <row r="167" spans="1:4" x14ac:dyDescent="0.2">
      <c r="A167" s="16"/>
      <c r="B167" s="29" t="s">
        <v>361</v>
      </c>
      <c r="C167" s="28">
        <f>SURGIDAY!C28</f>
        <v>1493.5555555555554</v>
      </c>
      <c r="D167" s="13">
        <f>'[15]SURGIDAY 014'!$N$22</f>
        <v>225</v>
      </c>
    </row>
    <row r="168" spans="1:4" x14ac:dyDescent="0.2">
      <c r="A168" s="16"/>
      <c r="B168" s="29" t="s">
        <v>360</v>
      </c>
      <c r="C168" s="28">
        <f>SURGIDAY!C29</f>
        <v>8174.2222222222217</v>
      </c>
      <c r="D168" s="13">
        <f>'[15]SURGIDAY 014'!$N$23</f>
        <v>0</v>
      </c>
    </row>
    <row r="169" spans="1:4" x14ac:dyDescent="0.2">
      <c r="A169" s="16"/>
      <c r="B169" s="29" t="s">
        <v>362</v>
      </c>
      <c r="C169" s="28">
        <f>SURGIDAY!C30</f>
        <v>0</v>
      </c>
      <c r="D169" s="13">
        <f>'[15]SURGIDAY 014'!$N$24</f>
        <v>45</v>
      </c>
    </row>
    <row r="170" spans="1:4" x14ac:dyDescent="0.2">
      <c r="A170" s="90">
        <v>31200.013999999999</v>
      </c>
      <c r="B170" s="161" t="s">
        <v>403</v>
      </c>
      <c r="C170" s="293">
        <f>SUM(C163:C169)</f>
        <v>14067.777777777777</v>
      </c>
      <c r="D170" s="292"/>
    </row>
    <row r="172" spans="1:4" x14ac:dyDescent="0.2">
      <c r="A172" s="21"/>
      <c r="B172" s="10" t="s">
        <v>404</v>
      </c>
      <c r="C172" s="107" t="s">
        <v>381</v>
      </c>
      <c r="D172" s="102" t="s">
        <v>384</v>
      </c>
    </row>
    <row r="173" spans="1:4" x14ac:dyDescent="0.2">
      <c r="A173" s="16"/>
      <c r="B173" s="29" t="s">
        <v>352</v>
      </c>
      <c r="C173" s="28">
        <f>ENDOSCOPY!C8</f>
        <v>16352.631578947367</v>
      </c>
      <c r="D173" s="13">
        <f>'[15]ENDOSCOPY 016'!$N$11</f>
        <v>239.11111111111111</v>
      </c>
    </row>
    <row r="174" spans="1:4" x14ac:dyDescent="0.2">
      <c r="A174" s="16"/>
      <c r="B174" s="29" t="s">
        <v>353</v>
      </c>
      <c r="C174" s="28">
        <f>ENDOSCOPY!C9</f>
        <v>0</v>
      </c>
      <c r="D174" s="13">
        <f>'[15]ENDOSCOPY 016'!$N$12</f>
        <v>112.22222222222223</v>
      </c>
    </row>
    <row r="175" spans="1:4" x14ac:dyDescent="0.2">
      <c r="A175" s="16"/>
      <c r="B175" s="29" t="s">
        <v>355</v>
      </c>
      <c r="C175" s="28">
        <f>ENDOSCOPY!C10</f>
        <v>2715.7894736842104</v>
      </c>
      <c r="D175" s="13">
        <f>'[15]ENDOSCOPY 016'!$N$13</f>
        <v>0</v>
      </c>
    </row>
    <row r="176" spans="1:4" x14ac:dyDescent="0.2">
      <c r="A176" s="16"/>
      <c r="B176" s="29" t="s">
        <v>370</v>
      </c>
      <c r="C176" s="28">
        <f>ENDOSCOPY!C11</f>
        <v>0</v>
      </c>
      <c r="D176" s="13">
        <f>'[15]ENDOSCOPY 016'!$N$14</f>
        <v>0</v>
      </c>
    </row>
    <row r="177" spans="1:4" x14ac:dyDescent="0.2">
      <c r="A177" s="16"/>
      <c r="B177" s="29" t="s">
        <v>356</v>
      </c>
      <c r="C177" s="28">
        <f>ENDOSCOPY!C12</f>
        <v>0</v>
      </c>
      <c r="D177" s="13">
        <f>'[15]ENDOSCOPY 016'!$N$15</f>
        <v>112.22222222222223</v>
      </c>
    </row>
    <row r="178" spans="1:4" x14ac:dyDescent="0.2">
      <c r="A178" s="16"/>
      <c r="B178" s="29" t="s">
        <v>354</v>
      </c>
      <c r="C178" s="28">
        <f>ENDOSCOPY!C13</f>
        <v>2715.7894736842104</v>
      </c>
      <c r="D178" s="13">
        <f>'[15]ENDOSCOPY 016'!$N$16</f>
        <v>229.33333333333334</v>
      </c>
    </row>
    <row r="179" spans="1:4" x14ac:dyDescent="0.2">
      <c r="A179" s="16"/>
      <c r="B179" s="29" t="s">
        <v>357</v>
      </c>
      <c r="C179" s="28">
        <f>ENDOSCOPY!C14</f>
        <v>0</v>
      </c>
      <c r="D179" s="13">
        <f>'[15]ENDOSCOPY 016'!$N$17</f>
        <v>112.22222222222223</v>
      </c>
    </row>
    <row r="180" spans="1:4" x14ac:dyDescent="0.2">
      <c r="A180" s="87">
        <v>31110.016</v>
      </c>
      <c r="B180" s="161" t="s">
        <v>405</v>
      </c>
      <c r="C180" s="293">
        <f>SUM(C173:C179)</f>
        <v>21784.210526315786</v>
      </c>
      <c r="D180" s="292"/>
    </row>
    <row r="181" spans="1:4" x14ac:dyDescent="0.2">
      <c r="A181" s="87"/>
      <c r="B181" s="29" t="s">
        <v>424</v>
      </c>
      <c r="C181" s="28">
        <f>ENDOSCOPY!C16</f>
        <v>0</v>
      </c>
      <c r="D181" s="13">
        <v>0</v>
      </c>
    </row>
    <row r="182" spans="1:4" x14ac:dyDescent="0.2">
      <c r="A182" s="87"/>
      <c r="B182" s="29" t="s">
        <v>425</v>
      </c>
      <c r="C182" s="28">
        <f>ENDOSCOPY!C17</f>
        <v>0</v>
      </c>
      <c r="D182" s="13">
        <v>0</v>
      </c>
    </row>
    <row r="183" spans="1:4" x14ac:dyDescent="0.2">
      <c r="A183" s="87"/>
      <c r="B183" s="29" t="s">
        <v>426</v>
      </c>
      <c r="C183" s="28">
        <f>ENDOSCOPY!C18</f>
        <v>0</v>
      </c>
      <c r="D183" s="13">
        <v>0</v>
      </c>
    </row>
    <row r="184" spans="1:4" x14ac:dyDescent="0.2">
      <c r="A184" s="87"/>
      <c r="B184" s="29" t="s">
        <v>427</v>
      </c>
      <c r="C184" s="28">
        <f>ENDOSCOPY!C19</f>
        <v>0</v>
      </c>
      <c r="D184" s="13">
        <v>0</v>
      </c>
    </row>
    <row r="185" spans="1:4" x14ac:dyDescent="0.2">
      <c r="A185" s="87"/>
      <c r="B185" s="29" t="s">
        <v>428</v>
      </c>
      <c r="C185" s="28">
        <f>ENDOSCOPY!C20</f>
        <v>0</v>
      </c>
      <c r="D185" s="13">
        <v>0</v>
      </c>
    </row>
    <row r="186" spans="1:4" x14ac:dyDescent="0.2">
      <c r="A186" s="87"/>
      <c r="B186" s="29" t="s">
        <v>429</v>
      </c>
      <c r="C186" s="28">
        <f>ENDOSCOPY!C21</f>
        <v>0</v>
      </c>
      <c r="D186" s="13">
        <v>0</v>
      </c>
    </row>
    <row r="187" spans="1:4" x14ac:dyDescent="0.2">
      <c r="A187" s="87"/>
      <c r="B187" s="29" t="s">
        <v>430</v>
      </c>
      <c r="C187" s="28">
        <f>ENDOSCOPY!C22</f>
        <v>0</v>
      </c>
      <c r="D187" s="13">
        <v>0</v>
      </c>
    </row>
    <row r="188" spans="1:4" x14ac:dyDescent="0.2">
      <c r="A188" s="87">
        <v>31111.016</v>
      </c>
      <c r="B188" s="161" t="s">
        <v>406</v>
      </c>
      <c r="C188" s="293">
        <f>SUM(C181:C187)</f>
        <v>0</v>
      </c>
      <c r="D188" s="292"/>
    </row>
    <row r="189" spans="1:4" x14ac:dyDescent="0.2">
      <c r="A189" s="16"/>
      <c r="B189" s="29" t="s">
        <v>358</v>
      </c>
      <c r="C189" s="28">
        <f>ENDOSCOPY!C24</f>
        <v>144051.94174757283</v>
      </c>
      <c r="D189" s="13">
        <f>'[15]ENDOSCOPY 016'!$N$18</f>
        <v>421.46762589928056</v>
      </c>
    </row>
    <row r="190" spans="1:4" x14ac:dyDescent="0.2">
      <c r="A190" s="16"/>
      <c r="B190" s="29" t="s">
        <v>359</v>
      </c>
      <c r="C190" s="28">
        <f>ENDOSCOPY!C25</f>
        <v>15183.73786407767</v>
      </c>
      <c r="D190" s="13">
        <f>'[15]ENDOSCOPY 016'!$N$19</f>
        <v>275.33812949640287</v>
      </c>
    </row>
    <row r="191" spans="1:4" x14ac:dyDescent="0.2">
      <c r="A191" s="16"/>
      <c r="B191" s="29" t="s">
        <v>372</v>
      </c>
      <c r="C191" s="28">
        <f>ENDOSCOPY!C26</f>
        <v>53969.417475728158</v>
      </c>
      <c r="D191" s="13">
        <f>'[15]ENDOSCOPY 016'!$N$20</f>
        <v>261.61151079136692</v>
      </c>
    </row>
    <row r="192" spans="1:4" x14ac:dyDescent="0.2">
      <c r="A192" s="16"/>
      <c r="B192" s="29" t="s">
        <v>373</v>
      </c>
      <c r="C192" s="28">
        <f>ENDOSCOPY!C27</f>
        <v>0</v>
      </c>
      <c r="D192" s="13">
        <f>'[15]ENDOSCOPY 016'!$N$21</f>
        <v>0</v>
      </c>
    </row>
    <row r="193" spans="1:4" x14ac:dyDescent="0.2">
      <c r="A193" s="16"/>
      <c r="B193" s="29" t="s">
        <v>361</v>
      </c>
      <c r="C193" s="28">
        <f>ENDOSCOPY!C28</f>
        <v>9996.116504854368</v>
      </c>
      <c r="D193" s="13">
        <f>'[15]ENDOSCOPY 016'!$N$22</f>
        <v>67.294964028776974</v>
      </c>
    </row>
    <row r="194" spans="1:4" x14ac:dyDescent="0.2">
      <c r="A194" s="16"/>
      <c r="B194" s="29" t="s">
        <v>360</v>
      </c>
      <c r="C194" s="28">
        <f>ENDOSCOPY!C29</f>
        <v>68800.728155339806</v>
      </c>
      <c r="D194" s="13">
        <f>'[15]ENDOSCOPY 016'!$N$23</f>
        <v>0</v>
      </c>
    </row>
    <row r="195" spans="1:4" x14ac:dyDescent="0.2">
      <c r="A195" s="16"/>
      <c r="B195" s="29" t="s">
        <v>362</v>
      </c>
      <c r="C195" s="28">
        <f>ENDOSCOPY!C30</f>
        <v>5451.941747572816</v>
      </c>
      <c r="D195" s="13">
        <f>'[15]ENDOSCOPY 016'!$N$24</f>
        <v>29.697841726618705</v>
      </c>
    </row>
    <row r="196" spans="1:4" x14ac:dyDescent="0.2">
      <c r="A196" s="90">
        <v>31200.016</v>
      </c>
      <c r="B196" s="161" t="s">
        <v>407</v>
      </c>
      <c r="C196" s="293">
        <f>SUM(C189:C195)</f>
        <v>297453.88349514565</v>
      </c>
      <c r="D196" s="292"/>
    </row>
    <row r="198" spans="1:4" x14ac:dyDescent="0.2">
      <c r="A198" s="21"/>
      <c r="B198" s="10" t="s">
        <v>408</v>
      </c>
      <c r="C198" s="107" t="s">
        <v>409</v>
      </c>
      <c r="D198" s="102" t="s">
        <v>410</v>
      </c>
    </row>
    <row r="199" spans="1:4" x14ac:dyDescent="0.2">
      <c r="A199" s="16"/>
      <c r="B199" s="29" t="s">
        <v>352</v>
      </c>
      <c r="C199" s="28">
        <f>'STERILE SUPPLY'!C8</f>
        <v>0</v>
      </c>
      <c r="D199" s="13">
        <v>0</v>
      </c>
    </row>
    <row r="200" spans="1:4" x14ac:dyDescent="0.2">
      <c r="A200" s="16"/>
      <c r="B200" s="29" t="s">
        <v>353</v>
      </c>
      <c r="C200" s="28">
        <f>'STERILE SUPPLY'!C9</f>
        <v>0</v>
      </c>
      <c r="D200" s="13">
        <v>0</v>
      </c>
    </row>
    <row r="201" spans="1:4" x14ac:dyDescent="0.2">
      <c r="A201" s="16"/>
      <c r="B201" s="29" t="s">
        <v>355</v>
      </c>
      <c r="C201" s="28">
        <f>'STERILE SUPPLY'!C10</f>
        <v>0</v>
      </c>
      <c r="D201" s="13">
        <v>0</v>
      </c>
    </row>
    <row r="202" spans="1:4" x14ac:dyDescent="0.2">
      <c r="A202" s="16"/>
      <c r="B202" s="29" t="s">
        <v>370</v>
      </c>
      <c r="C202" s="28">
        <f>'STERILE SUPPLY'!C11</f>
        <v>0</v>
      </c>
      <c r="D202" s="13">
        <v>0</v>
      </c>
    </row>
    <row r="203" spans="1:4" x14ac:dyDescent="0.2">
      <c r="A203" s="16"/>
      <c r="B203" s="29" t="s">
        <v>356</v>
      </c>
      <c r="C203" s="28">
        <f>'STERILE SUPPLY'!C12</f>
        <v>0</v>
      </c>
      <c r="D203" s="13">
        <v>0</v>
      </c>
    </row>
    <row r="204" spans="1:4" x14ac:dyDescent="0.2">
      <c r="A204" s="16"/>
      <c r="B204" s="29" t="s">
        <v>354</v>
      </c>
      <c r="C204" s="28">
        <f>'STERILE SUPPLY'!C13</f>
        <v>0</v>
      </c>
      <c r="D204" s="13">
        <v>0</v>
      </c>
    </row>
    <row r="205" spans="1:4" x14ac:dyDescent="0.2">
      <c r="A205" s="16"/>
      <c r="B205" s="29" t="s">
        <v>357</v>
      </c>
      <c r="C205" s="28">
        <f>'STERILE SUPPLY'!C14</f>
        <v>0</v>
      </c>
      <c r="D205" s="13">
        <v>0</v>
      </c>
    </row>
    <row r="206" spans="1:4" x14ac:dyDescent="0.2">
      <c r="A206" s="87">
        <v>31110.017</v>
      </c>
      <c r="B206" s="161" t="s">
        <v>411</v>
      </c>
      <c r="C206" s="290">
        <f>SUM(C199:C205)</f>
        <v>0</v>
      </c>
      <c r="D206" s="291"/>
    </row>
    <row r="207" spans="1:4" x14ac:dyDescent="0.2">
      <c r="A207" s="87"/>
      <c r="B207" s="29" t="s">
        <v>424</v>
      </c>
      <c r="C207" s="28">
        <f>'STERILE SUPPLY'!C16</f>
        <v>0</v>
      </c>
      <c r="D207" s="13">
        <v>0</v>
      </c>
    </row>
    <row r="208" spans="1:4" x14ac:dyDescent="0.2">
      <c r="A208" s="87"/>
      <c r="B208" s="29" t="s">
        <v>425</v>
      </c>
      <c r="C208" s="28">
        <f>'STERILE SUPPLY'!C17</f>
        <v>0</v>
      </c>
      <c r="D208" s="13">
        <v>0</v>
      </c>
    </row>
    <row r="209" spans="1:4" x14ac:dyDescent="0.2">
      <c r="A209" s="87"/>
      <c r="B209" s="29" t="s">
        <v>426</v>
      </c>
      <c r="C209" s="28">
        <f>'STERILE SUPPLY'!C18</f>
        <v>0</v>
      </c>
      <c r="D209" s="13">
        <v>0</v>
      </c>
    </row>
    <row r="210" spans="1:4" x14ac:dyDescent="0.2">
      <c r="A210" s="87"/>
      <c r="B210" s="29" t="s">
        <v>427</v>
      </c>
      <c r="C210" s="28">
        <f>'STERILE SUPPLY'!C19</f>
        <v>0</v>
      </c>
      <c r="D210" s="13">
        <v>0</v>
      </c>
    </row>
    <row r="211" spans="1:4" x14ac:dyDescent="0.2">
      <c r="A211" s="87"/>
      <c r="B211" s="29" t="s">
        <v>428</v>
      </c>
      <c r="C211" s="28">
        <f>'STERILE SUPPLY'!C20</f>
        <v>0</v>
      </c>
      <c r="D211" s="13">
        <v>0</v>
      </c>
    </row>
    <row r="212" spans="1:4" x14ac:dyDescent="0.2">
      <c r="A212" s="87"/>
      <c r="B212" s="29" t="s">
        <v>429</v>
      </c>
      <c r="C212" s="28">
        <f>'STERILE SUPPLY'!C21</f>
        <v>0</v>
      </c>
      <c r="D212" s="13">
        <v>0</v>
      </c>
    </row>
    <row r="213" spans="1:4" x14ac:dyDescent="0.2">
      <c r="A213" s="87"/>
      <c r="B213" s="29" t="s">
        <v>430</v>
      </c>
      <c r="C213" s="28">
        <f>'STERILE SUPPLY'!C22</f>
        <v>0</v>
      </c>
      <c r="D213" s="13">
        <v>0</v>
      </c>
    </row>
    <row r="214" spans="1:4" x14ac:dyDescent="0.2">
      <c r="A214" s="87">
        <v>31111.017</v>
      </c>
      <c r="B214" s="161" t="s">
        <v>412</v>
      </c>
      <c r="C214" s="293">
        <f>SUM(C207:C213)</f>
        <v>0</v>
      </c>
      <c r="D214" s="292"/>
    </row>
    <row r="215" spans="1:4" x14ac:dyDescent="0.2">
      <c r="A215" s="16"/>
      <c r="B215" s="29" t="s">
        <v>358</v>
      </c>
      <c r="C215" s="28">
        <f>'STERILE SUPPLY'!C24</f>
        <v>0</v>
      </c>
      <c r="D215" s="13">
        <v>0</v>
      </c>
    </row>
    <row r="216" spans="1:4" x14ac:dyDescent="0.2">
      <c r="A216" s="16"/>
      <c r="B216" s="29" t="s">
        <v>359</v>
      </c>
      <c r="C216" s="28">
        <f>'STERILE SUPPLY'!C25</f>
        <v>0</v>
      </c>
      <c r="D216" s="13">
        <v>0</v>
      </c>
    </row>
    <row r="217" spans="1:4" x14ac:dyDescent="0.2">
      <c r="A217" s="16"/>
      <c r="B217" s="29" t="s">
        <v>372</v>
      </c>
      <c r="C217" s="28">
        <f>'STERILE SUPPLY'!C26</f>
        <v>0</v>
      </c>
      <c r="D217" s="13">
        <v>0</v>
      </c>
    </row>
    <row r="218" spans="1:4" x14ac:dyDescent="0.2">
      <c r="A218" s="16"/>
      <c r="B218" s="29" t="s">
        <v>373</v>
      </c>
      <c r="C218" s="28">
        <f>'STERILE SUPPLY'!C27</f>
        <v>0</v>
      </c>
      <c r="D218" s="13">
        <v>0</v>
      </c>
    </row>
    <row r="219" spans="1:4" x14ac:dyDescent="0.2">
      <c r="A219" s="16"/>
      <c r="B219" s="29" t="s">
        <v>361</v>
      </c>
      <c r="C219" s="28">
        <f>'STERILE SUPPLY'!C28</f>
        <v>0</v>
      </c>
      <c r="D219" s="13">
        <v>0</v>
      </c>
    </row>
    <row r="220" spans="1:4" x14ac:dyDescent="0.2">
      <c r="A220" s="16"/>
      <c r="B220" s="29" t="s">
        <v>360</v>
      </c>
      <c r="C220" s="28">
        <f>'STERILE SUPPLY'!C29</f>
        <v>0</v>
      </c>
      <c r="D220" s="13">
        <v>0</v>
      </c>
    </row>
    <row r="221" spans="1:4" x14ac:dyDescent="0.2">
      <c r="A221" s="16"/>
      <c r="B221" s="29" t="s">
        <v>362</v>
      </c>
      <c r="C221" s="28">
        <f>'STERILE SUPPLY'!C30</f>
        <v>0</v>
      </c>
      <c r="D221" s="13">
        <v>0</v>
      </c>
    </row>
    <row r="222" spans="1:4" x14ac:dyDescent="0.2">
      <c r="A222" s="90">
        <v>31200.017</v>
      </c>
      <c r="B222" s="161" t="s">
        <v>413</v>
      </c>
      <c r="C222" s="293">
        <f>SUM(C215:C221)</f>
        <v>0</v>
      </c>
      <c r="D222" s="292"/>
    </row>
    <row r="224" spans="1:4" x14ac:dyDescent="0.2">
      <c r="A224" s="21"/>
      <c r="B224" s="10" t="s">
        <v>416</v>
      </c>
      <c r="C224" s="78"/>
      <c r="D224" s="102" t="s">
        <v>417</v>
      </c>
    </row>
    <row r="225" spans="1:4" x14ac:dyDescent="0.2">
      <c r="A225" s="16"/>
      <c r="B225" s="29" t="s">
        <v>352</v>
      </c>
      <c r="C225" s="28">
        <f>PHARMACY!C11</f>
        <v>200214.64027752649</v>
      </c>
      <c r="D225" s="143">
        <f>'[15]PHARMACY 021'!$N$18</f>
        <v>6.317671110409929</v>
      </c>
    </row>
    <row r="226" spans="1:4" x14ac:dyDescent="0.2">
      <c r="A226" s="16"/>
      <c r="B226" s="29" t="s">
        <v>353</v>
      </c>
      <c r="C226" s="28">
        <f>PHARMACY!C12</f>
        <v>1465.1033923212913</v>
      </c>
      <c r="D226" s="143">
        <f>'[15]PHARMACY 021'!$N$19</f>
        <v>2.5772974678551708</v>
      </c>
    </row>
    <row r="227" spans="1:4" x14ac:dyDescent="0.2">
      <c r="A227" s="16"/>
      <c r="B227" s="29" t="s">
        <v>355</v>
      </c>
      <c r="C227" s="28">
        <f>PHARMACY!C13</f>
        <v>18416.357324244189</v>
      </c>
      <c r="D227" s="143">
        <f>'[15]PHARMACY 021'!$N$20</f>
        <v>0.22624306486813389</v>
      </c>
    </row>
    <row r="228" spans="1:4" x14ac:dyDescent="0.2">
      <c r="A228" s="16"/>
      <c r="B228" s="29" t="s">
        <v>370</v>
      </c>
      <c r="C228" s="28">
        <f>PHARMACY!C14</f>
        <v>0</v>
      </c>
      <c r="D228" s="143">
        <f>'[15]PHARMACY 021'!$N$21</f>
        <v>4.6843364623596541E-2</v>
      </c>
    </row>
    <row r="229" spans="1:4" x14ac:dyDescent="0.2">
      <c r="A229" s="16"/>
      <c r="B229" s="29" t="s">
        <v>356</v>
      </c>
      <c r="C229" s="28">
        <f>PHARMACY!C15</f>
        <v>34693.969908783765</v>
      </c>
      <c r="D229" s="143">
        <f>'[15]PHARMACY 021'!$N$22</f>
        <v>0.3970129631090426</v>
      </c>
    </row>
    <row r="230" spans="1:4" x14ac:dyDescent="0.2">
      <c r="A230" s="16"/>
      <c r="B230" s="29" t="s">
        <v>354</v>
      </c>
      <c r="C230" s="28">
        <f>PHARMACY!C16</f>
        <v>83413.363397372275</v>
      </c>
      <c r="D230" s="143">
        <f>'[15]PHARMACY 021'!$N$23</f>
        <v>0.50699166469459134</v>
      </c>
    </row>
    <row r="231" spans="1:4" x14ac:dyDescent="0.2">
      <c r="A231" s="16"/>
      <c r="B231" s="29" t="s">
        <v>357</v>
      </c>
      <c r="C231" s="28">
        <f>PHARMACY!C17</f>
        <v>12004.856237484366</v>
      </c>
      <c r="D231" s="143">
        <f>'[15]PHARMACY 021'!$N$24</f>
        <v>0.78216744234966218</v>
      </c>
    </row>
    <row r="232" spans="1:4" x14ac:dyDescent="0.2">
      <c r="A232" s="87">
        <v>31110.021000000001</v>
      </c>
      <c r="B232" s="161" t="s">
        <v>421</v>
      </c>
      <c r="C232" s="293">
        <f>SUM(C225:C231)</f>
        <v>350208.29053773242</v>
      </c>
      <c r="D232" s="300"/>
    </row>
    <row r="233" spans="1:4" x14ac:dyDescent="0.2">
      <c r="A233" s="87"/>
      <c r="B233" s="29" t="s">
        <v>424</v>
      </c>
      <c r="C233" s="28">
        <f>PHARMACY!C19</f>
        <v>196100.32725092521</v>
      </c>
      <c r="D233" s="143">
        <f>'[15]PHARMACY 021'!$N$25</f>
        <v>1.0319147537535169</v>
      </c>
    </row>
    <row r="234" spans="1:4" x14ac:dyDescent="0.2">
      <c r="A234" s="87"/>
      <c r="B234" s="29" t="s">
        <v>425</v>
      </c>
      <c r="C234" s="28">
        <f>PHARMACY!C20</f>
        <v>0</v>
      </c>
      <c r="D234" s="143">
        <f>'[15]PHARMACY 021'!$N$26</f>
        <v>0</v>
      </c>
    </row>
    <row r="235" spans="1:4" x14ac:dyDescent="0.2">
      <c r="A235" s="87"/>
      <c r="B235" s="29" t="s">
        <v>426</v>
      </c>
      <c r="C235" s="28">
        <f>PHARMACY!C21</f>
        <v>0</v>
      </c>
      <c r="D235" s="143">
        <f>'[15]PHARMACY 021'!$N$27</f>
        <v>0</v>
      </c>
    </row>
    <row r="236" spans="1:4" x14ac:dyDescent="0.2">
      <c r="A236" s="87"/>
      <c r="B236" s="29" t="s">
        <v>427</v>
      </c>
      <c r="C236" s="28">
        <f>PHARMACY!C22</f>
        <v>0</v>
      </c>
      <c r="D236" s="143">
        <f>'[15]PHARMACY 021'!$N$28</f>
        <v>0</v>
      </c>
    </row>
    <row r="237" spans="1:4" x14ac:dyDescent="0.2">
      <c r="A237" s="87"/>
      <c r="B237" s="29" t="s">
        <v>428</v>
      </c>
      <c r="C237" s="28">
        <f>PHARMACY!C23</f>
        <v>0</v>
      </c>
      <c r="D237" s="143">
        <f>'[15]PHARMACY 021'!$N$29</f>
        <v>0</v>
      </c>
    </row>
    <row r="238" spans="1:4" x14ac:dyDescent="0.2">
      <c r="A238" s="87"/>
      <c r="B238" s="29" t="s">
        <v>429</v>
      </c>
      <c r="C238" s="28">
        <f>PHARMACY!C24</f>
        <v>0</v>
      </c>
      <c r="D238" s="143">
        <f>'[15]PHARMACY 021'!$N$30</f>
        <v>0</v>
      </c>
    </row>
    <row r="239" spans="1:4" x14ac:dyDescent="0.2">
      <c r="A239" s="87"/>
      <c r="B239" s="29" t="s">
        <v>430</v>
      </c>
      <c r="C239" s="28">
        <f>PHARMACY!C25</f>
        <v>0</v>
      </c>
      <c r="D239" s="143">
        <f>'[15]PHARMACY 021'!$N$31</f>
        <v>0</v>
      </c>
    </row>
    <row r="240" spans="1:4" x14ac:dyDescent="0.2">
      <c r="A240" s="87">
        <v>31111.021000000001</v>
      </c>
      <c r="B240" s="161" t="s">
        <v>422</v>
      </c>
      <c r="C240" s="293">
        <f>SUM(C233:C239)</f>
        <v>196100.32725092521</v>
      </c>
      <c r="D240" s="300"/>
    </row>
    <row r="241" spans="1:4" x14ac:dyDescent="0.2">
      <c r="A241" s="16"/>
      <c r="B241" s="29" t="s">
        <v>358</v>
      </c>
      <c r="C241" s="28">
        <f>PHARMACY!C27</f>
        <v>165905.0690718508</v>
      </c>
      <c r="D241" s="143">
        <f>'[15]PHARMACY 021'!$N$32</f>
        <v>9.5190107652022125</v>
      </c>
    </row>
    <row r="242" spans="1:4" x14ac:dyDescent="0.2">
      <c r="A242" s="16"/>
      <c r="B242" s="29" t="s">
        <v>359</v>
      </c>
      <c r="C242" s="28">
        <f>PHARMACY!C28</f>
        <v>7827.3858979828137</v>
      </c>
      <c r="D242" s="143">
        <f>'[15]PHARMACY 021'!$N$33</f>
        <v>4.3276869362816415</v>
      </c>
    </row>
    <row r="243" spans="1:4" x14ac:dyDescent="0.2">
      <c r="A243" s="16"/>
      <c r="B243" s="29" t="s">
        <v>372</v>
      </c>
      <c r="C243" s="28">
        <f>PHARMACY!C29</f>
        <v>120034.77846303857</v>
      </c>
      <c r="D243" s="143">
        <f>'[15]PHARMACY 021'!$N$34</f>
        <v>3.8172010474250802</v>
      </c>
    </row>
    <row r="244" spans="1:4" x14ac:dyDescent="0.2">
      <c r="A244" s="16"/>
      <c r="B244" s="29" t="s">
        <v>373</v>
      </c>
      <c r="C244" s="28">
        <f>PHARMACY!C30</f>
        <v>0</v>
      </c>
      <c r="D244" s="143">
        <f>'[15]PHARMACY 021'!$N$35</f>
        <v>0.12416060517893511</v>
      </c>
    </row>
    <row r="245" spans="1:4" x14ac:dyDescent="0.2">
      <c r="A245" s="16"/>
      <c r="B245" s="29" t="s">
        <v>361</v>
      </c>
      <c r="C245" s="28">
        <f>PHARMACY!C31</f>
        <v>22091.768480711806</v>
      </c>
      <c r="D245" s="143">
        <f>'[15]PHARMACY 021'!$N$36</f>
        <v>5.5977480360779754</v>
      </c>
    </row>
    <row r="246" spans="1:4" x14ac:dyDescent="0.2">
      <c r="A246" s="16"/>
      <c r="B246" s="29" t="s">
        <v>360</v>
      </c>
      <c r="C246" s="28">
        <f>PHARMACY!C32</f>
        <v>96668.254665122804</v>
      </c>
      <c r="D246" s="143">
        <f>'[15]PHARMACY 021'!$N$37</f>
        <v>4.2298516147803313E-2</v>
      </c>
    </row>
    <row r="247" spans="1:4" x14ac:dyDescent="0.2">
      <c r="A247" s="16"/>
      <c r="B247" s="29" t="s">
        <v>362</v>
      </c>
      <c r="C247" s="28">
        <f>PHARMACY!C33</f>
        <v>67071.412785666398</v>
      </c>
      <c r="D247" s="143">
        <f>'[15]PHARMACY 021'!$N$38</f>
        <v>2.1780331684608671</v>
      </c>
    </row>
    <row r="248" spans="1:4" x14ac:dyDescent="0.2">
      <c r="A248" s="90">
        <v>31200.021000000001</v>
      </c>
      <c r="B248" s="161" t="s">
        <v>423</v>
      </c>
      <c r="C248" s="293">
        <f>SUM(C241:C247)</f>
        <v>479598.6693643732</v>
      </c>
      <c r="D248" s="302"/>
    </row>
    <row r="250" spans="1:4" x14ac:dyDescent="0.2">
      <c r="A250" s="21"/>
      <c r="B250" s="10" t="s">
        <v>434</v>
      </c>
      <c r="C250" s="78"/>
      <c r="D250" s="102" t="s">
        <v>432</v>
      </c>
    </row>
    <row r="251" spans="1:4" x14ac:dyDescent="0.2">
      <c r="A251" s="16"/>
      <c r="B251" s="29" t="s">
        <v>352</v>
      </c>
      <c r="C251" s="28">
        <f>'IV THERAPY'!C8</f>
        <v>114360.97893777071</v>
      </c>
      <c r="D251" s="13">
        <f>'[15]IV THERAPY 022'!$N$18</f>
        <v>16.732959761321911</v>
      </c>
    </row>
    <row r="252" spans="1:4" x14ac:dyDescent="0.2">
      <c r="A252" s="16"/>
      <c r="B252" s="29" t="s">
        <v>353</v>
      </c>
      <c r="C252" s="28">
        <f>'IV THERAPY'!C9</f>
        <v>658.88169591976293</v>
      </c>
      <c r="D252" s="13">
        <f>'[15]IV THERAPY 022'!$N$19</f>
        <v>7.0241355569155441</v>
      </c>
    </row>
    <row r="253" spans="1:4" x14ac:dyDescent="0.2">
      <c r="A253" s="16"/>
      <c r="B253" s="29" t="s">
        <v>355</v>
      </c>
      <c r="C253" s="28">
        <f>'IV THERAPY'!C10</f>
        <v>6710.2325051287889</v>
      </c>
      <c r="D253" s="13">
        <f>'[15]IV THERAPY 022'!$N$20</f>
        <v>0.8198821909424725</v>
      </c>
    </row>
    <row r="254" spans="1:4" x14ac:dyDescent="0.2">
      <c r="A254" s="16"/>
      <c r="B254" s="29" t="s">
        <v>370</v>
      </c>
      <c r="C254" s="28">
        <f>'IV THERAPY'!C11</f>
        <v>0</v>
      </c>
      <c r="D254" s="13">
        <f>'[15]IV THERAPY 022'!$N$21</f>
        <v>0.11717156262749898</v>
      </c>
    </row>
    <row r="255" spans="1:4" x14ac:dyDescent="0.2">
      <c r="A255" s="16"/>
      <c r="B255" s="29" t="s">
        <v>356</v>
      </c>
      <c r="C255" s="28">
        <f>'IV THERAPY'!C12</f>
        <v>18367.743788465923</v>
      </c>
      <c r="D255" s="13">
        <f>'[15]IV THERAPY 022'!$N$22</f>
        <v>1.1662204202366382</v>
      </c>
    </row>
    <row r="256" spans="1:4" x14ac:dyDescent="0.2">
      <c r="A256" s="16"/>
      <c r="B256" s="29" t="s">
        <v>354</v>
      </c>
      <c r="C256" s="28">
        <f>'IV THERAPY'!C13</f>
        <v>27668.579325279235</v>
      </c>
      <c r="D256" s="13">
        <f>'[15]IV THERAPY 022'!$N$23</f>
        <v>1.3544726642186862</v>
      </c>
    </row>
    <row r="257" spans="1:4" x14ac:dyDescent="0.2">
      <c r="A257" s="16"/>
      <c r="B257" s="29" t="s">
        <v>357</v>
      </c>
      <c r="C257" s="28">
        <f>'IV THERAPY'!C14</f>
        <v>5761.6533166172785</v>
      </c>
      <c r="D257" s="13">
        <f>'[15]IV THERAPY 022'!$N$24</f>
        <v>2.2539142186862509</v>
      </c>
    </row>
    <row r="258" spans="1:4" x14ac:dyDescent="0.2">
      <c r="A258" s="87">
        <v>31110.022000000001</v>
      </c>
      <c r="B258" s="161" t="s">
        <v>435</v>
      </c>
      <c r="C258" s="293">
        <f>SUM(C251:C257)</f>
        <v>173528.06956918168</v>
      </c>
      <c r="D258" s="291"/>
    </row>
    <row r="259" spans="1:4" x14ac:dyDescent="0.2">
      <c r="A259" s="16"/>
      <c r="B259" s="29" t="s">
        <v>424</v>
      </c>
      <c r="C259" s="28">
        <f>'IV THERAPY'!C16</f>
        <v>29706.336904490538</v>
      </c>
      <c r="D259" s="13">
        <f>'[15]IV THERAPY 022'!$N$25</f>
        <v>0.74319155446756424</v>
      </c>
    </row>
    <row r="260" spans="1:4" x14ac:dyDescent="0.2">
      <c r="A260" s="16"/>
      <c r="B260" s="29" t="s">
        <v>425</v>
      </c>
      <c r="C260" s="28">
        <f>'IV THERAPY'!C17</f>
        <v>0</v>
      </c>
      <c r="D260" s="13">
        <f>'[15]IV THERAPY 022'!$N$26</f>
        <v>0</v>
      </c>
    </row>
    <row r="261" spans="1:4" x14ac:dyDescent="0.2">
      <c r="A261" s="16"/>
      <c r="B261" s="29" t="s">
        <v>426</v>
      </c>
      <c r="C261" s="28">
        <f>'IV THERAPY'!C18</f>
        <v>0</v>
      </c>
      <c r="D261" s="13">
        <f>'[15]IV THERAPY 022'!$N$27</f>
        <v>0</v>
      </c>
    </row>
    <row r="262" spans="1:4" x14ac:dyDescent="0.2">
      <c r="A262" s="16"/>
      <c r="B262" s="29" t="s">
        <v>427</v>
      </c>
      <c r="C262" s="28">
        <f>'IV THERAPY'!C19</f>
        <v>0</v>
      </c>
      <c r="D262" s="13">
        <f>'[15]IV THERAPY 022'!$N$28</f>
        <v>0</v>
      </c>
    </row>
    <row r="263" spans="1:4" x14ac:dyDescent="0.2">
      <c r="A263" s="16"/>
      <c r="B263" s="29" t="s">
        <v>428</v>
      </c>
      <c r="C263" s="28">
        <f>'IV THERAPY'!C20</f>
        <v>0</v>
      </c>
      <c r="D263" s="13">
        <f>'[15]IV THERAPY 022'!$N$29</f>
        <v>0</v>
      </c>
    </row>
    <row r="264" spans="1:4" x14ac:dyDescent="0.2">
      <c r="A264" s="16"/>
      <c r="B264" s="29" t="s">
        <v>429</v>
      </c>
      <c r="C264" s="28">
        <f>'IV THERAPY'!C21</f>
        <v>0</v>
      </c>
      <c r="D264" s="13">
        <f>'[15]IV THERAPY 022'!$N$30</f>
        <v>0</v>
      </c>
    </row>
    <row r="265" spans="1:4" x14ac:dyDescent="0.2">
      <c r="A265" s="16"/>
      <c r="B265" s="29" t="s">
        <v>430</v>
      </c>
      <c r="C265" s="28">
        <f>'IV THERAPY'!C22</f>
        <v>0</v>
      </c>
      <c r="D265" s="13">
        <f>'[15]IV THERAPY 022'!$N$31</f>
        <v>0</v>
      </c>
    </row>
    <row r="266" spans="1:4" x14ac:dyDescent="0.2">
      <c r="A266" s="87">
        <v>31111.022000000001</v>
      </c>
      <c r="B266" s="161" t="s">
        <v>436</v>
      </c>
      <c r="C266" s="293">
        <f>SUM(C259:C265)</f>
        <v>29706.336904490538</v>
      </c>
      <c r="D266" s="291"/>
    </row>
    <row r="267" spans="1:4" x14ac:dyDescent="0.2">
      <c r="A267" s="16"/>
      <c r="B267" s="29" t="s">
        <v>358</v>
      </c>
      <c r="C267" s="28">
        <f>'IV THERAPY'!C24</f>
        <v>67113.157832810408</v>
      </c>
      <c r="D267" s="13">
        <f>'[15]IV THERAPY 022'!$N$32</f>
        <v>14.173618275607957</v>
      </c>
    </row>
    <row r="268" spans="1:4" x14ac:dyDescent="0.2">
      <c r="A268" s="16"/>
      <c r="B268" s="29" t="s">
        <v>359</v>
      </c>
      <c r="C268" s="28">
        <f>'IV THERAPY'!C25</f>
        <v>4081.3614970865083</v>
      </c>
      <c r="D268" s="13">
        <f>'[15]IV THERAPY 022'!$N$33</f>
        <v>5.8667649226234335</v>
      </c>
    </row>
    <row r="269" spans="1:4" x14ac:dyDescent="0.2">
      <c r="A269" s="16"/>
      <c r="B269" s="29" t="s">
        <v>372</v>
      </c>
      <c r="C269" s="28">
        <f>'IV THERAPY'!C26</f>
        <v>21711.64007171672</v>
      </c>
      <c r="D269" s="13">
        <f>'[15]IV THERAPY 022'!$N$34</f>
        <v>3.5281503316138538</v>
      </c>
    </row>
    <row r="270" spans="1:4" x14ac:dyDescent="0.2">
      <c r="A270" s="16"/>
      <c r="B270" s="29" t="s">
        <v>373</v>
      </c>
      <c r="C270" s="28">
        <f>'IV THERAPY'!C27</f>
        <v>0</v>
      </c>
      <c r="D270" s="13">
        <f>'[15]IV THERAPY 022'!$N$35</f>
        <v>1.3633014001473839E-2</v>
      </c>
    </row>
    <row r="271" spans="1:4" x14ac:dyDescent="0.2">
      <c r="A271" s="16"/>
      <c r="B271" s="29" t="s">
        <v>361</v>
      </c>
      <c r="C271" s="28">
        <f>'IV THERAPY'!C28</f>
        <v>19842.792357687136</v>
      </c>
      <c r="D271" s="13">
        <f>'[15]IV THERAPY 022'!$N$36</f>
        <v>2.117538688282977</v>
      </c>
    </row>
    <row r="272" spans="1:4" x14ac:dyDescent="0.2">
      <c r="A272" s="16"/>
      <c r="B272" s="29" t="s">
        <v>360</v>
      </c>
      <c r="C272" s="28">
        <f>'IV THERAPY'!C29</f>
        <v>42999.516864634694</v>
      </c>
      <c r="D272" s="13">
        <f>'[15]IV THERAPY 022'!$N$37</f>
        <v>0.1414885777450258</v>
      </c>
    </row>
    <row r="273" spans="1:4" x14ac:dyDescent="0.2">
      <c r="A273" s="16"/>
      <c r="B273" s="29" t="s">
        <v>362</v>
      </c>
      <c r="C273" s="28">
        <f>'IV THERAPY'!C30</f>
        <v>15017.86721201255</v>
      </c>
      <c r="D273" s="13">
        <f>'[15]IV THERAPY 022'!$N$38</f>
        <v>4.7897383935151066</v>
      </c>
    </row>
    <row r="274" spans="1:4" x14ac:dyDescent="0.2">
      <c r="A274" s="90">
        <v>31200.022000000001</v>
      </c>
      <c r="B274" s="161" t="s">
        <v>437</v>
      </c>
      <c r="C274" s="293">
        <f>SUM(C267:C273)</f>
        <v>170766.33583594803</v>
      </c>
      <c r="D274" s="292"/>
    </row>
    <row r="276" spans="1:4" x14ac:dyDescent="0.2">
      <c r="A276" s="21"/>
      <c r="B276" s="10" t="s">
        <v>438</v>
      </c>
      <c r="C276" s="78"/>
      <c r="D276" s="168" t="s">
        <v>439</v>
      </c>
    </row>
    <row r="277" spans="1:4" x14ac:dyDescent="0.2">
      <c r="A277" s="16"/>
      <c r="B277" s="29" t="s">
        <v>352</v>
      </c>
      <c r="C277" s="28">
        <f>LAB!C10</f>
        <v>303725.77685130038</v>
      </c>
      <c r="D277" s="13">
        <f>'[15]LAB 031'!$N$18</f>
        <v>27.487677619893429</v>
      </c>
    </row>
    <row r="278" spans="1:4" x14ac:dyDescent="0.2">
      <c r="A278" s="16"/>
      <c r="B278" s="29" t="s">
        <v>353</v>
      </c>
      <c r="C278" s="28">
        <f>LAB!C11</f>
        <v>1980.5502283105022</v>
      </c>
      <c r="D278" s="13">
        <f>'[15]LAB 031'!$N$19</f>
        <v>8.9661412078152747</v>
      </c>
    </row>
    <row r="279" spans="1:4" x14ac:dyDescent="0.2">
      <c r="A279" s="16"/>
      <c r="B279" s="29" t="s">
        <v>355</v>
      </c>
      <c r="C279" s="28">
        <f>LAB!C12</f>
        <v>42003.757693071275</v>
      </c>
      <c r="D279" s="13">
        <f>'[15]LAB 031'!$N$20</f>
        <v>0.94993339253996445</v>
      </c>
    </row>
    <row r="280" spans="1:4" x14ac:dyDescent="0.2">
      <c r="A280" s="16"/>
      <c r="B280" s="29" t="s">
        <v>370</v>
      </c>
      <c r="C280" s="28">
        <f>LAB!C13</f>
        <v>0</v>
      </c>
      <c r="D280" s="13">
        <f>'[15]LAB 031'!$N$21</f>
        <v>0.23234902309058614</v>
      </c>
    </row>
    <row r="281" spans="1:4" x14ac:dyDescent="0.2">
      <c r="A281" s="16"/>
      <c r="B281" s="29" t="s">
        <v>356</v>
      </c>
      <c r="C281" s="28">
        <f>LAB!C14</f>
        <v>41566.145026801671</v>
      </c>
      <c r="D281" s="13">
        <f>'[15]LAB 031'!$N$22</f>
        <v>1.969360568383659</v>
      </c>
    </row>
    <row r="282" spans="1:4" x14ac:dyDescent="0.2">
      <c r="A282" s="16"/>
      <c r="B282" s="29" t="s">
        <v>354</v>
      </c>
      <c r="C282" s="28">
        <f>LAB!C15</f>
        <v>148953.47002183838</v>
      </c>
      <c r="D282" s="13">
        <f>'[15]LAB 031'!$N$23</f>
        <v>1.8838809946714032</v>
      </c>
    </row>
    <row r="283" spans="1:4" x14ac:dyDescent="0.2">
      <c r="A283" s="16"/>
      <c r="B283" s="29" t="s">
        <v>357</v>
      </c>
      <c r="C283" s="28">
        <f>LAB!C16</f>
        <v>22669.747766527697</v>
      </c>
      <c r="D283" s="13">
        <f>'[15]LAB 031'!$N$24</f>
        <v>2.9856793960923622</v>
      </c>
    </row>
    <row r="284" spans="1:4" x14ac:dyDescent="0.2">
      <c r="A284" s="87">
        <v>31110.030999999999</v>
      </c>
      <c r="B284" s="161" t="s">
        <v>443</v>
      </c>
      <c r="C284" s="293">
        <f>SUM(C277:C283)</f>
        <v>560899.44758784992</v>
      </c>
      <c r="D284" s="292"/>
    </row>
    <row r="285" spans="1:4" x14ac:dyDescent="0.2">
      <c r="A285" s="16"/>
      <c r="B285" s="29" t="s">
        <v>424</v>
      </c>
      <c r="C285" s="28">
        <f>LAB!C18</f>
        <v>119024.9986102839</v>
      </c>
      <c r="D285" s="13">
        <f>'[15]LAB 031'!$N$25</f>
        <v>1.3717806394316163</v>
      </c>
    </row>
    <row r="286" spans="1:4" x14ac:dyDescent="0.2">
      <c r="A286" s="16"/>
      <c r="B286" s="29" t="s">
        <v>425</v>
      </c>
      <c r="C286" s="28">
        <f>LAB!C19</f>
        <v>0</v>
      </c>
      <c r="D286" s="13">
        <f>'[15]LAB 031'!$N$26</f>
        <v>0</v>
      </c>
    </row>
    <row r="287" spans="1:4" x14ac:dyDescent="0.2">
      <c r="A287" s="16"/>
      <c r="B287" s="29" t="s">
        <v>426</v>
      </c>
      <c r="C287" s="28">
        <f>LAB!C20</f>
        <v>0</v>
      </c>
      <c r="D287" s="13">
        <f>'[15]LAB 031'!$N$27</f>
        <v>0</v>
      </c>
    </row>
    <row r="288" spans="1:4" x14ac:dyDescent="0.2">
      <c r="A288" s="16"/>
      <c r="B288" s="29" t="s">
        <v>427</v>
      </c>
      <c r="C288" s="28">
        <f>LAB!C21</f>
        <v>0</v>
      </c>
      <c r="D288" s="13">
        <f>'[15]LAB 031'!$N$28</f>
        <v>0</v>
      </c>
    </row>
    <row r="289" spans="1:4" x14ac:dyDescent="0.2">
      <c r="A289" s="16"/>
      <c r="B289" s="29" t="s">
        <v>428</v>
      </c>
      <c r="C289" s="28">
        <f>LAB!C22</f>
        <v>0</v>
      </c>
      <c r="D289" s="13">
        <f>'[15]LAB 031'!$N$29</f>
        <v>0</v>
      </c>
    </row>
    <row r="290" spans="1:4" x14ac:dyDescent="0.2">
      <c r="A290" s="16"/>
      <c r="B290" s="29" t="s">
        <v>429</v>
      </c>
      <c r="C290" s="28">
        <f>LAB!C23</f>
        <v>0</v>
      </c>
      <c r="D290" s="13">
        <f>'[15]LAB 031'!$N$30</f>
        <v>0</v>
      </c>
    </row>
    <row r="291" spans="1:4" x14ac:dyDescent="0.2">
      <c r="A291" s="16"/>
      <c r="B291" s="29" t="s">
        <v>430</v>
      </c>
      <c r="C291" s="28">
        <f>LAB!C24</f>
        <v>0</v>
      </c>
      <c r="D291" s="13">
        <f>'[15]LAB 031'!$N$31</f>
        <v>0</v>
      </c>
    </row>
    <row r="292" spans="1:4" x14ac:dyDescent="0.2">
      <c r="A292" s="87">
        <v>31111.030999999999</v>
      </c>
      <c r="B292" s="161" t="s">
        <v>444</v>
      </c>
      <c r="C292" s="293">
        <f>SUM(C285:C291)</f>
        <v>119024.9986102839</v>
      </c>
      <c r="D292" s="292"/>
    </row>
    <row r="293" spans="1:4" x14ac:dyDescent="0.2">
      <c r="A293" s="16"/>
      <c r="B293" s="29" t="s">
        <v>358</v>
      </c>
      <c r="C293" s="28">
        <f>LAB!C26</f>
        <v>2011574.9450780384</v>
      </c>
      <c r="D293" s="13">
        <f>'[15]LAB 031'!$N$32</f>
        <v>25.025624827259445</v>
      </c>
    </row>
    <row r="294" spans="1:4" x14ac:dyDescent="0.2">
      <c r="A294" s="16"/>
      <c r="B294" s="29" t="s">
        <v>359</v>
      </c>
      <c r="C294" s="28">
        <f>LAB!C27</f>
        <v>101344.4521735024</v>
      </c>
      <c r="D294" s="13">
        <f>'[15]LAB 031'!$N$33</f>
        <v>15.406048880641213</v>
      </c>
    </row>
    <row r="295" spans="1:4" x14ac:dyDescent="0.2">
      <c r="A295" s="16"/>
      <c r="B295" s="29" t="s">
        <v>372</v>
      </c>
      <c r="C295" s="28">
        <f>LAB!C28</f>
        <v>466125.49115723366</v>
      </c>
      <c r="D295" s="13">
        <f>'[15]LAB 031'!$N$34</f>
        <v>7.5198799699924983</v>
      </c>
    </row>
    <row r="296" spans="1:4" x14ac:dyDescent="0.2">
      <c r="A296" s="16"/>
      <c r="B296" s="29" t="s">
        <v>373</v>
      </c>
      <c r="C296" s="28">
        <f>LAB!C29</f>
        <v>0</v>
      </c>
      <c r="D296" s="13">
        <f>'[15]LAB 031'!$N$35</f>
        <v>0.11051447072294389</v>
      </c>
    </row>
    <row r="297" spans="1:4" x14ac:dyDescent="0.2">
      <c r="A297" s="163"/>
      <c r="B297" s="29" t="s">
        <v>361</v>
      </c>
      <c r="C297" s="28">
        <f>LAB!C30</f>
        <v>161433.24551958631</v>
      </c>
      <c r="D297" s="13">
        <f>'[15]LAB 031'!$N$36</f>
        <v>6.0675168792198049</v>
      </c>
    </row>
    <row r="298" spans="1:4" x14ac:dyDescent="0.2">
      <c r="A298" s="163"/>
      <c r="B298" s="29" t="s">
        <v>360</v>
      </c>
      <c r="C298" s="28">
        <f>LAB!C31</f>
        <v>1079694.6724516542</v>
      </c>
      <c r="D298" s="13">
        <f>'[15]LAB 031'!$N$37</f>
        <v>0.35649701899158998</v>
      </c>
    </row>
    <row r="299" spans="1:4" x14ac:dyDescent="0.2">
      <c r="A299" s="163"/>
      <c r="B299" s="29" t="s">
        <v>362</v>
      </c>
      <c r="C299" s="28">
        <f>LAB!C32</f>
        <v>386211.84722910909</v>
      </c>
      <c r="D299" s="13">
        <f>'[15]LAB 031'!$N$38</f>
        <v>6.7351048288387885</v>
      </c>
    </row>
    <row r="300" spans="1:4" x14ac:dyDescent="0.2">
      <c r="A300" s="90">
        <v>31200.030999999999</v>
      </c>
      <c r="B300" s="161" t="s">
        <v>445</v>
      </c>
      <c r="C300" s="293">
        <f>SUM(C293:C299)</f>
        <v>4206384.653609124</v>
      </c>
      <c r="D300" s="292"/>
    </row>
    <row r="302" spans="1:4" x14ac:dyDescent="0.2">
      <c r="A302" s="21"/>
      <c r="B302" s="10" t="s">
        <v>447</v>
      </c>
      <c r="C302" s="78"/>
      <c r="D302" s="168" t="s">
        <v>446</v>
      </c>
    </row>
    <row r="303" spans="1:4" x14ac:dyDescent="0.2">
      <c r="A303" s="16"/>
      <c r="B303" s="29" t="s">
        <v>352</v>
      </c>
      <c r="C303" s="28">
        <f>PATHOLOGY!C8</f>
        <v>0</v>
      </c>
      <c r="D303" s="13">
        <f>'[15]PATHOLOGY 032'!$N$11</f>
        <v>61.711864406779661</v>
      </c>
    </row>
    <row r="304" spans="1:4" x14ac:dyDescent="0.2">
      <c r="A304" s="16"/>
      <c r="B304" s="29" t="s">
        <v>353</v>
      </c>
      <c r="C304" s="28">
        <f>PATHOLOGY!C9</f>
        <v>0</v>
      </c>
      <c r="D304" s="13">
        <f>'[15]PATHOLOGY 032'!$N$12</f>
        <v>63.559322033898304</v>
      </c>
    </row>
    <row r="305" spans="1:4" x14ac:dyDescent="0.2">
      <c r="A305" s="16"/>
      <c r="B305" s="29" t="s">
        <v>355</v>
      </c>
      <c r="C305" s="28">
        <f>PATHOLOGY!C10</f>
        <v>0</v>
      </c>
      <c r="D305" s="13">
        <f>'[15]PATHOLOGY 032'!$N$13</f>
        <v>0</v>
      </c>
    </row>
    <row r="306" spans="1:4" x14ac:dyDescent="0.2">
      <c r="A306" s="16"/>
      <c r="B306" s="29" t="s">
        <v>370</v>
      </c>
      <c r="C306" s="28">
        <f>PATHOLOGY!C11</f>
        <v>0</v>
      </c>
      <c r="D306" s="13">
        <f>'[15]PATHOLOGY 032'!$N$14</f>
        <v>0</v>
      </c>
    </row>
    <row r="307" spans="1:4" x14ac:dyDescent="0.2">
      <c r="A307" s="16"/>
      <c r="B307" s="29" t="s">
        <v>356</v>
      </c>
      <c r="C307" s="28">
        <f>PATHOLOGY!C12</f>
        <v>0</v>
      </c>
      <c r="D307" s="13">
        <f>'[15]PATHOLOGY 032'!$N$15</f>
        <v>22.033898305084747</v>
      </c>
    </row>
    <row r="308" spans="1:4" x14ac:dyDescent="0.2">
      <c r="A308" s="16"/>
      <c r="B308" s="29" t="s">
        <v>354</v>
      </c>
      <c r="C308" s="28">
        <f>PATHOLOGY!C13</f>
        <v>0</v>
      </c>
      <c r="D308" s="13">
        <f>'[15]PATHOLOGY 032'!$N$16</f>
        <v>30.508474576271187</v>
      </c>
    </row>
    <row r="309" spans="1:4" x14ac:dyDescent="0.2">
      <c r="A309" s="16"/>
      <c r="B309" s="29" t="s">
        <v>357</v>
      </c>
      <c r="C309" s="28">
        <f>PATHOLOGY!C14</f>
        <v>0</v>
      </c>
      <c r="D309" s="13">
        <f>'[15]PATHOLOGY 032'!$N$17</f>
        <v>20.338983050847457</v>
      </c>
    </row>
    <row r="310" spans="1:4" x14ac:dyDescent="0.2">
      <c r="A310" s="87">
        <v>31110.031999999999</v>
      </c>
      <c r="B310" s="161" t="s">
        <v>448</v>
      </c>
      <c r="C310" s="293">
        <f>SUM(C303:C309)</f>
        <v>0</v>
      </c>
      <c r="D310" s="292"/>
    </row>
    <row r="311" spans="1:4" x14ac:dyDescent="0.2">
      <c r="A311" s="16"/>
      <c r="B311" s="29" t="s">
        <v>358</v>
      </c>
      <c r="C311" s="28">
        <f>PATHOLOGY!C16</f>
        <v>0</v>
      </c>
      <c r="D311" s="13">
        <f>'[15]PATHOLOGY 032'!$N$18</f>
        <v>147.25728155339806</v>
      </c>
    </row>
    <row r="312" spans="1:4" x14ac:dyDescent="0.2">
      <c r="A312" s="16"/>
      <c r="B312" s="29" t="s">
        <v>359</v>
      </c>
      <c r="C312" s="28">
        <f>PATHOLOGY!C17</f>
        <v>0</v>
      </c>
      <c r="D312" s="13">
        <f>'[15]PATHOLOGY 032'!$N$19</f>
        <v>147.20873786407768</v>
      </c>
    </row>
    <row r="313" spans="1:4" x14ac:dyDescent="0.2">
      <c r="A313" s="16"/>
      <c r="B313" s="29" t="s">
        <v>372</v>
      </c>
      <c r="C313" s="28">
        <f>PATHOLOGY!C18</f>
        <v>0</v>
      </c>
      <c r="D313" s="13">
        <f>'[15]PATHOLOGY 032'!$N$20</f>
        <v>82.815533980582529</v>
      </c>
    </row>
    <row r="314" spans="1:4" x14ac:dyDescent="0.2">
      <c r="A314" s="16"/>
      <c r="B314" s="29" t="s">
        <v>373</v>
      </c>
      <c r="C314" s="28">
        <f>PATHOLOGY!C19</f>
        <v>0</v>
      </c>
      <c r="D314" s="13">
        <f>'[15]PATHOLOGY 032'!$N$21</f>
        <v>0</v>
      </c>
    </row>
    <row r="315" spans="1:4" x14ac:dyDescent="0.2">
      <c r="A315" s="163"/>
      <c r="B315" s="29" t="s">
        <v>361</v>
      </c>
      <c r="C315" s="28">
        <f>PATHOLOGY!C20</f>
        <v>0</v>
      </c>
      <c r="D315" s="13">
        <f>'[15]PATHOLOGY 032'!$N$22</f>
        <v>43.567961165048544</v>
      </c>
    </row>
    <row r="316" spans="1:4" x14ac:dyDescent="0.2">
      <c r="A316" s="163"/>
      <c r="B316" s="29" t="s">
        <v>360</v>
      </c>
      <c r="C316" s="28">
        <f>PATHOLOGY!C21</f>
        <v>0</v>
      </c>
      <c r="D316" s="13">
        <f>'[15]PATHOLOGY 032'!$N$23</f>
        <v>0</v>
      </c>
    </row>
    <row r="317" spans="1:4" x14ac:dyDescent="0.2">
      <c r="A317" s="163"/>
      <c r="B317" s="29" t="s">
        <v>362</v>
      </c>
      <c r="C317" s="28">
        <f>PATHOLOGY!C22</f>
        <v>0</v>
      </c>
      <c r="D317" s="13">
        <f>'[15]PATHOLOGY 032'!$N$24</f>
        <v>8.1553398058252426</v>
      </c>
    </row>
    <row r="318" spans="1:4" x14ac:dyDescent="0.2">
      <c r="A318" s="90">
        <v>31200.031999999999</v>
      </c>
      <c r="B318" s="161" t="s">
        <v>449</v>
      </c>
      <c r="C318" s="293">
        <f>SUM(C311:C317)</f>
        <v>0</v>
      </c>
      <c r="D318" s="292"/>
    </row>
    <row r="320" spans="1:4" x14ac:dyDescent="0.2">
      <c r="A320" s="21"/>
      <c r="B320" s="10" t="s">
        <v>452</v>
      </c>
      <c r="C320" s="78"/>
      <c r="D320" s="168" t="s">
        <v>439</v>
      </c>
    </row>
    <row r="321" spans="1:4" x14ac:dyDescent="0.2">
      <c r="A321" s="16"/>
      <c r="B321" s="29" t="s">
        <v>352</v>
      </c>
      <c r="C321" s="28">
        <f>'BLOOD BANK'!C8</f>
        <v>31307.927238805973</v>
      </c>
      <c r="D321" s="13">
        <f>'[15]BLOOD BANK 033'!$N$11</f>
        <v>36.889344262295083</v>
      </c>
    </row>
    <row r="322" spans="1:4" x14ac:dyDescent="0.2">
      <c r="A322" s="16"/>
      <c r="B322" s="29" t="s">
        <v>353</v>
      </c>
      <c r="C322" s="28">
        <f>'BLOOD BANK'!C9</f>
        <v>0</v>
      </c>
      <c r="D322" s="13">
        <f>'[15]BLOOD BANK 033'!$N$12</f>
        <v>3.9610655737704916</v>
      </c>
    </row>
    <row r="323" spans="1:4" x14ac:dyDescent="0.2">
      <c r="A323" s="16"/>
      <c r="B323" s="29" t="s">
        <v>355</v>
      </c>
      <c r="C323" s="28">
        <f>'BLOOD BANK'!C10</f>
        <v>5431.9533582089553</v>
      </c>
      <c r="D323" s="13">
        <f>'[15]BLOOD BANK 033'!$N$13</f>
        <v>1.0040983606557377</v>
      </c>
    </row>
    <row r="324" spans="1:4" x14ac:dyDescent="0.2">
      <c r="A324" s="16"/>
      <c r="B324" s="29" t="s">
        <v>370</v>
      </c>
      <c r="C324" s="28">
        <f>'BLOOD BANK'!C11</f>
        <v>0</v>
      </c>
      <c r="D324" s="13">
        <f>'[15]BLOOD BANK 033'!$N$14</f>
        <v>3.3647540983606556</v>
      </c>
    </row>
    <row r="325" spans="1:4" x14ac:dyDescent="0.2">
      <c r="A325" s="16"/>
      <c r="B325" s="29" t="s">
        <v>356</v>
      </c>
      <c r="C325" s="28">
        <f>'BLOOD BANK'!C12</f>
        <v>3936.1735074626868</v>
      </c>
      <c r="D325" s="13">
        <f>'[15]BLOOD BANK 033'!$N$15</f>
        <v>0</v>
      </c>
    </row>
    <row r="326" spans="1:4" x14ac:dyDescent="0.2">
      <c r="A326" s="16"/>
      <c r="B326" s="29" t="s">
        <v>354</v>
      </c>
      <c r="C326" s="28">
        <f>'BLOOD BANK'!C13</f>
        <v>8725.382462686568</v>
      </c>
      <c r="D326" s="13">
        <f>'[15]BLOOD BANK 033'!$N$16</f>
        <v>19.297131147540984</v>
      </c>
    </row>
    <row r="327" spans="1:4" x14ac:dyDescent="0.2">
      <c r="A327" s="16"/>
      <c r="B327" s="29" t="s">
        <v>357</v>
      </c>
      <c r="C327" s="28">
        <f>'BLOOD BANK'!C14</f>
        <v>0</v>
      </c>
      <c r="D327" s="13">
        <f>'[15]BLOOD BANK 033'!$N$17</f>
        <v>7.4979508196721314</v>
      </c>
    </row>
    <row r="328" spans="1:4" x14ac:dyDescent="0.2">
      <c r="A328" s="87">
        <v>31110.032999999999</v>
      </c>
      <c r="B328" s="161" t="s">
        <v>453</v>
      </c>
      <c r="C328" s="293">
        <f>SUM(C321:C327)</f>
        <v>49401.436567164179</v>
      </c>
      <c r="D328" s="291"/>
    </row>
    <row r="329" spans="1:4" x14ac:dyDescent="0.2">
      <c r="A329" s="16"/>
      <c r="B329" s="29" t="s">
        <v>424</v>
      </c>
      <c r="C329" s="28">
        <f>'BLOOD BANK'!C16</f>
        <v>0</v>
      </c>
      <c r="D329" s="13">
        <v>0</v>
      </c>
    </row>
    <row r="330" spans="1:4" x14ac:dyDescent="0.2">
      <c r="A330" s="16"/>
      <c r="B330" s="29" t="s">
        <v>425</v>
      </c>
      <c r="C330" s="28">
        <f>'BLOOD BANK'!C17</f>
        <v>0</v>
      </c>
      <c r="D330" s="13">
        <v>0</v>
      </c>
    </row>
    <row r="331" spans="1:4" x14ac:dyDescent="0.2">
      <c r="A331" s="16"/>
      <c r="B331" s="29" t="s">
        <v>426</v>
      </c>
      <c r="C331" s="28">
        <f>'BLOOD BANK'!C18</f>
        <v>0</v>
      </c>
      <c r="D331" s="13">
        <v>0</v>
      </c>
    </row>
    <row r="332" spans="1:4" x14ac:dyDescent="0.2">
      <c r="A332" s="16"/>
      <c r="B332" s="29" t="s">
        <v>427</v>
      </c>
      <c r="C332" s="28">
        <f>'BLOOD BANK'!C19</f>
        <v>0</v>
      </c>
      <c r="D332" s="13">
        <v>0</v>
      </c>
    </row>
    <row r="333" spans="1:4" x14ac:dyDescent="0.2">
      <c r="A333" s="16"/>
      <c r="B333" s="29" t="s">
        <v>428</v>
      </c>
      <c r="C333" s="28">
        <f>'BLOOD BANK'!C20</f>
        <v>0</v>
      </c>
      <c r="D333" s="13">
        <v>0</v>
      </c>
    </row>
    <row r="334" spans="1:4" x14ac:dyDescent="0.2">
      <c r="A334" s="16"/>
      <c r="B334" s="29" t="s">
        <v>429</v>
      </c>
      <c r="C334" s="28">
        <f>'BLOOD BANK'!C21</f>
        <v>0</v>
      </c>
      <c r="D334" s="13">
        <v>0</v>
      </c>
    </row>
    <row r="335" spans="1:4" x14ac:dyDescent="0.2">
      <c r="A335" s="16"/>
      <c r="B335" s="29" t="s">
        <v>430</v>
      </c>
      <c r="C335" s="28">
        <f>'BLOOD BANK'!C22</f>
        <v>0</v>
      </c>
      <c r="D335" s="13">
        <v>0</v>
      </c>
    </row>
    <row r="336" spans="1:4" x14ac:dyDescent="0.2">
      <c r="A336" s="87">
        <v>31111.032999999999</v>
      </c>
      <c r="B336" s="161" t="s">
        <v>454</v>
      </c>
      <c r="C336" s="293">
        <f>SUM(C329:C335)</f>
        <v>0</v>
      </c>
      <c r="D336" s="292"/>
    </row>
    <row r="337" spans="1:4" x14ac:dyDescent="0.2">
      <c r="A337" s="16"/>
      <c r="B337" s="29" t="s">
        <v>358</v>
      </c>
      <c r="C337" s="28">
        <f>'BLOOD BANK'!C24</f>
        <v>33098.792910447766</v>
      </c>
      <c r="D337" s="13">
        <f>'[15]BLOOD BANK 033'!$N$18</f>
        <v>43.780737704918032</v>
      </c>
    </row>
    <row r="338" spans="1:4" x14ac:dyDescent="0.2">
      <c r="A338" s="16"/>
      <c r="B338" s="29" t="s">
        <v>359</v>
      </c>
      <c r="C338" s="28">
        <f>'BLOOD BANK'!C25</f>
        <v>0</v>
      </c>
      <c r="D338" s="13">
        <f>'[15]BLOOD BANK 033'!$N$19</f>
        <v>16.348360655737704</v>
      </c>
    </row>
    <row r="339" spans="1:4" x14ac:dyDescent="0.2">
      <c r="A339" s="16"/>
      <c r="B339" s="29" t="s">
        <v>372</v>
      </c>
      <c r="C339" s="28">
        <f>'BLOOD BANK'!C26</f>
        <v>11594.837686567163</v>
      </c>
      <c r="D339" s="13">
        <f>'[15]BLOOD BANK 033'!$N$20</f>
        <v>7.7745901639344259</v>
      </c>
    </row>
    <row r="340" spans="1:4" x14ac:dyDescent="0.2">
      <c r="A340" s="16"/>
      <c r="B340" s="29" t="s">
        <v>373</v>
      </c>
      <c r="C340" s="28">
        <f>'BLOOD BANK'!C27</f>
        <v>0</v>
      </c>
      <c r="D340" s="13">
        <f>'[15]BLOOD BANK 033'!$N$21</f>
        <v>0</v>
      </c>
    </row>
    <row r="341" spans="1:4" x14ac:dyDescent="0.2">
      <c r="A341" s="163"/>
      <c r="B341" s="29" t="s">
        <v>361</v>
      </c>
      <c r="C341" s="28">
        <f>'BLOOD BANK'!C28</f>
        <v>12943.074626865673</v>
      </c>
      <c r="D341" s="13">
        <f>'[15]BLOOD BANK 033'!$N$22</f>
        <v>12.409836065573771</v>
      </c>
    </row>
    <row r="342" spans="1:4" x14ac:dyDescent="0.2">
      <c r="A342" s="163"/>
      <c r="B342" s="29" t="s">
        <v>360</v>
      </c>
      <c r="C342" s="28">
        <f>'BLOOD BANK'!C29</f>
        <v>27186.901119402988</v>
      </c>
      <c r="D342" s="13">
        <f>'[15]BLOOD BANK 033'!$N$23</f>
        <v>0</v>
      </c>
    </row>
    <row r="343" spans="1:4" x14ac:dyDescent="0.2">
      <c r="A343" s="163"/>
      <c r="B343" s="29" t="s">
        <v>362</v>
      </c>
      <c r="C343" s="28">
        <f>'BLOOD BANK'!C30</f>
        <v>10567.125</v>
      </c>
      <c r="D343" s="13">
        <f>'[15]BLOOD BANK 033'!$N$24</f>
        <v>4.5389344262295079</v>
      </c>
    </row>
    <row r="344" spans="1:4" x14ac:dyDescent="0.2">
      <c r="A344" s="90">
        <v>31200.032999999999</v>
      </c>
      <c r="B344" s="161" t="s">
        <v>455</v>
      </c>
      <c r="C344" s="293">
        <f>SUM(C337:C343)</f>
        <v>95390.73134328358</v>
      </c>
      <c r="D344" s="292"/>
    </row>
    <row r="346" spans="1:4" x14ac:dyDescent="0.2">
      <c r="A346" s="21"/>
      <c r="B346" s="77" t="s">
        <v>457</v>
      </c>
      <c r="C346" s="78"/>
      <c r="D346" s="102" t="s">
        <v>458</v>
      </c>
    </row>
    <row r="347" spans="1:4" x14ac:dyDescent="0.2">
      <c r="A347" s="16"/>
      <c r="B347" s="29" t="s">
        <v>352</v>
      </c>
      <c r="C347" s="28">
        <f>'CENTRAL SUPPLY'!C10</f>
        <v>406903.8260391932</v>
      </c>
      <c r="D347" s="13">
        <f>'[15]CENTRAL SUPPLY 041'!$N$18</f>
        <v>30.877043424427345</v>
      </c>
    </row>
    <row r="348" spans="1:4" x14ac:dyDescent="0.2">
      <c r="A348" s="16"/>
      <c r="B348" s="29" t="s">
        <v>353</v>
      </c>
      <c r="C348" s="28">
        <f>'CENTRAL SUPPLY'!C11</f>
        <v>1763.4146760120154</v>
      </c>
      <c r="D348" s="13">
        <f>'[15]CENTRAL SUPPLY 041'!$N$19</f>
        <v>7.646502166799328</v>
      </c>
    </row>
    <row r="349" spans="1:4" x14ac:dyDescent="0.2">
      <c r="A349" s="16"/>
      <c r="B349" s="29" t="s">
        <v>355</v>
      </c>
      <c r="C349" s="28">
        <f>'CENTRAL SUPPLY'!C12</f>
        <v>42544.575482763554</v>
      </c>
      <c r="D349" s="13">
        <f>'[15]CENTRAL SUPPLY 041'!$N$20</f>
        <v>0.80118510657115061</v>
      </c>
    </row>
    <row r="350" spans="1:4" x14ac:dyDescent="0.2">
      <c r="A350" s="16"/>
      <c r="B350" s="29" t="s">
        <v>370</v>
      </c>
      <c r="C350" s="28">
        <f>'CENTRAL SUPPLY'!C13</f>
        <v>0</v>
      </c>
      <c r="D350" s="13">
        <f>'[15]CENTRAL SUPPLY 041'!$N$21</f>
        <v>0.35898116211196601</v>
      </c>
    </row>
    <row r="351" spans="1:4" x14ac:dyDescent="0.2">
      <c r="A351" s="16"/>
      <c r="B351" s="29" t="s">
        <v>356</v>
      </c>
      <c r="C351" s="28">
        <f>'CENTRAL SUPPLY'!C14</f>
        <v>44425.81261622085</v>
      </c>
      <c r="D351" s="13">
        <f>'[15]CENTRAL SUPPLY 041'!$N$22</f>
        <v>1.6706465021667993</v>
      </c>
    </row>
    <row r="352" spans="1:4" x14ac:dyDescent="0.2">
      <c r="A352" s="16"/>
      <c r="B352" s="29" t="s">
        <v>354</v>
      </c>
      <c r="C352" s="28">
        <f>'CENTRAL SUPPLY'!C15</f>
        <v>107834.84697468171</v>
      </c>
      <c r="D352" s="13">
        <f>'[15]CENTRAL SUPPLY 041'!$N$23</f>
        <v>2.0562483417352082</v>
      </c>
    </row>
    <row r="353" spans="1:4" x14ac:dyDescent="0.2">
      <c r="A353" s="16"/>
      <c r="B353" s="29" t="s">
        <v>357</v>
      </c>
      <c r="C353" s="28">
        <f>'CENTRAL SUPPLY'!C16</f>
        <v>22497.656987555431</v>
      </c>
      <c r="D353" s="13">
        <f>'[15]CENTRAL SUPPLY 041'!$N$24</f>
        <v>2.1208101176262493</v>
      </c>
    </row>
    <row r="354" spans="1:4" x14ac:dyDescent="0.2">
      <c r="A354" s="87">
        <v>31110.041000000001</v>
      </c>
      <c r="B354" s="161" t="s">
        <v>473</v>
      </c>
      <c r="C354" s="293">
        <f>SUM(C347:C353)</f>
        <v>625970.13277642673</v>
      </c>
      <c r="D354" s="291"/>
    </row>
    <row r="355" spans="1:4" x14ac:dyDescent="0.2">
      <c r="A355" s="16"/>
      <c r="B355" s="29" t="s">
        <v>424</v>
      </c>
      <c r="C355" s="28">
        <f>'CENTRAL SUPPLY'!C18</f>
        <v>269537.30567872978</v>
      </c>
      <c r="D355" s="13">
        <f>'[15]CENTRAL SUPPLY 041'!$N$25</f>
        <v>2.1811267356504822</v>
      </c>
    </row>
    <row r="356" spans="1:4" x14ac:dyDescent="0.2">
      <c r="A356" s="16"/>
      <c r="B356" s="29" t="s">
        <v>425</v>
      </c>
      <c r="C356" s="28">
        <f>'CENTRAL SUPPLY'!C19</f>
        <v>0</v>
      </c>
      <c r="D356" s="13">
        <f>'[15]CENTRAL SUPPLY 041'!$N$26</f>
        <v>0</v>
      </c>
    </row>
    <row r="357" spans="1:4" x14ac:dyDescent="0.2">
      <c r="A357" s="16"/>
      <c r="B357" s="29" t="s">
        <v>426</v>
      </c>
      <c r="C357" s="28">
        <f>'CENTRAL SUPPLY'!C20</f>
        <v>84.719210413388637</v>
      </c>
      <c r="D357" s="13">
        <f>'[15]CENTRAL SUPPLY 041'!$N$27</f>
        <v>0</v>
      </c>
    </row>
    <row r="358" spans="1:4" x14ac:dyDescent="0.2">
      <c r="A358" s="87"/>
      <c r="B358" s="29" t="s">
        <v>427</v>
      </c>
      <c r="C358" s="28">
        <f>'CENTRAL SUPPLY'!C21</f>
        <v>0</v>
      </c>
      <c r="D358" s="27">
        <f>'[15]CENTRAL SUPPLY 041'!$N$28</f>
        <v>0</v>
      </c>
    </row>
    <row r="359" spans="1:4" x14ac:dyDescent="0.2">
      <c r="A359" s="16"/>
      <c r="B359" s="29" t="s">
        <v>428</v>
      </c>
      <c r="C359" s="28">
        <f>'CENTRAL SUPPLY'!C22</f>
        <v>15.688742669146043</v>
      </c>
      <c r="D359" s="13">
        <f>'[15]CENTRAL SUPPLY 041'!$N$29</f>
        <v>0</v>
      </c>
    </row>
    <row r="360" spans="1:4" x14ac:dyDescent="0.2">
      <c r="A360" s="16"/>
      <c r="B360" s="29" t="s">
        <v>429</v>
      </c>
      <c r="C360" s="28">
        <f>'CENTRAL SUPPLY'!C23</f>
        <v>171.00729509369188</v>
      </c>
      <c r="D360" s="13">
        <f>'[15]CENTRAL SUPPLY 041'!$N$30</f>
        <v>0</v>
      </c>
    </row>
    <row r="361" spans="1:4" x14ac:dyDescent="0.2">
      <c r="A361" s="16"/>
      <c r="B361" s="29" t="s">
        <v>430</v>
      </c>
      <c r="C361" s="28">
        <f>'CENTRAL SUPPLY'!C24</f>
        <v>94.132456014876269</v>
      </c>
      <c r="D361" s="13">
        <f>'[15]CENTRAL SUPPLY 041'!$N$31</f>
        <v>0</v>
      </c>
    </row>
    <row r="362" spans="1:4" x14ac:dyDescent="0.2">
      <c r="A362" s="87">
        <v>31111.041000000001</v>
      </c>
      <c r="B362" s="161" t="s">
        <v>474</v>
      </c>
      <c r="C362" s="293">
        <f>SUM(C355:C361)</f>
        <v>269902.85338292085</v>
      </c>
      <c r="D362" s="291"/>
    </row>
    <row r="363" spans="1:4" x14ac:dyDescent="0.2">
      <c r="A363" s="16"/>
      <c r="B363" s="29" t="s">
        <v>358</v>
      </c>
      <c r="C363" s="28">
        <f>'CENTRAL SUPPLY'!C26</f>
        <v>567830.05484011967</v>
      </c>
      <c r="D363" s="13">
        <f>'[15]CENTRAL SUPPLY 041'!$N$32</f>
        <v>15.127526724264168</v>
      </c>
    </row>
    <row r="364" spans="1:4" x14ac:dyDescent="0.2">
      <c r="A364" s="16"/>
      <c r="B364" s="29" t="s">
        <v>359</v>
      </c>
      <c r="C364" s="28">
        <f>'CENTRAL SUPPLY'!C27</f>
        <v>39823.432746040824</v>
      </c>
      <c r="D364" s="13">
        <f>'[15]CENTRAL SUPPLY 041'!$N$33</f>
        <v>11.222942597744913</v>
      </c>
    </row>
    <row r="365" spans="1:4" x14ac:dyDescent="0.2">
      <c r="A365" s="16"/>
      <c r="B365" s="29" t="s">
        <v>372</v>
      </c>
      <c r="C365" s="28">
        <f>'CENTRAL SUPPLY'!C28</f>
        <v>227414.27516290642</v>
      </c>
      <c r="D365" s="13">
        <f>'[15]CENTRAL SUPPLY 041'!$N$34</f>
        <v>5.6843490994289061</v>
      </c>
    </row>
    <row r="366" spans="1:4" x14ac:dyDescent="0.2">
      <c r="A366" s="16"/>
      <c r="B366" s="29" t="s">
        <v>373</v>
      </c>
      <c r="C366" s="28">
        <f>'CENTRAL SUPPLY'!C29</f>
        <v>0</v>
      </c>
      <c r="D366" s="13">
        <f>'[15]CENTRAL SUPPLY 041'!$N$35</f>
        <v>9.9648557621906581E-2</v>
      </c>
    </row>
    <row r="367" spans="1:4" x14ac:dyDescent="0.2">
      <c r="A367" s="16"/>
      <c r="B367" s="29" t="s">
        <v>361</v>
      </c>
      <c r="C367" s="28">
        <f>'CENTRAL SUPPLY'!C30</f>
        <v>119541.49047442924</v>
      </c>
      <c r="D367" s="13">
        <f>'[15]CENTRAL SUPPLY 041'!$N$36</f>
        <v>5.0769256113633032</v>
      </c>
    </row>
    <row r="368" spans="1:4" x14ac:dyDescent="0.2">
      <c r="A368" s="16"/>
      <c r="B368" s="29" t="s">
        <v>360</v>
      </c>
      <c r="C368" s="28">
        <f>'CENTRAL SUPPLY'!C31</f>
        <v>446870.50319827843</v>
      </c>
      <c r="D368" s="13">
        <f>'[15]CENTRAL SUPPLY 041'!$N$37</f>
        <v>0.39361546346463611</v>
      </c>
    </row>
    <row r="369" spans="1:4" x14ac:dyDescent="0.2">
      <c r="A369" s="16"/>
      <c r="B369" s="29" t="s">
        <v>362</v>
      </c>
      <c r="C369" s="28">
        <f>'CENTRAL SUPPLY'!C32</f>
        <v>97307.597468141612</v>
      </c>
      <c r="D369" s="13">
        <f>'[15]CENTRAL SUPPLY 041'!$N$38</f>
        <v>3.7904327134280278</v>
      </c>
    </row>
    <row r="370" spans="1:4" x14ac:dyDescent="0.2">
      <c r="A370" s="90">
        <v>31200.041000000001</v>
      </c>
      <c r="B370" s="161" t="s">
        <v>475</v>
      </c>
      <c r="C370" s="293">
        <f>SUM(C363:C369)</f>
        <v>1498787.3538899163</v>
      </c>
      <c r="D370" s="292"/>
    </row>
    <row r="372" spans="1:4" x14ac:dyDescent="0.2">
      <c r="A372" s="21"/>
      <c r="B372" s="181" t="s">
        <v>478</v>
      </c>
      <c r="C372" s="181"/>
      <c r="D372" s="182" t="s">
        <v>481</v>
      </c>
    </row>
    <row r="373" spans="1:4" x14ac:dyDescent="0.2">
      <c r="A373" s="16"/>
      <c r="B373" s="29" t="s">
        <v>352</v>
      </c>
      <c r="C373" s="78">
        <f>EKG!C11</f>
        <v>66662.281795511211</v>
      </c>
      <c r="D373" s="14">
        <f>'[15]EKG 051'!$N$11</f>
        <v>139.08151093439363</v>
      </c>
    </row>
    <row r="374" spans="1:4" x14ac:dyDescent="0.2">
      <c r="A374" s="16"/>
      <c r="B374" s="29" t="s">
        <v>353</v>
      </c>
      <c r="C374" s="78">
        <f>EKG!C12</f>
        <v>0</v>
      </c>
      <c r="D374" s="14">
        <f>'[15]EKG 051'!$N$12</f>
        <v>39.662027833001986</v>
      </c>
    </row>
    <row r="375" spans="1:4" x14ac:dyDescent="0.2">
      <c r="A375" s="16"/>
      <c r="B375" s="29" t="s">
        <v>355</v>
      </c>
      <c r="C375" s="78">
        <f>EKG!C13</f>
        <v>4102.2942643391516</v>
      </c>
      <c r="D375" s="14">
        <f>'[15]EKG 051'!$N$13</f>
        <v>3.7017892644135189</v>
      </c>
    </row>
    <row r="376" spans="1:4" x14ac:dyDescent="0.2">
      <c r="A376" s="16"/>
      <c r="B376" s="29" t="s">
        <v>370</v>
      </c>
      <c r="C376" s="78">
        <f>EKG!C14</f>
        <v>0</v>
      </c>
      <c r="D376" s="14">
        <f>'[15]EKG 051'!$N$14</f>
        <v>2.1153081510934393</v>
      </c>
    </row>
    <row r="377" spans="1:4" x14ac:dyDescent="0.2">
      <c r="A377" s="16"/>
      <c r="B377" s="29" t="s">
        <v>356</v>
      </c>
      <c r="C377" s="78">
        <f>EKG!C15</f>
        <v>4444.1521197007478</v>
      </c>
      <c r="D377" s="14">
        <f>'[15]EKG 051'!$N$15</f>
        <v>8.9900596421471182</v>
      </c>
    </row>
    <row r="378" spans="1:4" x14ac:dyDescent="0.2">
      <c r="A378" s="16"/>
      <c r="B378" s="29" t="s">
        <v>354</v>
      </c>
      <c r="C378" s="78">
        <f>EKG!C16</f>
        <v>16067.319201995013</v>
      </c>
      <c r="D378" s="14">
        <f>'[15]EKG 051'!$N$16</f>
        <v>10.576540755467196</v>
      </c>
    </row>
    <row r="379" spans="1:4" x14ac:dyDescent="0.2">
      <c r="A379" s="16"/>
      <c r="B379" s="29" t="s">
        <v>357</v>
      </c>
      <c r="C379" s="78">
        <f>EKG!C17</f>
        <v>2051.1471321695758</v>
      </c>
      <c r="D379" s="14">
        <f>'[15]EKG 051'!$N$17</f>
        <v>12.691848906560637</v>
      </c>
    </row>
    <row r="380" spans="1:4" x14ac:dyDescent="0.2">
      <c r="A380" s="87">
        <v>31110.050999999999</v>
      </c>
      <c r="B380" s="161" t="s">
        <v>483</v>
      </c>
      <c r="C380" s="293">
        <f>SUM(C373:C379)</f>
        <v>93327.194513715702</v>
      </c>
      <c r="D380" s="290"/>
    </row>
    <row r="381" spans="1:4" x14ac:dyDescent="0.2">
      <c r="A381" s="16"/>
      <c r="B381" s="29" t="s">
        <v>424</v>
      </c>
      <c r="C381" s="78">
        <f>EKG!C19</f>
        <v>31109.064837905236</v>
      </c>
      <c r="D381" s="14">
        <f>'[15]EKG 051'!$N$18</f>
        <v>3.1729622266401591</v>
      </c>
    </row>
    <row r="382" spans="1:4" x14ac:dyDescent="0.2">
      <c r="A382" s="16"/>
      <c r="B382" s="29" t="s">
        <v>425</v>
      </c>
      <c r="C382" s="78">
        <f>EKG!C20</f>
        <v>0</v>
      </c>
      <c r="D382" s="14">
        <f>'[15]EKG 051'!$N$19</f>
        <v>0</v>
      </c>
    </row>
    <row r="383" spans="1:4" x14ac:dyDescent="0.2">
      <c r="A383" s="16"/>
      <c r="B383" s="29" t="s">
        <v>426</v>
      </c>
      <c r="C383" s="78">
        <f>EKG!C21</f>
        <v>0</v>
      </c>
      <c r="D383" s="14">
        <f>'[15]EKG 051'!$N$20</f>
        <v>0</v>
      </c>
    </row>
    <row r="384" spans="1:4" x14ac:dyDescent="0.2">
      <c r="A384" s="16"/>
      <c r="B384" s="29" t="s">
        <v>427</v>
      </c>
      <c r="C384" s="78">
        <f>EKG!C22</f>
        <v>0</v>
      </c>
      <c r="D384" s="14">
        <f>'[15]EKG 051'!$N$21</f>
        <v>0</v>
      </c>
    </row>
    <row r="385" spans="1:4" x14ac:dyDescent="0.2">
      <c r="A385" s="16"/>
      <c r="B385" s="29" t="s">
        <v>428</v>
      </c>
      <c r="C385" s="78">
        <f>EKG!C23</f>
        <v>0</v>
      </c>
      <c r="D385" s="14">
        <f>'[15]EKG 051'!$N$22</f>
        <v>0</v>
      </c>
    </row>
    <row r="386" spans="1:4" x14ac:dyDescent="0.2">
      <c r="A386" s="16"/>
      <c r="B386" s="29" t="s">
        <v>429</v>
      </c>
      <c r="C386" s="78">
        <f>EKG!C24</f>
        <v>0</v>
      </c>
      <c r="D386" s="14">
        <f>'[15]EKG 051'!$N$23</f>
        <v>0</v>
      </c>
    </row>
    <row r="387" spans="1:4" x14ac:dyDescent="0.2">
      <c r="A387" s="16"/>
      <c r="B387" s="29" t="s">
        <v>430</v>
      </c>
      <c r="C387" s="78">
        <f>EKG!C25</f>
        <v>0</v>
      </c>
      <c r="D387" s="14">
        <f>'[15]EKG 051'!$N$24</f>
        <v>0</v>
      </c>
    </row>
    <row r="388" spans="1:4" x14ac:dyDescent="0.2">
      <c r="A388" s="87">
        <v>31111.050999999999</v>
      </c>
      <c r="B388" s="161" t="s">
        <v>484</v>
      </c>
      <c r="C388" s="293">
        <f>SUM(C381:C387)</f>
        <v>31109.064837905236</v>
      </c>
      <c r="D388" s="293"/>
    </row>
    <row r="389" spans="1:4" x14ac:dyDescent="0.2">
      <c r="A389" s="16"/>
      <c r="B389" s="29" t="s">
        <v>358</v>
      </c>
      <c r="C389" s="78">
        <f>EKG!C27</f>
        <v>261275.36198106338</v>
      </c>
      <c r="D389" s="14">
        <f>'[15]EKG 051'!$N$25</f>
        <v>140.2433371958285</v>
      </c>
    </row>
    <row r="390" spans="1:4" x14ac:dyDescent="0.2">
      <c r="A390" s="16"/>
      <c r="B390" s="29" t="s">
        <v>359</v>
      </c>
      <c r="C390" s="78">
        <f>EKG!C28</f>
        <v>14538.73634377276</v>
      </c>
      <c r="D390" s="14">
        <f>'[15]EKG 051'!$N$26</f>
        <v>68.426419466975673</v>
      </c>
    </row>
    <row r="391" spans="1:4" x14ac:dyDescent="0.2">
      <c r="A391" s="16"/>
      <c r="B391" s="29" t="s">
        <v>372</v>
      </c>
      <c r="C391" s="78">
        <f>EKG!C29</f>
        <v>66799.599417334306</v>
      </c>
      <c r="D391" s="14">
        <f>'[15]EKG 051'!$N$27</f>
        <v>49.008111239860952</v>
      </c>
    </row>
    <row r="392" spans="1:4" x14ac:dyDescent="0.2">
      <c r="A392" s="16"/>
      <c r="B392" s="29" t="s">
        <v>373</v>
      </c>
      <c r="C392" s="78">
        <f>EKG!C30</f>
        <v>0</v>
      </c>
      <c r="D392" s="14">
        <f>'[15]EKG 051'!$N$28</f>
        <v>0</v>
      </c>
    </row>
    <row r="393" spans="1:4" x14ac:dyDescent="0.2">
      <c r="A393" s="163"/>
      <c r="B393" s="29" t="s">
        <v>361</v>
      </c>
      <c r="C393" s="78">
        <f>EKG!C31</f>
        <v>45183.828113619813</v>
      </c>
      <c r="D393" s="14">
        <f>'[15]EKG 051'!$N$29</f>
        <v>42.84356894553882</v>
      </c>
    </row>
    <row r="394" spans="1:4" x14ac:dyDescent="0.2">
      <c r="A394" s="163"/>
      <c r="B394" s="29" t="s">
        <v>360</v>
      </c>
      <c r="C394" s="78">
        <f>EKG!C32</f>
        <v>141445.56664238893</v>
      </c>
      <c r="D394" s="14">
        <f>'[15]EKG 051'!$N$30</f>
        <v>3.082271147161066</v>
      </c>
    </row>
    <row r="395" spans="1:4" x14ac:dyDescent="0.2">
      <c r="A395" s="163"/>
      <c r="B395" s="29" t="s">
        <v>362</v>
      </c>
      <c r="C395" s="78">
        <f>EKG!C33</f>
        <v>55011.434814275308</v>
      </c>
      <c r="D395" s="14">
        <f>'[15]EKG 051'!$N$31</f>
        <v>33.904982618771726</v>
      </c>
    </row>
    <row r="396" spans="1:4" x14ac:dyDescent="0.2">
      <c r="A396" s="90">
        <v>31200.050999999999</v>
      </c>
      <c r="B396" s="161" t="s">
        <v>485</v>
      </c>
      <c r="C396" s="293">
        <f>SUM(C389:C395)</f>
        <v>584254.52731245453</v>
      </c>
      <c r="D396" s="290"/>
    </row>
    <row r="398" spans="1:4" x14ac:dyDescent="0.2">
      <c r="A398" s="21"/>
      <c r="B398" s="77" t="s">
        <v>491</v>
      </c>
      <c r="C398" s="78"/>
      <c r="D398" s="168" t="s">
        <v>492</v>
      </c>
    </row>
    <row r="399" spans="1:4" x14ac:dyDescent="0.2">
      <c r="A399" s="16"/>
      <c r="B399" s="29" t="s">
        <v>352</v>
      </c>
      <c r="C399" s="28">
        <f>XRAY!C10</f>
        <v>51718.864678899088</v>
      </c>
      <c r="D399" s="13">
        <f>'[15]RADIOLOGY 061'!$N$18</f>
        <v>71.59533607681756</v>
      </c>
    </row>
    <row r="400" spans="1:4" x14ac:dyDescent="0.2">
      <c r="A400" s="16"/>
      <c r="B400" s="29" t="s">
        <v>353</v>
      </c>
      <c r="C400" s="28">
        <f>XRAY!C11</f>
        <v>244.16284403669724</v>
      </c>
      <c r="D400" s="13">
        <f>'[15]RADIOLOGY 061'!$N$19</f>
        <v>14.633744855967079</v>
      </c>
    </row>
    <row r="401" spans="1:4" x14ac:dyDescent="0.2">
      <c r="A401" s="16"/>
      <c r="B401" s="29" t="s">
        <v>355</v>
      </c>
      <c r="C401" s="28">
        <f>XRAY!C12</f>
        <v>1041.3302752293578</v>
      </c>
      <c r="D401" s="13">
        <f>'[15]RADIOLOGY 061'!$N$20</f>
        <v>2.5322359396433471</v>
      </c>
    </row>
    <row r="402" spans="1:4" x14ac:dyDescent="0.2">
      <c r="A402" s="16"/>
      <c r="B402" s="29" t="s">
        <v>370</v>
      </c>
      <c r="C402" s="28">
        <f>XRAY!C13</f>
        <v>0</v>
      </c>
      <c r="D402" s="13">
        <f>'[15]RADIOLOGY 061'!$N$21</f>
        <v>0.15912208504801098</v>
      </c>
    </row>
    <row r="403" spans="1:4" x14ac:dyDescent="0.2">
      <c r="A403" s="16"/>
      <c r="B403" s="29" t="s">
        <v>356</v>
      </c>
      <c r="C403" s="28">
        <f>XRAY!C14</f>
        <v>3636.5711009174311</v>
      </c>
      <c r="D403" s="13">
        <f>'[15]RADIOLOGY 061'!$N$22</f>
        <v>4.2043895747599453</v>
      </c>
    </row>
    <row r="404" spans="1:4" x14ac:dyDescent="0.2">
      <c r="A404" s="16"/>
      <c r="B404" s="29" t="s">
        <v>354</v>
      </c>
      <c r="C404" s="28">
        <f>XRAY!C15</f>
        <v>13511.422018348623</v>
      </c>
      <c r="D404" s="13">
        <f>'[15]RADIOLOGY 061'!$N$23</f>
        <v>3.6460905349794239</v>
      </c>
    </row>
    <row r="405" spans="1:4" x14ac:dyDescent="0.2">
      <c r="A405" s="16"/>
      <c r="B405" s="29" t="s">
        <v>357</v>
      </c>
      <c r="C405" s="28">
        <f>XRAY!C16</f>
        <v>1128.6467889908258</v>
      </c>
      <c r="D405" s="13">
        <f>'[15]RADIOLOGY 061'!$N$24</f>
        <v>5.8971193415637861</v>
      </c>
    </row>
    <row r="406" spans="1:4" x14ac:dyDescent="0.2">
      <c r="A406" s="87">
        <v>31110.061000000002</v>
      </c>
      <c r="B406" s="161" t="s">
        <v>496</v>
      </c>
      <c r="C406" s="293">
        <f>SUM(C399:C405)</f>
        <v>71280.997706422029</v>
      </c>
      <c r="D406" s="292"/>
    </row>
    <row r="407" spans="1:4" x14ac:dyDescent="0.2">
      <c r="A407" s="16"/>
      <c r="B407" s="29" t="s">
        <v>424</v>
      </c>
      <c r="C407" s="28">
        <f>XRAY!C18</f>
        <v>18596.800458715596</v>
      </c>
      <c r="D407" s="13">
        <f>'[15]RADIOLOGY 061'!$N$25</f>
        <v>1.5020576131687242</v>
      </c>
    </row>
    <row r="408" spans="1:4" x14ac:dyDescent="0.2">
      <c r="A408" s="16"/>
      <c r="B408" s="29" t="s">
        <v>425</v>
      </c>
      <c r="C408" s="28">
        <f>XRAY!C19</f>
        <v>0</v>
      </c>
      <c r="D408" s="13">
        <f>'[15]RADIOLOGY 061'!$N$26</f>
        <v>0</v>
      </c>
    </row>
    <row r="409" spans="1:4" x14ac:dyDescent="0.2">
      <c r="A409" s="16"/>
      <c r="B409" s="29" t="s">
        <v>426</v>
      </c>
      <c r="C409" s="28">
        <f>XRAY!C20</f>
        <v>0</v>
      </c>
      <c r="D409" s="13">
        <f>'[15]RADIOLOGY 061'!$N$27</f>
        <v>0</v>
      </c>
    </row>
    <row r="410" spans="1:4" x14ac:dyDescent="0.2">
      <c r="A410" s="87"/>
      <c r="B410" s="29" t="s">
        <v>427</v>
      </c>
      <c r="C410" s="28">
        <f>XRAY!C21</f>
        <v>0</v>
      </c>
      <c r="D410" s="27">
        <f>'[15]RADIOLOGY 061'!$N$28</f>
        <v>0</v>
      </c>
    </row>
    <row r="411" spans="1:4" x14ac:dyDescent="0.2">
      <c r="A411" s="16"/>
      <c r="B411" s="29" t="s">
        <v>428</v>
      </c>
      <c r="C411" s="28">
        <f>XRAY!C22</f>
        <v>0</v>
      </c>
      <c r="D411" s="13">
        <f>'[15]RADIOLOGY 061'!$N$29</f>
        <v>0</v>
      </c>
    </row>
    <row r="412" spans="1:4" x14ac:dyDescent="0.2">
      <c r="A412" s="16"/>
      <c r="B412" s="29" t="s">
        <v>429</v>
      </c>
      <c r="C412" s="28">
        <f>XRAY!C23</f>
        <v>0</v>
      </c>
      <c r="D412" s="13">
        <f>'[15]RADIOLOGY 061'!$N$30</f>
        <v>0</v>
      </c>
    </row>
    <row r="413" spans="1:4" x14ac:dyDescent="0.2">
      <c r="A413" s="16"/>
      <c r="B413" s="29" t="s">
        <v>430</v>
      </c>
      <c r="C413" s="28">
        <f>XRAY!C24</f>
        <v>0</v>
      </c>
      <c r="D413" s="13">
        <f>'[15]RADIOLOGY 061'!$N$31</f>
        <v>0</v>
      </c>
    </row>
    <row r="414" spans="1:4" x14ac:dyDescent="0.2">
      <c r="A414" s="87">
        <v>31111.061000000002</v>
      </c>
      <c r="B414" s="161" t="s">
        <v>497</v>
      </c>
      <c r="C414" s="293">
        <f>SUM(C407:C413)</f>
        <v>18596.800458715596</v>
      </c>
      <c r="D414" s="292"/>
    </row>
    <row r="415" spans="1:4" x14ac:dyDescent="0.2">
      <c r="A415" s="16"/>
      <c r="B415" s="29" t="s">
        <v>358</v>
      </c>
      <c r="C415" s="28">
        <f>XRAY!C26</f>
        <v>319722.88855869242</v>
      </c>
      <c r="D415" s="13">
        <f>'[15]RADIOLOGY 061'!$N$32</f>
        <v>52.620233463035021</v>
      </c>
    </row>
    <row r="416" spans="1:4" x14ac:dyDescent="0.2">
      <c r="A416" s="16"/>
      <c r="B416" s="29" t="s">
        <v>359</v>
      </c>
      <c r="C416" s="28">
        <f>XRAY!C27</f>
        <v>23685.645864289254</v>
      </c>
      <c r="D416" s="13">
        <f>'[15]RADIOLOGY 061'!$N$33</f>
        <v>46.556031128404669</v>
      </c>
    </row>
    <row r="417" spans="1:4" x14ac:dyDescent="0.2">
      <c r="A417" s="16"/>
      <c r="B417" s="29" t="s">
        <v>372</v>
      </c>
      <c r="C417" s="28">
        <f>XRAY!C28</f>
        <v>151392.8553739475</v>
      </c>
      <c r="D417" s="13">
        <f>'[15]RADIOLOGY 061'!$N$34</f>
        <v>21.98793774319066</v>
      </c>
    </row>
    <row r="418" spans="1:4" x14ac:dyDescent="0.2">
      <c r="A418" s="16"/>
      <c r="B418" s="29" t="s">
        <v>373</v>
      </c>
      <c r="C418" s="28">
        <f>XRAY!C29</f>
        <v>0</v>
      </c>
      <c r="D418" s="13">
        <f>'[15]RADIOLOGY 061'!$N$35</f>
        <v>3.3451361867704281</v>
      </c>
    </row>
    <row r="419" spans="1:4" x14ac:dyDescent="0.2">
      <c r="A419" s="16"/>
      <c r="B419" s="29" t="s">
        <v>361</v>
      </c>
      <c r="C419" s="28">
        <f>XRAY!C30</f>
        <v>118198.18276374444</v>
      </c>
      <c r="D419" s="13">
        <f>'[15]RADIOLOGY 061'!$N$36</f>
        <v>24.880544747081711</v>
      </c>
    </row>
    <row r="420" spans="1:4" x14ac:dyDescent="0.2">
      <c r="A420" s="16"/>
      <c r="B420" s="29" t="s">
        <v>360</v>
      </c>
      <c r="C420" s="28">
        <f>XRAY!C31</f>
        <v>272748.94997523527</v>
      </c>
      <c r="D420" s="13">
        <f>'[15]RADIOLOGY 061'!$N$37</f>
        <v>0.53774319066147858</v>
      </c>
    </row>
    <row r="421" spans="1:4" x14ac:dyDescent="0.2">
      <c r="A421" s="16"/>
      <c r="B421" s="29" t="s">
        <v>362</v>
      </c>
      <c r="C421" s="28">
        <f>XRAY!C32</f>
        <v>85833.507677067857</v>
      </c>
      <c r="D421" s="13">
        <f>'[15]RADIOLOGY 061'!$N$38</f>
        <v>24.224513618677044</v>
      </c>
    </row>
    <row r="422" spans="1:4" x14ac:dyDescent="0.2">
      <c r="A422" s="90">
        <v>31200.061000000002</v>
      </c>
      <c r="B422" s="161" t="s">
        <v>498</v>
      </c>
      <c r="C422" s="293">
        <f>SUM(C415:C421)</f>
        <v>971582.03021297674</v>
      </c>
      <c r="D422" s="292"/>
    </row>
    <row r="424" spans="1:4" x14ac:dyDescent="0.2">
      <c r="A424" s="21"/>
      <c r="B424" s="77" t="s">
        <v>502</v>
      </c>
      <c r="C424" s="78"/>
      <c r="D424" s="168" t="s">
        <v>506</v>
      </c>
    </row>
    <row r="425" spans="1:4" x14ac:dyDescent="0.2">
      <c r="A425" s="16"/>
      <c r="B425" s="29" t="s">
        <v>352</v>
      </c>
      <c r="C425" s="28">
        <f>ULTRASOUND!C10</f>
        <v>63093.825000000004</v>
      </c>
      <c r="D425" s="13">
        <f>'[15]ULTRASOUND 062'!$N$11</f>
        <v>416.76923076923077</v>
      </c>
    </row>
    <row r="426" spans="1:4" x14ac:dyDescent="0.2">
      <c r="A426" s="16"/>
      <c r="B426" s="29" t="s">
        <v>353</v>
      </c>
      <c r="C426" s="28">
        <f>ULTRASOUND!C11</f>
        <v>0</v>
      </c>
      <c r="D426" s="13">
        <f>'[15]ULTRASOUND 062'!$N$12</f>
        <v>119.79120879120879</v>
      </c>
    </row>
    <row r="427" spans="1:4" x14ac:dyDescent="0.2">
      <c r="A427" s="16"/>
      <c r="B427" s="29" t="s">
        <v>355</v>
      </c>
      <c r="C427" s="28">
        <f>ULTRASOUND!C12</f>
        <v>509.34999999999997</v>
      </c>
      <c r="D427" s="13">
        <f>'[15]ULTRASOUND 062'!$N$13</f>
        <v>59.92307692307692</v>
      </c>
    </row>
    <row r="428" spans="1:4" x14ac:dyDescent="0.2">
      <c r="A428" s="16"/>
      <c r="B428" s="29" t="s">
        <v>370</v>
      </c>
      <c r="C428" s="28">
        <f>ULTRASOUND!C13</f>
        <v>0</v>
      </c>
      <c r="D428" s="13">
        <f>'[15]ULTRASOUND 062'!$N$14</f>
        <v>13.901098901098901</v>
      </c>
    </row>
    <row r="429" spans="1:4" x14ac:dyDescent="0.2">
      <c r="A429" s="16"/>
      <c r="B429" s="29" t="s">
        <v>356</v>
      </c>
      <c r="C429" s="28">
        <f>ULTRASOUND!C14</f>
        <v>1624.125</v>
      </c>
      <c r="D429" s="13">
        <f>'[15]ULTRASOUND 062'!$N$15</f>
        <v>17.978021978021978</v>
      </c>
    </row>
    <row r="430" spans="1:4" x14ac:dyDescent="0.2">
      <c r="A430" s="16"/>
      <c r="B430" s="29" t="s">
        <v>354</v>
      </c>
      <c r="C430" s="28">
        <f>ULTRASOUND!C15</f>
        <v>20264.2</v>
      </c>
      <c r="D430" s="13">
        <f>'[15]ULTRASOUND 062'!$N$16</f>
        <v>50.021978021978022</v>
      </c>
    </row>
    <row r="431" spans="1:4" x14ac:dyDescent="0.2">
      <c r="A431" s="16"/>
      <c r="B431" s="29" t="s">
        <v>357</v>
      </c>
      <c r="C431" s="28">
        <f>ULTRASOUND!C16</f>
        <v>4129.7</v>
      </c>
      <c r="D431" s="13">
        <f>'[15]ULTRASOUND 062'!$N$17</f>
        <v>100.52747252747253</v>
      </c>
    </row>
    <row r="432" spans="1:4" x14ac:dyDescent="0.2">
      <c r="A432" s="87">
        <v>31110.062000000002</v>
      </c>
      <c r="B432" s="161" t="s">
        <v>503</v>
      </c>
      <c r="C432" s="293">
        <f>SUM(C425:C431)</f>
        <v>89621.2</v>
      </c>
      <c r="D432" s="291"/>
    </row>
    <row r="433" spans="1:4" x14ac:dyDescent="0.2">
      <c r="A433" s="16"/>
      <c r="B433" s="29" t="s">
        <v>424</v>
      </c>
      <c r="C433" s="28">
        <f>ULTRASOUND!C18</f>
        <v>4353.875</v>
      </c>
      <c r="D433" s="13">
        <f>'[15]ULTRASOUND 062'!$N$18</f>
        <v>13.901098901098901</v>
      </c>
    </row>
    <row r="434" spans="1:4" x14ac:dyDescent="0.2">
      <c r="A434" s="16"/>
      <c r="B434" s="29" t="s">
        <v>425</v>
      </c>
      <c r="C434" s="28">
        <f>ULTRASOUND!C19</f>
        <v>0</v>
      </c>
      <c r="D434" s="13">
        <f>'[15]ULTRASOUND 062'!$N$19</f>
        <v>0</v>
      </c>
    </row>
    <row r="435" spans="1:4" x14ac:dyDescent="0.2">
      <c r="A435" s="16"/>
      <c r="B435" s="29" t="s">
        <v>426</v>
      </c>
      <c r="C435" s="28">
        <f>ULTRASOUND!C20</f>
        <v>0</v>
      </c>
      <c r="D435" s="13">
        <f>'[15]ULTRASOUND 062'!$N$20</f>
        <v>0</v>
      </c>
    </row>
    <row r="436" spans="1:4" x14ac:dyDescent="0.2">
      <c r="A436" s="87"/>
      <c r="B436" s="29" t="s">
        <v>427</v>
      </c>
      <c r="C436" s="28">
        <f>ULTRASOUND!C21</f>
        <v>0</v>
      </c>
      <c r="D436" s="27">
        <f>'[15]ULTRASOUND 062'!$N$21</f>
        <v>0</v>
      </c>
    </row>
    <row r="437" spans="1:4" x14ac:dyDescent="0.2">
      <c r="A437" s="16"/>
      <c r="B437" s="29" t="s">
        <v>428</v>
      </c>
      <c r="C437" s="28">
        <f>ULTRASOUND!C22</f>
        <v>0</v>
      </c>
      <c r="D437" s="13">
        <f>'[15]ULTRASOUND 062'!$N$22</f>
        <v>0</v>
      </c>
    </row>
    <row r="438" spans="1:4" x14ac:dyDescent="0.2">
      <c r="A438" s="16"/>
      <c r="B438" s="29" t="s">
        <v>429</v>
      </c>
      <c r="C438" s="28">
        <f>ULTRASOUND!C23</f>
        <v>0</v>
      </c>
      <c r="D438" s="13">
        <f>'[15]ULTRASOUND 062'!$N$23</f>
        <v>0</v>
      </c>
    </row>
    <row r="439" spans="1:4" x14ac:dyDescent="0.2">
      <c r="A439" s="16"/>
      <c r="B439" s="29" t="s">
        <v>430</v>
      </c>
      <c r="C439" s="28">
        <f>ULTRASOUND!C24</f>
        <v>0</v>
      </c>
      <c r="D439" s="13">
        <f>'[15]ULTRASOUND 062'!$N$24</f>
        <v>0</v>
      </c>
    </row>
    <row r="440" spans="1:4" x14ac:dyDescent="0.2">
      <c r="A440" s="87">
        <v>31111.062000000002</v>
      </c>
      <c r="B440" s="161" t="s">
        <v>504</v>
      </c>
      <c r="C440" s="293">
        <f>SUM(C433:C439)</f>
        <v>4353.875</v>
      </c>
      <c r="D440" s="291"/>
    </row>
    <row r="441" spans="1:4" x14ac:dyDescent="0.2">
      <c r="A441" s="16"/>
      <c r="B441" s="29" t="s">
        <v>358</v>
      </c>
      <c r="C441" s="28">
        <f>ULTRASOUND!C26</f>
        <v>256021.41666666669</v>
      </c>
      <c r="D441" s="13">
        <f>'[15]ULTRASOUND 062'!$N$25</f>
        <v>170.54603854389723</v>
      </c>
    </row>
    <row r="442" spans="1:4" x14ac:dyDescent="0.2">
      <c r="A442" s="16"/>
      <c r="B442" s="29" t="s">
        <v>359</v>
      </c>
      <c r="C442" s="28">
        <f>ULTRASOUND!C27</f>
        <v>7074.833333333333</v>
      </c>
      <c r="D442" s="13">
        <f>'[15]ULTRASOUND 062'!$N$26</f>
        <v>157.01284796573876</v>
      </c>
    </row>
    <row r="443" spans="1:4" x14ac:dyDescent="0.2">
      <c r="A443" s="16"/>
      <c r="B443" s="29" t="s">
        <v>372</v>
      </c>
      <c r="C443" s="28">
        <f>ULTRASOUND!C28</f>
        <v>107319.58333333333</v>
      </c>
      <c r="D443" s="13">
        <f>'[15]ULTRASOUND 062'!$N$27</f>
        <v>74.483940042826546</v>
      </c>
    </row>
    <row r="444" spans="1:4" x14ac:dyDescent="0.2">
      <c r="A444" s="16"/>
      <c r="B444" s="29" t="s">
        <v>373</v>
      </c>
      <c r="C444" s="28">
        <f>ULTRASOUND!C29</f>
        <v>0</v>
      </c>
      <c r="D444" s="13">
        <f>'[15]ULTRASOUND 062'!$N$28</f>
        <v>1.2141327623126339</v>
      </c>
    </row>
    <row r="445" spans="1:4" x14ac:dyDescent="0.2">
      <c r="A445" s="16"/>
      <c r="B445" s="29" t="s">
        <v>361</v>
      </c>
      <c r="C445" s="28">
        <f>ULTRASOUND!C30</f>
        <v>47363.416666666664</v>
      </c>
      <c r="D445" s="13">
        <f>'[15]ULTRASOUND 062'!$N$29</f>
        <v>64.417558886509639</v>
      </c>
    </row>
    <row r="446" spans="1:4" x14ac:dyDescent="0.2">
      <c r="A446" s="16"/>
      <c r="B446" s="29" t="s">
        <v>360</v>
      </c>
      <c r="C446" s="28">
        <f>ULTRASOUND!C31</f>
        <v>139235.66666666666</v>
      </c>
      <c r="D446" s="13">
        <f>'[15]ULTRASOUND 062'!$N$30</f>
        <v>0</v>
      </c>
    </row>
    <row r="447" spans="1:4" x14ac:dyDescent="0.2">
      <c r="A447" s="16"/>
      <c r="B447" s="29" t="s">
        <v>362</v>
      </c>
      <c r="C447" s="28">
        <f>ULTRASOUND!C32</f>
        <v>23006.666666666668</v>
      </c>
      <c r="D447" s="13">
        <f>'[15]ULTRASOUND 062'!$N$31</f>
        <v>42.569593147751604</v>
      </c>
    </row>
    <row r="448" spans="1:4" x14ac:dyDescent="0.2">
      <c r="A448" s="90">
        <v>31200.062000000002</v>
      </c>
      <c r="B448" s="161" t="s">
        <v>505</v>
      </c>
      <c r="C448" s="293">
        <f>SUM(C441:C447)</f>
        <v>580021.58333333326</v>
      </c>
      <c r="D448" s="291"/>
    </row>
    <row r="450" spans="1:4" x14ac:dyDescent="0.2">
      <c r="A450" s="31"/>
      <c r="B450" s="77" t="s">
        <v>507</v>
      </c>
      <c r="C450" s="78"/>
      <c r="D450" s="102" t="s">
        <v>508</v>
      </c>
    </row>
    <row r="451" spans="1:4" x14ac:dyDescent="0.2">
      <c r="A451" s="16"/>
      <c r="B451" s="29" t="s">
        <v>352</v>
      </c>
      <c r="C451" s="28">
        <f>CT!C8</f>
        <v>128022.36842105263</v>
      </c>
      <c r="D451" s="13">
        <f>'[15]CT SCANNER 063'!$N$11</f>
        <v>665.42399999999998</v>
      </c>
    </row>
    <row r="452" spans="1:4" x14ac:dyDescent="0.2">
      <c r="A452" s="16"/>
      <c r="B452" s="29" t="s">
        <v>353</v>
      </c>
      <c r="C452" s="28">
        <f>CT!C9</f>
        <v>0</v>
      </c>
      <c r="D452" s="13">
        <f>'[15]CT SCANNER 063'!$N$12</f>
        <v>250.96799999999999</v>
      </c>
    </row>
    <row r="453" spans="1:4" x14ac:dyDescent="0.2">
      <c r="A453" s="16"/>
      <c r="B453" s="29" t="s">
        <v>355</v>
      </c>
      <c r="C453" s="28">
        <f>CT!C10</f>
        <v>12913.157894736842</v>
      </c>
      <c r="D453" s="13">
        <f>'[15]CT SCANNER 063'!$N$13</f>
        <v>9.9440000000000008</v>
      </c>
    </row>
    <row r="454" spans="1:4" x14ac:dyDescent="0.2">
      <c r="A454" s="16"/>
      <c r="B454" s="29" t="s">
        <v>370</v>
      </c>
      <c r="C454" s="28">
        <f>CT!C11</f>
        <v>0</v>
      </c>
      <c r="D454" s="13">
        <f>'[15]CT SCANNER 063'!$N$14</f>
        <v>21.431999999999999</v>
      </c>
    </row>
    <row r="455" spans="1:4" x14ac:dyDescent="0.2">
      <c r="A455" s="16"/>
      <c r="B455" s="29" t="s">
        <v>356</v>
      </c>
      <c r="C455" s="28">
        <f>CT!C12</f>
        <v>11940.789473684212</v>
      </c>
      <c r="D455" s="13">
        <f>'[15]CT SCANNER 063'!$N$15</f>
        <v>0</v>
      </c>
    </row>
    <row r="456" spans="1:4" x14ac:dyDescent="0.2">
      <c r="A456" s="16"/>
      <c r="B456" s="29" t="s">
        <v>354</v>
      </c>
      <c r="C456" s="28">
        <f>CT!C13</f>
        <v>48347.368421052633</v>
      </c>
      <c r="D456" s="13">
        <f>'[15]CT SCANNER 063'!$N$16</f>
        <v>30.655999999999999</v>
      </c>
    </row>
    <row r="457" spans="1:4" x14ac:dyDescent="0.2">
      <c r="A457" s="16"/>
      <c r="B457" s="29" t="s">
        <v>357</v>
      </c>
      <c r="C457" s="28">
        <f>CT!C14</f>
        <v>3980.2631578947371</v>
      </c>
      <c r="D457" s="13">
        <f>'[15]CT SCANNER 063'!$N$17</f>
        <v>97.951999999999998</v>
      </c>
    </row>
    <row r="458" spans="1:4" x14ac:dyDescent="0.2">
      <c r="A458" s="87">
        <v>31110.062999999998</v>
      </c>
      <c r="B458" s="161" t="s">
        <v>509</v>
      </c>
      <c r="C458" s="293">
        <f>SUM(C451:C457)</f>
        <v>205203.94736842107</v>
      </c>
      <c r="D458" s="292"/>
    </row>
    <row r="459" spans="1:4" x14ac:dyDescent="0.2">
      <c r="A459" s="16"/>
      <c r="B459" s="29" t="s">
        <v>424</v>
      </c>
      <c r="C459" s="28">
        <f>CT!C16</f>
        <v>55552.631578947367</v>
      </c>
      <c r="D459" s="13">
        <f>'[15]CT SCANNER 063'!$N$18</f>
        <v>11.616</v>
      </c>
    </row>
    <row r="460" spans="1:4" x14ac:dyDescent="0.2">
      <c r="A460" s="16"/>
      <c r="B460" s="29" t="s">
        <v>425</v>
      </c>
      <c r="C460" s="28">
        <f>CT!C17</f>
        <v>0</v>
      </c>
      <c r="D460" s="13">
        <f>'[15]CT SCANNER 063'!$N$19</f>
        <v>0</v>
      </c>
    </row>
    <row r="461" spans="1:4" x14ac:dyDescent="0.2">
      <c r="A461" s="16"/>
      <c r="B461" s="29" t="s">
        <v>426</v>
      </c>
      <c r="C461" s="28">
        <f>CT!C18</f>
        <v>0</v>
      </c>
      <c r="D461" s="13">
        <f>'[15]CT SCANNER 063'!$N$20</f>
        <v>0</v>
      </c>
    </row>
    <row r="462" spans="1:4" x14ac:dyDescent="0.2">
      <c r="A462" s="16"/>
      <c r="B462" s="29" t="s">
        <v>427</v>
      </c>
      <c r="C462" s="28">
        <f>CT!C19</f>
        <v>0</v>
      </c>
      <c r="D462" s="13">
        <f>'[15]CT SCANNER 063'!$N$21</f>
        <v>0</v>
      </c>
    </row>
    <row r="463" spans="1:4" x14ac:dyDescent="0.2">
      <c r="A463" s="16"/>
      <c r="B463" s="29" t="s">
        <v>428</v>
      </c>
      <c r="C463" s="28">
        <f>CT!C20</f>
        <v>0</v>
      </c>
      <c r="D463" s="13">
        <f>'[15]CT SCANNER 063'!$N$22</f>
        <v>0</v>
      </c>
    </row>
    <row r="464" spans="1:4" x14ac:dyDescent="0.2">
      <c r="A464" s="16"/>
      <c r="B464" s="29" t="s">
        <v>429</v>
      </c>
      <c r="C464" s="28">
        <f>CT!C21</f>
        <v>0</v>
      </c>
      <c r="D464" s="13">
        <f>'[15]CT SCANNER 063'!$N$23</f>
        <v>0</v>
      </c>
    </row>
    <row r="465" spans="1:4" x14ac:dyDescent="0.2">
      <c r="A465" s="16"/>
      <c r="B465" s="29" t="s">
        <v>430</v>
      </c>
      <c r="C465" s="28">
        <f>CT!C22</f>
        <v>0</v>
      </c>
      <c r="D465" s="13">
        <f>'[15]CT SCANNER 063'!$N$24</f>
        <v>0</v>
      </c>
    </row>
    <row r="466" spans="1:4" x14ac:dyDescent="0.2">
      <c r="A466" s="87">
        <v>31111.062999999998</v>
      </c>
      <c r="B466" s="161" t="s">
        <v>510</v>
      </c>
      <c r="C466" s="293">
        <f>SUM(C459:C465)</f>
        <v>55552.631578947367</v>
      </c>
      <c r="D466" s="292"/>
    </row>
    <row r="467" spans="1:4" x14ac:dyDescent="0.2">
      <c r="A467" s="16"/>
      <c r="B467" s="29" t="s">
        <v>358</v>
      </c>
      <c r="C467" s="28">
        <f>CT!C24</f>
        <v>1493269.1508857666</v>
      </c>
      <c r="D467" s="13">
        <f>'[15]CT SCANNER 063'!$N$25</f>
        <v>693.29863481228665</v>
      </c>
    </row>
    <row r="468" spans="1:4" x14ac:dyDescent="0.2">
      <c r="A468" s="16"/>
      <c r="B468" s="29" t="s">
        <v>359</v>
      </c>
      <c r="C468" s="28">
        <f>CT!C25</f>
        <v>125491.38668295663</v>
      </c>
      <c r="D468" s="13">
        <f>'[15]CT SCANNER 063'!$N$26</f>
        <v>314.49658703071674</v>
      </c>
    </row>
    <row r="469" spans="1:4" x14ac:dyDescent="0.2">
      <c r="A469" s="16"/>
      <c r="B469" s="29" t="s">
        <v>372</v>
      </c>
      <c r="C469" s="28">
        <f>CT!C26</f>
        <v>456354.18448381184</v>
      </c>
      <c r="D469" s="13">
        <f>'[15]CT SCANNER 063'!$N$27</f>
        <v>216.63822525597269</v>
      </c>
    </row>
    <row r="470" spans="1:4" x14ac:dyDescent="0.2">
      <c r="A470" s="16"/>
      <c r="B470" s="29" t="s">
        <v>373</v>
      </c>
      <c r="C470" s="28">
        <f>CT!C27</f>
        <v>0</v>
      </c>
      <c r="D470" s="13">
        <f>'[15]CT SCANNER 063'!$N$28</f>
        <v>10.397610921501707</v>
      </c>
    </row>
    <row r="471" spans="1:4" x14ac:dyDescent="0.2">
      <c r="A471" s="16"/>
      <c r="B471" s="29" t="s">
        <v>361</v>
      </c>
      <c r="C471" s="28">
        <f>CT!C28</f>
        <v>562858.6438607208</v>
      </c>
      <c r="D471" s="13">
        <f>'[15]CT SCANNER 063'!$N$29</f>
        <v>193.41467576791808</v>
      </c>
    </row>
    <row r="472" spans="1:4" x14ac:dyDescent="0.2">
      <c r="A472" s="16"/>
      <c r="B472" s="29" t="s">
        <v>360</v>
      </c>
      <c r="C472" s="28">
        <f>CT!C29</f>
        <v>862260.23213194869</v>
      </c>
      <c r="D472" s="13">
        <f>'[15]CT SCANNER 063'!$N$30</f>
        <v>14.525597269624573</v>
      </c>
    </row>
    <row r="473" spans="1:4" x14ac:dyDescent="0.2">
      <c r="A473" s="16"/>
      <c r="B473" s="29" t="s">
        <v>362</v>
      </c>
      <c r="C473" s="28">
        <f>CT!C30</f>
        <v>475705.31459987781</v>
      </c>
      <c r="D473" s="13">
        <f>'[15]CT SCANNER 063'!$N$31</f>
        <v>285.13310580204779</v>
      </c>
    </row>
    <row r="474" spans="1:4" x14ac:dyDescent="0.2">
      <c r="A474" s="90">
        <v>31200.062999999998</v>
      </c>
      <c r="B474" s="161" t="s">
        <v>511</v>
      </c>
      <c r="C474" s="293">
        <f>SUM(C467:C473)</f>
        <v>3975938.9126450825</v>
      </c>
      <c r="D474" s="292"/>
    </row>
    <row r="476" spans="1:4" x14ac:dyDescent="0.2">
      <c r="A476" s="31"/>
      <c r="B476" s="200" t="s">
        <v>513</v>
      </c>
      <c r="C476" s="78"/>
      <c r="D476" s="102" t="s">
        <v>517</v>
      </c>
    </row>
    <row r="477" spans="1:4" x14ac:dyDescent="0.2">
      <c r="A477" s="16"/>
      <c r="B477" s="29" t="s">
        <v>352</v>
      </c>
      <c r="C477" s="28">
        <f>MRI!C11</f>
        <v>0</v>
      </c>
      <c r="D477" s="13">
        <v>0</v>
      </c>
    </row>
    <row r="478" spans="1:4" x14ac:dyDescent="0.2">
      <c r="A478" s="16"/>
      <c r="B478" s="29" t="s">
        <v>353</v>
      </c>
      <c r="C478" s="28">
        <f>MRI!C12</f>
        <v>0</v>
      </c>
      <c r="D478" s="13">
        <v>0</v>
      </c>
    </row>
    <row r="479" spans="1:4" x14ac:dyDescent="0.2">
      <c r="A479" s="16"/>
      <c r="B479" s="29" t="s">
        <v>355</v>
      </c>
      <c r="C479" s="28">
        <f>MRI!C13</f>
        <v>0</v>
      </c>
      <c r="D479" s="13">
        <v>0</v>
      </c>
    </row>
    <row r="480" spans="1:4" x14ac:dyDescent="0.2">
      <c r="A480" s="16"/>
      <c r="B480" s="29" t="s">
        <v>370</v>
      </c>
      <c r="C480" s="28">
        <f>MRI!C14</f>
        <v>0</v>
      </c>
      <c r="D480" s="13">
        <v>0</v>
      </c>
    </row>
    <row r="481" spans="1:4" x14ac:dyDescent="0.2">
      <c r="A481" s="16"/>
      <c r="B481" s="29" t="s">
        <v>356</v>
      </c>
      <c r="C481" s="28">
        <f>MRI!C15</f>
        <v>0</v>
      </c>
      <c r="D481" s="13">
        <v>0</v>
      </c>
    </row>
    <row r="482" spans="1:4" x14ac:dyDescent="0.2">
      <c r="A482" s="16"/>
      <c r="B482" s="29" t="s">
        <v>354</v>
      </c>
      <c r="C482" s="28">
        <f>MRI!C16</f>
        <v>0</v>
      </c>
      <c r="D482" s="13">
        <v>0</v>
      </c>
    </row>
    <row r="483" spans="1:4" x14ac:dyDescent="0.2">
      <c r="A483" s="16"/>
      <c r="B483" s="29" t="s">
        <v>357</v>
      </c>
      <c r="C483" s="28">
        <f>MRI!C17</f>
        <v>0</v>
      </c>
      <c r="D483" s="13">
        <v>0</v>
      </c>
    </row>
    <row r="484" spans="1:4" x14ac:dyDescent="0.2">
      <c r="A484" s="87">
        <v>31110.063999999998</v>
      </c>
      <c r="B484" s="161" t="s">
        <v>514</v>
      </c>
      <c r="C484" s="290">
        <f>SUM(C477:C483)</f>
        <v>0</v>
      </c>
      <c r="D484" s="291"/>
    </row>
    <row r="485" spans="1:4" x14ac:dyDescent="0.2">
      <c r="A485" s="16"/>
      <c r="B485" s="29" t="s">
        <v>424</v>
      </c>
      <c r="C485" s="28">
        <f>MRI!C19</f>
        <v>0</v>
      </c>
      <c r="D485" s="13">
        <v>0</v>
      </c>
    </row>
    <row r="486" spans="1:4" x14ac:dyDescent="0.2">
      <c r="A486" s="16"/>
      <c r="B486" s="29" t="s">
        <v>425</v>
      </c>
      <c r="C486" s="28">
        <f>MRI!C20</f>
        <v>0</v>
      </c>
      <c r="D486" s="13">
        <v>0</v>
      </c>
    </row>
    <row r="487" spans="1:4" x14ac:dyDescent="0.2">
      <c r="A487" s="16"/>
      <c r="B487" s="29" t="s">
        <v>426</v>
      </c>
      <c r="C487" s="28">
        <f>MRI!C21</f>
        <v>0</v>
      </c>
      <c r="D487" s="13">
        <v>0</v>
      </c>
    </row>
    <row r="488" spans="1:4" x14ac:dyDescent="0.2">
      <c r="A488" s="16"/>
      <c r="B488" s="29" t="s">
        <v>427</v>
      </c>
      <c r="C488" s="28">
        <f>MRI!C22</f>
        <v>0</v>
      </c>
      <c r="D488" s="13">
        <v>0</v>
      </c>
    </row>
    <row r="489" spans="1:4" x14ac:dyDescent="0.2">
      <c r="A489" s="16"/>
      <c r="B489" s="29" t="s">
        <v>428</v>
      </c>
      <c r="C489" s="28">
        <f>MRI!C23</f>
        <v>0</v>
      </c>
      <c r="D489" s="13">
        <v>0</v>
      </c>
    </row>
    <row r="490" spans="1:4" x14ac:dyDescent="0.2">
      <c r="A490" s="16"/>
      <c r="B490" s="29" t="s">
        <v>429</v>
      </c>
      <c r="C490" s="28">
        <f>MRI!C24</f>
        <v>0</v>
      </c>
      <c r="D490" s="13">
        <v>0</v>
      </c>
    </row>
    <row r="491" spans="1:4" x14ac:dyDescent="0.2">
      <c r="A491" s="16"/>
      <c r="B491" s="29" t="s">
        <v>430</v>
      </c>
      <c r="C491" s="28">
        <f>MRI!C25</f>
        <v>0</v>
      </c>
      <c r="D491" s="13">
        <v>0</v>
      </c>
    </row>
    <row r="492" spans="1:4" x14ac:dyDescent="0.2">
      <c r="A492" s="87">
        <v>31111.063999999998</v>
      </c>
      <c r="B492" s="161" t="s">
        <v>515</v>
      </c>
      <c r="C492" s="290">
        <f>SUM(C485:C491)</f>
        <v>0</v>
      </c>
      <c r="D492" s="291"/>
    </row>
    <row r="493" spans="1:4" x14ac:dyDescent="0.2">
      <c r="A493" s="16"/>
      <c r="B493" s="29" t="s">
        <v>358</v>
      </c>
      <c r="C493" s="28">
        <f>MRI!C27</f>
        <v>298668.38709677418</v>
      </c>
      <c r="D493" s="13">
        <f>'[15]MRI 064'!$N$11</f>
        <v>566.31304347826085</v>
      </c>
    </row>
    <row r="494" spans="1:4" x14ac:dyDescent="0.2">
      <c r="A494" s="16"/>
      <c r="B494" s="29" t="s">
        <v>359</v>
      </c>
      <c r="C494" s="28">
        <f>MRI!C28</f>
        <v>12209.032258064517</v>
      </c>
      <c r="D494" s="13">
        <f>'[15]MRI 064'!$N$12</f>
        <v>569.89565217391305</v>
      </c>
    </row>
    <row r="495" spans="1:4" x14ac:dyDescent="0.2">
      <c r="A495" s="16"/>
      <c r="B495" s="29" t="s">
        <v>372</v>
      </c>
      <c r="C495" s="28">
        <f>MRI!C29</f>
        <v>57766.451612903227</v>
      </c>
      <c r="D495" s="13">
        <f>'[15]MRI 064'!$N$13</f>
        <v>192.2608695652174</v>
      </c>
    </row>
    <row r="496" spans="1:4" x14ac:dyDescent="0.2">
      <c r="A496" s="16"/>
      <c r="B496" s="29" t="s">
        <v>373</v>
      </c>
      <c r="C496" s="28">
        <f>MRI!C30</f>
        <v>0</v>
      </c>
      <c r="D496" s="13">
        <f>'[15]MRI 064'!$N$14</f>
        <v>0</v>
      </c>
    </row>
    <row r="497" spans="1:4" x14ac:dyDescent="0.2">
      <c r="A497" s="16"/>
      <c r="B497" s="29" t="s">
        <v>361</v>
      </c>
      <c r="C497" s="28">
        <f>MRI!C31</f>
        <v>48836.129032258068</v>
      </c>
      <c r="D497" s="13">
        <f>'[15]MRI 064'!$N$15</f>
        <v>115.35652173913043</v>
      </c>
    </row>
    <row r="498" spans="1:4" x14ac:dyDescent="0.2">
      <c r="A498" s="16"/>
      <c r="B498" s="29" t="s">
        <v>360</v>
      </c>
      <c r="C498" s="28">
        <f>MRI!C32</f>
        <v>133846.45161290324</v>
      </c>
      <c r="D498" s="13">
        <f>'[15]MRI 064'!$N$16</f>
        <v>0</v>
      </c>
    </row>
    <row r="499" spans="1:4" x14ac:dyDescent="0.2">
      <c r="A499" s="16"/>
      <c r="B499" s="29" t="s">
        <v>362</v>
      </c>
      <c r="C499" s="28">
        <f>MRI!C33</f>
        <v>31641.290322580644</v>
      </c>
      <c r="D499" s="13">
        <f>'[15]MRI 064'!$N$17</f>
        <v>38.452173913043481</v>
      </c>
    </row>
    <row r="500" spans="1:4" x14ac:dyDescent="0.2">
      <c r="A500" s="90">
        <v>31200.063999999998</v>
      </c>
      <c r="B500" s="161" t="s">
        <v>516</v>
      </c>
      <c r="C500" s="293">
        <f>SUM(C493:C499)</f>
        <v>582967.74193548388</v>
      </c>
      <c r="D500" s="292"/>
    </row>
    <row r="502" spans="1:4" x14ac:dyDescent="0.2">
      <c r="A502" s="31"/>
      <c r="B502" s="77" t="s">
        <v>520</v>
      </c>
      <c r="C502" s="78"/>
      <c r="D502" s="102" t="s">
        <v>525</v>
      </c>
    </row>
    <row r="503" spans="1:4" x14ac:dyDescent="0.2">
      <c r="A503" s="16"/>
      <c r="B503" s="29" t="s">
        <v>352</v>
      </c>
      <c r="C503" s="28">
        <f>'NUCLEAR MEDICINE'!C8</f>
        <v>0</v>
      </c>
      <c r="D503" s="13">
        <v>0</v>
      </c>
    </row>
    <row r="504" spans="1:4" x14ac:dyDescent="0.2">
      <c r="A504" s="16"/>
      <c r="B504" s="29" t="s">
        <v>353</v>
      </c>
      <c r="C504" s="28">
        <f>'NUCLEAR MEDICINE'!C9</f>
        <v>0</v>
      </c>
      <c r="D504" s="13">
        <v>0</v>
      </c>
    </row>
    <row r="505" spans="1:4" x14ac:dyDescent="0.2">
      <c r="A505" s="16"/>
      <c r="B505" s="29" t="s">
        <v>355</v>
      </c>
      <c r="C505" s="28">
        <f>'NUCLEAR MEDICINE'!C10</f>
        <v>0</v>
      </c>
      <c r="D505" s="13">
        <v>0</v>
      </c>
    </row>
    <row r="506" spans="1:4" x14ac:dyDescent="0.2">
      <c r="A506" s="16"/>
      <c r="B506" s="29" t="s">
        <v>370</v>
      </c>
      <c r="C506" s="28">
        <f>'NUCLEAR MEDICINE'!C11</f>
        <v>0</v>
      </c>
      <c r="D506" s="13">
        <v>0</v>
      </c>
    </row>
    <row r="507" spans="1:4" x14ac:dyDescent="0.2">
      <c r="A507" s="16"/>
      <c r="B507" s="29" t="s">
        <v>356</v>
      </c>
      <c r="C507" s="28">
        <f>'NUCLEAR MEDICINE'!C12</f>
        <v>0</v>
      </c>
      <c r="D507" s="13">
        <v>0</v>
      </c>
    </row>
    <row r="508" spans="1:4" x14ac:dyDescent="0.2">
      <c r="A508" s="16"/>
      <c r="B508" s="29" t="s">
        <v>354</v>
      </c>
      <c r="C508" s="28">
        <f>'NUCLEAR MEDICINE'!C13</f>
        <v>0</v>
      </c>
      <c r="D508" s="13">
        <v>0</v>
      </c>
    </row>
    <row r="509" spans="1:4" x14ac:dyDescent="0.2">
      <c r="A509" s="16"/>
      <c r="B509" s="29" t="s">
        <v>357</v>
      </c>
      <c r="C509" s="28">
        <f>'NUCLEAR MEDICINE'!C14</f>
        <v>0</v>
      </c>
      <c r="D509" s="13">
        <v>0</v>
      </c>
    </row>
    <row r="510" spans="1:4" x14ac:dyDescent="0.2">
      <c r="A510" s="87">
        <v>31110.064999999999</v>
      </c>
      <c r="B510" s="161" t="s">
        <v>521</v>
      </c>
      <c r="C510" s="290">
        <f>SUM(C503:C509)</f>
        <v>0</v>
      </c>
      <c r="D510" s="291"/>
    </row>
    <row r="511" spans="1:4" x14ac:dyDescent="0.2">
      <c r="A511" s="16"/>
      <c r="B511" s="29" t="s">
        <v>424</v>
      </c>
      <c r="C511" s="28">
        <f>'NUCLEAR MEDICINE'!C16</f>
        <v>0</v>
      </c>
      <c r="D511" s="13">
        <v>0</v>
      </c>
    </row>
    <row r="512" spans="1:4" x14ac:dyDescent="0.2">
      <c r="A512" s="16"/>
      <c r="B512" s="29" t="s">
        <v>425</v>
      </c>
      <c r="C512" s="28">
        <f>'NUCLEAR MEDICINE'!C17</f>
        <v>0</v>
      </c>
      <c r="D512" s="13">
        <v>0</v>
      </c>
    </row>
    <row r="513" spans="1:4" x14ac:dyDescent="0.2">
      <c r="A513" s="16"/>
      <c r="B513" s="29" t="s">
        <v>426</v>
      </c>
      <c r="C513" s="28">
        <f>'NUCLEAR MEDICINE'!C18</f>
        <v>0</v>
      </c>
      <c r="D513" s="13">
        <v>0</v>
      </c>
    </row>
    <row r="514" spans="1:4" x14ac:dyDescent="0.2">
      <c r="A514" s="16"/>
      <c r="B514" s="29" t="s">
        <v>427</v>
      </c>
      <c r="C514" s="28">
        <f>'NUCLEAR MEDICINE'!C19</f>
        <v>0</v>
      </c>
      <c r="D514" s="13">
        <v>0</v>
      </c>
    </row>
    <row r="515" spans="1:4" x14ac:dyDescent="0.2">
      <c r="A515" s="16"/>
      <c r="B515" s="29" t="s">
        <v>428</v>
      </c>
      <c r="C515" s="28">
        <f>'NUCLEAR MEDICINE'!C20</f>
        <v>0</v>
      </c>
      <c r="D515" s="13">
        <v>0</v>
      </c>
    </row>
    <row r="516" spans="1:4" x14ac:dyDescent="0.2">
      <c r="A516" s="16"/>
      <c r="B516" s="29" t="s">
        <v>429</v>
      </c>
      <c r="C516" s="28">
        <f>'NUCLEAR MEDICINE'!C21</f>
        <v>0</v>
      </c>
      <c r="D516" s="13">
        <v>0</v>
      </c>
    </row>
    <row r="517" spans="1:4" x14ac:dyDescent="0.2">
      <c r="A517" s="16"/>
      <c r="B517" s="29" t="s">
        <v>430</v>
      </c>
      <c r="C517" s="28">
        <f>'NUCLEAR MEDICINE'!C22</f>
        <v>0</v>
      </c>
      <c r="D517" s="13">
        <v>0</v>
      </c>
    </row>
    <row r="518" spans="1:4" x14ac:dyDescent="0.2">
      <c r="A518" s="87">
        <v>31111.064999999999</v>
      </c>
      <c r="B518" s="161" t="s">
        <v>522</v>
      </c>
      <c r="C518" s="290">
        <f>SUM(C511:C517)</f>
        <v>0</v>
      </c>
      <c r="D518" s="291"/>
    </row>
    <row r="519" spans="1:4" x14ac:dyDescent="0.2">
      <c r="A519" s="16"/>
      <c r="B519" s="29" t="s">
        <v>358</v>
      </c>
      <c r="C519" s="28">
        <f>'NUCLEAR MEDICINE'!C24</f>
        <v>85053.809917355378</v>
      </c>
      <c r="D519" s="13">
        <f>'[15]NUCLEAR MEDICINE 065'!$N$11</f>
        <v>129.88704318936877</v>
      </c>
    </row>
    <row r="520" spans="1:4" x14ac:dyDescent="0.2">
      <c r="A520" s="16"/>
      <c r="B520" s="29" t="s">
        <v>359</v>
      </c>
      <c r="C520" s="28">
        <f>'NUCLEAR MEDICINE'!C25</f>
        <v>0</v>
      </c>
      <c r="D520" s="13">
        <f>'[15]NUCLEAR MEDICINE 065'!$N$12</f>
        <v>141.21926910299004</v>
      </c>
    </row>
    <row r="521" spans="1:4" x14ac:dyDescent="0.2">
      <c r="A521" s="16"/>
      <c r="B521" s="29" t="s">
        <v>372</v>
      </c>
      <c r="C521" s="28">
        <f>'NUCLEAR MEDICINE'!C26</f>
        <v>39280.958677685951</v>
      </c>
      <c r="D521" s="13">
        <f>'[15]NUCLEAR MEDICINE 065'!$N$13</f>
        <v>104.47508305647841</v>
      </c>
    </row>
    <row r="522" spans="1:4" x14ac:dyDescent="0.2">
      <c r="A522" s="16"/>
      <c r="B522" s="29" t="s">
        <v>373</v>
      </c>
      <c r="C522" s="28">
        <f>'NUCLEAR MEDICINE'!C27</f>
        <v>0</v>
      </c>
      <c r="D522" s="13">
        <f>'[15]NUCLEAR MEDICINE 065'!$N$14</f>
        <v>0</v>
      </c>
    </row>
    <row r="523" spans="1:4" x14ac:dyDescent="0.2">
      <c r="A523" s="16"/>
      <c r="B523" s="29" t="s">
        <v>361</v>
      </c>
      <c r="C523" s="28">
        <f>'NUCLEAR MEDICINE'!C28</f>
        <v>13130.814049586777</v>
      </c>
      <c r="D523" s="13">
        <f>'[15]NUCLEAR MEDICINE 065'!$N$15</f>
        <v>54.289036544850497</v>
      </c>
    </row>
    <row r="524" spans="1:4" x14ac:dyDescent="0.2">
      <c r="A524" s="16"/>
      <c r="B524" s="29" t="s">
        <v>360</v>
      </c>
      <c r="C524" s="28">
        <f>'NUCLEAR MEDICINE'!C29</f>
        <v>52545.876033057852</v>
      </c>
      <c r="D524" s="13">
        <f>'[15]NUCLEAR MEDICINE 065'!$N$16</f>
        <v>0</v>
      </c>
    </row>
    <row r="525" spans="1:4" x14ac:dyDescent="0.2">
      <c r="A525" s="16"/>
      <c r="B525" s="29" t="s">
        <v>362</v>
      </c>
      <c r="C525" s="28">
        <f>'NUCLEAR MEDICINE'!C30</f>
        <v>0</v>
      </c>
      <c r="D525" s="13">
        <f>'[15]NUCLEAR MEDICINE 065'!$N$17</f>
        <v>5.8471760797342194</v>
      </c>
    </row>
    <row r="526" spans="1:4" x14ac:dyDescent="0.2">
      <c r="A526" s="90">
        <v>31200.064999999999</v>
      </c>
      <c r="B526" s="161" t="s">
        <v>523</v>
      </c>
      <c r="C526" s="293">
        <f>SUM(C519:C525)</f>
        <v>190011.45867768594</v>
      </c>
      <c r="D526" s="292"/>
    </row>
    <row r="528" spans="1:4" x14ac:dyDescent="0.2">
      <c r="A528" s="21"/>
      <c r="B528" s="77" t="s">
        <v>529</v>
      </c>
      <c r="C528" s="78"/>
      <c r="D528" s="168" t="s">
        <v>533</v>
      </c>
    </row>
    <row r="529" spans="1:4" x14ac:dyDescent="0.2">
      <c r="A529" s="16"/>
      <c r="B529" s="29" t="s">
        <v>352</v>
      </c>
      <c r="C529" s="28">
        <f>MAMMOGRAPHY!C10</f>
        <v>0</v>
      </c>
      <c r="D529" s="13">
        <v>0</v>
      </c>
    </row>
    <row r="530" spans="1:4" x14ac:dyDescent="0.2">
      <c r="A530" s="16"/>
      <c r="B530" s="29" t="s">
        <v>353</v>
      </c>
      <c r="C530" s="28">
        <f>MAMMOGRAPHY!C11</f>
        <v>0</v>
      </c>
      <c r="D530" s="13">
        <v>0</v>
      </c>
    </row>
    <row r="531" spans="1:4" x14ac:dyDescent="0.2">
      <c r="A531" s="16"/>
      <c r="B531" s="29" t="s">
        <v>355</v>
      </c>
      <c r="C531" s="28">
        <f>MAMMOGRAPHY!C12</f>
        <v>0</v>
      </c>
      <c r="D531" s="13">
        <v>0</v>
      </c>
    </row>
    <row r="532" spans="1:4" x14ac:dyDescent="0.2">
      <c r="A532" s="16"/>
      <c r="B532" s="29" t="s">
        <v>370</v>
      </c>
      <c r="C532" s="28">
        <f>MAMMOGRAPHY!C13</f>
        <v>0</v>
      </c>
      <c r="D532" s="13">
        <v>0</v>
      </c>
    </row>
    <row r="533" spans="1:4" x14ac:dyDescent="0.2">
      <c r="A533" s="16"/>
      <c r="B533" s="29" t="s">
        <v>356</v>
      </c>
      <c r="C533" s="28">
        <f>MAMMOGRAPHY!C14</f>
        <v>0</v>
      </c>
      <c r="D533" s="13">
        <v>0</v>
      </c>
    </row>
    <row r="534" spans="1:4" x14ac:dyDescent="0.2">
      <c r="A534" s="16"/>
      <c r="B534" s="29" t="s">
        <v>354</v>
      </c>
      <c r="C534" s="28">
        <f>MAMMOGRAPHY!C15</f>
        <v>0</v>
      </c>
      <c r="D534" s="13">
        <v>0</v>
      </c>
    </row>
    <row r="535" spans="1:4" x14ac:dyDescent="0.2">
      <c r="A535" s="16"/>
      <c r="B535" s="29" t="s">
        <v>357</v>
      </c>
      <c r="C535" s="28">
        <f>MAMMOGRAPHY!C16</f>
        <v>0</v>
      </c>
      <c r="D535" s="13">
        <v>0</v>
      </c>
    </row>
    <row r="536" spans="1:4" x14ac:dyDescent="0.2">
      <c r="A536" s="87">
        <v>31110.065999999999</v>
      </c>
      <c r="B536" s="161" t="s">
        <v>530</v>
      </c>
      <c r="C536" s="290">
        <f>SUM(C529:C535)</f>
        <v>0</v>
      </c>
      <c r="D536" s="291"/>
    </row>
    <row r="537" spans="1:4" x14ac:dyDescent="0.2">
      <c r="A537" s="16"/>
      <c r="B537" s="29" t="s">
        <v>424</v>
      </c>
      <c r="C537" s="28">
        <f>MAMMOGRAPHY!C18</f>
        <v>0</v>
      </c>
      <c r="D537" s="13">
        <v>0</v>
      </c>
    </row>
    <row r="538" spans="1:4" x14ac:dyDescent="0.2">
      <c r="A538" s="16"/>
      <c r="B538" s="29" t="s">
        <v>425</v>
      </c>
      <c r="C538" s="28">
        <f>MAMMOGRAPHY!C19</f>
        <v>0</v>
      </c>
      <c r="D538" s="13">
        <v>0</v>
      </c>
    </row>
    <row r="539" spans="1:4" x14ac:dyDescent="0.2">
      <c r="A539" s="16"/>
      <c r="B539" s="29" t="s">
        <v>426</v>
      </c>
      <c r="C539" s="28">
        <f>MAMMOGRAPHY!C20</f>
        <v>0</v>
      </c>
      <c r="D539" s="13">
        <v>0</v>
      </c>
    </row>
    <row r="540" spans="1:4" x14ac:dyDescent="0.2">
      <c r="A540" s="87"/>
      <c r="B540" s="29" t="s">
        <v>427</v>
      </c>
      <c r="C540" s="28">
        <f>MAMMOGRAPHY!C21</f>
        <v>0</v>
      </c>
      <c r="D540" s="27">
        <v>0</v>
      </c>
    </row>
    <row r="541" spans="1:4" x14ac:dyDescent="0.2">
      <c r="A541" s="16"/>
      <c r="B541" s="29" t="s">
        <v>428</v>
      </c>
      <c r="C541" s="28">
        <f>MAMMOGRAPHY!C22</f>
        <v>0</v>
      </c>
      <c r="D541" s="13">
        <v>0</v>
      </c>
    </row>
    <row r="542" spans="1:4" x14ac:dyDescent="0.2">
      <c r="A542" s="16"/>
      <c r="B542" s="29" t="s">
        <v>429</v>
      </c>
      <c r="C542" s="28">
        <f>MAMMOGRAPHY!C23</f>
        <v>0</v>
      </c>
      <c r="D542" s="13">
        <v>0</v>
      </c>
    </row>
    <row r="543" spans="1:4" x14ac:dyDescent="0.2">
      <c r="A543" s="16"/>
      <c r="B543" s="29" t="s">
        <v>430</v>
      </c>
      <c r="C543" s="28">
        <f>MAMMOGRAPHY!C24</f>
        <v>0</v>
      </c>
      <c r="D543" s="13">
        <v>0</v>
      </c>
    </row>
    <row r="544" spans="1:4" x14ac:dyDescent="0.2">
      <c r="A544" s="87">
        <v>31111.065999999999</v>
      </c>
      <c r="B544" s="161" t="s">
        <v>531</v>
      </c>
      <c r="C544" s="290">
        <f>SUM(C537:C543)</f>
        <v>0</v>
      </c>
      <c r="D544" s="291"/>
    </row>
    <row r="545" spans="1:4" x14ac:dyDescent="0.2">
      <c r="A545" s="16"/>
      <c r="B545" s="29" t="s">
        <v>358</v>
      </c>
      <c r="C545" s="28">
        <f>MAMMOGRAPHY!C26</f>
        <v>82375.944584382858</v>
      </c>
      <c r="D545" s="13">
        <f>'[15]MAMMOGRAPHY 066'!$N$11</f>
        <v>19.037769784172664</v>
      </c>
    </row>
    <row r="546" spans="1:4" x14ac:dyDescent="0.2">
      <c r="A546" s="16"/>
      <c r="B546" s="29" t="s">
        <v>359</v>
      </c>
      <c r="C546" s="28">
        <f>MAMMOGRAPHY!C27</f>
        <v>5502.5188916876577</v>
      </c>
      <c r="D546" s="13">
        <f>'[15]MAMMOGRAPHY 066'!$N$12</f>
        <v>8.8039568345323733</v>
      </c>
    </row>
    <row r="547" spans="1:4" x14ac:dyDescent="0.2">
      <c r="A547" s="16"/>
      <c r="B547" s="29" t="s">
        <v>372</v>
      </c>
      <c r="C547" s="28">
        <f>MAMMOGRAPHY!C28</f>
        <v>51060.138539042819</v>
      </c>
      <c r="D547" s="13">
        <f>'[15]MAMMOGRAPHY 066'!$N$13</f>
        <v>16.429856115107913</v>
      </c>
    </row>
    <row r="548" spans="1:4" x14ac:dyDescent="0.2">
      <c r="A548" s="16"/>
      <c r="B548" s="29" t="s">
        <v>373</v>
      </c>
      <c r="C548" s="28">
        <f>MAMMOGRAPHY!C29</f>
        <v>0</v>
      </c>
      <c r="D548" s="13">
        <f>'[15]MAMMOGRAPHY 066'!$N$14</f>
        <v>0</v>
      </c>
    </row>
    <row r="549" spans="1:4" x14ac:dyDescent="0.2">
      <c r="A549" s="16"/>
      <c r="B549" s="29" t="s">
        <v>361</v>
      </c>
      <c r="C549" s="28">
        <f>MAMMOGRAPHY!C30</f>
        <v>61175.062972292195</v>
      </c>
      <c r="D549" s="13">
        <f>'[15]MAMMOGRAPHY 066'!$N$15</f>
        <v>25.755395683453237</v>
      </c>
    </row>
    <row r="550" spans="1:4" x14ac:dyDescent="0.2">
      <c r="A550" s="16"/>
      <c r="B550" s="29" t="s">
        <v>360</v>
      </c>
      <c r="C550" s="28">
        <f>MAMMOGRAPHY!C31</f>
        <v>54377.833753148618</v>
      </c>
      <c r="D550" s="13">
        <f>'[15]MAMMOGRAPHY 066'!$N$16</f>
        <v>0</v>
      </c>
    </row>
    <row r="551" spans="1:4" x14ac:dyDescent="0.2">
      <c r="A551" s="16"/>
      <c r="B551" s="29" t="s">
        <v>362</v>
      </c>
      <c r="C551" s="28">
        <f>MAMMOGRAPHY!C32</f>
        <v>2589.4206549118389</v>
      </c>
      <c r="D551" s="13">
        <f>'[15]MAMMOGRAPHY 066'!$N$17</f>
        <v>3.6510791366906474</v>
      </c>
    </row>
    <row r="552" spans="1:4" x14ac:dyDescent="0.2">
      <c r="A552" s="90">
        <v>31200.065999999999</v>
      </c>
      <c r="B552" s="161" t="s">
        <v>532</v>
      </c>
      <c r="C552" s="293">
        <f>SUM(C545:C551)</f>
        <v>257080.91939546599</v>
      </c>
      <c r="D552" s="292"/>
    </row>
    <row r="554" spans="1:4" x14ac:dyDescent="0.2">
      <c r="A554" s="21"/>
      <c r="B554" s="188" t="s">
        <v>479</v>
      </c>
      <c r="C554" s="1"/>
      <c r="D554" s="180" t="s">
        <v>480</v>
      </c>
    </row>
    <row r="555" spans="1:4" x14ac:dyDescent="0.2">
      <c r="A555" s="16"/>
      <c r="B555" s="29" t="s">
        <v>352</v>
      </c>
      <c r="C555" s="75">
        <f>RESPIRATORY!C10</f>
        <v>680222.60974550201</v>
      </c>
      <c r="D555" s="14">
        <f>'[15]RT 071'!$N$18</f>
        <v>19.869367166004281</v>
      </c>
    </row>
    <row r="556" spans="1:4" x14ac:dyDescent="0.2">
      <c r="A556" s="16"/>
      <c r="B556" s="29" t="s">
        <v>353</v>
      </c>
      <c r="C556" s="75">
        <f>RESPIRATORY!C11</f>
        <v>4827.1638127647248</v>
      </c>
      <c r="D556" s="14">
        <f>'[15]RT 071'!$N$19</f>
        <v>4.5132681137266895</v>
      </c>
    </row>
    <row r="557" spans="1:4" x14ac:dyDescent="0.2">
      <c r="A557" s="16"/>
      <c r="B557" s="29" t="s">
        <v>355</v>
      </c>
      <c r="C557" s="75">
        <f>RESPIRATORY!C12</f>
        <v>23918.052275277849</v>
      </c>
      <c r="D557" s="14">
        <f>'[15]RT 071'!$N$20</f>
        <v>0.67129318251299297</v>
      </c>
    </row>
    <row r="558" spans="1:4" x14ac:dyDescent="0.2">
      <c r="A558" s="16"/>
      <c r="B558" s="29" t="s">
        <v>370</v>
      </c>
      <c r="C558" s="75">
        <f>RESPIRATORY!C13</f>
        <v>0</v>
      </c>
      <c r="D558" s="14">
        <f>'[15]RT 071'!$N$21</f>
        <v>0.1301436869458881</v>
      </c>
    </row>
    <row r="559" spans="1:4" x14ac:dyDescent="0.2">
      <c r="A559" s="16"/>
      <c r="B559" s="29" t="s">
        <v>356</v>
      </c>
      <c r="C559" s="75">
        <f>RESPIRATORY!C14</f>
        <v>72298.573797197983</v>
      </c>
      <c r="D559" s="14">
        <f>'[15]RT 071'!$N$22</f>
        <v>1.0760317945582392</v>
      </c>
    </row>
    <row r="560" spans="1:4" x14ac:dyDescent="0.2">
      <c r="A560" s="16"/>
      <c r="B560" s="29" t="s">
        <v>354</v>
      </c>
      <c r="C560" s="75">
        <f>RESPIRATORY!C15</f>
        <v>221353.34156319007</v>
      </c>
      <c r="D560" s="14">
        <f>'[15]RT 071'!$N$23</f>
        <v>1.4186181595842251</v>
      </c>
    </row>
    <row r="561" spans="1:4" x14ac:dyDescent="0.2">
      <c r="A561" s="16"/>
      <c r="B561" s="29" t="s">
        <v>357</v>
      </c>
      <c r="C561" s="75">
        <f>RESPIRATORY!C16</f>
        <v>23563.356369691923</v>
      </c>
      <c r="D561" s="14">
        <f>'[15]RT 071'!$N$24</f>
        <v>1.0813512687251605</v>
      </c>
    </row>
    <row r="562" spans="1:4" x14ac:dyDescent="0.2">
      <c r="A562" s="87">
        <v>31110.071</v>
      </c>
      <c r="B562" s="161" t="s">
        <v>487</v>
      </c>
      <c r="C562" s="293">
        <f>SUM(C555:C561)</f>
        <v>1026183.0975636246</v>
      </c>
      <c r="D562" s="293"/>
    </row>
    <row r="563" spans="1:4" x14ac:dyDescent="0.2">
      <c r="A563" s="16"/>
      <c r="B563" s="29" t="s">
        <v>424</v>
      </c>
      <c r="C563" s="75">
        <f>RESPIRATORY!C18</f>
        <v>654918.76881584188</v>
      </c>
      <c r="D563" s="14">
        <f>'[15]RT 071'!$N$25</f>
        <v>1.7978905533476002</v>
      </c>
    </row>
    <row r="564" spans="1:4" x14ac:dyDescent="0.2">
      <c r="A564" s="16"/>
      <c r="B564" s="29" t="s">
        <v>425</v>
      </c>
      <c r="C564" s="75">
        <f>RESPIRATORY!C19</f>
        <v>0</v>
      </c>
      <c r="D564" s="14">
        <f>'[15]RT 071'!$N$26</f>
        <v>0</v>
      </c>
    </row>
    <row r="565" spans="1:4" x14ac:dyDescent="0.2">
      <c r="A565" s="16"/>
      <c r="B565" s="29" t="s">
        <v>426</v>
      </c>
      <c r="C565" s="75">
        <f>RESPIRATORY!C20</f>
        <v>0</v>
      </c>
      <c r="D565" s="14">
        <f>'[15]RT 071'!$N$27</f>
        <v>0</v>
      </c>
    </row>
    <row r="566" spans="1:4" x14ac:dyDescent="0.2">
      <c r="A566" s="16"/>
      <c r="B566" s="29" t="s">
        <v>427</v>
      </c>
      <c r="C566" s="75">
        <f>RESPIRATORY!C21</f>
        <v>0</v>
      </c>
      <c r="D566" s="14">
        <f>'[15]RT 071'!$N$28</f>
        <v>0</v>
      </c>
    </row>
    <row r="567" spans="1:4" x14ac:dyDescent="0.2">
      <c r="A567" s="16"/>
      <c r="B567" s="29" t="s">
        <v>428</v>
      </c>
      <c r="C567" s="75">
        <f>RESPIRATORY!C22</f>
        <v>0</v>
      </c>
      <c r="D567" s="14">
        <f>'[15]RT 071'!$N$29</f>
        <v>0</v>
      </c>
    </row>
    <row r="568" spans="1:4" x14ac:dyDescent="0.2">
      <c r="A568" s="16"/>
      <c r="B568" s="29" t="s">
        <v>429</v>
      </c>
      <c r="C568" s="75">
        <f>RESPIRATORY!C23</f>
        <v>0</v>
      </c>
      <c r="D568" s="14">
        <f>'[15]RT 071'!$N$30</f>
        <v>0</v>
      </c>
    </row>
    <row r="569" spans="1:4" x14ac:dyDescent="0.2">
      <c r="A569" s="16"/>
      <c r="B569" s="29" t="s">
        <v>430</v>
      </c>
      <c r="C569" s="75">
        <f>RESPIRATORY!C24</f>
        <v>0</v>
      </c>
      <c r="D569" s="14">
        <f>'[15]RT 071'!$N$31</f>
        <v>0</v>
      </c>
    </row>
    <row r="570" spans="1:4" x14ac:dyDescent="0.2">
      <c r="A570" s="87">
        <v>31111.071</v>
      </c>
      <c r="B570" s="161" t="s">
        <v>488</v>
      </c>
      <c r="C570" s="290">
        <f>SUM(C563:C569)</f>
        <v>654918.76881584188</v>
      </c>
      <c r="D570" s="290"/>
    </row>
    <row r="571" spans="1:4" x14ac:dyDescent="0.2">
      <c r="A571" s="16"/>
      <c r="B571" s="29" t="s">
        <v>358</v>
      </c>
      <c r="C571" s="75">
        <f>RESPIRATORY!C26</f>
        <v>311798.98190526874</v>
      </c>
      <c r="D571" s="14">
        <f>'[15]RT 071'!$N$32</f>
        <v>21.279813130071307</v>
      </c>
    </row>
    <row r="572" spans="1:4" x14ac:dyDescent="0.2">
      <c r="A572" s="16"/>
      <c r="B572" s="29" t="s">
        <v>359</v>
      </c>
      <c r="C572" s="75">
        <f>RESPIRATORY!C27</f>
        <v>15603.119478445982</v>
      </c>
      <c r="D572" s="14">
        <f>'[15]RT 071'!$N$33</f>
        <v>17.890828620604868</v>
      </c>
    </row>
    <row r="573" spans="1:4" x14ac:dyDescent="0.2">
      <c r="A573" s="16"/>
      <c r="B573" s="29" t="s">
        <v>372</v>
      </c>
      <c r="C573" s="75">
        <f>RESPIRATORY!C28</f>
        <v>48268.697445449703</v>
      </c>
      <c r="D573" s="14">
        <f>'[15]RT 071'!$N$34</f>
        <v>5.3528399311531842</v>
      </c>
    </row>
    <row r="574" spans="1:4" x14ac:dyDescent="0.2">
      <c r="A574" s="16"/>
      <c r="B574" s="29" t="s">
        <v>373</v>
      </c>
      <c r="C574" s="75">
        <f>RESPIRATORY!C29</f>
        <v>0</v>
      </c>
      <c r="D574" s="14">
        <f>'[15]RT 071'!$N$35</f>
        <v>0.22940742562085076</v>
      </c>
    </row>
    <row r="575" spans="1:4" x14ac:dyDescent="0.2">
      <c r="A575" s="163"/>
      <c r="B575" s="29" t="s">
        <v>361</v>
      </c>
      <c r="C575" s="75">
        <f>RESPIRATORY!C30</f>
        <v>47215.066790846191</v>
      </c>
      <c r="D575" s="14">
        <f>'[15]RT 071'!$N$36</f>
        <v>5.2601426112613723</v>
      </c>
    </row>
    <row r="576" spans="1:4" x14ac:dyDescent="0.2">
      <c r="A576" s="163"/>
      <c r="B576" s="29" t="s">
        <v>360</v>
      </c>
      <c r="C576" s="75">
        <f>RESPIRATORY!C31</f>
        <v>179516.86428951568</v>
      </c>
      <c r="D576" s="14">
        <f>'[15]RT 071'!$N$37</f>
        <v>0.63707892795672483</v>
      </c>
    </row>
    <row r="577" spans="1:4" x14ac:dyDescent="0.2">
      <c r="A577" s="163"/>
      <c r="B577" s="29" t="s">
        <v>362</v>
      </c>
      <c r="C577" s="75">
        <f>RESPIRATORY!C32</f>
        <v>56620.536987759442</v>
      </c>
      <c r="D577" s="14">
        <f>'[15]RT 071'!$N$38</f>
        <v>7.6833046471600692</v>
      </c>
    </row>
    <row r="578" spans="1:4" x14ac:dyDescent="0.2">
      <c r="A578" s="90">
        <v>31200.071</v>
      </c>
      <c r="B578" s="161" t="s">
        <v>489</v>
      </c>
      <c r="C578" s="293">
        <f>SUM(C571:C577)</f>
        <v>659023.26689728571</v>
      </c>
      <c r="D578" s="293"/>
    </row>
    <row r="580" spans="1:4" x14ac:dyDescent="0.2">
      <c r="A580" s="21"/>
      <c r="B580" s="188" t="s">
        <v>539</v>
      </c>
      <c r="C580" s="1"/>
      <c r="D580" s="180" t="s">
        <v>538</v>
      </c>
    </row>
    <row r="581" spans="1:4" x14ac:dyDescent="0.2">
      <c r="A581" s="16"/>
      <c r="B581" s="29" t="s">
        <v>352</v>
      </c>
      <c r="C581" s="75">
        <f>'PULMONARY LAB'!C8</f>
        <v>21674.666666666668</v>
      </c>
      <c r="D581" s="14">
        <f>'[15]PULMONARY 073'!$N$18</f>
        <v>186.22831050228311</v>
      </c>
    </row>
    <row r="582" spans="1:4" x14ac:dyDescent="0.2">
      <c r="A582" s="16"/>
      <c r="B582" s="29" t="s">
        <v>353</v>
      </c>
      <c r="C582" s="75">
        <f>'PULMONARY LAB'!C9</f>
        <v>0</v>
      </c>
      <c r="D582" s="14">
        <f>'[15]PULMONARY 073'!$N$19</f>
        <v>41.881278538812786</v>
      </c>
    </row>
    <row r="583" spans="1:4" x14ac:dyDescent="0.2">
      <c r="A583" s="16"/>
      <c r="B583" s="29" t="s">
        <v>355</v>
      </c>
      <c r="C583" s="75">
        <f>'PULMONARY LAB'!C10</f>
        <v>505.67901234567898</v>
      </c>
      <c r="D583" s="14">
        <f>'[15]PULMONARY 073'!$N$20</f>
        <v>2.8858447488584473</v>
      </c>
    </row>
    <row r="584" spans="1:4" x14ac:dyDescent="0.2">
      <c r="A584" s="16"/>
      <c r="B584" s="29" t="s">
        <v>370</v>
      </c>
      <c r="C584" s="75">
        <f>'PULMONARY LAB'!C11</f>
        <v>0</v>
      </c>
      <c r="D584" s="14">
        <f>'[15]PULMONARY 073'!$N$21</f>
        <v>0</v>
      </c>
    </row>
    <row r="585" spans="1:4" x14ac:dyDescent="0.2">
      <c r="A585" s="16"/>
      <c r="B585" s="29" t="s">
        <v>356</v>
      </c>
      <c r="C585" s="75">
        <f>'PULMONARY LAB'!C12</f>
        <v>1011.358024691358</v>
      </c>
      <c r="D585" s="14">
        <f>'[15]PULMONARY 073'!$N$22</f>
        <v>10.100456621004566</v>
      </c>
    </row>
    <row r="586" spans="1:4" x14ac:dyDescent="0.2">
      <c r="A586" s="16"/>
      <c r="B586" s="29" t="s">
        <v>354</v>
      </c>
      <c r="C586" s="75">
        <f>'PULMONARY LAB'!C13</f>
        <v>9974.5185185185182</v>
      </c>
      <c r="D586" s="14">
        <f>'[15]PULMONARY 073'!$N$23</f>
        <v>5.7716894977168947</v>
      </c>
    </row>
    <row r="587" spans="1:4" x14ac:dyDescent="0.2">
      <c r="A587" s="16"/>
      <c r="B587" s="29" t="s">
        <v>357</v>
      </c>
      <c r="C587" s="75">
        <f>'PULMONARY LAB'!C14</f>
        <v>2458.8641975308642</v>
      </c>
      <c r="D587" s="14">
        <f>'[15]PULMONARY 073'!$N$24</f>
        <v>8.6575342465753433</v>
      </c>
    </row>
    <row r="588" spans="1:4" x14ac:dyDescent="0.2">
      <c r="A588" s="87">
        <v>31110.073</v>
      </c>
      <c r="B588" s="161" t="s">
        <v>540</v>
      </c>
      <c r="C588" s="293">
        <f>SUM(C581:C587)</f>
        <v>35625.086419753083</v>
      </c>
      <c r="D588" s="293"/>
    </row>
    <row r="589" spans="1:4" x14ac:dyDescent="0.2">
      <c r="A589" s="16"/>
      <c r="B589" s="29" t="s">
        <v>424</v>
      </c>
      <c r="C589" s="75">
        <f>'PULMONARY LAB'!C16</f>
        <v>1659.2592592592594</v>
      </c>
      <c r="D589" s="14">
        <f>[9]PULMONARY!$M$21</f>
        <v>3.1363636363636362</v>
      </c>
    </row>
    <row r="590" spans="1:4" x14ac:dyDescent="0.2">
      <c r="A590" s="16"/>
      <c r="B590" s="29" t="s">
        <v>425</v>
      </c>
      <c r="C590" s="75">
        <f>'PULMONARY LAB'!C17</f>
        <v>0</v>
      </c>
      <c r="D590" s="14">
        <v>0</v>
      </c>
    </row>
    <row r="591" spans="1:4" x14ac:dyDescent="0.2">
      <c r="A591" s="16"/>
      <c r="B591" s="29" t="s">
        <v>426</v>
      </c>
      <c r="C591" s="75">
        <f>'PULMONARY LAB'!C18</f>
        <v>0</v>
      </c>
      <c r="D591" s="14">
        <v>0</v>
      </c>
    </row>
    <row r="592" spans="1:4" x14ac:dyDescent="0.2">
      <c r="A592" s="16"/>
      <c r="B592" s="29" t="s">
        <v>427</v>
      </c>
      <c r="C592" s="75">
        <f>'PULMONARY LAB'!C19</f>
        <v>0</v>
      </c>
      <c r="D592" s="14">
        <v>0</v>
      </c>
    </row>
    <row r="593" spans="1:4" x14ac:dyDescent="0.2">
      <c r="A593" s="16"/>
      <c r="B593" s="29" t="s">
        <v>428</v>
      </c>
      <c r="C593" s="75">
        <f>'PULMONARY LAB'!C20</f>
        <v>0</v>
      </c>
      <c r="D593" s="14">
        <v>0</v>
      </c>
    </row>
    <row r="594" spans="1:4" x14ac:dyDescent="0.2">
      <c r="A594" s="16"/>
      <c r="B594" s="29" t="s">
        <v>429</v>
      </c>
      <c r="C594" s="75">
        <f>'PULMONARY LAB'!C21</f>
        <v>0</v>
      </c>
      <c r="D594" s="14">
        <v>0</v>
      </c>
    </row>
    <row r="595" spans="1:4" x14ac:dyDescent="0.2">
      <c r="A595" s="16"/>
      <c r="B595" s="29" t="s">
        <v>430</v>
      </c>
      <c r="C595" s="75">
        <f>'PULMONARY LAB'!C22</f>
        <v>0</v>
      </c>
      <c r="D595" s="14">
        <v>0</v>
      </c>
    </row>
    <row r="596" spans="1:4" x14ac:dyDescent="0.2">
      <c r="A596" s="132">
        <v>31111.073</v>
      </c>
      <c r="B596" s="161" t="s">
        <v>541</v>
      </c>
      <c r="C596" s="293">
        <f>SUM(C589:C595)</f>
        <v>1659.2592592592594</v>
      </c>
      <c r="D596" s="290"/>
    </row>
    <row r="597" spans="1:4" x14ac:dyDescent="0.2">
      <c r="A597" s="16"/>
      <c r="B597" s="29" t="s">
        <v>358</v>
      </c>
      <c r="C597" s="75">
        <f>'PULMONARY LAB'!C24</f>
        <v>50814.527272727275</v>
      </c>
      <c r="D597" s="14">
        <f>'[15]PULMONARY 073'!$N$25</f>
        <v>218.26548672566372</v>
      </c>
    </row>
    <row r="598" spans="1:4" x14ac:dyDescent="0.2">
      <c r="A598" s="16"/>
      <c r="B598" s="29" t="s">
        <v>359</v>
      </c>
      <c r="C598" s="75">
        <f>'PULMONARY LAB'!C25</f>
        <v>2005.1818181818182</v>
      </c>
      <c r="D598" s="14">
        <f>'[15]PULMONARY 073'!$N$26</f>
        <v>86.83185840707965</v>
      </c>
    </row>
    <row r="599" spans="1:4" x14ac:dyDescent="0.2">
      <c r="A599" s="16"/>
      <c r="B599" s="29" t="s">
        <v>372</v>
      </c>
      <c r="C599" s="75">
        <f>'PULMONARY LAB'!C26</f>
        <v>15251.09090909091</v>
      </c>
      <c r="D599" s="14">
        <f>'[15]PULMONARY 073'!$N$27</f>
        <v>16.814159292035399</v>
      </c>
    </row>
    <row r="600" spans="1:4" x14ac:dyDescent="0.2">
      <c r="A600" s="16"/>
      <c r="B600" s="29" t="s">
        <v>373</v>
      </c>
      <c r="C600" s="75">
        <f>'PULMONARY LAB'!C27</f>
        <v>0</v>
      </c>
      <c r="D600" s="14">
        <f>'[15]PULMONARY 073'!$N$28</f>
        <v>0</v>
      </c>
    </row>
    <row r="601" spans="1:4" x14ac:dyDescent="0.2">
      <c r="A601" s="163"/>
      <c r="B601" s="29" t="s">
        <v>361</v>
      </c>
      <c r="C601" s="75">
        <f>'PULMONARY LAB'!C28</f>
        <v>6902.5090909090914</v>
      </c>
      <c r="D601" s="14">
        <f>'[15]PULMONARY 073'!$N$29</f>
        <v>50.336283185840706</v>
      </c>
    </row>
    <row r="602" spans="1:4" x14ac:dyDescent="0.2">
      <c r="A602" s="163"/>
      <c r="B602" s="29" t="s">
        <v>360</v>
      </c>
      <c r="C602" s="75">
        <f>'PULMONARY LAB'!C29</f>
        <v>37603.745454545453</v>
      </c>
      <c r="D602" s="14">
        <f>'[15]PULMONARY 073'!$N$30</f>
        <v>8.389380530973451</v>
      </c>
    </row>
    <row r="603" spans="1:4" x14ac:dyDescent="0.2">
      <c r="A603" s="163"/>
      <c r="B603" s="29" t="s">
        <v>362</v>
      </c>
      <c r="C603" s="75">
        <f>'PULMONARY LAB'!C30</f>
        <v>3278.5454545454545</v>
      </c>
      <c r="D603" s="14">
        <f>'[15]PULMONARY 073'!$N$31</f>
        <v>41.946902654867259</v>
      </c>
    </row>
    <row r="604" spans="1:4" x14ac:dyDescent="0.2">
      <c r="A604" s="90">
        <v>31200.073</v>
      </c>
      <c r="B604" s="161" t="s">
        <v>542</v>
      </c>
      <c r="C604" s="293">
        <f>SUM(C597:C603)</f>
        <v>115855.6</v>
      </c>
      <c r="D604" s="293"/>
    </row>
    <row r="606" spans="1:4" x14ac:dyDescent="0.2">
      <c r="A606" s="21"/>
      <c r="B606" s="188" t="s">
        <v>544</v>
      </c>
      <c r="C606" s="1"/>
      <c r="D606" s="180" t="s">
        <v>565</v>
      </c>
    </row>
    <row r="607" spans="1:4" x14ac:dyDescent="0.2">
      <c r="A607" s="16"/>
      <c r="B607" s="29" t="s">
        <v>352</v>
      </c>
      <c r="C607" s="75">
        <f>'PHYSICAL THERAPY'!C10</f>
        <v>21522.143731700828</v>
      </c>
      <c r="D607" s="14">
        <f>'[15]PT 082'!$N$11</f>
        <v>19.559068219633943</v>
      </c>
    </row>
    <row r="608" spans="1:4" x14ac:dyDescent="0.2">
      <c r="A608" s="16"/>
      <c r="B608" s="29" t="s">
        <v>353</v>
      </c>
      <c r="C608" s="75">
        <f>'PHYSICAL THERAPY'!C11</f>
        <v>0</v>
      </c>
      <c r="D608" s="14">
        <f>'[15]PT 082'!$N$12</f>
        <v>2.317803660565724</v>
      </c>
    </row>
    <row r="609" spans="1:4" x14ac:dyDescent="0.2">
      <c r="A609" s="16"/>
      <c r="B609" s="29" t="s">
        <v>355</v>
      </c>
      <c r="C609" s="75">
        <f>'PHYSICAL THERAPY'!C12</f>
        <v>441.04711205749271</v>
      </c>
      <c r="D609" s="14">
        <f>'[15]PT 082'!$N$13</f>
        <v>0</v>
      </c>
    </row>
    <row r="610" spans="1:4" x14ac:dyDescent="0.2">
      <c r="A610" s="16"/>
      <c r="B610" s="29" t="s">
        <v>370</v>
      </c>
      <c r="C610" s="75">
        <f>'PHYSICAL THERAPY'!C13</f>
        <v>0</v>
      </c>
      <c r="D610" s="14">
        <f>'[15]PT 082'!$N$14</f>
        <v>1.6722129783693844</v>
      </c>
    </row>
    <row r="611" spans="1:4" x14ac:dyDescent="0.2">
      <c r="A611" s="16"/>
      <c r="B611" s="29" t="s">
        <v>356</v>
      </c>
      <c r="C611" s="75">
        <f>'PHYSICAL THERAPY'!C14</f>
        <v>2324.6526483896723</v>
      </c>
      <c r="D611" s="14">
        <f>'[15]PT 082'!$N$15</f>
        <v>0</v>
      </c>
    </row>
    <row r="612" spans="1:4" x14ac:dyDescent="0.2">
      <c r="A612" s="16"/>
      <c r="B612" s="29" t="s">
        <v>354</v>
      </c>
      <c r="C612" s="75">
        <f>'PHYSICAL THERAPY'!C15</f>
        <v>4291.0540324727181</v>
      </c>
      <c r="D612" s="14">
        <f>'[15]PT 082'!$N$16</f>
        <v>0.61231281198003329</v>
      </c>
    </row>
    <row r="613" spans="1:4" x14ac:dyDescent="0.2">
      <c r="A613" s="16"/>
      <c r="B613" s="29" t="s">
        <v>357</v>
      </c>
      <c r="C613" s="75">
        <f>'PHYSICAL THERAPY'!C16</f>
        <v>4190.7436784668616</v>
      </c>
      <c r="D613" s="14">
        <f>'[15]PT 082'!$N$17</f>
        <v>0</v>
      </c>
    </row>
    <row r="614" spans="1:4" x14ac:dyDescent="0.2">
      <c r="A614" s="87">
        <v>31110.081999999999</v>
      </c>
      <c r="B614" s="161" t="s">
        <v>545</v>
      </c>
      <c r="C614" s="293">
        <f>SUM(C607:C613)</f>
        <v>32769.641203087573</v>
      </c>
      <c r="D614" s="293"/>
    </row>
    <row r="615" spans="1:4" x14ac:dyDescent="0.2">
      <c r="A615" s="16"/>
      <c r="B615" s="29" t="s">
        <v>424</v>
      </c>
      <c r="C615" s="75">
        <f>'PHYSICAL THERAPY'!C18</f>
        <v>569716.63614586112</v>
      </c>
      <c r="D615" s="14">
        <f>'[15]PT 082'!$N$18</f>
        <v>87.555740432612311</v>
      </c>
    </row>
    <row r="616" spans="1:4" x14ac:dyDescent="0.2">
      <c r="A616" s="16"/>
      <c r="B616" s="29" t="s">
        <v>425</v>
      </c>
      <c r="C616" s="75">
        <f>'PHYSICAL THERAPY'!C19</f>
        <v>0</v>
      </c>
      <c r="D616" s="14">
        <f>'[15]PT 082'!$N$19</f>
        <v>0</v>
      </c>
    </row>
    <row r="617" spans="1:4" x14ac:dyDescent="0.2">
      <c r="A617" s="16"/>
      <c r="B617" s="29" t="s">
        <v>426</v>
      </c>
      <c r="C617" s="75">
        <f>'PHYSICAL THERAPY'!C20</f>
        <v>0</v>
      </c>
      <c r="D617" s="14">
        <f>'[15]PT 082'!$N$20</f>
        <v>0</v>
      </c>
    </row>
    <row r="618" spans="1:4" x14ac:dyDescent="0.2">
      <c r="A618" s="16"/>
      <c r="B618" s="29" t="s">
        <v>427</v>
      </c>
      <c r="C618" s="75">
        <f>'PHYSICAL THERAPY'!C21</f>
        <v>0</v>
      </c>
      <c r="D618" s="14">
        <f>'[15]PT 082'!$N$21</f>
        <v>0</v>
      </c>
    </row>
    <row r="619" spans="1:4" x14ac:dyDescent="0.2">
      <c r="A619" s="16"/>
      <c r="B619" s="29" t="s">
        <v>428</v>
      </c>
      <c r="C619" s="75">
        <f>'PHYSICAL THERAPY'!C22</f>
        <v>0</v>
      </c>
      <c r="D619" s="14">
        <f>'[15]PT 082'!$N$22</f>
        <v>0</v>
      </c>
    </row>
    <row r="620" spans="1:4" x14ac:dyDescent="0.2">
      <c r="A620" s="16"/>
      <c r="B620" s="29" t="s">
        <v>429</v>
      </c>
      <c r="C620" s="75">
        <f>'PHYSICAL THERAPY'!C23</f>
        <v>0</v>
      </c>
      <c r="D620" s="14">
        <f>'[15]PT 082'!$N$23</f>
        <v>0</v>
      </c>
    </row>
    <row r="621" spans="1:4" x14ac:dyDescent="0.2">
      <c r="A621" s="16"/>
      <c r="B621" s="29" t="s">
        <v>430</v>
      </c>
      <c r="C621" s="75">
        <f>'PHYSICAL THERAPY'!C24</f>
        <v>0</v>
      </c>
      <c r="D621" s="14">
        <f>'[15]PT 082'!$N$24</f>
        <v>0</v>
      </c>
    </row>
    <row r="622" spans="1:4" x14ac:dyDescent="0.2">
      <c r="A622" s="132">
        <v>31111.081999999999</v>
      </c>
      <c r="B622" s="161" t="s">
        <v>546</v>
      </c>
      <c r="C622" s="293">
        <f>SUM(C615:C621)</f>
        <v>569716.63614586112</v>
      </c>
      <c r="D622" s="293"/>
    </row>
    <row r="623" spans="1:4" x14ac:dyDescent="0.2">
      <c r="A623" s="16"/>
      <c r="B623" s="29" t="s">
        <v>358</v>
      </c>
      <c r="C623" s="75">
        <f>'PHYSICAL THERAPY'!C26</f>
        <v>577409.96419019322</v>
      </c>
      <c r="D623" s="14">
        <f>'[15]PT 082'!$N$25</f>
        <v>43.246208988144474</v>
      </c>
    </row>
    <row r="624" spans="1:4" x14ac:dyDescent="0.2">
      <c r="A624" s="16"/>
      <c r="B624" s="29" t="s">
        <v>359</v>
      </c>
      <c r="C624" s="75">
        <f>'PHYSICAL THERAPY'!C27</f>
        <v>6598.0372821828987</v>
      </c>
      <c r="D624" s="14">
        <f>'[15]PT 082'!$N$26</f>
        <v>10.269368624207335</v>
      </c>
    </row>
    <row r="625" spans="1:4" x14ac:dyDescent="0.2">
      <c r="A625" s="16"/>
      <c r="B625" s="29" t="s">
        <v>372</v>
      </c>
      <c r="C625" s="75">
        <f>'PHYSICAL THERAPY'!C28</f>
        <v>177481.90480886126</v>
      </c>
      <c r="D625" s="14">
        <f>'[15]PT 082'!$N$27</f>
        <v>23.071684587813621</v>
      </c>
    </row>
    <row r="626" spans="1:4" x14ac:dyDescent="0.2">
      <c r="A626" s="16"/>
      <c r="B626" s="29" t="s">
        <v>373</v>
      </c>
      <c r="C626" s="75">
        <f>'PHYSICAL THERAPY'!C29</f>
        <v>0</v>
      </c>
      <c r="D626" s="14">
        <f>'[15]PT 082'!$N$28</f>
        <v>0.52826027019575406</v>
      </c>
    </row>
    <row r="627" spans="1:4" x14ac:dyDescent="0.2">
      <c r="A627" s="163"/>
      <c r="B627" s="29" t="s">
        <v>361</v>
      </c>
      <c r="C627" s="75">
        <f>'PHYSICAL THERAPY'!C30</f>
        <v>116235.29509658247</v>
      </c>
      <c r="D627" s="14">
        <f>'[15]PT 082'!$N$29</f>
        <v>24.312655086848636</v>
      </c>
    </row>
    <row r="628" spans="1:4" x14ac:dyDescent="0.2">
      <c r="A628" s="163"/>
      <c r="B628" s="29" t="s">
        <v>360</v>
      </c>
      <c r="C628" s="75">
        <f>'PHYSICAL THERAPY'!C31</f>
        <v>151409.19416452787</v>
      </c>
      <c r="D628" s="14">
        <f>'[15]PT 082'!$N$30</f>
        <v>0</v>
      </c>
    </row>
    <row r="629" spans="1:4" x14ac:dyDescent="0.2">
      <c r="A629" s="163"/>
      <c r="B629" s="29" t="s">
        <v>362</v>
      </c>
      <c r="C629" s="75">
        <f>'PHYSICAL THERAPY'!C32</f>
        <v>691.80467378089963</v>
      </c>
      <c r="D629" s="14">
        <f>'[15]PT 082'!$N$31</f>
        <v>1.022332506203474</v>
      </c>
    </row>
    <row r="630" spans="1:4" x14ac:dyDescent="0.2">
      <c r="A630" s="90">
        <v>31200.081999999999</v>
      </c>
      <c r="B630" s="161" t="s">
        <v>547</v>
      </c>
      <c r="C630" s="293">
        <f>SUM(C623:C629)</f>
        <v>1029826.2002161287</v>
      </c>
      <c r="D630" s="293"/>
    </row>
    <row r="632" spans="1:4" x14ac:dyDescent="0.2">
      <c r="A632" s="21"/>
      <c r="B632" s="188" t="s">
        <v>552</v>
      </c>
      <c r="C632" s="1"/>
      <c r="D632" s="180" t="s">
        <v>566</v>
      </c>
    </row>
    <row r="633" spans="1:4" x14ac:dyDescent="0.2">
      <c r="A633" s="16"/>
      <c r="B633" s="29" t="s">
        <v>352</v>
      </c>
      <c r="C633" s="75">
        <f>'OCCUPATIONAL THERAPY'!C8</f>
        <v>0</v>
      </c>
      <c r="D633" s="14">
        <f>'[15]OT 086'!$N$11</f>
        <v>9.587301587301587</v>
      </c>
    </row>
    <row r="634" spans="1:4" x14ac:dyDescent="0.2">
      <c r="A634" s="16"/>
      <c r="B634" s="29" t="s">
        <v>353</v>
      </c>
      <c r="C634" s="75">
        <f>'OCCUPATIONAL THERAPY'!C9</f>
        <v>0</v>
      </c>
      <c r="D634" s="14">
        <f>'[15]OT 086'!$N$12</f>
        <v>0</v>
      </c>
    </row>
    <row r="635" spans="1:4" x14ac:dyDescent="0.2">
      <c r="A635" s="16"/>
      <c r="B635" s="29" t="s">
        <v>355</v>
      </c>
      <c r="C635" s="75">
        <f>'OCCUPATIONAL THERAPY'!C10</f>
        <v>0</v>
      </c>
      <c r="D635" s="14">
        <f>'[15]OT 086'!$N$13</f>
        <v>0</v>
      </c>
    </row>
    <row r="636" spans="1:4" x14ac:dyDescent="0.2">
      <c r="A636" s="16"/>
      <c r="B636" s="29" t="s">
        <v>370</v>
      </c>
      <c r="C636" s="75">
        <f>'OCCUPATIONAL THERAPY'!C11</f>
        <v>0</v>
      </c>
      <c r="D636" s="14">
        <f>'[15]OT 086'!$N$14</f>
        <v>0</v>
      </c>
    </row>
    <row r="637" spans="1:4" x14ac:dyDescent="0.2">
      <c r="A637" s="16"/>
      <c r="B637" s="29" t="s">
        <v>356</v>
      </c>
      <c r="C637" s="75">
        <f>'OCCUPATIONAL THERAPY'!C12</f>
        <v>0</v>
      </c>
      <c r="D637" s="14">
        <f>'[15]OT 086'!$N$15</f>
        <v>0</v>
      </c>
    </row>
    <row r="638" spans="1:4" x14ac:dyDescent="0.2">
      <c r="A638" s="16"/>
      <c r="B638" s="29" t="s">
        <v>354</v>
      </c>
      <c r="C638" s="75">
        <f>'OCCUPATIONAL THERAPY'!C13</f>
        <v>0</v>
      </c>
      <c r="D638" s="14">
        <f>'[15]OT 086'!$N$16</f>
        <v>0</v>
      </c>
    </row>
    <row r="639" spans="1:4" x14ac:dyDescent="0.2">
      <c r="A639" s="16"/>
      <c r="B639" s="29" t="s">
        <v>357</v>
      </c>
      <c r="C639" s="75">
        <f>'OCCUPATIONAL THERAPY'!C14</f>
        <v>0</v>
      </c>
      <c r="D639" s="14">
        <f>'[15]OT 086'!$N$17</f>
        <v>0</v>
      </c>
    </row>
    <row r="640" spans="1:4" x14ac:dyDescent="0.2">
      <c r="A640" s="87">
        <v>31110.085999999999</v>
      </c>
      <c r="B640" s="161" t="s">
        <v>553</v>
      </c>
      <c r="C640" s="293">
        <f>SUM(C633:C639)</f>
        <v>0</v>
      </c>
      <c r="D640" s="293"/>
    </row>
    <row r="641" spans="1:4" x14ac:dyDescent="0.2">
      <c r="A641" s="16"/>
      <c r="B641" s="29" t="s">
        <v>424</v>
      </c>
      <c r="C641" s="75">
        <f>'OCCUPATIONAL THERAPY'!C16</f>
        <v>0</v>
      </c>
      <c r="D641" s="14">
        <f>'[15]OT 086'!$N$18</f>
        <v>100.33333333333333</v>
      </c>
    </row>
    <row r="642" spans="1:4" x14ac:dyDescent="0.2">
      <c r="A642" s="16"/>
      <c r="B642" s="29" t="s">
        <v>425</v>
      </c>
      <c r="C642" s="75">
        <f>'OCCUPATIONAL THERAPY'!C17</f>
        <v>0</v>
      </c>
      <c r="D642" s="14">
        <f>'[15]OT 086'!$N$19</f>
        <v>0</v>
      </c>
    </row>
    <row r="643" spans="1:4" x14ac:dyDescent="0.2">
      <c r="A643" s="16"/>
      <c r="B643" s="29" t="s">
        <v>426</v>
      </c>
      <c r="C643" s="75">
        <f>'OCCUPATIONAL THERAPY'!C18</f>
        <v>0</v>
      </c>
      <c r="D643" s="14">
        <f>'[15]OT 086'!$N$20</f>
        <v>0</v>
      </c>
    </row>
    <row r="644" spans="1:4" x14ac:dyDescent="0.2">
      <c r="A644" s="16"/>
      <c r="B644" s="29" t="s">
        <v>427</v>
      </c>
      <c r="C644" s="75">
        <f>'OCCUPATIONAL THERAPY'!C19</f>
        <v>0</v>
      </c>
      <c r="D644" s="14">
        <f>'[15]OT 086'!$N$21</f>
        <v>0</v>
      </c>
    </row>
    <row r="645" spans="1:4" x14ac:dyDescent="0.2">
      <c r="A645" s="16"/>
      <c r="B645" s="29" t="s">
        <v>428</v>
      </c>
      <c r="C645" s="75">
        <f>'OCCUPATIONAL THERAPY'!C20</f>
        <v>0</v>
      </c>
      <c r="D645" s="14">
        <f>'[15]OT 086'!$N$22</f>
        <v>0</v>
      </c>
    </row>
    <row r="646" spans="1:4" x14ac:dyDescent="0.2">
      <c r="A646" s="16"/>
      <c r="B646" s="29" t="s">
        <v>429</v>
      </c>
      <c r="C646" s="75">
        <f>'OCCUPATIONAL THERAPY'!C21</f>
        <v>0</v>
      </c>
      <c r="D646" s="14">
        <f>'[15]OT 086'!$N$23</f>
        <v>0</v>
      </c>
    </row>
    <row r="647" spans="1:4" x14ac:dyDescent="0.2">
      <c r="A647" s="16"/>
      <c r="B647" s="29" t="s">
        <v>430</v>
      </c>
      <c r="C647" s="75">
        <f>'OCCUPATIONAL THERAPY'!C22</f>
        <v>0</v>
      </c>
      <c r="D647" s="14">
        <f>'[15]OT 086'!$N$24</f>
        <v>0</v>
      </c>
    </row>
    <row r="648" spans="1:4" x14ac:dyDescent="0.2">
      <c r="A648" s="132">
        <v>31111.085999999999</v>
      </c>
      <c r="B648" s="161" t="s">
        <v>554</v>
      </c>
      <c r="C648" s="293">
        <f>SUM(C641:C647)</f>
        <v>0</v>
      </c>
      <c r="D648" s="293"/>
    </row>
    <row r="649" spans="1:4" x14ac:dyDescent="0.2">
      <c r="A649" s="16"/>
      <c r="B649" s="29" t="s">
        <v>358</v>
      </c>
      <c r="C649" s="75">
        <f>'OCCUPATIONAL THERAPY'!C24</f>
        <v>0</v>
      </c>
      <c r="D649" s="14">
        <f>'[15]OT 086'!$N$25</f>
        <v>40.083333333333336</v>
      </c>
    </row>
    <row r="650" spans="1:4" x14ac:dyDescent="0.2">
      <c r="A650" s="16"/>
      <c r="B650" s="29" t="s">
        <v>359</v>
      </c>
      <c r="C650" s="75">
        <f>'OCCUPATIONAL THERAPY'!C25</f>
        <v>0</v>
      </c>
      <c r="D650" s="14">
        <f>'[15]OT 086'!$N$26</f>
        <v>25.942307692307693</v>
      </c>
    </row>
    <row r="651" spans="1:4" x14ac:dyDescent="0.2">
      <c r="A651" s="16"/>
      <c r="B651" s="29" t="s">
        <v>372</v>
      </c>
      <c r="C651" s="75">
        <f>'OCCUPATIONAL THERAPY'!C26</f>
        <v>0</v>
      </c>
      <c r="D651" s="14">
        <f>'[15]OT 086'!$N$27</f>
        <v>0</v>
      </c>
    </row>
    <row r="652" spans="1:4" x14ac:dyDescent="0.2">
      <c r="A652" s="16"/>
      <c r="B652" s="29" t="s">
        <v>373</v>
      </c>
      <c r="C652" s="75">
        <f>'OCCUPATIONAL THERAPY'!C27</f>
        <v>0</v>
      </c>
      <c r="D652" s="14">
        <f>'[15]OT 086'!$N$28</f>
        <v>0</v>
      </c>
    </row>
    <row r="653" spans="1:4" x14ac:dyDescent="0.2">
      <c r="A653" s="163"/>
      <c r="B653" s="29" t="s">
        <v>361</v>
      </c>
      <c r="C653" s="75">
        <f>'OCCUPATIONAL THERAPY'!C28</f>
        <v>0</v>
      </c>
      <c r="D653" s="14">
        <f>'[15]OT 086'!$N$29</f>
        <v>4.5961538461538458</v>
      </c>
    </row>
    <row r="654" spans="1:4" x14ac:dyDescent="0.2">
      <c r="A654" s="163"/>
      <c r="B654" s="29" t="s">
        <v>360</v>
      </c>
      <c r="C654" s="75">
        <f>'OCCUPATIONAL THERAPY'!C29</f>
        <v>0</v>
      </c>
      <c r="D654" s="14">
        <f>'[15]OT 086'!$N$30</f>
        <v>0</v>
      </c>
    </row>
    <row r="655" spans="1:4" x14ac:dyDescent="0.2">
      <c r="A655" s="163"/>
      <c r="B655" s="29" t="s">
        <v>362</v>
      </c>
      <c r="C655" s="75">
        <f>'OCCUPATIONAL THERAPY'!C30</f>
        <v>0</v>
      </c>
      <c r="D655" s="14">
        <f>'[15]OT 086'!$N$31</f>
        <v>15.384615384615385</v>
      </c>
    </row>
    <row r="656" spans="1:4" x14ac:dyDescent="0.2">
      <c r="A656" s="90">
        <v>31200.085999999999</v>
      </c>
      <c r="B656" s="161" t="s">
        <v>555</v>
      </c>
      <c r="C656" s="293">
        <f>SUM(C649:C655)</f>
        <v>0</v>
      </c>
      <c r="D656" s="293"/>
    </row>
    <row r="658" spans="1:4" x14ac:dyDescent="0.2">
      <c r="A658" s="21"/>
      <c r="B658" s="188" t="s">
        <v>559</v>
      </c>
      <c r="C658" s="1"/>
      <c r="D658" s="180" t="s">
        <v>564</v>
      </c>
    </row>
    <row r="659" spans="1:4" x14ac:dyDescent="0.2">
      <c r="A659" s="16"/>
      <c r="B659" s="29" t="s">
        <v>352</v>
      </c>
      <c r="C659" s="75">
        <f>'SPEECH THERAPY'!C8</f>
        <v>0</v>
      </c>
      <c r="D659" s="14">
        <f>'[15]ST 087'!$N$11</f>
        <v>58.88</v>
      </c>
    </row>
    <row r="660" spans="1:4" x14ac:dyDescent="0.2">
      <c r="A660" s="16"/>
      <c r="B660" s="29" t="s">
        <v>353</v>
      </c>
      <c r="C660" s="75">
        <f>'SPEECH THERAPY'!C9</f>
        <v>0</v>
      </c>
      <c r="D660" s="14">
        <f>'[15]ST 087'!$N$12</f>
        <v>14.24</v>
      </c>
    </row>
    <row r="661" spans="1:4" x14ac:dyDescent="0.2">
      <c r="A661" s="16"/>
      <c r="B661" s="29" t="s">
        <v>355</v>
      </c>
      <c r="C661" s="75">
        <f>'SPEECH THERAPY'!C10</f>
        <v>0</v>
      </c>
      <c r="D661" s="14">
        <f>'[15]ST 087'!$N$13</f>
        <v>0</v>
      </c>
    </row>
    <row r="662" spans="1:4" x14ac:dyDescent="0.2">
      <c r="A662" s="16"/>
      <c r="B662" s="29" t="s">
        <v>370</v>
      </c>
      <c r="C662" s="75">
        <f>'SPEECH THERAPY'!C11</f>
        <v>0</v>
      </c>
      <c r="D662" s="14">
        <f>'[15]ST 087'!$N$14</f>
        <v>0</v>
      </c>
    </row>
    <row r="663" spans="1:4" x14ac:dyDescent="0.2">
      <c r="A663" s="16"/>
      <c r="B663" s="29" t="s">
        <v>356</v>
      </c>
      <c r="C663" s="75">
        <f>'SPEECH THERAPY'!C12</f>
        <v>0</v>
      </c>
      <c r="D663" s="14">
        <f>'[15]ST 087'!$N$15</f>
        <v>0</v>
      </c>
    </row>
    <row r="664" spans="1:4" x14ac:dyDescent="0.2">
      <c r="A664" s="16"/>
      <c r="B664" s="29" t="s">
        <v>354</v>
      </c>
      <c r="C664" s="75">
        <f>'SPEECH THERAPY'!C13</f>
        <v>722.22222222222229</v>
      </c>
      <c r="D664" s="14">
        <f>'[15]ST 087'!$N$16</f>
        <v>0</v>
      </c>
    </row>
    <row r="665" spans="1:4" x14ac:dyDescent="0.2">
      <c r="A665" s="16"/>
      <c r="B665" s="29" t="s">
        <v>357</v>
      </c>
      <c r="C665" s="75">
        <f>'SPEECH THERAPY'!C14</f>
        <v>0</v>
      </c>
      <c r="D665" s="14">
        <f>'[15]ST 087'!$N$17</f>
        <v>0</v>
      </c>
    </row>
    <row r="666" spans="1:4" x14ac:dyDescent="0.2">
      <c r="A666" s="87">
        <v>31110.087</v>
      </c>
      <c r="B666" s="161" t="s">
        <v>560</v>
      </c>
      <c r="C666" s="293">
        <f>SUM(C659:C665)</f>
        <v>722.22222222222229</v>
      </c>
      <c r="D666" s="293"/>
    </row>
    <row r="667" spans="1:4" x14ac:dyDescent="0.2">
      <c r="A667" s="16"/>
      <c r="B667" s="29" t="s">
        <v>424</v>
      </c>
      <c r="C667" s="75">
        <f>'SPEECH THERAPY'!C16</f>
        <v>4436.1111111111113</v>
      </c>
      <c r="D667" s="14">
        <f>'[15]ST 087'!$N$18</f>
        <v>127.32</v>
      </c>
    </row>
    <row r="668" spans="1:4" x14ac:dyDescent="0.2">
      <c r="A668" s="16"/>
      <c r="B668" s="29" t="s">
        <v>425</v>
      </c>
      <c r="C668" s="75">
        <f>'SPEECH THERAPY'!C17</f>
        <v>0</v>
      </c>
      <c r="D668" s="14">
        <f>'[15]ST 087'!$N$19</f>
        <v>0</v>
      </c>
    </row>
    <row r="669" spans="1:4" x14ac:dyDescent="0.2">
      <c r="A669" s="16"/>
      <c r="B669" s="29" t="s">
        <v>426</v>
      </c>
      <c r="C669" s="75">
        <f>'SPEECH THERAPY'!C18</f>
        <v>0</v>
      </c>
      <c r="D669" s="14">
        <f>'[15]ST 087'!$N$20</f>
        <v>0</v>
      </c>
    </row>
    <row r="670" spans="1:4" x14ac:dyDescent="0.2">
      <c r="A670" s="16"/>
      <c r="B670" s="29" t="s">
        <v>427</v>
      </c>
      <c r="C670" s="75">
        <f>'SPEECH THERAPY'!C19</f>
        <v>0</v>
      </c>
      <c r="D670" s="14">
        <f>'[15]ST 087'!$N$21</f>
        <v>0</v>
      </c>
    </row>
    <row r="671" spans="1:4" x14ac:dyDescent="0.2">
      <c r="A671" s="16"/>
      <c r="B671" s="29" t="s">
        <v>428</v>
      </c>
      <c r="C671" s="75">
        <f>'SPEECH THERAPY'!C20</f>
        <v>0</v>
      </c>
      <c r="D671" s="14">
        <f>'[15]ST 087'!$N$22</f>
        <v>0</v>
      </c>
    </row>
    <row r="672" spans="1:4" x14ac:dyDescent="0.2">
      <c r="A672" s="16"/>
      <c r="B672" s="29" t="s">
        <v>429</v>
      </c>
      <c r="C672" s="75">
        <f>'SPEECH THERAPY'!C21</f>
        <v>0</v>
      </c>
      <c r="D672" s="14">
        <f>'[15]ST 087'!$N$23</f>
        <v>0</v>
      </c>
    </row>
    <row r="673" spans="1:4" x14ac:dyDescent="0.2">
      <c r="A673" s="16"/>
      <c r="B673" s="29" t="s">
        <v>430</v>
      </c>
      <c r="C673" s="75">
        <f>'SPEECH THERAPY'!C22</f>
        <v>0</v>
      </c>
      <c r="D673" s="14">
        <f>'[15]ST 087'!$N$24</f>
        <v>0</v>
      </c>
    </row>
    <row r="674" spans="1:4" x14ac:dyDescent="0.2">
      <c r="A674" s="132">
        <v>31111.087</v>
      </c>
      <c r="B674" s="161" t="s">
        <v>561</v>
      </c>
      <c r="C674" s="293">
        <f>SUM(C667:C673)</f>
        <v>4436.1111111111113</v>
      </c>
      <c r="D674" s="293"/>
    </row>
    <row r="675" spans="1:4" x14ac:dyDescent="0.2">
      <c r="A675" s="16"/>
      <c r="B675" s="29" t="s">
        <v>358</v>
      </c>
      <c r="C675" s="75">
        <f>'SPEECH THERAPY'!C24</f>
        <v>4285.8163636363643</v>
      </c>
      <c r="D675" s="14">
        <f>'[15]ST 087'!$N$25</f>
        <v>45</v>
      </c>
    </row>
    <row r="676" spans="1:4" x14ac:dyDescent="0.2">
      <c r="A676" s="16"/>
      <c r="B676" s="29" t="s">
        <v>359</v>
      </c>
      <c r="C676" s="75">
        <f>'SPEECH THERAPY'!C25</f>
        <v>0</v>
      </c>
      <c r="D676" s="14">
        <f>'[15]ST 087'!$N$26</f>
        <v>7.6470588235294121</v>
      </c>
    </row>
    <row r="677" spans="1:4" x14ac:dyDescent="0.2">
      <c r="A677" s="16"/>
      <c r="B677" s="29" t="s">
        <v>372</v>
      </c>
      <c r="C677" s="75">
        <f>'SPEECH THERAPY'!C26</f>
        <v>0</v>
      </c>
      <c r="D677" s="14">
        <f>'[15]ST 087'!$N$27</f>
        <v>0</v>
      </c>
    </row>
    <row r="678" spans="1:4" x14ac:dyDescent="0.2">
      <c r="A678" s="16"/>
      <c r="B678" s="29" t="s">
        <v>373</v>
      </c>
      <c r="C678" s="75">
        <f>'SPEECH THERAPY'!C27</f>
        <v>0</v>
      </c>
      <c r="D678" s="14">
        <f>'[15]ST 087'!$N$28</f>
        <v>0</v>
      </c>
    </row>
    <row r="679" spans="1:4" x14ac:dyDescent="0.2">
      <c r="A679" s="163"/>
      <c r="B679" s="29" t="s">
        <v>361</v>
      </c>
      <c r="C679" s="75">
        <f>'SPEECH THERAPY'!C28</f>
        <v>245.45454545454547</v>
      </c>
      <c r="D679" s="14">
        <f>'[15]ST 087'!$N$29</f>
        <v>111.05882352941177</v>
      </c>
    </row>
    <row r="680" spans="1:4" x14ac:dyDescent="0.2">
      <c r="A680" s="163"/>
      <c r="B680" s="29" t="s">
        <v>360</v>
      </c>
      <c r="C680" s="75">
        <f>'SPEECH THERAPY'!C29</f>
        <v>0</v>
      </c>
      <c r="D680" s="14">
        <f>'[15]ST 087'!$N$30</f>
        <v>0</v>
      </c>
    </row>
    <row r="681" spans="1:4" x14ac:dyDescent="0.2">
      <c r="A681" s="163"/>
      <c r="B681" s="29" t="s">
        <v>362</v>
      </c>
      <c r="C681" s="75">
        <f>'SPEECH THERAPY'!C30</f>
        <v>0</v>
      </c>
      <c r="D681" s="14">
        <f>'[15]ST 087'!$N$31</f>
        <v>-13.235294117647058</v>
      </c>
    </row>
    <row r="682" spans="1:4" x14ac:dyDescent="0.2">
      <c r="A682" s="90">
        <v>31200.087</v>
      </c>
      <c r="B682" s="161" t="s">
        <v>562</v>
      </c>
      <c r="C682" s="293">
        <f>SUM(C675:C681)</f>
        <v>4531.2709090909093</v>
      </c>
      <c r="D682" s="290"/>
    </row>
    <row r="684" spans="1:4" x14ac:dyDescent="0.2">
      <c r="A684" s="21"/>
      <c r="B684" s="188" t="s">
        <v>570</v>
      </c>
      <c r="C684" s="1"/>
      <c r="D684" s="180" t="s">
        <v>575</v>
      </c>
    </row>
    <row r="685" spans="1:4" x14ac:dyDescent="0.2">
      <c r="A685" s="16"/>
      <c r="B685" s="29" t="s">
        <v>352</v>
      </c>
      <c r="C685" s="75">
        <f>'WOUND CARE'!C8</f>
        <v>0</v>
      </c>
      <c r="D685" s="14">
        <v>0</v>
      </c>
    </row>
    <row r="686" spans="1:4" x14ac:dyDescent="0.2">
      <c r="A686" s="16"/>
      <c r="B686" s="29" t="s">
        <v>353</v>
      </c>
      <c r="C686" s="75">
        <f>'WOUND CARE'!C9</f>
        <v>0</v>
      </c>
      <c r="D686" s="14">
        <v>0</v>
      </c>
    </row>
    <row r="687" spans="1:4" x14ac:dyDescent="0.2">
      <c r="A687" s="16"/>
      <c r="B687" s="29" t="s">
        <v>355</v>
      </c>
      <c r="C687" s="75">
        <f>'WOUND CARE'!C10</f>
        <v>0</v>
      </c>
      <c r="D687" s="14">
        <v>0</v>
      </c>
    </row>
    <row r="688" spans="1:4" x14ac:dyDescent="0.2">
      <c r="A688" s="16"/>
      <c r="B688" s="29" t="s">
        <v>370</v>
      </c>
      <c r="C688" s="75">
        <f>'WOUND CARE'!C11</f>
        <v>0</v>
      </c>
      <c r="D688" s="14">
        <v>0</v>
      </c>
    </row>
    <row r="689" spans="1:4" x14ac:dyDescent="0.2">
      <c r="A689" s="16"/>
      <c r="B689" s="29" t="s">
        <v>356</v>
      </c>
      <c r="C689" s="75">
        <f>'WOUND CARE'!C12</f>
        <v>0</v>
      </c>
      <c r="D689" s="14">
        <v>0</v>
      </c>
    </row>
    <row r="690" spans="1:4" x14ac:dyDescent="0.2">
      <c r="A690" s="16"/>
      <c r="B690" s="29" t="s">
        <v>354</v>
      </c>
      <c r="C690" s="75">
        <f>'WOUND CARE'!C13</f>
        <v>0</v>
      </c>
      <c r="D690" s="14">
        <v>0</v>
      </c>
    </row>
    <row r="691" spans="1:4" x14ac:dyDescent="0.2">
      <c r="A691" s="16"/>
      <c r="B691" s="29" t="s">
        <v>357</v>
      </c>
      <c r="C691" s="75">
        <f>'WOUND CARE'!C14</f>
        <v>0</v>
      </c>
      <c r="D691" s="14">
        <v>0</v>
      </c>
    </row>
    <row r="692" spans="1:4" x14ac:dyDescent="0.2">
      <c r="A692" s="87">
        <v>31110.089</v>
      </c>
      <c r="B692" s="161" t="s">
        <v>571</v>
      </c>
      <c r="C692" s="290">
        <f>SUM(C685:C691)</f>
        <v>0</v>
      </c>
      <c r="D692" s="290"/>
    </row>
    <row r="693" spans="1:4" x14ac:dyDescent="0.2">
      <c r="A693" s="16"/>
      <c r="B693" s="29" t="s">
        <v>424</v>
      </c>
      <c r="C693" s="75">
        <f>'WOUND CARE'!C16</f>
        <v>0</v>
      </c>
      <c r="D693" s="14">
        <v>0</v>
      </c>
    </row>
    <row r="694" spans="1:4" x14ac:dyDescent="0.2">
      <c r="A694" s="16"/>
      <c r="B694" s="29" t="s">
        <v>425</v>
      </c>
      <c r="C694" s="75">
        <f>'WOUND CARE'!C17</f>
        <v>0</v>
      </c>
      <c r="D694" s="14">
        <v>0</v>
      </c>
    </row>
    <row r="695" spans="1:4" x14ac:dyDescent="0.2">
      <c r="A695" s="16"/>
      <c r="B695" s="29" t="s">
        <v>426</v>
      </c>
      <c r="C695" s="75">
        <f>'WOUND CARE'!C18</f>
        <v>0</v>
      </c>
      <c r="D695" s="14">
        <v>0</v>
      </c>
    </row>
    <row r="696" spans="1:4" x14ac:dyDescent="0.2">
      <c r="A696" s="16"/>
      <c r="B696" s="29" t="s">
        <v>427</v>
      </c>
      <c r="C696" s="75">
        <f>'WOUND CARE'!C19</f>
        <v>0</v>
      </c>
      <c r="D696" s="14">
        <v>0</v>
      </c>
    </row>
    <row r="697" spans="1:4" x14ac:dyDescent="0.2">
      <c r="A697" s="16"/>
      <c r="B697" s="29" t="s">
        <v>428</v>
      </c>
      <c r="C697" s="75">
        <f>'WOUND CARE'!C20</f>
        <v>0</v>
      </c>
      <c r="D697" s="14">
        <v>0</v>
      </c>
    </row>
    <row r="698" spans="1:4" x14ac:dyDescent="0.2">
      <c r="A698" s="16"/>
      <c r="B698" s="29" t="s">
        <v>429</v>
      </c>
      <c r="C698" s="75">
        <f>'WOUND CARE'!C21</f>
        <v>0</v>
      </c>
      <c r="D698" s="14">
        <v>0</v>
      </c>
    </row>
    <row r="699" spans="1:4" x14ac:dyDescent="0.2">
      <c r="A699" s="16"/>
      <c r="B699" s="29" t="s">
        <v>430</v>
      </c>
      <c r="C699" s="75">
        <f>'WOUND CARE'!C22</f>
        <v>0</v>
      </c>
      <c r="D699" s="14">
        <v>0</v>
      </c>
    </row>
    <row r="700" spans="1:4" x14ac:dyDescent="0.2">
      <c r="A700" s="132">
        <v>31111.089</v>
      </c>
      <c r="B700" s="161" t="s">
        <v>572</v>
      </c>
      <c r="C700" s="290">
        <f>SUM(C693:C699)</f>
        <v>0</v>
      </c>
      <c r="D700" s="290"/>
    </row>
    <row r="701" spans="1:4" x14ac:dyDescent="0.2">
      <c r="A701" s="16"/>
      <c r="B701" s="29" t="s">
        <v>358</v>
      </c>
      <c r="C701" s="75">
        <f>'WOUND CARE'!C24</f>
        <v>0</v>
      </c>
      <c r="D701" s="14">
        <f>'[15]WOUND CARE 089'!$N$18</f>
        <v>644.29108910891091</v>
      </c>
    </row>
    <row r="702" spans="1:4" x14ac:dyDescent="0.2">
      <c r="A702" s="16"/>
      <c r="B702" s="29" t="s">
        <v>359</v>
      </c>
      <c r="C702" s="75">
        <f>'WOUND CARE'!C25</f>
        <v>0</v>
      </c>
      <c r="D702" s="14">
        <f>'[15]WOUND CARE 089'!$N$19</f>
        <v>53.893069306930691</v>
      </c>
    </row>
    <row r="703" spans="1:4" x14ac:dyDescent="0.2">
      <c r="A703" s="16"/>
      <c r="B703" s="29" t="s">
        <v>372</v>
      </c>
      <c r="C703" s="75">
        <f>'WOUND CARE'!C26</f>
        <v>0</v>
      </c>
      <c r="D703" s="14">
        <f>'[15]WOUND CARE 089'!$N$20</f>
        <v>77.500990099009897</v>
      </c>
    </row>
    <row r="704" spans="1:4" x14ac:dyDescent="0.2">
      <c r="A704" s="16"/>
      <c r="B704" s="29" t="s">
        <v>373</v>
      </c>
      <c r="C704" s="75">
        <f>'WOUND CARE'!C27</f>
        <v>0</v>
      </c>
      <c r="D704" s="14">
        <f>'[15]WOUND CARE 089'!$N$21</f>
        <v>0</v>
      </c>
    </row>
    <row r="705" spans="1:4" x14ac:dyDescent="0.2">
      <c r="A705" s="163"/>
      <c r="B705" s="29" t="s">
        <v>361</v>
      </c>
      <c r="C705" s="75">
        <f>'WOUND CARE'!C28</f>
        <v>0</v>
      </c>
      <c r="D705" s="14">
        <f>'[15]WOUND CARE 089'!$N$22</f>
        <v>8.9821782178217831</v>
      </c>
    </row>
    <row r="706" spans="1:4" x14ac:dyDescent="0.2">
      <c r="A706" s="163"/>
      <c r="B706" s="29" t="s">
        <v>360</v>
      </c>
      <c r="C706" s="75">
        <f>'WOUND CARE'!C29</f>
        <v>0</v>
      </c>
      <c r="D706" s="14">
        <f>'[15]WOUND CARE 089'!$N$23</f>
        <v>0</v>
      </c>
    </row>
    <row r="707" spans="1:4" x14ac:dyDescent="0.2">
      <c r="A707" s="163"/>
      <c r="B707" s="29" t="s">
        <v>362</v>
      </c>
      <c r="C707" s="75">
        <f>'WOUND CARE'!C30</f>
        <v>0</v>
      </c>
      <c r="D707" s="14">
        <f>'[15]WOUND CARE 089'!$N$24</f>
        <v>10.596039603960396</v>
      </c>
    </row>
    <row r="708" spans="1:4" x14ac:dyDescent="0.2">
      <c r="A708" s="90">
        <v>31200.089</v>
      </c>
      <c r="B708" s="161" t="s">
        <v>573</v>
      </c>
      <c r="C708" s="293">
        <f>SUM(C701:C707)</f>
        <v>0</v>
      </c>
      <c r="D708" s="290"/>
    </row>
    <row r="710" spans="1:4" x14ac:dyDescent="0.2">
      <c r="A710" s="21"/>
      <c r="B710" s="188" t="s">
        <v>577</v>
      </c>
      <c r="C710" s="1"/>
      <c r="D710" s="180" t="s">
        <v>576</v>
      </c>
    </row>
    <row r="711" spans="1:4" x14ac:dyDescent="0.2">
      <c r="A711" s="16"/>
      <c r="B711" s="29" t="s">
        <v>352</v>
      </c>
      <c r="C711" s="75">
        <f>'EMERGENCY SERVICES'!C11</f>
        <v>4509.1919431279621</v>
      </c>
      <c r="D711" s="14">
        <f>'[15]EMERGENCY SERVICES 091'!$N$11</f>
        <v>14.20945945945946</v>
      </c>
    </row>
    <row r="712" spans="1:4" x14ac:dyDescent="0.2">
      <c r="A712" s="16"/>
      <c r="B712" s="29" t="s">
        <v>353</v>
      </c>
      <c r="C712" s="75">
        <f>'EMERGENCY SERVICES'!C12</f>
        <v>2818.6421800947869</v>
      </c>
      <c r="D712" s="14">
        <f>'[15]EMERGENCY SERVICES 091'!$N$12</f>
        <v>50.731981981981981</v>
      </c>
    </row>
    <row r="713" spans="1:4" x14ac:dyDescent="0.2">
      <c r="A713" s="16"/>
      <c r="B713" s="29" t="s">
        <v>355</v>
      </c>
      <c r="C713" s="75">
        <f>'EMERGENCY SERVICES'!C13</f>
        <v>15256.258293838862</v>
      </c>
      <c r="D713" s="14">
        <f>'[15]EMERGENCY SERVICES 091'!$N$13</f>
        <v>10.952702702702704</v>
      </c>
    </row>
    <row r="714" spans="1:4" x14ac:dyDescent="0.2">
      <c r="A714" s="16"/>
      <c r="B714" s="29" t="s">
        <v>370</v>
      </c>
      <c r="C714" s="75">
        <f>'EMERGENCY SERVICES'!C14</f>
        <v>0</v>
      </c>
      <c r="D714" s="14">
        <f>'[15]EMERGENCY SERVICES 091'!$N$14</f>
        <v>0.69144144144144148</v>
      </c>
    </row>
    <row r="715" spans="1:4" x14ac:dyDescent="0.2">
      <c r="A715" s="16"/>
      <c r="B715" s="29" t="s">
        <v>356</v>
      </c>
      <c r="C715" s="75">
        <f>'EMERGENCY SERVICES'!C15</f>
        <v>26057.345971563984</v>
      </c>
      <c r="D715" s="14">
        <f>'[15]EMERGENCY SERVICES 091'!$N$15</f>
        <v>12.38963963963964</v>
      </c>
    </row>
    <row r="716" spans="1:4" x14ac:dyDescent="0.2">
      <c r="A716" s="16"/>
      <c r="B716" s="29" t="s">
        <v>354</v>
      </c>
      <c r="C716" s="75">
        <f>'EMERGENCY SERVICES'!C16</f>
        <v>99380.175355450236</v>
      </c>
      <c r="D716" s="14">
        <f>'[15]EMERGENCY SERVICES 091'!$N$16</f>
        <v>11.063063063063064</v>
      </c>
    </row>
    <row r="717" spans="1:4" x14ac:dyDescent="0.2">
      <c r="A717" s="16"/>
      <c r="B717" s="29" t="s">
        <v>357</v>
      </c>
      <c r="C717" s="75">
        <f>'EMERGENCY SERVICES'!C17</f>
        <v>29364.298578199057</v>
      </c>
      <c r="D717" s="14">
        <f>'[15]EMERGENCY SERVICES 091'!$N$17</f>
        <v>25.382882882882882</v>
      </c>
    </row>
    <row r="718" spans="1:4" x14ac:dyDescent="0.2">
      <c r="A718" s="87">
        <v>31110.091</v>
      </c>
      <c r="B718" s="161" t="s">
        <v>578</v>
      </c>
      <c r="C718" s="293">
        <f>SUM(C711:C717)</f>
        <v>177385.91232227487</v>
      </c>
      <c r="D718" s="290"/>
    </row>
    <row r="719" spans="1:4" x14ac:dyDescent="0.2">
      <c r="A719" s="16"/>
      <c r="B719" s="29" t="s">
        <v>424</v>
      </c>
      <c r="C719" s="75">
        <f>'EMERGENCY SERVICES'!C19</f>
        <v>0</v>
      </c>
      <c r="D719" s="14">
        <v>0</v>
      </c>
    </row>
    <row r="720" spans="1:4" x14ac:dyDescent="0.2">
      <c r="A720" s="16"/>
      <c r="B720" s="29" t="s">
        <v>425</v>
      </c>
      <c r="C720" s="75">
        <f>'EMERGENCY SERVICES'!C20</f>
        <v>0</v>
      </c>
      <c r="D720" s="14">
        <v>0</v>
      </c>
    </row>
    <row r="721" spans="1:4" x14ac:dyDescent="0.2">
      <c r="A721" s="16"/>
      <c r="B721" s="29" t="s">
        <v>426</v>
      </c>
      <c r="C721" s="75">
        <f>'EMERGENCY SERVICES'!C21</f>
        <v>0</v>
      </c>
      <c r="D721" s="14">
        <v>0</v>
      </c>
    </row>
    <row r="722" spans="1:4" x14ac:dyDescent="0.2">
      <c r="A722" s="16"/>
      <c r="B722" s="29" t="s">
        <v>427</v>
      </c>
      <c r="C722" s="75">
        <f>'EMERGENCY SERVICES'!C22</f>
        <v>0</v>
      </c>
      <c r="D722" s="14">
        <v>0</v>
      </c>
    </row>
    <row r="723" spans="1:4" x14ac:dyDescent="0.2">
      <c r="A723" s="16"/>
      <c r="B723" s="29" t="s">
        <v>428</v>
      </c>
      <c r="C723" s="75">
        <f>'EMERGENCY SERVICES'!C23</f>
        <v>0</v>
      </c>
      <c r="D723" s="14">
        <v>0</v>
      </c>
    </row>
    <row r="724" spans="1:4" x14ac:dyDescent="0.2">
      <c r="A724" s="16"/>
      <c r="B724" s="29" t="s">
        <v>429</v>
      </c>
      <c r="C724" s="75">
        <f>'EMERGENCY SERVICES'!C24</f>
        <v>0</v>
      </c>
      <c r="D724" s="14">
        <v>0</v>
      </c>
    </row>
    <row r="725" spans="1:4" x14ac:dyDescent="0.2">
      <c r="A725" s="16"/>
      <c r="B725" s="29" t="s">
        <v>430</v>
      </c>
      <c r="C725" s="75">
        <f>'EMERGENCY SERVICES'!C25</f>
        <v>0</v>
      </c>
      <c r="D725" s="14">
        <v>0</v>
      </c>
    </row>
    <row r="726" spans="1:4" x14ac:dyDescent="0.2">
      <c r="A726" s="132">
        <v>31111.091</v>
      </c>
      <c r="B726" s="161" t="s">
        <v>579</v>
      </c>
      <c r="C726" s="293">
        <f>SUM(C719:C725)</f>
        <v>0</v>
      </c>
      <c r="D726" s="290"/>
    </row>
    <row r="727" spans="1:4" x14ac:dyDescent="0.2">
      <c r="A727" s="16"/>
      <c r="B727" s="29" t="s">
        <v>358</v>
      </c>
      <c r="C727" s="75">
        <f>'EMERGENCY SERVICES'!C27</f>
        <v>1531300.1797864295</v>
      </c>
      <c r="D727" s="14">
        <f>'[15]EMERGENCY SERVICES 091'!$N$18</f>
        <v>86.602516150969052</v>
      </c>
    </row>
    <row r="728" spans="1:4" x14ac:dyDescent="0.2">
      <c r="A728" s="16"/>
      <c r="B728" s="29" t="s">
        <v>359</v>
      </c>
      <c r="C728" s="75">
        <f>'EMERGENCY SERVICES'!C28</f>
        <v>146597.18082593085</v>
      </c>
      <c r="D728" s="14">
        <f>'[15]EMERGENCY SERVICES 091'!$N$19</f>
        <v>76.113226793607623</v>
      </c>
    </row>
    <row r="729" spans="1:4" x14ac:dyDescent="0.2">
      <c r="A729" s="16"/>
      <c r="B729" s="29" t="s">
        <v>372</v>
      </c>
      <c r="C729" s="75">
        <f>'EMERGENCY SERVICES'!C29</f>
        <v>568836.79054054047</v>
      </c>
      <c r="D729" s="14">
        <f>'[15]EMERGENCY SERVICES 091'!$N$20</f>
        <v>22.335600136008161</v>
      </c>
    </row>
    <row r="730" spans="1:4" x14ac:dyDescent="0.2">
      <c r="A730" s="16"/>
      <c r="B730" s="29" t="s">
        <v>373</v>
      </c>
      <c r="C730" s="75">
        <f>'EMERGENCY SERVICES'!C30</f>
        <v>0</v>
      </c>
      <c r="D730" s="14">
        <f>'[15]EMERGENCY SERVICES 091'!$N$21</f>
        <v>2.8745324719483167</v>
      </c>
    </row>
    <row r="731" spans="1:4" x14ac:dyDescent="0.2">
      <c r="A731" s="163"/>
      <c r="B731" s="29" t="s">
        <v>361</v>
      </c>
      <c r="C731" s="75">
        <f>'EMERGENCY SERVICES'!C31</f>
        <v>621578.34908334911</v>
      </c>
      <c r="D731" s="14">
        <f>'[15]EMERGENCY SERVICES 091'!$N$22</f>
        <v>23.830329819789188</v>
      </c>
    </row>
    <row r="732" spans="1:4" x14ac:dyDescent="0.2">
      <c r="A732" s="163"/>
      <c r="B732" s="29" t="s">
        <v>360</v>
      </c>
      <c r="C732" s="75">
        <f>'EMERGENCY SERVICES'!C32</f>
        <v>1442789.615148365</v>
      </c>
      <c r="D732" s="14">
        <f>'[15]EMERGENCY SERVICES 091'!$N$23</f>
        <v>0.27779666780006801</v>
      </c>
    </row>
    <row r="733" spans="1:4" x14ac:dyDescent="0.2">
      <c r="A733" s="163"/>
      <c r="B733" s="29" t="s">
        <v>362</v>
      </c>
      <c r="C733" s="75">
        <f>'EMERGENCY SERVICES'!C33</f>
        <v>666884.69311094307</v>
      </c>
      <c r="D733" s="14">
        <f>'[15]EMERGENCY SERVICES 091'!$N$24</f>
        <v>55.912954777286636</v>
      </c>
    </row>
    <row r="734" spans="1:4" x14ac:dyDescent="0.2">
      <c r="A734" s="90">
        <v>31200.091</v>
      </c>
      <c r="B734" s="161" t="s">
        <v>580</v>
      </c>
      <c r="C734" s="293">
        <f>SUM(C727:C733)</f>
        <v>4977986.8084955579</v>
      </c>
      <c r="D734" s="290"/>
    </row>
    <row r="736" spans="1:4" x14ac:dyDescent="0.2">
      <c r="A736" s="21"/>
      <c r="B736" s="188" t="s">
        <v>587</v>
      </c>
      <c r="C736" s="1"/>
      <c r="D736" s="180" t="s">
        <v>576</v>
      </c>
    </row>
    <row r="737" spans="1:19" x14ac:dyDescent="0.2">
      <c r="A737" s="16"/>
      <c r="B737" s="29" t="s">
        <v>352</v>
      </c>
      <c r="C737" s="75">
        <f>'ER PROFEE'!C11</f>
        <v>0</v>
      </c>
      <c r="D737" s="14">
        <v>0</v>
      </c>
    </row>
    <row r="738" spans="1:19" x14ac:dyDescent="0.2">
      <c r="A738" s="16"/>
      <c r="B738" s="29" t="s">
        <v>353</v>
      </c>
      <c r="C738" s="75">
        <f>'ER PROFEE'!C12</f>
        <v>0</v>
      </c>
      <c r="D738" s="14">
        <v>0</v>
      </c>
    </row>
    <row r="739" spans="1:19" x14ac:dyDescent="0.2">
      <c r="A739" s="16"/>
      <c r="B739" s="29" t="s">
        <v>355</v>
      </c>
      <c r="C739" s="75">
        <f>'ER PROFEE'!C13</f>
        <v>0</v>
      </c>
      <c r="D739" s="14">
        <v>0</v>
      </c>
    </row>
    <row r="740" spans="1:19" x14ac:dyDescent="0.2">
      <c r="A740" s="16"/>
      <c r="B740" s="29" t="s">
        <v>370</v>
      </c>
      <c r="C740" s="75">
        <f>'ER PROFEE'!C14</f>
        <v>0</v>
      </c>
      <c r="D740" s="14">
        <v>0</v>
      </c>
    </row>
    <row r="741" spans="1:19" x14ac:dyDescent="0.2">
      <c r="A741" s="16"/>
      <c r="B741" s="29" t="s">
        <v>356</v>
      </c>
      <c r="C741" s="75">
        <f>'ER PROFEE'!C15</f>
        <v>0</v>
      </c>
      <c r="D741" s="14">
        <v>0</v>
      </c>
    </row>
    <row r="742" spans="1:19" x14ac:dyDescent="0.2">
      <c r="A742" s="16"/>
      <c r="B742" s="29" t="s">
        <v>354</v>
      </c>
      <c r="C742" s="75">
        <f>'ER PROFEE'!C16</f>
        <v>0</v>
      </c>
      <c r="D742" s="14">
        <v>0</v>
      </c>
    </row>
    <row r="743" spans="1:19" x14ac:dyDescent="0.2">
      <c r="A743" s="16"/>
      <c r="B743" s="29" t="s">
        <v>357</v>
      </c>
      <c r="C743" s="75">
        <f>'ER PROFEE'!C17</f>
        <v>0</v>
      </c>
      <c r="D743" s="14">
        <v>0</v>
      </c>
    </row>
    <row r="744" spans="1:19" x14ac:dyDescent="0.2">
      <c r="A744" s="132" t="s">
        <v>537</v>
      </c>
      <c r="B744" s="161" t="s">
        <v>588</v>
      </c>
      <c r="C744" s="290">
        <f>SUM(C737:C743)</f>
        <v>0</v>
      </c>
      <c r="D744" s="290"/>
    </row>
    <row r="745" spans="1:19" x14ac:dyDescent="0.2">
      <c r="A745" s="16"/>
      <c r="B745" s="29" t="s">
        <v>424</v>
      </c>
      <c r="C745" s="75">
        <f>'ER PROFEE'!C19</f>
        <v>0</v>
      </c>
      <c r="D745" s="14">
        <v>0</v>
      </c>
    </row>
    <row r="746" spans="1:19" x14ac:dyDescent="0.2">
      <c r="A746" s="16"/>
      <c r="B746" s="29" t="s">
        <v>425</v>
      </c>
      <c r="C746" s="75">
        <f>'ER PROFEE'!C20</f>
        <v>0</v>
      </c>
      <c r="D746" s="14">
        <v>0</v>
      </c>
    </row>
    <row r="747" spans="1:19" x14ac:dyDescent="0.2">
      <c r="A747" s="16"/>
      <c r="B747" s="29" t="s">
        <v>426</v>
      </c>
      <c r="C747" s="75">
        <f>'ER PROFEE'!C21</f>
        <v>0</v>
      </c>
      <c r="D747" s="14">
        <v>0</v>
      </c>
    </row>
    <row r="748" spans="1:19" x14ac:dyDescent="0.2">
      <c r="A748" s="16"/>
      <c r="B748" s="29" t="s">
        <v>427</v>
      </c>
      <c r="C748" s="75">
        <f>'ER PROFEE'!C22</f>
        <v>0</v>
      </c>
      <c r="D748" s="14">
        <v>0</v>
      </c>
    </row>
    <row r="749" spans="1:19" x14ac:dyDescent="0.2">
      <c r="A749" s="16"/>
      <c r="B749" s="29" t="s">
        <v>428</v>
      </c>
      <c r="C749" s="75">
        <f>'ER PROFEE'!C23</f>
        <v>0</v>
      </c>
      <c r="D749" s="14">
        <v>0</v>
      </c>
    </row>
    <row r="750" spans="1:19" x14ac:dyDescent="0.2">
      <c r="A750" s="16"/>
      <c r="B750" s="29" t="s">
        <v>429</v>
      </c>
      <c r="C750" s="75">
        <f>'ER PROFEE'!C24</f>
        <v>0</v>
      </c>
      <c r="D750" s="14">
        <v>0</v>
      </c>
      <c r="H750" s="516" t="s">
        <v>1109</v>
      </c>
      <c r="O750" s="516" t="s">
        <v>1013</v>
      </c>
    </row>
    <row r="751" spans="1:19" x14ac:dyDescent="0.2">
      <c r="A751" s="16"/>
      <c r="B751" s="29" t="s">
        <v>430</v>
      </c>
      <c r="C751" s="75">
        <f>'ER PROFEE'!C25</f>
        <v>0</v>
      </c>
      <c r="D751" s="14">
        <v>0</v>
      </c>
      <c r="F751" s="161"/>
      <c r="G751" s="161"/>
      <c r="H751" s="283" t="s">
        <v>1110</v>
      </c>
      <c r="I751" s="161" t="s">
        <v>590</v>
      </c>
      <c r="J751" s="161" t="s">
        <v>590</v>
      </c>
      <c r="K751" t="s">
        <v>1014</v>
      </c>
      <c r="L751" s="161" t="s">
        <v>590</v>
      </c>
      <c r="O751" s="283" t="s">
        <v>947</v>
      </c>
      <c r="P751" s="161" t="s">
        <v>590</v>
      </c>
      <c r="R751" t="s">
        <v>1014</v>
      </c>
      <c r="S751" s="161" t="s">
        <v>590</v>
      </c>
    </row>
    <row r="752" spans="1:19" x14ac:dyDescent="0.2">
      <c r="A752" s="132" t="s">
        <v>537</v>
      </c>
      <c r="B752" s="161" t="s">
        <v>589</v>
      </c>
      <c r="C752" s="290">
        <f>SUM(C745:C751)</f>
        <v>0</v>
      </c>
      <c r="D752" s="290"/>
      <c r="H752" t="s">
        <v>901</v>
      </c>
      <c r="I752" s="326"/>
      <c r="J752" s="326" t="s">
        <v>902</v>
      </c>
      <c r="K752" s="326" t="s">
        <v>903</v>
      </c>
      <c r="O752" t="s">
        <v>901</v>
      </c>
      <c r="P752" s="326"/>
      <c r="Q752" s="326" t="s">
        <v>902</v>
      </c>
      <c r="R752" s="326" t="s">
        <v>903</v>
      </c>
    </row>
    <row r="753" spans="1:19" x14ac:dyDescent="0.2">
      <c r="A753" s="16"/>
      <c r="B753" s="627" t="s">
        <v>358</v>
      </c>
      <c r="C753" s="75">
        <f>'ER PROFEE'!C27</f>
        <v>492691.01653159206</v>
      </c>
      <c r="D753" s="14">
        <f>'[15]PROFEE 092'!$N$11</f>
        <v>65.689561373682423</v>
      </c>
      <c r="F753" s="327"/>
      <c r="H753" s="517">
        <v>0.65649999999999997</v>
      </c>
      <c r="J753" s="286">
        <f t="shared" ref="J753:J758" si="1">$C753*H753</f>
        <v>323451.65235299018</v>
      </c>
      <c r="K753" s="286">
        <f>$C753-J753</f>
        <v>169239.36417860189</v>
      </c>
      <c r="L753" s="286">
        <f t="shared" ref="L753:L760" si="2">J753+K753</f>
        <v>492691.01653159206</v>
      </c>
      <c r="O753" s="517">
        <f>'[16]mcr pro fee sort'!$W$961</f>
        <v>0.73844914775205717</v>
      </c>
      <c r="Q753" s="286">
        <f t="shared" ref="Q753:Q758" si="3">$C753*O753</f>
        <v>363827.26126284886</v>
      </c>
      <c r="R753" s="286">
        <f>$C753-Q753</f>
        <v>128863.7552687432</v>
      </c>
      <c r="S753" s="286">
        <f t="shared" ref="S753:S760" si="4">Q753+R753</f>
        <v>492691.01653159206</v>
      </c>
    </row>
    <row r="754" spans="1:19" x14ac:dyDescent="0.2">
      <c r="A754" s="16"/>
      <c r="B754" s="627" t="s">
        <v>359</v>
      </c>
      <c r="C754" s="75">
        <f>'ER PROFEE'!C28</f>
        <v>68764.236988669101</v>
      </c>
      <c r="D754" s="14">
        <f>'[15]PROFEE 092'!$N$12</f>
        <v>91.299557973478414</v>
      </c>
      <c r="F754" s="327"/>
      <c r="G754" s="517">
        <v>0.8</v>
      </c>
      <c r="H754" s="518">
        <v>0.74009999999999998</v>
      </c>
      <c r="J754" s="286">
        <f t="shared" si="1"/>
        <v>50892.411795314001</v>
      </c>
      <c r="K754" s="286">
        <f t="shared" ref="K754:K759" si="5">$C754-J754</f>
        <v>17871.8251933551</v>
      </c>
      <c r="L754" s="286">
        <f t="shared" si="2"/>
        <v>68764.236988669101</v>
      </c>
      <c r="O754" s="517">
        <f>'[16]mcd pro fee sort'!$S$164</f>
        <v>0.82918870658868626</v>
      </c>
      <c r="Q754" s="286">
        <f t="shared" si="3"/>
        <v>57018.528728192432</v>
      </c>
      <c r="R754" s="286">
        <f t="shared" ref="R754:R759" si="6">$C754-Q754</f>
        <v>11745.708260476669</v>
      </c>
      <c r="S754" s="286">
        <f t="shared" si="4"/>
        <v>68764.236988669101</v>
      </c>
    </row>
    <row r="755" spans="1:19" x14ac:dyDescent="0.2">
      <c r="A755" s="16"/>
      <c r="B755" s="627" t="s">
        <v>372</v>
      </c>
      <c r="C755" s="75">
        <f>'ER PROFEE'!C29</f>
        <v>206664.73574034951</v>
      </c>
      <c r="D755" s="14">
        <f>'[15]PROFEE 092'!$N$13</f>
        <v>23.502890173410403</v>
      </c>
      <c r="F755" s="327"/>
      <c r="G755" s="517">
        <v>0.62829999999999997</v>
      </c>
      <c r="H755" s="518">
        <v>0.52990000000000004</v>
      </c>
      <c r="J755" s="286">
        <f t="shared" si="1"/>
        <v>109511.64346881122</v>
      </c>
      <c r="K755" s="286">
        <f t="shared" si="5"/>
        <v>97153.092271538291</v>
      </c>
      <c r="L755" s="286">
        <f t="shared" si="2"/>
        <v>206664.73574034951</v>
      </c>
      <c r="O755" s="327">
        <f>[17]download!$Q$966</f>
        <v>0.68778356991352585</v>
      </c>
      <c r="Q755" s="286">
        <f t="shared" si="3"/>
        <v>142140.60972273303</v>
      </c>
      <c r="R755" s="286">
        <f t="shared" si="6"/>
        <v>64524.12601761648</v>
      </c>
      <c r="S755" s="286">
        <f t="shared" si="4"/>
        <v>206664.73574034951</v>
      </c>
    </row>
    <row r="756" spans="1:19" x14ac:dyDescent="0.2">
      <c r="A756" s="16"/>
      <c r="B756" s="627" t="s">
        <v>373</v>
      </c>
      <c r="C756" s="75">
        <f>'ER PROFEE'!C30</f>
        <v>0</v>
      </c>
      <c r="D756" s="14">
        <f>'[15]PROFEE 092'!$N$14</f>
        <v>3.4416865011900715</v>
      </c>
      <c r="F756" s="327"/>
      <c r="H756" s="517"/>
      <c r="J756" s="286">
        <f t="shared" si="1"/>
        <v>0</v>
      </c>
      <c r="K756" s="286">
        <f t="shared" si="5"/>
        <v>0</v>
      </c>
      <c r="L756" s="286">
        <f t="shared" si="2"/>
        <v>0</v>
      </c>
      <c r="O756" s="327"/>
      <c r="Q756" s="286">
        <f t="shared" si="3"/>
        <v>0</v>
      </c>
      <c r="R756" s="286">
        <f t="shared" si="6"/>
        <v>0</v>
      </c>
      <c r="S756" s="286">
        <f t="shared" si="4"/>
        <v>0</v>
      </c>
    </row>
    <row r="757" spans="1:19" x14ac:dyDescent="0.2">
      <c r="A757" s="163"/>
      <c r="B757" s="627" t="s">
        <v>361</v>
      </c>
      <c r="C757" s="75">
        <f>'ER PROFEE'!C31</f>
        <v>220854.80840407143</v>
      </c>
      <c r="D757" s="14">
        <f>'[15]PROFEE 092'!$N$15</f>
        <v>27.357021421285278</v>
      </c>
      <c r="F757" s="327"/>
      <c r="G757" s="517">
        <v>0.42480000000000001</v>
      </c>
      <c r="H757" s="518">
        <v>0.40379999999999999</v>
      </c>
      <c r="J757" s="286">
        <f t="shared" si="1"/>
        <v>89181.171633564038</v>
      </c>
      <c r="K757" s="286">
        <f t="shared" si="5"/>
        <v>131673.63677050738</v>
      </c>
      <c r="L757" s="286">
        <f t="shared" si="2"/>
        <v>220854.80840407143</v>
      </c>
      <c r="O757" s="327">
        <f>[17]download!$Q$967</f>
        <v>0.36913516227610749</v>
      </c>
      <c r="Q757" s="286">
        <f t="shared" si="3"/>
        <v>81525.275539695533</v>
      </c>
      <c r="R757" s="286">
        <f t="shared" si="6"/>
        <v>139329.53286437591</v>
      </c>
      <c r="S757" s="286">
        <f t="shared" si="4"/>
        <v>220854.80840407143</v>
      </c>
    </row>
    <row r="758" spans="1:19" x14ac:dyDescent="0.2">
      <c r="A758" s="163"/>
      <c r="B758" s="627" t="s">
        <v>360</v>
      </c>
      <c r="C758" s="75">
        <f>'ER PROFEE'!C32</f>
        <v>668477.0063299404</v>
      </c>
      <c r="D758" s="14">
        <f>'[15]PROFEE 092'!$N$16</f>
        <v>0.84665079904794283</v>
      </c>
      <c r="F758" s="327"/>
      <c r="G758" s="517">
        <v>0.81279999999999997</v>
      </c>
      <c r="H758" s="518">
        <v>0.70530000000000004</v>
      </c>
      <c r="J758" s="286">
        <f t="shared" si="1"/>
        <v>471476.83256450697</v>
      </c>
      <c r="K758" s="286">
        <f t="shared" si="5"/>
        <v>197000.17376543343</v>
      </c>
      <c r="L758" s="286">
        <f t="shared" si="2"/>
        <v>668477.0063299404</v>
      </c>
      <c r="O758" s="327">
        <f>[17]download!$Q$968</f>
        <v>0.38293899863187963</v>
      </c>
      <c r="Q758" s="286">
        <f t="shared" si="3"/>
        <v>255985.91541242404</v>
      </c>
      <c r="R758" s="286">
        <f t="shared" si="6"/>
        <v>412491.09091751638</v>
      </c>
      <c r="S758" s="286">
        <f t="shared" si="4"/>
        <v>668477.0063299404</v>
      </c>
    </row>
    <row r="759" spans="1:19" x14ac:dyDescent="0.2">
      <c r="A759" s="163"/>
      <c r="B759" s="627" t="s">
        <v>362</v>
      </c>
      <c r="C759" s="75">
        <f>'ER PROFEE'!C33</f>
        <v>289849.10392164392</v>
      </c>
      <c r="D759" s="14">
        <f>'[15]PROFEE 092'!$N$17</f>
        <v>53.620877252635161</v>
      </c>
      <c r="H759" s="286"/>
      <c r="I759">
        <v>1</v>
      </c>
      <c r="J759" s="286">
        <f>$C759*I759</f>
        <v>289849.10392164392</v>
      </c>
      <c r="K759" s="286">
        <f t="shared" si="5"/>
        <v>0</v>
      </c>
      <c r="L759" s="286">
        <f t="shared" si="2"/>
        <v>289849.10392164392</v>
      </c>
      <c r="O759" s="286"/>
      <c r="P759">
        <v>1</v>
      </c>
      <c r="Q759" s="286">
        <f>$C759*P759</f>
        <v>289849.10392164392</v>
      </c>
      <c r="R759" s="286">
        <f t="shared" si="6"/>
        <v>0</v>
      </c>
      <c r="S759" s="286">
        <f t="shared" si="4"/>
        <v>289849.10392164392</v>
      </c>
    </row>
    <row r="760" spans="1:19" x14ac:dyDescent="0.2">
      <c r="A760" s="90">
        <v>31200.092000000001</v>
      </c>
      <c r="B760" s="628" t="s">
        <v>590</v>
      </c>
      <c r="C760" s="293">
        <f>SUM(C753:C759)</f>
        <v>1947300.9079162665</v>
      </c>
      <c r="D760" s="290"/>
      <c r="H760" s="286"/>
      <c r="J760" s="286">
        <f>SUM(J753:J759)</f>
        <v>1334362.8157368302</v>
      </c>
      <c r="K760" s="286">
        <f>SUM(K753:K759)</f>
        <v>612938.092179436</v>
      </c>
      <c r="L760" s="323">
        <f t="shared" si="2"/>
        <v>1947300.9079162662</v>
      </c>
      <c r="O760" s="286"/>
      <c r="Q760" s="286">
        <f>SUM(Q753:Q759)</f>
        <v>1190346.6945875378</v>
      </c>
      <c r="R760" s="286">
        <f>SUM(R753:R759)</f>
        <v>756954.21332872869</v>
      </c>
      <c r="S760" s="323">
        <f t="shared" si="4"/>
        <v>1947300.9079162665</v>
      </c>
    </row>
    <row r="761" spans="1:19" x14ac:dyDescent="0.2">
      <c r="C761" s="286"/>
    </row>
    <row r="762" spans="1:19" x14ac:dyDescent="0.2">
      <c r="A762" s="21"/>
      <c r="B762" s="188" t="s">
        <v>37</v>
      </c>
      <c r="C762" s="316">
        <f>SUM(C7:C760)/2</f>
        <v>32560189.873980545</v>
      </c>
      <c r="D762" s="286"/>
      <c r="F762" s="286"/>
    </row>
    <row r="763" spans="1:19" x14ac:dyDescent="0.2">
      <c r="A763" s="21"/>
      <c r="B763" s="188"/>
      <c r="C763" s="697"/>
      <c r="D763" s="286"/>
      <c r="F763" s="286"/>
    </row>
    <row r="764" spans="1:19" x14ac:dyDescent="0.2">
      <c r="A764" s="695">
        <f>C764/C$771</f>
        <v>0.58379837108078136</v>
      </c>
      <c r="B764" s="29" t="s">
        <v>352</v>
      </c>
      <c r="C764" s="632">
        <f t="shared" ref="C764:C770" si="7">C8+C28+C38+C67+C95+C121+C147+C173+C199+C225+C251+C277+C303+C321+C347+C373+C399+C425+C451+C477+C503+C529+C555+C581+C607+C633+C659+C685+C711+C737+C48</f>
        <v>2891115.4735636874</v>
      </c>
    </row>
    <row r="765" spans="1:19" x14ac:dyDescent="0.2">
      <c r="A765" s="695">
        <f t="shared" ref="A765:A770" si="8">C765/C$771</f>
        <v>4.9506133214560332E-3</v>
      </c>
      <c r="B765" s="29" t="s">
        <v>353</v>
      </c>
      <c r="C765" s="632">
        <f t="shared" si="7"/>
        <v>24516.674739593556</v>
      </c>
    </row>
    <row r="766" spans="1:19" x14ac:dyDescent="0.2">
      <c r="A766" s="695">
        <f t="shared" si="8"/>
        <v>6.280890475765763E-2</v>
      </c>
      <c r="B766" s="29" t="s">
        <v>355</v>
      </c>
      <c r="C766" s="632">
        <f t="shared" si="7"/>
        <v>311045.39755100687</v>
      </c>
    </row>
    <row r="767" spans="1:19" x14ac:dyDescent="0.2">
      <c r="A767" s="695">
        <f t="shared" si="8"/>
        <v>0</v>
      </c>
      <c r="B767" s="29" t="s">
        <v>370</v>
      </c>
      <c r="C767" s="632">
        <f t="shared" si="7"/>
        <v>0</v>
      </c>
    </row>
    <row r="768" spans="1:19" x14ac:dyDescent="0.2">
      <c r="A768" s="695">
        <f t="shared" si="8"/>
        <v>8.1765366749117691E-2</v>
      </c>
      <c r="B768" s="29" t="s">
        <v>356</v>
      </c>
      <c r="C768" s="632">
        <f t="shared" si="7"/>
        <v>404922.53613580868</v>
      </c>
    </row>
    <row r="769" spans="1:9" x14ac:dyDescent="0.2">
      <c r="A769" s="695">
        <f t="shared" si="8"/>
        <v>0.22639207758028762</v>
      </c>
      <c r="B769" s="29" t="s">
        <v>354</v>
      </c>
      <c r="C769" s="632">
        <f t="shared" si="7"/>
        <v>1121150.1624659933</v>
      </c>
    </row>
    <row r="770" spans="1:9" x14ac:dyDescent="0.2">
      <c r="A770" s="695">
        <f t="shared" si="8"/>
        <v>4.0284666510699632E-2</v>
      </c>
      <c r="B770" s="29" t="s">
        <v>357</v>
      </c>
      <c r="C770" s="632">
        <f t="shared" si="7"/>
        <v>199499.739063713</v>
      </c>
    </row>
    <row r="771" spans="1:9" x14ac:dyDescent="0.2">
      <c r="A771" s="132" t="s">
        <v>900</v>
      </c>
      <c r="B771" s="161" t="s">
        <v>888</v>
      </c>
      <c r="C771" s="633">
        <f>SUM(C764:C770)</f>
        <v>4952249.9835198028</v>
      </c>
    </row>
    <row r="772" spans="1:9" x14ac:dyDescent="0.2">
      <c r="A772" s="132"/>
      <c r="B772" s="161"/>
      <c r="C772" s="685"/>
    </row>
    <row r="773" spans="1:9" x14ac:dyDescent="0.2">
      <c r="A773" s="16"/>
      <c r="B773" s="29" t="s">
        <v>424</v>
      </c>
      <c r="C773" s="286">
        <f t="shared" ref="C773:C779" si="9">C18+C76+C103+C129+C155+C181+C207+C233+C259+C285+C329+C355+C381+C407+C433+C459+C485+C511+C537+C563+C589+C615+C641+C667+C693+C719+C745</f>
        <v>3074512.1156520713</v>
      </c>
    </row>
    <row r="774" spans="1:9" x14ac:dyDescent="0.2">
      <c r="A774" s="16"/>
      <c r="B774" s="29" t="s">
        <v>425</v>
      </c>
      <c r="C774" s="286">
        <f t="shared" si="9"/>
        <v>0</v>
      </c>
    </row>
    <row r="775" spans="1:9" x14ac:dyDescent="0.2">
      <c r="A775" s="16"/>
      <c r="B775" s="29" t="s">
        <v>426</v>
      </c>
      <c r="C775" s="286">
        <f t="shared" si="9"/>
        <v>84.719210413388637</v>
      </c>
    </row>
    <row r="776" spans="1:9" x14ac:dyDescent="0.2">
      <c r="A776" s="16"/>
      <c r="B776" s="29" t="s">
        <v>427</v>
      </c>
      <c r="C776" s="286">
        <f t="shared" si="9"/>
        <v>0</v>
      </c>
    </row>
    <row r="777" spans="1:9" x14ac:dyDescent="0.2">
      <c r="A777" s="16"/>
      <c r="B777" s="29" t="s">
        <v>428</v>
      </c>
      <c r="C777" s="286">
        <f t="shared" si="9"/>
        <v>15.688742669146043</v>
      </c>
    </row>
    <row r="778" spans="1:9" x14ac:dyDescent="0.2">
      <c r="A778" s="16"/>
      <c r="B778" s="29" t="s">
        <v>429</v>
      </c>
      <c r="C778" s="286">
        <f t="shared" si="9"/>
        <v>171.00729509369188</v>
      </c>
      <c r="I778" s="286">
        <f>+SUM(D782:D787)</f>
        <v>30022360.92243652</v>
      </c>
    </row>
    <row r="779" spans="1:9" x14ac:dyDescent="0.2">
      <c r="A779" s="16"/>
      <c r="B779" s="29" t="s">
        <v>430</v>
      </c>
      <c r="C779" s="286">
        <f t="shared" si="9"/>
        <v>94.132456014876269</v>
      </c>
    </row>
    <row r="780" spans="1:9" x14ac:dyDescent="0.2">
      <c r="A780" s="132" t="s">
        <v>900</v>
      </c>
      <c r="B780" s="161" t="s">
        <v>889</v>
      </c>
      <c r="C780" s="323">
        <f>SUM(C773:C779)</f>
        <v>3074877.6633562623</v>
      </c>
    </row>
    <row r="781" spans="1:9" x14ac:dyDescent="0.2">
      <c r="A781" s="132"/>
      <c r="B781" s="161"/>
      <c r="C781" s="323"/>
    </row>
    <row r="782" spans="1:9" x14ac:dyDescent="0.2">
      <c r="A782" s="696">
        <f>C782/C$789</f>
        <v>0.38407202231275772</v>
      </c>
      <c r="B782" s="29" t="s">
        <v>358</v>
      </c>
      <c r="C782" s="286">
        <f t="shared" ref="C782:C788" si="10">C57+C85+C111+C137+C163+C189+C215+C241+C267+C293+C311+C337+C363+C389+C415+C441+C467+C493+C519+C545+C571+C597+C623+C649+C675+C701+C727+C753</f>
        <v>9422462.8230887409</v>
      </c>
      <c r="D782" s="286">
        <f t="shared" ref="D782:D788" si="11">C764+C773+C782</f>
        <v>15388090.4123045</v>
      </c>
      <c r="E782" s="327">
        <f>D782/D$791</f>
        <v>0.47260444339734692</v>
      </c>
      <c r="F782" s="327">
        <f>D782/D791</f>
        <v>0.47260444339734692</v>
      </c>
      <c r="G782" s="286">
        <f>C823+C832+C841</f>
        <v>9033347.6123616807</v>
      </c>
      <c r="H782" s="327">
        <f>G782/G789</f>
        <v>0.55230413883348206</v>
      </c>
      <c r="I782" s="327">
        <f>(D782/I778)*54.3%</f>
        <v>0.27831698897593621</v>
      </c>
    </row>
    <row r="783" spans="1:9" x14ac:dyDescent="0.2">
      <c r="A783" s="696">
        <f t="shared" ref="A783:A788" si="12">C783/C$789</f>
        <v>2.6467076387536936E-2</v>
      </c>
      <c r="B783" s="29" t="s">
        <v>359</v>
      </c>
      <c r="C783" s="286">
        <f t="shared" si="10"/>
        <v>649318.43198497093</v>
      </c>
      <c r="D783" s="286">
        <f t="shared" si="11"/>
        <v>673835.10672456445</v>
      </c>
      <c r="E783" s="327">
        <f t="shared" ref="E783:E788" si="13">D783/D$791</f>
        <v>2.0695060726996527E-2</v>
      </c>
      <c r="F783" s="327">
        <f>D783/D791</f>
        <v>2.0695060726996527E-2</v>
      </c>
      <c r="H783" s="327"/>
      <c r="I783" s="327">
        <f>(D783/I778)*54.3%</f>
        <v>1.218733143261885E-2</v>
      </c>
    </row>
    <row r="784" spans="1:9" x14ac:dyDescent="0.2">
      <c r="A784" s="696">
        <f t="shared" si="12"/>
        <v>0.13187228590583205</v>
      </c>
      <c r="B784" s="29" t="s">
        <v>372</v>
      </c>
      <c r="C784" s="286">
        <f t="shared" si="10"/>
        <v>3235230.9961582893</v>
      </c>
      <c r="D784" s="286">
        <f t="shared" si="11"/>
        <v>3546361.1129197096</v>
      </c>
      <c r="E784" s="327">
        <f t="shared" si="13"/>
        <v>0.10891708944712496</v>
      </c>
      <c r="F784" s="327">
        <f>D784/D791</f>
        <v>0.10891708944712496</v>
      </c>
      <c r="H784" s="327"/>
      <c r="I784" s="327">
        <f>(D784/I778)*54.3%</f>
        <v>6.4141327502204998E-2</v>
      </c>
    </row>
    <row r="785" spans="1:15" x14ac:dyDescent="0.2">
      <c r="A785" s="696">
        <f t="shared" si="12"/>
        <v>0</v>
      </c>
      <c r="B785" s="29" t="s">
        <v>373</v>
      </c>
      <c r="C785" s="286">
        <f t="shared" si="10"/>
        <v>0</v>
      </c>
      <c r="D785" s="286">
        <f t="shared" si="11"/>
        <v>0</v>
      </c>
      <c r="E785" s="327">
        <f t="shared" si="13"/>
        <v>0</v>
      </c>
      <c r="F785" s="327"/>
      <c r="H785" s="327"/>
      <c r="I785" s="327"/>
    </row>
    <row r="786" spans="1:15" x14ac:dyDescent="0.2">
      <c r="A786" s="696">
        <f t="shared" si="12"/>
        <v>9.5526445458178788E-2</v>
      </c>
      <c r="B786" s="29" t="s">
        <v>361</v>
      </c>
      <c r="C786" s="286">
        <f t="shared" si="10"/>
        <v>2343556.2307596011</v>
      </c>
      <c r="D786" s="286">
        <f t="shared" si="11"/>
        <v>2748494.455638079</v>
      </c>
      <c r="E786" s="327">
        <f t="shared" si="13"/>
        <v>8.4412728128297976E-2</v>
      </c>
      <c r="F786" s="327">
        <f>D786/D791</f>
        <v>8.4412728128297976E-2</v>
      </c>
      <c r="H786" s="327"/>
      <c r="I786" s="327">
        <f>(D786/I778)*54.3%</f>
        <v>4.9710697078994268E-2</v>
      </c>
    </row>
    <row r="787" spans="1:15" x14ac:dyDescent="0.2">
      <c r="A787" s="696">
        <f t="shared" si="12"/>
        <v>0.26675262160540225</v>
      </c>
      <c r="B787" s="29" t="s">
        <v>360</v>
      </c>
      <c r="C787" s="286">
        <f t="shared" si="10"/>
        <v>6544258.6650885846</v>
      </c>
      <c r="D787" s="286">
        <f t="shared" si="11"/>
        <v>7665579.8348496715</v>
      </c>
      <c r="E787" s="327">
        <f t="shared" si="13"/>
        <v>0.23542798320643035</v>
      </c>
      <c r="F787" s="327">
        <f>D787/D791</f>
        <v>0.23542798320643035</v>
      </c>
      <c r="H787" s="327"/>
      <c r="I787" s="327">
        <f>(D787/I778)*54.3%</f>
        <v>0.1386436550102457</v>
      </c>
    </row>
    <row r="788" spans="1:15" x14ac:dyDescent="0.2">
      <c r="A788" s="696">
        <f t="shared" si="12"/>
        <v>9.5309548330292371E-2</v>
      </c>
      <c r="B788" s="29" t="s">
        <v>362</v>
      </c>
      <c r="C788" s="286">
        <f t="shared" si="10"/>
        <v>2338235.0800242834</v>
      </c>
      <c r="D788" s="286">
        <f t="shared" si="11"/>
        <v>2537828.951544011</v>
      </c>
      <c r="E788" s="327">
        <f t="shared" si="13"/>
        <v>7.7942695093803444E-2</v>
      </c>
      <c r="F788" s="327">
        <f>D788/D791</f>
        <v>7.7942695093803444E-2</v>
      </c>
      <c r="H788" s="327"/>
      <c r="I788" s="327"/>
    </row>
    <row r="789" spans="1:15" x14ac:dyDescent="0.2">
      <c r="A789" s="132" t="s">
        <v>900</v>
      </c>
      <c r="B789" s="161" t="s">
        <v>890</v>
      </c>
      <c r="C789" s="323">
        <f>SUM(C782:C788)</f>
        <v>24533062.227104466</v>
      </c>
      <c r="F789" s="327">
        <f>SUM(F782:F788)</f>
        <v>1</v>
      </c>
      <c r="G789" s="286">
        <v>16355748.539999999</v>
      </c>
      <c r="H789" s="327"/>
      <c r="I789" s="327">
        <f>SUM(I782:I788)</f>
        <v>0.54300000000000004</v>
      </c>
    </row>
    <row r="790" spans="1:15" x14ac:dyDescent="0.2">
      <c r="I790" t="s">
        <v>950</v>
      </c>
    </row>
    <row r="791" spans="1:15" x14ac:dyDescent="0.2">
      <c r="A791" s="21"/>
      <c r="B791" s="188" t="s">
        <v>37</v>
      </c>
      <c r="C791" s="323">
        <f>SUM(C764:C789)/2</f>
        <v>32560189.873980537</v>
      </c>
      <c r="D791" s="323">
        <f>SUM(D764:D789)</f>
        <v>32560189.87398053</v>
      </c>
      <c r="E791" s="694">
        <f>SUM(E782:E790)</f>
        <v>1</v>
      </c>
      <c r="F791" s="689"/>
      <c r="G791" s="689"/>
      <c r="H791" s="689"/>
    </row>
    <row r="792" spans="1:15" x14ac:dyDescent="0.2">
      <c r="A792" s="21"/>
      <c r="B792" s="188"/>
      <c r="C792" s="323"/>
      <c r="D792" s="323"/>
      <c r="E792" s="326">
        <v>2018</v>
      </c>
      <c r="F792" s="631" t="s">
        <v>1104</v>
      </c>
      <c r="G792" s="326"/>
      <c r="H792" s="631">
        <v>2017</v>
      </c>
    </row>
    <row r="793" spans="1:15" x14ac:dyDescent="0.2">
      <c r="A793" s="506"/>
      <c r="B793" s="507"/>
      <c r="C793" s="508">
        <f>C762-C791</f>
        <v>0</v>
      </c>
      <c r="D793" s="509"/>
      <c r="E793" s="509" t="s">
        <v>909</v>
      </c>
      <c r="F793" s="509" t="s">
        <v>907</v>
      </c>
      <c r="G793" s="509" t="s">
        <v>905</v>
      </c>
      <c r="H793" s="509" t="s">
        <v>904</v>
      </c>
      <c r="I793" s="509" t="s">
        <v>905</v>
      </c>
      <c r="J793" s="509" t="s">
        <v>906</v>
      </c>
      <c r="K793" s="509"/>
      <c r="L793" s="509" t="s">
        <v>917</v>
      </c>
      <c r="M793" s="509" t="s">
        <v>1012</v>
      </c>
      <c r="O793" s="509" t="s">
        <v>1116</v>
      </c>
    </row>
    <row r="794" spans="1:15" x14ac:dyDescent="0.2">
      <c r="A794" s="31" t="s">
        <v>895</v>
      </c>
      <c r="B794" s="29" t="s">
        <v>352</v>
      </c>
      <c r="C794" s="322">
        <f>L794</f>
        <v>1547844</v>
      </c>
      <c r="E794">
        <f>1273+5</f>
        <v>1278</v>
      </c>
      <c r="F794" s="359">
        <v>1155.76</v>
      </c>
      <c r="G794" s="634">
        <f>E794*F794</f>
        <v>1477061.28</v>
      </c>
      <c r="H794" s="630">
        <f>1-0.406</f>
        <v>0.59399999999999997</v>
      </c>
      <c r="I794" s="286">
        <f>C$764*H794</f>
        <v>1717322.5912968302</v>
      </c>
      <c r="J794" s="322">
        <f>G794-I794</f>
        <v>-240261.31129683019</v>
      </c>
      <c r="K794" s="693">
        <v>1201</v>
      </c>
      <c r="L794" s="514">
        <v>1547844</v>
      </c>
      <c r="O794">
        <v>1723743</v>
      </c>
    </row>
    <row r="795" spans="1:15" x14ac:dyDescent="0.2">
      <c r="A795" s="11" t="s">
        <v>894</v>
      </c>
      <c r="B795" s="29" t="s">
        <v>353</v>
      </c>
      <c r="C795" s="322">
        <f>'MO STATS'!AG125</f>
        <v>0</v>
      </c>
      <c r="E795">
        <v>47</v>
      </c>
      <c r="F795" s="359">
        <v>974.96</v>
      </c>
      <c r="G795" s="634">
        <f t="shared" ref="G795:G800" si="14">E795*F795</f>
        <v>45823.12</v>
      </c>
      <c r="H795" s="630">
        <f>1-(-0.46526)</f>
        <v>1.46526</v>
      </c>
      <c r="I795" s="286">
        <f>C$765*H795</f>
        <v>35923.302828936852</v>
      </c>
      <c r="J795" s="322">
        <f t="shared" ref="J795:J803" si="15">G795-I795</f>
        <v>9899.8171710631505</v>
      </c>
      <c r="L795" s="322"/>
    </row>
    <row r="796" spans="1:15" x14ac:dyDescent="0.2">
      <c r="A796" s="16"/>
      <c r="B796" s="29" t="s">
        <v>355</v>
      </c>
      <c r="C796" s="322">
        <f>'MO STATS'!AG128</f>
        <v>0</v>
      </c>
      <c r="D796" s="286"/>
      <c r="E796">
        <v>103</v>
      </c>
      <c r="F796" s="359"/>
      <c r="G796" s="634">
        <f t="shared" si="14"/>
        <v>0</v>
      </c>
      <c r="H796" s="630">
        <f>1-0.4055</f>
        <v>0.59450000000000003</v>
      </c>
      <c r="I796" s="286">
        <f>C$766*H796</f>
        <v>184916.48884407358</v>
      </c>
      <c r="J796" s="322">
        <f t="shared" si="15"/>
        <v>-184916.48884407358</v>
      </c>
      <c r="L796" s="322"/>
    </row>
    <row r="797" spans="1:15" x14ac:dyDescent="0.2">
      <c r="A797" s="16"/>
      <c r="B797" s="29" t="s">
        <v>370</v>
      </c>
      <c r="C797" s="322"/>
      <c r="E797">
        <v>0</v>
      </c>
      <c r="F797" s="359"/>
      <c r="G797" s="634">
        <f t="shared" si="14"/>
        <v>0</v>
      </c>
      <c r="H797" s="630"/>
      <c r="I797" s="286">
        <f>C$767*H797</f>
        <v>0</v>
      </c>
      <c r="J797" s="322">
        <f t="shared" si="15"/>
        <v>0</v>
      </c>
      <c r="L797" s="322"/>
    </row>
    <row r="798" spans="1:15" x14ac:dyDescent="0.2">
      <c r="A798" s="16"/>
      <c r="B798" s="29" t="s">
        <v>356</v>
      </c>
      <c r="C798" s="322">
        <f>0-C797</f>
        <v>0</v>
      </c>
      <c r="E798">
        <v>111</v>
      </c>
      <c r="F798" s="359"/>
      <c r="G798" s="634">
        <f t="shared" si="14"/>
        <v>0</v>
      </c>
      <c r="H798" s="630">
        <f>1-0.772</f>
        <v>0.22799999999999998</v>
      </c>
      <c r="I798" s="286">
        <f>C$768*H798</f>
        <v>92322.338238964367</v>
      </c>
      <c r="J798" s="322">
        <f t="shared" si="15"/>
        <v>-92322.338238964367</v>
      </c>
      <c r="L798" s="322"/>
    </row>
    <row r="799" spans="1:15" x14ac:dyDescent="0.2">
      <c r="A799" s="16"/>
      <c r="B799" s="29" t="s">
        <v>354</v>
      </c>
      <c r="C799" s="322">
        <f>'MO STATS'!AG126+'MO STATS'!AG127</f>
        <v>0</v>
      </c>
      <c r="E799">
        <f>137+365-1</f>
        <v>501</v>
      </c>
      <c r="F799" s="359"/>
      <c r="G799" s="634">
        <f t="shared" si="14"/>
        <v>0</v>
      </c>
      <c r="H799" s="630">
        <f>1-0.7657</f>
        <v>0.23429999999999995</v>
      </c>
      <c r="I799" s="286">
        <f>C$769*H799</f>
        <v>262685.48306578217</v>
      </c>
      <c r="J799" s="322">
        <f t="shared" si="15"/>
        <v>-262685.48306578217</v>
      </c>
      <c r="L799" s="322"/>
    </row>
    <row r="800" spans="1:15" x14ac:dyDescent="0.2">
      <c r="A800" s="16"/>
      <c r="B800" s="29" t="s">
        <v>357</v>
      </c>
      <c r="C800">
        <v>0</v>
      </c>
      <c r="E800" s="629">
        <v>87</v>
      </c>
      <c r="F800" s="359"/>
      <c r="G800" s="634">
        <f t="shared" si="14"/>
        <v>0</v>
      </c>
      <c r="H800" s="630"/>
      <c r="I800" s="286">
        <f>C$770*H800</f>
        <v>0</v>
      </c>
      <c r="J800" s="322">
        <f t="shared" si="15"/>
        <v>0</v>
      </c>
      <c r="L800" s="322"/>
    </row>
    <row r="801" spans="1:15" x14ac:dyDescent="0.2">
      <c r="A801" s="132" t="s">
        <v>537</v>
      </c>
      <c r="B801" s="161" t="s">
        <v>888</v>
      </c>
      <c r="C801" s="323">
        <f>SUM(C794:C800)</f>
        <v>1547844</v>
      </c>
      <c r="E801" s="332">
        <f>SUM(E794:E800)</f>
        <v>2127</v>
      </c>
      <c r="F801" s="472"/>
      <c r="G801" s="367"/>
      <c r="H801" s="472"/>
      <c r="J801" s="322">
        <f t="shared" si="15"/>
        <v>0</v>
      </c>
      <c r="L801" s="322"/>
    </row>
    <row r="802" spans="1:15" s="475" customFormat="1" x14ac:dyDescent="0.2">
      <c r="A802" s="132"/>
      <c r="B802" s="686"/>
      <c r="C802" s="685"/>
      <c r="E802" s="687"/>
      <c r="J802" s="688"/>
      <c r="L802" s="688"/>
    </row>
    <row r="803" spans="1:15" x14ac:dyDescent="0.2">
      <c r="A803" s="31" t="s">
        <v>896</v>
      </c>
      <c r="B803" s="29" t="s">
        <v>424</v>
      </c>
      <c r="C803" s="322">
        <f>L803</f>
        <v>2001143</v>
      </c>
      <c r="E803">
        <v>2150</v>
      </c>
      <c r="F803" s="359">
        <v>959.85</v>
      </c>
      <c r="G803" s="634">
        <f>E803*F803</f>
        <v>2063677.5</v>
      </c>
      <c r="H803" s="630">
        <f>1-0.2711</f>
        <v>0.72889999999999999</v>
      </c>
      <c r="I803" s="286">
        <f>C773*H803</f>
        <v>2241011.8810987948</v>
      </c>
      <c r="J803" s="322">
        <f t="shared" si="15"/>
        <v>-177334.38109879475</v>
      </c>
      <c r="K803" s="693">
        <v>953</v>
      </c>
      <c r="L803" s="514">
        <v>2001143</v>
      </c>
      <c r="O803">
        <v>3124468</v>
      </c>
    </row>
    <row r="804" spans="1:15" x14ac:dyDescent="0.2">
      <c r="A804" s="16"/>
      <c r="B804" s="29" t="s">
        <v>425</v>
      </c>
      <c r="C804">
        <v>0</v>
      </c>
      <c r="L804" s="322"/>
    </row>
    <row r="805" spans="1:15" x14ac:dyDescent="0.2">
      <c r="A805" s="16"/>
      <c r="B805" s="29" t="s">
        <v>426</v>
      </c>
      <c r="C805">
        <v>0</v>
      </c>
      <c r="L805" s="322"/>
    </row>
    <row r="806" spans="1:15" x14ac:dyDescent="0.2">
      <c r="A806" s="16"/>
      <c r="B806" s="29" t="s">
        <v>427</v>
      </c>
      <c r="C806">
        <v>0</v>
      </c>
      <c r="L806" s="322"/>
    </row>
    <row r="807" spans="1:15" x14ac:dyDescent="0.2">
      <c r="A807" s="16"/>
      <c r="B807" s="29" t="s">
        <v>428</v>
      </c>
      <c r="C807">
        <v>0</v>
      </c>
      <c r="L807" s="322"/>
    </row>
    <row r="808" spans="1:15" x14ac:dyDescent="0.2">
      <c r="A808" s="16"/>
      <c r="B808" s="29" t="s">
        <v>429</v>
      </c>
      <c r="C808">
        <v>0</v>
      </c>
      <c r="L808" s="322"/>
    </row>
    <row r="809" spans="1:15" x14ac:dyDescent="0.2">
      <c r="A809" s="16"/>
      <c r="B809" s="29" t="s">
        <v>430</v>
      </c>
      <c r="C809">
        <v>0</v>
      </c>
      <c r="L809" s="322"/>
    </row>
    <row r="810" spans="1:15" x14ac:dyDescent="0.2">
      <c r="A810" s="132" t="s">
        <v>537</v>
      </c>
      <c r="B810" s="161" t="s">
        <v>889</v>
      </c>
      <c r="C810" s="325">
        <f>SUM(C803:C809)</f>
        <v>2001143</v>
      </c>
      <c r="E810" s="332">
        <f>SUM(E803:E809)</f>
        <v>2150</v>
      </c>
      <c r="L810" s="322"/>
    </row>
    <row r="811" spans="1:15" x14ac:dyDescent="0.2">
      <c r="A811" s="132"/>
      <c r="B811" s="161"/>
      <c r="C811" s="325"/>
      <c r="E811" s="332"/>
      <c r="I811" t="s">
        <v>1114</v>
      </c>
      <c r="J811" t="s">
        <v>1113</v>
      </c>
      <c r="L811" s="322"/>
    </row>
    <row r="812" spans="1:15" x14ac:dyDescent="0.2">
      <c r="A812" s="31" t="s">
        <v>897</v>
      </c>
      <c r="B812" s="29" t="s">
        <v>358</v>
      </c>
      <c r="C812" s="322">
        <f>L812</f>
        <v>3129573</v>
      </c>
      <c r="H812" s="681">
        <f>1-0.6775</f>
        <v>0.32250000000000001</v>
      </c>
      <c r="I812" s="286">
        <f>C782*H812</f>
        <v>3038744.2604461191</v>
      </c>
      <c r="L812" s="514">
        <v>3129573</v>
      </c>
      <c r="M812" s="368"/>
      <c r="O812">
        <v>3124468</v>
      </c>
    </row>
    <row r="813" spans="1:15" x14ac:dyDescent="0.2">
      <c r="A813" s="16"/>
      <c r="B813" s="29" t="s">
        <v>359</v>
      </c>
      <c r="H813" s="472">
        <f>1-0.6802</f>
        <v>0.31979999999999997</v>
      </c>
      <c r="I813" s="286">
        <f>C783*H813</f>
        <v>207652.03454879369</v>
      </c>
      <c r="L813" s="322"/>
    </row>
    <row r="814" spans="1:15" x14ac:dyDescent="0.2">
      <c r="A814" s="16"/>
      <c r="B814" s="29" t="s">
        <v>372</v>
      </c>
      <c r="H814" s="472">
        <f>1-0.4316</f>
        <v>0.56840000000000002</v>
      </c>
      <c r="I814" s="286">
        <f>C784*H814</f>
        <v>1838905.2982163716</v>
      </c>
    </row>
    <row r="815" spans="1:15" x14ac:dyDescent="0.2">
      <c r="A815" s="16"/>
      <c r="B815" s="29" t="s">
        <v>373</v>
      </c>
      <c r="H815" s="472"/>
    </row>
    <row r="816" spans="1:15" x14ac:dyDescent="0.2">
      <c r="A816" s="163"/>
      <c r="B816" s="29" t="s">
        <v>361</v>
      </c>
      <c r="H816" s="472">
        <f>1-0.653</f>
        <v>0.34699999999999998</v>
      </c>
      <c r="I816" s="286">
        <f>C786*H816</f>
        <v>813214.01207358157</v>
      </c>
    </row>
    <row r="817" spans="1:15" x14ac:dyDescent="0.2">
      <c r="A817" s="163"/>
      <c r="B817" s="29" t="s">
        <v>360</v>
      </c>
      <c r="H817" s="472">
        <f>1-0.6878</f>
        <v>0.31220000000000003</v>
      </c>
      <c r="I817" s="286">
        <f>C787*H817</f>
        <v>2043117.5552406562</v>
      </c>
    </row>
    <row r="818" spans="1:15" x14ac:dyDescent="0.2">
      <c r="A818" s="163"/>
      <c r="B818" s="29" t="s">
        <v>362</v>
      </c>
    </row>
    <row r="819" spans="1:15" x14ac:dyDescent="0.2">
      <c r="A819" s="90"/>
      <c r="B819" s="161" t="s">
        <v>890</v>
      </c>
      <c r="C819" s="325">
        <f>SUM(C812:C818)</f>
        <v>3129573</v>
      </c>
      <c r="I819" s="325">
        <f>SUM(I812:I818)</f>
        <v>7941633.1605255222</v>
      </c>
    </row>
    <row r="821" spans="1:15" x14ac:dyDescent="0.2">
      <c r="A821" s="21"/>
      <c r="B821" s="188" t="s">
        <v>37</v>
      </c>
      <c r="E821">
        <f>E801+E810</f>
        <v>4277</v>
      </c>
      <c r="H821" s="283" t="s">
        <v>1053</v>
      </c>
      <c r="J821" s="509" t="s">
        <v>906</v>
      </c>
      <c r="O821" s="283"/>
    </row>
    <row r="822" spans="1:15" x14ac:dyDescent="0.2">
      <c r="A822" s="21"/>
      <c r="B822" s="188"/>
      <c r="G822" t="s">
        <v>908</v>
      </c>
      <c r="I822" t="s">
        <v>1058</v>
      </c>
      <c r="L822" t="s">
        <v>1011</v>
      </c>
    </row>
    <row r="823" spans="1:15" x14ac:dyDescent="0.2">
      <c r="A823" s="335" t="s">
        <v>895</v>
      </c>
      <c r="B823" s="336" t="s">
        <v>352</v>
      </c>
      <c r="C823" s="360">
        <f>L823</f>
        <v>1343271.4735636874</v>
      </c>
      <c r="F823" s="327">
        <f>G823/C764</f>
        <v>0.48910332585943933</v>
      </c>
      <c r="G823" s="632">
        <f>$C764-$G794</f>
        <v>1414054.1935636874</v>
      </c>
      <c r="H823" s="327">
        <f>1-H794</f>
        <v>0.40600000000000003</v>
      </c>
      <c r="I823" s="286">
        <f>C$764*H823</f>
        <v>1173792.8822668572</v>
      </c>
      <c r="J823" s="322">
        <f>G823-I823</f>
        <v>240261.31129683019</v>
      </c>
      <c r="L823" s="515">
        <f>C764-L794</f>
        <v>1343271.4735636874</v>
      </c>
      <c r="M823" s="286"/>
      <c r="O823" s="327"/>
    </row>
    <row r="824" spans="1:15" x14ac:dyDescent="0.2">
      <c r="A824" s="338" t="s">
        <v>898</v>
      </c>
      <c r="B824" s="336" t="s">
        <v>353</v>
      </c>
      <c r="C824" s="360">
        <f>M824</f>
        <v>-21306.445260406446</v>
      </c>
      <c r="F824" s="327">
        <f>G824/C765</f>
        <v>-0.86905934376154592</v>
      </c>
      <c r="G824" s="632">
        <f>$C765-$G795</f>
        <v>-21306.445260406446</v>
      </c>
      <c r="H824" s="327">
        <f>1-H795</f>
        <v>-0.46526000000000001</v>
      </c>
      <c r="I824" s="365">
        <f>(C$765*H824)</f>
        <v>-11406.628089343298</v>
      </c>
      <c r="J824" s="359">
        <f t="shared" ref="J824:J829" si="16">G824-I824</f>
        <v>-9899.8171710631486</v>
      </c>
      <c r="L824" s="360"/>
      <c r="M824" s="360">
        <f>G824</f>
        <v>-21306.445260406446</v>
      </c>
      <c r="N824" s="368"/>
      <c r="O824" s="327"/>
    </row>
    <row r="825" spans="1:15" x14ac:dyDescent="0.2">
      <c r="A825" s="338" t="s">
        <v>899</v>
      </c>
      <c r="B825" s="336" t="s">
        <v>355</v>
      </c>
      <c r="C825" s="361">
        <f>I825</f>
        <v>126128.90870693327</v>
      </c>
      <c r="E825" t="s">
        <v>1112</v>
      </c>
      <c r="F825">
        <f>G825/C766</f>
        <v>1</v>
      </c>
      <c r="G825" s="632">
        <f>$C766-$G796</f>
        <v>311045.39755100687</v>
      </c>
      <c r="H825" s="327">
        <f>1-H796</f>
        <v>0.40549999999999997</v>
      </c>
      <c r="I825" s="337">
        <f>$C$766*H825</f>
        <v>126128.90870693327</v>
      </c>
      <c r="J825" s="322">
        <f t="shared" si="16"/>
        <v>184916.48884407361</v>
      </c>
      <c r="N825" s="327">
        <v>0.39550000000000002</v>
      </c>
      <c r="O825" s="365">
        <f>$C$766*N825</f>
        <v>123018.45473142322</v>
      </c>
    </row>
    <row r="826" spans="1:15" x14ac:dyDescent="0.2">
      <c r="A826" s="339"/>
      <c r="B826" s="336" t="s">
        <v>370</v>
      </c>
      <c r="C826" s="361">
        <f t="shared" ref="C826" si="17">I826</f>
        <v>0</v>
      </c>
      <c r="G826" s="632">
        <f>C767-G797</f>
        <v>0</v>
      </c>
      <c r="H826" s="327"/>
      <c r="I826" s="365">
        <f>C$767*H826</f>
        <v>0</v>
      </c>
      <c r="J826" s="322">
        <f t="shared" si="16"/>
        <v>0</v>
      </c>
      <c r="O826" s="698"/>
    </row>
    <row r="827" spans="1:15" x14ac:dyDescent="0.2">
      <c r="A827" s="339"/>
      <c r="B827" s="336" t="s">
        <v>356</v>
      </c>
      <c r="C827" s="361">
        <f>I827</f>
        <v>312600.1978968443</v>
      </c>
      <c r="E827" t="s">
        <v>1112</v>
      </c>
      <c r="F827">
        <f>G827/C768</f>
        <v>1</v>
      </c>
      <c r="G827" s="632">
        <f>C768-G798</f>
        <v>404922.53613580868</v>
      </c>
      <c r="H827" s="327">
        <f>1-H798</f>
        <v>0.77200000000000002</v>
      </c>
      <c r="I827" s="337">
        <f>$C$768*H827</f>
        <v>312600.1978968443</v>
      </c>
      <c r="J827" s="322">
        <f t="shared" si="16"/>
        <v>92322.338238964381</v>
      </c>
      <c r="L827" s="286"/>
      <c r="M827" s="475"/>
      <c r="N827" s="327">
        <v>0.76200000000000001</v>
      </c>
      <c r="O827" s="365">
        <f>$C$768*N827</f>
        <v>308550.97253548622</v>
      </c>
    </row>
    <row r="828" spans="1:15" x14ac:dyDescent="0.2">
      <c r="A828" s="339"/>
      <c r="B828" s="336" t="s">
        <v>354</v>
      </c>
      <c r="C828" s="361">
        <f>I828</f>
        <v>858464.67940021108</v>
      </c>
      <c r="E828" t="s">
        <v>1112</v>
      </c>
      <c r="F828">
        <f>G828/C769</f>
        <v>1</v>
      </c>
      <c r="G828" s="632">
        <f>$C769-$G799</f>
        <v>1121150.1624659933</v>
      </c>
      <c r="H828" s="327">
        <f>1-H799</f>
        <v>0.76570000000000005</v>
      </c>
      <c r="I828" s="337">
        <f>$C$769*H828</f>
        <v>858464.67940021108</v>
      </c>
      <c r="J828" s="322">
        <f t="shared" si="16"/>
        <v>262685.48306578223</v>
      </c>
      <c r="N828" s="327">
        <v>0.75570000000000004</v>
      </c>
      <c r="O828" s="365">
        <f>$C$769*N828</f>
        <v>847253.17777555122</v>
      </c>
    </row>
    <row r="829" spans="1:15" x14ac:dyDescent="0.2">
      <c r="A829" s="339"/>
      <c r="B829" s="336" t="s">
        <v>357</v>
      </c>
      <c r="C829" s="340"/>
      <c r="G829" s="367"/>
      <c r="H829" s="327"/>
      <c r="I829" s="286">
        <f>C$770*H829</f>
        <v>0</v>
      </c>
      <c r="J829" s="322">
        <f t="shared" si="16"/>
        <v>0</v>
      </c>
      <c r="O829" s="327"/>
    </row>
    <row r="830" spans="1:15" x14ac:dyDescent="0.2">
      <c r="A830" s="338" t="s">
        <v>537</v>
      </c>
      <c r="B830" s="341" t="s">
        <v>888</v>
      </c>
      <c r="C830" s="342">
        <f>SUM(C823:C829)</f>
        <v>2619158.8143072696</v>
      </c>
      <c r="G830" s="634">
        <f>SUM(G823:G829)</f>
        <v>3229865.8444560897</v>
      </c>
      <c r="H830" s="327"/>
      <c r="I830" s="322">
        <f>SUM(I823:I829)</f>
        <v>2459580.0401815027</v>
      </c>
      <c r="J830" s="322">
        <f>SUM(J823:J829)</f>
        <v>770285.80427458719</v>
      </c>
      <c r="O830" s="327"/>
    </row>
    <row r="831" spans="1:15" x14ac:dyDescent="0.2">
      <c r="A831" s="338"/>
      <c r="B831" s="341"/>
      <c r="C831" s="342"/>
      <c r="G831" s="688"/>
      <c r="H831" s="327"/>
      <c r="I831" s="322"/>
      <c r="J831" s="322"/>
      <c r="O831" s="327"/>
    </row>
    <row r="832" spans="1:15" x14ac:dyDescent="0.2">
      <c r="A832" s="335" t="s">
        <v>896</v>
      </c>
      <c r="B832" s="336" t="s">
        <v>424</v>
      </c>
      <c r="C832" s="360">
        <f>L832</f>
        <v>1073734.6633562623</v>
      </c>
      <c r="F832" s="327">
        <f>G832/C780</f>
        <v>0.32885866498263427</v>
      </c>
      <c r="G832" s="286">
        <f>C780-G803</f>
        <v>1011200.1633562623</v>
      </c>
      <c r="H832" s="327">
        <f>1-H803</f>
        <v>0.27110000000000001</v>
      </c>
      <c r="I832" s="286">
        <f>$C773*H832</f>
        <v>833500.23455327656</v>
      </c>
      <c r="J832" s="322">
        <f>SUM(J824:J830)</f>
        <v>1300310.2972523442</v>
      </c>
      <c r="L832" s="515">
        <f>C780-L803</f>
        <v>1073734.6633562623</v>
      </c>
      <c r="O832" s="286">
        <f>(G832+L832)/2</f>
        <v>1042467.4133562623</v>
      </c>
    </row>
    <row r="833" spans="1:17" x14ac:dyDescent="0.2">
      <c r="A833" s="339"/>
      <c r="B833" s="336" t="s">
        <v>425</v>
      </c>
      <c r="C833" s="340"/>
      <c r="H833" s="327"/>
      <c r="O833" s="327"/>
    </row>
    <row r="834" spans="1:17" x14ac:dyDescent="0.2">
      <c r="A834" s="339"/>
      <c r="B834" s="336" t="s">
        <v>426</v>
      </c>
      <c r="C834" s="340"/>
      <c r="H834" s="327"/>
      <c r="O834" s="327"/>
    </row>
    <row r="835" spans="1:17" x14ac:dyDescent="0.2">
      <c r="A835" s="339"/>
      <c r="B835" s="336" t="s">
        <v>427</v>
      </c>
      <c r="C835" s="340"/>
      <c r="H835" s="327"/>
      <c r="O835" s="327"/>
    </row>
    <row r="836" spans="1:17" x14ac:dyDescent="0.2">
      <c r="A836" s="339"/>
      <c r="B836" s="336" t="s">
        <v>428</v>
      </c>
      <c r="C836" s="340"/>
      <c r="H836" s="327"/>
      <c r="O836" s="327"/>
    </row>
    <row r="837" spans="1:17" x14ac:dyDescent="0.2">
      <c r="A837" s="339"/>
      <c r="B837" s="336" t="s">
        <v>429</v>
      </c>
      <c r="C837" s="340"/>
      <c r="H837" s="516"/>
      <c r="O837" s="327"/>
    </row>
    <row r="838" spans="1:17" x14ac:dyDescent="0.2">
      <c r="A838" s="339"/>
      <c r="B838" s="336" t="s">
        <v>430</v>
      </c>
      <c r="C838" s="340"/>
      <c r="H838" s="283" t="s">
        <v>1054</v>
      </c>
      <c r="O838" s="327"/>
    </row>
    <row r="839" spans="1:17" x14ac:dyDescent="0.2">
      <c r="A839" s="338" t="s">
        <v>537</v>
      </c>
      <c r="B839" s="341" t="s">
        <v>889</v>
      </c>
      <c r="C839" s="342">
        <f>SUM(C832:C838)</f>
        <v>1073734.6633562623</v>
      </c>
      <c r="H839" s="327"/>
      <c r="I839" s="362" t="s">
        <v>911</v>
      </c>
      <c r="J839" s="362" t="s">
        <v>910</v>
      </c>
      <c r="O839" s="362" t="s">
        <v>911</v>
      </c>
      <c r="P839" s="362" t="s">
        <v>910</v>
      </c>
    </row>
    <row r="840" spans="1:17" x14ac:dyDescent="0.2">
      <c r="A840" s="338"/>
      <c r="B840" s="341"/>
      <c r="C840" s="342"/>
      <c r="H840" s="327"/>
      <c r="I840" s="475"/>
      <c r="J840" s="475"/>
      <c r="O840" s="327"/>
    </row>
    <row r="841" spans="1:17" x14ac:dyDescent="0.2">
      <c r="A841" s="335" t="s">
        <v>897</v>
      </c>
      <c r="B841" s="336" t="s">
        <v>358</v>
      </c>
      <c r="C841" s="360">
        <f>J841+L841</f>
        <v>6616341.4754417315</v>
      </c>
      <c r="D841" t="s">
        <v>1115</v>
      </c>
      <c r="E841" s="683">
        <f>C841/C782</f>
        <v>0.70218812211485637</v>
      </c>
      <c r="F841" s="684"/>
      <c r="G841" s="684"/>
      <c r="H841" s="683">
        <f>1-H812</f>
        <v>0.67749999999999999</v>
      </c>
      <c r="I841" s="360">
        <f>((C782-C753)*H841)</f>
        <v>6049920.3989424678</v>
      </c>
      <c r="J841" s="360">
        <f t="shared" ref="J841:J846" si="18">J753</f>
        <v>323451.65235299018</v>
      </c>
      <c r="L841" s="515">
        <f>C782-L812-M841</f>
        <v>6292889.8230887409</v>
      </c>
      <c r="M841" s="286"/>
      <c r="N841" s="327"/>
      <c r="O841" s="286">
        <f>L841</f>
        <v>6292889.8230887409</v>
      </c>
      <c r="P841" s="286">
        <f>J841</f>
        <v>323451.65235299018</v>
      </c>
      <c r="Q841" s="286">
        <f t="shared" ref="Q841:Q842" si="19">O841+P841</f>
        <v>6616341.4754417315</v>
      </c>
    </row>
    <row r="842" spans="1:17" x14ac:dyDescent="0.2">
      <c r="A842" s="339"/>
      <c r="B842" s="336" t="s">
        <v>359</v>
      </c>
      <c r="C842" s="360">
        <f>I842+J842</f>
        <v>439979.83328183548</v>
      </c>
      <c r="D842" t="s">
        <v>1115</v>
      </c>
      <c r="E842" s="327">
        <f>C842/C783</f>
        <v>0.67760256233111094</v>
      </c>
      <c r="G842" s="327"/>
      <c r="H842" s="327">
        <f>1-H813-0.01</f>
        <v>0.67020000000000002</v>
      </c>
      <c r="I842" s="360">
        <f>((C783-C754)*H842)</f>
        <v>389087.42148652149</v>
      </c>
      <c r="J842" s="360">
        <f t="shared" si="18"/>
        <v>50892.411795314001</v>
      </c>
      <c r="L842" s="365"/>
      <c r="M842" s="286"/>
      <c r="N842" s="327"/>
      <c r="O842" s="286">
        <f>I842</f>
        <v>389087.42148652149</v>
      </c>
      <c r="P842" s="286">
        <f>J842</f>
        <v>50892.411795314001</v>
      </c>
      <c r="Q842" s="286">
        <f t="shared" si="19"/>
        <v>439979.83328183548</v>
      </c>
    </row>
    <row r="843" spans="1:17" x14ac:dyDescent="0.2">
      <c r="A843" s="339"/>
      <c r="B843" s="336" t="s">
        <v>372</v>
      </c>
      <c r="C843" s="337">
        <f>I843+J843</f>
        <v>1416640.8414651938</v>
      </c>
      <c r="D843" t="s">
        <v>1115</v>
      </c>
      <c r="E843" s="327">
        <f>C843/C784</f>
        <v>0.43787934869176254</v>
      </c>
      <c r="H843" s="327">
        <f>1-H814</f>
        <v>0.43159999999999998</v>
      </c>
      <c r="I843" s="337">
        <f>($C784-$C755)*H843</f>
        <v>1307129.1979963826</v>
      </c>
      <c r="J843" s="337">
        <f t="shared" si="18"/>
        <v>109511.64346881122</v>
      </c>
      <c r="L843" s="286"/>
      <c r="N843" s="327">
        <v>0.42</v>
      </c>
      <c r="O843" s="286">
        <f>($C784-$C755)*N843</f>
        <v>1271997.8293755346</v>
      </c>
      <c r="P843" s="286">
        <f>J843</f>
        <v>109511.64346881122</v>
      </c>
      <c r="Q843" s="286">
        <f>O843+P843</f>
        <v>1381509.4728443457</v>
      </c>
    </row>
    <row r="844" spans="1:17" x14ac:dyDescent="0.2">
      <c r="A844" s="339"/>
      <c r="B844" s="336" t="s">
        <v>373</v>
      </c>
      <c r="C844" s="337">
        <f t="shared" ref="C844" si="20">I844+J844</f>
        <v>0</v>
      </c>
      <c r="D844" t="s">
        <v>1115</v>
      </c>
      <c r="E844" s="327"/>
      <c r="G844" s="366"/>
      <c r="H844" s="327"/>
      <c r="I844" s="286">
        <f>(C785-C756)*H844</f>
        <v>0</v>
      </c>
      <c r="J844" s="286">
        <f t="shared" si="18"/>
        <v>0</v>
      </c>
      <c r="K844" s="367"/>
      <c r="N844" s="327"/>
      <c r="O844" s="327"/>
    </row>
    <row r="845" spans="1:17" x14ac:dyDescent="0.2">
      <c r="A845" s="339"/>
      <c r="B845" s="336" t="s">
        <v>361</v>
      </c>
      <c r="C845" s="337">
        <f>I845+J845</f>
        <v>1475305.200431725</v>
      </c>
      <c r="D845" t="s">
        <v>1115</v>
      </c>
      <c r="E845" s="327">
        <f>C845/C786</f>
        <v>0.62951559730808948</v>
      </c>
      <c r="G845" s="366"/>
      <c r="H845" s="327">
        <f>1-H816</f>
        <v>0.65300000000000002</v>
      </c>
      <c r="I845" s="337">
        <f>($C786-$C757)*H845</f>
        <v>1386124.0287981611</v>
      </c>
      <c r="J845" s="337">
        <f t="shared" si="18"/>
        <v>89181.171633564038</v>
      </c>
      <c r="K845" s="367"/>
      <c r="L845" s="286"/>
      <c r="N845" s="327">
        <v>0.64</v>
      </c>
      <c r="O845" s="286">
        <f>($C786-$C757)*N845</f>
        <v>1358528.9103075392</v>
      </c>
      <c r="P845" s="286">
        <f t="shared" ref="P845:P846" si="21">J845</f>
        <v>89181.171633564038</v>
      </c>
      <c r="Q845" s="286">
        <f t="shared" ref="Q845:Q846" si="22">O845+P845</f>
        <v>1447710.0819411031</v>
      </c>
    </row>
    <row r="846" spans="1:17" x14ac:dyDescent="0.2">
      <c r="A846" s="339"/>
      <c r="B846" s="336" t="s">
        <v>360</v>
      </c>
      <c r="C846" s="337">
        <f>I846+J846</f>
        <v>4512839.4574587019</v>
      </c>
      <c r="D846" t="s">
        <v>1115</v>
      </c>
      <c r="E846" s="327">
        <f>C846/C787</f>
        <v>0.68958757414849448</v>
      </c>
      <c r="H846" s="518">
        <f>1-H817</f>
        <v>0.68779999999999997</v>
      </c>
      <c r="I846" s="337">
        <f>($C787-$C758)*H846</f>
        <v>4041362.6248941952</v>
      </c>
      <c r="J846" s="337">
        <f t="shared" si="18"/>
        <v>471476.83256450697</v>
      </c>
      <c r="N846" s="327">
        <v>0.67</v>
      </c>
      <c r="O846" s="286">
        <f>($C787-$C758)*N846</f>
        <v>3936773.7113682916</v>
      </c>
      <c r="P846" s="286">
        <f t="shared" si="21"/>
        <v>471476.83256450697</v>
      </c>
      <c r="Q846" s="286">
        <f t="shared" si="22"/>
        <v>4408250.5439327983</v>
      </c>
    </row>
    <row r="847" spans="1:17" x14ac:dyDescent="0.2">
      <c r="A847" s="339"/>
      <c r="B847" s="336" t="s">
        <v>362</v>
      </c>
      <c r="C847" s="340"/>
      <c r="D847" t="s">
        <v>1115</v>
      </c>
      <c r="E847" s="327"/>
      <c r="H847" s="327"/>
      <c r="I847" s="286">
        <f>(C788-C759)*H847</f>
        <v>0</v>
      </c>
      <c r="O847" s="327"/>
    </row>
    <row r="848" spans="1:17" x14ac:dyDescent="0.2">
      <c r="A848" s="343"/>
      <c r="B848" s="341" t="s">
        <v>890</v>
      </c>
      <c r="C848" s="342">
        <f>SUM(C841:C847)</f>
        <v>14461106.808079187</v>
      </c>
      <c r="E848" s="327"/>
      <c r="H848" s="327"/>
      <c r="I848" s="286">
        <f>SUM(I841:I847)</f>
        <v>13173623.672117729</v>
      </c>
      <c r="J848" s="286">
        <f>SUM(J841:J847)</f>
        <v>1044513.7118151863</v>
      </c>
      <c r="O848" s="286">
        <f>SUM(O841:O847)</f>
        <v>13249277.695626628</v>
      </c>
      <c r="P848" s="286">
        <f>SUM(P841:P847)</f>
        <v>1044513.7118151863</v>
      </c>
      <c r="Q848" s="286">
        <f>SUM(Q841:Q847)</f>
        <v>14293791.407441813</v>
      </c>
    </row>
    <row r="849" spans="1:9" x14ac:dyDescent="0.2">
      <c r="A849" s="340"/>
      <c r="B849" s="340"/>
      <c r="C849" s="340"/>
      <c r="E849" s="327"/>
    </row>
    <row r="850" spans="1:9" x14ac:dyDescent="0.2">
      <c r="A850" s="340"/>
      <c r="B850" s="340"/>
      <c r="C850" s="342">
        <f>C830+C839+C848</f>
        <v>18154000.285742719</v>
      </c>
      <c r="D850" s="690">
        <f>C888</f>
        <v>-596418</v>
      </c>
      <c r="E850" s="691" t="s">
        <v>1111</v>
      </c>
    </row>
    <row r="851" spans="1:9" x14ac:dyDescent="0.2">
      <c r="B851" t="s">
        <v>921</v>
      </c>
      <c r="C851" s="327">
        <f>C850/C791</f>
        <v>0.5575520399606122</v>
      </c>
      <c r="D851" s="286">
        <f>C850+D850</f>
        <v>17557582.285742719</v>
      </c>
      <c r="E851" s="648">
        <f>D851/C791</f>
        <v>0.53923464063621185</v>
      </c>
    </row>
    <row r="852" spans="1:9" x14ac:dyDescent="0.2">
      <c r="A852" s="344"/>
      <c r="B852" s="344" t="s">
        <v>1117</v>
      </c>
      <c r="C852" s="344"/>
    </row>
    <row r="853" spans="1:9" x14ac:dyDescent="0.2">
      <c r="A853" s="345">
        <v>51600</v>
      </c>
      <c r="B853" s="344" t="s">
        <v>1007</v>
      </c>
      <c r="C853" s="346">
        <f>'[6]Other Discounts'!$I$12</f>
        <v>75000</v>
      </c>
      <c r="D853" t="s">
        <v>1004</v>
      </c>
      <c r="H853" s="327"/>
    </row>
    <row r="854" spans="1:9" x14ac:dyDescent="0.2">
      <c r="A854" s="345">
        <v>51611</v>
      </c>
      <c r="B854" s="344" t="s">
        <v>1008</v>
      </c>
      <c r="C854" s="346">
        <f>'[6]Other Discounts'!$I$13</f>
        <v>45000</v>
      </c>
      <c r="D854" t="s">
        <v>1004</v>
      </c>
      <c r="H854" s="327"/>
    </row>
    <row r="855" spans="1:9" x14ac:dyDescent="0.2">
      <c r="A855" s="345">
        <v>51620</v>
      </c>
      <c r="B855" s="344" t="s">
        <v>1009</v>
      </c>
      <c r="C855" s="346">
        <f>'[6]Other Discounts'!$I$15</f>
        <v>1800</v>
      </c>
      <c r="D855" t="s">
        <v>1004</v>
      </c>
      <c r="H855" s="327"/>
    </row>
    <row r="856" spans="1:9" x14ac:dyDescent="0.2">
      <c r="A856" s="345">
        <v>51614</v>
      </c>
      <c r="B856" s="344" t="s">
        <v>912</v>
      </c>
      <c r="C856" s="346">
        <f>'[6]Other Discounts'!$I$14</f>
        <v>55000</v>
      </c>
      <c r="D856" t="s">
        <v>1004</v>
      </c>
      <c r="H856" s="327"/>
    </row>
    <row r="857" spans="1:9" x14ac:dyDescent="0.2">
      <c r="A857" s="345"/>
      <c r="B857" s="344"/>
      <c r="C857" s="346"/>
      <c r="H857" s="327"/>
    </row>
    <row r="858" spans="1:9" x14ac:dyDescent="0.2">
      <c r="A858" s="345"/>
      <c r="B858" s="344"/>
      <c r="C858" s="347">
        <f>SUM(C853:C856)</f>
        <v>176800</v>
      </c>
      <c r="H858" s="327"/>
    </row>
    <row r="859" spans="1:9" x14ac:dyDescent="0.2">
      <c r="A859" s="345"/>
      <c r="B859" s="344" t="s">
        <v>920</v>
      </c>
      <c r="C859" s="346"/>
      <c r="H859" s="327"/>
    </row>
    <row r="860" spans="1:9" x14ac:dyDescent="0.2">
      <c r="A860" s="345">
        <v>51660</v>
      </c>
      <c r="B860" s="344" t="s">
        <v>913</v>
      </c>
      <c r="C860" s="346">
        <f>'[6]Other Discounts'!$I$16</f>
        <v>66500</v>
      </c>
      <c r="D860" t="s">
        <v>1004</v>
      </c>
    </row>
    <row r="861" spans="1:9" x14ac:dyDescent="0.2">
      <c r="A861" s="345"/>
      <c r="B861" s="344"/>
      <c r="C861" s="346"/>
    </row>
    <row r="862" spans="1:9" x14ac:dyDescent="0.2">
      <c r="A862" s="345">
        <v>51666</v>
      </c>
      <c r="B862" s="344" t="s">
        <v>914</v>
      </c>
      <c r="C862" s="346">
        <f>'[6]Other Discounts'!$I$19</f>
        <v>10000</v>
      </c>
      <c r="D862" t="s">
        <v>1004</v>
      </c>
      <c r="I862" s="286"/>
    </row>
    <row r="863" spans="1:9" x14ac:dyDescent="0.2">
      <c r="A863" s="345">
        <v>51668</v>
      </c>
      <c r="B863" s="344" t="s">
        <v>915</v>
      </c>
      <c r="C863" s="346">
        <f>'[6]Other Discounts'!$I$20</f>
        <v>165000</v>
      </c>
      <c r="D863" t="s">
        <v>1004</v>
      </c>
      <c r="I863" s="286"/>
    </row>
    <row r="864" spans="1:9" x14ac:dyDescent="0.2">
      <c r="A864" s="344"/>
      <c r="B864" s="344" t="s">
        <v>922</v>
      </c>
      <c r="C864" s="347">
        <f>SUM(C860:C863)</f>
        <v>241500</v>
      </c>
      <c r="D864" t="s">
        <v>1004</v>
      </c>
      <c r="E864" s="648">
        <f>C864/C791</f>
        <v>7.4170329145711528E-3</v>
      </c>
    </row>
    <row r="865" spans="1:5" x14ac:dyDescent="0.2">
      <c r="A865" s="344"/>
      <c r="B865" s="344"/>
      <c r="C865" s="344"/>
    </row>
    <row r="866" spans="1:5" x14ac:dyDescent="0.2">
      <c r="A866" s="345">
        <v>51670</v>
      </c>
      <c r="B866" s="344" t="s">
        <v>918</v>
      </c>
      <c r="C866" s="346">
        <f>'[6]Charity Write-Offs'!$I$12</f>
        <v>242297.83019845453</v>
      </c>
      <c r="D866" t="s">
        <v>1004</v>
      </c>
    </row>
    <row r="867" spans="1:5" x14ac:dyDescent="0.2">
      <c r="A867" s="345">
        <v>51672</v>
      </c>
      <c r="B867" s="344" t="s">
        <v>918</v>
      </c>
      <c r="C867" s="346">
        <f>'[6]Charity Write-Offs'!$I$13</f>
        <v>841843.26858623873</v>
      </c>
      <c r="D867" t="s">
        <v>1004</v>
      </c>
    </row>
    <row r="868" spans="1:5" x14ac:dyDescent="0.2">
      <c r="A868" s="345">
        <v>51674</v>
      </c>
      <c r="B868" s="344" t="s">
        <v>942</v>
      </c>
      <c r="C868" s="346"/>
      <c r="D868" t="s">
        <v>1004</v>
      </c>
    </row>
    <row r="869" spans="1:5" x14ac:dyDescent="0.2">
      <c r="A869" s="345">
        <v>51676</v>
      </c>
      <c r="B869" s="344" t="s">
        <v>941</v>
      </c>
      <c r="C869" s="346">
        <f>'[6]Charity Write-Offs'!$I$15</f>
        <v>37522.091065306893</v>
      </c>
      <c r="D869" t="s">
        <v>1004</v>
      </c>
    </row>
    <row r="870" spans="1:5" x14ac:dyDescent="0.2">
      <c r="A870" s="344"/>
      <c r="B870" s="344" t="s">
        <v>1118</v>
      </c>
      <c r="C870" s="347">
        <f>SUM(C866:C869)</f>
        <v>1121663.1898500002</v>
      </c>
      <c r="D870" t="s">
        <v>1004</v>
      </c>
      <c r="E870" s="327">
        <f>C870/C791</f>
        <v>3.4448914278179393E-2</v>
      </c>
    </row>
    <row r="871" spans="1:5" x14ac:dyDescent="0.2">
      <c r="A871" s="328"/>
      <c r="C871" s="286"/>
    </row>
    <row r="872" spans="1:5" x14ac:dyDescent="0.2">
      <c r="A872" s="345">
        <v>51662</v>
      </c>
      <c r="B872" s="344" t="s">
        <v>943</v>
      </c>
      <c r="C872" s="346">
        <f>'[6]Other Discounts'!$I$17</f>
        <v>12000</v>
      </c>
      <c r="D872" s="510" t="s">
        <v>1004</v>
      </c>
    </row>
    <row r="873" spans="1:5" x14ac:dyDescent="0.2">
      <c r="A873" s="345">
        <v>51664</v>
      </c>
      <c r="B873" s="344" t="s">
        <v>944</v>
      </c>
      <c r="C873" s="346">
        <f>'[6]Other Discounts'!$I$18</f>
        <v>360000</v>
      </c>
      <c r="D873" t="s">
        <v>1004</v>
      </c>
    </row>
    <row r="874" spans="1:5" x14ac:dyDescent="0.2">
      <c r="A874" s="344"/>
      <c r="B874" s="344"/>
      <c r="C874" s="347">
        <f>SUM(C872:C873)</f>
        <v>372000</v>
      </c>
      <c r="D874" t="s">
        <v>1004</v>
      </c>
      <c r="E874" s="327">
        <f>C874/C791</f>
        <v>1.1424994800084758E-2</v>
      </c>
    </row>
    <row r="875" spans="1:5" x14ac:dyDescent="0.2">
      <c r="A875" s="328"/>
      <c r="C875" s="286"/>
      <c r="E875" s="327"/>
    </row>
    <row r="876" spans="1:5" x14ac:dyDescent="0.2">
      <c r="A876" s="348">
        <v>41200.343999999997</v>
      </c>
      <c r="B876" s="349" t="s">
        <v>919</v>
      </c>
      <c r="C876" s="350">
        <f>'[6]Credit &amp; Collection'!$I$15</f>
        <v>1152960.7989712004</v>
      </c>
      <c r="D876" t="s">
        <v>1119</v>
      </c>
      <c r="E876" s="327">
        <f>(C876+C877)/C791</f>
        <v>3.3093388409859537E-2</v>
      </c>
    </row>
    <row r="877" spans="1:5" x14ac:dyDescent="0.2">
      <c r="A877" s="87">
        <v>41206.343999999997</v>
      </c>
      <c r="B877" s="349" t="s">
        <v>927</v>
      </c>
      <c r="C877" s="350">
        <f>'[6]Credit &amp; Collection'!$I$16</f>
        <v>-75433.788772786851</v>
      </c>
      <c r="D877" t="s">
        <v>1119</v>
      </c>
      <c r="E877" s="327">
        <f>C879/C791</f>
        <v>3.3093388409859537E-2</v>
      </c>
    </row>
    <row r="878" spans="1:5" x14ac:dyDescent="0.2">
      <c r="A878" s="87">
        <v>41321.343999999997</v>
      </c>
      <c r="B878" s="15" t="s">
        <v>928</v>
      </c>
      <c r="C878" s="350">
        <f>'[6]Credit &amp; Collection'!$I$17</f>
        <v>60994.490432570179</v>
      </c>
      <c r="D878" t="s">
        <v>1004</v>
      </c>
    </row>
    <row r="879" spans="1:5" x14ac:dyDescent="0.2">
      <c r="A879" s="87"/>
      <c r="B879" s="15"/>
      <c r="C879" s="350">
        <f>SUM(C876:C878)-C878</f>
        <v>1077527.0101984134</v>
      </c>
      <c r="D879" t="s">
        <v>1119</v>
      </c>
    </row>
    <row r="880" spans="1:5" x14ac:dyDescent="0.2">
      <c r="A880" s="87"/>
      <c r="B880" s="15"/>
      <c r="C880" s="685"/>
    </row>
    <row r="881" spans="1:13" x14ac:dyDescent="0.2">
      <c r="C881" s="286"/>
    </row>
    <row r="882" spans="1:13" x14ac:dyDescent="0.2">
      <c r="B882" t="s">
        <v>923</v>
      </c>
      <c r="C882" s="286">
        <f>C850+C858+C864+C870+C874+C879</f>
        <v>21143490.485791132</v>
      </c>
    </row>
    <row r="883" spans="1:13" x14ac:dyDescent="0.2">
      <c r="C883" s="286"/>
      <c r="E883" t="s">
        <v>1151</v>
      </c>
      <c r="G883" s="718" t="s">
        <v>1152</v>
      </c>
      <c r="H883" s="718"/>
    </row>
    <row r="884" spans="1:13" x14ac:dyDescent="0.2">
      <c r="A884" s="351">
        <v>51106</v>
      </c>
      <c r="B884" s="352" t="s">
        <v>683</v>
      </c>
      <c r="C884" s="353">
        <v>-304101.56</v>
      </c>
      <c r="E884" s="368">
        <v>-229128.5</v>
      </c>
      <c r="F884" s="286">
        <f>E884/4</f>
        <v>-57282.125</v>
      </c>
      <c r="G884" s="286">
        <f>-346275-57282</f>
        <v>-403557</v>
      </c>
      <c r="H884" s="718"/>
      <c r="I884" s="368">
        <f>-346275</f>
        <v>-346275</v>
      </c>
      <c r="J884" s="368">
        <v>-57282</v>
      </c>
      <c r="K884" s="368"/>
    </row>
    <row r="885" spans="1:13" x14ac:dyDescent="0.2">
      <c r="A885" s="351">
        <v>51108</v>
      </c>
      <c r="B885" s="352" t="s">
        <v>684</v>
      </c>
      <c r="C885" s="353">
        <v>-250654.41</v>
      </c>
      <c r="E885" s="368">
        <v>-243852.29</v>
      </c>
      <c r="F885" s="286">
        <f t="shared" ref="F885:F886" si="23">E885/4</f>
        <v>-60963.072500000002</v>
      </c>
      <c r="G885" s="286">
        <f>-159870-62088</f>
        <v>-221958</v>
      </c>
      <c r="H885" s="718" t="s">
        <v>951</v>
      </c>
      <c r="I885" s="368">
        <f>-159870</f>
        <v>-159870</v>
      </c>
      <c r="J885" s="368">
        <f>-62088</f>
        <v>-62088</v>
      </c>
      <c r="K885" s="368"/>
    </row>
    <row r="886" spans="1:13" x14ac:dyDescent="0.2">
      <c r="A886" s="351">
        <v>51110</v>
      </c>
      <c r="B886" s="352" t="s">
        <v>685</v>
      </c>
      <c r="C886" s="353">
        <v>-41662.03</v>
      </c>
      <c r="E886" s="368">
        <v>-70425.039999999994</v>
      </c>
      <c r="F886" s="286">
        <f t="shared" si="23"/>
        <v>-17606.259999999998</v>
      </c>
      <c r="G886" s="286">
        <f>-317749-17606</f>
        <v>-335355</v>
      </c>
      <c r="H886" s="718"/>
      <c r="I886" s="368">
        <f>-317749</f>
        <v>-317749</v>
      </c>
      <c r="J886" s="368">
        <f>9-17606</f>
        <v>-17597</v>
      </c>
      <c r="K886" s="368"/>
    </row>
    <row r="887" spans="1:13" x14ac:dyDescent="0.2">
      <c r="A887" s="351">
        <v>51109</v>
      </c>
      <c r="B887" s="423" t="s">
        <v>945</v>
      </c>
      <c r="C887" s="353">
        <v>0</v>
      </c>
      <c r="D887" t="s">
        <v>946</v>
      </c>
      <c r="G887" s="286">
        <v>-69609</v>
      </c>
      <c r="H887" s="718" t="s">
        <v>951</v>
      </c>
      <c r="I887" s="368">
        <v>-69609</v>
      </c>
      <c r="J887" s="368">
        <v>0</v>
      </c>
      <c r="K887" s="368"/>
    </row>
    <row r="888" spans="1:13" x14ac:dyDescent="0.2">
      <c r="C888" s="323">
        <f>SUM(C884:C887)</f>
        <v>-596418</v>
      </c>
      <c r="E888" s="436">
        <f>SUM(E884:E887)</f>
        <v>-543405.83000000007</v>
      </c>
      <c r="G888" s="719">
        <f>SUM(G884:G887)</f>
        <v>-1030479</v>
      </c>
      <c r="H888" s="718"/>
      <c r="I888" s="368">
        <f>SUM(I884:I887)</f>
        <v>-893503</v>
      </c>
      <c r="J888" s="368">
        <f>SUM(J884:J887)</f>
        <v>-136967</v>
      </c>
      <c r="K888" s="368">
        <f>I888+J888</f>
        <v>-1030470</v>
      </c>
    </row>
    <row r="889" spans="1:13" x14ac:dyDescent="0.2">
      <c r="E889" s="327">
        <f>C888/C791</f>
        <v>-1.8317399324400404E-2</v>
      </c>
    </row>
    <row r="890" spans="1:13" x14ac:dyDescent="0.2">
      <c r="C890" s="286">
        <f>C882+C888</f>
        <v>20547072.485791132</v>
      </c>
    </row>
    <row r="892" spans="1:13" x14ac:dyDescent="0.2">
      <c r="G892">
        <v>2014</v>
      </c>
      <c r="H892">
        <v>2015</v>
      </c>
    </row>
    <row r="893" spans="1:13" x14ac:dyDescent="0.2">
      <c r="A893" s="621" t="s">
        <v>1045</v>
      </c>
      <c r="B893" s="621" t="s">
        <v>1041</v>
      </c>
      <c r="C893" s="622"/>
      <c r="E893" s="622"/>
      <c r="G893" s="622">
        <v>-41394</v>
      </c>
      <c r="H893" s="622">
        <v>-121697</v>
      </c>
      <c r="I893" s="622"/>
      <c r="K893" s="622"/>
      <c r="M893" s="622"/>
    </row>
    <row r="894" spans="1:13" x14ac:dyDescent="0.2">
      <c r="A894" s="621" t="s">
        <v>1046</v>
      </c>
      <c r="B894" s="621" t="s">
        <v>1042</v>
      </c>
      <c r="C894" s="622"/>
      <c r="E894" s="622"/>
      <c r="G894" s="622">
        <v>-214657</v>
      </c>
      <c r="H894" s="622">
        <v>-227213</v>
      </c>
      <c r="I894" s="622"/>
      <c r="K894" s="622"/>
      <c r="M894" s="622"/>
    </row>
    <row r="895" spans="1:13" x14ac:dyDescent="0.2">
      <c r="A895" s="621" t="s">
        <v>1047</v>
      </c>
      <c r="B895" s="621" t="s">
        <v>1043</v>
      </c>
      <c r="C895" s="622"/>
      <c r="E895" s="622"/>
      <c r="G895" s="622">
        <v>-434494</v>
      </c>
      <c r="H895" s="622">
        <v>-814997</v>
      </c>
      <c r="I895" s="622"/>
      <c r="K895" s="622"/>
      <c r="M895" s="622"/>
    </row>
    <row r="896" spans="1:13" x14ac:dyDescent="0.2">
      <c r="A896" s="621" t="s">
        <v>1048</v>
      </c>
      <c r="B896" s="621" t="s">
        <v>1044</v>
      </c>
      <c r="C896" s="622"/>
      <c r="E896" s="622"/>
      <c r="G896" s="622">
        <v>-93750</v>
      </c>
      <c r="H896" s="622">
        <v>-93750</v>
      </c>
      <c r="I896" s="622"/>
      <c r="K896" s="622"/>
      <c r="M896" s="622"/>
    </row>
    <row r="897" spans="3:13" x14ac:dyDescent="0.2">
      <c r="C897" s="623"/>
      <c r="G897" s="623">
        <f>SUM(G893:G896)</f>
        <v>-784295</v>
      </c>
      <c r="H897" s="623">
        <f>SUM(H893:H896)</f>
        <v>-1257657</v>
      </c>
      <c r="M897" s="623"/>
    </row>
  </sheetData>
  <mergeCells count="1">
    <mergeCell ref="A6:C6"/>
  </mergeCells>
  <pageMargins left="0.7" right="0.7" top="0.75" bottom="0.75" header="0.3" footer="0.3"/>
  <pageSetup scale="67" orientation="portrait" r:id="rId1"/>
  <headerFooter>
    <oddFooter>&amp;L&amp;Z&amp;F&amp;R&amp;D&amp;T</oddFooter>
  </headerFooter>
  <rowBreaks count="2" manualBreakCount="2">
    <brk id="721" max="12" man="1"/>
    <brk id="821" max="16383" man="1"/>
  </rowBreaks>
  <colBreaks count="1" manualBreakCount="1">
    <brk id="13" max="1048575" man="1"/>
  </col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9"/>
  <sheetViews>
    <sheetView workbookViewId="0">
      <selection activeCell="B4" sqref="B4"/>
    </sheetView>
  </sheetViews>
  <sheetFormatPr defaultRowHeight="12.75" x14ac:dyDescent="0.2"/>
  <cols>
    <col min="1" max="1" width="10.85546875" bestFit="1" customWidth="1"/>
  </cols>
  <sheetData>
    <row r="3" spans="1:4" x14ac:dyDescent="0.2">
      <c r="B3" t="s">
        <v>1091</v>
      </c>
      <c r="C3" t="s">
        <v>1093</v>
      </c>
      <c r="D3" t="s">
        <v>1092</v>
      </c>
    </row>
    <row r="4" spans="1:4" x14ac:dyDescent="0.2">
      <c r="A4" t="s">
        <v>107</v>
      </c>
    </row>
    <row r="5" spans="1:4" x14ac:dyDescent="0.2">
      <c r="A5" t="s">
        <v>108</v>
      </c>
    </row>
    <row r="6" spans="1:4" x14ac:dyDescent="0.2">
      <c r="A6" t="s">
        <v>679</v>
      </c>
    </row>
    <row r="7" spans="1:4" x14ac:dyDescent="0.2">
      <c r="A7" t="s">
        <v>1088</v>
      </c>
    </row>
    <row r="8" spans="1:4" x14ac:dyDescent="0.2">
      <c r="A8" t="s">
        <v>1089</v>
      </c>
    </row>
    <row r="9" spans="1:4" x14ac:dyDescent="0.2">
      <c r="A9" t="s">
        <v>1090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BF48"/>
  <sheetViews>
    <sheetView zoomScale="80" zoomScaleNormal="80" workbookViewId="0">
      <pane xSplit="2" ySplit="4" topLeftCell="C8" activePane="bottomRight" state="frozen"/>
      <selection pane="topRight" activeCell="C1" sqref="C1"/>
      <selection pane="bottomLeft" activeCell="A5" sqref="A5"/>
      <selection pane="bottomRight" activeCell="C32" sqref="C32"/>
    </sheetView>
  </sheetViews>
  <sheetFormatPr defaultRowHeight="12.75" x14ac:dyDescent="0.2"/>
  <cols>
    <col min="1" max="1" width="11" style="2" bestFit="1" customWidth="1"/>
    <col min="2" max="2" width="26.7109375" style="2" customWidth="1"/>
    <col min="3" max="3" width="13.7109375" style="2" customWidth="1"/>
    <col min="4" max="4" width="11" style="4" customWidth="1"/>
    <col min="5" max="5" width="3.5703125" style="4" customWidth="1"/>
    <col min="6" max="6" width="14.28515625" style="2" customWidth="1"/>
    <col min="7" max="7" width="14.140625" style="2" customWidth="1"/>
    <col min="8" max="8" width="14.85546875" style="2" customWidth="1"/>
    <col min="9" max="9" width="14.5703125" style="2" customWidth="1"/>
    <col min="10" max="10" width="16.28515625" style="2" bestFit="1" customWidth="1"/>
    <col min="11" max="11" width="16.5703125" style="2" bestFit="1" customWidth="1"/>
    <col min="12" max="12" width="14.85546875" style="2" bestFit="1" customWidth="1"/>
    <col min="13" max="13" width="14.42578125" style="2" bestFit="1" customWidth="1"/>
    <col min="14" max="14" width="15.5703125" style="2" bestFit="1" customWidth="1"/>
    <col min="15" max="15" width="15.42578125" style="2" bestFit="1" customWidth="1"/>
    <col min="16" max="16" width="15.85546875" style="2" bestFit="1" customWidth="1"/>
    <col min="17" max="17" width="15.140625" style="2" bestFit="1" customWidth="1"/>
    <col min="18" max="18" width="17.7109375" style="3" bestFit="1" customWidth="1"/>
    <col min="19" max="19" width="11.7109375" style="2" bestFit="1" customWidth="1"/>
    <col min="20" max="58" width="9.140625" style="2"/>
    <col min="59" max="16384" width="9.140625" style="1"/>
  </cols>
  <sheetData>
    <row r="1" spans="1:58" ht="12.75" customHeight="1" x14ac:dyDescent="0.2">
      <c r="C1" s="22"/>
      <c r="D1" s="37"/>
      <c r="E1" s="37"/>
      <c r="F1" s="22" t="s">
        <v>49</v>
      </c>
      <c r="G1" s="22" t="s">
        <v>48</v>
      </c>
      <c r="H1" s="22" t="s">
        <v>47</v>
      </c>
      <c r="I1" s="22" t="s">
        <v>46</v>
      </c>
      <c r="J1" s="22" t="s">
        <v>45</v>
      </c>
      <c r="K1" s="22" t="s">
        <v>44</v>
      </c>
      <c r="L1" s="22" t="s">
        <v>43</v>
      </c>
      <c r="M1" s="22" t="s">
        <v>42</v>
      </c>
      <c r="N1" s="22" t="s">
        <v>41</v>
      </c>
      <c r="O1" s="22" t="s">
        <v>40</v>
      </c>
      <c r="P1" s="22" t="s">
        <v>39</v>
      </c>
      <c r="Q1" s="22" t="s">
        <v>38</v>
      </c>
      <c r="R1" s="39" t="s">
        <v>37</v>
      </c>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ht="12.75" customHeight="1" x14ac:dyDescent="0.2">
      <c r="B2" s="35" t="s">
        <v>36</v>
      </c>
      <c r="C2" s="38">
        <f>STATS!D6</f>
        <v>2050</v>
      </c>
      <c r="D2" s="37"/>
      <c r="E2" s="37"/>
      <c r="F2" s="2">
        <f>'MO STATS'!S2</f>
        <v>174</v>
      </c>
      <c r="G2" s="2">
        <f>'MO STATS'!T2</f>
        <v>171</v>
      </c>
      <c r="H2" s="2">
        <f>'MO STATS'!U2</f>
        <v>174</v>
      </c>
      <c r="I2" s="2">
        <f>'MO STATS'!V2</f>
        <v>174</v>
      </c>
      <c r="J2" s="2">
        <f>'MO STATS'!W2</f>
        <v>157</v>
      </c>
      <c r="K2" s="2">
        <f>'MO STATS'!X2</f>
        <v>174</v>
      </c>
      <c r="L2" s="2">
        <f>'MO STATS'!Y2</f>
        <v>168</v>
      </c>
      <c r="M2" s="2">
        <f>'MO STATS'!Z2</f>
        <v>174</v>
      </c>
      <c r="N2" s="2">
        <f>'MO STATS'!AA2</f>
        <v>168</v>
      </c>
      <c r="O2" s="2">
        <f>'MO STATS'!AB2</f>
        <v>174</v>
      </c>
      <c r="P2" s="2">
        <f>'MO STATS'!AC2</f>
        <v>174</v>
      </c>
      <c r="Q2" s="2">
        <f>'MO STATS'!AD2</f>
        <v>168</v>
      </c>
      <c r="R2" s="34">
        <f>SUM(F2:Q2)</f>
        <v>2050</v>
      </c>
      <c r="S2" s="34">
        <f>C2-R2</f>
        <v>0</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row>
    <row r="3" spans="1:58" ht="12.75" customHeight="1" x14ac:dyDescent="0.2">
      <c r="B3" s="38" t="s">
        <v>940</v>
      </c>
      <c r="C3" s="479">
        <f>'[4]2017 FTEs'!$AS$11</f>
        <v>19.5</v>
      </c>
      <c r="D3" s="37"/>
      <c r="E3" s="37"/>
      <c r="F3" s="36"/>
      <c r="G3" s="36"/>
      <c r="H3" s="36"/>
      <c r="I3" s="36"/>
      <c r="J3" s="36"/>
      <c r="K3" s="36"/>
      <c r="L3" s="36"/>
      <c r="M3" s="36"/>
      <c r="N3" s="36"/>
      <c r="O3" s="36"/>
      <c r="P3" s="36"/>
      <c r="Q3" s="36"/>
      <c r="R3" s="34"/>
      <c r="S3" s="34"/>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row>
    <row r="4" spans="1:58" ht="12.75" customHeight="1" x14ac:dyDescent="0.2">
      <c r="B4" s="38" t="s">
        <v>939</v>
      </c>
      <c r="C4" s="6">
        <f>C3*2080</f>
        <v>40560</v>
      </c>
      <c r="F4" s="421">
        <f>($C4/$R5)*F5</f>
        <v>3444.821917808219</v>
      </c>
      <c r="G4" s="421">
        <f t="shared" ref="G4:Q4" si="0">($C4/$R5)*G5</f>
        <v>3333.6986301369861</v>
      </c>
      <c r="H4" s="421">
        <f t="shared" si="0"/>
        <v>3444.821917808219</v>
      </c>
      <c r="I4" s="421">
        <f t="shared" si="0"/>
        <v>3444.821917808219</v>
      </c>
      <c r="J4" s="421">
        <f t="shared" si="0"/>
        <v>3111.4520547945203</v>
      </c>
      <c r="K4" s="421">
        <f t="shared" si="0"/>
        <v>3444.821917808219</v>
      </c>
      <c r="L4" s="421">
        <f t="shared" si="0"/>
        <v>3333.6986301369861</v>
      </c>
      <c r="M4" s="421">
        <f t="shared" si="0"/>
        <v>3444.821917808219</v>
      </c>
      <c r="N4" s="421">
        <f t="shared" si="0"/>
        <v>3333.6986301369861</v>
      </c>
      <c r="O4" s="421">
        <f t="shared" si="0"/>
        <v>3444.821917808219</v>
      </c>
      <c r="P4" s="421">
        <f t="shared" si="0"/>
        <v>3444.821917808219</v>
      </c>
      <c r="Q4" s="421">
        <f t="shared" si="0"/>
        <v>3333.6986301369861</v>
      </c>
      <c r="R4" s="308">
        <f>SUM(F4:Q4)</f>
        <v>40560</v>
      </c>
      <c r="S4" s="34">
        <f>C4-R4</f>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row>
    <row r="5" spans="1:58" ht="12.75" customHeight="1" x14ac:dyDescent="0.2">
      <c r="F5" s="2">
        <v>31</v>
      </c>
      <c r="G5" s="2">
        <v>30</v>
      </c>
      <c r="H5" s="2">
        <v>31</v>
      </c>
      <c r="I5" s="2">
        <v>31</v>
      </c>
      <c r="J5" s="2">
        <v>28</v>
      </c>
      <c r="K5" s="2">
        <v>31</v>
      </c>
      <c r="L5" s="2">
        <v>30</v>
      </c>
      <c r="M5" s="2">
        <v>31</v>
      </c>
      <c r="N5" s="2">
        <v>30</v>
      </c>
      <c r="O5" s="2">
        <v>31</v>
      </c>
      <c r="P5" s="2">
        <v>31</v>
      </c>
      <c r="Q5" s="2">
        <v>30</v>
      </c>
      <c r="R5" s="6">
        <f t="shared" ref="R5" si="1">SUM(F5:Q5)</f>
        <v>365</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row>
    <row r="6" spans="1:58" x14ac:dyDescent="0.2">
      <c r="A6" s="711" t="s">
        <v>35</v>
      </c>
      <c r="B6" s="711"/>
      <c r="C6" s="711"/>
      <c r="D6" s="711"/>
      <c r="E6" s="22"/>
      <c r="F6" s="7"/>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row>
    <row r="7" spans="1:58" x14ac:dyDescent="0.2">
      <c r="A7" s="26"/>
      <c r="B7" s="30" t="s">
        <v>24</v>
      </c>
      <c r="C7" s="33"/>
      <c r="D7" s="19" t="s">
        <v>34</v>
      </c>
      <c r="E7" s="111"/>
      <c r="F7" s="7"/>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row>
    <row r="8" spans="1:58" x14ac:dyDescent="0.2">
      <c r="A8" s="32"/>
      <c r="B8" s="25" t="s">
        <v>33</v>
      </c>
      <c r="C8" s="24">
        <f t="shared" ref="C8:C14" si="2">D8*C$2</f>
        <v>657384.56237077876</v>
      </c>
      <c r="D8" s="13">
        <f>'[5]Med Surg'!$J$10</f>
        <v>320.67539627842865</v>
      </c>
      <c r="E8" s="7"/>
      <c r="F8" s="376">
        <f t="shared" ref="F8:Q14" si="3">F$2*$D8</f>
        <v>55797.518952446582</v>
      </c>
      <c r="G8" s="376">
        <f t="shared" si="3"/>
        <v>54835.492763611299</v>
      </c>
      <c r="H8" s="376">
        <f t="shared" si="3"/>
        <v>55797.518952446582</v>
      </c>
      <c r="I8" s="376">
        <f t="shared" si="3"/>
        <v>55797.518952446582</v>
      </c>
      <c r="J8" s="376">
        <f t="shared" si="3"/>
        <v>50346.037215713295</v>
      </c>
      <c r="K8" s="376">
        <f t="shared" si="3"/>
        <v>55797.518952446582</v>
      </c>
      <c r="L8" s="376">
        <f t="shared" si="3"/>
        <v>53873.466574776015</v>
      </c>
      <c r="M8" s="376">
        <f t="shared" si="3"/>
        <v>55797.518952446582</v>
      </c>
      <c r="N8" s="376">
        <f t="shared" si="3"/>
        <v>53873.466574776015</v>
      </c>
      <c r="O8" s="376">
        <f t="shared" si="3"/>
        <v>55797.518952446582</v>
      </c>
      <c r="P8" s="376">
        <f t="shared" si="3"/>
        <v>55797.518952446582</v>
      </c>
      <c r="Q8" s="376">
        <f t="shared" si="3"/>
        <v>53873.466574776015</v>
      </c>
      <c r="R8" s="376">
        <f t="shared" ref="R8:R15" si="4">SUM(F8:Q8)</f>
        <v>657384.56237077876</v>
      </c>
      <c r="S8" s="7">
        <f t="shared" ref="S8:S16" si="5">C8-R8</f>
        <v>0</v>
      </c>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row>
    <row r="9" spans="1:58" x14ac:dyDescent="0.2">
      <c r="A9" s="32"/>
      <c r="B9" s="25" t="s">
        <v>32</v>
      </c>
      <c r="C9" s="24">
        <f t="shared" si="2"/>
        <v>4662.3018607856648</v>
      </c>
      <c r="D9" s="13">
        <f>'[5]Med Surg'!$J$11</f>
        <v>2.2742935906271535</v>
      </c>
      <c r="E9" s="7"/>
      <c r="F9" s="376">
        <f t="shared" si="3"/>
        <v>395.7270847691247</v>
      </c>
      <c r="G9" s="376">
        <f t="shared" si="3"/>
        <v>388.90420399724326</v>
      </c>
      <c r="H9" s="376">
        <f t="shared" si="3"/>
        <v>395.7270847691247</v>
      </c>
      <c r="I9" s="376">
        <f t="shared" si="3"/>
        <v>395.7270847691247</v>
      </c>
      <c r="J9" s="376">
        <f t="shared" si="3"/>
        <v>357.06409372846309</v>
      </c>
      <c r="K9" s="376">
        <f t="shared" si="3"/>
        <v>395.7270847691247</v>
      </c>
      <c r="L9" s="376">
        <f t="shared" si="3"/>
        <v>382.08132322536181</v>
      </c>
      <c r="M9" s="376">
        <f t="shared" si="3"/>
        <v>395.7270847691247</v>
      </c>
      <c r="N9" s="376">
        <f t="shared" si="3"/>
        <v>382.08132322536181</v>
      </c>
      <c r="O9" s="376">
        <f t="shared" si="3"/>
        <v>395.7270847691247</v>
      </c>
      <c r="P9" s="376">
        <f t="shared" si="3"/>
        <v>395.7270847691247</v>
      </c>
      <c r="Q9" s="376">
        <f t="shared" si="3"/>
        <v>382.08132322536181</v>
      </c>
      <c r="R9" s="376">
        <f t="shared" si="4"/>
        <v>4662.3018607856648</v>
      </c>
      <c r="S9" s="7">
        <f t="shared" si="5"/>
        <v>0</v>
      </c>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row>
    <row r="10" spans="1:58" x14ac:dyDescent="0.2">
      <c r="A10" s="32"/>
      <c r="B10" s="25" t="s">
        <v>31</v>
      </c>
      <c r="C10" s="24">
        <f t="shared" si="2"/>
        <v>62164.024810475537</v>
      </c>
      <c r="D10" s="13">
        <f>'[5]Med Surg'!$J$12</f>
        <v>30.323914541695384</v>
      </c>
      <c r="E10" s="7"/>
      <c r="F10" s="376">
        <f t="shared" si="3"/>
        <v>5276.3611302549971</v>
      </c>
      <c r="G10" s="376">
        <f t="shared" si="3"/>
        <v>5185.3893866299104</v>
      </c>
      <c r="H10" s="376">
        <f t="shared" si="3"/>
        <v>5276.3611302549971</v>
      </c>
      <c r="I10" s="376">
        <f t="shared" si="3"/>
        <v>5276.3611302549971</v>
      </c>
      <c r="J10" s="376">
        <f t="shared" si="3"/>
        <v>4760.8545830461753</v>
      </c>
      <c r="K10" s="376">
        <f t="shared" si="3"/>
        <v>5276.3611302549971</v>
      </c>
      <c r="L10" s="376">
        <f t="shared" si="3"/>
        <v>5094.4176430048246</v>
      </c>
      <c r="M10" s="376">
        <f t="shared" si="3"/>
        <v>5276.3611302549971</v>
      </c>
      <c r="N10" s="376">
        <f t="shared" si="3"/>
        <v>5094.4176430048246</v>
      </c>
      <c r="O10" s="376">
        <f t="shared" si="3"/>
        <v>5276.3611302549971</v>
      </c>
      <c r="P10" s="376">
        <f t="shared" si="3"/>
        <v>5276.3611302549971</v>
      </c>
      <c r="Q10" s="376">
        <f t="shared" si="3"/>
        <v>5094.4176430048246</v>
      </c>
      <c r="R10" s="376">
        <f t="shared" si="4"/>
        <v>62164.024810475545</v>
      </c>
      <c r="S10" s="7">
        <f t="shared" si="5"/>
        <v>0</v>
      </c>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row>
    <row r="11" spans="1:58" x14ac:dyDescent="0.2">
      <c r="A11" s="32"/>
      <c r="B11" s="25" t="s">
        <v>30</v>
      </c>
      <c r="C11" s="24">
        <f t="shared" si="2"/>
        <v>0</v>
      </c>
      <c r="D11" s="13"/>
      <c r="E11" s="7"/>
      <c r="F11" s="376">
        <f t="shared" si="3"/>
        <v>0</v>
      </c>
      <c r="G11" s="376">
        <f t="shared" si="3"/>
        <v>0</v>
      </c>
      <c r="H11" s="376">
        <f t="shared" si="3"/>
        <v>0</v>
      </c>
      <c r="I11" s="376">
        <f t="shared" si="3"/>
        <v>0</v>
      </c>
      <c r="J11" s="376">
        <f t="shared" si="3"/>
        <v>0</v>
      </c>
      <c r="K11" s="376">
        <f t="shared" si="3"/>
        <v>0</v>
      </c>
      <c r="L11" s="376">
        <f t="shared" si="3"/>
        <v>0</v>
      </c>
      <c r="M11" s="376">
        <f t="shared" si="3"/>
        <v>0</v>
      </c>
      <c r="N11" s="376">
        <f t="shared" si="3"/>
        <v>0</v>
      </c>
      <c r="O11" s="376">
        <f t="shared" si="3"/>
        <v>0</v>
      </c>
      <c r="P11" s="376">
        <f t="shared" si="3"/>
        <v>0</v>
      </c>
      <c r="Q11" s="376">
        <f t="shared" si="3"/>
        <v>0</v>
      </c>
      <c r="R11" s="376">
        <f t="shared" si="4"/>
        <v>0</v>
      </c>
      <c r="S11" s="7">
        <f t="shared" si="5"/>
        <v>0</v>
      </c>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row>
    <row r="12" spans="1:58" x14ac:dyDescent="0.2">
      <c r="A12" s="32"/>
      <c r="B12" s="25" t="s">
        <v>29</v>
      </c>
      <c r="C12" s="24">
        <f t="shared" si="2"/>
        <v>101793.5906271537</v>
      </c>
      <c r="D12" s="13">
        <f>'[5]Med Surg'!$J$13+'[5]Med Surg'!$J$14</f>
        <v>49.655410062026192</v>
      </c>
      <c r="E12" s="7"/>
      <c r="F12" s="376">
        <f t="shared" si="3"/>
        <v>8640.0413507925568</v>
      </c>
      <c r="G12" s="376">
        <f t="shared" si="3"/>
        <v>8491.0751206064797</v>
      </c>
      <c r="H12" s="376">
        <f t="shared" si="3"/>
        <v>8640.0413507925568</v>
      </c>
      <c r="I12" s="376">
        <f t="shared" si="3"/>
        <v>8640.0413507925568</v>
      </c>
      <c r="J12" s="376">
        <f t="shared" si="3"/>
        <v>7795.8993797381117</v>
      </c>
      <c r="K12" s="376">
        <f t="shared" si="3"/>
        <v>8640.0413507925568</v>
      </c>
      <c r="L12" s="376">
        <f t="shared" si="3"/>
        <v>8342.1088904204007</v>
      </c>
      <c r="M12" s="376">
        <f t="shared" si="3"/>
        <v>8640.0413507925568</v>
      </c>
      <c r="N12" s="376">
        <f t="shared" si="3"/>
        <v>8342.1088904204007</v>
      </c>
      <c r="O12" s="376">
        <f t="shared" si="3"/>
        <v>8640.0413507925568</v>
      </c>
      <c r="P12" s="376">
        <f t="shared" si="3"/>
        <v>8640.0413507925568</v>
      </c>
      <c r="Q12" s="376">
        <f t="shared" si="3"/>
        <v>8342.1088904204007</v>
      </c>
      <c r="R12" s="376">
        <f t="shared" si="4"/>
        <v>101793.5906271537</v>
      </c>
      <c r="S12" s="7">
        <f t="shared" si="5"/>
        <v>0</v>
      </c>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row>
    <row r="13" spans="1:58" x14ac:dyDescent="0.2">
      <c r="A13" s="32"/>
      <c r="B13" s="25" t="s">
        <v>28</v>
      </c>
      <c r="C13" s="24">
        <f t="shared" si="2"/>
        <v>258757.75327360441</v>
      </c>
      <c r="D13" s="13">
        <f>'[5]Med Surg'!$J$15</f>
        <v>126.22329427980704</v>
      </c>
      <c r="E13" s="7"/>
      <c r="F13" s="376">
        <f t="shared" si="3"/>
        <v>21962.853204686424</v>
      </c>
      <c r="G13" s="376">
        <f t="shared" si="3"/>
        <v>21584.183321847002</v>
      </c>
      <c r="H13" s="376">
        <f t="shared" si="3"/>
        <v>21962.853204686424</v>
      </c>
      <c r="I13" s="376">
        <f t="shared" si="3"/>
        <v>21962.853204686424</v>
      </c>
      <c r="J13" s="376">
        <f t="shared" si="3"/>
        <v>19817.057201929703</v>
      </c>
      <c r="K13" s="376">
        <f t="shared" si="3"/>
        <v>21962.853204686424</v>
      </c>
      <c r="L13" s="376">
        <f t="shared" si="3"/>
        <v>21205.513439007584</v>
      </c>
      <c r="M13" s="376">
        <f t="shared" si="3"/>
        <v>21962.853204686424</v>
      </c>
      <c r="N13" s="376">
        <f t="shared" si="3"/>
        <v>21205.513439007584</v>
      </c>
      <c r="O13" s="376">
        <f t="shared" si="3"/>
        <v>21962.853204686424</v>
      </c>
      <c r="P13" s="376">
        <f t="shared" si="3"/>
        <v>21962.853204686424</v>
      </c>
      <c r="Q13" s="376">
        <f t="shared" si="3"/>
        <v>21205.513439007584</v>
      </c>
      <c r="R13" s="376">
        <f t="shared" si="4"/>
        <v>258757.75327360444</v>
      </c>
      <c r="S13" s="7">
        <f t="shared" si="5"/>
        <v>0</v>
      </c>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row>
    <row r="14" spans="1:58" x14ac:dyDescent="0.2">
      <c r="A14" s="32"/>
      <c r="B14" s="25" t="s">
        <v>27</v>
      </c>
      <c r="C14" s="24">
        <f t="shared" si="2"/>
        <v>43514.817367332871</v>
      </c>
      <c r="D14" s="13">
        <f>'[5]Med Surg'!$J$16</f>
        <v>21.226740179186766</v>
      </c>
      <c r="E14" s="7"/>
      <c r="F14" s="376">
        <f t="shared" si="3"/>
        <v>3693.4527911784971</v>
      </c>
      <c r="G14" s="376">
        <f t="shared" si="3"/>
        <v>3629.7725706409369</v>
      </c>
      <c r="H14" s="376">
        <f t="shared" si="3"/>
        <v>3693.4527911784971</v>
      </c>
      <c r="I14" s="376">
        <f t="shared" si="3"/>
        <v>3693.4527911784971</v>
      </c>
      <c r="J14" s="376">
        <f t="shared" si="3"/>
        <v>3332.5982081323223</v>
      </c>
      <c r="K14" s="376">
        <f t="shared" si="3"/>
        <v>3693.4527911784971</v>
      </c>
      <c r="L14" s="376">
        <f t="shared" si="3"/>
        <v>3566.0923501033767</v>
      </c>
      <c r="M14" s="376">
        <f t="shared" si="3"/>
        <v>3693.4527911784971</v>
      </c>
      <c r="N14" s="376">
        <f t="shared" si="3"/>
        <v>3566.0923501033767</v>
      </c>
      <c r="O14" s="376">
        <f t="shared" si="3"/>
        <v>3693.4527911784971</v>
      </c>
      <c r="P14" s="376">
        <f t="shared" si="3"/>
        <v>3693.4527911784971</v>
      </c>
      <c r="Q14" s="376">
        <f t="shared" si="3"/>
        <v>3566.0923501033767</v>
      </c>
      <c r="R14" s="376">
        <f t="shared" si="4"/>
        <v>43514.817367332864</v>
      </c>
      <c r="S14" s="7">
        <f t="shared" si="5"/>
        <v>0</v>
      </c>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row>
    <row r="15" spans="1:58" x14ac:dyDescent="0.2">
      <c r="A15" s="87">
        <v>31110.001</v>
      </c>
      <c r="B15" s="172" t="s">
        <v>26</v>
      </c>
      <c r="C15" s="293">
        <f>SUM(C8:C14)</f>
        <v>1128277.0503101312</v>
      </c>
      <c r="D15" s="292">
        <v>0</v>
      </c>
      <c r="E15" s="292"/>
      <c r="F15" s="369">
        <f t="shared" ref="F15:Q15" si="6">SUM(F8:F14)</f>
        <v>95765.954514128185</v>
      </c>
      <c r="G15" s="369">
        <f t="shared" si="6"/>
        <v>94114.817367332871</v>
      </c>
      <c r="H15" s="369">
        <f t="shared" si="6"/>
        <v>95765.954514128185</v>
      </c>
      <c r="I15" s="369">
        <f t="shared" si="6"/>
        <v>95765.954514128185</v>
      </c>
      <c r="J15" s="369">
        <f t="shared" si="6"/>
        <v>86409.510682288063</v>
      </c>
      <c r="K15" s="369">
        <f t="shared" si="6"/>
        <v>95765.954514128185</v>
      </c>
      <c r="L15" s="369">
        <f t="shared" si="6"/>
        <v>92463.680220537572</v>
      </c>
      <c r="M15" s="369">
        <f t="shared" si="6"/>
        <v>95765.954514128185</v>
      </c>
      <c r="N15" s="369">
        <f t="shared" si="6"/>
        <v>92463.680220537572</v>
      </c>
      <c r="O15" s="369">
        <f t="shared" si="6"/>
        <v>95765.954514128185</v>
      </c>
      <c r="P15" s="369">
        <f t="shared" si="6"/>
        <v>95765.954514128185</v>
      </c>
      <c r="Q15" s="369">
        <f t="shared" si="6"/>
        <v>92463.680220537572</v>
      </c>
      <c r="R15" s="369">
        <f t="shared" si="4"/>
        <v>1128277.0503101309</v>
      </c>
      <c r="S15" s="291">
        <f t="shared" si="5"/>
        <v>0</v>
      </c>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row>
    <row r="16" spans="1:58" s="5" customFormat="1" x14ac:dyDescent="0.2">
      <c r="A16" s="11"/>
      <c r="B16" s="10" t="s">
        <v>0</v>
      </c>
      <c r="C16" s="293">
        <f>SUM(C8:C14)</f>
        <v>1128277.0503101312</v>
      </c>
      <c r="D16" s="292">
        <f>(C16/C$2)</f>
        <v>550.37904893177131</v>
      </c>
      <c r="E16" s="292"/>
      <c r="F16" s="370">
        <f t="shared" ref="F16:R16" si="7">SUM(F8:F14)</f>
        <v>95765.954514128185</v>
      </c>
      <c r="G16" s="370">
        <f t="shared" si="7"/>
        <v>94114.817367332871</v>
      </c>
      <c r="H16" s="370">
        <f t="shared" si="7"/>
        <v>95765.954514128185</v>
      </c>
      <c r="I16" s="370">
        <f t="shared" si="7"/>
        <v>95765.954514128185</v>
      </c>
      <c r="J16" s="370">
        <f t="shared" si="7"/>
        <v>86409.510682288063</v>
      </c>
      <c r="K16" s="370">
        <f t="shared" si="7"/>
        <v>95765.954514128185</v>
      </c>
      <c r="L16" s="370">
        <f t="shared" si="7"/>
        <v>92463.680220537572</v>
      </c>
      <c r="M16" s="370">
        <f t="shared" si="7"/>
        <v>95765.954514128185</v>
      </c>
      <c r="N16" s="370">
        <f t="shared" si="7"/>
        <v>92463.680220537572</v>
      </c>
      <c r="O16" s="370">
        <f t="shared" si="7"/>
        <v>95765.954514128185</v>
      </c>
      <c r="P16" s="370">
        <f t="shared" si="7"/>
        <v>95765.954514128185</v>
      </c>
      <c r="Q16" s="370">
        <f t="shared" si="7"/>
        <v>92463.680220537572</v>
      </c>
      <c r="R16" s="370">
        <f t="shared" si="7"/>
        <v>1128277.0503101309</v>
      </c>
      <c r="S16" s="291">
        <f t="shared" si="5"/>
        <v>0</v>
      </c>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row>
    <row r="17" spans="1:58" x14ac:dyDescent="0.2">
      <c r="A17" s="26"/>
      <c r="B17" s="25"/>
      <c r="C17" s="24"/>
      <c r="D17" s="7"/>
      <c r="E17" s="7"/>
      <c r="F17" s="376"/>
      <c r="G17" s="160"/>
      <c r="H17" s="160"/>
      <c r="I17" s="160"/>
      <c r="J17" s="160"/>
      <c r="K17" s="160"/>
      <c r="L17" s="160"/>
      <c r="M17" s="160"/>
      <c r="N17" s="160"/>
      <c r="O17" s="160"/>
      <c r="P17" s="160"/>
      <c r="Q17" s="160"/>
      <c r="R17" s="376"/>
    </row>
    <row r="18" spans="1:58" x14ac:dyDescent="0.2">
      <c r="A18" s="711" t="s">
        <v>25</v>
      </c>
      <c r="B18" s="711"/>
      <c r="C18" s="711"/>
      <c r="D18" s="711"/>
      <c r="E18" s="37"/>
      <c r="F18" s="160"/>
      <c r="G18" s="160"/>
      <c r="H18" s="160"/>
      <c r="I18" s="160"/>
      <c r="J18" s="160"/>
      <c r="K18" s="160"/>
      <c r="L18" s="160"/>
      <c r="M18" s="160"/>
      <c r="N18" s="160"/>
      <c r="O18" s="160"/>
      <c r="P18" s="160"/>
      <c r="Q18" s="160"/>
      <c r="R18" s="376"/>
    </row>
    <row r="19" spans="1:58" x14ac:dyDescent="0.2">
      <c r="A19" s="21"/>
      <c r="B19" s="10" t="s">
        <v>24</v>
      </c>
      <c r="C19" s="20"/>
      <c r="D19" s="19" t="s">
        <v>871</v>
      </c>
      <c r="E19" s="111"/>
      <c r="F19" s="160"/>
      <c r="G19" s="160"/>
      <c r="H19" s="160"/>
      <c r="I19" s="160"/>
      <c r="J19" s="160"/>
      <c r="K19" s="160"/>
      <c r="L19" s="160"/>
      <c r="M19" s="160"/>
      <c r="N19" s="160"/>
      <c r="O19" s="160"/>
      <c r="P19" s="160"/>
      <c r="Q19" s="160"/>
      <c r="R19" s="376"/>
    </row>
    <row r="20" spans="1:58" s="12" customFormat="1" x14ac:dyDescent="0.2">
      <c r="A20" s="87">
        <v>41101.000999999997</v>
      </c>
      <c r="B20" s="15" t="s">
        <v>22</v>
      </c>
      <c r="C20" s="428">
        <f>'[6]Med Surg'!$J$14</f>
        <v>762335.01261598815</v>
      </c>
      <c r="D20" s="429">
        <f>$C20/C$4</f>
        <v>18.795241928402074</v>
      </c>
      <c r="E20" s="7"/>
      <c r="F20" s="375">
        <f>$D20*F$4</f>
        <v>64746.261345467479</v>
      </c>
      <c r="G20" s="375">
        <f t="shared" ref="G20:Q24" si="8">$D20*G$4</f>
        <v>62657.672269807241</v>
      </c>
      <c r="H20" s="375">
        <f t="shared" si="8"/>
        <v>64746.261345467479</v>
      </c>
      <c r="I20" s="375">
        <f t="shared" si="8"/>
        <v>64746.261345467479</v>
      </c>
      <c r="J20" s="375">
        <f t="shared" si="8"/>
        <v>58480.494118486757</v>
      </c>
      <c r="K20" s="375">
        <f t="shared" si="8"/>
        <v>64746.261345467479</v>
      </c>
      <c r="L20" s="375">
        <f t="shared" si="8"/>
        <v>62657.672269807241</v>
      </c>
      <c r="M20" s="375">
        <f t="shared" si="8"/>
        <v>64746.261345467479</v>
      </c>
      <c r="N20" s="375">
        <f t="shared" si="8"/>
        <v>62657.672269807241</v>
      </c>
      <c r="O20" s="375">
        <f t="shared" si="8"/>
        <v>64746.261345467479</v>
      </c>
      <c r="P20" s="375">
        <f t="shared" si="8"/>
        <v>64746.261345467479</v>
      </c>
      <c r="Q20" s="375">
        <f t="shared" si="8"/>
        <v>62657.672269807241</v>
      </c>
      <c r="R20" s="376">
        <f t="shared" ref="R20:R43" si="9">SUM(F20:Q20)</f>
        <v>762335.01261598815</v>
      </c>
      <c r="S20" s="7">
        <f t="shared" ref="S20:S43" si="10">C20-R20</f>
        <v>0</v>
      </c>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row>
    <row r="21" spans="1:58" s="12" customFormat="1" x14ac:dyDescent="0.2">
      <c r="A21" s="87">
        <v>41110.000999999997</v>
      </c>
      <c r="B21" s="15" t="s">
        <v>21</v>
      </c>
      <c r="C21" s="428">
        <f>'[6]Med Surg'!$J$15</f>
        <v>84703.890290665353</v>
      </c>
      <c r="D21" s="429">
        <f>$C21/C$4</f>
        <v>2.0883602142668973</v>
      </c>
      <c r="E21" s="7"/>
      <c r="F21" s="375">
        <f>$D21*F$4</f>
        <v>7194.0290383852762</v>
      </c>
      <c r="G21" s="375">
        <f t="shared" si="8"/>
        <v>6961.9635855341385</v>
      </c>
      <c r="H21" s="375">
        <f t="shared" si="8"/>
        <v>7194.0290383852762</v>
      </c>
      <c r="I21" s="375">
        <f t="shared" si="8"/>
        <v>7194.0290383852762</v>
      </c>
      <c r="J21" s="375">
        <f t="shared" si="8"/>
        <v>6497.8326798318622</v>
      </c>
      <c r="K21" s="375">
        <f t="shared" si="8"/>
        <v>7194.0290383852762</v>
      </c>
      <c r="L21" s="375">
        <f t="shared" si="8"/>
        <v>6961.9635855341385</v>
      </c>
      <c r="M21" s="375">
        <f t="shared" si="8"/>
        <v>7194.0290383852762</v>
      </c>
      <c r="N21" s="375">
        <f t="shared" si="8"/>
        <v>6961.9635855341385</v>
      </c>
      <c r="O21" s="375">
        <f t="shared" si="8"/>
        <v>7194.0290383852762</v>
      </c>
      <c r="P21" s="375">
        <f t="shared" si="8"/>
        <v>7194.0290383852762</v>
      </c>
      <c r="Q21" s="375">
        <f t="shared" si="8"/>
        <v>6961.9635855341385</v>
      </c>
      <c r="R21" s="376">
        <f t="shared" si="9"/>
        <v>84703.890290665338</v>
      </c>
      <c r="S21" s="7">
        <f t="shared" si="10"/>
        <v>0</v>
      </c>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row>
    <row r="22" spans="1:58" s="12" customFormat="1" x14ac:dyDescent="0.2">
      <c r="A22" s="87">
        <v>41115.000999999997</v>
      </c>
      <c r="B22" s="15" t="s">
        <v>20</v>
      </c>
      <c r="C22" s="428">
        <f>'[6]Med Surg'!$J$16</f>
        <v>2375</v>
      </c>
      <c r="D22" s="429">
        <f>$C22/C$4</f>
        <v>5.8555226824457594E-2</v>
      </c>
      <c r="E22" s="7"/>
      <c r="F22" s="375">
        <f>$D22*F$4</f>
        <v>201.7123287671233</v>
      </c>
      <c r="G22" s="375">
        <f t="shared" si="8"/>
        <v>195.20547945205479</v>
      </c>
      <c r="H22" s="375">
        <f t="shared" si="8"/>
        <v>201.7123287671233</v>
      </c>
      <c r="I22" s="375">
        <f t="shared" si="8"/>
        <v>201.7123287671233</v>
      </c>
      <c r="J22" s="375">
        <f t="shared" si="8"/>
        <v>182.1917808219178</v>
      </c>
      <c r="K22" s="375">
        <f t="shared" si="8"/>
        <v>201.7123287671233</v>
      </c>
      <c r="L22" s="375">
        <f t="shared" si="8"/>
        <v>195.20547945205479</v>
      </c>
      <c r="M22" s="375">
        <f t="shared" si="8"/>
        <v>201.7123287671233</v>
      </c>
      <c r="N22" s="375">
        <f t="shared" si="8"/>
        <v>195.20547945205479</v>
      </c>
      <c r="O22" s="375">
        <f t="shared" si="8"/>
        <v>201.7123287671233</v>
      </c>
      <c r="P22" s="375">
        <f t="shared" si="8"/>
        <v>201.7123287671233</v>
      </c>
      <c r="Q22" s="375">
        <f t="shared" si="8"/>
        <v>195.20547945205479</v>
      </c>
      <c r="R22" s="376">
        <f t="shared" si="9"/>
        <v>2375.0000000000005</v>
      </c>
      <c r="S22" s="7">
        <f t="shared" si="10"/>
        <v>0</v>
      </c>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row>
    <row r="23" spans="1:58" s="12" customFormat="1" x14ac:dyDescent="0.2">
      <c r="A23" s="87">
        <v>41150.000999999997</v>
      </c>
      <c r="B23" s="15" t="s">
        <v>19</v>
      </c>
      <c r="C23" s="430">
        <f>'[6]Med Surg'!$J$17</f>
        <v>64980.163572358986</v>
      </c>
      <c r="D23" s="429">
        <f>$C23/C$4</f>
        <v>1.6020750387662472</v>
      </c>
      <c r="E23" s="7"/>
      <c r="F23" s="375">
        <f>$D23*F$4</f>
        <v>5518.863207515421</v>
      </c>
      <c r="G23" s="375">
        <f t="shared" si="8"/>
        <v>5340.8353621116976</v>
      </c>
      <c r="H23" s="375">
        <f t="shared" si="8"/>
        <v>5518.863207515421</v>
      </c>
      <c r="I23" s="375">
        <f t="shared" si="8"/>
        <v>5518.863207515421</v>
      </c>
      <c r="J23" s="375">
        <f t="shared" si="8"/>
        <v>4984.7796713042508</v>
      </c>
      <c r="K23" s="375">
        <f t="shared" si="8"/>
        <v>5518.863207515421</v>
      </c>
      <c r="L23" s="375">
        <f t="shared" si="8"/>
        <v>5340.8353621116976</v>
      </c>
      <c r="M23" s="375">
        <f t="shared" si="8"/>
        <v>5518.863207515421</v>
      </c>
      <c r="N23" s="375">
        <f t="shared" si="8"/>
        <v>5340.8353621116976</v>
      </c>
      <c r="O23" s="375">
        <f t="shared" si="8"/>
        <v>5518.863207515421</v>
      </c>
      <c r="P23" s="375">
        <f t="shared" si="8"/>
        <v>5518.863207515421</v>
      </c>
      <c r="Q23" s="375">
        <f t="shared" si="8"/>
        <v>5340.8353621116976</v>
      </c>
      <c r="R23" s="376">
        <f t="shared" si="9"/>
        <v>64980.163572358993</v>
      </c>
      <c r="S23" s="7">
        <f t="shared" si="10"/>
        <v>0</v>
      </c>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row>
    <row r="24" spans="1:58" s="12" customFormat="1" x14ac:dyDescent="0.2">
      <c r="A24" s="87">
        <v>41152.000999999997</v>
      </c>
      <c r="B24" s="15" t="s">
        <v>18</v>
      </c>
      <c r="C24" s="431"/>
      <c r="D24" s="429">
        <f>$C24/C$4</f>
        <v>0</v>
      </c>
      <c r="E24" s="7"/>
      <c r="F24" s="375">
        <f>$D24*F$4</f>
        <v>0</v>
      </c>
      <c r="G24" s="375">
        <f t="shared" si="8"/>
        <v>0</v>
      </c>
      <c r="H24" s="375">
        <f t="shared" si="8"/>
        <v>0</v>
      </c>
      <c r="I24" s="375">
        <f t="shared" si="8"/>
        <v>0</v>
      </c>
      <c r="J24" s="375">
        <f t="shared" si="8"/>
        <v>0</v>
      </c>
      <c r="K24" s="375">
        <f t="shared" si="8"/>
        <v>0</v>
      </c>
      <c r="L24" s="375">
        <f t="shared" si="8"/>
        <v>0</v>
      </c>
      <c r="M24" s="375">
        <f t="shared" si="8"/>
        <v>0</v>
      </c>
      <c r="N24" s="375">
        <f t="shared" si="8"/>
        <v>0</v>
      </c>
      <c r="O24" s="375">
        <f t="shared" si="8"/>
        <v>0</v>
      </c>
      <c r="P24" s="375">
        <f t="shared" si="8"/>
        <v>0</v>
      </c>
      <c r="Q24" s="375">
        <f t="shared" si="8"/>
        <v>0</v>
      </c>
      <c r="R24" s="376">
        <f t="shared" si="9"/>
        <v>0</v>
      </c>
      <c r="S24" s="7">
        <f t="shared" si="10"/>
        <v>0</v>
      </c>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row>
    <row r="25" spans="1:58" s="12" customFormat="1" x14ac:dyDescent="0.2">
      <c r="A25" s="87">
        <v>41237.000999999997</v>
      </c>
      <c r="B25" s="15" t="s">
        <v>17</v>
      </c>
      <c r="C25" s="17">
        <f>'[6]Med Surg'!$J$18</f>
        <v>31550</v>
      </c>
      <c r="D25" s="13">
        <f t="shared" ref="D25:D42" si="11">$C25/C$2</f>
        <v>15.390243902439025</v>
      </c>
      <c r="E25" s="7"/>
      <c r="F25" s="375">
        <f t="shared" ref="F25:Q29" si="12">$D25*F$2</f>
        <v>2677.9024390243903</v>
      </c>
      <c r="G25" s="375">
        <f t="shared" si="12"/>
        <v>2631.7317073170734</v>
      </c>
      <c r="H25" s="375">
        <f t="shared" si="12"/>
        <v>2677.9024390243903</v>
      </c>
      <c r="I25" s="375">
        <f t="shared" si="12"/>
        <v>2677.9024390243903</v>
      </c>
      <c r="J25" s="375">
        <f t="shared" si="12"/>
        <v>2416.268292682927</v>
      </c>
      <c r="K25" s="375">
        <f t="shared" si="12"/>
        <v>2677.9024390243903</v>
      </c>
      <c r="L25" s="375">
        <f t="shared" si="12"/>
        <v>2585.560975609756</v>
      </c>
      <c r="M25" s="375">
        <f t="shared" si="12"/>
        <v>2677.9024390243903</v>
      </c>
      <c r="N25" s="375">
        <f t="shared" si="12"/>
        <v>2585.560975609756</v>
      </c>
      <c r="O25" s="375">
        <f t="shared" si="12"/>
        <v>2677.9024390243903</v>
      </c>
      <c r="P25" s="375">
        <f t="shared" si="12"/>
        <v>2677.9024390243903</v>
      </c>
      <c r="Q25" s="375">
        <f t="shared" si="12"/>
        <v>2585.560975609756</v>
      </c>
      <c r="R25" s="376">
        <f t="shared" si="9"/>
        <v>31550</v>
      </c>
      <c r="S25" s="7">
        <f t="shared" si="10"/>
        <v>0</v>
      </c>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row>
    <row r="26" spans="1:58" s="12" customFormat="1" x14ac:dyDescent="0.2">
      <c r="A26" s="87">
        <v>41246.000999999997</v>
      </c>
      <c r="B26" s="15" t="s">
        <v>16</v>
      </c>
      <c r="C26" s="14">
        <f>'[6]Med Surg'!$J$19</f>
        <v>500</v>
      </c>
      <c r="D26" s="13">
        <f t="shared" si="11"/>
        <v>0.24390243902439024</v>
      </c>
      <c r="E26" s="7"/>
      <c r="F26" s="375">
        <f t="shared" si="12"/>
        <v>42.439024390243901</v>
      </c>
      <c r="G26" s="375">
        <f t="shared" si="12"/>
        <v>41.707317073170728</v>
      </c>
      <c r="H26" s="375">
        <f t="shared" si="12"/>
        <v>42.439024390243901</v>
      </c>
      <c r="I26" s="375">
        <f t="shared" si="12"/>
        <v>42.439024390243901</v>
      </c>
      <c r="J26" s="375">
        <f t="shared" si="12"/>
        <v>38.292682926829265</v>
      </c>
      <c r="K26" s="375">
        <f t="shared" si="12"/>
        <v>42.439024390243901</v>
      </c>
      <c r="L26" s="375">
        <f t="shared" si="12"/>
        <v>40.975609756097562</v>
      </c>
      <c r="M26" s="375">
        <f t="shared" si="12"/>
        <v>42.439024390243901</v>
      </c>
      <c r="N26" s="375">
        <f t="shared" si="12"/>
        <v>40.975609756097562</v>
      </c>
      <c r="O26" s="375">
        <f t="shared" si="12"/>
        <v>42.439024390243901</v>
      </c>
      <c r="P26" s="375">
        <f t="shared" si="12"/>
        <v>42.439024390243901</v>
      </c>
      <c r="Q26" s="375">
        <f t="shared" si="12"/>
        <v>40.975609756097562</v>
      </c>
      <c r="R26" s="376">
        <f t="shared" si="9"/>
        <v>500</v>
      </c>
      <c r="S26" s="7">
        <f t="shared" si="10"/>
        <v>0</v>
      </c>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row>
    <row r="27" spans="1:58" s="12" customFormat="1" ht="15" x14ac:dyDescent="0.25">
      <c r="A27" s="87">
        <v>41250.000999999997</v>
      </c>
      <c r="B27" s="15" t="s">
        <v>15</v>
      </c>
      <c r="C27" s="626">
        <f>'[6]Med Surg'!$J$20</f>
        <v>280</v>
      </c>
      <c r="D27" s="13">
        <f t="shared" si="11"/>
        <v>0.13658536585365855</v>
      </c>
      <c r="E27" s="7"/>
      <c r="F27" s="375">
        <f t="shared" si="12"/>
        <v>23.765853658536589</v>
      </c>
      <c r="G27" s="375">
        <f t="shared" si="12"/>
        <v>23.356097560975613</v>
      </c>
      <c r="H27" s="375">
        <f t="shared" si="12"/>
        <v>23.765853658536589</v>
      </c>
      <c r="I27" s="375">
        <f t="shared" si="12"/>
        <v>23.765853658536589</v>
      </c>
      <c r="J27" s="375">
        <f t="shared" si="12"/>
        <v>21.443902439024392</v>
      </c>
      <c r="K27" s="375">
        <f t="shared" si="12"/>
        <v>23.765853658536589</v>
      </c>
      <c r="L27" s="375">
        <f t="shared" si="12"/>
        <v>22.946341463414637</v>
      </c>
      <c r="M27" s="375">
        <f t="shared" si="12"/>
        <v>23.765853658536589</v>
      </c>
      <c r="N27" s="375">
        <f t="shared" si="12"/>
        <v>22.946341463414637</v>
      </c>
      <c r="O27" s="375">
        <f t="shared" si="12"/>
        <v>23.765853658536589</v>
      </c>
      <c r="P27" s="375">
        <f t="shared" si="12"/>
        <v>23.765853658536589</v>
      </c>
      <c r="Q27" s="375">
        <f t="shared" si="12"/>
        <v>22.946341463414637</v>
      </c>
      <c r="R27" s="376">
        <f t="shared" si="9"/>
        <v>280</v>
      </c>
      <c r="S27" s="7">
        <f t="shared" si="10"/>
        <v>0</v>
      </c>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s="12" customFormat="1" x14ac:dyDescent="0.2">
      <c r="A28" s="87">
        <v>41260.000999999997</v>
      </c>
      <c r="B28" s="15" t="s">
        <v>14</v>
      </c>
      <c r="C28" s="14"/>
      <c r="D28" s="13">
        <f t="shared" si="11"/>
        <v>0</v>
      </c>
      <c r="E28" s="7"/>
      <c r="F28" s="375">
        <f t="shared" si="12"/>
        <v>0</v>
      </c>
      <c r="G28" s="375">
        <f t="shared" si="12"/>
        <v>0</v>
      </c>
      <c r="H28" s="375">
        <f t="shared" si="12"/>
        <v>0</v>
      </c>
      <c r="I28" s="375">
        <f t="shared" si="12"/>
        <v>0</v>
      </c>
      <c r="J28" s="375">
        <f t="shared" si="12"/>
        <v>0</v>
      </c>
      <c r="K28" s="375">
        <f t="shared" si="12"/>
        <v>0</v>
      </c>
      <c r="L28" s="375">
        <f t="shared" si="12"/>
        <v>0</v>
      </c>
      <c r="M28" s="375">
        <f t="shared" si="12"/>
        <v>0</v>
      </c>
      <c r="N28" s="375">
        <f t="shared" si="12"/>
        <v>0</v>
      </c>
      <c r="O28" s="375">
        <f t="shared" si="12"/>
        <v>0</v>
      </c>
      <c r="P28" s="375">
        <f t="shared" si="12"/>
        <v>0</v>
      </c>
      <c r="Q28" s="375">
        <f t="shared" si="12"/>
        <v>0</v>
      </c>
      <c r="R28" s="376">
        <f t="shared" si="9"/>
        <v>0</v>
      </c>
      <c r="S28" s="7">
        <f t="shared" si="10"/>
        <v>0</v>
      </c>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s="12" customFormat="1" x14ac:dyDescent="0.2">
      <c r="A29" s="87">
        <v>41313.000999999997</v>
      </c>
      <c r="B29" s="15" t="s">
        <v>13</v>
      </c>
      <c r="C29" s="14"/>
      <c r="D29" s="13">
        <f t="shared" si="11"/>
        <v>0</v>
      </c>
      <c r="E29" s="7"/>
      <c r="F29" s="375">
        <f t="shared" si="12"/>
        <v>0</v>
      </c>
      <c r="G29" s="375">
        <f t="shared" si="12"/>
        <v>0</v>
      </c>
      <c r="H29" s="375">
        <f t="shared" si="12"/>
        <v>0</v>
      </c>
      <c r="I29" s="375">
        <f t="shared" si="12"/>
        <v>0</v>
      </c>
      <c r="J29" s="375">
        <f t="shared" si="12"/>
        <v>0</v>
      </c>
      <c r="K29" s="375">
        <f t="shared" si="12"/>
        <v>0</v>
      </c>
      <c r="L29" s="375">
        <f t="shared" si="12"/>
        <v>0</v>
      </c>
      <c r="M29" s="375">
        <f t="shared" si="12"/>
        <v>0</v>
      </c>
      <c r="N29" s="375">
        <f t="shared" si="12"/>
        <v>0</v>
      </c>
      <c r="O29" s="375">
        <f t="shared" si="12"/>
        <v>0</v>
      </c>
      <c r="P29" s="375">
        <f t="shared" si="12"/>
        <v>0</v>
      </c>
      <c r="Q29" s="375">
        <f t="shared" si="12"/>
        <v>0</v>
      </c>
      <c r="R29" s="376">
        <f t="shared" si="9"/>
        <v>0</v>
      </c>
      <c r="S29" s="7">
        <f t="shared" si="10"/>
        <v>0</v>
      </c>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s="12" customFormat="1" x14ac:dyDescent="0.2">
      <c r="A30" s="87">
        <v>41329.000999999997</v>
      </c>
      <c r="B30" s="15" t="s">
        <v>12</v>
      </c>
      <c r="C30" s="14"/>
      <c r="D30" s="13">
        <f t="shared" si="11"/>
        <v>0</v>
      </c>
      <c r="E30" s="7"/>
      <c r="F30" s="375">
        <f t="shared" ref="F30:Q42" si="13">$D30*F$2</f>
        <v>0</v>
      </c>
      <c r="G30" s="375">
        <f t="shared" si="13"/>
        <v>0</v>
      </c>
      <c r="H30" s="375">
        <f t="shared" si="13"/>
        <v>0</v>
      </c>
      <c r="I30" s="375">
        <f t="shared" si="13"/>
        <v>0</v>
      </c>
      <c r="J30" s="375">
        <f t="shared" si="13"/>
        <v>0</v>
      </c>
      <c r="K30" s="375">
        <f t="shared" si="13"/>
        <v>0</v>
      </c>
      <c r="L30" s="375">
        <f t="shared" si="13"/>
        <v>0</v>
      </c>
      <c r="M30" s="375">
        <f t="shared" si="13"/>
        <v>0</v>
      </c>
      <c r="N30" s="375">
        <f t="shared" si="13"/>
        <v>0</v>
      </c>
      <c r="O30" s="375">
        <f t="shared" si="13"/>
        <v>0</v>
      </c>
      <c r="P30" s="375">
        <f t="shared" si="13"/>
        <v>0</v>
      </c>
      <c r="Q30" s="375">
        <f t="shared" si="13"/>
        <v>0</v>
      </c>
      <c r="R30" s="376">
        <f t="shared" si="9"/>
        <v>0</v>
      </c>
      <c r="S30" s="7">
        <f t="shared" si="10"/>
        <v>0</v>
      </c>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s="12" customFormat="1" x14ac:dyDescent="0.2">
      <c r="A31" s="87">
        <v>41342.000999999997</v>
      </c>
      <c r="B31" s="15" t="s">
        <v>11</v>
      </c>
      <c r="C31" s="14"/>
      <c r="D31" s="13">
        <f t="shared" si="11"/>
        <v>0</v>
      </c>
      <c r="E31" s="7"/>
      <c r="F31" s="375">
        <f t="shared" si="13"/>
        <v>0</v>
      </c>
      <c r="G31" s="375">
        <f t="shared" si="13"/>
        <v>0</v>
      </c>
      <c r="H31" s="375">
        <f t="shared" si="13"/>
        <v>0</v>
      </c>
      <c r="I31" s="375">
        <f t="shared" si="13"/>
        <v>0</v>
      </c>
      <c r="J31" s="375">
        <f t="shared" si="13"/>
        <v>0</v>
      </c>
      <c r="K31" s="375">
        <f t="shared" si="13"/>
        <v>0</v>
      </c>
      <c r="L31" s="375">
        <f t="shared" si="13"/>
        <v>0</v>
      </c>
      <c r="M31" s="375">
        <f t="shared" si="13"/>
        <v>0</v>
      </c>
      <c r="N31" s="375">
        <f t="shared" si="13"/>
        <v>0</v>
      </c>
      <c r="O31" s="375">
        <f t="shared" si="13"/>
        <v>0</v>
      </c>
      <c r="P31" s="375">
        <f t="shared" si="13"/>
        <v>0</v>
      </c>
      <c r="Q31" s="375">
        <f t="shared" si="13"/>
        <v>0</v>
      </c>
      <c r="R31" s="376">
        <f t="shared" si="9"/>
        <v>0</v>
      </c>
      <c r="S31" s="7">
        <f t="shared" si="10"/>
        <v>0</v>
      </c>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1:58" s="12" customFormat="1" ht="15" x14ac:dyDescent="0.25">
      <c r="A32" s="87">
        <v>41365.000999999997</v>
      </c>
      <c r="B32" s="15" t="s">
        <v>10</v>
      </c>
      <c r="C32" s="635">
        <f>'[6]Med Surg'!$J$22</f>
        <v>228500</v>
      </c>
      <c r="D32" s="13">
        <f t="shared" si="11"/>
        <v>111.46341463414635</v>
      </c>
      <c r="E32" s="7"/>
      <c r="F32" s="375">
        <f t="shared" si="13"/>
        <v>19394.634146341465</v>
      </c>
      <c r="G32" s="375">
        <f t="shared" si="13"/>
        <v>19060.243902439026</v>
      </c>
      <c r="H32" s="375">
        <f t="shared" si="13"/>
        <v>19394.634146341465</v>
      </c>
      <c r="I32" s="375">
        <f t="shared" si="13"/>
        <v>19394.634146341465</v>
      </c>
      <c r="J32" s="375">
        <f t="shared" si="13"/>
        <v>17499.756097560978</v>
      </c>
      <c r="K32" s="375">
        <f t="shared" si="13"/>
        <v>19394.634146341465</v>
      </c>
      <c r="L32" s="375">
        <f t="shared" si="13"/>
        <v>18725.853658536587</v>
      </c>
      <c r="M32" s="375">
        <f t="shared" si="13"/>
        <v>19394.634146341465</v>
      </c>
      <c r="N32" s="375">
        <f t="shared" si="13"/>
        <v>18725.853658536587</v>
      </c>
      <c r="O32" s="375">
        <f t="shared" si="13"/>
        <v>19394.634146341465</v>
      </c>
      <c r="P32" s="375">
        <f t="shared" si="13"/>
        <v>19394.634146341465</v>
      </c>
      <c r="Q32" s="375">
        <f t="shared" si="13"/>
        <v>18725.853658536587</v>
      </c>
      <c r="R32" s="376">
        <f t="shared" si="9"/>
        <v>228500.00000000006</v>
      </c>
      <c r="S32" s="7">
        <f t="shared" si="10"/>
        <v>0</v>
      </c>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1:58" s="12" customFormat="1" x14ac:dyDescent="0.2">
      <c r="A33" s="87">
        <v>41423.000999999997</v>
      </c>
      <c r="B33" s="15" t="s">
        <v>9</v>
      </c>
      <c r="C33" s="14"/>
      <c r="D33" s="13">
        <f t="shared" si="11"/>
        <v>0</v>
      </c>
      <c r="E33" s="7"/>
      <c r="F33" s="375">
        <f t="shared" si="13"/>
        <v>0</v>
      </c>
      <c r="G33" s="375">
        <f t="shared" si="13"/>
        <v>0</v>
      </c>
      <c r="H33" s="375">
        <f t="shared" si="13"/>
        <v>0</v>
      </c>
      <c r="I33" s="375">
        <f t="shared" si="13"/>
        <v>0</v>
      </c>
      <c r="J33" s="375">
        <f t="shared" si="13"/>
        <v>0</v>
      </c>
      <c r="K33" s="375">
        <f t="shared" si="13"/>
        <v>0</v>
      </c>
      <c r="L33" s="375">
        <f t="shared" si="13"/>
        <v>0</v>
      </c>
      <c r="M33" s="375">
        <f t="shared" si="13"/>
        <v>0</v>
      </c>
      <c r="N33" s="375">
        <f t="shared" si="13"/>
        <v>0</v>
      </c>
      <c r="O33" s="375">
        <f t="shared" si="13"/>
        <v>0</v>
      </c>
      <c r="P33" s="375">
        <f t="shared" si="13"/>
        <v>0</v>
      </c>
      <c r="Q33" s="375">
        <f t="shared" si="13"/>
        <v>0</v>
      </c>
      <c r="R33" s="376">
        <f t="shared" si="9"/>
        <v>0</v>
      </c>
      <c r="S33" s="7">
        <f t="shared" si="10"/>
        <v>0</v>
      </c>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1:58" s="12" customFormat="1" x14ac:dyDescent="0.2">
      <c r="A34" s="87">
        <v>41426.000999999997</v>
      </c>
      <c r="B34" s="15" t="s">
        <v>8</v>
      </c>
      <c r="C34" s="14">
        <f>'[6]Med Surg'!$J$23</f>
        <v>500</v>
      </c>
      <c r="D34" s="13">
        <f t="shared" si="11"/>
        <v>0.24390243902439024</v>
      </c>
      <c r="E34" s="7"/>
      <c r="F34" s="375">
        <f t="shared" si="13"/>
        <v>42.439024390243901</v>
      </c>
      <c r="G34" s="375">
        <f t="shared" si="13"/>
        <v>41.707317073170728</v>
      </c>
      <c r="H34" s="375">
        <f t="shared" si="13"/>
        <v>42.439024390243901</v>
      </c>
      <c r="I34" s="375">
        <f t="shared" si="13"/>
        <v>42.439024390243901</v>
      </c>
      <c r="J34" s="375">
        <f t="shared" si="13"/>
        <v>38.292682926829265</v>
      </c>
      <c r="K34" s="375">
        <f t="shared" si="13"/>
        <v>42.439024390243901</v>
      </c>
      <c r="L34" s="375">
        <f t="shared" si="13"/>
        <v>40.975609756097562</v>
      </c>
      <c r="M34" s="375">
        <f t="shared" si="13"/>
        <v>42.439024390243901</v>
      </c>
      <c r="N34" s="375">
        <f t="shared" si="13"/>
        <v>40.975609756097562</v>
      </c>
      <c r="O34" s="375">
        <f t="shared" si="13"/>
        <v>42.439024390243901</v>
      </c>
      <c r="P34" s="375">
        <f t="shared" si="13"/>
        <v>42.439024390243901</v>
      </c>
      <c r="Q34" s="375">
        <f t="shared" si="13"/>
        <v>40.975609756097562</v>
      </c>
      <c r="R34" s="376">
        <f t="shared" si="9"/>
        <v>500</v>
      </c>
      <c r="S34" s="7">
        <f t="shared" si="10"/>
        <v>0</v>
      </c>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1:58" s="12" customFormat="1" x14ac:dyDescent="0.2">
      <c r="A35" s="87">
        <v>41439.000999999997</v>
      </c>
      <c r="B35" s="15" t="s">
        <v>366</v>
      </c>
      <c r="C35" s="14"/>
      <c r="D35" s="13">
        <f t="shared" si="11"/>
        <v>0</v>
      </c>
      <c r="E35" s="7"/>
      <c r="F35" s="375">
        <f t="shared" si="13"/>
        <v>0</v>
      </c>
      <c r="G35" s="375">
        <f t="shared" si="13"/>
        <v>0</v>
      </c>
      <c r="H35" s="375">
        <f t="shared" si="13"/>
        <v>0</v>
      </c>
      <c r="I35" s="375">
        <f t="shared" si="13"/>
        <v>0</v>
      </c>
      <c r="J35" s="375">
        <f t="shared" si="13"/>
        <v>0</v>
      </c>
      <c r="K35" s="375">
        <f t="shared" si="13"/>
        <v>0</v>
      </c>
      <c r="L35" s="375">
        <f t="shared" si="13"/>
        <v>0</v>
      </c>
      <c r="M35" s="375">
        <f t="shared" si="13"/>
        <v>0</v>
      </c>
      <c r="N35" s="375">
        <f t="shared" si="13"/>
        <v>0</v>
      </c>
      <c r="O35" s="375">
        <f t="shared" si="13"/>
        <v>0</v>
      </c>
      <c r="P35" s="375">
        <f t="shared" si="13"/>
        <v>0</v>
      </c>
      <c r="Q35" s="375">
        <f t="shared" si="13"/>
        <v>0</v>
      </c>
      <c r="R35" s="375">
        <f t="shared" ref="R35" si="14">SUM(F35:Q35)</f>
        <v>0</v>
      </c>
      <c r="S35" s="7">
        <f t="shared" ref="S35" si="15">C35-R35</f>
        <v>0</v>
      </c>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1:58" s="12" customFormat="1" x14ac:dyDescent="0.2">
      <c r="A36" s="87">
        <v>41440.000999999997</v>
      </c>
      <c r="B36" s="15" t="s">
        <v>7</v>
      </c>
      <c r="C36" s="14"/>
      <c r="D36" s="13">
        <f t="shared" si="11"/>
        <v>0</v>
      </c>
      <c r="E36" s="7"/>
      <c r="F36" s="375">
        <f t="shared" si="13"/>
        <v>0</v>
      </c>
      <c r="G36" s="375">
        <f t="shared" si="13"/>
        <v>0</v>
      </c>
      <c r="H36" s="375">
        <f t="shared" si="13"/>
        <v>0</v>
      </c>
      <c r="I36" s="375">
        <f t="shared" si="13"/>
        <v>0</v>
      </c>
      <c r="J36" s="375">
        <f t="shared" si="13"/>
        <v>0</v>
      </c>
      <c r="K36" s="375">
        <f t="shared" si="13"/>
        <v>0</v>
      </c>
      <c r="L36" s="375">
        <f t="shared" si="13"/>
        <v>0</v>
      </c>
      <c r="M36" s="375">
        <f t="shared" si="13"/>
        <v>0</v>
      </c>
      <c r="N36" s="375">
        <f t="shared" si="13"/>
        <v>0</v>
      </c>
      <c r="O36" s="375">
        <f t="shared" si="13"/>
        <v>0</v>
      </c>
      <c r="P36" s="375">
        <f t="shared" si="13"/>
        <v>0</v>
      </c>
      <c r="Q36" s="375">
        <f t="shared" si="13"/>
        <v>0</v>
      </c>
      <c r="R36" s="376">
        <f t="shared" si="9"/>
        <v>0</v>
      </c>
      <c r="S36" s="7">
        <f t="shared" si="10"/>
        <v>0</v>
      </c>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1:58" s="12" customFormat="1" x14ac:dyDescent="0.2">
      <c r="A37" s="87">
        <v>41460.000999999997</v>
      </c>
      <c r="B37" s="15" t="s">
        <v>6</v>
      </c>
      <c r="C37" s="14"/>
      <c r="D37" s="13">
        <f t="shared" si="11"/>
        <v>0</v>
      </c>
      <c r="E37" s="7"/>
      <c r="F37" s="375">
        <f t="shared" si="13"/>
        <v>0</v>
      </c>
      <c r="G37" s="375">
        <f t="shared" si="13"/>
        <v>0</v>
      </c>
      <c r="H37" s="375">
        <f t="shared" si="13"/>
        <v>0</v>
      </c>
      <c r="I37" s="375">
        <f t="shared" si="13"/>
        <v>0</v>
      </c>
      <c r="J37" s="375">
        <f t="shared" si="13"/>
        <v>0</v>
      </c>
      <c r="K37" s="375">
        <f t="shared" si="13"/>
        <v>0</v>
      </c>
      <c r="L37" s="375">
        <f t="shared" si="13"/>
        <v>0</v>
      </c>
      <c r="M37" s="375">
        <f t="shared" si="13"/>
        <v>0</v>
      </c>
      <c r="N37" s="375">
        <f t="shared" si="13"/>
        <v>0</v>
      </c>
      <c r="O37" s="375">
        <f t="shared" si="13"/>
        <v>0</v>
      </c>
      <c r="P37" s="375">
        <f t="shared" si="13"/>
        <v>0</v>
      </c>
      <c r="Q37" s="375">
        <f t="shared" si="13"/>
        <v>0</v>
      </c>
      <c r="R37" s="376">
        <f t="shared" si="9"/>
        <v>0</v>
      </c>
      <c r="S37" s="7">
        <f t="shared" si="10"/>
        <v>0</v>
      </c>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1:58" s="12" customFormat="1" x14ac:dyDescent="0.2">
      <c r="A38" s="87">
        <v>41461.000999999997</v>
      </c>
      <c r="B38" s="15" t="s">
        <v>5</v>
      </c>
      <c r="C38" s="14"/>
      <c r="D38" s="13">
        <f t="shared" si="11"/>
        <v>0</v>
      </c>
      <c r="E38" s="7"/>
      <c r="F38" s="375">
        <f t="shared" si="13"/>
        <v>0</v>
      </c>
      <c r="G38" s="375">
        <f t="shared" si="13"/>
        <v>0</v>
      </c>
      <c r="H38" s="375">
        <f t="shared" si="13"/>
        <v>0</v>
      </c>
      <c r="I38" s="375">
        <f t="shared" si="13"/>
        <v>0</v>
      </c>
      <c r="J38" s="375">
        <f t="shared" si="13"/>
        <v>0</v>
      </c>
      <c r="K38" s="375">
        <f t="shared" si="13"/>
        <v>0</v>
      </c>
      <c r="L38" s="375">
        <f t="shared" si="13"/>
        <v>0</v>
      </c>
      <c r="M38" s="375">
        <f t="shared" si="13"/>
        <v>0</v>
      </c>
      <c r="N38" s="375">
        <f t="shared" si="13"/>
        <v>0</v>
      </c>
      <c r="O38" s="375">
        <f t="shared" si="13"/>
        <v>0</v>
      </c>
      <c r="P38" s="375">
        <f t="shared" si="13"/>
        <v>0</v>
      </c>
      <c r="Q38" s="375">
        <f t="shared" si="13"/>
        <v>0</v>
      </c>
      <c r="R38" s="376">
        <f t="shared" si="9"/>
        <v>0</v>
      </c>
      <c r="S38" s="7">
        <f t="shared" si="10"/>
        <v>0</v>
      </c>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s="12" customFormat="1" x14ac:dyDescent="0.2">
      <c r="A39" s="87">
        <v>41490.000999999997</v>
      </c>
      <c r="B39" s="15" t="s">
        <v>4</v>
      </c>
      <c r="C39" s="14"/>
      <c r="D39" s="13">
        <f t="shared" si="11"/>
        <v>0</v>
      </c>
      <c r="E39" s="7"/>
      <c r="F39" s="375">
        <f t="shared" si="13"/>
        <v>0</v>
      </c>
      <c r="G39" s="375">
        <f t="shared" si="13"/>
        <v>0</v>
      </c>
      <c r="H39" s="375">
        <f t="shared" si="13"/>
        <v>0</v>
      </c>
      <c r="I39" s="375">
        <f t="shared" si="13"/>
        <v>0</v>
      </c>
      <c r="J39" s="375">
        <f t="shared" si="13"/>
        <v>0</v>
      </c>
      <c r="K39" s="375">
        <f t="shared" si="13"/>
        <v>0</v>
      </c>
      <c r="L39" s="375">
        <f t="shared" si="13"/>
        <v>0</v>
      </c>
      <c r="M39" s="375">
        <f t="shared" si="13"/>
        <v>0</v>
      </c>
      <c r="N39" s="375">
        <f t="shared" si="13"/>
        <v>0</v>
      </c>
      <c r="O39" s="375">
        <f t="shared" si="13"/>
        <v>0</v>
      </c>
      <c r="P39" s="375">
        <f t="shared" si="13"/>
        <v>0</v>
      </c>
      <c r="Q39" s="375">
        <f t="shared" si="13"/>
        <v>0</v>
      </c>
      <c r="R39" s="376">
        <f t="shared" si="9"/>
        <v>0</v>
      </c>
      <c r="S39" s="7">
        <f t="shared" si="10"/>
        <v>0</v>
      </c>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s="12" customFormat="1" x14ac:dyDescent="0.2">
      <c r="A40" s="87">
        <v>41509.000999999997</v>
      </c>
      <c r="B40" s="15" t="s">
        <v>3</v>
      </c>
      <c r="C40" s="14">
        <f>'[6]Med Surg'!$J$24</f>
        <v>1500</v>
      </c>
      <c r="D40" s="13">
        <f t="shared" si="11"/>
        <v>0.73170731707317072</v>
      </c>
      <c r="E40" s="7"/>
      <c r="F40" s="375">
        <f t="shared" si="13"/>
        <v>127.3170731707317</v>
      </c>
      <c r="G40" s="375">
        <f t="shared" si="13"/>
        <v>125.1219512195122</v>
      </c>
      <c r="H40" s="375">
        <f t="shared" si="13"/>
        <v>127.3170731707317</v>
      </c>
      <c r="I40" s="375">
        <f t="shared" si="13"/>
        <v>127.3170731707317</v>
      </c>
      <c r="J40" s="375">
        <f t="shared" si="13"/>
        <v>114.8780487804878</v>
      </c>
      <c r="K40" s="375">
        <f t="shared" si="13"/>
        <v>127.3170731707317</v>
      </c>
      <c r="L40" s="375">
        <f t="shared" si="13"/>
        <v>122.92682926829268</v>
      </c>
      <c r="M40" s="375">
        <f t="shared" si="13"/>
        <v>127.3170731707317</v>
      </c>
      <c r="N40" s="375">
        <f t="shared" si="13"/>
        <v>122.92682926829268</v>
      </c>
      <c r="O40" s="375">
        <f t="shared" si="13"/>
        <v>127.3170731707317</v>
      </c>
      <c r="P40" s="375">
        <f t="shared" si="13"/>
        <v>127.3170731707317</v>
      </c>
      <c r="Q40" s="375">
        <f t="shared" si="13"/>
        <v>122.92682926829268</v>
      </c>
      <c r="R40" s="376">
        <f t="shared" si="9"/>
        <v>1500</v>
      </c>
      <c r="S40" s="7">
        <f t="shared" si="10"/>
        <v>0</v>
      </c>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s="12" customFormat="1" x14ac:dyDescent="0.2">
      <c r="A41" s="87">
        <v>41570.000999999997</v>
      </c>
      <c r="B41" s="15" t="s">
        <v>2</v>
      </c>
      <c r="C41" s="14">
        <f>'[6]Med Surg'!$J$25</f>
        <v>350</v>
      </c>
      <c r="D41" s="13">
        <f t="shared" si="11"/>
        <v>0.17073170731707318</v>
      </c>
      <c r="E41" s="7"/>
      <c r="F41" s="375">
        <f t="shared" si="13"/>
        <v>29.707317073170735</v>
      </c>
      <c r="G41" s="375">
        <f t="shared" si="13"/>
        <v>29.195121951219516</v>
      </c>
      <c r="H41" s="375">
        <f t="shared" si="13"/>
        <v>29.707317073170735</v>
      </c>
      <c r="I41" s="375">
        <f t="shared" si="13"/>
        <v>29.707317073170735</v>
      </c>
      <c r="J41" s="375">
        <f t="shared" si="13"/>
        <v>26.804878048780491</v>
      </c>
      <c r="K41" s="375">
        <f t="shared" si="13"/>
        <v>29.707317073170735</v>
      </c>
      <c r="L41" s="375">
        <f t="shared" si="13"/>
        <v>28.682926829268293</v>
      </c>
      <c r="M41" s="375">
        <f t="shared" si="13"/>
        <v>29.707317073170735</v>
      </c>
      <c r="N41" s="375">
        <f t="shared" si="13"/>
        <v>28.682926829268293</v>
      </c>
      <c r="O41" s="375">
        <f t="shared" si="13"/>
        <v>29.707317073170735</v>
      </c>
      <c r="P41" s="375">
        <f t="shared" si="13"/>
        <v>29.707317073170735</v>
      </c>
      <c r="Q41" s="375">
        <f t="shared" si="13"/>
        <v>28.682926829268293</v>
      </c>
      <c r="R41" s="376">
        <f t="shared" si="9"/>
        <v>350</v>
      </c>
      <c r="S41" s="7">
        <f t="shared" si="10"/>
        <v>0</v>
      </c>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1:58" s="12" customFormat="1" x14ac:dyDescent="0.2">
      <c r="A42" s="87">
        <v>41571.000999999997</v>
      </c>
      <c r="B42" s="15" t="s">
        <v>1</v>
      </c>
      <c r="C42" s="14">
        <f>'[6]Med Surg'!$J$26</f>
        <v>7300</v>
      </c>
      <c r="D42" s="13">
        <f t="shared" si="11"/>
        <v>3.5609756097560976</v>
      </c>
      <c r="E42" s="7"/>
      <c r="F42" s="375">
        <f t="shared" si="13"/>
        <v>619.60975609756099</v>
      </c>
      <c r="G42" s="375">
        <f t="shared" si="13"/>
        <v>608.92682926829264</v>
      </c>
      <c r="H42" s="375">
        <f t="shared" si="13"/>
        <v>619.60975609756099</v>
      </c>
      <c r="I42" s="375">
        <f t="shared" si="13"/>
        <v>619.60975609756099</v>
      </c>
      <c r="J42" s="375">
        <f t="shared" si="13"/>
        <v>559.07317073170736</v>
      </c>
      <c r="K42" s="375">
        <f t="shared" si="13"/>
        <v>619.60975609756099</v>
      </c>
      <c r="L42" s="375">
        <f t="shared" si="13"/>
        <v>598.2439024390244</v>
      </c>
      <c r="M42" s="375">
        <f t="shared" si="13"/>
        <v>619.60975609756099</v>
      </c>
      <c r="N42" s="375">
        <f t="shared" si="13"/>
        <v>598.2439024390244</v>
      </c>
      <c r="O42" s="375">
        <f t="shared" si="13"/>
        <v>619.60975609756099</v>
      </c>
      <c r="P42" s="375">
        <f t="shared" si="13"/>
        <v>619.60975609756099</v>
      </c>
      <c r="Q42" s="375">
        <f t="shared" si="13"/>
        <v>598.2439024390244</v>
      </c>
      <c r="R42" s="376">
        <f t="shared" si="9"/>
        <v>7300</v>
      </c>
      <c r="S42" s="7">
        <f t="shared" si="10"/>
        <v>0</v>
      </c>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1:58" s="5" customFormat="1" x14ac:dyDescent="0.2">
      <c r="A43" s="11"/>
      <c r="B43" s="10" t="s">
        <v>0</v>
      </c>
      <c r="C43" s="8">
        <f>SUM(C20:C42)</f>
        <v>1184874.0664790124</v>
      </c>
      <c r="D43" s="9">
        <f>SUM(D20:D42)</f>
        <v>154.4856958228938</v>
      </c>
      <c r="E43" s="104"/>
      <c r="F43" s="397">
        <f t="shared" ref="F43:Q43" si="16">SUM(F20:F42)</f>
        <v>100618.68055428166</v>
      </c>
      <c r="G43" s="397">
        <f t="shared" si="16"/>
        <v>97717.666940807569</v>
      </c>
      <c r="H43" s="397">
        <f t="shared" si="16"/>
        <v>100618.68055428166</v>
      </c>
      <c r="I43" s="397">
        <f t="shared" si="16"/>
        <v>100618.68055428166</v>
      </c>
      <c r="J43" s="397">
        <f t="shared" si="16"/>
        <v>90860.108006542345</v>
      </c>
      <c r="K43" s="397">
        <f t="shared" si="16"/>
        <v>100618.68055428166</v>
      </c>
      <c r="L43" s="397">
        <f t="shared" si="16"/>
        <v>97321.84255056367</v>
      </c>
      <c r="M43" s="397">
        <f t="shared" si="16"/>
        <v>100618.68055428166</v>
      </c>
      <c r="N43" s="397">
        <f t="shared" si="16"/>
        <v>97321.84255056367</v>
      </c>
      <c r="O43" s="397">
        <f t="shared" si="16"/>
        <v>100618.68055428166</v>
      </c>
      <c r="P43" s="397">
        <f t="shared" si="16"/>
        <v>100618.68055428166</v>
      </c>
      <c r="Q43" s="397">
        <f t="shared" si="16"/>
        <v>97321.84255056367</v>
      </c>
      <c r="R43" s="376">
        <f t="shared" si="9"/>
        <v>1184874.0664790124</v>
      </c>
      <c r="S43" s="7">
        <f t="shared" si="10"/>
        <v>0</v>
      </c>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row>
    <row r="44" spans="1:58" x14ac:dyDescent="0.2">
      <c r="C44" s="3">
        <f>C43-C16</f>
        <v>56597.016168881208</v>
      </c>
      <c r="F44" s="3"/>
    </row>
    <row r="45" spans="1:58" x14ac:dyDescent="0.2">
      <c r="A45" s="4"/>
      <c r="B45" s="4"/>
      <c r="C45" s="4"/>
      <c r="F45" s="3"/>
      <c r="G45" s="3"/>
      <c r="H45" s="3"/>
      <c r="I45" s="3"/>
      <c r="J45" s="3"/>
      <c r="K45" s="3"/>
      <c r="L45" s="3"/>
      <c r="M45" s="3"/>
      <c r="N45" s="3"/>
      <c r="O45" s="3"/>
      <c r="P45" s="3"/>
      <c r="Q45" s="3"/>
    </row>
    <row r="46" spans="1:58" x14ac:dyDescent="0.2">
      <c r="A46" s="4"/>
      <c r="B46" s="4"/>
      <c r="C46" s="7"/>
      <c r="F46" s="3"/>
      <c r="G46" s="3"/>
      <c r="H46" s="3"/>
      <c r="I46" s="3"/>
      <c r="J46" s="3"/>
      <c r="K46" s="3"/>
      <c r="L46" s="3"/>
      <c r="M46" s="3"/>
      <c r="N46" s="3"/>
      <c r="O46" s="3"/>
      <c r="P46" s="3"/>
      <c r="Q46" s="3"/>
    </row>
    <row r="47" spans="1:58" x14ac:dyDescent="0.2">
      <c r="B47" s="4"/>
      <c r="C47" s="7"/>
      <c r="F47" s="3"/>
      <c r="G47" s="3"/>
      <c r="H47" s="3"/>
      <c r="I47" s="3"/>
      <c r="J47" s="3"/>
      <c r="K47" s="3"/>
      <c r="L47" s="3"/>
      <c r="M47" s="3"/>
      <c r="N47" s="3"/>
      <c r="O47" s="3"/>
      <c r="P47" s="3"/>
      <c r="Q47" s="3"/>
    </row>
    <row r="48" spans="1:58" x14ac:dyDescent="0.2">
      <c r="A48" s="87"/>
    </row>
  </sheetData>
  <mergeCells count="2">
    <mergeCell ref="A6:D6"/>
    <mergeCell ref="A18:D18"/>
  </mergeCells>
  <printOptions gridLines="1"/>
  <pageMargins left="0.25" right="0.25" top="0.75" bottom="0.75" header="0.3" footer="0.3"/>
  <pageSetup scale="51" fitToHeight="0" orientation="landscape" r:id="rId1"/>
  <headerFooter alignWithMargins="0">
    <oddHeader xml:space="preserve">&amp;C&amp;"Arial,Bold"&amp;14DOCTORS MEMORIAL HOSPITAL
FY 2017 BUDGET
</oddHeader>
    <oddFooter xml:space="preserve">&amp;R&amp;A
</oddFooter>
  </headerFooter>
  <ignoredErrors>
    <ignoredError sqref="R2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BF41"/>
  <sheetViews>
    <sheetView topLeftCell="B1" zoomScaleNormal="100" workbookViewId="0">
      <pane xSplit="4" ySplit="4" topLeftCell="F8" activePane="bottomRight" state="frozen"/>
      <selection activeCell="B1" sqref="B1"/>
      <selection pane="topRight" activeCell="F1" sqref="F1"/>
      <selection pane="bottomLeft" activeCell="B5" sqref="B5"/>
      <selection pane="bottomRight" activeCell="C33" sqref="C33"/>
    </sheetView>
  </sheetViews>
  <sheetFormatPr defaultRowHeight="12.75" x14ac:dyDescent="0.2"/>
  <cols>
    <col min="1" max="1" width="11" style="40" bestFit="1" customWidth="1"/>
    <col min="2" max="2" width="23" style="40" bestFit="1" customWidth="1"/>
    <col min="3" max="3" width="13.7109375" style="40" bestFit="1" customWidth="1"/>
    <col min="4" max="4" width="14" style="47" bestFit="1" customWidth="1"/>
    <col min="5" max="5" width="3.85546875" style="47" customWidth="1"/>
    <col min="6" max="10" width="15.42578125" style="40" bestFit="1" customWidth="1"/>
    <col min="11" max="11" width="15.85546875" style="40" bestFit="1" customWidth="1"/>
    <col min="12" max="12" width="15.140625" style="40" bestFit="1" customWidth="1"/>
    <col min="13" max="14" width="14.85546875" style="40" bestFit="1" customWidth="1"/>
    <col min="15" max="15" width="15.85546875" style="40" bestFit="1" customWidth="1"/>
    <col min="16" max="16" width="16.5703125" style="40" bestFit="1" customWidth="1"/>
    <col min="17" max="17" width="16.28515625" style="40" bestFit="1" customWidth="1"/>
    <col min="18" max="18" width="18" style="48" bestFit="1" customWidth="1"/>
    <col min="19" max="19" width="9.5703125" style="40" bestFit="1" customWidth="1"/>
    <col min="20" max="58" width="9.140625" style="40"/>
    <col min="59" max="257" width="9.140625" style="61"/>
    <col min="258" max="258" width="11" style="61" bestFit="1" customWidth="1"/>
    <col min="259" max="259" width="28.28515625" style="61" bestFit="1" customWidth="1"/>
    <col min="260" max="260" width="16.140625" style="61" customWidth="1"/>
    <col min="261" max="261" width="11" style="61" customWidth="1"/>
    <col min="262" max="262" width="12.85546875" style="61" bestFit="1" customWidth="1"/>
    <col min="263" max="263" width="13.85546875" style="61" bestFit="1" customWidth="1"/>
    <col min="264" max="273" width="11.28515625" style="61" bestFit="1" customWidth="1"/>
    <col min="274" max="274" width="11.140625" style="61" bestFit="1" customWidth="1"/>
    <col min="275" max="275" width="10.42578125" style="61" bestFit="1" customWidth="1"/>
    <col min="276" max="513" width="9.140625" style="61"/>
    <col min="514" max="514" width="11" style="61" bestFit="1" customWidth="1"/>
    <col min="515" max="515" width="28.28515625" style="61" bestFit="1" customWidth="1"/>
    <col min="516" max="516" width="16.140625" style="61" customWidth="1"/>
    <col min="517" max="517" width="11" style="61" customWidth="1"/>
    <col min="518" max="518" width="12.85546875" style="61" bestFit="1" customWidth="1"/>
    <col min="519" max="519" width="13.85546875" style="61" bestFit="1" customWidth="1"/>
    <col min="520" max="529" width="11.28515625" style="61" bestFit="1" customWidth="1"/>
    <col min="530" max="530" width="11.140625" style="61" bestFit="1" customWidth="1"/>
    <col min="531" max="531" width="10.42578125" style="61" bestFit="1" customWidth="1"/>
    <col min="532" max="769" width="9.140625" style="61"/>
    <col min="770" max="770" width="11" style="61" bestFit="1" customWidth="1"/>
    <col min="771" max="771" width="28.28515625" style="61" bestFit="1" customWidth="1"/>
    <col min="772" max="772" width="16.140625" style="61" customWidth="1"/>
    <col min="773" max="773" width="11" style="61" customWidth="1"/>
    <col min="774" max="774" width="12.85546875" style="61" bestFit="1" customWidth="1"/>
    <col min="775" max="775" width="13.85546875" style="61" bestFit="1" customWidth="1"/>
    <col min="776" max="785" width="11.28515625" style="61" bestFit="1" customWidth="1"/>
    <col min="786" max="786" width="11.140625" style="61" bestFit="1" customWidth="1"/>
    <col min="787" max="787" width="10.42578125" style="61" bestFit="1" customWidth="1"/>
    <col min="788" max="1025" width="9.140625" style="61"/>
    <col min="1026" max="1026" width="11" style="61" bestFit="1" customWidth="1"/>
    <col min="1027" max="1027" width="28.28515625" style="61" bestFit="1" customWidth="1"/>
    <col min="1028" max="1028" width="16.140625" style="61" customWidth="1"/>
    <col min="1029" max="1029" width="11" style="61" customWidth="1"/>
    <col min="1030" max="1030" width="12.85546875" style="61" bestFit="1" customWidth="1"/>
    <col min="1031" max="1031" width="13.85546875" style="61" bestFit="1" customWidth="1"/>
    <col min="1032" max="1041" width="11.28515625" style="61" bestFit="1" customWidth="1"/>
    <col min="1042" max="1042" width="11.140625" style="61" bestFit="1" customWidth="1"/>
    <col min="1043" max="1043" width="10.42578125" style="61" bestFit="1" customWidth="1"/>
    <col min="1044" max="1281" width="9.140625" style="61"/>
    <col min="1282" max="1282" width="11" style="61" bestFit="1" customWidth="1"/>
    <col min="1283" max="1283" width="28.28515625" style="61" bestFit="1" customWidth="1"/>
    <col min="1284" max="1284" width="16.140625" style="61" customWidth="1"/>
    <col min="1285" max="1285" width="11" style="61" customWidth="1"/>
    <col min="1286" max="1286" width="12.85546875" style="61" bestFit="1" customWidth="1"/>
    <col min="1287" max="1287" width="13.85546875" style="61" bestFit="1" customWidth="1"/>
    <col min="1288" max="1297" width="11.28515625" style="61" bestFit="1" customWidth="1"/>
    <col min="1298" max="1298" width="11.140625" style="61" bestFit="1" customWidth="1"/>
    <col min="1299" max="1299" width="10.42578125" style="61" bestFit="1" customWidth="1"/>
    <col min="1300" max="1537" width="9.140625" style="61"/>
    <col min="1538" max="1538" width="11" style="61" bestFit="1" customWidth="1"/>
    <col min="1539" max="1539" width="28.28515625" style="61" bestFit="1" customWidth="1"/>
    <col min="1540" max="1540" width="16.140625" style="61" customWidth="1"/>
    <col min="1541" max="1541" width="11" style="61" customWidth="1"/>
    <col min="1542" max="1542" width="12.85546875" style="61" bestFit="1" customWidth="1"/>
    <col min="1543" max="1543" width="13.85546875" style="61" bestFit="1" customWidth="1"/>
    <col min="1544" max="1553" width="11.28515625" style="61" bestFit="1" customWidth="1"/>
    <col min="1554" max="1554" width="11.140625" style="61" bestFit="1" customWidth="1"/>
    <col min="1555" max="1555" width="10.42578125" style="61" bestFit="1" customWidth="1"/>
    <col min="1556" max="1793" width="9.140625" style="61"/>
    <col min="1794" max="1794" width="11" style="61" bestFit="1" customWidth="1"/>
    <col min="1795" max="1795" width="28.28515625" style="61" bestFit="1" customWidth="1"/>
    <col min="1796" max="1796" width="16.140625" style="61" customWidth="1"/>
    <col min="1797" max="1797" width="11" style="61" customWidth="1"/>
    <col min="1798" max="1798" width="12.85546875" style="61" bestFit="1" customWidth="1"/>
    <col min="1799" max="1799" width="13.85546875" style="61" bestFit="1" customWidth="1"/>
    <col min="1800" max="1809" width="11.28515625" style="61" bestFit="1" customWidth="1"/>
    <col min="1810" max="1810" width="11.140625" style="61" bestFit="1" customWidth="1"/>
    <col min="1811" max="1811" width="10.42578125" style="61" bestFit="1" customWidth="1"/>
    <col min="1812" max="2049" width="9.140625" style="61"/>
    <col min="2050" max="2050" width="11" style="61" bestFit="1" customWidth="1"/>
    <col min="2051" max="2051" width="28.28515625" style="61" bestFit="1" customWidth="1"/>
    <col min="2052" max="2052" width="16.140625" style="61" customWidth="1"/>
    <col min="2053" max="2053" width="11" style="61" customWidth="1"/>
    <col min="2054" max="2054" width="12.85546875" style="61" bestFit="1" customWidth="1"/>
    <col min="2055" max="2055" width="13.85546875" style="61" bestFit="1" customWidth="1"/>
    <col min="2056" max="2065" width="11.28515625" style="61" bestFit="1" customWidth="1"/>
    <col min="2066" max="2066" width="11.140625" style="61" bestFit="1" customWidth="1"/>
    <col min="2067" max="2067" width="10.42578125" style="61" bestFit="1" customWidth="1"/>
    <col min="2068" max="2305" width="9.140625" style="61"/>
    <col min="2306" max="2306" width="11" style="61" bestFit="1" customWidth="1"/>
    <col min="2307" max="2307" width="28.28515625" style="61" bestFit="1" customWidth="1"/>
    <col min="2308" max="2308" width="16.140625" style="61" customWidth="1"/>
    <col min="2309" max="2309" width="11" style="61" customWidth="1"/>
    <col min="2310" max="2310" width="12.85546875" style="61" bestFit="1" customWidth="1"/>
    <col min="2311" max="2311" width="13.85546875" style="61" bestFit="1" customWidth="1"/>
    <col min="2312" max="2321" width="11.28515625" style="61" bestFit="1" customWidth="1"/>
    <col min="2322" max="2322" width="11.140625" style="61" bestFit="1" customWidth="1"/>
    <col min="2323" max="2323" width="10.42578125" style="61" bestFit="1" customWidth="1"/>
    <col min="2324" max="2561" width="9.140625" style="61"/>
    <col min="2562" max="2562" width="11" style="61" bestFit="1" customWidth="1"/>
    <col min="2563" max="2563" width="28.28515625" style="61" bestFit="1" customWidth="1"/>
    <col min="2564" max="2564" width="16.140625" style="61" customWidth="1"/>
    <col min="2565" max="2565" width="11" style="61" customWidth="1"/>
    <col min="2566" max="2566" width="12.85546875" style="61" bestFit="1" customWidth="1"/>
    <col min="2567" max="2567" width="13.85546875" style="61" bestFit="1" customWidth="1"/>
    <col min="2568" max="2577" width="11.28515625" style="61" bestFit="1" customWidth="1"/>
    <col min="2578" max="2578" width="11.140625" style="61" bestFit="1" customWidth="1"/>
    <col min="2579" max="2579" width="10.42578125" style="61" bestFit="1" customWidth="1"/>
    <col min="2580" max="2817" width="9.140625" style="61"/>
    <col min="2818" max="2818" width="11" style="61" bestFit="1" customWidth="1"/>
    <col min="2819" max="2819" width="28.28515625" style="61" bestFit="1" customWidth="1"/>
    <col min="2820" max="2820" width="16.140625" style="61" customWidth="1"/>
    <col min="2821" max="2821" width="11" style="61" customWidth="1"/>
    <col min="2822" max="2822" width="12.85546875" style="61" bestFit="1" customWidth="1"/>
    <col min="2823" max="2823" width="13.85546875" style="61" bestFit="1" customWidth="1"/>
    <col min="2824" max="2833" width="11.28515625" style="61" bestFit="1" customWidth="1"/>
    <col min="2834" max="2834" width="11.140625" style="61" bestFit="1" customWidth="1"/>
    <col min="2835" max="2835" width="10.42578125" style="61" bestFit="1" customWidth="1"/>
    <col min="2836" max="3073" width="9.140625" style="61"/>
    <col min="3074" max="3074" width="11" style="61" bestFit="1" customWidth="1"/>
    <col min="3075" max="3075" width="28.28515625" style="61" bestFit="1" customWidth="1"/>
    <col min="3076" max="3076" width="16.140625" style="61" customWidth="1"/>
    <col min="3077" max="3077" width="11" style="61" customWidth="1"/>
    <col min="3078" max="3078" width="12.85546875" style="61" bestFit="1" customWidth="1"/>
    <col min="3079" max="3079" width="13.85546875" style="61" bestFit="1" customWidth="1"/>
    <col min="3080" max="3089" width="11.28515625" style="61" bestFit="1" customWidth="1"/>
    <col min="3090" max="3090" width="11.140625" style="61" bestFit="1" customWidth="1"/>
    <col min="3091" max="3091" width="10.42578125" style="61" bestFit="1" customWidth="1"/>
    <col min="3092" max="3329" width="9.140625" style="61"/>
    <col min="3330" max="3330" width="11" style="61" bestFit="1" customWidth="1"/>
    <col min="3331" max="3331" width="28.28515625" style="61" bestFit="1" customWidth="1"/>
    <col min="3332" max="3332" width="16.140625" style="61" customWidth="1"/>
    <col min="3333" max="3333" width="11" style="61" customWidth="1"/>
    <col min="3334" max="3334" width="12.85546875" style="61" bestFit="1" customWidth="1"/>
    <col min="3335" max="3335" width="13.85546875" style="61" bestFit="1" customWidth="1"/>
    <col min="3336" max="3345" width="11.28515625" style="61" bestFit="1" customWidth="1"/>
    <col min="3346" max="3346" width="11.140625" style="61" bestFit="1" customWidth="1"/>
    <col min="3347" max="3347" width="10.42578125" style="61" bestFit="1" customWidth="1"/>
    <col min="3348" max="3585" width="9.140625" style="61"/>
    <col min="3586" max="3586" width="11" style="61" bestFit="1" customWidth="1"/>
    <col min="3587" max="3587" width="28.28515625" style="61" bestFit="1" customWidth="1"/>
    <col min="3588" max="3588" width="16.140625" style="61" customWidth="1"/>
    <col min="3589" max="3589" width="11" style="61" customWidth="1"/>
    <col min="3590" max="3590" width="12.85546875" style="61" bestFit="1" customWidth="1"/>
    <col min="3591" max="3591" width="13.85546875" style="61" bestFit="1" customWidth="1"/>
    <col min="3592" max="3601" width="11.28515625" style="61" bestFit="1" customWidth="1"/>
    <col min="3602" max="3602" width="11.140625" style="61" bestFit="1" customWidth="1"/>
    <col min="3603" max="3603" width="10.42578125" style="61" bestFit="1" customWidth="1"/>
    <col min="3604" max="3841" width="9.140625" style="61"/>
    <col min="3842" max="3842" width="11" style="61" bestFit="1" customWidth="1"/>
    <col min="3843" max="3843" width="28.28515625" style="61" bestFit="1" customWidth="1"/>
    <col min="3844" max="3844" width="16.140625" style="61" customWidth="1"/>
    <col min="3845" max="3845" width="11" style="61" customWidth="1"/>
    <col min="3846" max="3846" width="12.85546875" style="61" bestFit="1" customWidth="1"/>
    <col min="3847" max="3847" width="13.85546875" style="61" bestFit="1" customWidth="1"/>
    <col min="3848" max="3857" width="11.28515625" style="61" bestFit="1" customWidth="1"/>
    <col min="3858" max="3858" width="11.140625" style="61" bestFit="1" customWidth="1"/>
    <col min="3859" max="3859" width="10.42578125" style="61" bestFit="1" customWidth="1"/>
    <col min="3860" max="4097" width="9.140625" style="61"/>
    <col min="4098" max="4098" width="11" style="61" bestFit="1" customWidth="1"/>
    <col min="4099" max="4099" width="28.28515625" style="61" bestFit="1" customWidth="1"/>
    <col min="4100" max="4100" width="16.140625" style="61" customWidth="1"/>
    <col min="4101" max="4101" width="11" style="61" customWidth="1"/>
    <col min="4102" max="4102" width="12.85546875" style="61" bestFit="1" customWidth="1"/>
    <col min="4103" max="4103" width="13.85546875" style="61" bestFit="1" customWidth="1"/>
    <col min="4104" max="4113" width="11.28515625" style="61" bestFit="1" customWidth="1"/>
    <col min="4114" max="4114" width="11.140625" style="61" bestFit="1" customWidth="1"/>
    <col min="4115" max="4115" width="10.42578125" style="61" bestFit="1" customWidth="1"/>
    <col min="4116" max="4353" width="9.140625" style="61"/>
    <col min="4354" max="4354" width="11" style="61" bestFit="1" customWidth="1"/>
    <col min="4355" max="4355" width="28.28515625" style="61" bestFit="1" customWidth="1"/>
    <col min="4356" max="4356" width="16.140625" style="61" customWidth="1"/>
    <col min="4357" max="4357" width="11" style="61" customWidth="1"/>
    <col min="4358" max="4358" width="12.85546875" style="61" bestFit="1" customWidth="1"/>
    <col min="4359" max="4359" width="13.85546875" style="61" bestFit="1" customWidth="1"/>
    <col min="4360" max="4369" width="11.28515625" style="61" bestFit="1" customWidth="1"/>
    <col min="4370" max="4370" width="11.140625" style="61" bestFit="1" customWidth="1"/>
    <col min="4371" max="4371" width="10.42578125" style="61" bestFit="1" customWidth="1"/>
    <col min="4372" max="4609" width="9.140625" style="61"/>
    <col min="4610" max="4610" width="11" style="61" bestFit="1" customWidth="1"/>
    <col min="4611" max="4611" width="28.28515625" style="61" bestFit="1" customWidth="1"/>
    <col min="4612" max="4612" width="16.140625" style="61" customWidth="1"/>
    <col min="4613" max="4613" width="11" style="61" customWidth="1"/>
    <col min="4614" max="4614" width="12.85546875" style="61" bestFit="1" customWidth="1"/>
    <col min="4615" max="4615" width="13.85546875" style="61" bestFit="1" customWidth="1"/>
    <col min="4616" max="4625" width="11.28515625" style="61" bestFit="1" customWidth="1"/>
    <col min="4626" max="4626" width="11.140625" style="61" bestFit="1" customWidth="1"/>
    <col min="4627" max="4627" width="10.42578125" style="61" bestFit="1" customWidth="1"/>
    <col min="4628" max="4865" width="9.140625" style="61"/>
    <col min="4866" max="4866" width="11" style="61" bestFit="1" customWidth="1"/>
    <col min="4867" max="4867" width="28.28515625" style="61" bestFit="1" customWidth="1"/>
    <col min="4868" max="4868" width="16.140625" style="61" customWidth="1"/>
    <col min="4869" max="4869" width="11" style="61" customWidth="1"/>
    <col min="4870" max="4870" width="12.85546875" style="61" bestFit="1" customWidth="1"/>
    <col min="4871" max="4871" width="13.85546875" style="61" bestFit="1" customWidth="1"/>
    <col min="4872" max="4881" width="11.28515625" style="61" bestFit="1" customWidth="1"/>
    <col min="4882" max="4882" width="11.140625" style="61" bestFit="1" customWidth="1"/>
    <col min="4883" max="4883" width="10.42578125" style="61" bestFit="1" customWidth="1"/>
    <col min="4884" max="5121" width="9.140625" style="61"/>
    <col min="5122" max="5122" width="11" style="61" bestFit="1" customWidth="1"/>
    <col min="5123" max="5123" width="28.28515625" style="61" bestFit="1" customWidth="1"/>
    <col min="5124" max="5124" width="16.140625" style="61" customWidth="1"/>
    <col min="5125" max="5125" width="11" style="61" customWidth="1"/>
    <col min="5126" max="5126" width="12.85546875" style="61" bestFit="1" customWidth="1"/>
    <col min="5127" max="5127" width="13.85546875" style="61" bestFit="1" customWidth="1"/>
    <col min="5128" max="5137" width="11.28515625" style="61" bestFit="1" customWidth="1"/>
    <col min="5138" max="5138" width="11.140625" style="61" bestFit="1" customWidth="1"/>
    <col min="5139" max="5139" width="10.42578125" style="61" bestFit="1" customWidth="1"/>
    <col min="5140" max="5377" width="9.140625" style="61"/>
    <col min="5378" max="5378" width="11" style="61" bestFit="1" customWidth="1"/>
    <col min="5379" max="5379" width="28.28515625" style="61" bestFit="1" customWidth="1"/>
    <col min="5380" max="5380" width="16.140625" style="61" customWidth="1"/>
    <col min="5381" max="5381" width="11" style="61" customWidth="1"/>
    <col min="5382" max="5382" width="12.85546875" style="61" bestFit="1" customWidth="1"/>
    <col min="5383" max="5383" width="13.85546875" style="61" bestFit="1" customWidth="1"/>
    <col min="5384" max="5393" width="11.28515625" style="61" bestFit="1" customWidth="1"/>
    <col min="5394" max="5394" width="11.140625" style="61" bestFit="1" customWidth="1"/>
    <col min="5395" max="5395" width="10.42578125" style="61" bestFit="1" customWidth="1"/>
    <col min="5396" max="5633" width="9.140625" style="61"/>
    <col min="5634" max="5634" width="11" style="61" bestFit="1" customWidth="1"/>
    <col min="5635" max="5635" width="28.28515625" style="61" bestFit="1" customWidth="1"/>
    <col min="5636" max="5636" width="16.140625" style="61" customWidth="1"/>
    <col min="5637" max="5637" width="11" style="61" customWidth="1"/>
    <col min="5638" max="5638" width="12.85546875" style="61" bestFit="1" customWidth="1"/>
    <col min="5639" max="5639" width="13.85546875" style="61" bestFit="1" customWidth="1"/>
    <col min="5640" max="5649" width="11.28515625" style="61" bestFit="1" customWidth="1"/>
    <col min="5650" max="5650" width="11.140625" style="61" bestFit="1" customWidth="1"/>
    <col min="5651" max="5651" width="10.42578125" style="61" bestFit="1" customWidth="1"/>
    <col min="5652" max="5889" width="9.140625" style="61"/>
    <col min="5890" max="5890" width="11" style="61" bestFit="1" customWidth="1"/>
    <col min="5891" max="5891" width="28.28515625" style="61" bestFit="1" customWidth="1"/>
    <col min="5892" max="5892" width="16.140625" style="61" customWidth="1"/>
    <col min="5893" max="5893" width="11" style="61" customWidth="1"/>
    <col min="5894" max="5894" width="12.85546875" style="61" bestFit="1" customWidth="1"/>
    <col min="5895" max="5895" width="13.85546875" style="61" bestFit="1" customWidth="1"/>
    <col min="5896" max="5905" width="11.28515625" style="61" bestFit="1" customWidth="1"/>
    <col min="5906" max="5906" width="11.140625" style="61" bestFit="1" customWidth="1"/>
    <col min="5907" max="5907" width="10.42578125" style="61" bestFit="1" customWidth="1"/>
    <col min="5908" max="6145" width="9.140625" style="61"/>
    <col min="6146" max="6146" width="11" style="61" bestFit="1" customWidth="1"/>
    <col min="6147" max="6147" width="28.28515625" style="61" bestFit="1" customWidth="1"/>
    <col min="6148" max="6148" width="16.140625" style="61" customWidth="1"/>
    <col min="6149" max="6149" width="11" style="61" customWidth="1"/>
    <col min="6150" max="6150" width="12.85546875" style="61" bestFit="1" customWidth="1"/>
    <col min="6151" max="6151" width="13.85546875" style="61" bestFit="1" customWidth="1"/>
    <col min="6152" max="6161" width="11.28515625" style="61" bestFit="1" customWidth="1"/>
    <col min="6162" max="6162" width="11.140625" style="61" bestFit="1" customWidth="1"/>
    <col min="6163" max="6163" width="10.42578125" style="61" bestFit="1" customWidth="1"/>
    <col min="6164" max="6401" width="9.140625" style="61"/>
    <col min="6402" max="6402" width="11" style="61" bestFit="1" customWidth="1"/>
    <col min="6403" max="6403" width="28.28515625" style="61" bestFit="1" customWidth="1"/>
    <col min="6404" max="6404" width="16.140625" style="61" customWidth="1"/>
    <col min="6405" max="6405" width="11" style="61" customWidth="1"/>
    <col min="6406" max="6406" width="12.85546875" style="61" bestFit="1" customWidth="1"/>
    <col min="6407" max="6407" width="13.85546875" style="61" bestFit="1" customWidth="1"/>
    <col min="6408" max="6417" width="11.28515625" style="61" bestFit="1" customWidth="1"/>
    <col min="6418" max="6418" width="11.140625" style="61" bestFit="1" customWidth="1"/>
    <col min="6419" max="6419" width="10.42578125" style="61" bestFit="1" customWidth="1"/>
    <col min="6420" max="6657" width="9.140625" style="61"/>
    <col min="6658" max="6658" width="11" style="61" bestFit="1" customWidth="1"/>
    <col min="6659" max="6659" width="28.28515625" style="61" bestFit="1" customWidth="1"/>
    <col min="6660" max="6660" width="16.140625" style="61" customWidth="1"/>
    <col min="6661" max="6661" width="11" style="61" customWidth="1"/>
    <col min="6662" max="6662" width="12.85546875" style="61" bestFit="1" customWidth="1"/>
    <col min="6663" max="6663" width="13.85546875" style="61" bestFit="1" customWidth="1"/>
    <col min="6664" max="6673" width="11.28515625" style="61" bestFit="1" customWidth="1"/>
    <col min="6674" max="6674" width="11.140625" style="61" bestFit="1" customWidth="1"/>
    <col min="6675" max="6675" width="10.42578125" style="61" bestFit="1" customWidth="1"/>
    <col min="6676" max="6913" width="9.140625" style="61"/>
    <col min="6914" max="6914" width="11" style="61" bestFit="1" customWidth="1"/>
    <col min="6915" max="6915" width="28.28515625" style="61" bestFit="1" customWidth="1"/>
    <col min="6916" max="6916" width="16.140625" style="61" customWidth="1"/>
    <col min="6917" max="6917" width="11" style="61" customWidth="1"/>
    <col min="6918" max="6918" width="12.85546875" style="61" bestFit="1" customWidth="1"/>
    <col min="6919" max="6919" width="13.85546875" style="61" bestFit="1" customWidth="1"/>
    <col min="6920" max="6929" width="11.28515625" style="61" bestFit="1" customWidth="1"/>
    <col min="6930" max="6930" width="11.140625" style="61" bestFit="1" customWidth="1"/>
    <col min="6931" max="6931" width="10.42578125" style="61" bestFit="1" customWidth="1"/>
    <col min="6932" max="7169" width="9.140625" style="61"/>
    <col min="7170" max="7170" width="11" style="61" bestFit="1" customWidth="1"/>
    <col min="7171" max="7171" width="28.28515625" style="61" bestFit="1" customWidth="1"/>
    <col min="7172" max="7172" width="16.140625" style="61" customWidth="1"/>
    <col min="7173" max="7173" width="11" style="61" customWidth="1"/>
    <col min="7174" max="7174" width="12.85546875" style="61" bestFit="1" customWidth="1"/>
    <col min="7175" max="7175" width="13.85546875" style="61" bestFit="1" customWidth="1"/>
    <col min="7176" max="7185" width="11.28515625" style="61" bestFit="1" customWidth="1"/>
    <col min="7186" max="7186" width="11.140625" style="61" bestFit="1" customWidth="1"/>
    <col min="7187" max="7187" width="10.42578125" style="61" bestFit="1" customWidth="1"/>
    <col min="7188" max="7425" width="9.140625" style="61"/>
    <col min="7426" max="7426" width="11" style="61" bestFit="1" customWidth="1"/>
    <col min="7427" max="7427" width="28.28515625" style="61" bestFit="1" customWidth="1"/>
    <col min="7428" max="7428" width="16.140625" style="61" customWidth="1"/>
    <col min="7429" max="7429" width="11" style="61" customWidth="1"/>
    <col min="7430" max="7430" width="12.85546875" style="61" bestFit="1" customWidth="1"/>
    <col min="7431" max="7431" width="13.85546875" style="61" bestFit="1" customWidth="1"/>
    <col min="7432" max="7441" width="11.28515625" style="61" bestFit="1" customWidth="1"/>
    <col min="7442" max="7442" width="11.140625" style="61" bestFit="1" customWidth="1"/>
    <col min="7443" max="7443" width="10.42578125" style="61" bestFit="1" customWidth="1"/>
    <col min="7444" max="7681" width="9.140625" style="61"/>
    <col min="7682" max="7682" width="11" style="61" bestFit="1" customWidth="1"/>
    <col min="7683" max="7683" width="28.28515625" style="61" bestFit="1" customWidth="1"/>
    <col min="7684" max="7684" width="16.140625" style="61" customWidth="1"/>
    <col min="7685" max="7685" width="11" style="61" customWidth="1"/>
    <col min="7686" max="7686" width="12.85546875" style="61" bestFit="1" customWidth="1"/>
    <col min="7687" max="7687" width="13.85546875" style="61" bestFit="1" customWidth="1"/>
    <col min="7688" max="7697" width="11.28515625" style="61" bestFit="1" customWidth="1"/>
    <col min="7698" max="7698" width="11.140625" style="61" bestFit="1" customWidth="1"/>
    <col min="7699" max="7699" width="10.42578125" style="61" bestFit="1" customWidth="1"/>
    <col min="7700" max="7937" width="9.140625" style="61"/>
    <col min="7938" max="7938" width="11" style="61" bestFit="1" customWidth="1"/>
    <col min="7939" max="7939" width="28.28515625" style="61" bestFit="1" customWidth="1"/>
    <col min="7940" max="7940" width="16.140625" style="61" customWidth="1"/>
    <col min="7941" max="7941" width="11" style="61" customWidth="1"/>
    <col min="7942" max="7942" width="12.85546875" style="61" bestFit="1" customWidth="1"/>
    <col min="7943" max="7943" width="13.85546875" style="61" bestFit="1" customWidth="1"/>
    <col min="7944" max="7953" width="11.28515625" style="61" bestFit="1" customWidth="1"/>
    <col min="7954" max="7954" width="11.140625" style="61" bestFit="1" customWidth="1"/>
    <col min="7955" max="7955" width="10.42578125" style="61" bestFit="1" customWidth="1"/>
    <col min="7956" max="8193" width="9.140625" style="61"/>
    <col min="8194" max="8194" width="11" style="61" bestFit="1" customWidth="1"/>
    <col min="8195" max="8195" width="28.28515625" style="61" bestFit="1" customWidth="1"/>
    <col min="8196" max="8196" width="16.140625" style="61" customWidth="1"/>
    <col min="8197" max="8197" width="11" style="61" customWidth="1"/>
    <col min="8198" max="8198" width="12.85546875" style="61" bestFit="1" customWidth="1"/>
    <col min="8199" max="8199" width="13.85546875" style="61" bestFit="1" customWidth="1"/>
    <col min="8200" max="8209" width="11.28515625" style="61" bestFit="1" customWidth="1"/>
    <col min="8210" max="8210" width="11.140625" style="61" bestFit="1" customWidth="1"/>
    <col min="8211" max="8211" width="10.42578125" style="61" bestFit="1" customWidth="1"/>
    <col min="8212" max="8449" width="9.140625" style="61"/>
    <col min="8450" max="8450" width="11" style="61" bestFit="1" customWidth="1"/>
    <col min="8451" max="8451" width="28.28515625" style="61" bestFit="1" customWidth="1"/>
    <col min="8452" max="8452" width="16.140625" style="61" customWidth="1"/>
    <col min="8453" max="8453" width="11" style="61" customWidth="1"/>
    <col min="8454" max="8454" width="12.85546875" style="61" bestFit="1" customWidth="1"/>
    <col min="8455" max="8455" width="13.85546875" style="61" bestFit="1" customWidth="1"/>
    <col min="8456" max="8465" width="11.28515625" style="61" bestFit="1" customWidth="1"/>
    <col min="8466" max="8466" width="11.140625" style="61" bestFit="1" customWidth="1"/>
    <col min="8467" max="8467" width="10.42578125" style="61" bestFit="1" customWidth="1"/>
    <col min="8468" max="8705" width="9.140625" style="61"/>
    <col min="8706" max="8706" width="11" style="61" bestFit="1" customWidth="1"/>
    <col min="8707" max="8707" width="28.28515625" style="61" bestFit="1" customWidth="1"/>
    <col min="8708" max="8708" width="16.140625" style="61" customWidth="1"/>
    <col min="8709" max="8709" width="11" style="61" customWidth="1"/>
    <col min="8710" max="8710" width="12.85546875" style="61" bestFit="1" customWidth="1"/>
    <col min="8711" max="8711" width="13.85546875" style="61" bestFit="1" customWidth="1"/>
    <col min="8712" max="8721" width="11.28515625" style="61" bestFit="1" customWidth="1"/>
    <col min="8722" max="8722" width="11.140625" style="61" bestFit="1" customWidth="1"/>
    <col min="8723" max="8723" width="10.42578125" style="61" bestFit="1" customWidth="1"/>
    <col min="8724" max="8961" width="9.140625" style="61"/>
    <col min="8962" max="8962" width="11" style="61" bestFit="1" customWidth="1"/>
    <col min="8963" max="8963" width="28.28515625" style="61" bestFit="1" customWidth="1"/>
    <col min="8964" max="8964" width="16.140625" style="61" customWidth="1"/>
    <col min="8965" max="8965" width="11" style="61" customWidth="1"/>
    <col min="8966" max="8966" width="12.85546875" style="61" bestFit="1" customWidth="1"/>
    <col min="8967" max="8967" width="13.85546875" style="61" bestFit="1" customWidth="1"/>
    <col min="8968" max="8977" width="11.28515625" style="61" bestFit="1" customWidth="1"/>
    <col min="8978" max="8978" width="11.140625" style="61" bestFit="1" customWidth="1"/>
    <col min="8979" max="8979" width="10.42578125" style="61" bestFit="1" customWidth="1"/>
    <col min="8980" max="9217" width="9.140625" style="61"/>
    <col min="9218" max="9218" width="11" style="61" bestFit="1" customWidth="1"/>
    <col min="9219" max="9219" width="28.28515625" style="61" bestFit="1" customWidth="1"/>
    <col min="9220" max="9220" width="16.140625" style="61" customWidth="1"/>
    <col min="9221" max="9221" width="11" style="61" customWidth="1"/>
    <col min="9222" max="9222" width="12.85546875" style="61" bestFit="1" customWidth="1"/>
    <col min="9223" max="9223" width="13.85546875" style="61" bestFit="1" customWidth="1"/>
    <col min="9224" max="9233" width="11.28515625" style="61" bestFit="1" customWidth="1"/>
    <col min="9234" max="9234" width="11.140625" style="61" bestFit="1" customWidth="1"/>
    <col min="9235" max="9235" width="10.42578125" style="61" bestFit="1" customWidth="1"/>
    <col min="9236" max="9473" width="9.140625" style="61"/>
    <col min="9474" max="9474" width="11" style="61" bestFit="1" customWidth="1"/>
    <col min="9475" max="9475" width="28.28515625" style="61" bestFit="1" customWidth="1"/>
    <col min="9476" max="9476" width="16.140625" style="61" customWidth="1"/>
    <col min="9477" max="9477" width="11" style="61" customWidth="1"/>
    <col min="9478" max="9478" width="12.85546875" style="61" bestFit="1" customWidth="1"/>
    <col min="9479" max="9479" width="13.85546875" style="61" bestFit="1" customWidth="1"/>
    <col min="9480" max="9489" width="11.28515625" style="61" bestFit="1" customWidth="1"/>
    <col min="9490" max="9490" width="11.140625" style="61" bestFit="1" customWidth="1"/>
    <col min="9491" max="9491" width="10.42578125" style="61" bestFit="1" customWidth="1"/>
    <col min="9492" max="9729" width="9.140625" style="61"/>
    <col min="9730" max="9730" width="11" style="61" bestFit="1" customWidth="1"/>
    <col min="9731" max="9731" width="28.28515625" style="61" bestFit="1" customWidth="1"/>
    <col min="9732" max="9732" width="16.140625" style="61" customWidth="1"/>
    <col min="9733" max="9733" width="11" style="61" customWidth="1"/>
    <col min="9734" max="9734" width="12.85546875" style="61" bestFit="1" customWidth="1"/>
    <col min="9735" max="9735" width="13.85546875" style="61" bestFit="1" customWidth="1"/>
    <col min="9736" max="9745" width="11.28515625" style="61" bestFit="1" customWidth="1"/>
    <col min="9746" max="9746" width="11.140625" style="61" bestFit="1" customWidth="1"/>
    <col min="9747" max="9747" width="10.42578125" style="61" bestFit="1" customWidth="1"/>
    <col min="9748" max="9985" width="9.140625" style="61"/>
    <col min="9986" max="9986" width="11" style="61" bestFit="1" customWidth="1"/>
    <col min="9987" max="9987" width="28.28515625" style="61" bestFit="1" customWidth="1"/>
    <col min="9988" max="9988" width="16.140625" style="61" customWidth="1"/>
    <col min="9989" max="9989" width="11" style="61" customWidth="1"/>
    <col min="9990" max="9990" width="12.85546875" style="61" bestFit="1" customWidth="1"/>
    <col min="9991" max="9991" width="13.85546875" style="61" bestFit="1" customWidth="1"/>
    <col min="9992" max="10001" width="11.28515625" style="61" bestFit="1" customWidth="1"/>
    <col min="10002" max="10002" width="11.140625" style="61" bestFit="1" customWidth="1"/>
    <col min="10003" max="10003" width="10.42578125" style="61" bestFit="1" customWidth="1"/>
    <col min="10004" max="10241" width="9.140625" style="61"/>
    <col min="10242" max="10242" width="11" style="61" bestFit="1" customWidth="1"/>
    <col min="10243" max="10243" width="28.28515625" style="61" bestFit="1" customWidth="1"/>
    <col min="10244" max="10244" width="16.140625" style="61" customWidth="1"/>
    <col min="10245" max="10245" width="11" style="61" customWidth="1"/>
    <col min="10246" max="10246" width="12.85546875" style="61" bestFit="1" customWidth="1"/>
    <col min="10247" max="10247" width="13.85546875" style="61" bestFit="1" customWidth="1"/>
    <col min="10248" max="10257" width="11.28515625" style="61" bestFit="1" customWidth="1"/>
    <col min="10258" max="10258" width="11.140625" style="61" bestFit="1" customWidth="1"/>
    <col min="10259" max="10259" width="10.42578125" style="61" bestFit="1" customWidth="1"/>
    <col min="10260" max="10497" width="9.140625" style="61"/>
    <col min="10498" max="10498" width="11" style="61" bestFit="1" customWidth="1"/>
    <col min="10499" max="10499" width="28.28515625" style="61" bestFit="1" customWidth="1"/>
    <col min="10500" max="10500" width="16.140625" style="61" customWidth="1"/>
    <col min="10501" max="10501" width="11" style="61" customWidth="1"/>
    <col min="10502" max="10502" width="12.85546875" style="61" bestFit="1" customWidth="1"/>
    <col min="10503" max="10503" width="13.85546875" style="61" bestFit="1" customWidth="1"/>
    <col min="10504" max="10513" width="11.28515625" style="61" bestFit="1" customWidth="1"/>
    <col min="10514" max="10514" width="11.140625" style="61" bestFit="1" customWidth="1"/>
    <col min="10515" max="10515" width="10.42578125" style="61" bestFit="1" customWidth="1"/>
    <col min="10516" max="10753" width="9.140625" style="61"/>
    <col min="10754" max="10754" width="11" style="61" bestFit="1" customWidth="1"/>
    <col min="10755" max="10755" width="28.28515625" style="61" bestFit="1" customWidth="1"/>
    <col min="10756" max="10756" width="16.140625" style="61" customWidth="1"/>
    <col min="10757" max="10757" width="11" style="61" customWidth="1"/>
    <col min="10758" max="10758" width="12.85546875" style="61" bestFit="1" customWidth="1"/>
    <col min="10759" max="10759" width="13.85546875" style="61" bestFit="1" customWidth="1"/>
    <col min="10760" max="10769" width="11.28515625" style="61" bestFit="1" customWidth="1"/>
    <col min="10770" max="10770" width="11.140625" style="61" bestFit="1" customWidth="1"/>
    <col min="10771" max="10771" width="10.42578125" style="61" bestFit="1" customWidth="1"/>
    <col min="10772" max="11009" width="9.140625" style="61"/>
    <col min="11010" max="11010" width="11" style="61" bestFit="1" customWidth="1"/>
    <col min="11011" max="11011" width="28.28515625" style="61" bestFit="1" customWidth="1"/>
    <col min="11012" max="11012" width="16.140625" style="61" customWidth="1"/>
    <col min="11013" max="11013" width="11" style="61" customWidth="1"/>
    <col min="11014" max="11014" width="12.85546875" style="61" bestFit="1" customWidth="1"/>
    <col min="11015" max="11015" width="13.85546875" style="61" bestFit="1" customWidth="1"/>
    <col min="11016" max="11025" width="11.28515625" style="61" bestFit="1" customWidth="1"/>
    <col min="11026" max="11026" width="11.140625" style="61" bestFit="1" customWidth="1"/>
    <col min="11027" max="11027" width="10.42578125" style="61" bestFit="1" customWidth="1"/>
    <col min="11028" max="11265" width="9.140625" style="61"/>
    <col min="11266" max="11266" width="11" style="61" bestFit="1" customWidth="1"/>
    <col min="11267" max="11267" width="28.28515625" style="61" bestFit="1" customWidth="1"/>
    <col min="11268" max="11268" width="16.140625" style="61" customWidth="1"/>
    <col min="11269" max="11269" width="11" style="61" customWidth="1"/>
    <col min="11270" max="11270" width="12.85546875" style="61" bestFit="1" customWidth="1"/>
    <col min="11271" max="11271" width="13.85546875" style="61" bestFit="1" customWidth="1"/>
    <col min="11272" max="11281" width="11.28515625" style="61" bestFit="1" customWidth="1"/>
    <col min="11282" max="11282" width="11.140625" style="61" bestFit="1" customWidth="1"/>
    <col min="11283" max="11283" width="10.42578125" style="61" bestFit="1" customWidth="1"/>
    <col min="11284" max="11521" width="9.140625" style="61"/>
    <col min="11522" max="11522" width="11" style="61" bestFit="1" customWidth="1"/>
    <col min="11523" max="11523" width="28.28515625" style="61" bestFit="1" customWidth="1"/>
    <col min="11524" max="11524" width="16.140625" style="61" customWidth="1"/>
    <col min="11525" max="11525" width="11" style="61" customWidth="1"/>
    <col min="11526" max="11526" width="12.85546875" style="61" bestFit="1" customWidth="1"/>
    <col min="11527" max="11527" width="13.85546875" style="61" bestFit="1" customWidth="1"/>
    <col min="11528" max="11537" width="11.28515625" style="61" bestFit="1" customWidth="1"/>
    <col min="11538" max="11538" width="11.140625" style="61" bestFit="1" customWidth="1"/>
    <col min="11539" max="11539" width="10.42578125" style="61" bestFit="1" customWidth="1"/>
    <col min="11540" max="11777" width="9.140625" style="61"/>
    <col min="11778" max="11778" width="11" style="61" bestFit="1" customWidth="1"/>
    <col min="11779" max="11779" width="28.28515625" style="61" bestFit="1" customWidth="1"/>
    <col min="11780" max="11780" width="16.140625" style="61" customWidth="1"/>
    <col min="11781" max="11781" width="11" style="61" customWidth="1"/>
    <col min="11782" max="11782" width="12.85546875" style="61" bestFit="1" customWidth="1"/>
    <col min="11783" max="11783" width="13.85546875" style="61" bestFit="1" customWidth="1"/>
    <col min="11784" max="11793" width="11.28515625" style="61" bestFit="1" customWidth="1"/>
    <col min="11794" max="11794" width="11.140625" style="61" bestFit="1" customWidth="1"/>
    <col min="11795" max="11795" width="10.42578125" style="61" bestFit="1" customWidth="1"/>
    <col min="11796" max="12033" width="9.140625" style="61"/>
    <col min="12034" max="12034" width="11" style="61" bestFit="1" customWidth="1"/>
    <col min="12035" max="12035" width="28.28515625" style="61" bestFit="1" customWidth="1"/>
    <col min="12036" max="12036" width="16.140625" style="61" customWidth="1"/>
    <col min="12037" max="12037" width="11" style="61" customWidth="1"/>
    <col min="12038" max="12038" width="12.85546875" style="61" bestFit="1" customWidth="1"/>
    <col min="12039" max="12039" width="13.85546875" style="61" bestFit="1" customWidth="1"/>
    <col min="12040" max="12049" width="11.28515625" style="61" bestFit="1" customWidth="1"/>
    <col min="12050" max="12050" width="11.140625" style="61" bestFit="1" customWidth="1"/>
    <col min="12051" max="12051" width="10.42578125" style="61" bestFit="1" customWidth="1"/>
    <col min="12052" max="12289" width="9.140625" style="61"/>
    <col min="12290" max="12290" width="11" style="61" bestFit="1" customWidth="1"/>
    <col min="12291" max="12291" width="28.28515625" style="61" bestFit="1" customWidth="1"/>
    <col min="12292" max="12292" width="16.140625" style="61" customWidth="1"/>
    <col min="12293" max="12293" width="11" style="61" customWidth="1"/>
    <col min="12294" max="12294" width="12.85546875" style="61" bestFit="1" customWidth="1"/>
    <col min="12295" max="12295" width="13.85546875" style="61" bestFit="1" customWidth="1"/>
    <col min="12296" max="12305" width="11.28515625" style="61" bestFit="1" customWidth="1"/>
    <col min="12306" max="12306" width="11.140625" style="61" bestFit="1" customWidth="1"/>
    <col min="12307" max="12307" width="10.42578125" style="61" bestFit="1" customWidth="1"/>
    <col min="12308" max="12545" width="9.140625" style="61"/>
    <col min="12546" max="12546" width="11" style="61" bestFit="1" customWidth="1"/>
    <col min="12547" max="12547" width="28.28515625" style="61" bestFit="1" customWidth="1"/>
    <col min="12548" max="12548" width="16.140625" style="61" customWidth="1"/>
    <col min="12549" max="12549" width="11" style="61" customWidth="1"/>
    <col min="12550" max="12550" width="12.85546875" style="61" bestFit="1" customWidth="1"/>
    <col min="12551" max="12551" width="13.85546875" style="61" bestFit="1" customWidth="1"/>
    <col min="12552" max="12561" width="11.28515625" style="61" bestFit="1" customWidth="1"/>
    <col min="12562" max="12562" width="11.140625" style="61" bestFit="1" customWidth="1"/>
    <col min="12563" max="12563" width="10.42578125" style="61" bestFit="1" customWidth="1"/>
    <col min="12564" max="12801" width="9.140625" style="61"/>
    <col min="12802" max="12802" width="11" style="61" bestFit="1" customWidth="1"/>
    <col min="12803" max="12803" width="28.28515625" style="61" bestFit="1" customWidth="1"/>
    <col min="12804" max="12804" width="16.140625" style="61" customWidth="1"/>
    <col min="12805" max="12805" width="11" style="61" customWidth="1"/>
    <col min="12806" max="12806" width="12.85546875" style="61" bestFit="1" customWidth="1"/>
    <col min="12807" max="12807" width="13.85546875" style="61" bestFit="1" customWidth="1"/>
    <col min="12808" max="12817" width="11.28515625" style="61" bestFit="1" customWidth="1"/>
    <col min="12818" max="12818" width="11.140625" style="61" bestFit="1" customWidth="1"/>
    <col min="12819" max="12819" width="10.42578125" style="61" bestFit="1" customWidth="1"/>
    <col min="12820" max="13057" width="9.140625" style="61"/>
    <col min="13058" max="13058" width="11" style="61" bestFit="1" customWidth="1"/>
    <col min="13059" max="13059" width="28.28515625" style="61" bestFit="1" customWidth="1"/>
    <col min="13060" max="13060" width="16.140625" style="61" customWidth="1"/>
    <col min="13061" max="13061" width="11" style="61" customWidth="1"/>
    <col min="13062" max="13062" width="12.85546875" style="61" bestFit="1" customWidth="1"/>
    <col min="13063" max="13063" width="13.85546875" style="61" bestFit="1" customWidth="1"/>
    <col min="13064" max="13073" width="11.28515625" style="61" bestFit="1" customWidth="1"/>
    <col min="13074" max="13074" width="11.140625" style="61" bestFit="1" customWidth="1"/>
    <col min="13075" max="13075" width="10.42578125" style="61" bestFit="1" customWidth="1"/>
    <col min="13076" max="13313" width="9.140625" style="61"/>
    <col min="13314" max="13314" width="11" style="61" bestFit="1" customWidth="1"/>
    <col min="13315" max="13315" width="28.28515625" style="61" bestFit="1" customWidth="1"/>
    <col min="13316" max="13316" width="16.140625" style="61" customWidth="1"/>
    <col min="13317" max="13317" width="11" style="61" customWidth="1"/>
    <col min="13318" max="13318" width="12.85546875" style="61" bestFit="1" customWidth="1"/>
    <col min="13319" max="13319" width="13.85546875" style="61" bestFit="1" customWidth="1"/>
    <col min="13320" max="13329" width="11.28515625" style="61" bestFit="1" customWidth="1"/>
    <col min="13330" max="13330" width="11.140625" style="61" bestFit="1" customWidth="1"/>
    <col min="13331" max="13331" width="10.42578125" style="61" bestFit="1" customWidth="1"/>
    <col min="13332" max="13569" width="9.140625" style="61"/>
    <col min="13570" max="13570" width="11" style="61" bestFit="1" customWidth="1"/>
    <col min="13571" max="13571" width="28.28515625" style="61" bestFit="1" customWidth="1"/>
    <col min="13572" max="13572" width="16.140625" style="61" customWidth="1"/>
    <col min="13573" max="13573" width="11" style="61" customWidth="1"/>
    <col min="13574" max="13574" width="12.85546875" style="61" bestFit="1" customWidth="1"/>
    <col min="13575" max="13575" width="13.85546875" style="61" bestFit="1" customWidth="1"/>
    <col min="13576" max="13585" width="11.28515625" style="61" bestFit="1" customWidth="1"/>
    <col min="13586" max="13586" width="11.140625" style="61" bestFit="1" customWidth="1"/>
    <col min="13587" max="13587" width="10.42578125" style="61" bestFit="1" customWidth="1"/>
    <col min="13588" max="13825" width="9.140625" style="61"/>
    <col min="13826" max="13826" width="11" style="61" bestFit="1" customWidth="1"/>
    <col min="13827" max="13827" width="28.28515625" style="61" bestFit="1" customWidth="1"/>
    <col min="13828" max="13828" width="16.140625" style="61" customWidth="1"/>
    <col min="13829" max="13829" width="11" style="61" customWidth="1"/>
    <col min="13830" max="13830" width="12.85546875" style="61" bestFit="1" customWidth="1"/>
    <col min="13831" max="13831" width="13.85546875" style="61" bestFit="1" customWidth="1"/>
    <col min="13832" max="13841" width="11.28515625" style="61" bestFit="1" customWidth="1"/>
    <col min="13842" max="13842" width="11.140625" style="61" bestFit="1" customWidth="1"/>
    <col min="13843" max="13843" width="10.42578125" style="61" bestFit="1" customWidth="1"/>
    <col min="13844" max="14081" width="9.140625" style="61"/>
    <col min="14082" max="14082" width="11" style="61" bestFit="1" customWidth="1"/>
    <col min="14083" max="14083" width="28.28515625" style="61" bestFit="1" customWidth="1"/>
    <col min="14084" max="14084" width="16.140625" style="61" customWidth="1"/>
    <col min="14085" max="14085" width="11" style="61" customWidth="1"/>
    <col min="14086" max="14086" width="12.85546875" style="61" bestFit="1" customWidth="1"/>
    <col min="14087" max="14087" width="13.85546875" style="61" bestFit="1" customWidth="1"/>
    <col min="14088" max="14097" width="11.28515625" style="61" bestFit="1" customWidth="1"/>
    <col min="14098" max="14098" width="11.140625" style="61" bestFit="1" customWidth="1"/>
    <col min="14099" max="14099" width="10.42578125" style="61" bestFit="1" customWidth="1"/>
    <col min="14100" max="14337" width="9.140625" style="61"/>
    <col min="14338" max="14338" width="11" style="61" bestFit="1" customWidth="1"/>
    <col min="14339" max="14339" width="28.28515625" style="61" bestFit="1" customWidth="1"/>
    <col min="14340" max="14340" width="16.140625" style="61" customWidth="1"/>
    <col min="14341" max="14341" width="11" style="61" customWidth="1"/>
    <col min="14342" max="14342" width="12.85546875" style="61" bestFit="1" customWidth="1"/>
    <col min="14343" max="14343" width="13.85546875" style="61" bestFit="1" customWidth="1"/>
    <col min="14344" max="14353" width="11.28515625" style="61" bestFit="1" customWidth="1"/>
    <col min="14354" max="14354" width="11.140625" style="61" bestFit="1" customWidth="1"/>
    <col min="14355" max="14355" width="10.42578125" style="61" bestFit="1" customWidth="1"/>
    <col min="14356" max="14593" width="9.140625" style="61"/>
    <col min="14594" max="14594" width="11" style="61" bestFit="1" customWidth="1"/>
    <col min="14595" max="14595" width="28.28515625" style="61" bestFit="1" customWidth="1"/>
    <col min="14596" max="14596" width="16.140625" style="61" customWidth="1"/>
    <col min="14597" max="14597" width="11" style="61" customWidth="1"/>
    <col min="14598" max="14598" width="12.85546875" style="61" bestFit="1" customWidth="1"/>
    <col min="14599" max="14599" width="13.85546875" style="61" bestFit="1" customWidth="1"/>
    <col min="14600" max="14609" width="11.28515625" style="61" bestFit="1" customWidth="1"/>
    <col min="14610" max="14610" width="11.140625" style="61" bestFit="1" customWidth="1"/>
    <col min="14611" max="14611" width="10.42578125" style="61" bestFit="1" customWidth="1"/>
    <col min="14612" max="14849" width="9.140625" style="61"/>
    <col min="14850" max="14850" width="11" style="61" bestFit="1" customWidth="1"/>
    <col min="14851" max="14851" width="28.28515625" style="61" bestFit="1" customWidth="1"/>
    <col min="14852" max="14852" width="16.140625" style="61" customWidth="1"/>
    <col min="14853" max="14853" width="11" style="61" customWidth="1"/>
    <col min="14854" max="14854" width="12.85546875" style="61" bestFit="1" customWidth="1"/>
    <col min="14855" max="14855" width="13.85546875" style="61" bestFit="1" customWidth="1"/>
    <col min="14856" max="14865" width="11.28515625" style="61" bestFit="1" customWidth="1"/>
    <col min="14866" max="14866" width="11.140625" style="61" bestFit="1" customWidth="1"/>
    <col min="14867" max="14867" width="10.42578125" style="61" bestFit="1" customWidth="1"/>
    <col min="14868" max="15105" width="9.140625" style="61"/>
    <col min="15106" max="15106" width="11" style="61" bestFit="1" customWidth="1"/>
    <col min="15107" max="15107" width="28.28515625" style="61" bestFit="1" customWidth="1"/>
    <col min="15108" max="15108" width="16.140625" style="61" customWidth="1"/>
    <col min="15109" max="15109" width="11" style="61" customWidth="1"/>
    <col min="15110" max="15110" width="12.85546875" style="61" bestFit="1" customWidth="1"/>
    <col min="15111" max="15111" width="13.85546875" style="61" bestFit="1" customWidth="1"/>
    <col min="15112" max="15121" width="11.28515625" style="61" bestFit="1" customWidth="1"/>
    <col min="15122" max="15122" width="11.140625" style="61" bestFit="1" customWidth="1"/>
    <col min="15123" max="15123" width="10.42578125" style="61" bestFit="1" customWidth="1"/>
    <col min="15124" max="15361" width="9.140625" style="61"/>
    <col min="15362" max="15362" width="11" style="61" bestFit="1" customWidth="1"/>
    <col min="15363" max="15363" width="28.28515625" style="61" bestFit="1" customWidth="1"/>
    <col min="15364" max="15364" width="16.140625" style="61" customWidth="1"/>
    <col min="15365" max="15365" width="11" style="61" customWidth="1"/>
    <col min="15366" max="15366" width="12.85546875" style="61" bestFit="1" customWidth="1"/>
    <col min="15367" max="15367" width="13.85546875" style="61" bestFit="1" customWidth="1"/>
    <col min="15368" max="15377" width="11.28515625" style="61" bestFit="1" customWidth="1"/>
    <col min="15378" max="15378" width="11.140625" style="61" bestFit="1" customWidth="1"/>
    <col min="15379" max="15379" width="10.42578125" style="61" bestFit="1" customWidth="1"/>
    <col min="15380" max="15617" width="9.140625" style="61"/>
    <col min="15618" max="15618" width="11" style="61" bestFit="1" customWidth="1"/>
    <col min="15619" max="15619" width="28.28515625" style="61" bestFit="1" customWidth="1"/>
    <col min="15620" max="15620" width="16.140625" style="61" customWidth="1"/>
    <col min="15621" max="15621" width="11" style="61" customWidth="1"/>
    <col min="15622" max="15622" width="12.85546875" style="61" bestFit="1" customWidth="1"/>
    <col min="15623" max="15623" width="13.85546875" style="61" bestFit="1" customWidth="1"/>
    <col min="15624" max="15633" width="11.28515625" style="61" bestFit="1" customWidth="1"/>
    <col min="15634" max="15634" width="11.140625" style="61" bestFit="1" customWidth="1"/>
    <col min="15635" max="15635" width="10.42578125" style="61" bestFit="1" customWidth="1"/>
    <col min="15636" max="15873" width="9.140625" style="61"/>
    <col min="15874" max="15874" width="11" style="61" bestFit="1" customWidth="1"/>
    <col min="15875" max="15875" width="28.28515625" style="61" bestFit="1" customWidth="1"/>
    <col min="15876" max="15876" width="16.140625" style="61" customWidth="1"/>
    <col min="15877" max="15877" width="11" style="61" customWidth="1"/>
    <col min="15878" max="15878" width="12.85546875" style="61" bestFit="1" customWidth="1"/>
    <col min="15879" max="15879" width="13.85546875" style="61" bestFit="1" customWidth="1"/>
    <col min="15880" max="15889" width="11.28515625" style="61" bestFit="1" customWidth="1"/>
    <col min="15890" max="15890" width="11.140625" style="61" bestFit="1" customWidth="1"/>
    <col min="15891" max="15891" width="10.42578125" style="61" bestFit="1" customWidth="1"/>
    <col min="15892" max="16129" width="9.140625" style="61"/>
    <col min="16130" max="16130" width="11" style="61" bestFit="1" customWidth="1"/>
    <col min="16131" max="16131" width="28.28515625" style="61" bestFit="1" customWidth="1"/>
    <col min="16132" max="16132" width="16.140625" style="61" customWidth="1"/>
    <col min="16133" max="16133" width="11" style="61" customWidth="1"/>
    <col min="16134" max="16134" width="12.85546875" style="61" bestFit="1" customWidth="1"/>
    <col min="16135" max="16135" width="13.85546875" style="61" bestFit="1" customWidth="1"/>
    <col min="16136" max="16145" width="11.28515625" style="61" bestFit="1" customWidth="1"/>
    <col min="16146" max="16146" width="11.140625" style="61" bestFit="1" customWidth="1"/>
    <col min="16147" max="16147" width="10.42578125" style="61" bestFit="1" customWidth="1"/>
    <col min="16148" max="16384" width="9.140625" style="61"/>
  </cols>
  <sheetData>
    <row r="1" spans="1:58" ht="12.75" customHeight="1" x14ac:dyDescent="0.2">
      <c r="C1" s="41"/>
      <c r="D1" s="42"/>
      <c r="E1" s="42"/>
      <c r="F1" s="41" t="s">
        <v>49</v>
      </c>
      <c r="G1" s="41" t="s">
        <v>48</v>
      </c>
      <c r="H1" s="41" t="s">
        <v>47</v>
      </c>
      <c r="I1" s="41" t="s">
        <v>46</v>
      </c>
      <c r="J1" s="41" t="s">
        <v>45</v>
      </c>
      <c r="K1" s="41" t="s">
        <v>44</v>
      </c>
      <c r="L1" s="41" t="s">
        <v>43</v>
      </c>
      <c r="M1" s="41" t="s">
        <v>42</v>
      </c>
      <c r="N1" s="41" t="s">
        <v>41</v>
      </c>
      <c r="O1" s="41" t="s">
        <v>40</v>
      </c>
      <c r="P1" s="41" t="s">
        <v>39</v>
      </c>
      <c r="Q1" s="41" t="s">
        <v>38</v>
      </c>
      <c r="R1" s="43" t="s">
        <v>37</v>
      </c>
    </row>
    <row r="2" spans="1:58" ht="12.75" customHeight="1" x14ac:dyDescent="0.2">
      <c r="B2" s="35" t="s">
        <v>50</v>
      </c>
      <c r="C2" s="680">
        <f>STATS!D7</f>
        <v>2036</v>
      </c>
      <c r="D2" s="42"/>
      <c r="E2" s="42"/>
      <c r="F2" s="45">
        <f>'MO STATS'!S3</f>
        <v>173</v>
      </c>
      <c r="G2" s="45">
        <f>'MO STATS'!T3</f>
        <v>169</v>
      </c>
      <c r="H2" s="45">
        <f>'MO STATS'!U3</f>
        <v>173</v>
      </c>
      <c r="I2" s="45">
        <f>'MO STATS'!V3</f>
        <v>171</v>
      </c>
      <c r="J2" s="45">
        <f>'MO STATS'!W3</f>
        <v>154</v>
      </c>
      <c r="K2" s="45">
        <f>'MO STATS'!X3</f>
        <v>173</v>
      </c>
      <c r="L2" s="45">
        <f>'MO STATS'!Y3</f>
        <v>169</v>
      </c>
      <c r="M2" s="45">
        <f>'MO STATS'!Z3</f>
        <v>173</v>
      </c>
      <c r="N2" s="45">
        <f>'MO STATS'!AA3</f>
        <v>167</v>
      </c>
      <c r="O2" s="45">
        <f>'MO STATS'!AB3</f>
        <v>173</v>
      </c>
      <c r="P2" s="45">
        <f>'MO STATS'!AC3</f>
        <v>174</v>
      </c>
      <c r="Q2" s="45">
        <f>'MO STATS'!AD3</f>
        <v>167</v>
      </c>
      <c r="R2" s="46">
        <f>SUM(F2:Q2)</f>
        <v>2036</v>
      </c>
      <c r="S2" s="46">
        <f>C2-R2</f>
        <v>0</v>
      </c>
    </row>
    <row r="3" spans="1:58" ht="12.75" customHeight="1" x14ac:dyDescent="0.2"/>
    <row r="4" spans="1:58" s="1" customFormat="1" ht="12.75" customHeight="1" x14ac:dyDescent="0.2">
      <c r="A4" s="2"/>
      <c r="B4" s="35" t="s">
        <v>937</v>
      </c>
      <c r="C4" s="6">
        <v>2080</v>
      </c>
      <c r="D4" s="4"/>
      <c r="E4" s="4"/>
      <c r="F4" s="2">
        <v>176.6</v>
      </c>
      <c r="G4" s="2">
        <v>171</v>
      </c>
      <c r="H4" s="2">
        <v>176.6</v>
      </c>
      <c r="I4" s="2">
        <v>176.6</v>
      </c>
      <c r="J4" s="2">
        <v>160</v>
      </c>
      <c r="K4" s="2">
        <v>176.6</v>
      </c>
      <c r="L4" s="2">
        <v>171</v>
      </c>
      <c r="M4" s="2">
        <v>176.6</v>
      </c>
      <c r="N4" s="2">
        <v>171</v>
      </c>
      <c r="O4" s="2">
        <v>176.6</v>
      </c>
      <c r="P4" s="2">
        <v>176.6</v>
      </c>
      <c r="Q4" s="2">
        <v>171</v>
      </c>
      <c r="R4" s="34">
        <f>SUM(F4:Q4)</f>
        <v>2080.1999999999998</v>
      </c>
      <c r="S4" s="34"/>
    </row>
    <row r="5" spans="1:58" ht="12.75" customHeight="1" x14ac:dyDescent="0.2"/>
    <row r="6" spans="1:58" x14ac:dyDescent="0.2">
      <c r="A6" s="712" t="s">
        <v>35</v>
      </c>
      <c r="B6" s="712"/>
      <c r="C6" s="712"/>
      <c r="D6" s="712"/>
      <c r="E6" s="94"/>
      <c r="F6" s="50"/>
    </row>
    <row r="7" spans="1:58" x14ac:dyDescent="0.2">
      <c r="A7" s="51"/>
      <c r="B7" s="10" t="s">
        <v>51</v>
      </c>
      <c r="C7" s="52"/>
      <c r="D7" s="53" t="s">
        <v>23</v>
      </c>
      <c r="E7" s="110"/>
      <c r="F7" s="50"/>
    </row>
    <row r="8" spans="1:58" x14ac:dyDescent="0.2">
      <c r="A8" s="54"/>
      <c r="B8" s="55" t="s">
        <v>33</v>
      </c>
      <c r="C8" s="56">
        <f>D8*C$2</f>
        <v>1119800</v>
      </c>
      <c r="D8" s="57">
        <f>[5]Swing!$J$10</f>
        <v>550</v>
      </c>
      <c r="E8" s="50"/>
      <c r="F8" s="398">
        <f>F$2*$D8</f>
        <v>95150</v>
      </c>
      <c r="G8" s="398">
        <f t="shared" ref="G8:Q14" si="0">G$2*$D8</f>
        <v>92950</v>
      </c>
      <c r="H8" s="398">
        <f t="shared" si="0"/>
        <v>95150</v>
      </c>
      <c r="I8" s="398">
        <f t="shared" si="0"/>
        <v>94050</v>
      </c>
      <c r="J8" s="398">
        <f t="shared" si="0"/>
        <v>84700</v>
      </c>
      <c r="K8" s="398">
        <f t="shared" si="0"/>
        <v>95150</v>
      </c>
      <c r="L8" s="398">
        <f t="shared" si="0"/>
        <v>92950</v>
      </c>
      <c r="M8" s="398">
        <f t="shared" si="0"/>
        <v>95150</v>
      </c>
      <c r="N8" s="398">
        <f t="shared" si="0"/>
        <v>91850</v>
      </c>
      <c r="O8" s="398">
        <f t="shared" si="0"/>
        <v>95150</v>
      </c>
      <c r="P8" s="398">
        <f t="shared" si="0"/>
        <v>95700</v>
      </c>
      <c r="Q8" s="398">
        <f t="shared" si="0"/>
        <v>91850</v>
      </c>
      <c r="R8" s="398">
        <f t="shared" ref="R8:R40" si="1">SUM(F8:Q8)</f>
        <v>1119800</v>
      </c>
      <c r="S8" s="50">
        <f>C8-R8</f>
        <v>0</v>
      </c>
    </row>
    <row r="9" spans="1:58" x14ac:dyDescent="0.2">
      <c r="A9" s="54"/>
      <c r="B9" s="55" t="s">
        <v>32</v>
      </c>
      <c r="C9" s="56">
        <f t="shared" ref="C9:C14" si="2">D9*C$2</f>
        <v>0</v>
      </c>
      <c r="D9" s="57"/>
      <c r="E9" s="50"/>
      <c r="F9" s="398">
        <f t="shared" ref="F9:F14" si="3">F$2*$D9</f>
        <v>0</v>
      </c>
      <c r="G9" s="398">
        <f t="shared" si="0"/>
        <v>0</v>
      </c>
      <c r="H9" s="398">
        <f t="shared" si="0"/>
        <v>0</v>
      </c>
      <c r="I9" s="398">
        <f t="shared" si="0"/>
        <v>0</v>
      </c>
      <c r="J9" s="398">
        <f t="shared" si="0"/>
        <v>0</v>
      </c>
      <c r="K9" s="398">
        <f t="shared" si="0"/>
        <v>0</v>
      </c>
      <c r="L9" s="398">
        <f t="shared" si="0"/>
        <v>0</v>
      </c>
      <c r="M9" s="398">
        <f t="shared" si="0"/>
        <v>0</v>
      </c>
      <c r="N9" s="398">
        <f t="shared" si="0"/>
        <v>0</v>
      </c>
      <c r="O9" s="398">
        <f t="shared" si="0"/>
        <v>0</v>
      </c>
      <c r="P9" s="398">
        <f t="shared" si="0"/>
        <v>0</v>
      </c>
      <c r="Q9" s="398">
        <f t="shared" si="0"/>
        <v>0</v>
      </c>
      <c r="R9" s="398">
        <f t="shared" si="1"/>
        <v>0</v>
      </c>
      <c r="S9" s="50">
        <f t="shared" ref="S9:S16" si="4">C9-R9</f>
        <v>0</v>
      </c>
    </row>
    <row r="10" spans="1:58" x14ac:dyDescent="0.2">
      <c r="A10" s="54"/>
      <c r="B10" s="55" t="s">
        <v>31</v>
      </c>
      <c r="C10" s="56">
        <f t="shared" si="2"/>
        <v>0</v>
      </c>
      <c r="D10" s="57"/>
      <c r="E10" s="50"/>
      <c r="F10" s="398">
        <f t="shared" si="3"/>
        <v>0</v>
      </c>
      <c r="G10" s="398">
        <f t="shared" si="0"/>
        <v>0</v>
      </c>
      <c r="H10" s="398">
        <f t="shared" si="0"/>
        <v>0</v>
      </c>
      <c r="I10" s="398">
        <f t="shared" si="0"/>
        <v>0</v>
      </c>
      <c r="J10" s="398">
        <f t="shared" si="0"/>
        <v>0</v>
      </c>
      <c r="K10" s="398">
        <f t="shared" si="0"/>
        <v>0</v>
      </c>
      <c r="L10" s="398">
        <f t="shared" si="0"/>
        <v>0</v>
      </c>
      <c r="M10" s="398">
        <f t="shared" si="0"/>
        <v>0</v>
      </c>
      <c r="N10" s="398">
        <f t="shared" si="0"/>
        <v>0</v>
      </c>
      <c r="O10" s="398">
        <f t="shared" si="0"/>
        <v>0</v>
      </c>
      <c r="P10" s="398">
        <f t="shared" si="0"/>
        <v>0</v>
      </c>
      <c r="Q10" s="398">
        <f t="shared" si="0"/>
        <v>0</v>
      </c>
      <c r="R10" s="398">
        <f t="shared" si="1"/>
        <v>0</v>
      </c>
      <c r="S10" s="50">
        <f t="shared" si="4"/>
        <v>0</v>
      </c>
    </row>
    <row r="11" spans="1:58" x14ac:dyDescent="0.2">
      <c r="A11" s="54"/>
      <c r="B11" s="55" t="s">
        <v>30</v>
      </c>
      <c r="C11" s="56">
        <f t="shared" si="2"/>
        <v>0</v>
      </c>
      <c r="D11" s="57"/>
      <c r="E11" s="50"/>
      <c r="F11" s="398">
        <f t="shared" si="3"/>
        <v>0</v>
      </c>
      <c r="G11" s="398">
        <f t="shared" si="0"/>
        <v>0</v>
      </c>
      <c r="H11" s="398">
        <f t="shared" si="0"/>
        <v>0</v>
      </c>
      <c r="I11" s="398">
        <f t="shared" si="0"/>
        <v>0</v>
      </c>
      <c r="J11" s="398">
        <f t="shared" si="0"/>
        <v>0</v>
      </c>
      <c r="K11" s="398">
        <f t="shared" si="0"/>
        <v>0</v>
      </c>
      <c r="L11" s="398">
        <f t="shared" si="0"/>
        <v>0</v>
      </c>
      <c r="M11" s="398">
        <f t="shared" si="0"/>
        <v>0</v>
      </c>
      <c r="N11" s="398">
        <f t="shared" si="0"/>
        <v>0</v>
      </c>
      <c r="O11" s="398">
        <f t="shared" si="0"/>
        <v>0</v>
      </c>
      <c r="P11" s="398">
        <f t="shared" si="0"/>
        <v>0</v>
      </c>
      <c r="Q11" s="398">
        <f t="shared" si="0"/>
        <v>0</v>
      </c>
      <c r="R11" s="398">
        <f t="shared" si="1"/>
        <v>0</v>
      </c>
      <c r="S11" s="50">
        <f t="shared" si="4"/>
        <v>0</v>
      </c>
    </row>
    <row r="12" spans="1:58" x14ac:dyDescent="0.2">
      <c r="A12" s="54"/>
      <c r="B12" s="55" t="s">
        <v>29</v>
      </c>
      <c r="C12" s="56">
        <f t="shared" si="2"/>
        <v>0</v>
      </c>
      <c r="D12" s="57"/>
      <c r="E12" s="50"/>
      <c r="F12" s="398">
        <f t="shared" si="3"/>
        <v>0</v>
      </c>
      <c r="G12" s="398">
        <f t="shared" si="0"/>
        <v>0</v>
      </c>
      <c r="H12" s="398">
        <f t="shared" si="0"/>
        <v>0</v>
      </c>
      <c r="I12" s="398">
        <f t="shared" si="0"/>
        <v>0</v>
      </c>
      <c r="J12" s="398">
        <f t="shared" si="0"/>
        <v>0</v>
      </c>
      <c r="K12" s="398">
        <f t="shared" si="0"/>
        <v>0</v>
      </c>
      <c r="L12" s="398">
        <f t="shared" si="0"/>
        <v>0</v>
      </c>
      <c r="M12" s="398">
        <f t="shared" si="0"/>
        <v>0</v>
      </c>
      <c r="N12" s="398">
        <f t="shared" si="0"/>
        <v>0</v>
      </c>
      <c r="O12" s="398">
        <f t="shared" si="0"/>
        <v>0</v>
      </c>
      <c r="P12" s="398">
        <f t="shared" si="0"/>
        <v>0</v>
      </c>
      <c r="Q12" s="398">
        <f t="shared" si="0"/>
        <v>0</v>
      </c>
      <c r="R12" s="398">
        <f t="shared" si="1"/>
        <v>0</v>
      </c>
      <c r="S12" s="50">
        <f t="shared" si="4"/>
        <v>0</v>
      </c>
    </row>
    <row r="13" spans="1:58" x14ac:dyDescent="0.2">
      <c r="A13" s="54"/>
      <c r="B13" s="55" t="s">
        <v>28</v>
      </c>
      <c r="C13" s="56">
        <f t="shared" si="2"/>
        <v>0</v>
      </c>
      <c r="D13" s="57"/>
      <c r="E13" s="50"/>
      <c r="F13" s="398">
        <f t="shared" si="3"/>
        <v>0</v>
      </c>
      <c r="G13" s="398">
        <f t="shared" si="0"/>
        <v>0</v>
      </c>
      <c r="H13" s="398">
        <f t="shared" si="0"/>
        <v>0</v>
      </c>
      <c r="I13" s="398">
        <f t="shared" si="0"/>
        <v>0</v>
      </c>
      <c r="J13" s="398">
        <f t="shared" si="0"/>
        <v>0</v>
      </c>
      <c r="K13" s="398">
        <f t="shared" si="0"/>
        <v>0</v>
      </c>
      <c r="L13" s="398">
        <f t="shared" si="0"/>
        <v>0</v>
      </c>
      <c r="M13" s="398">
        <f t="shared" si="0"/>
        <v>0</v>
      </c>
      <c r="N13" s="398">
        <f t="shared" si="0"/>
        <v>0</v>
      </c>
      <c r="O13" s="398">
        <f t="shared" si="0"/>
        <v>0</v>
      </c>
      <c r="P13" s="398">
        <f t="shared" si="0"/>
        <v>0</v>
      </c>
      <c r="Q13" s="398">
        <f t="shared" si="0"/>
        <v>0</v>
      </c>
      <c r="R13" s="398">
        <f t="shared" si="1"/>
        <v>0</v>
      </c>
      <c r="S13" s="50">
        <f t="shared" si="4"/>
        <v>0</v>
      </c>
    </row>
    <row r="14" spans="1:58" x14ac:dyDescent="0.2">
      <c r="A14" s="54"/>
      <c r="B14" s="55" t="s">
        <v>27</v>
      </c>
      <c r="C14" s="56">
        <f t="shared" si="2"/>
        <v>0</v>
      </c>
      <c r="D14" s="57"/>
      <c r="E14" s="50"/>
      <c r="F14" s="398">
        <f t="shared" si="3"/>
        <v>0</v>
      </c>
      <c r="G14" s="398">
        <f t="shared" si="0"/>
        <v>0</v>
      </c>
      <c r="H14" s="398">
        <f t="shared" si="0"/>
        <v>0</v>
      </c>
      <c r="I14" s="398">
        <f t="shared" si="0"/>
        <v>0</v>
      </c>
      <c r="J14" s="398">
        <f t="shared" si="0"/>
        <v>0</v>
      </c>
      <c r="K14" s="398">
        <f t="shared" si="0"/>
        <v>0</v>
      </c>
      <c r="L14" s="398">
        <f t="shared" si="0"/>
        <v>0</v>
      </c>
      <c r="M14" s="398">
        <f t="shared" si="0"/>
        <v>0</v>
      </c>
      <c r="N14" s="398">
        <f t="shared" si="0"/>
        <v>0</v>
      </c>
      <c r="O14" s="398">
        <f t="shared" si="0"/>
        <v>0</v>
      </c>
      <c r="P14" s="398">
        <f t="shared" si="0"/>
        <v>0</v>
      </c>
      <c r="Q14" s="398">
        <f t="shared" si="0"/>
        <v>0</v>
      </c>
      <c r="R14" s="398">
        <f t="shared" si="1"/>
        <v>0</v>
      </c>
      <c r="S14" s="50">
        <f t="shared" si="4"/>
        <v>0</v>
      </c>
    </row>
    <row r="15" spans="1:58" x14ac:dyDescent="0.2">
      <c r="A15" s="87">
        <v>31111.002</v>
      </c>
      <c r="B15" s="172" t="s">
        <v>52</v>
      </c>
      <c r="C15" s="293">
        <f>SUM(C8:C14)</f>
        <v>1119800</v>
      </c>
      <c r="D15" s="295">
        <v>0</v>
      </c>
      <c r="E15" s="295"/>
      <c r="F15" s="399">
        <f>SUM(F8:F14)</f>
        <v>95150</v>
      </c>
      <c r="G15" s="399">
        <f t="shared" ref="G15:Q15" si="5">SUM(G8:G14)</f>
        <v>92950</v>
      </c>
      <c r="H15" s="399">
        <f t="shared" si="5"/>
        <v>95150</v>
      </c>
      <c r="I15" s="399">
        <f t="shared" si="5"/>
        <v>94050</v>
      </c>
      <c r="J15" s="399">
        <f t="shared" si="5"/>
        <v>84700</v>
      </c>
      <c r="K15" s="399">
        <f t="shared" si="5"/>
        <v>95150</v>
      </c>
      <c r="L15" s="399">
        <f t="shared" si="5"/>
        <v>92950</v>
      </c>
      <c r="M15" s="399">
        <f t="shared" si="5"/>
        <v>95150</v>
      </c>
      <c r="N15" s="399">
        <f t="shared" si="5"/>
        <v>91850</v>
      </c>
      <c r="O15" s="399">
        <f t="shared" si="5"/>
        <v>95150</v>
      </c>
      <c r="P15" s="399">
        <f t="shared" si="5"/>
        <v>95700</v>
      </c>
      <c r="Q15" s="399">
        <f t="shared" si="5"/>
        <v>91850</v>
      </c>
      <c r="R15" s="399">
        <f t="shared" si="1"/>
        <v>1119800</v>
      </c>
      <c r="S15" s="294">
        <f t="shared" si="4"/>
        <v>0</v>
      </c>
    </row>
    <row r="16" spans="1:58" s="60" customFormat="1" x14ac:dyDescent="0.2">
      <c r="A16" s="11"/>
      <c r="B16" s="10" t="s">
        <v>0</v>
      </c>
      <c r="C16" s="293">
        <f>SUM(C8:C14)</f>
        <v>1119800</v>
      </c>
      <c r="D16" s="295">
        <f>(C16/C$2)</f>
        <v>550</v>
      </c>
      <c r="E16" s="295"/>
      <c r="F16" s="370">
        <f>SUM(F8:F14)</f>
        <v>95150</v>
      </c>
      <c r="G16" s="370">
        <f t="shared" ref="G16:Q16" si="6">SUM(G8:G14)</f>
        <v>92950</v>
      </c>
      <c r="H16" s="370">
        <f t="shared" si="6"/>
        <v>95150</v>
      </c>
      <c r="I16" s="370">
        <f t="shared" si="6"/>
        <v>94050</v>
      </c>
      <c r="J16" s="370">
        <f t="shared" si="6"/>
        <v>84700</v>
      </c>
      <c r="K16" s="370">
        <f t="shared" si="6"/>
        <v>95150</v>
      </c>
      <c r="L16" s="370">
        <f t="shared" si="6"/>
        <v>92950</v>
      </c>
      <c r="M16" s="370">
        <f t="shared" si="6"/>
        <v>95150</v>
      </c>
      <c r="N16" s="370">
        <f t="shared" si="6"/>
        <v>91850</v>
      </c>
      <c r="O16" s="370">
        <f t="shared" si="6"/>
        <v>95150</v>
      </c>
      <c r="P16" s="370">
        <f t="shared" si="6"/>
        <v>95700</v>
      </c>
      <c r="Q16" s="370">
        <f t="shared" si="6"/>
        <v>91850</v>
      </c>
      <c r="R16" s="399">
        <f t="shared" si="1"/>
        <v>1119800</v>
      </c>
      <c r="S16" s="294">
        <f t="shared" si="4"/>
        <v>0</v>
      </c>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row>
    <row r="17" spans="1:58" x14ac:dyDescent="0.2">
      <c r="A17" s="51"/>
      <c r="B17" s="55"/>
      <c r="C17" s="56"/>
      <c r="D17" s="50"/>
      <c r="E17" s="50"/>
      <c r="F17" s="398"/>
      <c r="G17" s="400"/>
      <c r="H17" s="400"/>
      <c r="I17" s="400"/>
      <c r="J17" s="400"/>
      <c r="K17" s="400"/>
      <c r="L17" s="400"/>
      <c r="M17" s="400"/>
      <c r="N17" s="400"/>
      <c r="O17" s="400"/>
      <c r="P17" s="400"/>
      <c r="Q17" s="400"/>
      <c r="R17" s="398"/>
    </row>
    <row r="18" spans="1:58" x14ac:dyDescent="0.2">
      <c r="A18" s="712" t="s">
        <v>25</v>
      </c>
      <c r="B18" s="712"/>
      <c r="C18" s="712"/>
      <c r="D18" s="712"/>
      <c r="E18" s="42"/>
      <c r="F18" s="400"/>
      <c r="G18" s="400"/>
      <c r="H18" s="400"/>
      <c r="I18" s="400"/>
      <c r="J18" s="400"/>
      <c r="K18" s="400"/>
      <c r="L18" s="400"/>
      <c r="M18" s="400"/>
      <c r="N18" s="400"/>
      <c r="O18" s="400"/>
      <c r="P18" s="400"/>
      <c r="Q18" s="400"/>
      <c r="R18" s="398"/>
    </row>
    <row r="19" spans="1:58" x14ac:dyDescent="0.2">
      <c r="A19" s="21"/>
      <c r="B19" s="10" t="s">
        <v>51</v>
      </c>
      <c r="C19" s="20"/>
      <c r="D19" s="53" t="s">
        <v>23</v>
      </c>
      <c r="E19" s="110"/>
      <c r="F19" s="400"/>
      <c r="G19" s="400"/>
      <c r="H19" s="400"/>
      <c r="I19" s="400"/>
      <c r="J19" s="400"/>
      <c r="K19" s="400"/>
      <c r="L19" s="400"/>
      <c r="M19" s="400"/>
      <c r="N19" s="400"/>
      <c r="O19" s="400"/>
      <c r="P19" s="400"/>
      <c r="Q19" s="400"/>
      <c r="R19" s="398"/>
    </row>
    <row r="20" spans="1:58" s="62" customFormat="1" x14ac:dyDescent="0.2">
      <c r="A20" s="87">
        <v>41101.002</v>
      </c>
      <c r="B20" s="15" t="s">
        <v>22</v>
      </c>
      <c r="C20" s="14">
        <v>0</v>
      </c>
      <c r="D20" s="57">
        <f>$C20/C$2</f>
        <v>0</v>
      </c>
      <c r="E20" s="50"/>
      <c r="F20" s="401">
        <f t="shared" ref="F20:Q39" si="7">$D20*F$2</f>
        <v>0</v>
      </c>
      <c r="G20" s="401">
        <f t="shared" si="7"/>
        <v>0</v>
      </c>
      <c r="H20" s="401">
        <f t="shared" si="7"/>
        <v>0</v>
      </c>
      <c r="I20" s="401">
        <f t="shared" si="7"/>
        <v>0</v>
      </c>
      <c r="J20" s="401">
        <f t="shared" si="7"/>
        <v>0</v>
      </c>
      <c r="K20" s="401">
        <f t="shared" si="7"/>
        <v>0</v>
      </c>
      <c r="L20" s="401">
        <f t="shared" si="7"/>
        <v>0</v>
      </c>
      <c r="M20" s="401">
        <f t="shared" si="7"/>
        <v>0</v>
      </c>
      <c r="N20" s="401">
        <f t="shared" si="7"/>
        <v>0</v>
      </c>
      <c r="O20" s="401">
        <f t="shared" si="7"/>
        <v>0</v>
      </c>
      <c r="P20" s="401">
        <f t="shared" si="7"/>
        <v>0</v>
      </c>
      <c r="Q20" s="401">
        <f t="shared" si="7"/>
        <v>0</v>
      </c>
      <c r="R20" s="398">
        <f t="shared" si="1"/>
        <v>0</v>
      </c>
      <c r="S20" s="50">
        <f>C20-R20</f>
        <v>0</v>
      </c>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row>
    <row r="21" spans="1:58" s="62" customFormat="1" x14ac:dyDescent="0.2">
      <c r="A21" s="87">
        <v>41110.002</v>
      </c>
      <c r="B21" s="15" t="s">
        <v>21</v>
      </c>
      <c r="C21" s="14">
        <v>0</v>
      </c>
      <c r="D21" s="57">
        <f t="shared" ref="D21:D39" si="8">$C21/C$2</f>
        <v>0</v>
      </c>
      <c r="E21" s="50"/>
      <c r="F21" s="401">
        <f t="shared" si="7"/>
        <v>0</v>
      </c>
      <c r="G21" s="401">
        <f t="shared" si="7"/>
        <v>0</v>
      </c>
      <c r="H21" s="401">
        <f t="shared" si="7"/>
        <v>0</v>
      </c>
      <c r="I21" s="401">
        <f t="shared" si="7"/>
        <v>0</v>
      </c>
      <c r="J21" s="401">
        <f t="shared" si="7"/>
        <v>0</v>
      </c>
      <c r="K21" s="401">
        <f t="shared" si="7"/>
        <v>0</v>
      </c>
      <c r="L21" s="401">
        <f t="shared" si="7"/>
        <v>0</v>
      </c>
      <c r="M21" s="401">
        <f t="shared" si="7"/>
        <v>0</v>
      </c>
      <c r="N21" s="401">
        <f t="shared" si="7"/>
        <v>0</v>
      </c>
      <c r="O21" s="401">
        <f t="shared" si="7"/>
        <v>0</v>
      </c>
      <c r="P21" s="401">
        <f t="shared" si="7"/>
        <v>0</v>
      </c>
      <c r="Q21" s="401">
        <f t="shared" si="7"/>
        <v>0</v>
      </c>
      <c r="R21" s="398">
        <f t="shared" si="1"/>
        <v>0</v>
      </c>
      <c r="S21" s="50">
        <f t="shared" ref="S21:S40" si="9">C21-R21</f>
        <v>0</v>
      </c>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row>
    <row r="22" spans="1:58" s="62" customFormat="1" x14ac:dyDescent="0.2">
      <c r="A22" s="87">
        <v>41115.002</v>
      </c>
      <c r="B22" s="15" t="s">
        <v>20</v>
      </c>
      <c r="C22" s="14">
        <v>0</v>
      </c>
      <c r="D22" s="57">
        <f t="shared" si="8"/>
        <v>0</v>
      </c>
      <c r="E22" s="50"/>
      <c r="F22" s="401">
        <f t="shared" si="7"/>
        <v>0</v>
      </c>
      <c r="G22" s="401">
        <f t="shared" si="7"/>
        <v>0</v>
      </c>
      <c r="H22" s="401">
        <f t="shared" si="7"/>
        <v>0</v>
      </c>
      <c r="I22" s="401">
        <f t="shared" si="7"/>
        <v>0</v>
      </c>
      <c r="J22" s="401">
        <f t="shared" si="7"/>
        <v>0</v>
      </c>
      <c r="K22" s="401">
        <f t="shared" si="7"/>
        <v>0</v>
      </c>
      <c r="L22" s="401">
        <f t="shared" si="7"/>
        <v>0</v>
      </c>
      <c r="M22" s="401">
        <f t="shared" si="7"/>
        <v>0</v>
      </c>
      <c r="N22" s="401">
        <f t="shared" si="7"/>
        <v>0</v>
      </c>
      <c r="O22" s="401">
        <f t="shared" si="7"/>
        <v>0</v>
      </c>
      <c r="P22" s="401">
        <f t="shared" si="7"/>
        <v>0</v>
      </c>
      <c r="Q22" s="401">
        <f t="shared" si="7"/>
        <v>0</v>
      </c>
      <c r="R22" s="398">
        <f>SUM(F22:Q22)</f>
        <v>0</v>
      </c>
      <c r="S22" s="50">
        <f>C22-R22</f>
        <v>0</v>
      </c>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row>
    <row r="23" spans="1:58" s="62" customFormat="1" x14ac:dyDescent="0.2">
      <c r="A23" s="87">
        <v>41150.002</v>
      </c>
      <c r="B23" s="15" t="s">
        <v>19</v>
      </c>
      <c r="C23" s="18">
        <v>0</v>
      </c>
      <c r="D23" s="57">
        <f t="shared" si="8"/>
        <v>0</v>
      </c>
      <c r="E23" s="50"/>
      <c r="F23" s="401">
        <f t="shared" si="7"/>
        <v>0</v>
      </c>
      <c r="G23" s="401">
        <f t="shared" si="7"/>
        <v>0</v>
      </c>
      <c r="H23" s="401">
        <f t="shared" si="7"/>
        <v>0</v>
      </c>
      <c r="I23" s="401">
        <f t="shared" si="7"/>
        <v>0</v>
      </c>
      <c r="J23" s="401">
        <f t="shared" si="7"/>
        <v>0</v>
      </c>
      <c r="K23" s="401">
        <f t="shared" si="7"/>
        <v>0</v>
      </c>
      <c r="L23" s="401">
        <f t="shared" si="7"/>
        <v>0</v>
      </c>
      <c r="M23" s="401">
        <f t="shared" si="7"/>
        <v>0</v>
      </c>
      <c r="N23" s="401">
        <f t="shared" si="7"/>
        <v>0</v>
      </c>
      <c r="O23" s="401">
        <f t="shared" si="7"/>
        <v>0</v>
      </c>
      <c r="P23" s="401">
        <f t="shared" si="7"/>
        <v>0</v>
      </c>
      <c r="Q23" s="401">
        <f t="shared" si="7"/>
        <v>0</v>
      </c>
      <c r="R23" s="398">
        <f t="shared" si="1"/>
        <v>0</v>
      </c>
      <c r="S23" s="50">
        <f t="shared" si="9"/>
        <v>0</v>
      </c>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row>
    <row r="24" spans="1:58" s="62" customFormat="1" x14ac:dyDescent="0.2">
      <c r="A24" s="87">
        <v>41152.002</v>
      </c>
      <c r="B24" s="15" t="s">
        <v>18</v>
      </c>
      <c r="C24" s="63">
        <v>0</v>
      </c>
      <c r="D24" s="57">
        <f t="shared" si="8"/>
        <v>0</v>
      </c>
      <c r="E24" s="50"/>
      <c r="F24" s="401">
        <f t="shared" si="7"/>
        <v>0</v>
      </c>
      <c r="G24" s="401">
        <f t="shared" si="7"/>
        <v>0</v>
      </c>
      <c r="H24" s="401">
        <f t="shared" si="7"/>
        <v>0</v>
      </c>
      <c r="I24" s="401">
        <f t="shared" si="7"/>
        <v>0</v>
      </c>
      <c r="J24" s="401">
        <f t="shared" si="7"/>
        <v>0</v>
      </c>
      <c r="K24" s="401">
        <f t="shared" si="7"/>
        <v>0</v>
      </c>
      <c r="L24" s="401">
        <f t="shared" si="7"/>
        <v>0</v>
      </c>
      <c r="M24" s="401">
        <f t="shared" si="7"/>
        <v>0</v>
      </c>
      <c r="N24" s="401">
        <f t="shared" si="7"/>
        <v>0</v>
      </c>
      <c r="O24" s="401">
        <f t="shared" si="7"/>
        <v>0</v>
      </c>
      <c r="P24" s="401">
        <f t="shared" si="7"/>
        <v>0</v>
      </c>
      <c r="Q24" s="401">
        <f t="shared" si="7"/>
        <v>0</v>
      </c>
      <c r="R24" s="398">
        <f t="shared" si="1"/>
        <v>0</v>
      </c>
      <c r="S24" s="50">
        <f t="shared" si="9"/>
        <v>0</v>
      </c>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row>
    <row r="25" spans="1:58" s="62" customFormat="1" x14ac:dyDescent="0.2">
      <c r="A25" s="87">
        <v>41237.002</v>
      </c>
      <c r="B25" s="15" t="s">
        <v>17</v>
      </c>
      <c r="C25" s="63">
        <f>[7]Swing!$I$15</f>
        <v>0</v>
      </c>
      <c r="D25" s="57">
        <f t="shared" si="8"/>
        <v>0</v>
      </c>
      <c r="E25" s="50"/>
      <c r="F25" s="401">
        <f t="shared" si="7"/>
        <v>0</v>
      </c>
      <c r="G25" s="401">
        <f t="shared" si="7"/>
        <v>0</v>
      </c>
      <c r="H25" s="401">
        <f t="shared" si="7"/>
        <v>0</v>
      </c>
      <c r="I25" s="401">
        <f t="shared" si="7"/>
        <v>0</v>
      </c>
      <c r="J25" s="401">
        <f t="shared" si="7"/>
        <v>0</v>
      </c>
      <c r="K25" s="401">
        <f t="shared" si="7"/>
        <v>0</v>
      </c>
      <c r="L25" s="401">
        <f t="shared" si="7"/>
        <v>0</v>
      </c>
      <c r="M25" s="401">
        <f t="shared" si="7"/>
        <v>0</v>
      </c>
      <c r="N25" s="401">
        <f t="shared" si="7"/>
        <v>0</v>
      </c>
      <c r="O25" s="401">
        <f t="shared" si="7"/>
        <v>0</v>
      </c>
      <c r="P25" s="401">
        <f t="shared" si="7"/>
        <v>0</v>
      </c>
      <c r="Q25" s="401">
        <f t="shared" si="7"/>
        <v>0</v>
      </c>
      <c r="R25" s="398">
        <f t="shared" si="1"/>
        <v>0</v>
      </c>
      <c r="S25" s="50">
        <f t="shared" si="9"/>
        <v>0</v>
      </c>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row>
    <row r="26" spans="1:58" s="62" customFormat="1" x14ac:dyDescent="0.2">
      <c r="A26" s="87">
        <v>41246.002</v>
      </c>
      <c r="B26" s="15" t="s">
        <v>16</v>
      </c>
      <c r="C26" s="14">
        <v>0</v>
      </c>
      <c r="D26" s="57">
        <f t="shared" si="8"/>
        <v>0</v>
      </c>
      <c r="E26" s="50"/>
      <c r="F26" s="401">
        <f t="shared" si="7"/>
        <v>0</v>
      </c>
      <c r="G26" s="401">
        <f t="shared" si="7"/>
        <v>0</v>
      </c>
      <c r="H26" s="401">
        <f t="shared" si="7"/>
        <v>0</v>
      </c>
      <c r="I26" s="401">
        <f t="shared" si="7"/>
        <v>0</v>
      </c>
      <c r="J26" s="401">
        <f t="shared" si="7"/>
        <v>0</v>
      </c>
      <c r="K26" s="401">
        <f t="shared" si="7"/>
        <v>0</v>
      </c>
      <c r="L26" s="401">
        <f t="shared" si="7"/>
        <v>0</v>
      </c>
      <c r="M26" s="401">
        <f t="shared" si="7"/>
        <v>0</v>
      </c>
      <c r="N26" s="401">
        <f t="shared" si="7"/>
        <v>0</v>
      </c>
      <c r="O26" s="401">
        <f t="shared" si="7"/>
        <v>0</v>
      </c>
      <c r="P26" s="401">
        <f t="shared" si="7"/>
        <v>0</v>
      </c>
      <c r="Q26" s="401">
        <f t="shared" si="7"/>
        <v>0</v>
      </c>
      <c r="R26" s="398">
        <f t="shared" si="1"/>
        <v>0</v>
      </c>
      <c r="S26" s="50">
        <f t="shared" si="9"/>
        <v>0</v>
      </c>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row>
    <row r="27" spans="1:58" s="62" customFormat="1" x14ac:dyDescent="0.2">
      <c r="A27" s="87">
        <v>41250.002</v>
      </c>
      <c r="B27" s="15" t="s">
        <v>15</v>
      </c>
      <c r="C27" s="14">
        <v>0</v>
      </c>
      <c r="D27" s="57">
        <f t="shared" si="8"/>
        <v>0</v>
      </c>
      <c r="E27" s="50"/>
      <c r="F27" s="401">
        <f t="shared" si="7"/>
        <v>0</v>
      </c>
      <c r="G27" s="401">
        <f t="shared" si="7"/>
        <v>0</v>
      </c>
      <c r="H27" s="401">
        <f t="shared" si="7"/>
        <v>0</v>
      </c>
      <c r="I27" s="401">
        <f t="shared" si="7"/>
        <v>0</v>
      </c>
      <c r="J27" s="401">
        <f t="shared" si="7"/>
        <v>0</v>
      </c>
      <c r="K27" s="401">
        <f t="shared" si="7"/>
        <v>0</v>
      </c>
      <c r="L27" s="401">
        <f t="shared" si="7"/>
        <v>0</v>
      </c>
      <c r="M27" s="401">
        <f t="shared" si="7"/>
        <v>0</v>
      </c>
      <c r="N27" s="401">
        <f t="shared" si="7"/>
        <v>0</v>
      </c>
      <c r="O27" s="401">
        <f t="shared" si="7"/>
        <v>0</v>
      </c>
      <c r="P27" s="401">
        <f t="shared" si="7"/>
        <v>0</v>
      </c>
      <c r="Q27" s="401">
        <f t="shared" si="7"/>
        <v>0</v>
      </c>
      <c r="R27" s="398">
        <f t="shared" si="1"/>
        <v>0</v>
      </c>
      <c r="S27" s="50">
        <f t="shared" si="9"/>
        <v>0</v>
      </c>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row>
    <row r="28" spans="1:58" s="62" customFormat="1" x14ac:dyDescent="0.2">
      <c r="A28" s="87">
        <v>41260.002</v>
      </c>
      <c r="B28" s="15" t="s">
        <v>14</v>
      </c>
      <c r="C28" s="14">
        <v>0</v>
      </c>
      <c r="D28" s="57">
        <f t="shared" si="8"/>
        <v>0</v>
      </c>
      <c r="E28" s="50"/>
      <c r="F28" s="401">
        <f t="shared" si="7"/>
        <v>0</v>
      </c>
      <c r="G28" s="401">
        <f t="shared" si="7"/>
        <v>0</v>
      </c>
      <c r="H28" s="401">
        <f t="shared" si="7"/>
        <v>0</v>
      </c>
      <c r="I28" s="401">
        <f t="shared" si="7"/>
        <v>0</v>
      </c>
      <c r="J28" s="401">
        <f t="shared" si="7"/>
        <v>0</v>
      </c>
      <c r="K28" s="401">
        <f t="shared" si="7"/>
        <v>0</v>
      </c>
      <c r="L28" s="401">
        <f t="shared" si="7"/>
        <v>0</v>
      </c>
      <c r="M28" s="401">
        <f t="shared" si="7"/>
        <v>0</v>
      </c>
      <c r="N28" s="401">
        <f t="shared" si="7"/>
        <v>0</v>
      </c>
      <c r="O28" s="401">
        <f t="shared" si="7"/>
        <v>0</v>
      </c>
      <c r="P28" s="401">
        <f t="shared" si="7"/>
        <v>0</v>
      </c>
      <c r="Q28" s="401">
        <f t="shared" si="7"/>
        <v>0</v>
      </c>
      <c r="R28" s="398">
        <f t="shared" si="1"/>
        <v>0</v>
      </c>
      <c r="S28" s="50">
        <f t="shared" si="9"/>
        <v>0</v>
      </c>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row>
    <row r="29" spans="1:58" s="62" customFormat="1" x14ac:dyDescent="0.2">
      <c r="A29" s="87">
        <v>41300.002</v>
      </c>
      <c r="B29" s="15" t="s">
        <v>620</v>
      </c>
      <c r="C29" s="14">
        <f>[6]Swing!$I$15</f>
        <v>48000</v>
      </c>
      <c r="D29" s="57">
        <f t="shared" si="8"/>
        <v>23.575638506876228</v>
      </c>
      <c r="E29" s="50"/>
      <c r="F29" s="401">
        <f>$C29/12</f>
        <v>4000</v>
      </c>
      <c r="G29" s="401">
        <f t="shared" ref="G29:Q29" si="10">$C29/12</f>
        <v>4000</v>
      </c>
      <c r="H29" s="401">
        <f t="shared" si="10"/>
        <v>4000</v>
      </c>
      <c r="I29" s="401">
        <f t="shared" si="10"/>
        <v>4000</v>
      </c>
      <c r="J29" s="401">
        <f t="shared" si="10"/>
        <v>4000</v>
      </c>
      <c r="K29" s="401">
        <f t="shared" si="10"/>
        <v>4000</v>
      </c>
      <c r="L29" s="401">
        <f t="shared" si="10"/>
        <v>4000</v>
      </c>
      <c r="M29" s="401">
        <f t="shared" si="10"/>
        <v>4000</v>
      </c>
      <c r="N29" s="401">
        <f t="shared" si="10"/>
        <v>4000</v>
      </c>
      <c r="O29" s="401">
        <f t="shared" si="10"/>
        <v>4000</v>
      </c>
      <c r="P29" s="401">
        <f t="shared" si="10"/>
        <v>4000</v>
      </c>
      <c r="Q29" s="401">
        <f t="shared" si="10"/>
        <v>4000</v>
      </c>
      <c r="R29" s="398">
        <f t="shared" ref="R29" si="11">SUM(F29:Q29)</f>
        <v>48000</v>
      </c>
      <c r="S29" s="50">
        <f t="shared" ref="S29" si="12">C29-R29</f>
        <v>0</v>
      </c>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row>
    <row r="30" spans="1:58" s="62" customFormat="1" x14ac:dyDescent="0.2">
      <c r="A30" s="87">
        <v>41313.002</v>
      </c>
      <c r="B30" s="15" t="s">
        <v>13</v>
      </c>
      <c r="C30" s="14">
        <v>0</v>
      </c>
      <c r="D30" s="57">
        <f t="shared" si="8"/>
        <v>0</v>
      </c>
      <c r="E30" s="50"/>
      <c r="F30" s="401">
        <f t="shared" si="7"/>
        <v>0</v>
      </c>
      <c r="G30" s="401">
        <f t="shared" si="7"/>
        <v>0</v>
      </c>
      <c r="H30" s="401">
        <f t="shared" si="7"/>
        <v>0</v>
      </c>
      <c r="I30" s="401">
        <f t="shared" si="7"/>
        <v>0</v>
      </c>
      <c r="J30" s="401">
        <f t="shared" si="7"/>
        <v>0</v>
      </c>
      <c r="K30" s="401">
        <f t="shared" si="7"/>
        <v>0</v>
      </c>
      <c r="L30" s="401">
        <f t="shared" si="7"/>
        <v>0</v>
      </c>
      <c r="M30" s="401">
        <f t="shared" si="7"/>
        <v>0</v>
      </c>
      <c r="N30" s="401">
        <f t="shared" si="7"/>
        <v>0</v>
      </c>
      <c r="O30" s="401">
        <f t="shared" si="7"/>
        <v>0</v>
      </c>
      <c r="P30" s="401">
        <f t="shared" si="7"/>
        <v>0</v>
      </c>
      <c r="Q30" s="401">
        <f t="shared" si="7"/>
        <v>0</v>
      </c>
      <c r="R30" s="398">
        <f t="shared" si="1"/>
        <v>0</v>
      </c>
      <c r="S30" s="50">
        <f t="shared" si="9"/>
        <v>0</v>
      </c>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row>
    <row r="31" spans="1:58" s="62" customFormat="1" x14ac:dyDescent="0.2">
      <c r="A31" s="87">
        <v>41329.002</v>
      </c>
      <c r="B31" s="15" t="s">
        <v>12</v>
      </c>
      <c r="C31" s="14">
        <v>0</v>
      </c>
      <c r="D31" s="57">
        <f t="shared" si="8"/>
        <v>0</v>
      </c>
      <c r="E31" s="50"/>
      <c r="F31" s="401">
        <f t="shared" si="7"/>
        <v>0</v>
      </c>
      <c r="G31" s="401">
        <f t="shared" si="7"/>
        <v>0</v>
      </c>
      <c r="H31" s="401">
        <f t="shared" si="7"/>
        <v>0</v>
      </c>
      <c r="I31" s="401">
        <f t="shared" si="7"/>
        <v>0</v>
      </c>
      <c r="J31" s="401">
        <f t="shared" si="7"/>
        <v>0</v>
      </c>
      <c r="K31" s="401">
        <f t="shared" si="7"/>
        <v>0</v>
      </c>
      <c r="L31" s="401">
        <f t="shared" si="7"/>
        <v>0</v>
      </c>
      <c r="M31" s="401">
        <f t="shared" si="7"/>
        <v>0</v>
      </c>
      <c r="N31" s="401">
        <f t="shared" si="7"/>
        <v>0</v>
      </c>
      <c r="O31" s="401">
        <f t="shared" si="7"/>
        <v>0</v>
      </c>
      <c r="P31" s="401">
        <f t="shared" si="7"/>
        <v>0</v>
      </c>
      <c r="Q31" s="401">
        <f t="shared" si="7"/>
        <v>0</v>
      </c>
      <c r="R31" s="398">
        <f t="shared" si="1"/>
        <v>0</v>
      </c>
      <c r="S31" s="50">
        <f t="shared" si="9"/>
        <v>0</v>
      </c>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row>
    <row r="32" spans="1:58" s="62" customFormat="1" x14ac:dyDescent="0.2">
      <c r="A32" s="87">
        <v>41342.002</v>
      </c>
      <c r="B32" s="15" t="s">
        <v>11</v>
      </c>
      <c r="C32" s="14">
        <v>0</v>
      </c>
      <c r="D32" s="57">
        <f t="shared" si="8"/>
        <v>0</v>
      </c>
      <c r="E32" s="50"/>
      <c r="F32" s="401">
        <f t="shared" si="7"/>
        <v>0</v>
      </c>
      <c r="G32" s="401">
        <f t="shared" si="7"/>
        <v>0</v>
      </c>
      <c r="H32" s="401">
        <f t="shared" si="7"/>
        <v>0</v>
      </c>
      <c r="I32" s="401">
        <f t="shared" si="7"/>
        <v>0</v>
      </c>
      <c r="J32" s="401">
        <f t="shared" si="7"/>
        <v>0</v>
      </c>
      <c r="K32" s="401">
        <f t="shared" si="7"/>
        <v>0</v>
      </c>
      <c r="L32" s="401">
        <f t="shared" si="7"/>
        <v>0</v>
      </c>
      <c r="M32" s="401">
        <f t="shared" si="7"/>
        <v>0</v>
      </c>
      <c r="N32" s="401">
        <f t="shared" si="7"/>
        <v>0</v>
      </c>
      <c r="O32" s="401">
        <f t="shared" si="7"/>
        <v>0</v>
      </c>
      <c r="P32" s="401">
        <f t="shared" si="7"/>
        <v>0</v>
      </c>
      <c r="Q32" s="401">
        <f t="shared" si="7"/>
        <v>0</v>
      </c>
      <c r="R32" s="398">
        <f t="shared" si="1"/>
        <v>0</v>
      </c>
      <c r="S32" s="50">
        <f t="shared" si="9"/>
        <v>0</v>
      </c>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row>
    <row r="33" spans="1:58" s="62" customFormat="1" x14ac:dyDescent="0.2">
      <c r="A33" s="87">
        <v>41365.002</v>
      </c>
      <c r="B33" s="15" t="s">
        <v>53</v>
      </c>
      <c r="C33" s="14">
        <f>[6]Swing!$I$16</f>
        <v>165</v>
      </c>
      <c r="D33" s="57">
        <f t="shared" si="8"/>
        <v>8.1041257367387029E-2</v>
      </c>
      <c r="E33" s="50"/>
      <c r="F33" s="401">
        <f t="shared" si="7"/>
        <v>14.020137524557956</v>
      </c>
      <c r="G33" s="401">
        <f t="shared" si="7"/>
        <v>13.695972495088409</v>
      </c>
      <c r="H33" s="401">
        <f t="shared" si="7"/>
        <v>14.020137524557956</v>
      </c>
      <c r="I33" s="401">
        <f t="shared" si="7"/>
        <v>13.858055009823183</v>
      </c>
      <c r="J33" s="401">
        <f t="shared" si="7"/>
        <v>12.480353634577602</v>
      </c>
      <c r="K33" s="401">
        <f t="shared" si="7"/>
        <v>14.020137524557956</v>
      </c>
      <c r="L33" s="401">
        <f t="shared" si="7"/>
        <v>13.695972495088409</v>
      </c>
      <c r="M33" s="401">
        <f t="shared" si="7"/>
        <v>14.020137524557956</v>
      </c>
      <c r="N33" s="401">
        <f t="shared" si="7"/>
        <v>13.533889980353633</v>
      </c>
      <c r="O33" s="401">
        <f t="shared" si="7"/>
        <v>14.020137524557956</v>
      </c>
      <c r="P33" s="401">
        <f t="shared" si="7"/>
        <v>14.101178781925343</v>
      </c>
      <c r="Q33" s="401">
        <f t="shared" si="7"/>
        <v>13.533889980353633</v>
      </c>
      <c r="R33" s="398">
        <f>SUM(F33:Q33)</f>
        <v>164.99999999999997</v>
      </c>
      <c r="S33" s="50">
        <f>C33-R33</f>
        <v>0</v>
      </c>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row>
    <row r="34" spans="1:58" s="62" customFormat="1" x14ac:dyDescent="0.2">
      <c r="A34" s="87">
        <v>41423.002</v>
      </c>
      <c r="B34" s="15" t="s">
        <v>54</v>
      </c>
      <c r="C34" s="14">
        <v>0</v>
      </c>
      <c r="D34" s="57">
        <f t="shared" si="8"/>
        <v>0</v>
      </c>
      <c r="E34" s="50"/>
      <c r="F34" s="401">
        <f t="shared" si="7"/>
        <v>0</v>
      </c>
      <c r="G34" s="401">
        <f t="shared" si="7"/>
        <v>0</v>
      </c>
      <c r="H34" s="401">
        <f t="shared" si="7"/>
        <v>0</v>
      </c>
      <c r="I34" s="401">
        <f t="shared" si="7"/>
        <v>0</v>
      </c>
      <c r="J34" s="401">
        <f t="shared" si="7"/>
        <v>0</v>
      </c>
      <c r="K34" s="401">
        <f t="shared" si="7"/>
        <v>0</v>
      </c>
      <c r="L34" s="401">
        <f t="shared" si="7"/>
        <v>0</v>
      </c>
      <c r="M34" s="401">
        <f t="shared" si="7"/>
        <v>0</v>
      </c>
      <c r="N34" s="401">
        <f t="shared" si="7"/>
        <v>0</v>
      </c>
      <c r="O34" s="401">
        <f t="shared" si="7"/>
        <v>0</v>
      </c>
      <c r="P34" s="401">
        <f t="shared" si="7"/>
        <v>0</v>
      </c>
      <c r="Q34" s="401">
        <f t="shared" si="7"/>
        <v>0</v>
      </c>
      <c r="R34" s="398">
        <f>SUM(F34:Q34)</f>
        <v>0</v>
      </c>
      <c r="S34" s="50">
        <f>C34-R34</f>
        <v>0</v>
      </c>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row>
    <row r="35" spans="1:58" s="62" customFormat="1" x14ac:dyDescent="0.2">
      <c r="A35" s="87">
        <v>41426.002</v>
      </c>
      <c r="B35" s="15" t="s">
        <v>8</v>
      </c>
      <c r="C35" s="14">
        <v>0</v>
      </c>
      <c r="D35" s="57">
        <f t="shared" si="8"/>
        <v>0</v>
      </c>
      <c r="E35" s="50"/>
      <c r="F35" s="401">
        <f t="shared" si="7"/>
        <v>0</v>
      </c>
      <c r="G35" s="401">
        <f t="shared" si="7"/>
        <v>0</v>
      </c>
      <c r="H35" s="401">
        <f t="shared" si="7"/>
        <v>0</v>
      </c>
      <c r="I35" s="401">
        <f t="shared" si="7"/>
        <v>0</v>
      </c>
      <c r="J35" s="401">
        <f t="shared" si="7"/>
        <v>0</v>
      </c>
      <c r="K35" s="401">
        <f t="shared" si="7"/>
        <v>0</v>
      </c>
      <c r="L35" s="401">
        <f t="shared" si="7"/>
        <v>0</v>
      </c>
      <c r="M35" s="401">
        <f t="shared" si="7"/>
        <v>0</v>
      </c>
      <c r="N35" s="401">
        <f t="shared" si="7"/>
        <v>0</v>
      </c>
      <c r="O35" s="401">
        <f t="shared" si="7"/>
        <v>0</v>
      </c>
      <c r="P35" s="401">
        <f t="shared" si="7"/>
        <v>0</v>
      </c>
      <c r="Q35" s="401">
        <f t="shared" si="7"/>
        <v>0</v>
      </c>
      <c r="R35" s="398">
        <f>SUM(F35:Q35)</f>
        <v>0</v>
      </c>
      <c r="S35" s="50">
        <f>C35-R35</f>
        <v>0</v>
      </c>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row>
    <row r="36" spans="1:58" s="62" customFormat="1" x14ac:dyDescent="0.2">
      <c r="A36" s="87">
        <v>41460.000999999997</v>
      </c>
      <c r="B36" s="15" t="s">
        <v>6</v>
      </c>
      <c r="C36" s="14">
        <v>0</v>
      </c>
      <c r="D36" s="57">
        <f t="shared" si="8"/>
        <v>0</v>
      </c>
      <c r="E36" s="50"/>
      <c r="F36" s="401">
        <f t="shared" si="7"/>
        <v>0</v>
      </c>
      <c r="G36" s="401">
        <f t="shared" si="7"/>
        <v>0</v>
      </c>
      <c r="H36" s="401">
        <f t="shared" si="7"/>
        <v>0</v>
      </c>
      <c r="I36" s="401">
        <f t="shared" si="7"/>
        <v>0</v>
      </c>
      <c r="J36" s="401">
        <f t="shared" si="7"/>
        <v>0</v>
      </c>
      <c r="K36" s="401">
        <f t="shared" si="7"/>
        <v>0</v>
      </c>
      <c r="L36" s="401">
        <f t="shared" si="7"/>
        <v>0</v>
      </c>
      <c r="M36" s="401">
        <f t="shared" si="7"/>
        <v>0</v>
      </c>
      <c r="N36" s="401">
        <f t="shared" si="7"/>
        <v>0</v>
      </c>
      <c r="O36" s="401">
        <f t="shared" si="7"/>
        <v>0</v>
      </c>
      <c r="P36" s="401">
        <f t="shared" si="7"/>
        <v>0</v>
      </c>
      <c r="Q36" s="401">
        <f t="shared" si="7"/>
        <v>0</v>
      </c>
      <c r="R36" s="398">
        <f t="shared" si="1"/>
        <v>0</v>
      </c>
      <c r="S36" s="50">
        <f t="shared" si="9"/>
        <v>0</v>
      </c>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row>
    <row r="37" spans="1:58" s="62" customFormat="1" x14ac:dyDescent="0.2">
      <c r="A37" s="87">
        <v>41490.002</v>
      </c>
      <c r="B37" s="15" t="s">
        <v>4</v>
      </c>
      <c r="C37" s="14">
        <v>0</v>
      </c>
      <c r="D37" s="57">
        <f t="shared" si="8"/>
        <v>0</v>
      </c>
      <c r="E37" s="50"/>
      <c r="F37" s="401">
        <f t="shared" si="7"/>
        <v>0</v>
      </c>
      <c r="G37" s="401">
        <f t="shared" si="7"/>
        <v>0</v>
      </c>
      <c r="H37" s="401">
        <f t="shared" si="7"/>
        <v>0</v>
      </c>
      <c r="I37" s="401">
        <f t="shared" si="7"/>
        <v>0</v>
      </c>
      <c r="J37" s="401">
        <f t="shared" si="7"/>
        <v>0</v>
      </c>
      <c r="K37" s="401">
        <f t="shared" si="7"/>
        <v>0</v>
      </c>
      <c r="L37" s="401">
        <f t="shared" si="7"/>
        <v>0</v>
      </c>
      <c r="M37" s="401">
        <f t="shared" si="7"/>
        <v>0</v>
      </c>
      <c r="N37" s="401">
        <f t="shared" si="7"/>
        <v>0</v>
      </c>
      <c r="O37" s="401">
        <f t="shared" si="7"/>
        <v>0</v>
      </c>
      <c r="P37" s="401">
        <f t="shared" si="7"/>
        <v>0</v>
      </c>
      <c r="Q37" s="401">
        <f t="shared" si="7"/>
        <v>0</v>
      </c>
      <c r="R37" s="398">
        <f>SUM(F37:Q37)</f>
        <v>0</v>
      </c>
      <c r="S37" s="50">
        <f>C37-R37</f>
        <v>0</v>
      </c>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row>
    <row r="38" spans="1:58" s="62" customFormat="1" x14ac:dyDescent="0.2">
      <c r="A38" s="87">
        <v>41509.002</v>
      </c>
      <c r="B38" s="15" t="s">
        <v>3</v>
      </c>
      <c r="C38" s="14">
        <v>0</v>
      </c>
      <c r="D38" s="57">
        <f t="shared" si="8"/>
        <v>0</v>
      </c>
      <c r="E38" s="50"/>
      <c r="F38" s="401">
        <f t="shared" si="7"/>
        <v>0</v>
      </c>
      <c r="G38" s="401">
        <f t="shared" si="7"/>
        <v>0</v>
      </c>
      <c r="H38" s="401">
        <f t="shared" si="7"/>
        <v>0</v>
      </c>
      <c r="I38" s="401">
        <f t="shared" si="7"/>
        <v>0</v>
      </c>
      <c r="J38" s="401">
        <f t="shared" si="7"/>
        <v>0</v>
      </c>
      <c r="K38" s="401">
        <f t="shared" si="7"/>
        <v>0</v>
      </c>
      <c r="L38" s="401">
        <f t="shared" si="7"/>
        <v>0</v>
      </c>
      <c r="M38" s="401">
        <f t="shared" si="7"/>
        <v>0</v>
      </c>
      <c r="N38" s="401">
        <f t="shared" si="7"/>
        <v>0</v>
      </c>
      <c r="O38" s="401">
        <f t="shared" si="7"/>
        <v>0</v>
      </c>
      <c r="P38" s="401">
        <f t="shared" si="7"/>
        <v>0</v>
      </c>
      <c r="Q38" s="401">
        <f t="shared" si="7"/>
        <v>0</v>
      </c>
      <c r="R38" s="398">
        <f t="shared" si="1"/>
        <v>0</v>
      </c>
      <c r="S38" s="50">
        <f t="shared" si="9"/>
        <v>0</v>
      </c>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row>
    <row r="39" spans="1:58" s="62" customFormat="1" x14ac:dyDescent="0.2">
      <c r="A39" s="87">
        <v>41570.002</v>
      </c>
      <c r="B39" s="15" t="s">
        <v>2</v>
      </c>
      <c r="C39" s="14">
        <v>0</v>
      </c>
      <c r="D39" s="57">
        <f t="shared" si="8"/>
        <v>0</v>
      </c>
      <c r="E39" s="50"/>
      <c r="F39" s="401">
        <f t="shared" si="7"/>
        <v>0</v>
      </c>
      <c r="G39" s="401">
        <f t="shared" si="7"/>
        <v>0</v>
      </c>
      <c r="H39" s="401">
        <f t="shared" si="7"/>
        <v>0</v>
      </c>
      <c r="I39" s="401">
        <f t="shared" si="7"/>
        <v>0</v>
      </c>
      <c r="J39" s="401">
        <f t="shared" si="7"/>
        <v>0</v>
      </c>
      <c r="K39" s="401">
        <f t="shared" si="7"/>
        <v>0</v>
      </c>
      <c r="L39" s="401">
        <f t="shared" si="7"/>
        <v>0</v>
      </c>
      <c r="M39" s="401">
        <f t="shared" si="7"/>
        <v>0</v>
      </c>
      <c r="N39" s="401">
        <f t="shared" si="7"/>
        <v>0</v>
      </c>
      <c r="O39" s="401">
        <f t="shared" si="7"/>
        <v>0</v>
      </c>
      <c r="P39" s="401">
        <f t="shared" si="7"/>
        <v>0</v>
      </c>
      <c r="Q39" s="401">
        <f t="shared" si="7"/>
        <v>0</v>
      </c>
      <c r="R39" s="398">
        <f t="shared" si="1"/>
        <v>0</v>
      </c>
      <c r="S39" s="50">
        <f t="shared" si="9"/>
        <v>0</v>
      </c>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row>
    <row r="40" spans="1:58" s="60" customFormat="1" x14ac:dyDescent="0.2">
      <c r="A40" s="11"/>
      <c r="B40" s="10" t="s">
        <v>0</v>
      </c>
      <c r="C40" s="8">
        <f>SUM(C20:C39)</f>
        <v>48165</v>
      </c>
      <c r="D40" s="64">
        <v>0</v>
      </c>
      <c r="E40" s="89"/>
      <c r="F40" s="397">
        <f>SUM(F20:F39)</f>
        <v>4014.0201375245579</v>
      </c>
      <c r="G40" s="397">
        <f t="shared" ref="G40:Q40" si="13">SUM(G20:G39)</f>
        <v>4013.6959724950884</v>
      </c>
      <c r="H40" s="397">
        <f t="shared" si="13"/>
        <v>4014.0201375245579</v>
      </c>
      <c r="I40" s="397">
        <f t="shared" si="13"/>
        <v>4013.8580550098231</v>
      </c>
      <c r="J40" s="397">
        <f t="shared" si="13"/>
        <v>4012.4803536345776</v>
      </c>
      <c r="K40" s="397">
        <f t="shared" si="13"/>
        <v>4014.0201375245579</v>
      </c>
      <c r="L40" s="397">
        <f t="shared" si="13"/>
        <v>4013.6959724950884</v>
      </c>
      <c r="M40" s="397">
        <f t="shared" si="13"/>
        <v>4014.0201375245579</v>
      </c>
      <c r="N40" s="397">
        <f t="shared" si="13"/>
        <v>4013.5338899803537</v>
      </c>
      <c r="O40" s="397">
        <f t="shared" si="13"/>
        <v>4014.0201375245579</v>
      </c>
      <c r="P40" s="397">
        <f t="shared" si="13"/>
        <v>4014.1011787819252</v>
      </c>
      <c r="Q40" s="397">
        <f t="shared" si="13"/>
        <v>4013.5338899803537</v>
      </c>
      <c r="R40" s="398">
        <f t="shared" si="1"/>
        <v>48165</v>
      </c>
      <c r="S40" s="50">
        <f t="shared" si="9"/>
        <v>0</v>
      </c>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row>
    <row r="41" spans="1:58" x14ac:dyDescent="0.2">
      <c r="C41" s="48">
        <f>C40-C16</f>
        <v>-1071635</v>
      </c>
      <c r="F41" s="48"/>
    </row>
  </sheetData>
  <mergeCells count="2">
    <mergeCell ref="A6:D6"/>
    <mergeCell ref="A18:D18"/>
  </mergeCells>
  <printOptions gridLines="1"/>
  <pageMargins left="0.25" right="0.25" top="0.75" bottom="0.75" header="0.3" footer="0.3"/>
  <pageSetup scale="50" orientation="landscape" r:id="rId1"/>
  <headerFooter alignWithMargins="0">
    <oddHeader xml:space="preserve">&amp;C&amp;"Arial,Bold"&amp;14DOCTORS MEMORIAL HOSPITAL
FY 2017 BUDGET
</oddHeader>
    <oddFooter xml:space="preserve">&amp;R&amp;A
</oddFooter>
  </headerFooter>
  <ignoredErrors>
    <ignoredError sqref="D16"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22"/>
  <sheetViews>
    <sheetView topLeftCell="A4" zoomScaleNormal="100" workbookViewId="0">
      <selection activeCell="N36" sqref="N36"/>
    </sheetView>
  </sheetViews>
  <sheetFormatPr defaultRowHeight="12.75" x14ac:dyDescent="0.2"/>
  <cols>
    <col min="1" max="1" width="10" customWidth="1"/>
    <col min="2" max="2" width="22.140625" customWidth="1"/>
    <col min="3" max="3" width="15.42578125" bestFit="1" customWidth="1"/>
    <col min="4" max="4" width="8.42578125" bestFit="1" customWidth="1"/>
    <col min="5" max="5" width="2.5703125" customWidth="1"/>
    <col min="6" max="6" width="13.28515625" bestFit="1" customWidth="1"/>
    <col min="7" max="9" width="13.42578125" bestFit="1" customWidth="1"/>
    <col min="10" max="10" width="12.5703125" bestFit="1" customWidth="1"/>
    <col min="11" max="11" width="13.42578125" bestFit="1" customWidth="1"/>
    <col min="12" max="12" width="13.28515625" bestFit="1" customWidth="1"/>
    <col min="13" max="13" width="11.28515625" bestFit="1" customWidth="1"/>
    <col min="14" max="14" width="13.42578125" bestFit="1" customWidth="1"/>
    <col min="15" max="16" width="13.7109375" bestFit="1" customWidth="1"/>
    <col min="17" max="17" width="13.28515625" bestFit="1" customWidth="1"/>
    <col min="18" max="18" width="15.42578125" bestFit="1" customWidth="1"/>
    <col min="19" max="19" width="11.140625" customWidth="1"/>
  </cols>
  <sheetData>
    <row r="1" spans="1:19" x14ac:dyDescent="0.2">
      <c r="F1" s="484" t="s">
        <v>49</v>
      </c>
      <c r="G1" s="484" t="s">
        <v>48</v>
      </c>
      <c r="H1" s="484" t="s">
        <v>47</v>
      </c>
      <c r="I1" s="484" t="s">
        <v>46</v>
      </c>
      <c r="J1" s="484" t="s">
        <v>45</v>
      </c>
      <c r="K1" s="484" t="s">
        <v>44</v>
      </c>
      <c r="L1" s="484" t="s">
        <v>43</v>
      </c>
      <c r="M1" s="484" t="s">
        <v>42</v>
      </c>
      <c r="N1" s="484" t="s">
        <v>41</v>
      </c>
      <c r="O1" s="484" t="s">
        <v>40</v>
      </c>
      <c r="P1" s="484" t="s">
        <v>39</v>
      </c>
      <c r="Q1" s="484" t="s">
        <v>38</v>
      </c>
      <c r="R1" s="43" t="s">
        <v>37</v>
      </c>
    </row>
    <row r="2" spans="1:19" x14ac:dyDescent="0.2">
      <c r="B2" s="35" t="s">
        <v>972</v>
      </c>
      <c r="C2" s="44">
        <f>STATS!D103</f>
        <v>101</v>
      </c>
      <c r="F2" s="45">
        <f>'MO STATS'!E99</f>
        <v>8</v>
      </c>
      <c r="G2" s="45">
        <f>'MO STATS'!F99</f>
        <v>10</v>
      </c>
      <c r="H2" s="45">
        <f>'MO STATS'!G99</f>
        <v>10</v>
      </c>
      <c r="I2" s="45">
        <f>'MO STATS'!H99</f>
        <v>10</v>
      </c>
      <c r="J2" s="45">
        <f>'MO STATS'!I99</f>
        <v>4</v>
      </c>
      <c r="K2" s="45">
        <f>'MO STATS'!J99</f>
        <v>10</v>
      </c>
      <c r="L2" s="45">
        <f>'MO STATS'!K99</f>
        <v>8</v>
      </c>
      <c r="M2" s="45">
        <f>'MO STATS'!L99</f>
        <v>3</v>
      </c>
      <c r="N2" s="45">
        <f>'MO STATS'!M99</f>
        <v>9</v>
      </c>
      <c r="O2" s="45">
        <f>'MO STATS'!N99</f>
        <v>11</v>
      </c>
      <c r="P2" s="45">
        <f>'MO STATS'!O99</f>
        <v>12</v>
      </c>
      <c r="Q2" s="45">
        <f>'MO STATS'!P99</f>
        <v>6</v>
      </c>
      <c r="R2" s="46">
        <f>SUM(F2:Q2)</f>
        <v>101</v>
      </c>
    </row>
    <row r="3" spans="1:19" x14ac:dyDescent="0.2">
      <c r="B3" s="396" t="s">
        <v>1075</v>
      </c>
      <c r="C3" s="56">
        <f>C2*350</f>
        <v>35350</v>
      </c>
    </row>
    <row r="4" spans="1:19" x14ac:dyDescent="0.2">
      <c r="A4" s="475"/>
      <c r="B4" s="513"/>
      <c r="C4" s="475"/>
      <c r="D4" s="475"/>
      <c r="E4" s="475"/>
      <c r="F4" s="475"/>
      <c r="G4" s="475"/>
      <c r="H4" s="475"/>
      <c r="I4" s="475"/>
      <c r="J4" s="475"/>
      <c r="K4" s="475"/>
    </row>
    <row r="5" spans="1:19" x14ac:dyDescent="0.2">
      <c r="B5" s="475"/>
      <c r="C5" s="475"/>
      <c r="D5" s="475"/>
      <c r="E5" s="475"/>
      <c r="F5" s="475"/>
      <c r="G5" s="475"/>
      <c r="H5" s="475"/>
      <c r="I5" s="475"/>
      <c r="J5" s="475"/>
      <c r="K5" s="475"/>
    </row>
    <row r="6" spans="1:19" x14ac:dyDescent="0.2">
      <c r="A6" s="712" t="s">
        <v>35</v>
      </c>
      <c r="B6" s="712"/>
      <c r="C6" s="712"/>
      <c r="D6" s="712"/>
    </row>
    <row r="7" spans="1:19" x14ac:dyDescent="0.2">
      <c r="A7" s="51"/>
      <c r="B7" s="10" t="s">
        <v>975</v>
      </c>
      <c r="C7" s="52"/>
      <c r="D7" s="53" t="s">
        <v>974</v>
      </c>
    </row>
    <row r="8" spans="1:19" x14ac:dyDescent="0.2">
      <c r="B8" s="55" t="s">
        <v>33</v>
      </c>
      <c r="C8" s="56">
        <f>C3*22.8%</f>
        <v>8059.8</v>
      </c>
      <c r="D8" s="57">
        <f>C8/C$2</f>
        <v>79.8</v>
      </c>
      <c r="F8" s="286">
        <f>F$2*$D8</f>
        <v>638.4</v>
      </c>
      <c r="G8" s="286">
        <f t="shared" ref="G8:Q8" si="0">G$2*$D8</f>
        <v>798</v>
      </c>
      <c r="H8" s="286">
        <f t="shared" si="0"/>
        <v>798</v>
      </c>
      <c r="I8" s="286">
        <f t="shared" si="0"/>
        <v>798</v>
      </c>
      <c r="J8" s="286">
        <f t="shared" si="0"/>
        <v>319.2</v>
      </c>
      <c r="K8" s="286">
        <f t="shared" si="0"/>
        <v>798</v>
      </c>
      <c r="L8" s="286">
        <f t="shared" si="0"/>
        <v>638.4</v>
      </c>
      <c r="M8" s="286">
        <f t="shared" si="0"/>
        <v>239.39999999999998</v>
      </c>
      <c r="N8" s="286">
        <f t="shared" si="0"/>
        <v>718.19999999999993</v>
      </c>
      <c r="O8" s="286">
        <f t="shared" si="0"/>
        <v>877.8</v>
      </c>
      <c r="P8" s="286">
        <f t="shared" si="0"/>
        <v>957.59999999999991</v>
      </c>
      <c r="Q8" s="286">
        <f t="shared" si="0"/>
        <v>478.79999999999995</v>
      </c>
      <c r="R8" s="286">
        <f>SUM(F8:Q8)</f>
        <v>8059.8</v>
      </c>
      <c r="S8" s="286">
        <f>C8-R8</f>
        <v>0</v>
      </c>
    </row>
    <row r="9" spans="1:19" x14ac:dyDescent="0.2">
      <c r="B9" s="55" t="s">
        <v>32</v>
      </c>
      <c r="C9" s="56">
        <f>C3*1%</f>
        <v>353.5</v>
      </c>
      <c r="D9" s="57">
        <f t="shared" ref="D9:D14" si="1">C9/C$2</f>
        <v>3.5</v>
      </c>
      <c r="F9" s="286">
        <f t="shared" ref="F9:Q14" si="2">F$2*$D9</f>
        <v>28</v>
      </c>
      <c r="G9" s="286">
        <f t="shared" si="2"/>
        <v>35</v>
      </c>
      <c r="H9" s="286">
        <f t="shared" si="2"/>
        <v>35</v>
      </c>
      <c r="I9" s="286">
        <f t="shared" si="2"/>
        <v>35</v>
      </c>
      <c r="J9" s="286">
        <f t="shared" si="2"/>
        <v>14</v>
      </c>
      <c r="K9" s="286">
        <f t="shared" si="2"/>
        <v>35</v>
      </c>
      <c r="L9" s="286">
        <f t="shared" si="2"/>
        <v>28</v>
      </c>
      <c r="M9" s="286">
        <f t="shared" si="2"/>
        <v>10.5</v>
      </c>
      <c r="N9" s="286">
        <f t="shared" si="2"/>
        <v>31.5</v>
      </c>
      <c r="O9" s="286">
        <f t="shared" si="2"/>
        <v>38.5</v>
      </c>
      <c r="P9" s="286">
        <f t="shared" si="2"/>
        <v>42</v>
      </c>
      <c r="Q9" s="286">
        <f t="shared" si="2"/>
        <v>21</v>
      </c>
      <c r="R9" s="286">
        <f t="shared" ref="R9:R14" si="3">SUM(F9:Q9)</f>
        <v>353.5</v>
      </c>
      <c r="S9" s="286">
        <f t="shared" ref="S9:S15" si="4">C9-R9</f>
        <v>0</v>
      </c>
    </row>
    <row r="10" spans="1:19" x14ac:dyDescent="0.2">
      <c r="B10" s="55" t="s">
        <v>31</v>
      </c>
      <c r="C10" s="56">
        <f>C3*18.3%</f>
        <v>6469.05</v>
      </c>
      <c r="D10" s="57">
        <f t="shared" si="1"/>
        <v>64.05</v>
      </c>
      <c r="F10" s="286">
        <f t="shared" si="2"/>
        <v>512.4</v>
      </c>
      <c r="G10" s="286">
        <f t="shared" si="2"/>
        <v>640.5</v>
      </c>
      <c r="H10" s="286">
        <f t="shared" si="2"/>
        <v>640.5</v>
      </c>
      <c r="I10" s="286">
        <f t="shared" si="2"/>
        <v>640.5</v>
      </c>
      <c r="J10" s="286">
        <f t="shared" si="2"/>
        <v>256.2</v>
      </c>
      <c r="K10" s="286">
        <f t="shared" si="2"/>
        <v>640.5</v>
      </c>
      <c r="L10" s="286">
        <f t="shared" si="2"/>
        <v>512.4</v>
      </c>
      <c r="M10" s="286">
        <f t="shared" si="2"/>
        <v>192.14999999999998</v>
      </c>
      <c r="N10" s="286">
        <f t="shared" si="2"/>
        <v>576.44999999999993</v>
      </c>
      <c r="O10" s="286">
        <f t="shared" si="2"/>
        <v>704.55</v>
      </c>
      <c r="P10" s="286">
        <f t="shared" si="2"/>
        <v>768.59999999999991</v>
      </c>
      <c r="Q10" s="286">
        <f t="shared" si="2"/>
        <v>384.29999999999995</v>
      </c>
      <c r="R10" s="286">
        <f t="shared" si="3"/>
        <v>6469.05</v>
      </c>
      <c r="S10" s="286">
        <f t="shared" si="4"/>
        <v>0</v>
      </c>
    </row>
    <row r="11" spans="1:19" x14ac:dyDescent="0.2">
      <c r="B11" s="55" t="s">
        <v>30</v>
      </c>
      <c r="C11" s="56"/>
      <c r="D11" s="57">
        <f t="shared" si="1"/>
        <v>0</v>
      </c>
      <c r="F11" s="286">
        <f t="shared" si="2"/>
        <v>0</v>
      </c>
      <c r="G11" s="286">
        <f t="shared" si="2"/>
        <v>0</v>
      </c>
      <c r="H11" s="286">
        <f t="shared" si="2"/>
        <v>0</v>
      </c>
      <c r="I11" s="286">
        <f t="shared" si="2"/>
        <v>0</v>
      </c>
      <c r="J11" s="286">
        <f t="shared" si="2"/>
        <v>0</v>
      </c>
      <c r="K11" s="286">
        <f t="shared" si="2"/>
        <v>0</v>
      </c>
      <c r="L11" s="286">
        <f t="shared" si="2"/>
        <v>0</v>
      </c>
      <c r="M11" s="286">
        <f t="shared" si="2"/>
        <v>0</v>
      </c>
      <c r="N11" s="286">
        <f t="shared" si="2"/>
        <v>0</v>
      </c>
      <c r="O11" s="286">
        <f t="shared" si="2"/>
        <v>0</v>
      </c>
      <c r="P11" s="286">
        <f t="shared" si="2"/>
        <v>0</v>
      </c>
      <c r="Q11" s="286">
        <f t="shared" si="2"/>
        <v>0</v>
      </c>
      <c r="R11" s="286">
        <f t="shared" si="3"/>
        <v>0</v>
      </c>
      <c r="S11" s="286">
        <f t="shared" si="4"/>
        <v>0</v>
      </c>
    </row>
    <row r="12" spans="1:19" x14ac:dyDescent="0.2">
      <c r="B12" s="55" t="s">
        <v>29</v>
      </c>
      <c r="C12" s="56">
        <f>C3*5.8%</f>
        <v>2050.2999999999997</v>
      </c>
      <c r="D12" s="57">
        <f t="shared" si="1"/>
        <v>20.299999999999997</v>
      </c>
      <c r="F12" s="286">
        <f t="shared" si="2"/>
        <v>162.39999999999998</v>
      </c>
      <c r="G12" s="286">
        <f t="shared" si="2"/>
        <v>202.99999999999997</v>
      </c>
      <c r="H12" s="286">
        <f t="shared" si="2"/>
        <v>202.99999999999997</v>
      </c>
      <c r="I12" s="286">
        <f t="shared" si="2"/>
        <v>202.99999999999997</v>
      </c>
      <c r="J12" s="286">
        <f t="shared" si="2"/>
        <v>81.199999999999989</v>
      </c>
      <c r="K12" s="286">
        <f t="shared" si="2"/>
        <v>202.99999999999997</v>
      </c>
      <c r="L12" s="286">
        <f t="shared" si="2"/>
        <v>162.39999999999998</v>
      </c>
      <c r="M12" s="286">
        <f t="shared" si="2"/>
        <v>60.899999999999991</v>
      </c>
      <c r="N12" s="286">
        <f t="shared" si="2"/>
        <v>182.7</v>
      </c>
      <c r="O12" s="286">
        <f t="shared" si="2"/>
        <v>223.29999999999995</v>
      </c>
      <c r="P12" s="286">
        <f t="shared" si="2"/>
        <v>243.59999999999997</v>
      </c>
      <c r="Q12" s="286">
        <f t="shared" si="2"/>
        <v>121.79999999999998</v>
      </c>
      <c r="R12" s="286">
        <f t="shared" si="3"/>
        <v>2050.3000000000002</v>
      </c>
      <c r="S12" s="286">
        <f t="shared" si="4"/>
        <v>0</v>
      </c>
    </row>
    <row r="13" spans="1:19" x14ac:dyDescent="0.2">
      <c r="B13" s="55" t="s">
        <v>28</v>
      </c>
      <c r="C13" s="56">
        <f>C3*48.6%</f>
        <v>17180.099999999999</v>
      </c>
      <c r="D13" s="57">
        <f t="shared" si="1"/>
        <v>170.1</v>
      </c>
      <c r="F13" s="286">
        <f t="shared" si="2"/>
        <v>1360.8</v>
      </c>
      <c r="G13" s="286">
        <f t="shared" si="2"/>
        <v>1701</v>
      </c>
      <c r="H13" s="286">
        <f t="shared" si="2"/>
        <v>1701</v>
      </c>
      <c r="I13" s="286">
        <f t="shared" si="2"/>
        <v>1701</v>
      </c>
      <c r="J13" s="286">
        <f t="shared" si="2"/>
        <v>680.4</v>
      </c>
      <c r="K13" s="286">
        <f t="shared" si="2"/>
        <v>1701</v>
      </c>
      <c r="L13" s="286">
        <f t="shared" si="2"/>
        <v>1360.8</v>
      </c>
      <c r="M13" s="286">
        <f t="shared" si="2"/>
        <v>510.29999999999995</v>
      </c>
      <c r="N13" s="286">
        <f t="shared" si="2"/>
        <v>1530.8999999999999</v>
      </c>
      <c r="O13" s="286">
        <f t="shared" si="2"/>
        <v>1871.1</v>
      </c>
      <c r="P13" s="286">
        <f t="shared" si="2"/>
        <v>2041.1999999999998</v>
      </c>
      <c r="Q13" s="286">
        <f t="shared" si="2"/>
        <v>1020.5999999999999</v>
      </c>
      <c r="R13" s="286">
        <f t="shared" si="3"/>
        <v>17180.099999999999</v>
      </c>
      <c r="S13" s="286">
        <f t="shared" si="4"/>
        <v>0</v>
      </c>
    </row>
    <row r="14" spans="1:19" x14ac:dyDescent="0.2">
      <c r="B14" s="55" t="s">
        <v>27</v>
      </c>
      <c r="C14" s="56">
        <f>C3*3.5%</f>
        <v>1237.2500000000002</v>
      </c>
      <c r="D14" s="57">
        <f t="shared" si="1"/>
        <v>12.250000000000002</v>
      </c>
      <c r="F14" s="286">
        <f t="shared" si="2"/>
        <v>98.000000000000014</v>
      </c>
      <c r="G14" s="286">
        <f t="shared" si="2"/>
        <v>122.50000000000001</v>
      </c>
      <c r="H14" s="286">
        <f t="shared" si="2"/>
        <v>122.50000000000001</v>
      </c>
      <c r="I14" s="286">
        <f t="shared" si="2"/>
        <v>122.50000000000001</v>
      </c>
      <c r="J14" s="286">
        <f t="shared" si="2"/>
        <v>49.000000000000007</v>
      </c>
      <c r="K14" s="286">
        <f t="shared" si="2"/>
        <v>122.50000000000001</v>
      </c>
      <c r="L14" s="286">
        <f t="shared" si="2"/>
        <v>98.000000000000014</v>
      </c>
      <c r="M14" s="286">
        <f t="shared" si="2"/>
        <v>36.750000000000007</v>
      </c>
      <c r="N14" s="286">
        <f t="shared" si="2"/>
        <v>110.25000000000001</v>
      </c>
      <c r="O14" s="286">
        <f t="shared" si="2"/>
        <v>134.75000000000003</v>
      </c>
      <c r="P14" s="286">
        <f t="shared" si="2"/>
        <v>147.00000000000003</v>
      </c>
      <c r="Q14" s="286">
        <f t="shared" si="2"/>
        <v>73.500000000000014</v>
      </c>
      <c r="R14" s="286">
        <f t="shared" si="3"/>
        <v>1237.2500000000002</v>
      </c>
      <c r="S14" s="286">
        <f t="shared" si="4"/>
        <v>0</v>
      </c>
    </row>
    <row r="15" spans="1:19" x14ac:dyDescent="0.2">
      <c r="A15" s="87">
        <v>31110.005000000001</v>
      </c>
      <c r="B15" s="172" t="s">
        <v>976</v>
      </c>
      <c r="C15" s="293">
        <f>SUM(C8:C14)</f>
        <v>35350</v>
      </c>
      <c r="D15" s="295">
        <v>0</v>
      </c>
      <c r="E15" s="487"/>
      <c r="F15" s="293">
        <f>SUM(F8:F14)</f>
        <v>2800</v>
      </c>
      <c r="G15" s="293">
        <f t="shared" ref="G15:R15" si="5">SUM(G8:G14)</f>
        <v>3500</v>
      </c>
      <c r="H15" s="293">
        <f t="shared" si="5"/>
        <v>3500</v>
      </c>
      <c r="I15" s="293">
        <f t="shared" si="5"/>
        <v>3500</v>
      </c>
      <c r="J15" s="293">
        <f t="shared" si="5"/>
        <v>1400</v>
      </c>
      <c r="K15" s="293">
        <f t="shared" si="5"/>
        <v>3500</v>
      </c>
      <c r="L15" s="293">
        <f t="shared" si="5"/>
        <v>2800</v>
      </c>
      <c r="M15" s="293">
        <f t="shared" si="5"/>
        <v>1050</v>
      </c>
      <c r="N15" s="293">
        <f t="shared" si="5"/>
        <v>3150</v>
      </c>
      <c r="O15" s="293">
        <f t="shared" si="5"/>
        <v>3850</v>
      </c>
      <c r="P15" s="293">
        <f t="shared" si="5"/>
        <v>4200</v>
      </c>
      <c r="Q15" s="293">
        <f t="shared" si="5"/>
        <v>2100</v>
      </c>
      <c r="R15" s="293">
        <f t="shared" si="5"/>
        <v>35350</v>
      </c>
      <c r="S15" s="286">
        <f t="shared" si="4"/>
        <v>0</v>
      </c>
    </row>
    <row r="16" spans="1:19" x14ac:dyDescent="0.2">
      <c r="A16" s="11"/>
      <c r="B16" s="10" t="s">
        <v>0</v>
      </c>
      <c r="C16" s="293">
        <f>SUM(C8:C14)</f>
        <v>35350</v>
      </c>
      <c r="D16" s="295">
        <f>(C16/C$2)</f>
        <v>350</v>
      </c>
      <c r="E16" s="487"/>
      <c r="F16" s="293">
        <f>SUM(F8:F14)</f>
        <v>2800</v>
      </c>
      <c r="G16" s="293">
        <f t="shared" ref="G16:R16" si="6">SUM(G8:G14)</f>
        <v>3500</v>
      </c>
      <c r="H16" s="293">
        <f t="shared" si="6"/>
        <v>3500</v>
      </c>
      <c r="I16" s="293">
        <f t="shared" si="6"/>
        <v>3500</v>
      </c>
      <c r="J16" s="293">
        <f t="shared" si="6"/>
        <v>1400</v>
      </c>
      <c r="K16" s="293">
        <f t="shared" si="6"/>
        <v>3500</v>
      </c>
      <c r="L16" s="293">
        <f t="shared" si="6"/>
        <v>2800</v>
      </c>
      <c r="M16" s="293">
        <f t="shared" si="6"/>
        <v>1050</v>
      </c>
      <c r="N16" s="293">
        <f t="shared" si="6"/>
        <v>3150</v>
      </c>
      <c r="O16" s="293">
        <f t="shared" si="6"/>
        <v>3850</v>
      </c>
      <c r="P16" s="293">
        <f t="shared" si="6"/>
        <v>4200</v>
      </c>
      <c r="Q16" s="293">
        <f t="shared" si="6"/>
        <v>2100</v>
      </c>
      <c r="R16" s="293">
        <f t="shared" si="6"/>
        <v>35350</v>
      </c>
    </row>
    <row r="18" spans="1:18" x14ac:dyDescent="0.2">
      <c r="A18" s="712" t="s">
        <v>25</v>
      </c>
      <c r="B18" s="712"/>
      <c r="C18" s="712"/>
      <c r="D18" s="712"/>
    </row>
    <row r="19" spans="1:18" x14ac:dyDescent="0.2">
      <c r="A19" s="21"/>
      <c r="B19" s="10" t="s">
        <v>971</v>
      </c>
      <c r="C19" s="20"/>
      <c r="D19" s="110" t="s">
        <v>974</v>
      </c>
    </row>
    <row r="20" spans="1:18" x14ac:dyDescent="0.2">
      <c r="A20" s="87">
        <v>41300.004999999997</v>
      </c>
      <c r="B20" s="15" t="s">
        <v>959</v>
      </c>
      <c r="C20" s="28">
        <f>'[6]IP Profee'!$I$14</f>
        <v>28000</v>
      </c>
      <c r="D20" s="7">
        <f>C20/C2</f>
        <v>277.22772277227722</v>
      </c>
      <c r="F20" s="486">
        <f>$D20*F$2</f>
        <v>2217.8217821782177</v>
      </c>
      <c r="G20" s="286">
        <f t="shared" ref="G20:Q20" si="7">$D20*G$2</f>
        <v>2772.2772277227723</v>
      </c>
      <c r="H20" s="286">
        <f t="shared" si="7"/>
        <v>2772.2772277227723</v>
      </c>
      <c r="I20" s="286">
        <f t="shared" si="7"/>
        <v>2772.2772277227723</v>
      </c>
      <c r="J20" s="286">
        <f t="shared" si="7"/>
        <v>1108.9108910891089</v>
      </c>
      <c r="K20" s="286">
        <f t="shared" si="7"/>
        <v>2772.2772277227723</v>
      </c>
      <c r="L20" s="286">
        <f t="shared" si="7"/>
        <v>2217.8217821782177</v>
      </c>
      <c r="M20" s="286">
        <f t="shared" si="7"/>
        <v>831.6831683168316</v>
      </c>
      <c r="N20" s="286">
        <f t="shared" si="7"/>
        <v>2495.0495049504948</v>
      </c>
      <c r="O20" s="286">
        <f t="shared" si="7"/>
        <v>3049.5049504950493</v>
      </c>
      <c r="P20" s="286">
        <f t="shared" si="7"/>
        <v>3326.7326732673264</v>
      </c>
      <c r="Q20" s="286">
        <f t="shared" si="7"/>
        <v>1663.3663366336632</v>
      </c>
      <c r="R20" s="286">
        <f>SUM(F20:Q20)</f>
        <v>27999.999999999993</v>
      </c>
    </row>
    <row r="21" spans="1:18" x14ac:dyDescent="0.2">
      <c r="C21" s="323">
        <f>SUM(C20)</f>
        <v>28000</v>
      </c>
      <c r="F21" s="323">
        <f>SUM(F20)</f>
        <v>2217.8217821782177</v>
      </c>
      <c r="G21" s="323">
        <f t="shared" ref="G21:R21" si="8">SUM(G20)</f>
        <v>2772.2772277227723</v>
      </c>
      <c r="H21" s="323">
        <f t="shared" si="8"/>
        <v>2772.2772277227723</v>
      </c>
      <c r="I21" s="323">
        <f t="shared" si="8"/>
        <v>2772.2772277227723</v>
      </c>
      <c r="J21" s="323">
        <f t="shared" si="8"/>
        <v>1108.9108910891089</v>
      </c>
      <c r="K21" s="323">
        <f t="shared" si="8"/>
        <v>2772.2772277227723</v>
      </c>
      <c r="L21" s="323">
        <f t="shared" si="8"/>
        <v>2217.8217821782177</v>
      </c>
      <c r="M21" s="323">
        <f t="shared" si="8"/>
        <v>831.6831683168316</v>
      </c>
      <c r="N21" s="323">
        <f t="shared" si="8"/>
        <v>2495.0495049504948</v>
      </c>
      <c r="O21" s="323">
        <f t="shared" si="8"/>
        <v>3049.5049504950493</v>
      </c>
      <c r="P21" s="323">
        <f t="shared" si="8"/>
        <v>3326.7326732673264</v>
      </c>
      <c r="Q21" s="323">
        <f t="shared" si="8"/>
        <v>1663.3663366336632</v>
      </c>
      <c r="R21" s="323">
        <f t="shared" si="8"/>
        <v>27999.999999999993</v>
      </c>
    </row>
    <row r="22" spans="1:18" x14ac:dyDescent="0.2">
      <c r="C22" s="286">
        <f>C21-C16</f>
        <v>-7350</v>
      </c>
    </row>
  </sheetData>
  <mergeCells count="2">
    <mergeCell ref="A18:D18"/>
    <mergeCell ref="A6:D6"/>
  </mergeCells>
  <pageMargins left="0.25" right="0.25" top="0.75" bottom="0.75" header="0.3" footer="0.3"/>
  <pageSetup scale="58" orientation="landscape" r:id="rId1"/>
  <headerFooter>
    <oddHeader>&amp;C&amp;"Arial,Bold"&amp;14DOCTORS MEMORIAL HOSPITAL
FY 2017 BUDGET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59</vt:i4>
      </vt:variant>
    </vt:vector>
  </HeadingPairs>
  <TitlesOfParts>
    <vt:vector size="122" baseType="lpstr">
      <vt:lpstr>Notes</vt:lpstr>
      <vt:lpstr>comments</vt:lpstr>
      <vt:lpstr>BUDGET</vt:lpstr>
      <vt:lpstr>STATS 2017</vt:lpstr>
      <vt:lpstr>STATS</vt:lpstr>
      <vt:lpstr>MO STATS</vt:lpstr>
      <vt:lpstr>MED SURG</vt:lpstr>
      <vt:lpstr>SWING BED</vt:lpstr>
      <vt:lpstr>IP PROFEE</vt:lpstr>
      <vt:lpstr>ICU</vt:lpstr>
      <vt:lpstr>OBS</vt:lpstr>
      <vt:lpstr>OR</vt:lpstr>
      <vt:lpstr>RECOVERY</vt:lpstr>
      <vt:lpstr>ANESTHESIA</vt:lpstr>
      <vt:lpstr>SURGIDAY</vt:lpstr>
      <vt:lpstr>ENDOSCOPY</vt:lpstr>
      <vt:lpstr>STERILE SUPPLY</vt:lpstr>
      <vt:lpstr>PHARMACY</vt:lpstr>
      <vt:lpstr>IV THERAPY</vt:lpstr>
      <vt:lpstr>LAB</vt:lpstr>
      <vt:lpstr>PATHOLOGY</vt:lpstr>
      <vt:lpstr>BLOOD BANK</vt:lpstr>
      <vt:lpstr>CENTRAL SUPPLY</vt:lpstr>
      <vt:lpstr>EKG</vt:lpstr>
      <vt:lpstr>XRAY</vt:lpstr>
      <vt:lpstr>ULTRASOUND</vt:lpstr>
      <vt:lpstr>CT</vt:lpstr>
      <vt:lpstr>MRI</vt:lpstr>
      <vt:lpstr>NUCLEAR MEDICINE</vt:lpstr>
      <vt:lpstr>MAMMOGRAPHY</vt:lpstr>
      <vt:lpstr>RESPIRATORY</vt:lpstr>
      <vt:lpstr>PULMONARY LAB</vt:lpstr>
      <vt:lpstr>PHYSICAL THERAPY</vt:lpstr>
      <vt:lpstr>OCCUPATIONAL THERAPY</vt:lpstr>
      <vt:lpstr>SPEECH THERAPY</vt:lpstr>
      <vt:lpstr>WOUND CARE</vt:lpstr>
      <vt:lpstr>EMERGENCY SERVICES</vt:lpstr>
      <vt:lpstr>ER PROFEE</vt:lpstr>
      <vt:lpstr>OTHER REVENUE</vt:lpstr>
      <vt:lpstr>DEDUCTIONS FROM REVENUE</vt:lpstr>
      <vt:lpstr>OTHER DISCOUNTS</vt:lpstr>
      <vt:lpstr>PRIOR YR ADJS</vt:lpstr>
      <vt:lpstr>CHARITY WRITE-OFFS</vt:lpstr>
      <vt:lpstr>MOB</vt:lpstr>
      <vt:lpstr>LAUNDRY &amp; LINEN</vt:lpstr>
      <vt:lpstr>HOUSEKEEPING</vt:lpstr>
      <vt:lpstr>PLANT OP &amp; MAINTENANCE</vt:lpstr>
      <vt:lpstr>SECURITY</vt:lpstr>
      <vt:lpstr>ADMITTING</vt:lpstr>
      <vt:lpstr>BUSINESS OFFICE</vt:lpstr>
      <vt:lpstr>CREDIT &amp; COLLECTION</vt:lpstr>
      <vt:lpstr>COMMUNICATIONS</vt:lpstr>
      <vt:lpstr>NURSING ADMIN</vt:lpstr>
      <vt:lpstr>HOSPITAL ADMIN</vt:lpstr>
      <vt:lpstr>MARKETING</vt:lpstr>
      <vt:lpstr>GENERAL ACCOUNTING</vt:lpstr>
      <vt:lpstr>DATA PROCESSING</vt:lpstr>
      <vt:lpstr>HEALTH INFO MGMT</vt:lpstr>
      <vt:lpstr>DIETARY</vt:lpstr>
      <vt:lpstr>BYRD AVENUE - OLD HOSPITAL</vt:lpstr>
      <vt:lpstr>DEPRECIATION</vt:lpstr>
      <vt:lpstr>recap rev and deduct</vt:lpstr>
      <vt:lpstr>Sheet1</vt:lpstr>
      <vt:lpstr>ADMITTING!Print_Area</vt:lpstr>
      <vt:lpstr>ANESTHESIA!Print_Area</vt:lpstr>
      <vt:lpstr>'BLOOD BANK'!Print_Area</vt:lpstr>
      <vt:lpstr>'BUSINESS OFFICE'!Print_Area</vt:lpstr>
      <vt:lpstr>'BYRD AVENUE - OLD HOSPITAL'!Print_Area</vt:lpstr>
      <vt:lpstr>'CENTRAL SUPPLY'!Print_Area</vt:lpstr>
      <vt:lpstr>'CHARITY WRITE-OFFS'!Print_Area</vt:lpstr>
      <vt:lpstr>COMMUNICATIONS!Print_Area</vt:lpstr>
      <vt:lpstr>'CREDIT &amp; COLLECTION'!Print_Area</vt:lpstr>
      <vt:lpstr>CT!Print_Area</vt:lpstr>
      <vt:lpstr>'DATA PROCESSING'!Print_Area</vt:lpstr>
      <vt:lpstr>DIETARY!Print_Area</vt:lpstr>
      <vt:lpstr>EKG!Print_Area</vt:lpstr>
      <vt:lpstr>'EMERGENCY SERVICES'!Print_Area</vt:lpstr>
      <vt:lpstr>ENDOSCOPY!Print_Area</vt:lpstr>
      <vt:lpstr>'ER PROFEE'!Print_Area</vt:lpstr>
      <vt:lpstr>'GENERAL ACCOUNTING'!Print_Area</vt:lpstr>
      <vt:lpstr>'HEALTH INFO MGMT'!Print_Area</vt:lpstr>
      <vt:lpstr>'HOSPITAL ADMIN'!Print_Area</vt:lpstr>
      <vt:lpstr>HOUSEKEEPING!Print_Area</vt:lpstr>
      <vt:lpstr>ICU!Print_Area</vt:lpstr>
      <vt:lpstr>'IV THERAPY'!Print_Area</vt:lpstr>
      <vt:lpstr>LAB!Print_Area</vt:lpstr>
      <vt:lpstr>'LAUNDRY &amp; LINEN'!Print_Area</vt:lpstr>
      <vt:lpstr>MAMMOGRAPHY!Print_Area</vt:lpstr>
      <vt:lpstr>MARKETING!Print_Area</vt:lpstr>
      <vt:lpstr>'MED SURG'!Print_Area</vt:lpstr>
      <vt:lpstr>'MO STATS'!Print_Area</vt:lpstr>
      <vt:lpstr>MOB!Print_Area</vt:lpstr>
      <vt:lpstr>MRI!Print_Area</vt:lpstr>
      <vt:lpstr>'NUCLEAR MEDICINE'!Print_Area</vt:lpstr>
      <vt:lpstr>'NURSING ADMIN'!Print_Area</vt:lpstr>
      <vt:lpstr>OBS!Print_Area</vt:lpstr>
      <vt:lpstr>'OCCUPATIONAL THERAPY'!Print_Area</vt:lpstr>
      <vt:lpstr>OR!Print_Area</vt:lpstr>
      <vt:lpstr>'OTHER DISCOUNTS'!Print_Area</vt:lpstr>
      <vt:lpstr>'OTHER REVENUE'!Print_Area</vt:lpstr>
      <vt:lpstr>PATHOLOGY!Print_Area</vt:lpstr>
      <vt:lpstr>PHARMACY!Print_Area</vt:lpstr>
      <vt:lpstr>'PHYSICAL THERAPY'!Print_Area</vt:lpstr>
      <vt:lpstr>'PLANT OP &amp; MAINTENANCE'!Print_Area</vt:lpstr>
      <vt:lpstr>'PRIOR YR ADJS'!Print_Area</vt:lpstr>
      <vt:lpstr>'PULMONARY LAB'!Print_Area</vt:lpstr>
      <vt:lpstr>'recap rev and deduct'!Print_Area</vt:lpstr>
      <vt:lpstr>RECOVERY!Print_Area</vt:lpstr>
      <vt:lpstr>RESPIRATORY!Print_Area</vt:lpstr>
      <vt:lpstr>SECURITY!Print_Area</vt:lpstr>
      <vt:lpstr>'SPEECH THERAPY'!Print_Area</vt:lpstr>
      <vt:lpstr>STATS!Print_Area</vt:lpstr>
      <vt:lpstr>'STATS 2017'!Print_Area</vt:lpstr>
      <vt:lpstr>'STERILE SUPPLY'!Print_Area</vt:lpstr>
      <vt:lpstr>SURGIDAY!Print_Area</vt:lpstr>
      <vt:lpstr>'SWING BED'!Print_Area</vt:lpstr>
      <vt:lpstr>ULTRASOUND!Print_Area</vt:lpstr>
      <vt:lpstr>'WOUND CARE'!Print_Area</vt:lpstr>
      <vt:lpstr>XRAY!Print_Area</vt:lpstr>
      <vt:lpstr>'MO STATS'!Print_Titles</vt:lpstr>
      <vt:lpstr>STATS!Print_Titles</vt:lpstr>
      <vt:lpstr>'STATS 2017'!Print_Titles</vt:lpstr>
    </vt:vector>
  </TitlesOfParts>
  <Company>Doctors Memorial Hospital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jennifer.cloud</dc:creator>
  <cp:lastModifiedBy>Celia Ward</cp:lastModifiedBy>
  <cp:lastPrinted>2017-08-28T12:51:18Z</cp:lastPrinted>
  <dcterms:created xsi:type="dcterms:W3CDTF">2013-03-15T16:52:38Z</dcterms:created>
  <dcterms:modified xsi:type="dcterms:W3CDTF">2018-03-19T22:01:50Z</dcterms:modified>
</cp:coreProperties>
</file>